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Commandes" sheetId="3" state="visible" r:id="rId3"/>
    <sheet xmlns:r="http://schemas.openxmlformats.org/officeDocument/2006/relationships" name="Bon de commande" sheetId="4" state="visible" r:id="rId4"/>
    <sheet xmlns:r="http://schemas.openxmlformats.org/officeDocument/2006/relationships" name="Suivi des réceptions" sheetId="5" state="visible" r:id="rId5"/>
    <sheet xmlns:r="http://schemas.openxmlformats.org/officeDocument/2006/relationships" name="Fournisseurs" sheetId="6" state="visible" r:id="rId6"/>
    <sheet xmlns:r="http://schemas.openxmlformats.org/officeDocument/2006/relationships" name="Articles" sheetId="7" state="visible" r:id="rId7"/>
    <sheet xmlns:r="http://schemas.openxmlformats.org/officeDocument/2006/relationships" name="Paramètres" sheetId="8" state="visible" r:id="rId8"/>
    <sheet xmlns:r="http://schemas.openxmlformats.org/officeDocument/2006/relationships" name="Pourquoi Qualis ERP" sheetId="9" state="visible" r:id="rId9"/>
  </sheets>
  <definedNames>
    <definedName name="po_num">'Commandes'!$A$6:$A$2005</definedName>
    <definedName name="po_date">'Commandes'!$B$6:$B$2005</definedName>
    <definedName name="po_sup">'Commandes'!$C$6:$C$2005</definedName>
    <definedName name="po_supname">'Commandes'!$D$6:$D$2005</definedName>
    <definedName name="po_ref">'Commandes'!$E$6:$E$2005</definedName>
    <definedName name="po_des">'Commandes'!$F$6:$F$2005</definedName>
    <definedName name="po_unit">'Commandes'!$G$6:$G$2005</definedName>
    <definedName name="po_qty">'Commandes'!$H$6:$H$2005</definedName>
    <definedName name="po_price">'Commandes'!$J$6:$J$2005</definedName>
    <definedName name="po_disc">'Commandes'!$K$6:$K$2005</definedName>
    <definedName name="po_rate">'Commandes'!$M$6:$M$2005</definedName>
    <definedName name="po_ht">'Commandes'!$N$6:$N$2005</definedName>
    <definedName name="po_tvaamt">'Commandes'!$O$6:$O$2005</definedName>
    <definedName name="po_ttc">'Commandes'!$P$6:$P$2005</definedName>
    <definedName name="po_due">'Commandes'!$R$6:$R$2005</definedName>
    <definedName name="po_sent">'Commandes'!$S$6:$S$2005</definedName>
    <definedName name="po_rcv">'Commandes'!$T$6:$T$2005</definedName>
    <definedName name="po_rcvdate">'Commandes'!$U$6:$U$2005</definedName>
    <definedName name="po_rest">'Commandes'!$W$6:$W$2005</definedName>
    <definedName name="po_status">'Commandes'!$X$6:$X$2005</definedName>
    <definedName name="po_late">'Commandes'!$Y$6:$Y$2005</definedName>
    <definedName name="po_check">'Commandes'!$Z$6:$Z$2005</definedName>
    <definedName name="po_ontime">'Commandes'!$AA$6:$AA$2005</definedName>
    <definedName name="po_key">'Commandes'!$AB$6:$AB$2005</definedName>
    <definedName name="po_first">'Commandes'!$AC$6:$AC$2005</definedName>
    <definedName name="po_seq">'Commandes'!$AD$6:$AD$2005</definedName>
    <definedName name="po_list">'Commandes'!$AE$6:$AE$2005</definedName>
    <definedName name="po_occ">'Commandes'!$AF$6:$AF$2005</definedName>
    <definedName name="po_openfirst">'Commandes'!$AG$6:$AG$2005</definedName>
    <definedName name="po_restht">'Commandes'!$AH$6:$AH$2005</definedName>
    <definedName name="po_rcvht">'Commandes'!$AI$6:$AI$2005</definedName>
    <definedName name="sup_code">'Fournisseurs'!$A$6:$A$305</definedName>
    <definedName name="sup_name">'Fournisseurs'!$B$6:$B$305</definedName>
    <definedName name="sup_addr">'Fournisseurs'!$C$6:$C$305</definedName>
    <definedName name="sup_city">'Fournisseurs'!$D$6:$D$305</definedName>
    <definedName name="sup_country">'Fournisseurs'!$E$6:$E$305</definedName>
    <definedName name="sup_id">'Fournisseurs'!$F$6:$F$305</definedName>
    <definedName name="sup_contact">'Fournisseurs'!$G$6:$G$305</definedName>
    <definedName name="sup_tel">'Fournisseurs'!$H$6:$H$305</definedName>
    <definedName name="sup_mail">'Fournisseurs'!$I$6:$I$305</definedName>
    <definedName name="sup_terms">'Fournisseurs'!$J$6:$J$305</definedName>
    <definedName name="sup_delay">'Fournisseurs'!$K$6:$K$305</definedName>
    <definedName name="sup_late">'Fournisseurs'!$N$6:$N$305</definedName>
    <definedName name="sup_rate">'Fournisseurs'!$O$6:$O$305</definedName>
    <definedName name="sup_year">'Fournisseurs'!$Q$6:$Q$305</definedName>
    <definedName name="sup_key">'Fournisseurs'!$R$6:$R$305</definedName>
    <definedName name="art_ref">'Articles'!$A$6:$A$1005</definedName>
    <definedName name="art_des">'Articles'!$B$6:$B$1005</definedName>
    <definedName name="art_unit">'Articles'!$C$6:$C$1005</definedName>
    <definedName name="art_price">'Articles'!$D$6:$D$1005</definedName>
    <definedName name="art_tva">'Articles'!$E$6:$E$1005</definedName>
    <definedName name="art_sup">'Articles'!$F$6:$F$1005</definedName>
    <definedName name="p_tva">'Paramètres'!$D$6:$D$13</definedName>
    <definedName name="p_units">'Paramètres'!$F$6:$F$25</definedName>
    <definedName name="p_termlist">'Paramètres'!$H$6:$H$15</definedName>
    <definedName name="p_po">'Bon de commande'!$M$3</definedName>
    <definedName name="p_dbyear">'Tableau de bord'!$M$3</definedName>
    <definedName name="p_company">'Paramètres'!$B$5</definedName>
    <definedName name="p_addr">'Paramètres'!$B$6</definedName>
    <definedName name="p_city">'Paramètres'!$B$7</definedName>
    <definedName name="p_country">'Paramètres'!$B$8</definedName>
    <definedName name="p_tel">'Paramètres'!$B$9</definedName>
    <definedName name="p_mail">'Paramètres'!$B$10</definedName>
    <definedName name="p_saddr">'Paramètres'!$B$17</definedName>
    <definedName name="p_scity">'Paramètres'!$B$18</definedName>
    <definedName name="p_recv">'Paramètres'!$B$19</definedName>
    <definedName name="p_today_in">'Paramètres'!$B$23</definedName>
    <definedName name="p_prefix">'Paramètres'!$B$24</definedName>
    <definedName name="p_first">'Paramètres'!$B$25</definedName>
    <definedName name="p_terms">'Paramètres'!$B$26</definedName>
    <definedName name="p_notes">'Paramètres'!$B$27</definedName>
    <definedName name="p_today">'Paramètres'!$B$30</definedName>
    <definedName name="p_year">'Paramètres'!$B$31</definedName>
    <definedName name="p_y0">'Paramètres'!$B$32</definedName>
    <definedName name="p_y1">'Paramètres'!$B$33</definedName>
    <definedName name="p_next">'Paramètres'!$B$34</definedName>
    <definedName name="p_id1l">'Paramètres'!$A$11</definedName>
    <definedName name="p_id1">'Paramètres'!$B$11</definedName>
    <definedName name="p_id2l">'Paramètres'!$A$12</definedName>
    <definedName name="p_id2">'Paramètres'!$B$12</definedName>
    <definedName name="p_id3l">'Paramètres'!$A$13</definedName>
    <definedName name="p_id3">'Paramètres'!$B$13</definedName>
    <definedName name="p_id4l">'Paramètres'!$A$14</definedName>
    <definedName name="p_id4">'Paramètres'!$B$14</definedName>
    <definedName name="p_currency">'Paramètres'!$B$22</definedName>
    <definedName name="_xlnm._FilterDatabase" localSheetId="2" hidden="1">'Commandes'!$A$5:$Z$2005</definedName>
    <definedName name="_xlnm.Print_Titles" localSheetId="2">'Commandes'!$5:$5</definedName>
    <definedName name="_xlnm.Print_Area" localSheetId="3">'Bon de commande'!$B$5:$J$60</definedName>
    <definedName name="_xlnm.Print_Titles" localSheetId="4">'Suivi des réceptions'!$5:$5</definedName>
    <definedName name="_xlnm._FilterDatabase" localSheetId="5" hidden="1">'Fournisseurs'!$A$5:$P$305</definedName>
    <definedName name="_xlnm.Print_Titles" localSheetId="5">'Fournisseurs'!$5:$5</definedName>
    <definedName name="_xlnm._FilterDatabase" localSheetId="6" hidden="1">'Articles'!$A$5:$K$1005</definedName>
    <definedName name="_xlnm.Print_Titles" localSheetId="6">'Articles'!$5:$5</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0.000000"/>
  </numFmts>
  <fonts count="43">
    <font>
      <name val="Calibri"/>
      <family val="2"/>
      <color theme="1"/>
      <sz val="11"/>
      <scheme val="minor"/>
    </font>
    <font>
      <name val="Calibri"/>
      <b val="1"/>
      <color rgb="FFFFFFFF"/>
      <sz val="18"/>
    </font>
    <font>
      <name val="Calibri"/>
      <i val="1"/>
      <color rgb="FF1D4ED8"/>
      <sz val="10"/>
    </font>
    <font>
      <name val="Calibri"/>
      <b val="1"/>
      <color rgb="FF0F172A"/>
      <sz val="12"/>
    </font>
    <font>
      <name val="Calibri"/>
      <b val="1"/>
      <color rgb="FF1D4ED8"/>
      <sz val="10"/>
      <u val="single"/>
    </font>
    <font>
      <name val="Calibri"/>
      <color rgb="FF1E293B"/>
      <sz val="10"/>
    </font>
    <font>
      <name val="Calibri"/>
      <b val="1"/>
      <color rgb="FF0F172A"/>
      <sz val="10"/>
    </font>
    <font>
      <name val="Calibri"/>
      <color rgb="FF1E293B"/>
      <sz val="9"/>
    </font>
    <font>
      <name val="Calibri"/>
      <color rgb="FF64748B"/>
      <sz val="9"/>
    </font>
    <font>
      <name val="Calibri"/>
      <b val="1"/>
      <color rgb="FFFFFFFF"/>
      <sz val="10"/>
      <u val="single"/>
    </font>
    <font>
      <name val="Calibri"/>
      <b val="1"/>
      <color rgb="FF1E293B"/>
      <sz val="10"/>
    </font>
    <font>
      <name val="Calibri"/>
      <i val="1"/>
      <color rgb="FF64748B"/>
      <sz val="9"/>
    </font>
    <font>
      <name val="Calibri"/>
      <b val="1"/>
      <color rgb="FF1E293B"/>
      <sz val="11"/>
    </font>
    <font>
      <name val="Calibri"/>
      <color rgb="FF64748B"/>
      <sz val="10"/>
    </font>
    <font>
      <name val="Calibri"/>
      <b val="1"/>
      <color rgb="FFFFFFFF"/>
      <sz val="10"/>
    </font>
    <font>
      <name val="Calibri"/>
      <color rgb="FF334155"/>
      <sz val="10"/>
    </font>
    <font>
      <name val="Calibri"/>
      <b val="1"/>
      <color rgb="FF1D4ED8"/>
      <sz val="10"/>
    </font>
    <font>
      <name val="Calibri"/>
      <b val="1"/>
      <color rgb="FF0F172A"/>
      <sz val="11"/>
    </font>
    <font>
      <name val="Calibri"/>
      <b val="1"/>
      <color rgb="FF1D4ED8"/>
      <sz val="9"/>
    </font>
    <font>
      <name val="Calibri"/>
      <b val="1"/>
      <color rgb="FF0F172A"/>
      <sz val="16"/>
    </font>
    <font>
      <name val="Calibri"/>
      <b val="1"/>
      <color rgb="FF1D4ED8"/>
      <sz val="18"/>
    </font>
    <font>
      <name val="Calibri"/>
      <color rgb="FF334155"/>
      <sz val="9"/>
    </font>
    <font>
      <name val="Calibri"/>
      <b val="1"/>
      <color rgb="FF64748B"/>
      <sz val="9"/>
    </font>
    <font>
      <name val="Calibri"/>
      <color rgb="FF0F172A"/>
      <sz val="10"/>
    </font>
    <font>
      <name val="Calibri"/>
      <b val="1"/>
      <color rgb="FF1D4ED8"/>
      <sz val="11"/>
    </font>
    <font>
      <name val="Calibri"/>
      <color rgb="FF0F172A"/>
      <sz val="9"/>
    </font>
    <font>
      <name val="Calibri"/>
      <b val="1"/>
      <color rgb="FF0F172A"/>
      <sz val="9"/>
    </font>
    <font>
      <name val="Calibri"/>
      <i val="1"/>
      <color rgb="FF94A3B8"/>
      <sz val="8"/>
    </font>
    <font>
      <name val="Calibri"/>
      <color rgb="FF64748B"/>
      <sz val="8"/>
    </font>
    <font>
      <name val="Calibri"/>
      <b val="1"/>
      <color rgb="FF1D4ED8"/>
      <sz val="20"/>
    </font>
    <font>
      <name val="Calibri"/>
      <b val="1"/>
      <color rgb="FF0F172A"/>
      <sz val="20"/>
    </font>
    <font>
      <name val="Calibri"/>
      <b val="1"/>
      <color rgb="FFB91C1C"/>
      <sz val="20"/>
    </font>
    <font>
      <name val="Calibri"/>
      <b val="1"/>
      <color rgb="FF92400E"/>
      <sz val="20"/>
    </font>
    <font>
      <name val="Calibri"/>
      <b val="1"/>
      <color rgb="FF166534"/>
      <sz val="20"/>
    </font>
    <font>
      <name val="Calibri"/>
      <b val="1"/>
      <color rgb="FFFFFFFF"/>
      <sz val="22"/>
    </font>
    <font>
      <name val="Calibri"/>
      <b val="1"/>
      <color rgb="FFBFDBFE"/>
      <sz val="13"/>
    </font>
    <font>
      <name val="Calibri"/>
      <color rgb="FFE2E8F0"/>
      <sz val="10"/>
    </font>
    <font>
      <name val="Calibri"/>
      <color rgb="FF166534"/>
      <sz val="10"/>
    </font>
    <font>
      <name val="Calibri"/>
      <b val="1"/>
      <color rgb="FF475569"/>
      <sz val="9"/>
    </font>
    <font>
      <name val="Calibri"/>
      <b val="1"/>
      <color rgb="FF166534"/>
      <sz val="9"/>
    </font>
    <font>
      <name val="Calibri"/>
      <b val="1"/>
      <color rgb="FF1E3A8A"/>
      <sz val="13"/>
      <u val="single"/>
    </font>
    <font>
      <name val="Calibri"/>
      <b val="1"/>
      <color rgb="FF2563EB"/>
      <sz val="11"/>
      <u val="single"/>
    </font>
    <font>
      <name val="Calibri"/>
      <color rgb="FF2563EB"/>
      <sz val="10"/>
      <u val="single"/>
    </font>
  </fonts>
  <fills count="12">
    <fill>
      <patternFill/>
    </fill>
    <fill>
      <patternFill patternType="gray125"/>
    </fill>
    <fill>
      <patternFill patternType="solid">
        <fgColor rgb="FF1D4ED8"/>
        <bgColor rgb="FF1D4ED8"/>
      </patternFill>
    </fill>
    <fill>
      <patternFill patternType="solid">
        <fgColor rgb="FFDBEAFE"/>
        <bgColor rgb="FFDBEAFE"/>
      </patternFill>
    </fill>
    <fill>
      <patternFill patternType="solid">
        <fgColor rgb="FFFFFFFF"/>
        <bgColor rgb="FFFFFFFF"/>
      </patternFill>
    </fill>
    <fill>
      <patternFill patternType="solid">
        <fgColor rgb="FFF8FAFC"/>
        <bgColor rgb="FFF8FAFC"/>
      </patternFill>
    </fill>
    <fill>
      <patternFill patternType="solid">
        <fgColor rgb="FFF1F5F9"/>
        <bgColor rgb="FFF1F5F9"/>
      </patternFill>
    </fill>
    <fill>
      <patternFill patternType="solid">
        <fgColor rgb="FF1E293B"/>
        <bgColor rgb="FF1E293B"/>
      </patternFill>
    </fill>
    <fill>
      <patternFill patternType="solid">
        <fgColor rgb="FFF6F8FB"/>
        <bgColor rgb="FFF6F8FB"/>
      </patternFill>
    </fill>
    <fill>
      <patternFill patternType="solid">
        <fgColor rgb="FF1E3A8A"/>
        <bgColor rgb="FF1E3A8A"/>
      </patternFill>
    </fill>
    <fill>
      <patternFill patternType="solid">
        <fgColor rgb="FF2563EB"/>
        <bgColor rgb="FF2563EB"/>
      </patternFill>
    </fill>
    <fill>
      <patternFill patternType="solid">
        <fgColor rgb="FFDCFCE7"/>
        <bgColor rgb="FFDCFCE7"/>
      </patternFill>
    </fill>
  </fills>
  <borders count="52">
    <border>
      <left/>
      <right/>
      <top/>
      <bottom/>
      <diagonal/>
    </border>
    <border>
      <bottom style="medium">
        <color rgb="FF1D4ED8"/>
      </bottom>
    </border>
    <border>
      <bottom style="thin">
        <color rgb="FFE2E8F0"/>
      </bottom>
    </border>
    <border>
      <left style="thin">
        <color rgb="FFCBD5E1"/>
      </left>
      <right style="thin">
        <color rgb="FFCBD5E1"/>
      </right>
      <top style="thin">
        <color rgb="FFCBD5E1"/>
      </top>
      <bottom style="thin">
        <color rgb="FFCBD5E1"/>
      </bottom>
    </border>
    <border>
      <left style="medium">
        <color rgb="FF1D4ED8"/>
      </left>
      <right style="medium">
        <color rgb="FF1D4ED8"/>
      </right>
      <top style="medium">
        <color rgb="FF1D4ED8"/>
      </top>
      <bottom style="medium">
        <color rgb="FF1D4ED8"/>
      </bottom>
    </border>
    <border>
      <left style="thin">
        <color rgb="FFCBD5E1"/>
      </left>
    </border>
    <border>
      <left style="thin">
        <color rgb="FFCBD5E1"/>
      </left>
      <bottom style="thin">
        <color rgb="FFCBD5E1"/>
      </bottom>
    </border>
    <border/>
    <border>
      <bottom style="thin">
        <color rgb="FFCBD5E1"/>
      </bottom>
    </border>
    <border>
      <right style="thin">
        <color rgb="FFCBD5E1"/>
      </right>
    </border>
    <border>
      <right style="thin">
        <color rgb="FFCBD5E1"/>
      </right>
      <bottom style="thin">
        <color rgb="FFCBD5E1"/>
      </bottom>
    </border>
    <border>
      <left style="thin">
        <color rgb="FFCBD5E1"/>
      </left>
      <right style="thin">
        <color rgb="FFCBD5E1"/>
      </right>
    </border>
    <border>
      <left/>
      <right style="thin">
        <color rgb="FFCBD5E1"/>
      </right>
      <top/>
      <bottom/>
      <diagonal/>
    </border>
    <border>
      <left style="thin">
        <color rgb="FFCBD5E1"/>
      </left>
      <right style="thin">
        <color rgb="FFCBD5E1"/>
      </right>
      <bottom style="thin">
        <color rgb="FFCBD5E1"/>
      </bottom>
    </border>
    <border>
      <left/>
      <right/>
      <top/>
      <bottom style="thin">
        <color rgb="FFCBD5E1"/>
      </bottom>
      <diagonal/>
    </border>
    <border>
      <left/>
      <right style="thin">
        <color rgb="FFCBD5E1"/>
      </right>
      <top/>
      <bottom style="thin">
        <color rgb="FFCBD5E1"/>
      </bottom>
      <diagonal/>
    </border>
    <border>
      <left style="thin">
        <color rgb="FFE2E8F0"/>
      </left>
      <right style="thin">
        <color rgb="FFE2E8F0"/>
      </right>
      <bottom style="thin">
        <color rgb="FFE2E8F0"/>
      </bottom>
    </border>
    <border>
      <top style="thin">
        <color rgb="FFCBD5E1"/>
      </top>
      <bottom style="thin">
        <color rgb="FFE2E8F0"/>
      </bottom>
    </border>
    <border>
      <bottom style="thin">
        <color rgb="FF1D4ED8"/>
      </bottom>
    </border>
    <border>
      <left style="thin">
        <color rgb="FFCBD5E1"/>
      </left>
      <top style="thin">
        <color rgb="FFCBD5E1"/>
      </top>
    </border>
    <border>
      <top style="thin">
        <color rgb="FFCBD5E1"/>
      </top>
    </border>
    <border>
      <right style="thin">
        <color rgb="FFCBD5E1"/>
      </right>
      <top style="thin">
        <color rgb="FFCBD5E1"/>
      </top>
    </border>
    <border>
      <left style="thick">
        <color rgb="FF1D4ED8"/>
      </left>
      <top style="thin">
        <color rgb="FFE2E8F0"/>
      </top>
    </border>
    <border>
      <top style="thin">
        <color rgb="FFE2E8F0"/>
      </top>
    </border>
    <border>
      <right style="thin">
        <color rgb="FFE2E8F0"/>
      </right>
      <top style="thin">
        <color rgb="FFE2E8F0"/>
      </top>
    </border>
    <border>
      <left style="thick">
        <color rgb="FF1D4ED8"/>
      </left>
    </border>
    <border>
      <right style="thin">
        <color rgb="FFE2E8F0"/>
      </right>
    </border>
    <border>
      <left style="thick">
        <color rgb="FF1D4ED8"/>
      </left>
      <bottom style="thin">
        <color rgb="FFE2E8F0"/>
      </bottom>
    </border>
    <border>
      <right style="thin">
        <color rgb="FFE2E8F0"/>
      </right>
      <bottom style="thin">
        <color rgb="FFE2E8F0"/>
      </bottom>
    </border>
    <border>
      <left style="thick">
        <color rgb="FF0F172A"/>
      </left>
      <top style="thin">
        <color rgb="FFE2E8F0"/>
      </top>
    </border>
    <border>
      <left style="thick">
        <color rgb="FF0F172A"/>
      </left>
    </border>
    <border>
      <left style="thick">
        <color rgb="FF0F172A"/>
      </left>
      <bottom style="thin">
        <color rgb="FFE2E8F0"/>
      </bottom>
    </border>
    <border>
      <left style="thick">
        <color rgb="FFB91C1C"/>
      </left>
      <top style="thin">
        <color rgb="FFE2E8F0"/>
      </top>
    </border>
    <border>
      <left style="thick">
        <color rgb="FFB91C1C"/>
      </left>
    </border>
    <border>
      <left style="thick">
        <color rgb="FFB91C1C"/>
      </left>
      <bottom style="thin">
        <color rgb="FFE2E8F0"/>
      </bottom>
    </border>
    <border>
      <left style="thick">
        <color rgb="FF92400E"/>
      </left>
      <top style="thin">
        <color rgb="FFE2E8F0"/>
      </top>
    </border>
    <border>
      <left style="thick">
        <color rgb="FF92400E"/>
      </left>
    </border>
    <border>
      <left style="thick">
        <color rgb="FF92400E"/>
      </left>
      <bottom style="thin">
        <color rgb="FFE2E8F0"/>
      </bottom>
    </border>
    <border>
      <left style="thick">
        <color rgb="FF166534"/>
      </left>
      <top style="thin">
        <color rgb="FFE2E8F0"/>
      </top>
    </border>
    <border>
      <left style="thick">
        <color rgb="FF166534"/>
      </left>
    </border>
    <border>
      <left style="thick">
        <color rgb="FF166534"/>
      </left>
      <bottom style="thin">
        <color rgb="FFE2E8F0"/>
      </bottom>
    </border>
    <border>
      <left/>
      <right/>
      <top/>
      <bottom style="medium">
        <color rgb="FF1D4ED8"/>
      </bottom>
      <diagonal/>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bottom style="medium">
        <color rgb="FF2563EB"/>
      </bottom>
    </border>
    <border>
      <left style="medium">
        <color rgb="FF2563EB"/>
      </left>
      <top style="medium">
        <color rgb="FF2563EB"/>
      </top>
      <bottom style="medium">
        <color rgb="FF2563EB"/>
      </bottom>
    </border>
    <border>
      <right style="medium">
        <color rgb="FF2563EB"/>
      </right>
      <top style="medium">
        <color rgb="FF2563EB"/>
      </top>
      <bottom style="medium">
        <color rgb="FF2563EB"/>
      </bottom>
    </border>
    <border>
      <left style="medium">
        <color rgb="FF2563EB"/>
      </left>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166">
    <xf numFmtId="0" fontId="0" fillId="0" borderId="0" pivotButton="0" quotePrefix="0" xfId="0"/>
    <xf numFmtId="0" fontId="0" fillId="2" borderId="0" pivotButton="0" quotePrefix="0" xfId="0"/>
    <xf numFmtId="0" fontId="1" fillId="2" borderId="0" applyAlignment="1" pivotButton="0" quotePrefix="0" xfId="0">
      <alignment vertical="center" indent="1"/>
    </xf>
    <xf numFmtId="0" fontId="0" fillId="3" borderId="0" pivotButton="0" quotePrefix="0" xfId="0"/>
    <xf numFmtId="0" fontId="2" fillId="3" borderId="0" applyAlignment="1" pivotButton="0" quotePrefix="0" xfId="0">
      <alignment vertical="center" indent="1"/>
    </xf>
    <xf numFmtId="0" fontId="3" fillId="0" borderId="1" pivotButton="0" quotePrefix="0" xfId="0"/>
    <xf numFmtId="0" fontId="0" fillId="0" borderId="1" pivotButton="0" quotePrefix="0" xfId="0"/>
    <xf numFmtId="0" fontId="4" fillId="4" borderId="2" applyAlignment="1" pivotButton="0" quotePrefix="0" xfId="0">
      <alignment vertical="center"/>
    </xf>
    <xf numFmtId="0" fontId="5" fillId="4" borderId="2" applyAlignment="1" pivotButton="0" quotePrefix="0" xfId="0">
      <alignment vertical="center" wrapText="1"/>
    </xf>
    <xf numFmtId="0" fontId="0" fillId="4" borderId="2" pivotButton="0" quotePrefix="0" xfId="0"/>
    <xf numFmtId="0" fontId="4" fillId="5" borderId="2" applyAlignment="1" pivotButton="0" quotePrefix="0" xfId="0">
      <alignment vertical="center"/>
    </xf>
    <xf numFmtId="0" fontId="5" fillId="5" borderId="2" applyAlignment="1" pivotButton="0" quotePrefix="0" xfId="0">
      <alignment vertical="center" wrapText="1"/>
    </xf>
    <xf numFmtId="0" fontId="0" fillId="5" borderId="2"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3" applyAlignment="1" pivotButton="0" quotePrefix="0" xfId="0">
      <alignment horizontal="center"/>
    </xf>
    <xf numFmtId="0" fontId="8" fillId="6" borderId="3" applyAlignment="1" pivotButton="0" quotePrefix="0" xfId="0">
      <alignment horizontal="center"/>
    </xf>
    <xf numFmtId="0" fontId="9" fillId="2" borderId="0" applyAlignment="1" pivotButton="0" quotePrefix="0" xfId="0">
      <alignment horizontal="right" vertical="center"/>
    </xf>
    <xf numFmtId="0" fontId="11" fillId="0" borderId="0" applyAlignment="1" pivotButton="0" quotePrefix="0" xfId="0">
      <alignment horizontal="right"/>
    </xf>
    <xf numFmtId="0" fontId="10" fillId="4" borderId="3" applyAlignment="1" pivotButton="0" quotePrefix="0" xfId="0">
      <alignment horizontal="center"/>
    </xf>
    <xf numFmtId="165" fontId="22" fillId="0" borderId="0" pivotButton="0" quotePrefix="0" xfId="0"/>
    <xf numFmtId="0" fontId="22" fillId="4" borderId="22" applyAlignment="1" pivotButton="0" quotePrefix="0" xfId="0">
      <alignment vertical="bottom" indent="1"/>
    </xf>
    <xf numFmtId="0" fontId="0" fillId="4" borderId="23" pivotButton="0" quotePrefix="0" xfId="0"/>
    <xf numFmtId="0" fontId="0" fillId="4" borderId="24" pivotButton="0" quotePrefix="0" xfId="0"/>
    <xf numFmtId="0" fontId="22" fillId="4" borderId="29" applyAlignment="1" pivotButton="0" quotePrefix="0" xfId="0">
      <alignment vertical="bottom" indent="1"/>
    </xf>
    <xf numFmtId="0" fontId="22" fillId="4" borderId="32" applyAlignment="1" pivotButton="0" quotePrefix="0" xfId="0">
      <alignment vertical="bottom" indent="1"/>
    </xf>
    <xf numFmtId="0" fontId="22" fillId="4" borderId="35" applyAlignment="1" pivotButton="0" quotePrefix="0" xfId="0">
      <alignment vertical="bottom" indent="1"/>
    </xf>
    <xf numFmtId="0" fontId="22" fillId="4" borderId="38" applyAlignment="1" pivotButton="0" quotePrefix="0" xfId="0">
      <alignment vertical="bottom" indent="1"/>
    </xf>
    <xf numFmtId="3" fontId="29" fillId="4" borderId="25" applyAlignment="1" pivotButton="0" quotePrefix="0" xfId="0">
      <alignment horizontal="left" vertical="center" indent="1"/>
    </xf>
    <xf numFmtId="0" fontId="0" fillId="4" borderId="7" pivotButton="0" quotePrefix="0" xfId="0"/>
    <xf numFmtId="0" fontId="0" fillId="4" borderId="26" pivotButton="0" quotePrefix="0" xfId="0"/>
    <xf numFmtId="3" fontId="30" fillId="4" borderId="30" applyAlignment="1" pivotButton="0" quotePrefix="0" xfId="0">
      <alignment horizontal="left" vertical="center" indent="1"/>
    </xf>
    <xf numFmtId="3" fontId="31" fillId="4" borderId="33" applyAlignment="1" pivotButton="0" quotePrefix="0" xfId="0">
      <alignment horizontal="left" vertical="center" indent="1"/>
    </xf>
    <xf numFmtId="3" fontId="32" fillId="4" borderId="36" applyAlignment="1" pivotButton="0" quotePrefix="0" xfId="0">
      <alignment horizontal="left" vertical="center" indent="1"/>
    </xf>
    <xf numFmtId="9" fontId="33" fillId="4" borderId="39" applyAlignment="1" pivotButton="0" quotePrefix="0" xfId="0">
      <alignment horizontal="left" vertical="center" indent="1"/>
    </xf>
    <xf numFmtId="0" fontId="27" fillId="4" borderId="27" applyAlignment="1" pivotButton="0" quotePrefix="0" xfId="0">
      <alignment vertical="top" indent="1"/>
    </xf>
    <xf numFmtId="0" fontId="0" fillId="4" borderId="28" pivotButton="0" quotePrefix="0" xfId="0"/>
    <xf numFmtId="0" fontId="27" fillId="4" borderId="31" applyAlignment="1" pivotButton="0" quotePrefix="0" xfId="0">
      <alignment vertical="top" indent="1"/>
    </xf>
    <xf numFmtId="0" fontId="27" fillId="4" borderId="34" applyAlignment="1" pivotButton="0" quotePrefix="0" xfId="0">
      <alignment vertical="top" indent="1"/>
    </xf>
    <xf numFmtId="0" fontId="27" fillId="4" borderId="37" applyAlignment="1" pivotButton="0" quotePrefix="0" xfId="0">
      <alignment vertical="top" indent="1"/>
    </xf>
    <xf numFmtId="0" fontId="27" fillId="4" borderId="40" applyAlignment="1" pivotButton="0" quotePrefix="0" xfId="0">
      <alignment vertical="top" indent="1"/>
    </xf>
    <xf numFmtId="0" fontId="11" fillId="0" borderId="0" pivotButton="0" quotePrefix="0" xfId="0"/>
    <xf numFmtId="0" fontId="22" fillId="0" borderId="1" applyAlignment="1" pivotButton="0" quotePrefix="0" xfId="0">
      <alignment horizontal="right"/>
    </xf>
    <xf numFmtId="0" fontId="0" fillId="0" borderId="41" pivotButton="0" quotePrefix="0" xfId="0"/>
    <xf numFmtId="0" fontId="14" fillId="7" borderId="3" applyAlignment="1" pivotButton="0" quotePrefix="0" xfId="0">
      <alignment horizontal="center" vertical="center" wrapText="1"/>
    </xf>
    <xf numFmtId="0" fontId="0" fillId="0" borderId="44" pivotButton="0" quotePrefix="0" xfId="0"/>
    <xf numFmtId="0" fontId="5" fillId="0" borderId="3" pivotButton="0" quotePrefix="0" xfId="0"/>
    <xf numFmtId="3" fontId="5" fillId="6" borderId="3" applyAlignment="1" pivotButton="0" quotePrefix="0" xfId="0">
      <alignment horizontal="right"/>
    </xf>
    <xf numFmtId="3" fontId="10" fillId="5" borderId="3" pivotButton="0" quotePrefix="0" xfId="0"/>
    <xf numFmtId="3" fontId="10" fillId="5" borderId="3" applyAlignment="1" pivotButton="0" quotePrefix="0" xfId="0">
      <alignment horizontal="right"/>
    </xf>
    <xf numFmtId="0" fontId="5" fillId="6" borderId="3" applyAlignment="1" pivotButton="0" quotePrefix="0" xfId="0">
      <alignment horizontal="center"/>
    </xf>
    <xf numFmtId="3" fontId="5" fillId="6" borderId="3" pivotButton="0" quotePrefix="0" xfId="0"/>
    <xf numFmtId="0" fontId="5" fillId="6" borderId="3" pivotButton="0" quotePrefix="0" xfId="0"/>
    <xf numFmtId="0" fontId="5" fillId="6" borderId="3" applyAlignment="1" pivotButton="0" quotePrefix="0" xfId="0">
      <alignment horizontal="left"/>
    </xf>
    <xf numFmtId="9" fontId="5" fillId="6" borderId="3" applyAlignment="1" pivotButton="0" quotePrefix="0" xfId="0">
      <alignment horizontal="center"/>
    </xf>
    <xf numFmtId="0" fontId="14" fillId="7" borderId="3" applyAlignment="1" pivotButton="0" quotePrefix="0" xfId="0">
      <alignment horizontal="center" vertical="center"/>
    </xf>
    <xf numFmtId="0" fontId="5" fillId="6" borderId="3" applyAlignment="1" pivotButton="0" quotePrefix="0" xfId="0">
      <alignment horizontal="left"/>
    </xf>
    <xf numFmtId="0" fontId="5" fillId="6" borderId="3" applyAlignment="1" pivotButton="0" quotePrefix="0" xfId="0">
      <alignment horizontal="center"/>
    </xf>
    <xf numFmtId="0" fontId="5" fillId="6" borderId="3" applyAlignment="1" pivotButton="0" quotePrefix="0" xfId="0">
      <alignment horizontal="left" shrinkToFit="1"/>
    </xf>
    <xf numFmtId="165" fontId="5" fillId="6" borderId="3" applyAlignment="1" pivotButton="0" quotePrefix="0" xfId="0">
      <alignment horizontal="center"/>
    </xf>
    <xf numFmtId="3" fontId="5" fillId="6" borderId="3" applyAlignment="1" pivotButton="0" quotePrefix="0" xfId="0">
      <alignment horizontal="center"/>
    </xf>
    <xf numFmtId="0" fontId="16" fillId="0" borderId="0" pivotButton="0" quotePrefix="0" xfId="0"/>
    <xf numFmtId="0" fontId="5" fillId="4" borderId="3" applyAlignment="1" pivotButton="0" quotePrefix="0" xfId="0">
      <alignment vertical="center"/>
    </xf>
    <xf numFmtId="165" fontId="5" fillId="4" borderId="3" applyAlignment="1" pivotButton="0" quotePrefix="0" xfId="0">
      <alignment horizontal="center" vertical="center"/>
    </xf>
    <xf numFmtId="0" fontId="5" fillId="4" borderId="3" applyAlignment="1" pivotButton="0" quotePrefix="0" xfId="0">
      <alignment horizontal="center" vertical="center"/>
    </xf>
    <xf numFmtId="0" fontId="15" fillId="6" borderId="3" applyAlignment="1" pivotButton="0" quotePrefix="0" xfId="0">
      <alignment vertical="center"/>
    </xf>
    <xf numFmtId="0" fontId="15" fillId="6" borderId="3" applyAlignment="1" pivotButton="0" quotePrefix="0" xfId="0">
      <alignment horizontal="center" vertical="center"/>
    </xf>
    <xf numFmtId="3" fontId="5" fillId="4" borderId="3" applyAlignment="1" pivotButton="0" quotePrefix="0" xfId="0">
      <alignment vertical="center"/>
    </xf>
    <xf numFmtId="4" fontId="5" fillId="4" borderId="3" applyAlignment="1" pivotButton="0" quotePrefix="0" xfId="0">
      <alignment vertical="center"/>
    </xf>
    <xf numFmtId="4" fontId="15" fillId="6" borderId="3" applyAlignment="1" pivotButton="0" quotePrefix="0" xfId="0">
      <alignment vertical="center"/>
    </xf>
    <xf numFmtId="9" fontId="5" fillId="4" borderId="3" applyAlignment="1" pivotButton="0" quotePrefix="0" xfId="0">
      <alignment horizontal="center" vertical="center"/>
    </xf>
    <xf numFmtId="9" fontId="15" fillId="6" borderId="3" applyAlignment="1" pivotButton="0" quotePrefix="0" xfId="0">
      <alignment horizontal="center" vertical="center"/>
    </xf>
    <xf numFmtId="165" fontId="15" fillId="6" borderId="3" applyAlignment="1" pivotButton="0" quotePrefix="0" xfId="0">
      <alignment horizontal="center" vertical="center"/>
    </xf>
    <xf numFmtId="3" fontId="15" fillId="6" borderId="3" applyAlignment="1" pivotButton="0" quotePrefix="0" xfId="0">
      <alignment vertical="center"/>
    </xf>
    <xf numFmtId="1" fontId="15" fillId="6" borderId="3" applyAlignment="1" pivotButton="0" quotePrefix="0" xfId="0">
      <alignment horizontal="center" vertical="center"/>
    </xf>
    <xf numFmtId="166" fontId="15" fillId="6" borderId="3" applyAlignment="1" pivotButton="0" quotePrefix="0" xfId="0">
      <alignment vertical="center"/>
    </xf>
    <xf numFmtId="0" fontId="17" fillId="0" borderId="0" applyAlignment="1" pivotButton="0" quotePrefix="0" xfId="0">
      <alignment horizontal="right" vertical="center"/>
    </xf>
    <xf numFmtId="0" fontId="12" fillId="4" borderId="4" applyAlignment="1" pivotButton="0" quotePrefix="0" xfId="0">
      <alignment horizontal="center" vertical="center"/>
    </xf>
    <xf numFmtId="0" fontId="18" fillId="0" borderId="0" pivotButton="0" quotePrefix="0" xfId="0"/>
    <xf numFmtId="0" fontId="19" fillId="0" borderId="0" applyAlignment="1" pivotButton="0" quotePrefix="0" xfId="0">
      <alignment vertical="center"/>
    </xf>
    <xf numFmtId="0" fontId="20" fillId="0" borderId="0" applyAlignment="1" pivotButton="0" quotePrefix="0" xfId="0">
      <alignment horizontal="right" vertical="center"/>
    </xf>
    <xf numFmtId="0" fontId="21" fillId="0" borderId="0" pivotButton="0" quotePrefix="0" xfId="0"/>
    <xf numFmtId="0" fontId="22" fillId="0" borderId="0" applyAlignment="1" pivotButton="0" quotePrefix="0" xfId="0">
      <alignment horizontal="right" indent="1"/>
    </xf>
    <xf numFmtId="49" fontId="24" fillId="5" borderId="2" applyAlignment="1" pivotButton="0" quotePrefix="0" xfId="0">
      <alignment horizontal="left" indent="1"/>
    </xf>
    <xf numFmtId="165" fontId="23" fillId="5" borderId="2" applyAlignment="1" pivotButton="0" quotePrefix="0" xfId="0">
      <alignment horizontal="left" indent="1"/>
    </xf>
    <xf numFmtId="49" fontId="23" fillId="5" borderId="2" applyAlignment="1" pivotButton="0" quotePrefix="0" xfId="0">
      <alignment horizontal="left" indent="1"/>
    </xf>
    <xf numFmtId="0" fontId="14" fillId="2" borderId="0" applyAlignment="1" pivotButton="0" quotePrefix="0" xfId="0">
      <alignment vertical="center" indent="1"/>
    </xf>
    <xf numFmtId="0" fontId="6" fillId="5" borderId="11" applyAlignment="1" pivotButton="0" quotePrefix="0" xfId="0">
      <alignment vertical="center" indent="1"/>
    </xf>
    <xf numFmtId="0" fontId="0" fillId="0" borderId="12" pivotButton="0" quotePrefix="0" xfId="0"/>
    <xf numFmtId="0" fontId="21" fillId="5" borderId="11" applyAlignment="1" pivotButton="0" quotePrefix="0" xfId="0">
      <alignment vertical="center" indent="1"/>
    </xf>
    <xf numFmtId="0" fontId="21" fillId="5" borderId="13" applyAlignment="1" pivotButton="0" quotePrefix="0" xfId="0">
      <alignment vertical="center" indent="1"/>
    </xf>
    <xf numFmtId="0" fontId="0" fillId="0" borderId="14" pivotButton="0" quotePrefix="0" xfId="0"/>
    <xf numFmtId="0" fontId="0" fillId="0" borderId="15" pivotButton="0" quotePrefix="0" xfId="0"/>
    <xf numFmtId="1" fontId="25" fillId="0" borderId="16" applyAlignment="1" pivotButton="0" quotePrefix="0" xfId="0">
      <alignment horizontal="center" vertical="center"/>
    </xf>
    <xf numFmtId="49" fontId="25" fillId="0" borderId="16" applyAlignment="1" pivotButton="0" quotePrefix="0" xfId="0">
      <alignment horizontal="left" vertical="center" shrinkToFit="1"/>
    </xf>
    <xf numFmtId="3" fontId="25" fillId="0" borderId="16" applyAlignment="1" pivotButton="0" quotePrefix="0" xfId="0">
      <alignment horizontal="right" vertical="center"/>
    </xf>
    <xf numFmtId="49" fontId="25" fillId="0" borderId="16" applyAlignment="1" pivotButton="0" quotePrefix="0" xfId="0">
      <alignment horizontal="center" vertical="center"/>
    </xf>
    <xf numFmtId="4" fontId="25" fillId="0" borderId="16" applyAlignment="1" pivotButton="0" quotePrefix="0" xfId="0">
      <alignment horizontal="right" vertical="center"/>
    </xf>
    <xf numFmtId="9" fontId="25" fillId="0" borderId="16" applyAlignment="1" pivotButton="0" quotePrefix="0" xfId="0">
      <alignment horizontal="center" vertical="center"/>
    </xf>
    <xf numFmtId="1" fontId="25" fillId="5" borderId="16" applyAlignment="1" pivotButton="0" quotePrefix="0" xfId="0">
      <alignment horizontal="center" vertical="center"/>
    </xf>
    <xf numFmtId="49" fontId="25" fillId="5" borderId="16" applyAlignment="1" pivotButton="0" quotePrefix="0" xfId="0">
      <alignment horizontal="left" vertical="center" shrinkToFit="1"/>
    </xf>
    <xf numFmtId="3" fontId="25" fillId="5" borderId="16" applyAlignment="1" pivotButton="0" quotePrefix="0" xfId="0">
      <alignment horizontal="right" vertical="center"/>
    </xf>
    <xf numFmtId="49" fontId="25" fillId="5" borderId="16" applyAlignment="1" pivotButton="0" quotePrefix="0" xfId="0">
      <alignment horizontal="center" vertical="center"/>
    </xf>
    <xf numFmtId="4" fontId="25" fillId="5" borderId="16" applyAlignment="1" pivotButton="0" quotePrefix="0" xfId="0">
      <alignment horizontal="right" vertical="center"/>
    </xf>
    <xf numFmtId="9" fontId="25" fillId="5" borderId="16" applyAlignment="1" pivotButton="0" quotePrefix="0" xfId="0">
      <alignment horizontal="center" vertical="center"/>
    </xf>
    <xf numFmtId="0" fontId="6" fillId="0" borderId="18" pivotButton="0" quotePrefix="0" xfId="0"/>
    <xf numFmtId="0" fontId="6" fillId="0" borderId="17" applyAlignment="1" pivotButton="0" quotePrefix="0" xfId="0">
      <alignment horizontal="right" indent="1"/>
    </xf>
    <xf numFmtId="0" fontId="0" fillId="0" borderId="17" pivotButton="0" quotePrefix="0" xfId="0"/>
    <xf numFmtId="4" fontId="6" fillId="0" borderId="17" applyAlignment="1" pivotButton="0" quotePrefix="0" xfId="0">
      <alignment horizontal="right"/>
    </xf>
    <xf numFmtId="0" fontId="21" fillId="0" borderId="0" applyAlignment="1" pivotButton="0" quotePrefix="0" xfId="0">
      <alignment vertical="top" wrapText="1"/>
    </xf>
    <xf numFmtId="0" fontId="23" fillId="0" borderId="0" applyAlignment="1" pivotButton="0" quotePrefix="0" xfId="0">
      <alignment horizontal="right" indent="1"/>
    </xf>
    <xf numFmtId="9" fontId="13" fillId="0" borderId="0" applyAlignment="1" pivotButton="0" quotePrefix="0" xfId="0">
      <alignment horizontal="center"/>
    </xf>
    <xf numFmtId="4" fontId="23" fillId="0" borderId="0" applyAlignment="1" pivotButton="0" quotePrefix="0" xfId="0">
      <alignment horizontal="right"/>
    </xf>
    <xf numFmtId="165" fontId="26" fillId="0" borderId="0" applyAlignment="1" pivotButton="0" quotePrefix="0" xfId="0">
      <alignment horizontal="left" vertical="top"/>
    </xf>
    <xf numFmtId="0" fontId="6" fillId="0" borderId="0" pivotButton="0" quotePrefix="0" xfId="0"/>
    <xf numFmtId="0" fontId="27" fillId="0" borderId="19" applyAlignment="1" pivotButton="0" quotePrefix="0" xfId="0">
      <alignment vertical="top" indent="1"/>
    </xf>
    <xf numFmtId="0" fontId="0" fillId="0" borderId="20" pivotButton="0" quotePrefix="0" xfId="0"/>
    <xf numFmtId="0" fontId="0" fillId="0" borderId="21" pivotButton="0" quotePrefix="0" xfId="0"/>
    <xf numFmtId="0" fontId="0" fillId="0" borderId="5" pivotButton="0" quotePrefix="0" xfId="0"/>
    <xf numFmtId="0" fontId="0" fillId="0" borderId="7" pivotButton="0" quotePrefix="0" xfId="0"/>
    <xf numFmtId="0" fontId="0" fillId="0" borderId="9" pivotButton="0" quotePrefix="0" xfId="0"/>
    <xf numFmtId="0" fontId="0" fillId="0" borderId="6" pivotButton="0" quotePrefix="0" xfId="0"/>
    <xf numFmtId="0" fontId="0" fillId="0" borderId="8" pivotButton="0" quotePrefix="0" xfId="0"/>
    <xf numFmtId="0" fontId="0" fillId="0" borderId="10" pivotButton="0" quotePrefix="0" xfId="0"/>
    <xf numFmtId="0" fontId="28" fillId="0" borderId="0" applyAlignment="1" pivotButton="0" quotePrefix="0" xfId="0">
      <alignment horizontal="center" vertical="top" wrapText="1"/>
    </xf>
    <xf numFmtId="0" fontId="15" fillId="6" borderId="3" applyAlignment="1" pivotButton="0" quotePrefix="0" xfId="0">
      <alignment horizontal="left" vertical="center"/>
    </xf>
    <xf numFmtId="3" fontId="5" fillId="4" borderId="3" applyAlignment="1" pivotButton="0" quotePrefix="0" xfId="0">
      <alignment horizontal="center" vertical="center"/>
    </xf>
    <xf numFmtId="3" fontId="15" fillId="6" borderId="3" applyAlignment="1" pivotButton="0" quotePrefix="0" xfId="0">
      <alignment horizontal="center" vertical="center"/>
    </xf>
    <xf numFmtId="0" fontId="10" fillId="0" borderId="0" pivotButton="0" quotePrefix="0" xfId="0"/>
    <xf numFmtId="0" fontId="5" fillId="4" borderId="3" applyAlignment="1" pivotButton="0" quotePrefix="0" xfId="0">
      <alignment vertical="center" wrapText="1"/>
    </xf>
    <xf numFmtId="9" fontId="5" fillId="4" borderId="3" applyAlignment="1" pivotButton="0" quotePrefix="0" xfId="0">
      <alignment horizontal="center"/>
    </xf>
    <xf numFmtId="0" fontId="5" fillId="4" borderId="3" applyAlignment="1" pivotButton="0" quotePrefix="0" xfId="0">
      <alignment horizontal="left"/>
    </xf>
    <xf numFmtId="0" fontId="10" fillId="4" borderId="3" pivotButton="0" quotePrefix="0" xfId="0"/>
    <xf numFmtId="0" fontId="5" fillId="4" borderId="3" pivotButton="0" quotePrefix="0" xfId="0"/>
    <xf numFmtId="0" fontId="11" fillId="0" borderId="0" applyAlignment="1" pivotButton="0" quotePrefix="0" xfId="0">
      <alignment vertical="top" wrapText="1"/>
    </xf>
    <xf numFmtId="0" fontId="12" fillId="4" borderId="3" applyAlignment="1" pivotButton="0" quotePrefix="0" xfId="0">
      <alignment horizontal="center"/>
    </xf>
    <xf numFmtId="165" fontId="5" fillId="4" borderId="3" applyAlignment="1" pivotButton="0" quotePrefix="0" xfId="0">
      <alignment vertical="center" wrapText="1"/>
    </xf>
    <xf numFmtId="0" fontId="10" fillId="0" borderId="0" applyAlignment="1" pivotButton="0" quotePrefix="0" xfId="0">
      <alignment vertical="top"/>
    </xf>
    <xf numFmtId="0" fontId="5" fillId="4" borderId="3" applyAlignment="1" pivotButton="0" quotePrefix="0" xfId="0">
      <alignment vertical="top" wrapText="1"/>
    </xf>
    <xf numFmtId="0" fontId="13" fillId="0" borderId="0" pivotButton="0" quotePrefix="0" xfId="0"/>
    <xf numFmtId="165" fontId="13" fillId="6" borderId="3" applyAlignment="1" pivotButton="0" quotePrefix="0" xfId="0">
      <alignment horizontal="left"/>
    </xf>
    <xf numFmtId="1" fontId="13" fillId="6" borderId="3" applyAlignment="1" pivotButton="0" quotePrefix="0" xfId="0">
      <alignment horizontal="left"/>
    </xf>
    <xf numFmtId="49" fontId="13" fillId="6" borderId="3" applyAlignment="1" pivotButton="0" quotePrefix="0" xfId="0">
      <alignment horizontal="left"/>
    </xf>
    <xf numFmtId="0" fontId="0" fillId="8" borderId="0" pivotButton="0" quotePrefix="0" xfId="0"/>
    <xf numFmtId="0" fontId="34" fillId="9" borderId="0" applyAlignment="1" pivotButton="0" quotePrefix="0" xfId="0">
      <alignment vertical="bottom" indent="1"/>
    </xf>
    <xf numFmtId="0" fontId="0" fillId="9" borderId="0" pivotButton="0" quotePrefix="0" xfId="0"/>
    <xf numFmtId="0" fontId="35" fillId="9" borderId="0" applyAlignment="1" pivotButton="0" quotePrefix="0" xfId="0">
      <alignment indent="1"/>
    </xf>
    <xf numFmtId="0" fontId="36" fillId="9" borderId="0" applyAlignment="1" pivotButton="0" quotePrefix="0" xfId="0">
      <alignment vertical="top" wrapText="1" indent="1"/>
    </xf>
    <xf numFmtId="0" fontId="3" fillId="8" borderId="45" pivotButton="0" quotePrefix="0" xfId="0"/>
    <xf numFmtId="0" fontId="0" fillId="8" borderId="45" pivotButton="0" quotePrefix="0" xfId="0"/>
    <xf numFmtId="0" fontId="37" fillId="8" borderId="0" applyAlignment="1" pivotButton="0" quotePrefix="0" xfId="0">
      <alignment vertical="center" wrapText="1"/>
    </xf>
    <xf numFmtId="0" fontId="23" fillId="8" borderId="0" applyAlignment="1" pivotButton="0" quotePrefix="0" xfId="0">
      <alignment vertical="center" wrapText="1"/>
    </xf>
    <xf numFmtId="0" fontId="14" fillId="8" borderId="7" applyAlignment="1" pivotButton="0" quotePrefix="0" xfId="0">
      <alignment vertical="center" wrapText="1" indent="1"/>
    </xf>
    <xf numFmtId="0" fontId="14" fillId="7" borderId="3" applyAlignment="1" pivotButton="0" quotePrefix="0" xfId="0">
      <alignment vertical="center" wrapText="1" indent="1"/>
    </xf>
    <xf numFmtId="0" fontId="14" fillId="10" borderId="3" applyAlignment="1" pivotButton="0" quotePrefix="0" xfId="0">
      <alignment vertical="center" wrapText="1" indent="1"/>
    </xf>
    <xf numFmtId="0" fontId="6" fillId="4" borderId="3" applyAlignment="1" pivotButton="0" quotePrefix="0" xfId="0">
      <alignment vertical="center" wrapText="1" indent="1"/>
    </xf>
    <xf numFmtId="0" fontId="23" fillId="4" borderId="3" applyAlignment="1" pivotButton="0" quotePrefix="0" xfId="0">
      <alignment vertical="center" wrapText="1" indent="1"/>
    </xf>
    <xf numFmtId="0" fontId="23" fillId="3" borderId="3" applyAlignment="1" pivotButton="0" quotePrefix="0" xfId="0">
      <alignment vertical="center" wrapText="1" indent="1"/>
    </xf>
    <xf numFmtId="0" fontId="38" fillId="6" borderId="3" applyAlignment="1" pivotButton="0" quotePrefix="0" xfId="0">
      <alignment horizontal="center" vertical="center" wrapText="1" indent="1"/>
    </xf>
    <xf numFmtId="0" fontId="39" fillId="11" borderId="3" applyAlignment="1" pivotButton="0" quotePrefix="0" xfId="0">
      <alignment horizontal="center" vertical="center" wrapText="1" indent="1"/>
    </xf>
    <xf numFmtId="0" fontId="40" fillId="3" borderId="48" applyAlignment="1" pivotButton="0" quotePrefix="0" xfId="0">
      <alignment horizontal="center" vertical="center"/>
    </xf>
    <xf numFmtId="0" fontId="0" fillId="0" borderId="51" pivotButton="0" quotePrefix="0" xfId="0"/>
    <xf numFmtId="0" fontId="41" fillId="8" borderId="0" applyAlignment="1" pivotButton="0" quotePrefix="0" xfId="0">
      <alignment horizontal="center" vertical="center"/>
    </xf>
    <xf numFmtId="0" fontId="42" fillId="8" borderId="0" applyAlignment="1" pivotButton="0" quotePrefix="0" xfId="0">
      <alignment horizontal="center" vertical="center"/>
    </xf>
    <xf numFmtId="0" fontId="8" fillId="8" borderId="0" applyAlignment="1" pivotButton="0" quotePrefix="0" xfId="0">
      <alignment vertical="top" wrapText="1"/>
    </xf>
  </cellXfs>
  <cellStyles count="1">
    <cellStyle name="Normal" xfId="0" builtinId="0" hidden="0"/>
  </cellStyles>
  <dxfs count="38">
    <dxf>
      <font>
        <color rgb="FF475569"/>
      </font>
      <fill>
        <patternFill patternType="solid">
          <fgColor rgb="FFF1F5F9"/>
          <bgColor rgb="FFF1F5F9"/>
        </patternFill>
      </fill>
    </dxf>
    <dxf>
      <font>
        <color rgb="FF1D4ED8"/>
      </font>
      <fill>
        <patternFill patternType="solid">
          <fgColor rgb="FFDBEAFE"/>
          <bgColor rgb="FFDBEAFE"/>
        </patternFill>
      </fill>
    </dxf>
    <dxf>
      <font>
        <b val="1"/>
        <color rgb="FF92400E"/>
      </font>
      <fill>
        <patternFill patternType="solid">
          <fgColor rgb="FFFEF3C7"/>
          <bgColor rgb="FFFEF3C7"/>
        </patternFill>
      </fill>
    </dxf>
    <dxf>
      <font>
        <b val="1"/>
        <color rgb="FFB91C1C"/>
      </font>
      <fill>
        <patternFill patternType="solid">
          <fgColor rgb="FFFEE2E2"/>
          <bgColor rgb="FFFEE2E2"/>
        </patternFill>
      </fill>
    </dxf>
    <dxf>
      <font>
        <color rgb="FF166534"/>
      </font>
      <fill>
        <patternFill patternType="solid">
          <fgColor rgb="FFDCFCE7"/>
          <bgColor rgb="FFDCFCE7"/>
        </patternFill>
      </fill>
    </dxf>
    <dxf>
      <font>
        <color rgb="FF94A3B8"/>
      </font>
      <fill>
        <patternFill patternType="solid">
          <fgColor rgb="FFF1F5F9"/>
          <bgColor rgb="FFF1F5F9"/>
        </patternFill>
      </fill>
    </dxf>
    <dxf>
      <font>
        <b val="1"/>
        <color rgb="FFB91C1C"/>
      </font>
    </dxf>
    <dxf>
      <numFmt numFmtId="190" formatCode="#,##0&quot; DH&quot;"/>
    </dxf>
    <dxf>
      <numFmt numFmtId="191" formatCode="#,##0&quot; €&quot;"/>
    </dxf>
    <dxf>
      <numFmt numFmtId="192" formatCode="&quot;$&quot;#,##0"/>
    </dxf>
    <dxf>
      <numFmt numFmtId="206" formatCode="#,##0.###"/>
    </dxf>
    <dxf>
      <numFmt numFmtId="207" formatCode="#,##0.###"/>
    </dxf>
    <dxf>
      <numFmt numFmtId="208" formatCode="#,##0.###"/>
    </dxf>
    <dxf>
      <numFmt numFmtId="209" formatCode="0.0%"/>
    </dxf>
    <dxf>
      <numFmt numFmtId="210" formatCode="0.0%"/>
    </dxf>
    <dxf>
      <numFmt numFmtId="211" formatCode="0.0%"/>
    </dxf>
    <dxf>
      <font>
        <strike val="1"/>
        <color rgb="FF94A3B8"/>
      </font>
    </dxf>
    <dxf>
      <numFmt numFmtId="180" formatCode="#,##0.00&quot; DH&quot;"/>
    </dxf>
    <dxf>
      <numFmt numFmtId="181" formatCode="#,##0.00&quot; €&quot;"/>
    </dxf>
    <dxf>
      <numFmt numFmtId="182" formatCode="&quot;$&quot;#,##0.00"/>
    </dxf>
    <dxf>
      <numFmt numFmtId="212" formatCode="#,##0.###"/>
    </dxf>
    <dxf>
      <numFmt numFmtId="213" formatCode="0.0%"/>
    </dxf>
    <dxf>
      <numFmt numFmtId="214" formatCode="0.0%"/>
    </dxf>
    <dxf>
      <font>
        <b val="1"/>
        <color rgb="FFFFFFFF"/>
      </font>
      <fill>
        <patternFill patternType="solid">
          <fgColor rgb="FF1D4ED8"/>
          <bgColor rgb="FF1D4ED8"/>
        </patternFill>
      </fill>
    </dxf>
    <dxf>
      <border>
        <bottom style="thin">
          <color rgb="FFE2E8F0"/>
        </bottom>
      </border>
    </dxf>
    <dxf>
      <font>
        <b val="1"/>
        <color rgb="FFFFFFFF"/>
      </font>
      <numFmt numFmtId="230" formatCode="#,##0.00&quot; DH&quot;"/>
      <fill>
        <patternFill patternType="solid">
          <fgColor rgb="FF1D4ED8"/>
          <bgColor rgb="FF1D4ED8"/>
        </patternFill>
      </fill>
    </dxf>
    <dxf>
      <font>
        <b val="1"/>
        <color rgb="FFFFFFFF"/>
      </font>
      <numFmt numFmtId="231" formatCode="#,##0.00&quot; €&quot;"/>
      <fill>
        <patternFill patternType="solid">
          <fgColor rgb="FF1D4ED8"/>
          <bgColor rgb="FF1D4ED8"/>
        </patternFill>
      </fill>
    </dxf>
    <dxf>
      <font>
        <b val="1"/>
        <color rgb="FFFFFFFF"/>
      </font>
      <numFmt numFmtId="232" formatCode="&quot;$&quot;#,##0.00"/>
      <fill>
        <patternFill patternType="solid">
          <fgColor rgb="FF1D4ED8"/>
          <bgColor rgb="FF1D4ED8"/>
        </patternFill>
      </fill>
    </dxf>
    <dxf>
      <numFmt numFmtId="215" formatCode="#,##0.###"/>
    </dxf>
    <dxf>
      <numFmt numFmtId="216" formatCode="#,##0.###"/>
    </dxf>
    <dxf>
      <numFmt numFmtId="217" formatCode="#,##0.###"/>
    </dxf>
    <dxf>
      <font>
        <b val="1"/>
        <color rgb="FF166534"/>
      </font>
    </dxf>
    <dxf>
      <font>
        <b val="1"/>
        <color rgb="FF92400E"/>
      </font>
    </dxf>
    <dxf>
      <numFmt numFmtId="202" formatCode="#,##0.###"/>
    </dxf>
    <dxf>
      <numFmt numFmtId="203" formatCode="#,##0.###"/>
    </dxf>
    <dxf>
      <numFmt numFmtId="204" formatCode="#,##0.###"/>
    </dxf>
    <dxf>
      <numFmt numFmtId="205" formatCode="0.0%"/>
    </dxf>
    <dxf>
      <numFmt numFmtId="201" formatCode="0.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Commandé et reçu par mois (HT)</a:t>
            </a:r>
          </a:p>
        </rich>
      </tx>
    </title>
    <plotArea>
      <barChart>
        <barDir val="col"/>
        <grouping val="clustered"/>
        <ser>
          <idx val="0"/>
          <order val="0"/>
          <tx>
            <strRef>
              <f>'Tableau de bord'!C12</f>
            </strRef>
          </tx>
          <spPr>
            <a:solidFill xmlns:a="http://schemas.openxmlformats.org/drawingml/2006/main">
              <a:srgbClr val="1D4ED8"/>
            </a:solidFill>
            <a:ln xmlns:a="http://schemas.openxmlformats.org/drawingml/2006/main">
              <a:solidFill>
                <a:srgbClr val="1D4ED8"/>
              </a:solidFill>
              <a:prstDash val="solid"/>
            </a:ln>
          </spPr>
          <cat>
            <numRef>
              <f>'Tableau de bord'!$B$13:$B$24</f>
            </numRef>
          </cat>
          <val>
            <numRef>
              <f>'Tableau de bord'!$C$13:$C$24</f>
            </numRef>
          </val>
        </ser>
        <ser>
          <idx val="1"/>
          <order val="1"/>
          <tx>
            <strRef>
              <f>'Tableau de bord'!E12</f>
            </strRef>
          </tx>
          <spPr>
            <a:solidFill xmlns:a="http://schemas.openxmlformats.org/drawingml/2006/main">
              <a:srgbClr val="93C5FD"/>
            </a:solidFill>
            <a:ln xmlns:a="http://schemas.openxmlformats.org/drawingml/2006/main">
              <a:solidFill>
                <a:srgbClr val="93C5FD"/>
              </a:solidFill>
              <a:prstDash val="solid"/>
            </a:ln>
          </spPr>
          <cat>
            <numRef>
              <f>'Tableau de bord'!$B$13:$B$24</f>
            </numRef>
          </cat>
          <val>
            <numRef>
              <f>'Tableau de bord'!$E$13:$E$24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Lignes par statut</a:t>
            </a:r>
          </a:p>
        </rich>
      </tx>
    </title>
    <plotArea>
      <doughnutChart>
        <varyColors val="1"/>
        <ser>
          <idx val="0"/>
          <order val="0"/>
          <tx>
            <strRef>
              <f>'Tableau de bord'!D28</f>
            </strRef>
          </tx>
          <spPr>
            <a:ln xmlns:a="http://schemas.openxmlformats.org/drawingml/2006/main">
              <a:prstDash val="solid"/>
            </a:ln>
          </spPr>
          <dPt>
            <idx val="0"/>
            <spPr>
              <a:solidFill xmlns:a="http://schemas.openxmlformats.org/drawingml/2006/main">
                <a:srgbClr val="94A3B8"/>
              </a:solidFill>
              <a:ln xmlns:a="http://schemas.openxmlformats.org/drawingml/2006/main">
                <a:solidFill>
                  <a:srgbClr val="FFFFFF"/>
                </a:solidFill>
                <a:prstDash val="solid"/>
              </a:ln>
            </spPr>
          </dPt>
          <dPt>
            <idx val="1"/>
            <spPr>
              <a:solidFill xmlns:a="http://schemas.openxmlformats.org/drawingml/2006/main">
                <a:srgbClr val="60A5FA"/>
              </a:solidFill>
              <a:ln xmlns:a="http://schemas.openxmlformats.org/drawingml/2006/main">
                <a:solidFill>
                  <a:srgbClr val="FFFFFF"/>
                </a:solidFill>
                <a:prstDash val="solid"/>
              </a:ln>
            </spPr>
          </dPt>
          <dPt>
            <idx val="2"/>
            <spPr>
              <a:solidFill xmlns:a="http://schemas.openxmlformats.org/drawingml/2006/main">
                <a:srgbClr val="F59E0B"/>
              </a:solidFill>
              <a:ln xmlns:a="http://schemas.openxmlformats.org/drawingml/2006/main">
                <a:solidFill>
                  <a:srgbClr val="FFFFFF"/>
                </a:solidFill>
                <a:prstDash val="solid"/>
              </a:ln>
            </spPr>
          </dPt>
          <dPt>
            <idx val="3"/>
            <spPr>
              <a:solidFill xmlns:a="http://schemas.openxmlformats.org/drawingml/2006/main">
                <a:srgbClr val="DC2626"/>
              </a:solidFill>
              <a:ln xmlns:a="http://schemas.openxmlformats.org/drawingml/2006/main">
                <a:solidFill>
                  <a:srgbClr val="FFFFFF"/>
                </a:solidFill>
                <a:prstDash val="solid"/>
              </a:ln>
            </spPr>
          </dPt>
          <dPt>
            <idx val="4"/>
            <spPr>
              <a:solidFill xmlns:a="http://schemas.openxmlformats.org/drawingml/2006/main">
                <a:srgbClr val="16A34A"/>
              </a:solidFill>
              <a:ln xmlns:a="http://schemas.openxmlformats.org/drawingml/2006/main">
                <a:solidFill>
                  <a:srgbClr val="FFFFFF"/>
                </a:solidFill>
                <a:prstDash val="solid"/>
              </a:ln>
            </spPr>
          </dPt>
          <dPt>
            <idx val="5"/>
            <spPr>
              <a:solidFill xmlns:a="http://schemas.openxmlformats.org/drawingml/2006/main">
                <a:srgbClr val="CBD5E1"/>
              </a:solidFill>
              <a:ln xmlns:a="http://schemas.openxmlformats.org/drawingml/2006/main">
                <a:solidFill>
                  <a:srgbClr val="FFFFFF"/>
                </a:solidFill>
                <a:prstDash val="solid"/>
              </a:ln>
            </spPr>
          </dPt>
          <dLbls>
            <showVal val="0"/>
            <showCatName val="0"/>
            <showSerName val="0"/>
            <showPercent val="0"/>
            <showLeaderLines val="0"/>
          </dLbls>
          <cat>
            <numRef>
              <f>'Tableau de bord'!$B$29:$B$34</f>
            </numRef>
          </cat>
          <val>
            <numRef>
              <f>'Tableau de bord'!$D$29:$D$34</f>
            </numRef>
          </val>
        </ser>
        <firstSliceAng val="0"/>
        <holeSize val="55"/>
      </doughnutChart>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Achats HT de l'année par fournisseur</a:t>
            </a:r>
          </a:p>
        </rich>
      </tx>
    </title>
    <plotArea>
      <barChart>
        <barDir val="bar"/>
        <grouping val="clustered"/>
        <ser>
          <idx val="0"/>
          <order val="0"/>
          <tx>
            <strRef>
              <f>'Tableau de bord'!K28</f>
            </strRef>
          </tx>
          <spPr>
            <a:solidFill xmlns:a="http://schemas.openxmlformats.org/drawingml/2006/main">
              <a:srgbClr val="1D4ED8"/>
            </a:solidFill>
            <a:ln xmlns:a="http://schemas.openxmlformats.org/drawingml/2006/main">
              <a:solidFill>
                <a:srgbClr val="1D4ED8"/>
              </a:solidFill>
              <a:prstDash val="solid"/>
            </a:ln>
          </spPr>
          <cat>
            <numRef>
              <f>'Tableau de bord'!$H$29:$H$36</f>
            </numRef>
          </cat>
          <val>
            <numRef>
              <f>'Tableau de bord'!$K$29:$K$36</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7</col>
      <colOff>0</colOff>
      <row>10</row>
      <rowOff>0</rowOff>
    </from>
    <ext cx="6300000" cy="266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35</row>
      <rowOff>0</rowOff>
    </from>
    <ext cx="3420000" cy="2376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7</col>
      <colOff>0</colOff>
      <row>37</row>
      <rowOff>0</rowOff>
    </from>
    <ext cx="6300000" cy="2376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9.xml.rels><Relationships xmlns="http://schemas.openxmlformats.org/package/2006/relationships"><Relationship Type="http://schemas.openxmlformats.org/officeDocument/2006/relationships/hyperlink" Target="https://qualis-erp.com/register?utm_source=excel&amp;utm_medium=modele&amp;utm_campaign=bon-de-commande-excel" TargetMode="External" Id="rId1"/><Relationship Type="http://schemas.openxmlformats.org/officeDocument/2006/relationships/hyperlink" Target="https://qualis-erp.com/pricing?utm_source=excel&amp;utm_medium=modele&amp;utm_campaign=bon-de-commande-excel" TargetMode="External" Id="rId2"/><Relationship Type="http://schemas.openxmlformats.org/officeDocument/2006/relationships/hyperlink" Target="https://qualis-erp.com/?utm_source=excel&amp;utm_medium=modele&amp;utm_campaign=bon-de-commande-excel" TargetMode="External" Id="rId3"/></Relationships>
</file>

<file path=xl/worksheets/sheet1.xml><?xml version="1.0" encoding="utf-8"?>
<worksheet xmlns="http://schemas.openxmlformats.org/spreadsheetml/2006/main">
  <sheetPr>
    <tabColor rgb="FF475569"/>
    <outlinePr summaryBelow="1" summaryRight="1"/>
    <pageSetUpPr fitToPage="1"/>
  </sheetPr>
  <dimension ref="A1:E42"/>
  <sheetViews>
    <sheetView showGridLines="0" tabSelected="1" zoomScale="100" workbookViewId="0">
      <selection activeCell="A1" sqref="A1"/>
    </sheetView>
  </sheetViews>
  <sheetFormatPr baseColWidth="8" defaultRowHeight="15"/>
  <cols>
    <col width="3" customWidth="1" min="1" max="1"/>
    <col width="28" customWidth="1" min="2" max="2"/>
    <col width="44" customWidth="1" min="3" max="3"/>
    <col width="44" customWidth="1" min="4" max="4"/>
    <col width="3" customWidth="1" min="5" max="5"/>
  </cols>
  <sheetData>
    <row r="1" ht="38" customHeight="1">
      <c r="A1" s="1" t="n"/>
      <c r="B1" s="2" t="inlineStr">
        <is>
          <t>Bon de commande</t>
        </is>
      </c>
      <c r="C1" s="1" t="n"/>
      <c r="D1" s="1" t="n"/>
      <c r="E1" s="1" t="n"/>
    </row>
    <row r="2" ht="22" customHeight="1">
      <c r="A2" s="3" t="n"/>
      <c r="B2" s="4" t="inlineStr">
        <is>
          <t>Mode d'emploi. Lisez cette page une fois, puis travaillez surtout dans « Commandes » et « Bon de commande ».</t>
        </is>
      </c>
      <c r="C2" s="3" t="n"/>
      <c r="D2" s="3" t="n"/>
      <c r="E2" s="3" t="n"/>
    </row>
    <row r="3" ht="18" customHeight="1"/>
    <row r="5" ht="22" customHeight="1">
      <c r="B5" s="5" t="inlineStr">
        <is>
          <t>Les feuilles du classeur</t>
        </is>
      </c>
      <c r="C5" s="6" t="n"/>
      <c r="D5" s="6" t="n"/>
    </row>
    <row r="6" ht="30" customHeight="1">
      <c r="B6" s="7" t="inlineStr">
        <is>
          <t>→ Tableau de bord</t>
        </is>
      </c>
      <c r="C6" s="8" t="inlineStr">
        <is>
          <t>Achats du mois et de l'année, bons en cours, retards, reste à recevoir et taux de service des fournisseurs.</t>
        </is>
      </c>
      <c r="D6" s="9" t="n"/>
    </row>
    <row r="7" ht="30" customHeight="1">
      <c r="B7" s="10" t="inlineStr">
        <is>
          <t>→ Commandes</t>
        </is>
      </c>
      <c r="C7" s="11" t="inlineStr">
        <is>
          <t>Le registre : une ligne par article commandé. C'est la feuille que vous remplissez au quotidien.</t>
        </is>
      </c>
      <c r="D7" s="12" t="n"/>
    </row>
    <row r="8" ht="30" customHeight="1">
      <c r="B8" s="7" t="inlineStr">
        <is>
          <t>→ Bon de commande</t>
        </is>
      </c>
      <c r="C8" s="8" t="inlineStr">
        <is>
          <t>Le bon de commande prêt à imprimer ou à enregistrer en PDF : choisissez son numéro, tout se remplit.</t>
        </is>
      </c>
      <c r="D8" s="9" t="n"/>
    </row>
    <row r="9" ht="20" customHeight="1">
      <c r="B9" s="10" t="inlineStr">
        <is>
          <t>→ Suivi des réceptions</t>
        </is>
      </c>
      <c r="C9" s="11" t="inlineStr">
        <is>
          <t>Les lignes envoyées et pas encore reçues, les plus en retard en premier.</t>
        </is>
      </c>
      <c r="D9" s="12" t="n"/>
    </row>
    <row r="10" ht="30" customHeight="1">
      <c r="B10" s="7" t="inlineStr">
        <is>
          <t>→ Fournisseurs</t>
        </is>
      </c>
      <c r="C10" s="8" t="inlineStr">
        <is>
          <t>Vos fournisseurs : coordonnées, conditions de paiement, délai, montant acheté et ponctualité.</t>
        </is>
      </c>
      <c r="D10" s="9" t="n"/>
    </row>
    <row r="11" ht="30" customHeight="1">
      <c r="B11" s="10" t="inlineStr">
        <is>
          <t>→ Articles</t>
        </is>
      </c>
      <c r="C11" s="11" t="inlineStr">
        <is>
          <t>Votre catalogue d'achat : prix HT, unité, TVA et fournisseur habituel de chaque article.</t>
        </is>
      </c>
      <c r="D11" s="12" t="n"/>
    </row>
    <row r="12" ht="30" customHeight="1">
      <c r="B12" s="7" t="inlineStr">
        <is>
          <t>→ Paramètres</t>
        </is>
      </c>
      <c r="C12" s="8" t="inlineStr">
        <is>
          <t>Votre entreprise (ICE, IF, RC ou SIRET), devise, numérotation, taux de TVA et listes.</t>
        </is>
      </c>
      <c r="D12" s="9" t="n"/>
    </row>
    <row r="15" ht="22" customHeight="1">
      <c r="B15" s="5" t="inlineStr">
        <is>
          <t>Démarrer en 5 étapes</t>
        </is>
      </c>
      <c r="C15" s="6" t="n"/>
      <c r="D15" s="6" t="n"/>
    </row>
    <row r="16" ht="46" customHeight="1">
      <c r="B16" s="13" t="inlineStr">
        <is>
          <t>1. Paramètres</t>
        </is>
      </c>
      <c r="C16" s="14" t="inlineStr">
        <is>
          <t>Raison sociale, adresse et identifiants légaux (ICE, IF, RC, Patente au Maroc ; SIRET, TVA intracommunautaire, RCS en France), devise, préfixe des numéros de bon et taux de TVA. Ces informations s'impriment en tête et en pied de chaque bon.</t>
        </is>
      </c>
    </row>
    <row r="17" ht="32" customHeight="1">
      <c r="B17" s="13" t="inlineStr">
        <is>
          <t>2. Fournisseurs</t>
        </is>
      </c>
      <c r="C17" s="14" t="inlineStr">
        <is>
          <t>Une ligne par fournisseur : code court (MET01...), raison sociale, adresse, identifiant légal, contact, conditions de paiement et délai de livraison habituel en jours.</t>
        </is>
      </c>
    </row>
    <row r="18" ht="32" customHeight="1">
      <c r="B18" s="13" t="inlineStr">
        <is>
          <t>3. Articles</t>
        </is>
      </c>
      <c r="C18" s="14" t="inlineStr">
        <is>
          <t>Votre catalogue d'achat : référence, désignation, unité, prix d'achat HT et taux de TVA. Le fournisseur habituel est facultatif.</t>
        </is>
      </c>
    </row>
    <row r="19" ht="46" customHeight="1">
      <c r="B19" s="13" t="inlineStr">
        <is>
          <t>4. Commandes</t>
        </is>
      </c>
      <c r="C19" s="14" t="inlineStr">
        <is>
          <t>Une ligne par article commandé. Saisissez le N° de bon (le prochain numéro est proposé en haut de la feuille), la date, le fournisseur, l'article et la quantité. Désignation, prix, TVA, montants et date de livraison prévue se remplissent seuls. Toutes les lignes d'un même bon portent le même N°.</t>
        </is>
      </c>
    </row>
    <row r="20" ht="46" customHeight="1">
      <c r="B20" s="13" t="inlineStr">
        <is>
          <t>5. Imprimer et suivre</t>
        </is>
      </c>
      <c r="C20" s="14" t="inlineStr">
        <is>
          <t>Dans « Bon de commande », choisissez le N° : le bon se remplit, prêt à imprimer ou à exporter en PDF. Saisissez ensuite la date d'envoi, puis les quantités reçues : le statut, les retards et le tableau de bord se mettent à jour.</t>
        </is>
      </c>
    </row>
    <row r="22" ht="22" customHeight="1">
      <c r="B22" s="5" t="inlineStr">
        <is>
          <t>Comment les montants et les statuts sont calculés</t>
        </is>
      </c>
      <c r="C22" s="6" t="n"/>
      <c r="D22" s="6" t="n"/>
    </row>
    <row r="23" ht="18" customHeight="1">
      <c r="B23" s="15" t="inlineStr">
        <is>
          <t>Prix retenu</t>
        </is>
      </c>
      <c r="C23" s="14" t="inlineStr">
        <is>
          <t>Le prix saisi sur la ligne s'il y en a un (prix négocié), sinon le prix HT du catalogue « Articles ».</t>
        </is>
      </c>
    </row>
    <row r="24" ht="32" customHeight="1">
      <c r="B24" s="15" t="inlineStr">
        <is>
          <t>Montant HT</t>
        </is>
      </c>
      <c r="C24" s="14" t="inlineStr">
        <is>
          <t>Quantité x prix retenu x (1 - remise), arrondi au centime. TVA de la ligne = montant HT x taux, arrondie au centime. TTC = HT + TVA.</t>
        </is>
      </c>
    </row>
    <row r="25" ht="32" customHeight="1">
      <c r="B25" s="15" t="inlineStr">
        <is>
          <t>TVA</t>
        </is>
      </c>
      <c r="C25" s="14" t="inlineStr">
        <is>
          <t>Le taux saisi sur la ligne s'il y en a un, sinon celui de l'article. Le bon imprimé additionne la TVA taux par taux (20 %, 14 %...).</t>
        </is>
      </c>
    </row>
    <row r="26" ht="32" customHeight="1">
      <c r="B26" s="15" t="inlineStr">
        <is>
          <t>Livraison prévue</t>
        </is>
      </c>
      <c r="C26" s="14" t="inlineStr">
        <is>
          <t>La date promise par le fournisseur si vous la saisissez, sinon la date de commande + le délai de livraison du fournisseur.</t>
        </is>
      </c>
    </row>
    <row r="27" ht="46" customHeight="1">
      <c r="B27" s="15" t="inlineStr">
        <is>
          <t>Statut</t>
        </is>
      </c>
      <c r="C27" s="14" t="inlineStr">
        <is>
          <t>Brouillon : pas encore envoyé. Envoyé : en attente. Partiel : une partie est reçue. En retard : la date prévue est passée et il reste à recevoir. Reçu : toute la quantité est arrivée. Annulé : « Oui » dans la colonne Annulée.</t>
        </is>
      </c>
    </row>
    <row r="28" ht="32" customHeight="1">
      <c r="B28" s="15" t="inlineStr">
        <is>
          <t>Taux de service</t>
        </is>
      </c>
      <c r="C28" s="14" t="inlineStr">
        <is>
          <t>Parmi les lignes entièrement reçues, la part reçue au plus tard à la date prévue. Une ligne reçue en deux fois compte à la date de la dernière réception.</t>
        </is>
      </c>
    </row>
    <row r="30" ht="22" customHeight="1">
      <c r="B30" s="5" t="inlineStr">
        <is>
          <t>Couleurs et contrôles</t>
        </is>
      </c>
      <c r="C30" s="6" t="n"/>
      <c r="D30" s="6" t="n"/>
    </row>
    <row r="31" ht="32" customHeight="1">
      <c r="B31" s="15" t="inlineStr">
        <is>
          <t>Cellules blanches</t>
        </is>
      </c>
      <c r="C31" s="14" t="inlineStr">
        <is>
          <t>À remplir par vous. Une info-bulle explique chaque colonne et les listes déroulantes évitent les fautes de frappe.</t>
        </is>
      </c>
    </row>
    <row r="32" ht="18" customHeight="1">
      <c r="B32" s="15" t="inlineStr">
        <is>
          <t>Cellules grises</t>
        </is>
      </c>
      <c r="C32" s="14" t="inlineStr">
        <is>
          <t>Calculées par une formule. Ne tapez pas dedans.</t>
        </is>
      </c>
    </row>
    <row r="33" ht="46" customHeight="1">
      <c r="B33" s="15" t="inlineStr">
        <is>
          <t>Colonne Contrôle</t>
        </is>
      </c>
      <c r="C33" s="14" t="inlineStr">
        <is>
          <t>Chaque ligne est vérifiée : N° de bon, date, fournisseur ou article manquant ou inconnu, quantité, prix, remise ou TVA invalide, fournisseur ou date différents sur un même bon, plus de 25 lignes, réception sans date, quantité reçue supérieure à la commande. Une ligne correcte affiche OK.</t>
        </is>
      </c>
    </row>
    <row r="35" ht="22" customHeight="1">
      <c r="B35" s="5" t="inlineStr">
        <is>
          <t>Bonnes pratiques et limites</t>
        </is>
      </c>
      <c r="C35" s="6" t="n"/>
      <c r="D35" s="6" t="n"/>
    </row>
    <row r="36" ht="32" customHeight="1">
      <c r="B36" s="15" t="inlineStr">
        <is>
          <t>Un bon = un fournisseur</t>
        </is>
      </c>
      <c r="C36" s="14" t="inlineStr">
        <is>
          <t>Toutes les lignes d'un même N° doivent avoir le même fournisseur et la même date. Le contrôle le signale sinon.</t>
        </is>
      </c>
    </row>
    <row r="37" ht="18" customHeight="1">
      <c r="B37" s="15" t="inlineStr">
        <is>
          <t>Réception en plusieurs fois</t>
        </is>
      </c>
      <c r="C37" s="14" t="inlineStr">
        <is>
          <t>La colonne Qté reçue contient le cumul reçu. Mettez à jour la quantité et la date à chaque livraison.</t>
        </is>
      </c>
    </row>
    <row r="38" ht="32" customHeight="1">
      <c r="B38" s="15" t="inlineStr">
        <is>
          <t>Logo</t>
        </is>
      </c>
      <c r="C38" s="14" t="inlineStr">
        <is>
          <t>Pour ajouter votre logo, ouvrez « Bon de commande », menu Insertion &gt; Image, et placez-le en haut à gauche, au-dessus du nom de l'entreprise.</t>
        </is>
      </c>
    </row>
    <row r="39" ht="32" customHeight="1">
      <c r="B39" s="15" t="inlineStr">
        <is>
          <t>Capacité</t>
        </is>
      </c>
      <c r="C39" s="14" t="inlineStr">
        <is>
          <t>2000 lignes de commande, 300 fournisseurs, 1000 articles, 25 lignes par bon imprimé, 150 lignes dans le suivi des réceptions, 8 taux de TVA.</t>
        </is>
      </c>
    </row>
    <row r="40" ht="32" customHeight="1">
      <c r="B40" s="15" t="inlineStr">
        <is>
          <t>Compatibilité</t>
        </is>
      </c>
      <c r="C40" s="14" t="inlineStr">
        <is>
          <t>Excel 2010 et suivants (Windows, Mac), Excel en ligne, LibreOffice Calc et Google Sheets. Aucune macro, aucune feuille protégée.</t>
        </is>
      </c>
    </row>
    <row r="42">
      <c r="B42" s="16" t="inlineStr">
        <is>
          <t>Saisie</t>
        </is>
      </c>
      <c r="C42" s="17" t="inlineStr">
        <is>
          <t>Calcul auto</t>
        </is>
      </c>
    </row>
  </sheetData>
  <mergeCells count="26">
    <mergeCell ref="C6:D6"/>
    <mergeCell ref="C24:D24"/>
    <mergeCell ref="C33:D33"/>
    <mergeCell ref="C26:D26"/>
    <mergeCell ref="C20:D20"/>
    <mergeCell ref="C10:D10"/>
    <mergeCell ref="C16:D16"/>
    <mergeCell ref="C25:D25"/>
    <mergeCell ref="C40:D40"/>
    <mergeCell ref="C9:D9"/>
    <mergeCell ref="C31:D31"/>
    <mergeCell ref="C12:D12"/>
    <mergeCell ref="C11:D11"/>
    <mergeCell ref="C27:D27"/>
    <mergeCell ref="C36:D36"/>
    <mergeCell ref="C23:D23"/>
    <mergeCell ref="C17:D17"/>
    <mergeCell ref="C39:D39"/>
    <mergeCell ref="C8:D8"/>
    <mergeCell ref="C32:D32"/>
    <mergeCell ref="C7:D7"/>
    <mergeCell ref="C38:D38"/>
    <mergeCell ref="C19:D19"/>
    <mergeCell ref="C37:D37"/>
    <mergeCell ref="C28:D28"/>
    <mergeCell ref="C18:D18"/>
  </mergeCells>
  <hyperlinks>
    <hyperlink ref="B6" location="'Tableau de bord'!A1"/>
    <hyperlink ref="B7" location="'Commandes'!A1"/>
    <hyperlink ref="B8" location="'Bon de commande'!A1"/>
    <hyperlink ref="B9" location="'Suivi des réceptions'!A1"/>
    <hyperlink ref="B10" location="'Fournisseurs'!A1"/>
    <hyperlink ref="B11" location="'Articles'!A1"/>
    <hyperlink ref="B12" location="'Paramètres'!A1"/>
    <hyperlink ref="B16" location="'Paramètres'!A1"/>
    <hyperlink ref="B17" location="'Fournisseurs'!A1"/>
    <hyperlink ref="B18" location="'Articles'!A1"/>
    <hyperlink ref="B19" location="'Commandes'!A1"/>
    <hyperlink ref="B20" location="'Bon de commande'!A1"/>
  </hyperlink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A1:R64"/>
  <sheetViews>
    <sheetView showGridLines="0" tabSelected="0" zoomScale="100" workbookViewId="0">
      <selection activeCell="A1" sqref="A1"/>
    </sheetView>
  </sheetViews>
  <sheetFormatPr baseColWidth="8" defaultRowHeight="15"/>
  <cols>
    <col width="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2" customWidth="1" min="17" max="17"/>
    <col hidden="1" width="6" customWidth="1" min="18" max="18"/>
  </cols>
  <sheetData>
    <row r="1" ht="38" customHeight="1">
      <c r="A1" s="1" t="n"/>
      <c r="B1" s="2" t="str">
        <f>"Tableau de bord des achats"&amp;IF(p_company&lt;&gt;""," : "&amp;p_company,"")</f>
        <v>Tableau de bord des achats : Atelier Exemple SARL</v>
      </c>
      <c r="C1" s="1" t="n"/>
      <c r="D1" s="1" t="n"/>
      <c r="E1" s="1" t="n"/>
      <c r="F1" s="1" t="n"/>
      <c r="G1" s="1" t="n"/>
      <c r="H1" s="1" t="n"/>
      <c r="I1" s="1" t="n"/>
      <c r="J1" s="1" t="n"/>
      <c r="K1" s="1" t="n"/>
      <c r="L1" s="1" t="n"/>
      <c r="M1" s="1" t="n"/>
      <c r="N1" s="1" t="n"/>
      <c r="O1" s="1" t="n"/>
      <c r="P1" s="18" t="inlineStr">
        <is>
          <t>⌂ Mode d'emploi</t>
        </is>
      </c>
    </row>
    <row r="2" ht="22" customHeight="1">
      <c r="A2" s="3" t="n"/>
      <c r="B2" s="4" t="inlineStr">
        <is>
          <t>Tout se calcule depuis « Commandes », « Fournisseurs » et « Articles ».</t>
        </is>
      </c>
      <c r="C2" s="3" t="n"/>
      <c r="D2" s="3" t="n"/>
      <c r="E2" s="3" t="n"/>
      <c r="F2" s="3" t="n"/>
      <c r="G2" s="3" t="n"/>
      <c r="H2" s="3" t="n"/>
      <c r="I2" s="3" t="n"/>
      <c r="J2" s="3" t="n"/>
      <c r="K2" s="3" t="n"/>
      <c r="L2" s="3" t="n"/>
      <c r="M2" s="3" t="n"/>
      <c r="N2" s="3" t="n"/>
      <c r="O2" s="3" t="n"/>
      <c r="P2" s="3" t="n"/>
    </row>
    <row r="3" ht="18" customHeight="1">
      <c r="J3" s="19" t="inlineStr">
        <is>
          <t>Année affichée</t>
        </is>
      </c>
      <c r="M3" s="20" t="n"/>
      <c r="N3" s="19" t="inlineStr">
        <is>
          <t>Situation au</t>
        </is>
      </c>
      <c r="P3" s="21">
        <f>p_today</f>
        <v>46331.0</v>
      </c>
    </row>
    <row r="5" ht="18" customHeight="1">
      <c r="B5" s="22" t="inlineStr">
        <is>
          <t>ACHATS DE L'ANNÉE (HT)</t>
        </is>
      </c>
      <c r="C5" s="23" t="n"/>
      <c r="D5" s="24" t="n"/>
      <c r="E5" s="25" t="inlineStr">
        <is>
          <t>BONS EN COURS</t>
        </is>
      </c>
      <c r="F5" s="23" t="n"/>
      <c r="G5" s="24" t="n"/>
      <c r="H5" s="26" t="inlineStr">
        <is>
          <t>LIGNES EN RETARD</t>
        </is>
      </c>
      <c r="I5" s="23" t="n"/>
      <c r="J5" s="24" t="n"/>
      <c r="K5" s="27" t="inlineStr">
        <is>
          <t>RESTE À RECEVOIR (HT)</t>
        </is>
      </c>
      <c r="L5" s="23" t="n"/>
      <c r="M5" s="24" t="n"/>
      <c r="N5" s="28" t="inlineStr">
        <is>
          <t>TAUX DE SERVICE</t>
        </is>
      </c>
      <c r="O5" s="23" t="n"/>
      <c r="P5" s="24" t="n"/>
    </row>
    <row r="6" ht="32" customHeight="1">
      <c r="B6" s="29">
        <f>SUMIFS(po_ht,po_status,"&lt;&gt;Annulé",po_date,"&gt;="&amp;p_y0,po_date,"&lt;"&amp;p_y1)</f>
        <v>205330.75</v>
      </c>
      <c r="C6" s="30" t="n"/>
      <c r="D6" s="31" t="n"/>
      <c r="E6" s="32">
        <f>SUM(po_openfirst)</f>
        <v>7.0</v>
      </c>
      <c r="F6" s="30" t="n"/>
      <c r="G6" s="31" t="n"/>
      <c r="H6" s="33">
        <f>COUNTIF(po_status,"En retard")</f>
        <v>4.0</v>
      </c>
      <c r="I6" s="30" t="n"/>
      <c r="J6" s="31" t="n"/>
      <c r="K6" s="34">
        <f>SUM(po_restht)</f>
        <v>61736.6</v>
      </c>
      <c r="L6" s="30" t="n"/>
      <c r="M6" s="31" t="n"/>
      <c r="N6" s="35">
        <f>IF(COUNTIFS(po_ontime,"&gt;=0",po_date,"&gt;="&amp;p_y0,po_date,"&lt;"&amp;p_y1)=0,0,COUNTIFS(po_ontime,1,po_date,"&gt;="&amp;p_y0,po_date,"&lt;"&amp;p_y1)/COUNTIFS(po_ontime,"&gt;=0",po_date,"&gt;="&amp;p_y0,po_date,"&lt;"&amp;p_y1))</f>
        <v>0.708333333333333</v>
      </c>
      <c r="O6" s="30" t="n"/>
      <c r="P6" s="31" t="n"/>
    </row>
    <row r="7" ht="16" customHeight="1">
      <c r="B7" s="36" t="inlineStr">
        <is>
          <t>Bons datés de l'année, hors annulés</t>
        </is>
      </c>
      <c r="C7" s="9" t="n"/>
      <c r="D7" s="37" t="n"/>
      <c r="E7" s="38" t="inlineStr">
        <is>
          <t>Envoyés, pas encore tout reçus</t>
        </is>
      </c>
      <c r="F7" s="9" t="n"/>
      <c r="G7" s="37" t="n"/>
      <c r="H7" s="39" t="inlineStr">
        <is>
          <t>Date prévue dépassée</t>
        </is>
      </c>
      <c r="I7" s="9" t="n"/>
      <c r="J7" s="37" t="n"/>
      <c r="K7" s="40" t="inlineStr">
        <is>
          <t>Sur les bons envoyés</t>
        </is>
      </c>
      <c r="L7" s="9" t="n"/>
      <c r="M7" s="37" t="n"/>
      <c r="N7" s="41" t="inlineStr">
        <is>
          <t>Lignes reçues à temps, année</t>
        </is>
      </c>
      <c r="O7" s="9" t="n"/>
      <c r="P7" s="37" t="n"/>
    </row>
    <row r="9">
      <c r="B9" s="42" t="str">
        <f>IF(COUNTIF(po_check,"?*")-COUNTIF(po_check,"OK")&gt;0,COUNTIF(po_check,"?*")-COUNTIF(po_check,"OK")&amp;" ligne(s) signalée(s) dans la colonne Contrôle de « Commandes » : filtrez-la pour les corriger.","Toutes les lignes saisies sont valides.")</f>
        <v>Toutes les lignes saisies sont valides.</v>
      </c>
    </row>
    <row r="11" ht="22" customHeight="1">
      <c r="B11" s="5" t="inlineStr">
        <is>
          <t>Achats par mois</t>
        </is>
      </c>
      <c r="C11" s="6" t="n"/>
      <c r="D11" s="6" t="n"/>
      <c r="E11" s="43" t="str">
        <f>"Année "&amp;p_year</f>
        <v>Année 2026</v>
      </c>
      <c r="F11" s="44" t="n"/>
    </row>
    <row r="12" ht="20" customHeight="1">
      <c r="B12" s="45" t="inlineStr">
        <is>
          <t>Mois</t>
        </is>
      </c>
      <c r="C12" s="45" t="inlineStr">
        <is>
          <t>Commandé HT</t>
        </is>
      </c>
      <c r="D12" s="46" t="n"/>
      <c r="E12" s="45" t="inlineStr">
        <is>
          <t>Reçu HT</t>
        </is>
      </c>
      <c r="F12" s="46" t="n"/>
    </row>
    <row r="13">
      <c r="B13" s="47" t="inlineStr">
        <is>
          <t>Janvier</t>
        </is>
      </c>
      <c r="C13" s="48">
        <f>SUMIFS(po_ht,po_status,"&lt;&gt;Annulé",po_date,"&gt;="&amp;DATE(p_year,1,1),po_date,"&lt;"&amp;DATE(p_year,2,1))</f>
        <v>0.0</v>
      </c>
      <c r="D13" s="48" t="n"/>
      <c r="E13" s="48">
        <f>SUMIFS(po_rcvht,po_rcvdate,"&gt;="&amp;DATE(p_year,1,1),po_rcvdate,"&lt;"&amp;DATE(p_year,2,1))</f>
        <v>0.0</v>
      </c>
      <c r="F13" s="48" t="n"/>
    </row>
    <row r="14">
      <c r="B14" s="47" t="inlineStr">
        <is>
          <t>Février</t>
        </is>
      </c>
      <c r="C14" s="48">
        <f>SUMIFS(po_ht,po_status,"&lt;&gt;Annulé",po_date,"&gt;="&amp;DATE(p_year,2,1),po_date,"&lt;"&amp;DATE(p_year,3,1))</f>
        <v>0.0</v>
      </c>
      <c r="D14" s="48" t="n"/>
      <c r="E14" s="48">
        <f>SUMIFS(po_rcvht,po_rcvdate,"&gt;="&amp;DATE(p_year,2,1),po_rcvdate,"&lt;"&amp;DATE(p_year,3,1))</f>
        <v>0.0</v>
      </c>
      <c r="F14" s="48" t="n"/>
    </row>
    <row r="15">
      <c r="B15" s="47" t="inlineStr">
        <is>
          <t>Mars</t>
        </is>
      </c>
      <c r="C15" s="48">
        <f>SUMIFS(po_ht,po_status,"&lt;&gt;Annulé",po_date,"&gt;="&amp;DATE(p_year,3,1),po_date,"&lt;"&amp;DATE(p_year,4,1))</f>
        <v>0.0</v>
      </c>
      <c r="D15" s="48" t="n"/>
      <c r="E15" s="48">
        <f>SUMIFS(po_rcvht,po_rcvdate,"&gt;="&amp;DATE(p_year,3,1),po_rcvdate,"&lt;"&amp;DATE(p_year,4,1))</f>
        <v>0.0</v>
      </c>
      <c r="F15" s="48" t="n"/>
    </row>
    <row r="16">
      <c r="B16" s="47" t="inlineStr">
        <is>
          <t>Avril</t>
        </is>
      </c>
      <c r="C16" s="48">
        <f>SUMIFS(po_ht,po_status,"&lt;&gt;Annulé",po_date,"&gt;="&amp;DATE(p_year,4,1),po_date,"&lt;"&amp;DATE(p_year,5,1))</f>
        <v>0.0</v>
      </c>
      <c r="D16" s="48" t="n"/>
      <c r="E16" s="48">
        <f>SUMIFS(po_rcvht,po_rcvdate,"&gt;="&amp;DATE(p_year,4,1),po_rcvdate,"&lt;"&amp;DATE(p_year,5,1))</f>
        <v>0.0</v>
      </c>
      <c r="F16" s="48" t="n"/>
    </row>
    <row r="17">
      <c r="B17" s="47" t="inlineStr">
        <is>
          <t>Mai</t>
        </is>
      </c>
      <c r="C17" s="48">
        <f>SUMIFS(po_ht,po_status,"&lt;&gt;Annulé",po_date,"&gt;="&amp;DATE(p_year,5,1),po_date,"&lt;"&amp;DATE(p_year,6,1))</f>
        <v>0.0</v>
      </c>
      <c r="D17" s="48" t="n"/>
      <c r="E17" s="48">
        <f>SUMIFS(po_rcvht,po_rcvdate,"&gt;="&amp;DATE(p_year,5,1),po_rcvdate,"&lt;"&amp;DATE(p_year,6,1))</f>
        <v>0.0</v>
      </c>
      <c r="F17" s="48" t="n"/>
    </row>
    <row r="18">
      <c r="B18" s="47" t="inlineStr">
        <is>
          <t>Juin</t>
        </is>
      </c>
      <c r="C18" s="48">
        <f>SUMIFS(po_ht,po_status,"&lt;&gt;Annulé",po_date,"&gt;="&amp;DATE(p_year,6,1),po_date,"&lt;"&amp;DATE(p_year,7,1))</f>
        <v>0.0</v>
      </c>
      <c r="D18" s="48" t="n"/>
      <c r="E18" s="48">
        <f>SUMIFS(po_rcvht,po_rcvdate,"&gt;="&amp;DATE(p_year,6,1),po_rcvdate,"&lt;"&amp;DATE(p_year,7,1))</f>
        <v>0.0</v>
      </c>
      <c r="F18" s="48" t="n"/>
    </row>
    <row r="19">
      <c r="B19" s="47" t="inlineStr">
        <is>
          <t>Juillet</t>
        </is>
      </c>
      <c r="C19" s="48">
        <f>SUMIFS(po_ht,po_status,"&lt;&gt;Annulé",po_date,"&gt;="&amp;DATE(p_year,7,1),po_date,"&lt;"&amp;DATE(p_year,8,1))</f>
        <v>0.0</v>
      </c>
      <c r="D19" s="48" t="n"/>
      <c r="E19" s="48">
        <f>SUMIFS(po_rcvht,po_rcvdate,"&gt;="&amp;DATE(p_year,7,1),po_rcvdate,"&lt;"&amp;DATE(p_year,8,1))</f>
        <v>0.0</v>
      </c>
      <c r="F19" s="48" t="n"/>
    </row>
    <row r="20">
      <c r="B20" s="47" t="inlineStr">
        <is>
          <t>Août</t>
        </is>
      </c>
      <c r="C20" s="48">
        <f>SUMIFS(po_ht,po_status,"&lt;&gt;Annulé",po_date,"&gt;="&amp;DATE(p_year,8,1),po_date,"&lt;"&amp;DATE(p_year,9,1))</f>
        <v>0.0</v>
      </c>
      <c r="D20" s="48" t="n"/>
      <c r="E20" s="48">
        <f>SUMIFS(po_rcvht,po_rcvdate,"&gt;="&amp;DATE(p_year,8,1),po_rcvdate,"&lt;"&amp;DATE(p_year,9,1))</f>
        <v>0.0</v>
      </c>
      <c r="F20" s="48" t="n"/>
    </row>
    <row r="21">
      <c r="B21" s="47" t="inlineStr">
        <is>
          <t>Septembre</t>
        </is>
      </c>
      <c r="C21" s="48">
        <f>SUMIFS(po_ht,po_status,"&lt;&gt;Annulé",po_date,"&gt;="&amp;DATE(p_year,9,1),po_date,"&lt;"&amp;DATE(p_year,10,1))</f>
        <v>58842.75</v>
      </c>
      <c r="D21" s="48" t="n"/>
      <c r="E21" s="48">
        <f>SUMIFS(po_rcvht,po_rcvdate,"&gt;="&amp;DATE(p_year,9,1),po_rcvdate,"&lt;"&amp;DATE(p_year,10,1))</f>
        <v>46282.75</v>
      </c>
      <c r="F21" s="48" t="n"/>
    </row>
    <row r="22">
      <c r="B22" s="47" t="inlineStr">
        <is>
          <t>Octobre</t>
        </is>
      </c>
      <c r="C22" s="48">
        <f>SUMIFS(po_ht,po_status,"&lt;&gt;Annulé",po_date,"&gt;="&amp;DATE(p_year,10,1),po_date,"&lt;"&amp;DATE(p_year,11,1))</f>
        <v>105508.0</v>
      </c>
      <c r="D22" s="48" t="n"/>
      <c r="E22" s="48">
        <f>SUMIFS(po_rcvht,po_rcvdate,"&gt;="&amp;DATE(p_year,10,1),po_rcvdate,"&lt;"&amp;DATE(p_year,11,1))</f>
        <v>67950.0</v>
      </c>
      <c r="F22" s="48" t="n"/>
    </row>
    <row r="23">
      <c r="B23" s="47" t="inlineStr">
        <is>
          <t>Novembre</t>
        </is>
      </c>
      <c r="C23" s="48">
        <f>SUMIFS(po_ht,po_status,"&lt;&gt;Annulé",po_date,"&gt;="&amp;DATE(p_year,11,1),po_date,"&lt;"&amp;DATE(p_year,12,1))</f>
        <v>40980.0</v>
      </c>
      <c r="D23" s="48" t="n"/>
      <c r="E23" s="48">
        <f>SUMIFS(po_rcvht,po_rcvdate,"&gt;="&amp;DATE(p_year,11,1),po_rcvdate,"&lt;"&amp;DATE(p_year,12,1))</f>
        <v>10301.4</v>
      </c>
      <c r="F23" s="48" t="n"/>
    </row>
    <row r="24">
      <c r="B24" s="47" t="inlineStr">
        <is>
          <t>Décembre</t>
        </is>
      </c>
      <c r="C24" s="48">
        <f>SUMIFS(po_ht,po_status,"&lt;&gt;Annulé",po_date,"&gt;="&amp;DATE(p_year,12,1),po_date,"&lt;"&amp;DATE(p_year,13,1))</f>
        <v>0.0</v>
      </c>
      <c r="D24" s="48" t="n"/>
      <c r="E24" s="48">
        <f>SUMIFS(po_rcvht,po_rcvdate,"&gt;="&amp;DATE(p_year,12,1),po_rcvdate,"&lt;"&amp;DATE(p_year,13,1))</f>
        <v>0.0</v>
      </c>
      <c r="F24" s="48" t="n"/>
    </row>
    <row r="25">
      <c r="B25" s="49" t="inlineStr">
        <is>
          <t>Total</t>
        </is>
      </c>
      <c r="C25" s="50">
        <f>SUM(C13:C24)</f>
        <v>205330.75</v>
      </c>
      <c r="D25" s="50" t="n"/>
      <c r="E25" s="50">
        <f>SUM(E13:E24)</f>
        <v>124534.15</v>
      </c>
      <c r="F25" s="50" t="n"/>
    </row>
    <row r="27" ht="22" customHeight="1">
      <c r="B27" s="5" t="inlineStr">
        <is>
          <t>Où en sont les lignes</t>
        </is>
      </c>
      <c r="C27" s="6" t="n"/>
      <c r="D27" s="6" t="n"/>
      <c r="E27" s="6" t="n"/>
      <c r="F27" s="6" t="n"/>
      <c r="H27" s="5" t="inlineStr">
        <is>
          <t>Principaux fournisseurs de l'année (les 8 premiers)</t>
        </is>
      </c>
      <c r="I27" s="6" t="n"/>
      <c r="J27" s="6" t="n"/>
      <c r="K27" s="6" t="n"/>
      <c r="L27" s="6" t="n"/>
      <c r="M27" s="6" t="n"/>
      <c r="N27" s="6" t="n"/>
      <c r="O27" s="6" t="n"/>
      <c r="P27" s="6" t="n"/>
    </row>
    <row r="28" ht="20" customHeight="1">
      <c r="B28" s="45" t="inlineStr">
        <is>
          <t>Statut</t>
        </is>
      </c>
      <c r="C28" s="46" t="n"/>
      <c r="D28" s="45" t="inlineStr">
        <is>
          <t>Lignes</t>
        </is>
      </c>
      <c r="E28" s="45" t="inlineStr">
        <is>
          <t>Montant HT</t>
        </is>
      </c>
      <c r="F28" s="46" t="n"/>
      <c r="H28" s="45" t="inlineStr">
        <is>
          <t>Fournisseur</t>
        </is>
      </c>
      <c r="I28" s="45" t="n"/>
      <c r="J28" s="45" t="n"/>
      <c r="K28" s="45" t="inlineStr">
        <is>
          <t>Achats HT</t>
        </is>
      </c>
      <c r="L28" s="45" t="n"/>
      <c r="M28" s="45" t="inlineStr">
        <is>
          <t>En retard</t>
        </is>
      </c>
      <c r="N28" s="45" t="inlineStr">
        <is>
          <t>Taux de service</t>
        </is>
      </c>
      <c r="O28" s="45" t="n"/>
      <c r="P28" s="45" t="inlineStr">
        <is>
          <t>Bons</t>
        </is>
      </c>
    </row>
    <row r="29">
      <c r="B29" s="47" t="inlineStr">
        <is>
          <t>Brouillon</t>
        </is>
      </c>
      <c r="C29" s="47" t="n"/>
      <c r="D29" s="51">
        <f>COUNTIF(po_status,"Brouillon")</f>
        <v>3.0</v>
      </c>
      <c r="E29" s="52">
        <f>SUMIFS(po_ht,po_status,"Brouillon")</f>
        <v>19060.0</v>
      </c>
      <c r="F29" s="53" t="n"/>
      <c r="H29" s="54" t="str">
        <f>IF($R29="","",INDEX(sup_name,$R29)&amp;"")</f>
        <v>Métaux Atlas SARL</v>
      </c>
      <c r="I29" s="51" t="n"/>
      <c r="J29" s="51" t="n"/>
      <c r="K29" s="48">
        <f>IF($R29="","",INDEX(sup_year,$R29))</f>
        <v>67468.0</v>
      </c>
      <c r="L29" s="51" t="n"/>
      <c r="M29" s="51">
        <f>IF($R29="","",INDEX(sup_late,$R29))</f>
        <v>0.0</v>
      </c>
      <c r="N29" s="55">
        <f>IF($R29="","",INDEX(sup_rate,$R29))</f>
        <v>1.0</v>
      </c>
      <c r="O29" s="51" t="n"/>
      <c r="P29" s="51">
        <f>IF($R29="","",COUNTIFS(po_sup,INDEX(sup_code,$R29),po_first,1,po_date,"&gt;="&amp;p_y0,po_date,"&lt;"&amp;p_y1))</f>
        <v>3.0</v>
      </c>
      <c r="R29">
        <f>IFERROR(MATCH(LARGE(sup_key,1),sup_key,0),"")</f>
        <v>1.0</v>
      </c>
    </row>
    <row r="30">
      <c r="B30" s="47" t="inlineStr">
        <is>
          <t>Envoyé</t>
        </is>
      </c>
      <c r="C30" s="47" t="n"/>
      <c r="D30" s="51">
        <f>COUNTIF(po_status,"Envoyé")</f>
        <v>8.0</v>
      </c>
      <c r="E30" s="52">
        <f>SUMIFS(po_ht,po_status,"Envoyé")</f>
        <v>32799.0</v>
      </c>
      <c r="F30" s="53" t="n"/>
      <c r="H30" s="54" t="str">
        <f>IF($R30="","",INDEX(sup_name,$R30)&amp;"")</f>
        <v>Tubes et Profilés du Nord</v>
      </c>
      <c r="I30" s="51" t="n"/>
      <c r="J30" s="51" t="n"/>
      <c r="K30" s="48">
        <f>IF($R30="","",INDEX(sup_year,$R30))</f>
        <v>52240.0</v>
      </c>
      <c r="L30" s="51" t="n"/>
      <c r="M30" s="51">
        <f>IF($R30="","",INDEX(sup_late,$R30))</f>
        <v>2.0</v>
      </c>
      <c r="N30" s="55">
        <f>IF($R30="","",INDEX(sup_rate,$R30))</f>
        <v>1.0</v>
      </c>
      <c r="O30" s="51" t="n"/>
      <c r="P30" s="51">
        <f>IF($R30="","",COUNTIFS(po_sup,INDEX(sup_code,$R30),po_first,1,po_date,"&gt;="&amp;p_y0,po_date,"&lt;"&amp;p_y1))</f>
        <v>3.0</v>
      </c>
      <c r="R30">
        <f>IFERROR(MATCH(LARGE(sup_key,2),sup_key,0),"")</f>
        <v>2.0</v>
      </c>
    </row>
    <row r="31">
      <c r="B31" s="47" t="inlineStr">
        <is>
          <t>Partiel</t>
        </is>
      </c>
      <c r="C31" s="47" t="n"/>
      <c r="D31" s="51">
        <f>COUNTIF(po_status,"Partiel")</f>
        <v>1.0</v>
      </c>
      <c r="E31" s="52">
        <f>SUMIFS(po_ht,po_status,"Partiel")</f>
        <v>17169.0</v>
      </c>
      <c r="F31" s="53" t="n"/>
      <c r="H31" s="54" t="str">
        <f>IF($R31="","",INDEX(sup_name,$R31)&amp;"")</f>
        <v>Peintures Oasis Industrie</v>
      </c>
      <c r="I31" s="51" t="n"/>
      <c r="J31" s="51" t="n"/>
      <c r="K31" s="48">
        <f>IF($R31="","",INDEX(sup_year,$R31))</f>
        <v>28260.0</v>
      </c>
      <c r="L31" s="51" t="n"/>
      <c r="M31" s="51">
        <f>IF($R31="","",INDEX(sup_late,$R31))</f>
        <v>0.0</v>
      </c>
      <c r="N31" s="55">
        <f>IF($R31="","",INDEX(sup_rate,$R31))</f>
        <v>0.0</v>
      </c>
      <c r="O31" s="51" t="n"/>
      <c r="P31" s="51">
        <f>IF($R31="","",COUNTIFS(po_sup,INDEX(sup_code,$R31),po_first,1,po_date,"&gt;="&amp;p_y0,po_date,"&lt;"&amp;p_y1))</f>
        <v>2.0</v>
      </c>
      <c r="R31">
        <f>IFERROR(MATCH(LARGE(sup_key,3),sup_key,0),"")</f>
        <v>6.0</v>
      </c>
    </row>
    <row r="32">
      <c r="B32" s="47" t="inlineStr">
        <is>
          <t>En retard</t>
        </is>
      </c>
      <c r="C32" s="47" t="n"/>
      <c r="D32" s="51">
        <f>COUNTIF(po_status,"En retard")</f>
        <v>4.0</v>
      </c>
      <c r="E32" s="52">
        <f>SUMIFS(po_ht,po_status,"En retard")</f>
        <v>25270.0</v>
      </c>
      <c r="F32" s="53" t="n"/>
      <c r="H32" s="54" t="str">
        <f>IF($R32="","",INDEX(sup_name,$R32)&amp;"")</f>
        <v>Roulements Express</v>
      </c>
      <c r="I32" s="51" t="n"/>
      <c r="J32" s="51" t="n"/>
      <c r="K32" s="48">
        <f>IF($R32="","",INDEX(sup_year,$R32))</f>
        <v>18420.0</v>
      </c>
      <c r="L32" s="51" t="n"/>
      <c r="M32" s="51">
        <f>IF($R32="","",INDEX(sup_late,$R32))</f>
        <v>1.0</v>
      </c>
      <c r="N32" s="55">
        <f>IF($R32="","",INDEX(sup_rate,$R32))</f>
        <v>1.0</v>
      </c>
      <c r="O32" s="51" t="n"/>
      <c r="P32" s="51">
        <f>IF($R32="","",COUNTIFS(po_sup,INDEX(sup_code,$R32),po_first,1,po_date,"&gt;="&amp;p_y0,po_date,"&lt;"&amp;p_y1))</f>
        <v>2.0</v>
      </c>
      <c r="R32">
        <f>IFERROR(MATCH(LARGE(sup_key,4),sup_key,0),"")</f>
        <v>4.0</v>
      </c>
    </row>
    <row r="33">
      <c r="B33" s="47" t="inlineStr">
        <is>
          <t>Reçu</t>
        </is>
      </c>
      <c r="C33" s="47" t="n"/>
      <c r="D33" s="51">
        <f>COUNTIF(po_status,"Reçu")</f>
        <v>24.0</v>
      </c>
      <c r="E33" s="52">
        <f>SUMIFS(po_ht,po_status,"Reçu")</f>
        <v>111032.75</v>
      </c>
      <c r="F33" s="53" t="n"/>
      <c r="H33" s="54" t="str">
        <f>IF($R33="","",INDEX(sup_name,$R33)&amp;"")</f>
        <v>Outillage Médina Pro</v>
      </c>
      <c r="I33" s="51" t="n"/>
      <c r="J33" s="51" t="n"/>
      <c r="K33" s="48">
        <f>IF($R33="","",INDEX(sup_year,$R33))</f>
        <v>11410.0</v>
      </c>
      <c r="L33" s="51" t="n"/>
      <c r="M33" s="51">
        <f>IF($R33="","",INDEX(sup_late,$R33))</f>
        <v>0.0</v>
      </c>
      <c r="N33" s="55">
        <f>IF($R33="","",INDEX(sup_rate,$R33))</f>
        <v>1.0</v>
      </c>
      <c r="O33" s="51" t="n"/>
      <c r="P33" s="51">
        <f>IF($R33="","",COUNTIFS(po_sup,INDEX(sup_code,$R33),po_first,1,po_date,"&gt;="&amp;p_y0,po_date,"&lt;"&amp;p_y1))</f>
        <v>2.0</v>
      </c>
      <c r="R33">
        <f>IFERROR(MATCH(LARGE(sup_key,5),sup_key,0),"")</f>
        <v>7.0</v>
      </c>
    </row>
    <row r="34">
      <c r="B34" s="47" t="inlineStr">
        <is>
          <t>Annulé</t>
        </is>
      </c>
      <c r="C34" s="47" t="n"/>
      <c r="D34" s="51">
        <f>COUNTIF(po_status,"Annulé")</f>
        <v>2.0</v>
      </c>
      <c r="E34" s="52">
        <f>SUMIFS(po_ht,po_status,"Annulé")</f>
        <v>8540.0</v>
      </c>
      <c r="F34" s="53" t="n"/>
      <c r="H34" s="54" t="str">
        <f>IF($R34="","",INDEX(sup_name,$R34)&amp;"")</f>
        <v>Emballages Atlas Sud</v>
      </c>
      <c r="I34" s="51" t="n"/>
      <c r="J34" s="51" t="n"/>
      <c r="K34" s="48">
        <f>IF($R34="","",INDEX(sup_year,$R34))</f>
        <v>11050.0</v>
      </c>
      <c r="L34" s="51" t="n"/>
      <c r="M34" s="51">
        <f>IF($R34="","",INDEX(sup_late,$R34))</f>
        <v>0.0</v>
      </c>
      <c r="N34" s="55">
        <f>IF($R34="","",INDEX(sup_rate,$R34))</f>
        <v>0.0</v>
      </c>
      <c r="O34" s="51" t="n"/>
      <c r="P34" s="51">
        <f>IF($R34="","",COUNTIFS(po_sup,INDEX(sup_code,$R34),po_first,1,po_date,"&gt;="&amp;p_y0,po_date,"&lt;"&amp;p_y1))</f>
        <v>2.0</v>
      </c>
      <c r="R34">
        <f>IFERROR(MATCH(LARGE(sup_key,6),sup_key,0),"")</f>
        <v>8.0</v>
      </c>
    </row>
    <row r="35">
      <c r="H35" s="54" t="str">
        <f>IF($R35="","",INDEX(sup_name,$R35)&amp;"")</f>
        <v>Gaz et Soudure Kénitra</v>
      </c>
      <c r="I35" s="51" t="n"/>
      <c r="J35" s="51" t="n"/>
      <c r="K35" s="48">
        <f>IF($R35="","",INDEX(sup_year,$R35))</f>
        <v>10330.0</v>
      </c>
      <c r="L35" s="51" t="n"/>
      <c r="M35" s="51">
        <f>IF($R35="","",INDEX(sup_late,$R35))</f>
        <v>0.0</v>
      </c>
      <c r="N35" s="55">
        <f>IF($R35="","",INDEX(sup_rate,$R35))</f>
        <v>1.0</v>
      </c>
      <c r="O35" s="51" t="n"/>
      <c r="P35" s="51">
        <f>IF($R35="","",COUNTIFS(po_sup,INDEX(sup_code,$R35),po_first,1,po_date,"&gt;="&amp;p_y0,po_date,"&lt;"&amp;p_y1))</f>
        <v>2.0</v>
      </c>
      <c r="R35">
        <f>IFERROR(MATCH(LARGE(sup_key,7),sup_key,0),"")</f>
        <v>5.0</v>
      </c>
    </row>
    <row r="36">
      <c r="H36" s="54" t="str">
        <f>IF($R36="","",INDEX(sup_name,$R36)&amp;"")</f>
        <v>Fixations Souss SARL</v>
      </c>
      <c r="I36" s="51" t="n"/>
      <c r="J36" s="51" t="n"/>
      <c r="K36" s="48">
        <f>IF($R36="","",INDEX(sup_year,$R36))</f>
        <v>3602.75</v>
      </c>
      <c r="L36" s="51" t="n"/>
      <c r="M36" s="51">
        <f>IF($R36="","",INDEX(sup_late,$R36))</f>
        <v>1.0</v>
      </c>
      <c r="N36" s="55">
        <f>IF($R36="","",INDEX(sup_rate,$R36))</f>
        <v>0.25</v>
      </c>
      <c r="O36" s="51" t="n"/>
      <c r="P36" s="51">
        <f>IF($R36="","",COUNTIFS(po_sup,INDEX(sup_code,$R36),po_first,1,po_date,"&gt;="&amp;p_y0,po_date,"&lt;"&amp;p_y1))</f>
        <v>2.0</v>
      </c>
      <c r="R36">
        <f>IFERROR(MATCH(LARGE(sup_key,8),sup_key,0),"")</f>
        <v>3.0</v>
      </c>
    </row>
    <row r="52" ht="22" customHeight="1">
      <c r="B52" s="5" t="inlineStr">
        <is>
          <t>Livraisons attendues, les plus en retard d'abord (les 10 premières)</t>
        </is>
      </c>
      <c r="C52" s="6" t="n"/>
      <c r="D52" s="6" t="n"/>
      <c r="E52" s="6" t="n"/>
      <c r="F52" s="6" t="n"/>
      <c r="G52" s="6" t="n"/>
      <c r="H52" s="6" t="n"/>
      <c r="I52" s="6" t="n"/>
      <c r="J52" s="6" t="n"/>
      <c r="K52" s="6" t="n"/>
      <c r="L52" s="6" t="n"/>
      <c r="M52" s="6" t="n"/>
      <c r="N52" s="6" t="n"/>
      <c r="O52" s="6" t="n"/>
      <c r="P52" s="6" t="n"/>
    </row>
    <row r="53" ht="20" customHeight="1">
      <c r="B53" s="56" t="inlineStr">
        <is>
          <t>N° de bon</t>
        </is>
      </c>
      <c r="C53" s="56" t="n"/>
      <c r="D53" s="56" t="inlineStr">
        <is>
          <t>Fournisseur</t>
        </is>
      </c>
      <c r="E53" s="56" t="n"/>
      <c r="F53" s="56" t="n"/>
      <c r="G53" s="56" t="inlineStr">
        <is>
          <t>Article</t>
        </is>
      </c>
      <c r="H53" s="56" t="n"/>
      <c r="I53" s="56" t="n"/>
      <c r="J53" s="56" t="n"/>
      <c r="K53" s="56" t="inlineStr">
        <is>
          <t>Prévue le</t>
        </is>
      </c>
      <c r="L53" s="56" t="inlineStr">
        <is>
          <t>Reste</t>
        </is>
      </c>
      <c r="M53" s="56" t="inlineStr">
        <is>
          <t>Retard (j)</t>
        </is>
      </c>
      <c r="N53" s="56" t="inlineStr">
        <is>
          <t>Statut</t>
        </is>
      </c>
      <c r="O53" s="56" t="n"/>
      <c r="P53" s="56" t="inlineStr">
        <is>
          <t>Reste HT</t>
        </is>
      </c>
    </row>
    <row r="54">
      <c r="B54" s="57" t="str">
        <f>'Suivi des réceptions'!A6</f>
        <v>BC-2026-0109</v>
      </c>
      <c r="C54" s="58" t="n"/>
      <c r="D54" s="59" t="str">
        <f>'Suivi des réceptions'!B6</f>
        <v>Roulements Express</v>
      </c>
      <c r="E54" s="58" t="n"/>
      <c r="F54" s="58" t="n"/>
      <c r="G54" s="59" t="str">
        <f>'Suivi des réceptions'!D6</f>
        <v>Roulement 6305-2RS</v>
      </c>
      <c r="H54" s="58" t="n"/>
      <c r="I54" s="58" t="n"/>
      <c r="J54" s="58" t="n"/>
      <c r="K54" s="60">
        <f>'Suivi des réceptions'!H6</f>
        <v>46311.0</v>
      </c>
      <c r="L54" s="61">
        <f>'Suivi des réceptions'!G6</f>
        <v>30.0</v>
      </c>
      <c r="M54" s="58">
        <f>'Suivi des réceptions'!I6</f>
        <v>20.0</v>
      </c>
      <c r="N54" s="58" t="str">
        <f>'Suivi des réceptions'!J6</f>
        <v>En retard</v>
      </c>
      <c r="O54" s="58" t="n"/>
      <c r="P54" s="48">
        <f>'Suivi des réceptions'!K6</f>
        <v>1920.0</v>
      </c>
    </row>
    <row r="55">
      <c r="B55" s="57" t="str">
        <f>'Suivi des réceptions'!A7</f>
        <v>BC-2026-0112</v>
      </c>
      <c r="C55" s="58" t="n"/>
      <c r="D55" s="59" t="str">
        <f>'Suivi des réceptions'!B7</f>
        <v>Fixations Souss SARL</v>
      </c>
      <c r="E55" s="58" t="n"/>
      <c r="F55" s="58" t="n"/>
      <c r="G55" s="59" t="str">
        <f>'Suivi des réceptions'!D7</f>
        <v>Écrou H M8 classe 8 (boîte de 100)</v>
      </c>
      <c r="H55" s="58" t="n"/>
      <c r="I55" s="58" t="n"/>
      <c r="J55" s="58" t="n"/>
      <c r="K55" s="60">
        <f>'Suivi des réceptions'!H7</f>
        <v>46323.0</v>
      </c>
      <c r="L55" s="61">
        <f>'Suivi des réceptions'!G7</f>
        <v>30.0</v>
      </c>
      <c r="M55" s="58">
        <f>'Suivi des réceptions'!I7</f>
        <v>8.0</v>
      </c>
      <c r="N55" s="58" t="str">
        <f>'Suivi des réceptions'!J7</f>
        <v>En retard</v>
      </c>
      <c r="O55" s="58" t="n"/>
      <c r="P55" s="48">
        <f>'Suivi des réceptions'!K7</f>
        <v>660.0</v>
      </c>
    </row>
    <row r="56">
      <c r="B56" s="57" t="str">
        <f>'Suivi des réceptions'!A8</f>
        <v>BC-2026-0111</v>
      </c>
      <c r="C56" s="58" t="n"/>
      <c r="D56" s="59" t="str">
        <f>'Suivi des réceptions'!B8</f>
        <v>Tubes et Profilés du Nord</v>
      </c>
      <c r="E56" s="58" t="n"/>
      <c r="F56" s="58" t="n"/>
      <c r="G56" s="59" t="str">
        <f>'Suivi des réceptions'!D8</f>
        <v>Tube carré 40x40x2, barre 6 m</v>
      </c>
      <c r="H56" s="58" t="n"/>
      <c r="I56" s="58" t="n"/>
      <c r="J56" s="58" t="n"/>
      <c r="K56" s="60">
        <f>'Suivi des réceptions'!H8</f>
        <v>46325.0</v>
      </c>
      <c r="L56" s="61">
        <f>'Suivi des réceptions'!G8</f>
        <v>80.0</v>
      </c>
      <c r="M56" s="58">
        <f>'Suivi des réceptions'!I8</f>
        <v>6.0</v>
      </c>
      <c r="N56" s="58" t="str">
        <f>'Suivi des réceptions'!J8</f>
        <v>En retard</v>
      </c>
      <c r="O56" s="58" t="n"/>
      <c r="P56" s="48">
        <f>'Suivi des réceptions'!K8</f>
        <v>13440.0</v>
      </c>
    </row>
    <row r="57">
      <c r="B57" s="57" t="str">
        <f>'Suivi des réceptions'!A9</f>
        <v>BC-2026-0111</v>
      </c>
      <c r="C57" s="58" t="n"/>
      <c r="D57" s="59" t="str">
        <f>'Suivi des réceptions'!B9</f>
        <v>Tubes et Profilés du Nord</v>
      </c>
      <c r="E57" s="58" t="n"/>
      <c r="F57" s="58" t="n"/>
      <c r="G57" s="59" t="str">
        <f>'Suivi des réceptions'!D9</f>
        <v>Cornière 40x40x4, barre 6 m</v>
      </c>
      <c r="H57" s="58" t="n"/>
      <c r="I57" s="58" t="n"/>
      <c r="J57" s="58" t="n"/>
      <c r="K57" s="60">
        <f>'Suivi des réceptions'!H9</f>
        <v>46325.0</v>
      </c>
      <c r="L57" s="61">
        <f>'Suivi des réceptions'!G9</f>
        <v>50.0</v>
      </c>
      <c r="M57" s="58">
        <f>'Suivi des réceptions'!I9</f>
        <v>6.0</v>
      </c>
      <c r="N57" s="58" t="str">
        <f>'Suivi des réceptions'!J9</f>
        <v>En retard</v>
      </c>
      <c r="O57" s="58" t="n"/>
      <c r="P57" s="48">
        <f>'Suivi des réceptions'!K9</f>
        <v>6050.0</v>
      </c>
    </row>
    <row r="58">
      <c r="B58" s="57" t="str">
        <f>'Suivi des réceptions'!A10</f>
        <v>BC-2026-0117</v>
      </c>
      <c r="C58" s="58" t="n"/>
      <c r="D58" s="59" t="str">
        <f>'Suivi des réceptions'!B10</f>
        <v>Outillage Médina Pro</v>
      </c>
      <c r="E58" s="58" t="n"/>
      <c r="F58" s="58" t="n"/>
      <c r="G58" s="59" t="str">
        <f>'Suivi des réceptions'!D10</f>
        <v>Plaquette carbure CNMG 120408</v>
      </c>
      <c r="H58" s="58" t="n"/>
      <c r="I58" s="58" t="n"/>
      <c r="J58" s="58" t="n"/>
      <c r="K58" s="60">
        <f>'Suivi des réceptions'!H10</f>
        <v>46331.0</v>
      </c>
      <c r="L58" s="61">
        <f>'Suivi des réceptions'!G10</f>
        <v>100.0</v>
      </c>
      <c r="M58" s="58" t="str">
        <f>'Suivi des réceptions'!I10</f>
        <v/>
      </c>
      <c r="N58" s="58" t="str">
        <f>'Suivi des réceptions'!J10</f>
        <v>Envoyé</v>
      </c>
      <c r="O58" s="58" t="n"/>
      <c r="P58" s="48">
        <f>'Suivi des réceptions'!K10</f>
        <v>5500.0</v>
      </c>
    </row>
    <row r="59">
      <c r="B59" s="57" t="str">
        <f>'Suivi des réceptions'!A11</f>
        <v>BC-2026-0117</v>
      </c>
      <c r="C59" s="58" t="n"/>
      <c r="D59" s="59" t="str">
        <f>'Suivi des réceptions'!B11</f>
        <v>Outillage Médina Pro</v>
      </c>
      <c r="E59" s="58" t="n"/>
      <c r="F59" s="58" t="n"/>
      <c r="G59" s="59" t="str">
        <f>'Suivi des réceptions'!D11</f>
        <v>Foret HSS Ø8 mm</v>
      </c>
      <c r="H59" s="58" t="n"/>
      <c r="I59" s="58" t="n"/>
      <c r="J59" s="58" t="n"/>
      <c r="K59" s="60">
        <f>'Suivi des réceptions'!H11</f>
        <v>46331.0</v>
      </c>
      <c r="L59" s="61">
        <f>'Suivi des réceptions'!G11</f>
        <v>30.0</v>
      </c>
      <c r="M59" s="58" t="str">
        <f>'Suivi des réceptions'!I11</f>
        <v/>
      </c>
      <c r="N59" s="58" t="str">
        <f>'Suivi des réceptions'!J11</f>
        <v>Envoyé</v>
      </c>
      <c r="O59" s="58" t="n"/>
      <c r="P59" s="48">
        <f>'Suivi des réceptions'!K11</f>
        <v>720.0</v>
      </c>
    </row>
    <row r="60">
      <c r="B60" s="57" t="str">
        <f>'Suivi des réceptions'!A12</f>
        <v>BC-2026-0113</v>
      </c>
      <c r="C60" s="58" t="n"/>
      <c r="D60" s="59" t="str">
        <f>'Suivi des réceptions'!B12</f>
        <v>Gaz et Soudure Kénitra</v>
      </c>
      <c r="E60" s="58" t="n"/>
      <c r="F60" s="58" t="n"/>
      <c r="G60" s="59" t="str">
        <f>'Suivi des réceptions'!D12</f>
        <v>Recharge gaz de soudage 20 L</v>
      </c>
      <c r="H60" s="58" t="n"/>
      <c r="I60" s="58" t="n"/>
      <c r="J60" s="58" t="n"/>
      <c r="K60" s="60">
        <f>'Suivi des réceptions'!H12</f>
        <v>46332.0</v>
      </c>
      <c r="L60" s="61">
        <f>'Suivi des réceptions'!G12</f>
        <v>6.0</v>
      </c>
      <c r="M60" s="58" t="str">
        <f>'Suivi des réceptions'!I12</f>
        <v/>
      </c>
      <c r="N60" s="58" t="str">
        <f>'Suivi des réceptions'!J12</f>
        <v>Envoyé</v>
      </c>
      <c r="O60" s="58" t="n"/>
      <c r="P60" s="48">
        <f>'Suivi des réceptions'!K12</f>
        <v>3120.0</v>
      </c>
    </row>
    <row r="61">
      <c r="B61" s="57" t="str">
        <f>'Suivi des réceptions'!A13</f>
        <v>BC-2026-0113</v>
      </c>
      <c r="C61" s="58" t="n"/>
      <c r="D61" s="59" t="str">
        <f>'Suivi des réceptions'!B13</f>
        <v>Gaz et Soudure Kénitra</v>
      </c>
      <c r="E61" s="58" t="n"/>
      <c r="F61" s="58" t="n"/>
      <c r="G61" s="59" t="str">
        <f>'Suivi des réceptions'!D13</f>
        <v>Fil MIG acier Ø1 mm, bobine 15 kg</v>
      </c>
      <c r="H61" s="58" t="n"/>
      <c r="I61" s="58" t="n"/>
      <c r="J61" s="58" t="n"/>
      <c r="K61" s="60">
        <f>'Suivi des réceptions'!H13</f>
        <v>46332.0</v>
      </c>
      <c r="L61" s="61">
        <f>'Suivi des réceptions'!G13</f>
        <v>4.0</v>
      </c>
      <c r="M61" s="58" t="str">
        <f>'Suivi des réceptions'!I13</f>
        <v/>
      </c>
      <c r="N61" s="58" t="str">
        <f>'Suivi des réceptions'!J13</f>
        <v>Envoyé</v>
      </c>
      <c r="O61" s="58" t="n"/>
      <c r="P61" s="48">
        <f>'Suivi des réceptions'!K13</f>
        <v>1580.0</v>
      </c>
    </row>
    <row r="62">
      <c r="B62" s="57" t="str">
        <f>'Suivi des réceptions'!A14</f>
        <v>BC-2026-0115</v>
      </c>
      <c r="C62" s="58" t="n"/>
      <c r="D62" s="59" t="str">
        <f>'Suivi des réceptions'!B14</f>
        <v>Métaux Atlas SARL</v>
      </c>
      <c r="E62" s="58" t="n"/>
      <c r="F62" s="58" t="n"/>
      <c r="G62" s="59" t="str">
        <f>'Suivi des réceptions'!D14</f>
        <v>Tôle acier S235 ép. 2 mm</v>
      </c>
      <c r="H62" s="58" t="n"/>
      <c r="I62" s="58" t="n"/>
      <c r="J62" s="58" t="n"/>
      <c r="K62" s="60">
        <f>'Suivi des réceptions'!H14</f>
        <v>46335.0</v>
      </c>
      <c r="L62" s="61">
        <f>'Suivi des réceptions'!G14</f>
        <v>600.0</v>
      </c>
      <c r="M62" s="58" t="str">
        <f>'Suivi des réceptions'!I14</f>
        <v/>
      </c>
      <c r="N62" s="58" t="str">
        <f>'Suivi des réceptions'!J14</f>
        <v>Partiel</v>
      </c>
      <c r="O62" s="58" t="n"/>
      <c r="P62" s="48">
        <f>'Suivi des réceptions'!K14</f>
        <v>6867.6</v>
      </c>
    </row>
    <row r="63">
      <c r="B63" s="57" t="str">
        <f>'Suivi des réceptions'!A15</f>
        <v>BC-2026-0115</v>
      </c>
      <c r="C63" s="58" t="n"/>
      <c r="D63" s="59" t="str">
        <f>'Suivi des réceptions'!B15</f>
        <v>Métaux Atlas SARL</v>
      </c>
      <c r="E63" s="58" t="n"/>
      <c r="F63" s="58" t="n"/>
      <c r="G63" s="59" t="str">
        <f>'Suivi des réceptions'!D15</f>
        <v>Rond acier C45 Ø30, barre 3 m</v>
      </c>
      <c r="H63" s="58" t="n"/>
      <c r="I63" s="58" t="n"/>
      <c r="J63" s="58" t="n"/>
      <c r="K63" s="60">
        <f>'Suivi des réceptions'!H15</f>
        <v>46335.0</v>
      </c>
      <c r="L63" s="61">
        <f>'Suivi des réceptions'!G15</f>
        <v>20.0</v>
      </c>
      <c r="M63" s="58" t="str">
        <f>'Suivi des réceptions'!I15</f>
        <v/>
      </c>
      <c r="N63" s="58" t="str">
        <f>'Suivi des réceptions'!J15</f>
        <v>Envoyé</v>
      </c>
      <c r="O63" s="58" t="n"/>
      <c r="P63" s="48">
        <f>'Suivi des réceptions'!K15</f>
        <v>5529.0</v>
      </c>
    </row>
    <row r="64">
      <c r="B64" s="42" t="str">
        <f>IF(COUNT(po_key)=0,"Aucune livraison attendue.",IF(COUNT(po_key)&gt;10,"Et "&amp;(COUNT(po_key)-10)&amp;" autre(s) ligne(s) : voir la feuille « Suivi des réceptions ».",""))</f>
        <v>Et 3 autre(s) ligne(s) : voir la feuille « Suivi des réceptions ».</v>
      </c>
    </row>
  </sheetData>
  <mergeCells count="131">
    <mergeCell ref="C15:D15"/>
    <mergeCell ref="G55:J55"/>
    <mergeCell ref="K33:L33"/>
    <mergeCell ref="E23:F23"/>
    <mergeCell ref="B31:C31"/>
    <mergeCell ref="D53:F53"/>
    <mergeCell ref="N53:O53"/>
    <mergeCell ref="K35:L35"/>
    <mergeCell ref="N3:O3"/>
    <mergeCell ref="B61:C61"/>
    <mergeCell ref="N61:O61"/>
    <mergeCell ref="J3:L3"/>
    <mergeCell ref="E7:G7"/>
    <mergeCell ref="B6:D6"/>
    <mergeCell ref="E34:F34"/>
    <mergeCell ref="N29:O29"/>
    <mergeCell ref="H5:J5"/>
    <mergeCell ref="H30:J30"/>
    <mergeCell ref="C17:D17"/>
    <mergeCell ref="G57:J57"/>
    <mergeCell ref="H29:J29"/>
    <mergeCell ref="N31:O31"/>
    <mergeCell ref="B55:C55"/>
    <mergeCell ref="G53:J53"/>
    <mergeCell ref="B33:C33"/>
    <mergeCell ref="K5:M5"/>
    <mergeCell ref="C19:D19"/>
    <mergeCell ref="K28:L28"/>
    <mergeCell ref="H31:J31"/>
    <mergeCell ref="E22:F22"/>
    <mergeCell ref="B32:C32"/>
    <mergeCell ref="B63:C63"/>
    <mergeCell ref="G58:J58"/>
    <mergeCell ref="D57:F57"/>
    <mergeCell ref="E12:F12"/>
    <mergeCell ref="K30:L30"/>
    <mergeCell ref="N35:O35"/>
    <mergeCell ref="N63:O63"/>
    <mergeCell ref="C14:D14"/>
    <mergeCell ref="E14:F14"/>
    <mergeCell ref="H7:J7"/>
    <mergeCell ref="E6:G6"/>
    <mergeCell ref="K32:L32"/>
    <mergeCell ref="K7:M7"/>
    <mergeCell ref="B53:C53"/>
    <mergeCell ref="D55:F55"/>
    <mergeCell ref="G61:J61"/>
    <mergeCell ref="H33:J33"/>
    <mergeCell ref="B5:D5"/>
    <mergeCell ref="B29:C29"/>
    <mergeCell ref="D54:F54"/>
    <mergeCell ref="N28:O28"/>
    <mergeCell ref="H35:J35"/>
    <mergeCell ref="D60:F60"/>
    <mergeCell ref="G62:J62"/>
    <mergeCell ref="N30:O30"/>
    <mergeCell ref="E16:F16"/>
    <mergeCell ref="E25:F25"/>
    <mergeCell ref="C18:D18"/>
    <mergeCell ref="E18:F18"/>
    <mergeCell ref="N55:O55"/>
    <mergeCell ref="H6:J6"/>
    <mergeCell ref="B54:C54"/>
    <mergeCell ref="N54:O54"/>
    <mergeCell ref="N32:O32"/>
    <mergeCell ref="B56:C56"/>
    <mergeCell ref="B58:C58"/>
    <mergeCell ref="C20:D20"/>
    <mergeCell ref="K29:L29"/>
    <mergeCell ref="H32:J32"/>
    <mergeCell ref="E20:F20"/>
    <mergeCell ref="N56:O56"/>
    <mergeCell ref="G60:J60"/>
    <mergeCell ref="E29:F29"/>
    <mergeCell ref="D58:F58"/>
    <mergeCell ref="N58:O58"/>
    <mergeCell ref="E13:F13"/>
    <mergeCell ref="C22:D22"/>
    <mergeCell ref="K31:L31"/>
    <mergeCell ref="N33:O33"/>
    <mergeCell ref="G59:J59"/>
    <mergeCell ref="B57:C57"/>
    <mergeCell ref="B60:C60"/>
    <mergeCell ref="E31:F31"/>
    <mergeCell ref="C12:D12"/>
    <mergeCell ref="C21:D21"/>
    <mergeCell ref="E15:F15"/>
    <mergeCell ref="B34:C34"/>
    <mergeCell ref="B28:C28"/>
    <mergeCell ref="D59:F59"/>
    <mergeCell ref="N59:O59"/>
    <mergeCell ref="C23:D23"/>
    <mergeCell ref="N60:O60"/>
    <mergeCell ref="B30:C30"/>
    <mergeCell ref="E32:F32"/>
    <mergeCell ref="H34:J34"/>
    <mergeCell ref="B62:C62"/>
    <mergeCell ref="K34:L34"/>
    <mergeCell ref="C24:D24"/>
    <mergeCell ref="H36:J36"/>
    <mergeCell ref="E24:F24"/>
    <mergeCell ref="B59:C59"/>
    <mergeCell ref="D61:F61"/>
    <mergeCell ref="E33:F33"/>
    <mergeCell ref="N5:P5"/>
    <mergeCell ref="G54:J54"/>
    <mergeCell ref="G63:J63"/>
    <mergeCell ref="E17:F17"/>
    <mergeCell ref="K36:L36"/>
    <mergeCell ref="C16:D16"/>
    <mergeCell ref="G56:J56"/>
    <mergeCell ref="H28:J28"/>
    <mergeCell ref="C25:D25"/>
    <mergeCell ref="E19:F19"/>
    <mergeCell ref="D62:F62"/>
    <mergeCell ref="D56:F56"/>
    <mergeCell ref="E28:F28"/>
    <mergeCell ref="N62:O62"/>
    <mergeCell ref="N6:P6"/>
    <mergeCell ref="E30:F30"/>
    <mergeCell ref="K6:M6"/>
    <mergeCell ref="E11:F11"/>
    <mergeCell ref="N57:O57"/>
    <mergeCell ref="B7:D7"/>
    <mergeCell ref="D63:F63"/>
    <mergeCell ref="N7:P7"/>
    <mergeCell ref="N34:O34"/>
    <mergeCell ref="E5:G5"/>
    <mergeCell ref="C13:D13"/>
    <mergeCell ref="N36:O36"/>
    <mergeCell ref="E21:F21"/>
  </mergeCells>
  <conditionalFormatting sqref="B29:C34">
    <cfRule type="expression" priority="1" dxfId="0">
      <formula>$B29="Brouillon"</formula>
    </cfRule>
    <cfRule type="expression" priority="2" dxfId="1">
      <formula>$B29="Envoyé"</formula>
    </cfRule>
    <cfRule type="expression" priority="3" dxfId="2">
      <formula>$B29="Partiel"</formula>
    </cfRule>
    <cfRule type="expression" priority="4" dxfId="3">
      <formula>$B29="En retard"</formula>
    </cfRule>
    <cfRule type="expression" priority="5" dxfId="4">
      <formula>$B29="Reçu"</formula>
    </cfRule>
    <cfRule type="expression" priority="6" dxfId="5">
      <formula>$B29="Annulé"</formula>
    </cfRule>
  </conditionalFormatting>
  <conditionalFormatting sqref="M29:M36">
    <cfRule type="expression" priority="7" dxfId="6">
      <formula>N($M29)&gt;0</formula>
    </cfRule>
  </conditionalFormatting>
  <conditionalFormatting sqref="N54:O63">
    <cfRule type="expression" priority="8" dxfId="0">
      <formula>$N54="Brouillon"</formula>
    </cfRule>
    <cfRule type="expression" priority="9" dxfId="1">
      <formula>$N54="Envoyé"</formula>
    </cfRule>
    <cfRule type="expression" priority="10" dxfId="2">
      <formula>$N54="Partiel"</formula>
    </cfRule>
    <cfRule type="expression" priority="11" dxfId="3">
      <formula>$N54="En retard"</formula>
    </cfRule>
    <cfRule type="expression" priority="12" dxfId="4">
      <formula>$N54="Reçu"</formula>
    </cfRule>
    <cfRule type="expression" priority="13" dxfId="5">
      <formula>$N54="Annulé"</formula>
    </cfRule>
  </conditionalFormatting>
  <conditionalFormatting sqref="M54:M63">
    <cfRule type="expression" priority="14" dxfId="6">
      <formula>N($M54)&gt;0</formula>
    </cfRule>
  </conditionalFormatting>
  <conditionalFormatting sqref="B6">
    <cfRule type="expression" priority="15" dxfId="7">
      <formula>p_currency="MAD"</formula>
    </cfRule>
    <cfRule type="expression" priority="67" dxfId="8">
      <formula>p_currency="EUR"</formula>
    </cfRule>
    <cfRule type="expression" priority="119" dxfId="9">
      <formula>p_currency="USD"</formula>
    </cfRule>
  </conditionalFormatting>
  <conditionalFormatting sqref="K6">
    <cfRule type="expression" priority="16" dxfId="7">
      <formula>p_currency="MAD"</formula>
    </cfRule>
    <cfRule type="expression" priority="68" dxfId="8">
      <formula>p_currency="EUR"</formula>
    </cfRule>
    <cfRule type="expression" priority="120" dxfId="9">
      <formula>p_currency="USD"</formula>
    </cfRule>
  </conditionalFormatting>
  <conditionalFormatting sqref="C13">
    <cfRule type="expression" priority="17" dxfId="7">
      <formula>p_currency="MAD"</formula>
    </cfRule>
    <cfRule type="expression" priority="69" dxfId="8">
      <formula>p_currency="EUR"</formula>
    </cfRule>
    <cfRule type="expression" priority="121" dxfId="9">
      <formula>p_currency="USD"</formula>
    </cfRule>
  </conditionalFormatting>
  <conditionalFormatting sqref="E13">
    <cfRule type="expression" priority="18" dxfId="7">
      <formula>p_currency="MAD"</formula>
    </cfRule>
    <cfRule type="expression" priority="70" dxfId="8">
      <formula>p_currency="EUR"</formula>
    </cfRule>
    <cfRule type="expression" priority="122" dxfId="9">
      <formula>p_currency="USD"</formula>
    </cfRule>
  </conditionalFormatting>
  <conditionalFormatting sqref="C14">
    <cfRule type="expression" priority="19" dxfId="7">
      <formula>p_currency="MAD"</formula>
    </cfRule>
    <cfRule type="expression" priority="71" dxfId="8">
      <formula>p_currency="EUR"</formula>
    </cfRule>
    <cfRule type="expression" priority="123" dxfId="9">
      <formula>p_currency="USD"</formula>
    </cfRule>
  </conditionalFormatting>
  <conditionalFormatting sqref="E14">
    <cfRule type="expression" priority="20" dxfId="7">
      <formula>p_currency="MAD"</formula>
    </cfRule>
    <cfRule type="expression" priority="72" dxfId="8">
      <formula>p_currency="EUR"</formula>
    </cfRule>
    <cfRule type="expression" priority="124" dxfId="9">
      <formula>p_currency="USD"</formula>
    </cfRule>
  </conditionalFormatting>
  <conditionalFormatting sqref="C15">
    <cfRule type="expression" priority="21" dxfId="7">
      <formula>p_currency="MAD"</formula>
    </cfRule>
    <cfRule type="expression" priority="73" dxfId="8">
      <formula>p_currency="EUR"</formula>
    </cfRule>
    <cfRule type="expression" priority="125" dxfId="9">
      <formula>p_currency="USD"</formula>
    </cfRule>
  </conditionalFormatting>
  <conditionalFormatting sqref="E15">
    <cfRule type="expression" priority="22" dxfId="7">
      <formula>p_currency="MAD"</formula>
    </cfRule>
    <cfRule type="expression" priority="74" dxfId="8">
      <formula>p_currency="EUR"</formula>
    </cfRule>
    <cfRule type="expression" priority="126" dxfId="9">
      <formula>p_currency="USD"</formula>
    </cfRule>
  </conditionalFormatting>
  <conditionalFormatting sqref="C16">
    <cfRule type="expression" priority="23" dxfId="7">
      <formula>p_currency="MAD"</formula>
    </cfRule>
    <cfRule type="expression" priority="75" dxfId="8">
      <formula>p_currency="EUR"</formula>
    </cfRule>
    <cfRule type="expression" priority="127" dxfId="9">
      <formula>p_currency="USD"</formula>
    </cfRule>
  </conditionalFormatting>
  <conditionalFormatting sqref="E16">
    <cfRule type="expression" priority="24" dxfId="7">
      <formula>p_currency="MAD"</formula>
    </cfRule>
    <cfRule type="expression" priority="76" dxfId="8">
      <formula>p_currency="EUR"</formula>
    </cfRule>
    <cfRule type="expression" priority="128" dxfId="9">
      <formula>p_currency="USD"</formula>
    </cfRule>
  </conditionalFormatting>
  <conditionalFormatting sqref="C17">
    <cfRule type="expression" priority="25" dxfId="7">
      <formula>p_currency="MAD"</formula>
    </cfRule>
    <cfRule type="expression" priority="77" dxfId="8">
      <formula>p_currency="EUR"</formula>
    </cfRule>
    <cfRule type="expression" priority="129" dxfId="9">
      <formula>p_currency="USD"</formula>
    </cfRule>
  </conditionalFormatting>
  <conditionalFormatting sqref="E17">
    <cfRule type="expression" priority="26" dxfId="7">
      <formula>p_currency="MAD"</formula>
    </cfRule>
    <cfRule type="expression" priority="78" dxfId="8">
      <formula>p_currency="EUR"</formula>
    </cfRule>
    <cfRule type="expression" priority="130" dxfId="9">
      <formula>p_currency="USD"</formula>
    </cfRule>
  </conditionalFormatting>
  <conditionalFormatting sqref="C18">
    <cfRule type="expression" priority="27" dxfId="7">
      <formula>p_currency="MAD"</formula>
    </cfRule>
    <cfRule type="expression" priority="79" dxfId="8">
      <formula>p_currency="EUR"</formula>
    </cfRule>
    <cfRule type="expression" priority="131" dxfId="9">
      <formula>p_currency="USD"</formula>
    </cfRule>
  </conditionalFormatting>
  <conditionalFormatting sqref="E18">
    <cfRule type="expression" priority="28" dxfId="7">
      <formula>p_currency="MAD"</formula>
    </cfRule>
    <cfRule type="expression" priority="80" dxfId="8">
      <formula>p_currency="EUR"</formula>
    </cfRule>
    <cfRule type="expression" priority="132" dxfId="9">
      <formula>p_currency="USD"</formula>
    </cfRule>
  </conditionalFormatting>
  <conditionalFormatting sqref="C19">
    <cfRule type="expression" priority="29" dxfId="7">
      <formula>p_currency="MAD"</formula>
    </cfRule>
    <cfRule type="expression" priority="81" dxfId="8">
      <formula>p_currency="EUR"</formula>
    </cfRule>
    <cfRule type="expression" priority="133" dxfId="9">
      <formula>p_currency="USD"</formula>
    </cfRule>
  </conditionalFormatting>
  <conditionalFormatting sqref="E19">
    <cfRule type="expression" priority="30" dxfId="7">
      <formula>p_currency="MAD"</formula>
    </cfRule>
    <cfRule type="expression" priority="82" dxfId="8">
      <formula>p_currency="EUR"</formula>
    </cfRule>
    <cfRule type="expression" priority="134" dxfId="9">
      <formula>p_currency="USD"</formula>
    </cfRule>
  </conditionalFormatting>
  <conditionalFormatting sqref="C20">
    <cfRule type="expression" priority="31" dxfId="7">
      <formula>p_currency="MAD"</formula>
    </cfRule>
    <cfRule type="expression" priority="83" dxfId="8">
      <formula>p_currency="EUR"</formula>
    </cfRule>
    <cfRule type="expression" priority="135" dxfId="9">
      <formula>p_currency="USD"</formula>
    </cfRule>
  </conditionalFormatting>
  <conditionalFormatting sqref="E20">
    <cfRule type="expression" priority="32" dxfId="7">
      <formula>p_currency="MAD"</formula>
    </cfRule>
    <cfRule type="expression" priority="84" dxfId="8">
      <formula>p_currency="EUR"</formula>
    </cfRule>
    <cfRule type="expression" priority="136" dxfId="9">
      <formula>p_currency="USD"</formula>
    </cfRule>
  </conditionalFormatting>
  <conditionalFormatting sqref="C21">
    <cfRule type="expression" priority="33" dxfId="7">
      <formula>p_currency="MAD"</formula>
    </cfRule>
    <cfRule type="expression" priority="85" dxfId="8">
      <formula>p_currency="EUR"</formula>
    </cfRule>
    <cfRule type="expression" priority="137" dxfId="9">
      <formula>p_currency="USD"</formula>
    </cfRule>
  </conditionalFormatting>
  <conditionalFormatting sqref="E21">
    <cfRule type="expression" priority="34" dxfId="7">
      <formula>p_currency="MAD"</formula>
    </cfRule>
    <cfRule type="expression" priority="86" dxfId="8">
      <formula>p_currency="EUR"</formula>
    </cfRule>
    <cfRule type="expression" priority="138" dxfId="9">
      <formula>p_currency="USD"</formula>
    </cfRule>
  </conditionalFormatting>
  <conditionalFormatting sqref="C22">
    <cfRule type="expression" priority="35" dxfId="7">
      <formula>p_currency="MAD"</formula>
    </cfRule>
    <cfRule type="expression" priority="87" dxfId="8">
      <formula>p_currency="EUR"</formula>
    </cfRule>
    <cfRule type="expression" priority="139" dxfId="9">
      <formula>p_currency="USD"</formula>
    </cfRule>
  </conditionalFormatting>
  <conditionalFormatting sqref="E22">
    <cfRule type="expression" priority="36" dxfId="7">
      <formula>p_currency="MAD"</formula>
    </cfRule>
    <cfRule type="expression" priority="88" dxfId="8">
      <formula>p_currency="EUR"</formula>
    </cfRule>
    <cfRule type="expression" priority="140" dxfId="9">
      <formula>p_currency="USD"</formula>
    </cfRule>
  </conditionalFormatting>
  <conditionalFormatting sqref="C23">
    <cfRule type="expression" priority="37" dxfId="7">
      <formula>p_currency="MAD"</formula>
    </cfRule>
    <cfRule type="expression" priority="89" dxfId="8">
      <formula>p_currency="EUR"</formula>
    </cfRule>
    <cfRule type="expression" priority="141" dxfId="9">
      <formula>p_currency="USD"</formula>
    </cfRule>
  </conditionalFormatting>
  <conditionalFormatting sqref="E23">
    <cfRule type="expression" priority="38" dxfId="7">
      <formula>p_currency="MAD"</formula>
    </cfRule>
    <cfRule type="expression" priority="90" dxfId="8">
      <formula>p_currency="EUR"</formula>
    </cfRule>
    <cfRule type="expression" priority="142" dxfId="9">
      <formula>p_currency="USD"</formula>
    </cfRule>
  </conditionalFormatting>
  <conditionalFormatting sqref="C24">
    <cfRule type="expression" priority="39" dxfId="7">
      <formula>p_currency="MAD"</formula>
    </cfRule>
    <cfRule type="expression" priority="91" dxfId="8">
      <formula>p_currency="EUR"</formula>
    </cfRule>
    <cfRule type="expression" priority="143" dxfId="9">
      <formula>p_currency="USD"</formula>
    </cfRule>
  </conditionalFormatting>
  <conditionalFormatting sqref="E24">
    <cfRule type="expression" priority="40" dxfId="7">
      <formula>p_currency="MAD"</formula>
    </cfRule>
    <cfRule type="expression" priority="92" dxfId="8">
      <formula>p_currency="EUR"</formula>
    </cfRule>
    <cfRule type="expression" priority="144" dxfId="9">
      <formula>p_currency="USD"</formula>
    </cfRule>
  </conditionalFormatting>
  <conditionalFormatting sqref="C25">
    <cfRule type="expression" priority="41" dxfId="7">
      <formula>p_currency="MAD"</formula>
    </cfRule>
    <cfRule type="expression" priority="93" dxfId="8">
      <formula>p_currency="EUR"</formula>
    </cfRule>
    <cfRule type="expression" priority="145" dxfId="9">
      <formula>p_currency="USD"</formula>
    </cfRule>
  </conditionalFormatting>
  <conditionalFormatting sqref="E25">
    <cfRule type="expression" priority="42" dxfId="7">
      <formula>p_currency="MAD"</formula>
    </cfRule>
    <cfRule type="expression" priority="94" dxfId="8">
      <formula>p_currency="EUR"</formula>
    </cfRule>
    <cfRule type="expression" priority="146" dxfId="9">
      <formula>p_currency="USD"</formula>
    </cfRule>
  </conditionalFormatting>
  <conditionalFormatting sqref="E29">
    <cfRule type="expression" priority="43" dxfId="7">
      <formula>p_currency="MAD"</formula>
    </cfRule>
    <cfRule type="expression" priority="95" dxfId="8">
      <formula>p_currency="EUR"</formula>
    </cfRule>
    <cfRule type="expression" priority="147" dxfId="9">
      <formula>p_currency="USD"</formula>
    </cfRule>
  </conditionalFormatting>
  <conditionalFormatting sqref="E30">
    <cfRule type="expression" priority="44" dxfId="7">
      <formula>p_currency="MAD"</formula>
    </cfRule>
    <cfRule type="expression" priority="96" dxfId="8">
      <formula>p_currency="EUR"</formula>
    </cfRule>
    <cfRule type="expression" priority="148" dxfId="9">
      <formula>p_currency="USD"</formula>
    </cfRule>
  </conditionalFormatting>
  <conditionalFormatting sqref="E31">
    <cfRule type="expression" priority="45" dxfId="7">
      <formula>p_currency="MAD"</formula>
    </cfRule>
    <cfRule type="expression" priority="97" dxfId="8">
      <formula>p_currency="EUR"</formula>
    </cfRule>
    <cfRule type="expression" priority="149" dxfId="9">
      <formula>p_currency="USD"</formula>
    </cfRule>
  </conditionalFormatting>
  <conditionalFormatting sqref="E32">
    <cfRule type="expression" priority="46" dxfId="7">
      <formula>p_currency="MAD"</formula>
    </cfRule>
    <cfRule type="expression" priority="98" dxfId="8">
      <formula>p_currency="EUR"</formula>
    </cfRule>
    <cfRule type="expression" priority="150" dxfId="9">
      <formula>p_currency="USD"</formula>
    </cfRule>
  </conditionalFormatting>
  <conditionalFormatting sqref="E33">
    <cfRule type="expression" priority="47" dxfId="7">
      <formula>p_currency="MAD"</formula>
    </cfRule>
    <cfRule type="expression" priority="99" dxfId="8">
      <formula>p_currency="EUR"</formula>
    </cfRule>
    <cfRule type="expression" priority="151" dxfId="9">
      <formula>p_currency="USD"</formula>
    </cfRule>
  </conditionalFormatting>
  <conditionalFormatting sqref="E34">
    <cfRule type="expression" priority="48" dxfId="7">
      <formula>p_currency="MAD"</formula>
    </cfRule>
    <cfRule type="expression" priority="100" dxfId="8">
      <formula>p_currency="EUR"</formula>
    </cfRule>
    <cfRule type="expression" priority="152" dxfId="9">
      <formula>p_currency="USD"</formula>
    </cfRule>
  </conditionalFormatting>
  <conditionalFormatting sqref="K29">
    <cfRule type="expression" priority="49" dxfId="7">
      <formula>p_currency="MAD"</formula>
    </cfRule>
    <cfRule type="expression" priority="101" dxfId="8">
      <formula>p_currency="EUR"</formula>
    </cfRule>
    <cfRule type="expression" priority="153" dxfId="9">
      <formula>p_currency="USD"</formula>
    </cfRule>
  </conditionalFormatting>
  <conditionalFormatting sqref="K30">
    <cfRule type="expression" priority="50" dxfId="7">
      <formula>p_currency="MAD"</formula>
    </cfRule>
    <cfRule type="expression" priority="102" dxfId="8">
      <formula>p_currency="EUR"</formula>
    </cfRule>
    <cfRule type="expression" priority="154" dxfId="9">
      <formula>p_currency="USD"</formula>
    </cfRule>
  </conditionalFormatting>
  <conditionalFormatting sqref="K31">
    <cfRule type="expression" priority="51" dxfId="7">
      <formula>p_currency="MAD"</formula>
    </cfRule>
    <cfRule type="expression" priority="103" dxfId="8">
      <formula>p_currency="EUR"</formula>
    </cfRule>
    <cfRule type="expression" priority="155" dxfId="9">
      <formula>p_currency="USD"</formula>
    </cfRule>
  </conditionalFormatting>
  <conditionalFormatting sqref="K32">
    <cfRule type="expression" priority="52" dxfId="7">
      <formula>p_currency="MAD"</formula>
    </cfRule>
    <cfRule type="expression" priority="104" dxfId="8">
      <formula>p_currency="EUR"</formula>
    </cfRule>
    <cfRule type="expression" priority="156" dxfId="9">
      <formula>p_currency="USD"</formula>
    </cfRule>
  </conditionalFormatting>
  <conditionalFormatting sqref="K33">
    <cfRule type="expression" priority="53" dxfId="7">
      <formula>p_currency="MAD"</formula>
    </cfRule>
    <cfRule type="expression" priority="105" dxfId="8">
      <formula>p_currency="EUR"</formula>
    </cfRule>
    <cfRule type="expression" priority="157" dxfId="9">
      <formula>p_currency="USD"</formula>
    </cfRule>
  </conditionalFormatting>
  <conditionalFormatting sqref="K34">
    <cfRule type="expression" priority="54" dxfId="7">
      <formula>p_currency="MAD"</formula>
    </cfRule>
    <cfRule type="expression" priority="106" dxfId="8">
      <formula>p_currency="EUR"</formula>
    </cfRule>
    <cfRule type="expression" priority="158" dxfId="9">
      <formula>p_currency="USD"</formula>
    </cfRule>
  </conditionalFormatting>
  <conditionalFormatting sqref="K35">
    <cfRule type="expression" priority="55" dxfId="7">
      <formula>p_currency="MAD"</formula>
    </cfRule>
    <cfRule type="expression" priority="107" dxfId="8">
      <formula>p_currency="EUR"</formula>
    </cfRule>
    <cfRule type="expression" priority="159" dxfId="9">
      <formula>p_currency="USD"</formula>
    </cfRule>
  </conditionalFormatting>
  <conditionalFormatting sqref="K36">
    <cfRule type="expression" priority="56" dxfId="7">
      <formula>p_currency="MAD"</formula>
    </cfRule>
    <cfRule type="expression" priority="108" dxfId="8">
      <formula>p_currency="EUR"</formula>
    </cfRule>
    <cfRule type="expression" priority="160" dxfId="9">
      <formula>p_currency="USD"</formula>
    </cfRule>
  </conditionalFormatting>
  <conditionalFormatting sqref="P54">
    <cfRule type="expression" priority="57" dxfId="7">
      <formula>p_currency="MAD"</formula>
    </cfRule>
    <cfRule type="expression" priority="109" dxfId="8">
      <formula>p_currency="EUR"</formula>
    </cfRule>
    <cfRule type="expression" priority="161" dxfId="9">
      <formula>p_currency="USD"</formula>
    </cfRule>
  </conditionalFormatting>
  <conditionalFormatting sqref="P55">
    <cfRule type="expression" priority="58" dxfId="7">
      <formula>p_currency="MAD"</formula>
    </cfRule>
    <cfRule type="expression" priority="110" dxfId="8">
      <formula>p_currency="EUR"</formula>
    </cfRule>
    <cfRule type="expression" priority="162" dxfId="9">
      <formula>p_currency="USD"</formula>
    </cfRule>
  </conditionalFormatting>
  <conditionalFormatting sqref="P56">
    <cfRule type="expression" priority="59" dxfId="7">
      <formula>p_currency="MAD"</formula>
    </cfRule>
    <cfRule type="expression" priority="111" dxfId="8">
      <formula>p_currency="EUR"</formula>
    </cfRule>
    <cfRule type="expression" priority="163" dxfId="9">
      <formula>p_currency="USD"</formula>
    </cfRule>
  </conditionalFormatting>
  <conditionalFormatting sqref="P57">
    <cfRule type="expression" priority="60" dxfId="7">
      <formula>p_currency="MAD"</formula>
    </cfRule>
    <cfRule type="expression" priority="112" dxfId="8">
      <formula>p_currency="EUR"</formula>
    </cfRule>
    <cfRule type="expression" priority="164" dxfId="9">
      <formula>p_currency="USD"</formula>
    </cfRule>
  </conditionalFormatting>
  <conditionalFormatting sqref="P58">
    <cfRule type="expression" priority="61" dxfId="7">
      <formula>p_currency="MAD"</formula>
    </cfRule>
    <cfRule type="expression" priority="113" dxfId="8">
      <formula>p_currency="EUR"</formula>
    </cfRule>
    <cfRule type="expression" priority="165" dxfId="9">
      <formula>p_currency="USD"</formula>
    </cfRule>
  </conditionalFormatting>
  <conditionalFormatting sqref="P59">
    <cfRule type="expression" priority="62" dxfId="7">
      <formula>p_currency="MAD"</formula>
    </cfRule>
    <cfRule type="expression" priority="114" dxfId="8">
      <formula>p_currency="EUR"</formula>
    </cfRule>
    <cfRule type="expression" priority="166" dxfId="9">
      <formula>p_currency="USD"</formula>
    </cfRule>
  </conditionalFormatting>
  <conditionalFormatting sqref="P60">
    <cfRule type="expression" priority="63" dxfId="7">
      <formula>p_currency="MAD"</formula>
    </cfRule>
    <cfRule type="expression" priority="115" dxfId="8">
      <formula>p_currency="EUR"</formula>
    </cfRule>
    <cfRule type="expression" priority="167" dxfId="9">
      <formula>p_currency="USD"</formula>
    </cfRule>
  </conditionalFormatting>
  <conditionalFormatting sqref="P61">
    <cfRule type="expression" priority="64" dxfId="7">
      <formula>p_currency="MAD"</formula>
    </cfRule>
    <cfRule type="expression" priority="116" dxfId="8">
      <formula>p_currency="EUR"</formula>
    </cfRule>
    <cfRule type="expression" priority="168" dxfId="9">
      <formula>p_currency="USD"</formula>
    </cfRule>
  </conditionalFormatting>
  <conditionalFormatting sqref="P62">
    <cfRule type="expression" priority="65" dxfId="7">
      <formula>p_currency="MAD"</formula>
    </cfRule>
    <cfRule type="expression" priority="117" dxfId="8">
      <formula>p_currency="EUR"</formula>
    </cfRule>
    <cfRule type="expression" priority="169" dxfId="9">
      <formula>p_currency="USD"</formula>
    </cfRule>
  </conditionalFormatting>
  <conditionalFormatting sqref="P63">
    <cfRule type="expression" priority="66" dxfId="7">
      <formula>p_currency="MAD"</formula>
    </cfRule>
    <cfRule type="expression" priority="118" dxfId="8">
      <formula>p_currency="EUR"</formula>
    </cfRule>
    <cfRule type="expression" priority="170" dxfId="9">
      <formula>p_currency="USD"</formula>
    </cfRule>
  </conditionalFormatting>
  <dataValidations count="1">
    <dataValidation sqref="M3" showDropDown="0" showInputMessage="1" showErrorMessage="1" allowBlank="1" errorTitle="Année" error="Année des achats à afficher, par exemple 2026. Vide : l'année de la date du jour." promptTitle="Année" prompt="Année des achats à afficher, par exemple 2026. Vide : l'année de la date du jour." type="whole" operator="between">
      <formula1>2000</formula1>
      <formula2>2100</formula2>
    </dataValidation>
  </dataValidations>
  <hyperlinks>
    <hyperlink ref="P1" location="'Mode d''emploi'!A1"/>
  </hyperlinks>
  <printOptions horizontalCentered="1"/>
  <pageMargins left="0.4" right="0.4" top="0.5" bottom="0.5"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FF1D4ED8"/>
    <outlinePr summaryBelow="1" summaryRight="1"/>
    <pageSetUpPr fitToPage="1"/>
  </sheetPr>
  <dimension ref="A1:AI20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1" customWidth="1" min="3" max="3"/>
    <col width="22" customWidth="1" min="4" max="4"/>
    <col width="13" customWidth="1" min="5" max="5"/>
    <col width="28" customWidth="1" min="6" max="6"/>
    <col width="8" customWidth="1" min="7" max="7"/>
    <col width="9" customWidth="1" min="8" max="8"/>
    <col width="10" customWidth="1" min="9" max="9"/>
    <col width="11" customWidth="1" min="10" max="10"/>
    <col width="8" customWidth="1" min="11" max="11"/>
    <col width="8" customWidth="1" min="12" max="12"/>
    <col width="7" customWidth="1" min="13" max="13"/>
    <col width="12" customWidth="1" min="14" max="14"/>
    <col width="11" customWidth="1" min="15" max="15"/>
    <col width="12" customWidth="1" min="16" max="16"/>
    <col width="11" customWidth="1" min="17" max="17"/>
    <col width="11" customWidth="1" min="18" max="18"/>
    <col width="11" customWidth="1" min="19" max="19"/>
    <col width="9" customWidth="1" min="20" max="20"/>
    <col width="11" customWidth="1" min="21" max="21"/>
    <col width="8" customWidth="1" min="22" max="22"/>
    <col width="9" customWidth="1" min="23" max="23"/>
    <col width="11" customWidth="1" min="24" max="24"/>
    <col width="8" customWidth="1" min="25" max="25"/>
    <col width="28"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s>
  <sheetData>
    <row r="1" ht="38" customHeight="1">
      <c r="A1" s="2" t="inlineStr">
        <is>
          <t>Commandes fournisseurs</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8" t="inlineStr">
        <is>
          <t>⌂ Mode d'emploi</t>
        </is>
      </c>
    </row>
    <row r="2" ht="22" customHeight="1">
      <c r="A2" s="4" t="inlineStr">
        <is>
          <t>Une ligne par article commandé. Toutes les lignes d'un bon portent le même N°. Remplissez les colonnes blanches.</t>
        </is>
      </c>
      <c r="B2" s="3" t="n"/>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row>
    <row r="3" ht="18" customHeight="1">
      <c r="A3" s="62" t="str">
        <f>"Prochain N° de bon : "&amp;p_next</f>
        <v>Prochain N° de bon : BC-2026-0120</v>
      </c>
      <c r="X3" s="16" t="inlineStr">
        <is>
          <t>Saisie</t>
        </is>
      </c>
      <c r="Y3" s="17" t="inlineStr">
        <is>
          <t>Calcul auto</t>
        </is>
      </c>
    </row>
    <row r="5" ht="34" customHeight="1">
      <c r="A5" s="45" t="inlineStr">
        <is>
          <t>N° de bon</t>
        </is>
      </c>
      <c r="B5" s="45" t="inlineStr">
        <is>
          <t>Date</t>
        </is>
      </c>
      <c r="C5" s="45" t="inlineStr">
        <is>
          <t>Fournisseur</t>
        </is>
      </c>
      <c r="D5" s="45" t="inlineStr">
        <is>
          <t>Nom du fournisseur</t>
        </is>
      </c>
      <c r="E5" s="45" t="inlineStr">
        <is>
          <t>Réf. article</t>
        </is>
      </c>
      <c r="F5" s="45" t="inlineStr">
        <is>
          <t>Désignation</t>
        </is>
      </c>
      <c r="G5" s="45" t="inlineStr">
        <is>
          <t>Unité</t>
        </is>
      </c>
      <c r="H5" s="45" t="inlineStr">
        <is>
          <t>Quantité</t>
        </is>
      </c>
      <c r="I5" s="45" t="inlineStr">
        <is>
          <t>Prix HT saisi</t>
        </is>
      </c>
      <c r="J5" s="45" t="inlineStr">
        <is>
          <t>Prix HT retenu</t>
        </is>
      </c>
      <c r="K5" s="45" t="inlineStr">
        <is>
          <t>Remise</t>
        </is>
      </c>
      <c r="L5" s="45" t="inlineStr">
        <is>
          <t>TVA saisie</t>
        </is>
      </c>
      <c r="M5" s="45" t="inlineStr">
        <is>
          <t>TVA</t>
        </is>
      </c>
      <c r="N5" s="45" t="inlineStr">
        <is>
          <t>Montant HT</t>
        </is>
      </c>
      <c r="O5" s="45" t="inlineStr">
        <is>
          <t>TVA (montant)</t>
        </is>
      </c>
      <c r="P5" s="45" t="inlineStr">
        <is>
          <t>Montant TTC</t>
        </is>
      </c>
      <c r="Q5" s="45" t="inlineStr">
        <is>
          <t>Livraison promise</t>
        </is>
      </c>
      <c r="R5" s="45" t="inlineStr">
        <is>
          <t>Livraison prévue</t>
        </is>
      </c>
      <c r="S5" s="45" t="inlineStr">
        <is>
          <t>Envoyé le</t>
        </is>
      </c>
      <c r="T5" s="45" t="inlineStr">
        <is>
          <t>Qté reçue</t>
        </is>
      </c>
      <c r="U5" s="45" t="inlineStr">
        <is>
          <t>Date de réception</t>
        </is>
      </c>
      <c r="V5" s="45" t="inlineStr">
        <is>
          <t>Annulée</t>
        </is>
      </c>
      <c r="W5" s="45" t="inlineStr">
        <is>
          <t>Reste à recevoir</t>
        </is>
      </c>
      <c r="X5" s="45" t="inlineStr">
        <is>
          <t>Statut</t>
        </is>
      </c>
      <c r="Y5" s="45" t="inlineStr">
        <is>
          <t>Retard (j)</t>
        </is>
      </c>
      <c r="Z5" s="45" t="inlineStr">
        <is>
          <t>Contrôle</t>
        </is>
      </c>
      <c r="AA5" s="45" t="inlineStr">
        <is>
          <t>À l'heure</t>
        </is>
      </c>
      <c r="AB5" s="45" t="inlineStr">
        <is>
          <t>Clé suivi</t>
        </is>
      </c>
      <c r="AC5" s="45" t="inlineStr">
        <is>
          <t>1re ligne</t>
        </is>
      </c>
      <c r="AD5" s="45" t="inlineStr">
        <is>
          <t>N° d'ordre</t>
        </is>
      </c>
      <c r="AE5" s="45" t="inlineStr">
        <is>
          <t>Liste des bons</t>
        </is>
      </c>
      <c r="AF5" s="45" t="inlineStr">
        <is>
          <t>Ligne du bon affiché</t>
        </is>
      </c>
      <c r="AG5" s="45" t="inlineStr">
        <is>
          <t>Bon en cours</t>
        </is>
      </c>
      <c r="AH5" s="45" t="inlineStr">
        <is>
          <t>Reste HT</t>
        </is>
      </c>
      <c r="AI5" s="45" t="inlineStr">
        <is>
          <t>Reçu HT</t>
        </is>
      </c>
    </row>
    <row r="6">
      <c r="A6" s="63" t="inlineStr">
        <is>
          <t>BC-2026-0101</t>
        </is>
      </c>
      <c r="B6" s="64" t="n">
        <v>46268</v>
      </c>
      <c r="C6" s="65" t="inlineStr">
        <is>
          <t>MET01</t>
        </is>
      </c>
      <c r="D6" s="66" t="str">
        <f>IF(C6="","",IFERROR(INDEX(sup_name,MATCH($C6,sup_code,0))&amp;"","Fournisseur inconnu"))</f>
        <v>Métaux Atlas SARL</v>
      </c>
      <c r="E6" s="63" t="inlineStr">
        <is>
          <t>TOL-S235-2</t>
        </is>
      </c>
      <c r="F6" s="66" t="str">
        <f>IF(E6="","",IFERROR(INDEX(art_des,MATCH($E6,art_ref,0))&amp;"","Article inconnu"))</f>
        <v>Tôle acier S235 ép. 2 mm</v>
      </c>
      <c r="G6" s="67" t="str">
        <f>IF(E6="","",IFERROR(INDEX(art_unit,MATCH($E6,art_ref,0))&amp;"",""))</f>
        <v>kg</v>
      </c>
      <c r="H6" s="68" t="n">
        <v>800</v>
      </c>
      <c r="I6" s="69" t="n"/>
      <c r="J6" s="70">
        <f>IF(E6="","",IF(ISNUMBER(I6),I6,IFERROR(IF(ISNUMBER(INDEX(art_price,MATCH($E6,art_ref,0))),INDEX(art_price,MATCH($E6,art_ref,0)),""),"")))</f>
        <v>11.8</v>
      </c>
      <c r="K6" s="71" t="n"/>
      <c r="L6" s="72" t="n"/>
      <c r="M6" s="72">
        <f>IF(E6="","",IF(L6&lt;&gt;"",L6,IFERROR(IF(ISNUMBER(INDEX(art_tva,MATCH($E6,art_ref,0))),INDEX(art_tva,MATCH($E6,art_ref,0)),""),"")))</f>
        <v>0.2</v>
      </c>
      <c r="N6" s="70">
        <f>IF(OR(E6="",J6=""),"",ROUND(N(H6)*J6*(1-N(K6)),2))</f>
        <v>9440.0</v>
      </c>
      <c r="O6" s="70">
        <f>IF(OR(N6="",NOT(ISNUMBER(M6))),"",ROUND(N6*M6,2))</f>
        <v>1888.0</v>
      </c>
      <c r="P6" s="70">
        <f>IF(N6="","",N6+N(O6))</f>
        <v>11328.0</v>
      </c>
      <c r="Q6" s="64" t="n"/>
      <c r="R6" s="73">
        <f>IF(N(Q6)&gt;0,Q6,IF(OR(N(B6)=0,ISNA(MATCH($C6,sup_code,0))),"",IF(ISNUMBER(INDEX(sup_delay,MATCH($C6,sup_code,0))),B6+INDEX(sup_delay,MATCH($C6,sup_code,0)),"")))</f>
        <v>46275.0</v>
      </c>
      <c r="S6" s="64" t="n">
        <v>46268</v>
      </c>
      <c r="T6" s="68" t="n">
        <v>800</v>
      </c>
      <c r="U6" s="64" t="n">
        <v>46274</v>
      </c>
      <c r="V6" s="65" t="n"/>
      <c r="W6" s="74">
        <f>IF(AND(A6="",E6=""),"",IF(V6="Oui",0,MAX(0,ROUND(N(H6)-N(T6),6))))</f>
        <v>0.0</v>
      </c>
      <c r="X6" s="67" t="str">
        <f>IF(AND(A6="",E6=""),"",IF(V6="Oui","Annulé",IF(AND(N(H6)&gt;0,N(T6)&gt;=N(H6)),"Reçu",IF(N(S6)=0,"Brouillon",IF(AND(ISNUMBER(R6),R6&lt;p_today),"En retard",IF(N(T6)&gt;0,"Partiel","Envoyé"))))))</f>
        <v>Reçu</v>
      </c>
      <c r="Y6" s="75">
        <f>IF(X6="En retard",p_today-R6,IF(AND(X6="Reçu",ISNUMBER(R6)),MAX(0,N(U6)-R6),""))</f>
        <v>0.0</v>
      </c>
      <c r="Z6" s="67" t="str">
        <f>IF(AND(A6="",E6=""),"",IF(A6="","N° de bon manquant",IF(N(B6)=0,"Date de commande manquante",IF(C6="","Fournisseur manquant",IF(ISNA(MATCH($C6,sup_code,0)),"Fournisseur inconnu",IF(E6="","Article manquant",IF(ISNA(MATCH($E6,art_ref,0)),"Article inconnu",IF(N(H6)&lt;=0,"Quantité invalide",IF(J6="","Prix manquant",IF(OR(N(K6)&lt;0,N(K6)&gt;=1),"Remise invalide",IF(M6="","TVA manquante",IF(ISNA(MATCH(M6,p_tva,0)),"Taux de TVA inconnu",IF(COUNTIFS(po_num,A6,po_sup,"&lt;&gt;"&amp;C6)&gt;0,"Fournisseur différent sur ce bon",IF(COUNTIFS(po_num,A6,po_date,"&lt;&gt;"&amp;B6)&gt;0,"Date différente sur ce bon",IF(COUNTIF(po_num,A6)&gt;25,"Plus de 25 lignes sur ce bon",IF(R6="","Date de livraison manquante",IF(R6&lt;B6,"Livraison avant la commande",IF(AND(N(T6)&gt;0,N(S6)=0),"Date d'envoi manquante",IF(N(T6)&gt;N(H6),"Reçu plus que commandé",IF(AND(N(T6)&gt;0,N(U6)=0),"Date de réception manquante",IF(AND(N(U6)&gt;0,U6&lt;B6),"Réception avant la commande","OK")))))))))))))))))))))</f>
        <v>OK</v>
      </c>
      <c r="AA6" s="66">
        <f>IF(AND(X6="Reçu",ISNUMBER(R6)),IF(N(U6)&lt;=R6,1,0),"")</f>
        <v>1.0</v>
      </c>
      <c r="AB6" s="76" t="str">
        <f>IF(OR(X6="Envoyé",X6="Partiel",X6="En retard"),IF(ISNUMBER(R6),R6,100000)+ROW()/100000,"")</f>
        <v/>
      </c>
      <c r="AC6" s="66">
        <f>IF(A6="","",IF(COUNTIF($A$6:A6,A6)=1,1,""))</f>
        <v>1.0</v>
      </c>
      <c r="AD6" s="66">
        <f>IF(AC6=1,COUNT($AC$6:AC6),"")</f>
        <v>1.0</v>
      </c>
      <c r="AE6" s="66" t="str">
        <f>IFERROR(INDEX(po_num,MATCH(1,po_seq,0))&amp;"","")</f>
        <v>BC-2026-0101</v>
      </c>
      <c r="AF6" s="66" t="str">
        <f>IF(OR(A6="",p_po=""),"",IF(A6&amp;""=p_po,COUNTIF($A$6:A6,A6),""))</f>
        <v/>
      </c>
      <c r="AG6" s="66" t="str">
        <f>IF(OR(AB6="",A6=""),"",IF(COUNTIFS($A$6:A6,A6,$AB$6:AB6,"&gt;0")=1,1,""))</f>
        <v/>
      </c>
      <c r="AH6" s="70" t="str">
        <f>IF(AB6="","",ROUND(N(W6)*N(J6)*(1-N(K6)),2))</f>
        <v/>
      </c>
      <c r="AI6" s="70">
        <f>IF(OR(J6="",N(T6)&lt;=0,V6="Oui"),"",ROUND(N(T6)*J6*(1-N(K6)),2))</f>
        <v>9440.0</v>
      </c>
    </row>
    <row r="7">
      <c r="A7" s="63" t="inlineStr">
        <is>
          <t>BC-2026-0101</t>
        </is>
      </c>
      <c r="B7" s="64" t="n">
        <v>46268</v>
      </c>
      <c r="C7" s="65" t="inlineStr">
        <is>
          <t>MET01</t>
        </is>
      </c>
      <c r="D7" s="66" t="str">
        <f>IF(C7="","",IFERROR(INDEX(sup_name,MATCH($C7,sup_code,0))&amp;"","Fournisseur inconnu"))</f>
        <v>Métaux Atlas SARL</v>
      </c>
      <c r="E7" s="63" t="inlineStr">
        <is>
          <t>TOL-S235-4</t>
        </is>
      </c>
      <c r="F7" s="66" t="str">
        <f>IF(E7="","",IFERROR(INDEX(art_des,MATCH($E7,art_ref,0))&amp;"","Article inconnu"))</f>
        <v>Tôle acier S235 ép. 4 mm</v>
      </c>
      <c r="G7" s="67" t="str">
        <f>IF(E7="","",IFERROR(INDEX(art_unit,MATCH($E7,art_ref,0))&amp;"",""))</f>
        <v>kg</v>
      </c>
      <c r="H7" s="68" t="n">
        <v>600</v>
      </c>
      <c r="I7" s="69" t="n"/>
      <c r="J7" s="70">
        <f>IF(E7="","",IF(ISNUMBER(I7),I7,IFERROR(IF(ISNUMBER(INDEX(art_price,MATCH($E7,art_ref,0))),INDEX(art_price,MATCH($E7,art_ref,0)),""),"")))</f>
        <v>11.4</v>
      </c>
      <c r="K7" s="71" t="n"/>
      <c r="L7" s="72" t="n"/>
      <c r="M7" s="72">
        <f>IF(E7="","",IF(L7&lt;&gt;"",L7,IFERROR(IF(ISNUMBER(INDEX(art_tva,MATCH($E7,art_ref,0))),INDEX(art_tva,MATCH($E7,art_ref,0)),""),"")))</f>
        <v>0.2</v>
      </c>
      <c r="N7" s="70">
        <f>IF(OR(E7="",J7=""),"",ROUND(N(H7)*J7*(1-N(K7)),2))</f>
        <v>6840.0</v>
      </c>
      <c r="O7" s="70">
        <f>IF(OR(N7="",NOT(ISNUMBER(M7))),"",ROUND(N7*M7,2))</f>
        <v>1368.0</v>
      </c>
      <c r="P7" s="70">
        <f>IF(N7="","",N7+N(O7))</f>
        <v>8208.0</v>
      </c>
      <c r="Q7" s="64" t="n"/>
      <c r="R7" s="73">
        <f>IF(N(Q7)&gt;0,Q7,IF(OR(N(B7)=0,ISNA(MATCH($C7,sup_code,0))),"",IF(ISNUMBER(INDEX(sup_delay,MATCH($C7,sup_code,0))),B7+INDEX(sup_delay,MATCH($C7,sup_code,0)),"")))</f>
        <v>46275.0</v>
      </c>
      <c r="S7" s="64" t="n">
        <v>46268</v>
      </c>
      <c r="T7" s="68" t="n">
        <v>600</v>
      </c>
      <c r="U7" s="64" t="n">
        <v>46274</v>
      </c>
      <c r="V7" s="65" t="n"/>
      <c r="W7" s="74">
        <f>IF(AND(A7="",E7=""),"",IF(V7="Oui",0,MAX(0,ROUND(N(H7)-N(T7),6))))</f>
        <v>0.0</v>
      </c>
      <c r="X7" s="67" t="str">
        <f>IF(AND(A7="",E7=""),"",IF(V7="Oui","Annulé",IF(AND(N(H7)&gt;0,N(T7)&gt;=N(H7)),"Reçu",IF(N(S7)=0,"Brouillon",IF(AND(ISNUMBER(R7),R7&lt;p_today),"En retard",IF(N(T7)&gt;0,"Partiel","Envoyé"))))))</f>
        <v>Reçu</v>
      </c>
      <c r="Y7" s="75">
        <f>IF(X7="En retard",p_today-R7,IF(AND(X7="Reçu",ISNUMBER(R7)),MAX(0,N(U7)-R7),""))</f>
        <v>0.0</v>
      </c>
      <c r="Z7" s="67" t="str">
        <f>IF(AND(A7="",E7=""),"",IF(A7="","N° de bon manquant",IF(N(B7)=0,"Date de commande manquante",IF(C7="","Fournisseur manquant",IF(ISNA(MATCH($C7,sup_code,0)),"Fournisseur inconnu",IF(E7="","Article manquant",IF(ISNA(MATCH($E7,art_ref,0)),"Article inconnu",IF(N(H7)&lt;=0,"Quantité invalide",IF(J7="","Prix manquant",IF(OR(N(K7)&lt;0,N(K7)&gt;=1),"Remise invalide",IF(M7="","TVA manquante",IF(ISNA(MATCH(M7,p_tva,0)),"Taux de TVA inconnu",IF(COUNTIFS(po_num,A7,po_sup,"&lt;&gt;"&amp;C7)&gt;0,"Fournisseur différent sur ce bon",IF(COUNTIFS(po_num,A7,po_date,"&lt;&gt;"&amp;B7)&gt;0,"Date différente sur ce bon",IF(COUNTIF(po_num,A7)&gt;25,"Plus de 25 lignes sur ce bon",IF(R7="","Date de livraison manquante",IF(R7&lt;B7,"Livraison avant la commande",IF(AND(N(T7)&gt;0,N(S7)=0),"Date d'envoi manquante",IF(N(T7)&gt;N(H7),"Reçu plus que commandé",IF(AND(N(T7)&gt;0,N(U7)=0),"Date de réception manquante",IF(AND(N(U7)&gt;0,U7&lt;B7),"Réception avant la commande","OK")))))))))))))))))))))</f>
        <v>OK</v>
      </c>
      <c r="AA7" s="66">
        <f>IF(AND(X7="Reçu",ISNUMBER(R7)),IF(N(U7)&lt;=R7,1,0),"")</f>
        <v>1.0</v>
      </c>
      <c r="AB7" s="76" t="str">
        <f>IF(OR(X7="Envoyé",X7="Partiel",X7="En retard"),IF(ISNUMBER(R7),R7,100000)+ROW()/100000,"")</f>
        <v/>
      </c>
      <c r="AC7" s="66" t="str">
        <f>IF(A7="","",IF(COUNTIF($A$6:A7,A7)=1,1,""))</f>
        <v/>
      </c>
      <c r="AD7" s="66" t="str">
        <f>IF(AC7=1,COUNT($AC$6:AC7),"")</f>
        <v/>
      </c>
      <c r="AE7" s="66" t="str">
        <f>IFERROR(INDEX(po_num,MATCH(2,po_seq,0))&amp;"","")</f>
        <v>BC-2026-0102</v>
      </c>
      <c r="AF7" s="66" t="str">
        <f>IF(OR(A7="",p_po=""),"",IF(A7&amp;""=p_po,COUNTIF($A$6:A7,A7),""))</f>
        <v/>
      </c>
      <c r="AG7" s="66" t="str">
        <f>IF(OR(AB7="",A7=""),"",IF(COUNTIFS($A$6:A7,A7,$AB$6:AB7,"&gt;0")=1,1,""))</f>
        <v/>
      </c>
      <c r="AH7" s="70" t="str">
        <f>IF(AB7="","",ROUND(N(W7)*N(J7)*(1-N(K7)),2))</f>
        <v/>
      </c>
      <c r="AI7" s="70">
        <f>IF(OR(J7="",N(T7)&lt;=0,V7="Oui"),"",ROUND(N(T7)*J7*(1-N(K7)),2))</f>
        <v>6840.0</v>
      </c>
    </row>
    <row r="8">
      <c r="A8" s="63" t="inlineStr">
        <is>
          <t>BC-2026-0101</t>
        </is>
      </c>
      <c r="B8" s="64" t="n">
        <v>46268</v>
      </c>
      <c r="C8" s="65" t="inlineStr">
        <is>
          <t>MET01</t>
        </is>
      </c>
      <c r="D8" s="66" t="str">
        <f>IF(C8="","",IFERROR(INDEX(sup_name,MATCH($C8,sup_code,0))&amp;"","Fournisseur inconnu"))</f>
        <v>Métaux Atlas SARL</v>
      </c>
      <c r="E8" s="63" t="inlineStr">
        <is>
          <t>ROND-C45-30</t>
        </is>
      </c>
      <c r="F8" s="66" t="str">
        <f>IF(E8="","",IFERROR(INDEX(art_des,MATCH($E8,art_ref,0))&amp;"","Article inconnu"))</f>
        <v>Rond acier C45 Ø30, barre 3 m</v>
      </c>
      <c r="G8" s="67" t="str">
        <f>IF(E8="","",IFERROR(INDEX(art_unit,MATCH($E8,art_ref,0))&amp;"",""))</f>
        <v>barre</v>
      </c>
      <c r="H8" s="68" t="n">
        <v>12</v>
      </c>
      <c r="I8" s="69" t="n"/>
      <c r="J8" s="70">
        <f>IF(E8="","",IF(ISNUMBER(I8),I8,IFERROR(IF(ISNUMBER(INDEX(art_price,MATCH($E8,art_ref,0))),INDEX(art_price,MATCH($E8,art_ref,0)),""),"")))</f>
        <v>285.0</v>
      </c>
      <c r="K8" s="71" t="n"/>
      <c r="L8" s="72" t="n"/>
      <c r="M8" s="72">
        <f>IF(E8="","",IF(L8&lt;&gt;"",L8,IFERROR(IF(ISNUMBER(INDEX(art_tva,MATCH($E8,art_ref,0))),INDEX(art_tva,MATCH($E8,art_ref,0)),""),"")))</f>
        <v>0.2</v>
      </c>
      <c r="N8" s="70">
        <f>IF(OR(E8="",J8=""),"",ROUND(N(H8)*J8*(1-N(K8)),2))</f>
        <v>3420.0</v>
      </c>
      <c r="O8" s="70">
        <f>IF(OR(N8="",NOT(ISNUMBER(M8))),"",ROUND(N8*M8,2))</f>
        <v>684.0</v>
      </c>
      <c r="P8" s="70">
        <f>IF(N8="","",N8+N(O8))</f>
        <v>4104.0</v>
      </c>
      <c r="Q8" s="64" t="n"/>
      <c r="R8" s="73">
        <f>IF(N(Q8)&gt;0,Q8,IF(OR(N(B8)=0,ISNA(MATCH($C8,sup_code,0))),"",IF(ISNUMBER(INDEX(sup_delay,MATCH($C8,sup_code,0))),B8+INDEX(sup_delay,MATCH($C8,sup_code,0)),"")))</f>
        <v>46275.0</v>
      </c>
      <c r="S8" s="64" t="n">
        <v>46268</v>
      </c>
      <c r="T8" s="68" t="n">
        <v>12</v>
      </c>
      <c r="U8" s="64" t="n">
        <v>46274</v>
      </c>
      <c r="V8" s="65" t="n"/>
      <c r="W8" s="74">
        <f>IF(AND(A8="",E8=""),"",IF(V8="Oui",0,MAX(0,ROUND(N(H8)-N(T8),6))))</f>
        <v>0.0</v>
      </c>
      <c r="X8" s="67" t="str">
        <f>IF(AND(A8="",E8=""),"",IF(V8="Oui","Annulé",IF(AND(N(H8)&gt;0,N(T8)&gt;=N(H8)),"Reçu",IF(N(S8)=0,"Brouillon",IF(AND(ISNUMBER(R8),R8&lt;p_today),"En retard",IF(N(T8)&gt;0,"Partiel","Envoyé"))))))</f>
        <v>Reçu</v>
      </c>
      <c r="Y8" s="75">
        <f>IF(X8="En retard",p_today-R8,IF(AND(X8="Reçu",ISNUMBER(R8)),MAX(0,N(U8)-R8),""))</f>
        <v>0.0</v>
      </c>
      <c r="Z8" s="67" t="str">
        <f>IF(AND(A8="",E8=""),"",IF(A8="","N° de bon manquant",IF(N(B8)=0,"Date de commande manquante",IF(C8="","Fournisseur manquant",IF(ISNA(MATCH($C8,sup_code,0)),"Fournisseur inconnu",IF(E8="","Article manquant",IF(ISNA(MATCH($E8,art_ref,0)),"Article inconnu",IF(N(H8)&lt;=0,"Quantité invalide",IF(J8="","Prix manquant",IF(OR(N(K8)&lt;0,N(K8)&gt;=1),"Remise invalide",IF(M8="","TVA manquante",IF(ISNA(MATCH(M8,p_tva,0)),"Taux de TVA inconnu",IF(COUNTIFS(po_num,A8,po_sup,"&lt;&gt;"&amp;C8)&gt;0,"Fournisseur différent sur ce bon",IF(COUNTIFS(po_num,A8,po_date,"&lt;&gt;"&amp;B8)&gt;0,"Date différente sur ce bon",IF(COUNTIF(po_num,A8)&gt;25,"Plus de 25 lignes sur ce bon",IF(R8="","Date de livraison manquante",IF(R8&lt;B8,"Livraison avant la commande",IF(AND(N(T8)&gt;0,N(S8)=0),"Date d'envoi manquante",IF(N(T8)&gt;N(H8),"Reçu plus que commandé",IF(AND(N(T8)&gt;0,N(U8)=0),"Date de réception manquante",IF(AND(N(U8)&gt;0,U8&lt;B8),"Réception avant la commande","OK")))))))))))))))))))))</f>
        <v>OK</v>
      </c>
      <c r="AA8" s="66">
        <f>IF(AND(X8="Reçu",ISNUMBER(R8)),IF(N(U8)&lt;=R8,1,0),"")</f>
        <v>1.0</v>
      </c>
      <c r="AB8" s="76" t="str">
        <f>IF(OR(X8="Envoyé",X8="Partiel",X8="En retard"),IF(ISNUMBER(R8),R8,100000)+ROW()/100000,"")</f>
        <v/>
      </c>
      <c r="AC8" s="66" t="str">
        <f>IF(A8="","",IF(COUNTIF($A$6:A8,A8)=1,1,""))</f>
        <v/>
      </c>
      <c r="AD8" s="66" t="str">
        <f>IF(AC8=1,COUNT($AC$6:AC8),"")</f>
        <v/>
      </c>
      <c r="AE8" s="66" t="str">
        <f>IFERROR(INDEX(po_num,MATCH(3,po_seq,0))&amp;"","")</f>
        <v>BC-2026-0103</v>
      </c>
      <c r="AF8" s="66" t="str">
        <f>IF(OR(A8="",p_po=""),"",IF(A8&amp;""=p_po,COUNTIF($A$6:A8,A8),""))</f>
        <v/>
      </c>
      <c r="AG8" s="66" t="str">
        <f>IF(OR(AB8="",A8=""),"",IF(COUNTIFS($A$6:A8,A8,$AB$6:AB8,"&gt;0")=1,1,""))</f>
        <v/>
      </c>
      <c r="AH8" s="70" t="str">
        <f>IF(AB8="","",ROUND(N(W8)*N(J8)*(1-N(K8)),2))</f>
        <v/>
      </c>
      <c r="AI8" s="70">
        <f>IF(OR(J8="",N(T8)&lt;=0,V8="Oui"),"",ROUND(N(T8)*J8*(1-N(K8)),2))</f>
        <v>3420.0</v>
      </c>
    </row>
    <row r="9">
      <c r="A9" s="63" t="inlineStr">
        <is>
          <t>BC-2026-0102</t>
        </is>
      </c>
      <c r="B9" s="64" t="n">
        <v>46273</v>
      </c>
      <c r="C9" s="65" t="inlineStr">
        <is>
          <t>FIX03</t>
        </is>
      </c>
      <c r="D9" s="66" t="str">
        <f>IF(C9="","",IFERROR(INDEX(sup_name,MATCH($C9,sup_code,0))&amp;"","Fournisseur inconnu"))</f>
        <v>Fixations Souss SARL</v>
      </c>
      <c r="E9" s="63" t="inlineStr">
        <is>
          <t>VIS-M8-25</t>
        </is>
      </c>
      <c r="F9" s="66" t="str">
        <f>IF(E9="","",IFERROR(INDEX(art_des,MATCH($E9,art_ref,0))&amp;"","Article inconnu"))</f>
        <v>Vis H M8x25 classe 8.8 (boîte de 100)</v>
      </c>
      <c r="G9" s="67" t="str">
        <f>IF(E9="","",IFERROR(INDEX(art_unit,MATCH($E9,art_ref,0))&amp;"",""))</f>
        <v>boîte</v>
      </c>
      <c r="H9" s="68" t="n">
        <v>20</v>
      </c>
      <c r="I9" s="69" t="n"/>
      <c r="J9" s="70">
        <f>IF(E9="","",IF(ISNUMBER(I9),I9,IFERROR(IF(ISNUMBER(INDEX(art_price,MATCH($E9,art_ref,0))),INDEX(art_price,MATCH($E9,art_ref,0)),""),"")))</f>
        <v>46.0</v>
      </c>
      <c r="K9" s="71" t="n">
        <v>0.05</v>
      </c>
      <c r="L9" s="72" t="n"/>
      <c r="M9" s="72">
        <f>IF(E9="","",IF(L9&lt;&gt;"",L9,IFERROR(IF(ISNUMBER(INDEX(art_tva,MATCH($E9,art_ref,0))),INDEX(art_tva,MATCH($E9,art_ref,0)),""),"")))</f>
        <v>0.2</v>
      </c>
      <c r="N9" s="70">
        <f>IF(OR(E9="",J9=""),"",ROUND(N(H9)*J9*(1-N(K9)),2))</f>
        <v>874.0</v>
      </c>
      <c r="O9" s="70">
        <f>IF(OR(N9="",NOT(ISNUMBER(M9))),"",ROUND(N9*M9,2))</f>
        <v>174.8</v>
      </c>
      <c r="P9" s="70">
        <f>IF(N9="","",N9+N(O9))</f>
        <v>1048.8</v>
      </c>
      <c r="Q9" s="64" t="n"/>
      <c r="R9" s="73">
        <f>IF(N(Q9)&gt;0,Q9,IF(OR(N(B9)=0,ISNA(MATCH($C9,sup_code,0))),"",IF(ISNUMBER(INDEX(sup_delay,MATCH($C9,sup_code,0))),B9+INDEX(sup_delay,MATCH($C9,sup_code,0)),"")))</f>
        <v>46278.0</v>
      </c>
      <c r="S9" s="64" t="n">
        <v>46273</v>
      </c>
      <c r="T9" s="68" t="n">
        <v>20</v>
      </c>
      <c r="U9" s="64" t="n">
        <v>46280</v>
      </c>
      <c r="V9" s="65" t="n"/>
      <c r="W9" s="74">
        <f>IF(AND(A9="",E9=""),"",IF(V9="Oui",0,MAX(0,ROUND(N(H9)-N(T9),6))))</f>
        <v>0.0</v>
      </c>
      <c r="X9" s="67" t="str">
        <f>IF(AND(A9="",E9=""),"",IF(V9="Oui","Annulé",IF(AND(N(H9)&gt;0,N(T9)&gt;=N(H9)),"Reçu",IF(N(S9)=0,"Brouillon",IF(AND(ISNUMBER(R9),R9&lt;p_today),"En retard",IF(N(T9)&gt;0,"Partiel","Envoyé"))))))</f>
        <v>Reçu</v>
      </c>
      <c r="Y9" s="75">
        <f>IF(X9="En retard",p_today-R9,IF(AND(X9="Reçu",ISNUMBER(R9)),MAX(0,N(U9)-R9),""))</f>
        <v>2.0</v>
      </c>
      <c r="Z9" s="67" t="str">
        <f>IF(AND(A9="",E9=""),"",IF(A9="","N° de bon manquant",IF(N(B9)=0,"Date de commande manquante",IF(C9="","Fournisseur manquant",IF(ISNA(MATCH($C9,sup_code,0)),"Fournisseur inconnu",IF(E9="","Article manquant",IF(ISNA(MATCH($E9,art_ref,0)),"Article inconnu",IF(N(H9)&lt;=0,"Quantité invalide",IF(J9="","Prix manquant",IF(OR(N(K9)&lt;0,N(K9)&gt;=1),"Remise invalide",IF(M9="","TVA manquante",IF(ISNA(MATCH(M9,p_tva,0)),"Taux de TVA inconnu",IF(COUNTIFS(po_num,A9,po_sup,"&lt;&gt;"&amp;C9)&gt;0,"Fournisseur différent sur ce bon",IF(COUNTIFS(po_num,A9,po_date,"&lt;&gt;"&amp;B9)&gt;0,"Date différente sur ce bon",IF(COUNTIF(po_num,A9)&gt;25,"Plus de 25 lignes sur ce bon",IF(R9="","Date de livraison manquante",IF(R9&lt;B9,"Livraison avant la commande",IF(AND(N(T9)&gt;0,N(S9)=0),"Date d'envoi manquante",IF(N(T9)&gt;N(H9),"Reçu plus que commandé",IF(AND(N(T9)&gt;0,N(U9)=0),"Date de réception manquante",IF(AND(N(U9)&gt;0,U9&lt;B9),"Réception avant la commande","OK")))))))))))))))))))))</f>
        <v>OK</v>
      </c>
      <c r="AA9" s="66">
        <f>IF(AND(X9="Reçu",ISNUMBER(R9)),IF(N(U9)&lt;=R9,1,0),"")</f>
        <v>0.0</v>
      </c>
      <c r="AB9" s="76" t="str">
        <f>IF(OR(X9="Envoyé",X9="Partiel",X9="En retard"),IF(ISNUMBER(R9),R9,100000)+ROW()/100000,"")</f>
        <v/>
      </c>
      <c r="AC9" s="66">
        <f>IF(A9="","",IF(COUNTIF($A$6:A9,A9)=1,1,""))</f>
        <v>1.0</v>
      </c>
      <c r="AD9" s="66">
        <f>IF(AC9=1,COUNT($AC$6:AC9),"")</f>
        <v>2.0</v>
      </c>
      <c r="AE9" s="66" t="str">
        <f>IFERROR(INDEX(po_num,MATCH(4,po_seq,0))&amp;"","")</f>
        <v>BC-2026-0104</v>
      </c>
      <c r="AF9" s="66" t="str">
        <f>IF(OR(A9="",p_po=""),"",IF(A9&amp;""=p_po,COUNTIF($A$6:A9,A9),""))</f>
        <v/>
      </c>
      <c r="AG9" s="66" t="str">
        <f>IF(OR(AB9="",A9=""),"",IF(COUNTIFS($A$6:A9,A9,$AB$6:AB9,"&gt;0")=1,1,""))</f>
        <v/>
      </c>
      <c r="AH9" s="70" t="str">
        <f>IF(AB9="","",ROUND(N(W9)*N(J9)*(1-N(K9)),2))</f>
        <v/>
      </c>
      <c r="AI9" s="70">
        <f>IF(OR(J9="",N(T9)&lt;=0,V9="Oui"),"",ROUND(N(T9)*J9*(1-N(K9)),2))</f>
        <v>874.0</v>
      </c>
    </row>
    <row r="10">
      <c r="A10" s="63" t="inlineStr">
        <is>
          <t>BC-2026-0102</t>
        </is>
      </c>
      <c r="B10" s="64" t="n">
        <v>46273</v>
      </c>
      <c r="C10" s="65" t="inlineStr">
        <is>
          <t>FIX03</t>
        </is>
      </c>
      <c r="D10" s="66" t="str">
        <f>IF(C10="","",IFERROR(INDEX(sup_name,MATCH($C10,sup_code,0))&amp;"","Fournisseur inconnu"))</f>
        <v>Fixations Souss SARL</v>
      </c>
      <c r="E10" s="63" t="inlineStr">
        <is>
          <t>ECR-M8</t>
        </is>
      </c>
      <c r="F10" s="66" t="str">
        <f>IF(E10="","",IFERROR(INDEX(art_des,MATCH($E10,art_ref,0))&amp;"","Article inconnu"))</f>
        <v>Écrou H M8 classe 8 (boîte de 100)</v>
      </c>
      <c r="G10" s="67" t="str">
        <f>IF(E10="","",IFERROR(INDEX(art_unit,MATCH($E10,art_ref,0))&amp;"",""))</f>
        <v>boîte</v>
      </c>
      <c r="H10" s="68" t="n">
        <v>20</v>
      </c>
      <c r="I10" s="69" t="n"/>
      <c r="J10" s="70">
        <f>IF(E10="","",IF(ISNUMBER(I10),I10,IFERROR(IF(ISNUMBER(INDEX(art_price,MATCH($E10,art_ref,0))),INDEX(art_price,MATCH($E10,art_ref,0)),""),"")))</f>
        <v>22.0</v>
      </c>
      <c r="K10" s="71" t="n">
        <v>0.05</v>
      </c>
      <c r="L10" s="72" t="n"/>
      <c r="M10" s="72">
        <f>IF(E10="","",IF(L10&lt;&gt;"",L10,IFERROR(IF(ISNUMBER(INDEX(art_tva,MATCH($E10,art_ref,0))),INDEX(art_tva,MATCH($E10,art_ref,0)),""),"")))</f>
        <v>0.2</v>
      </c>
      <c r="N10" s="70">
        <f>IF(OR(E10="",J10=""),"",ROUND(N(H10)*J10*(1-N(K10)),2))</f>
        <v>418.0</v>
      </c>
      <c r="O10" s="70">
        <f>IF(OR(N10="",NOT(ISNUMBER(M10))),"",ROUND(N10*M10,2))</f>
        <v>83.6</v>
      </c>
      <c r="P10" s="70">
        <f>IF(N10="","",N10+N(O10))</f>
        <v>501.6</v>
      </c>
      <c r="Q10" s="64" t="n"/>
      <c r="R10" s="73">
        <f>IF(N(Q10)&gt;0,Q10,IF(OR(N(B10)=0,ISNA(MATCH($C10,sup_code,0))),"",IF(ISNUMBER(INDEX(sup_delay,MATCH($C10,sup_code,0))),B10+INDEX(sup_delay,MATCH($C10,sup_code,0)),"")))</f>
        <v>46278.0</v>
      </c>
      <c r="S10" s="64" t="n">
        <v>46273</v>
      </c>
      <c r="T10" s="68" t="n">
        <v>20</v>
      </c>
      <c r="U10" s="64" t="n">
        <v>46280</v>
      </c>
      <c r="V10" s="65" t="n"/>
      <c r="W10" s="74">
        <f>IF(AND(A10="",E10=""),"",IF(V10="Oui",0,MAX(0,ROUND(N(H10)-N(T10),6))))</f>
        <v>0.0</v>
      </c>
      <c r="X10" s="67" t="str">
        <f>IF(AND(A10="",E10=""),"",IF(V10="Oui","Annulé",IF(AND(N(H10)&gt;0,N(T10)&gt;=N(H10)),"Reçu",IF(N(S10)=0,"Brouillon",IF(AND(ISNUMBER(R10),R10&lt;p_today),"En retard",IF(N(T10)&gt;0,"Partiel","Envoyé"))))))</f>
        <v>Reçu</v>
      </c>
      <c r="Y10" s="75">
        <f>IF(X10="En retard",p_today-R10,IF(AND(X10="Reçu",ISNUMBER(R10)),MAX(0,N(U10)-R10),""))</f>
        <v>2.0</v>
      </c>
      <c r="Z10" s="67" t="str">
        <f>IF(AND(A10="",E10=""),"",IF(A10="","N° de bon manquant",IF(N(B10)=0,"Date de commande manquante",IF(C10="","Fournisseur manquant",IF(ISNA(MATCH($C10,sup_code,0)),"Fournisseur inconnu",IF(E10="","Article manquant",IF(ISNA(MATCH($E10,art_ref,0)),"Article inconnu",IF(N(H10)&lt;=0,"Quantité invalide",IF(J10="","Prix manquant",IF(OR(N(K10)&lt;0,N(K10)&gt;=1),"Remise invalide",IF(M10="","TVA manquante",IF(ISNA(MATCH(M10,p_tva,0)),"Taux de TVA inconnu",IF(COUNTIFS(po_num,A10,po_sup,"&lt;&gt;"&amp;C10)&gt;0,"Fournisseur différent sur ce bon",IF(COUNTIFS(po_num,A10,po_date,"&lt;&gt;"&amp;B10)&gt;0,"Date différente sur ce bon",IF(COUNTIF(po_num,A10)&gt;25,"Plus de 25 lignes sur ce bon",IF(R10="","Date de livraison manquante",IF(R10&lt;B10,"Livraison avant la commande",IF(AND(N(T10)&gt;0,N(S10)=0),"Date d'envoi manquante",IF(N(T10)&gt;N(H10),"Reçu plus que commandé",IF(AND(N(T10)&gt;0,N(U10)=0),"Date de réception manquante",IF(AND(N(U10)&gt;0,U10&lt;B10),"Réception avant la commande","OK")))))))))))))))))))))</f>
        <v>OK</v>
      </c>
      <c r="AA10" s="66">
        <f>IF(AND(X10="Reçu",ISNUMBER(R10)),IF(N(U10)&lt;=R10,1,0),"")</f>
        <v>0.0</v>
      </c>
      <c r="AB10" s="76" t="str">
        <f>IF(OR(X10="Envoyé",X10="Partiel",X10="En retard"),IF(ISNUMBER(R10),R10,100000)+ROW()/100000,"")</f>
        <v/>
      </c>
      <c r="AC10" s="66" t="str">
        <f>IF(A10="","",IF(COUNTIF($A$6:A10,A10)=1,1,""))</f>
        <v/>
      </c>
      <c r="AD10" s="66" t="str">
        <f>IF(AC10=1,COUNT($AC$6:AC10),"")</f>
        <v/>
      </c>
      <c r="AE10" s="66" t="str">
        <f>IFERROR(INDEX(po_num,MATCH(5,po_seq,0))&amp;"","")</f>
        <v>BC-2026-0105</v>
      </c>
      <c r="AF10" s="66" t="str">
        <f>IF(OR(A10="",p_po=""),"",IF(A10&amp;""=p_po,COUNTIF($A$6:A10,A10),""))</f>
        <v/>
      </c>
      <c r="AG10" s="66" t="str">
        <f>IF(OR(AB10="",A10=""),"",IF(COUNTIFS($A$6:A10,A10,$AB$6:AB10,"&gt;0")=1,1,""))</f>
        <v/>
      </c>
      <c r="AH10" s="70" t="str">
        <f>IF(AB10="","",ROUND(N(W10)*N(J10)*(1-N(K10)),2))</f>
        <v/>
      </c>
      <c r="AI10" s="70">
        <f>IF(OR(J10="",N(T10)&lt;=0,V10="Oui"),"",ROUND(N(T10)*J10*(1-N(K10)),2))</f>
        <v>418.0</v>
      </c>
    </row>
    <row r="11">
      <c r="A11" s="63" t="inlineStr">
        <is>
          <t>BC-2026-0102</t>
        </is>
      </c>
      <c r="B11" s="64" t="n">
        <v>46273</v>
      </c>
      <c r="C11" s="65" t="inlineStr">
        <is>
          <t>FIX03</t>
        </is>
      </c>
      <c r="D11" s="66" t="str">
        <f>IF(C11="","",IFERROR(INDEX(sup_name,MATCH($C11,sup_code,0))&amp;"","Fournisseur inconnu"))</f>
        <v>Fixations Souss SARL</v>
      </c>
      <c r="E11" s="63" t="inlineStr">
        <is>
          <t>RON-M8</t>
        </is>
      </c>
      <c r="F11" s="66" t="str">
        <f>IF(E11="","",IFERROR(INDEX(art_des,MATCH($E11,art_ref,0))&amp;"","Article inconnu"))</f>
        <v>Rondelle plate M8 (boîte de 200)</v>
      </c>
      <c r="G11" s="67" t="str">
        <f>IF(E11="","",IFERROR(INDEX(art_unit,MATCH($E11,art_ref,0))&amp;"",""))</f>
        <v>boîte</v>
      </c>
      <c r="H11" s="68" t="n">
        <v>30</v>
      </c>
      <c r="I11" s="69" t="n"/>
      <c r="J11" s="70">
        <f>IF(E11="","",IF(ISNUMBER(I11),I11,IFERROR(IF(ISNUMBER(INDEX(art_price,MATCH($E11,art_ref,0))),INDEX(art_price,MATCH($E11,art_ref,0)),""),"")))</f>
        <v>9.5</v>
      </c>
      <c r="K11" s="71" t="n">
        <v>0.05</v>
      </c>
      <c r="L11" s="72" t="n"/>
      <c r="M11" s="72">
        <f>IF(E11="","",IF(L11&lt;&gt;"",L11,IFERROR(IF(ISNUMBER(INDEX(art_tva,MATCH($E11,art_ref,0))),INDEX(art_tva,MATCH($E11,art_ref,0)),""),"")))</f>
        <v>0.2</v>
      </c>
      <c r="N11" s="70">
        <f>IF(OR(E11="",J11=""),"",ROUND(N(H11)*J11*(1-N(K11)),2))</f>
        <v>270.75</v>
      </c>
      <c r="O11" s="70">
        <f>IF(OR(N11="",NOT(ISNUMBER(M11))),"",ROUND(N11*M11,2))</f>
        <v>54.15</v>
      </c>
      <c r="P11" s="70">
        <f>IF(N11="","",N11+N(O11))</f>
        <v>324.9</v>
      </c>
      <c r="Q11" s="64" t="n"/>
      <c r="R11" s="73">
        <f>IF(N(Q11)&gt;0,Q11,IF(OR(N(B11)=0,ISNA(MATCH($C11,sup_code,0))),"",IF(ISNUMBER(INDEX(sup_delay,MATCH($C11,sup_code,0))),B11+INDEX(sup_delay,MATCH($C11,sup_code,0)),"")))</f>
        <v>46278.0</v>
      </c>
      <c r="S11" s="64" t="n">
        <v>46273</v>
      </c>
      <c r="T11" s="68" t="n">
        <v>30</v>
      </c>
      <c r="U11" s="64" t="n">
        <v>46280</v>
      </c>
      <c r="V11" s="65" t="n"/>
      <c r="W11" s="74">
        <f>IF(AND(A11="",E11=""),"",IF(V11="Oui",0,MAX(0,ROUND(N(H11)-N(T11),6))))</f>
        <v>0.0</v>
      </c>
      <c r="X11" s="67" t="str">
        <f>IF(AND(A11="",E11=""),"",IF(V11="Oui","Annulé",IF(AND(N(H11)&gt;0,N(T11)&gt;=N(H11)),"Reçu",IF(N(S11)=0,"Brouillon",IF(AND(ISNUMBER(R11),R11&lt;p_today),"En retard",IF(N(T11)&gt;0,"Partiel","Envoyé"))))))</f>
        <v>Reçu</v>
      </c>
      <c r="Y11" s="75">
        <f>IF(X11="En retard",p_today-R11,IF(AND(X11="Reçu",ISNUMBER(R11)),MAX(0,N(U11)-R11),""))</f>
        <v>2.0</v>
      </c>
      <c r="Z11" s="67" t="str">
        <f>IF(AND(A11="",E11=""),"",IF(A11="","N° de bon manquant",IF(N(B11)=0,"Date de commande manquante",IF(C11="","Fournisseur manquant",IF(ISNA(MATCH($C11,sup_code,0)),"Fournisseur inconnu",IF(E11="","Article manquant",IF(ISNA(MATCH($E11,art_ref,0)),"Article inconnu",IF(N(H11)&lt;=0,"Quantité invalide",IF(J11="","Prix manquant",IF(OR(N(K11)&lt;0,N(K11)&gt;=1),"Remise invalide",IF(M11="","TVA manquante",IF(ISNA(MATCH(M11,p_tva,0)),"Taux de TVA inconnu",IF(COUNTIFS(po_num,A11,po_sup,"&lt;&gt;"&amp;C11)&gt;0,"Fournisseur différent sur ce bon",IF(COUNTIFS(po_num,A11,po_date,"&lt;&gt;"&amp;B11)&gt;0,"Date différente sur ce bon",IF(COUNTIF(po_num,A11)&gt;25,"Plus de 25 lignes sur ce bon",IF(R11="","Date de livraison manquante",IF(R11&lt;B11,"Livraison avant la commande",IF(AND(N(T11)&gt;0,N(S11)=0),"Date d'envoi manquante",IF(N(T11)&gt;N(H11),"Reçu plus que commandé",IF(AND(N(T11)&gt;0,N(U11)=0),"Date de réception manquante",IF(AND(N(U11)&gt;0,U11&lt;B11),"Réception avant la commande","OK")))))))))))))))))))))</f>
        <v>OK</v>
      </c>
      <c r="AA11" s="66">
        <f>IF(AND(X11="Reçu",ISNUMBER(R11)),IF(N(U11)&lt;=R11,1,0),"")</f>
        <v>0.0</v>
      </c>
      <c r="AB11" s="76" t="str">
        <f>IF(OR(X11="Envoyé",X11="Partiel",X11="En retard"),IF(ISNUMBER(R11),R11,100000)+ROW()/100000,"")</f>
        <v/>
      </c>
      <c r="AC11" s="66" t="str">
        <f>IF(A11="","",IF(COUNTIF($A$6:A11,A11)=1,1,""))</f>
        <v/>
      </c>
      <c r="AD11" s="66" t="str">
        <f>IF(AC11=1,COUNT($AC$6:AC11),"")</f>
        <v/>
      </c>
      <c r="AE11" s="66" t="str">
        <f>IFERROR(INDEX(po_num,MATCH(6,po_seq,0))&amp;"","")</f>
        <v>BC-2026-0106</v>
      </c>
      <c r="AF11" s="66" t="str">
        <f>IF(OR(A11="",p_po=""),"",IF(A11&amp;""=p_po,COUNTIF($A$6:A11,A11),""))</f>
        <v/>
      </c>
      <c r="AG11" s="66" t="str">
        <f>IF(OR(AB11="",A11=""),"",IF(COUNTIFS($A$6:A11,A11,$AB$6:AB11,"&gt;0")=1,1,""))</f>
        <v/>
      </c>
      <c r="AH11" s="70" t="str">
        <f>IF(AB11="","",ROUND(N(W11)*N(J11)*(1-N(K11)),2))</f>
        <v/>
      </c>
      <c r="AI11" s="70">
        <f>IF(OR(J11="",N(T11)&lt;=0,V11="Oui"),"",ROUND(N(T11)*J11*(1-N(K11)),2))</f>
        <v>270.75</v>
      </c>
    </row>
    <row r="12">
      <c r="A12" s="63" t="inlineStr">
        <is>
          <t>BC-2026-0103</t>
        </is>
      </c>
      <c r="B12" s="64" t="n">
        <v>46280</v>
      </c>
      <c r="C12" s="65" t="inlineStr">
        <is>
          <t>TUB02</t>
        </is>
      </c>
      <c r="D12" s="66" t="str">
        <f>IF(C12="","",IFERROR(INDEX(sup_name,MATCH($C12,sup_code,0))&amp;"","Fournisseur inconnu"))</f>
        <v>Tubes et Profilés du Nord</v>
      </c>
      <c r="E12" s="63" t="inlineStr">
        <is>
          <t>TUB-40X40</t>
        </is>
      </c>
      <c r="F12" s="66" t="str">
        <f>IF(E12="","",IFERROR(INDEX(art_des,MATCH($E12,art_ref,0))&amp;"","Article inconnu"))</f>
        <v>Tube carré 40x40x2, barre 6 m</v>
      </c>
      <c r="G12" s="67" t="str">
        <f>IF(E12="","",IFERROR(INDEX(art_unit,MATCH($E12,art_ref,0))&amp;"",""))</f>
        <v>barre</v>
      </c>
      <c r="H12" s="68" t="n">
        <v>60</v>
      </c>
      <c r="I12" s="69" t="n"/>
      <c r="J12" s="70">
        <f>IF(E12="","",IF(ISNUMBER(I12),I12,IFERROR(IF(ISNUMBER(INDEX(art_price,MATCH($E12,art_ref,0))),INDEX(art_price,MATCH($E12,art_ref,0)),""),"")))</f>
        <v>168.0</v>
      </c>
      <c r="K12" s="71" t="n"/>
      <c r="L12" s="72" t="n"/>
      <c r="M12" s="72">
        <f>IF(E12="","",IF(L12&lt;&gt;"",L12,IFERROR(IF(ISNUMBER(INDEX(art_tva,MATCH($E12,art_ref,0))),INDEX(art_tva,MATCH($E12,art_ref,0)),""),"")))</f>
        <v>0.2</v>
      </c>
      <c r="N12" s="70">
        <f>IF(OR(E12="",J12=""),"",ROUND(N(H12)*J12*(1-N(K12)),2))</f>
        <v>10080.0</v>
      </c>
      <c r="O12" s="70">
        <f>IF(OR(N12="",NOT(ISNUMBER(M12))),"",ROUND(N12*M12,2))</f>
        <v>2016.0</v>
      </c>
      <c r="P12" s="70">
        <f>IF(N12="","",N12+N(O12))</f>
        <v>12096.0</v>
      </c>
      <c r="Q12" s="64" t="n">
        <v>46293</v>
      </c>
      <c r="R12" s="73">
        <f>IF(N(Q12)&gt;0,Q12,IF(OR(N(B12)=0,ISNA(MATCH($C12,sup_code,0))),"",IF(ISNUMBER(INDEX(sup_delay,MATCH($C12,sup_code,0))),B12+INDEX(sup_delay,MATCH($C12,sup_code,0)),"")))</f>
        <v>46293.0</v>
      </c>
      <c r="S12" s="64" t="n">
        <v>46281</v>
      </c>
      <c r="T12" s="68" t="n">
        <v>60</v>
      </c>
      <c r="U12" s="64" t="n">
        <v>46293</v>
      </c>
      <c r="V12" s="65" t="n"/>
      <c r="W12" s="74">
        <f>IF(AND(A12="",E12=""),"",IF(V12="Oui",0,MAX(0,ROUND(N(H12)-N(T12),6))))</f>
        <v>0.0</v>
      </c>
      <c r="X12" s="67" t="str">
        <f>IF(AND(A12="",E12=""),"",IF(V12="Oui","Annulé",IF(AND(N(H12)&gt;0,N(T12)&gt;=N(H12)),"Reçu",IF(N(S12)=0,"Brouillon",IF(AND(ISNUMBER(R12),R12&lt;p_today),"En retard",IF(N(T12)&gt;0,"Partiel","Envoyé"))))))</f>
        <v>Reçu</v>
      </c>
      <c r="Y12" s="75">
        <f>IF(X12="En retard",p_today-R12,IF(AND(X12="Reçu",ISNUMBER(R12)),MAX(0,N(U12)-R12),""))</f>
        <v>0.0</v>
      </c>
      <c r="Z12" s="67" t="str">
        <f>IF(AND(A12="",E12=""),"",IF(A12="","N° de bon manquant",IF(N(B12)=0,"Date de commande manquante",IF(C12="","Fournisseur manquant",IF(ISNA(MATCH($C12,sup_code,0)),"Fournisseur inconnu",IF(E12="","Article manquant",IF(ISNA(MATCH($E12,art_ref,0)),"Article inconnu",IF(N(H12)&lt;=0,"Quantité invalide",IF(J12="","Prix manquant",IF(OR(N(K12)&lt;0,N(K12)&gt;=1),"Remise invalide",IF(M12="","TVA manquante",IF(ISNA(MATCH(M12,p_tva,0)),"Taux de TVA inconnu",IF(COUNTIFS(po_num,A12,po_sup,"&lt;&gt;"&amp;C12)&gt;0,"Fournisseur différent sur ce bon",IF(COUNTIFS(po_num,A12,po_date,"&lt;&gt;"&amp;B12)&gt;0,"Date différente sur ce bon",IF(COUNTIF(po_num,A12)&gt;25,"Plus de 25 lignes sur ce bon",IF(R12="","Date de livraison manquante",IF(R12&lt;B12,"Livraison avant la commande",IF(AND(N(T12)&gt;0,N(S12)=0),"Date d'envoi manquante",IF(N(T12)&gt;N(H12),"Reçu plus que commandé",IF(AND(N(T12)&gt;0,N(U12)=0),"Date de réception manquante",IF(AND(N(U12)&gt;0,U12&lt;B12),"Réception avant la commande","OK")))))))))))))))))))))</f>
        <v>OK</v>
      </c>
      <c r="AA12" s="66">
        <f>IF(AND(X12="Reçu",ISNUMBER(R12)),IF(N(U12)&lt;=R12,1,0),"")</f>
        <v>1.0</v>
      </c>
      <c r="AB12" s="76" t="str">
        <f>IF(OR(X12="Envoyé",X12="Partiel",X12="En retard"),IF(ISNUMBER(R12),R12,100000)+ROW()/100000,"")</f>
        <v/>
      </c>
      <c r="AC12" s="66">
        <f>IF(A12="","",IF(COUNTIF($A$6:A12,A12)=1,1,""))</f>
        <v>1.0</v>
      </c>
      <c r="AD12" s="66">
        <f>IF(AC12=1,COUNT($AC$6:AC12),"")</f>
        <v>3.0</v>
      </c>
      <c r="AE12" s="66" t="str">
        <f>IFERROR(INDEX(po_num,MATCH(7,po_seq,0))&amp;"","")</f>
        <v>BC-2026-0107</v>
      </c>
      <c r="AF12" s="66" t="str">
        <f>IF(OR(A12="",p_po=""),"",IF(A12&amp;""=p_po,COUNTIF($A$6:A12,A12),""))</f>
        <v/>
      </c>
      <c r="AG12" s="66" t="str">
        <f>IF(OR(AB12="",A12=""),"",IF(COUNTIFS($A$6:A12,A12,$AB$6:AB12,"&gt;0")=1,1,""))</f>
        <v/>
      </c>
      <c r="AH12" s="70" t="str">
        <f>IF(AB12="","",ROUND(N(W12)*N(J12)*(1-N(K12)),2))</f>
        <v/>
      </c>
      <c r="AI12" s="70">
        <f>IF(OR(J12="",N(T12)&lt;=0,V12="Oui"),"",ROUND(N(T12)*J12*(1-N(K12)),2))</f>
        <v>10080.0</v>
      </c>
    </row>
    <row r="13">
      <c r="A13" s="63" t="inlineStr">
        <is>
          <t>BC-2026-0103</t>
        </is>
      </c>
      <c r="B13" s="64" t="n">
        <v>46280</v>
      </c>
      <c r="C13" s="65" t="inlineStr">
        <is>
          <t>TUB02</t>
        </is>
      </c>
      <c r="D13" s="66" t="str">
        <f>IF(C13="","",IFERROR(INDEX(sup_name,MATCH($C13,sup_code,0))&amp;"","Fournisseur inconnu"))</f>
        <v>Tubes et Profilés du Nord</v>
      </c>
      <c r="E13" s="63" t="inlineStr">
        <is>
          <t>TUB-R-33</t>
        </is>
      </c>
      <c r="F13" s="66" t="str">
        <f>IF(E13="","",IFERROR(INDEX(art_des,MATCH($E13,art_ref,0))&amp;"","Article inconnu"))</f>
        <v>Tube rond Ø33,7x2,6, barre 6 m</v>
      </c>
      <c r="G13" s="67" t="str">
        <f>IF(E13="","",IFERROR(INDEX(art_unit,MATCH($E13,art_ref,0))&amp;"",""))</f>
        <v>barre</v>
      </c>
      <c r="H13" s="68" t="n">
        <v>40</v>
      </c>
      <c r="I13" s="69" t="n"/>
      <c r="J13" s="70">
        <f>IF(E13="","",IF(ISNUMBER(I13),I13,IFERROR(IF(ISNUMBER(INDEX(art_price,MATCH($E13,art_ref,0))),INDEX(art_price,MATCH($E13,art_ref,0)),""),"")))</f>
        <v>142.0</v>
      </c>
      <c r="K13" s="71" t="n"/>
      <c r="L13" s="72" t="n"/>
      <c r="M13" s="72">
        <f>IF(E13="","",IF(L13&lt;&gt;"",L13,IFERROR(IF(ISNUMBER(INDEX(art_tva,MATCH($E13,art_ref,0))),INDEX(art_tva,MATCH($E13,art_ref,0)),""),"")))</f>
        <v>0.2</v>
      </c>
      <c r="N13" s="70">
        <f>IF(OR(E13="",J13=""),"",ROUND(N(H13)*J13*(1-N(K13)),2))</f>
        <v>5680.0</v>
      </c>
      <c r="O13" s="70">
        <f>IF(OR(N13="",NOT(ISNUMBER(M13))),"",ROUND(N13*M13,2))</f>
        <v>1136.0</v>
      </c>
      <c r="P13" s="70">
        <f>IF(N13="","",N13+N(O13))</f>
        <v>6816.0</v>
      </c>
      <c r="Q13" s="64" t="n">
        <v>46293</v>
      </c>
      <c r="R13" s="73">
        <f>IF(N(Q13)&gt;0,Q13,IF(OR(N(B13)=0,ISNA(MATCH($C13,sup_code,0))),"",IF(ISNUMBER(INDEX(sup_delay,MATCH($C13,sup_code,0))),B13+INDEX(sup_delay,MATCH($C13,sup_code,0)),"")))</f>
        <v>46293.0</v>
      </c>
      <c r="S13" s="64" t="n">
        <v>46281</v>
      </c>
      <c r="T13" s="68" t="n">
        <v>40</v>
      </c>
      <c r="U13" s="64" t="n">
        <v>46293</v>
      </c>
      <c r="V13" s="65" t="n"/>
      <c r="W13" s="74">
        <f>IF(AND(A13="",E13=""),"",IF(V13="Oui",0,MAX(0,ROUND(N(H13)-N(T13),6))))</f>
        <v>0.0</v>
      </c>
      <c r="X13" s="67" t="str">
        <f>IF(AND(A13="",E13=""),"",IF(V13="Oui","Annulé",IF(AND(N(H13)&gt;0,N(T13)&gt;=N(H13)),"Reçu",IF(N(S13)=0,"Brouillon",IF(AND(ISNUMBER(R13),R13&lt;p_today),"En retard",IF(N(T13)&gt;0,"Partiel","Envoyé"))))))</f>
        <v>Reçu</v>
      </c>
      <c r="Y13" s="75">
        <f>IF(X13="En retard",p_today-R13,IF(AND(X13="Reçu",ISNUMBER(R13)),MAX(0,N(U13)-R13),""))</f>
        <v>0.0</v>
      </c>
      <c r="Z13" s="67" t="str">
        <f>IF(AND(A13="",E13=""),"",IF(A13="","N° de bon manquant",IF(N(B13)=0,"Date de commande manquante",IF(C13="","Fournisseur manquant",IF(ISNA(MATCH($C13,sup_code,0)),"Fournisseur inconnu",IF(E13="","Article manquant",IF(ISNA(MATCH($E13,art_ref,0)),"Article inconnu",IF(N(H13)&lt;=0,"Quantité invalide",IF(J13="","Prix manquant",IF(OR(N(K13)&lt;0,N(K13)&gt;=1),"Remise invalide",IF(M13="","TVA manquante",IF(ISNA(MATCH(M13,p_tva,0)),"Taux de TVA inconnu",IF(COUNTIFS(po_num,A13,po_sup,"&lt;&gt;"&amp;C13)&gt;0,"Fournisseur différent sur ce bon",IF(COUNTIFS(po_num,A13,po_date,"&lt;&gt;"&amp;B13)&gt;0,"Date différente sur ce bon",IF(COUNTIF(po_num,A13)&gt;25,"Plus de 25 lignes sur ce bon",IF(R13="","Date de livraison manquante",IF(R13&lt;B13,"Livraison avant la commande",IF(AND(N(T13)&gt;0,N(S13)=0),"Date d'envoi manquante",IF(N(T13)&gt;N(H13),"Reçu plus que commandé",IF(AND(N(T13)&gt;0,N(U13)=0),"Date de réception manquante",IF(AND(N(U13)&gt;0,U13&lt;B13),"Réception avant la commande","OK")))))))))))))))))))))</f>
        <v>OK</v>
      </c>
      <c r="AA13" s="66">
        <f>IF(AND(X13="Reçu",ISNUMBER(R13)),IF(N(U13)&lt;=R13,1,0),"")</f>
        <v>1.0</v>
      </c>
      <c r="AB13" s="76" t="str">
        <f>IF(OR(X13="Envoyé",X13="Partiel",X13="En retard"),IF(ISNUMBER(R13),R13,100000)+ROW()/100000,"")</f>
        <v/>
      </c>
      <c r="AC13" s="66" t="str">
        <f>IF(A13="","",IF(COUNTIF($A$6:A13,A13)=1,1,""))</f>
        <v/>
      </c>
      <c r="AD13" s="66" t="str">
        <f>IF(AC13=1,COUNT($AC$6:AC13),"")</f>
        <v/>
      </c>
      <c r="AE13" s="66" t="str">
        <f>IFERROR(INDEX(po_num,MATCH(8,po_seq,0))&amp;"","")</f>
        <v>BC-2026-0108</v>
      </c>
      <c r="AF13" s="66" t="str">
        <f>IF(OR(A13="",p_po=""),"",IF(A13&amp;""=p_po,COUNTIF($A$6:A13,A13),""))</f>
        <v/>
      </c>
      <c r="AG13" s="66" t="str">
        <f>IF(OR(AB13="",A13=""),"",IF(COUNTIFS($A$6:A13,A13,$AB$6:AB13,"&gt;0")=1,1,""))</f>
        <v/>
      </c>
      <c r="AH13" s="70" t="str">
        <f>IF(AB13="","",ROUND(N(W13)*N(J13)*(1-N(K13)),2))</f>
        <v/>
      </c>
      <c r="AI13" s="70">
        <f>IF(OR(J13="",N(T13)&lt;=0,V13="Oui"),"",ROUND(N(T13)*J13*(1-N(K13)),2))</f>
        <v>5680.0</v>
      </c>
    </row>
    <row r="14">
      <c r="A14" s="63" t="inlineStr">
        <is>
          <t>BC-2026-0103</t>
        </is>
      </c>
      <c r="B14" s="64" t="n">
        <v>46280</v>
      </c>
      <c r="C14" s="65" t="inlineStr">
        <is>
          <t>TUB02</t>
        </is>
      </c>
      <c r="D14" s="66" t="str">
        <f>IF(C14="","",IFERROR(INDEX(sup_name,MATCH($C14,sup_code,0))&amp;"","Fournisseur inconnu"))</f>
        <v>Tubes et Profilés du Nord</v>
      </c>
      <c r="E14" s="63" t="inlineStr">
        <is>
          <t>COR-L40</t>
        </is>
      </c>
      <c r="F14" s="66" t="str">
        <f>IF(E14="","",IFERROR(INDEX(art_des,MATCH($E14,art_ref,0))&amp;"","Article inconnu"))</f>
        <v>Cornière 40x40x4, barre 6 m</v>
      </c>
      <c r="G14" s="67" t="str">
        <f>IF(E14="","",IFERROR(INDEX(art_unit,MATCH($E14,art_ref,0))&amp;"",""))</f>
        <v>barre</v>
      </c>
      <c r="H14" s="68" t="n">
        <v>30</v>
      </c>
      <c r="I14" s="69" t="n"/>
      <c r="J14" s="70">
        <f>IF(E14="","",IF(ISNUMBER(I14),I14,IFERROR(IF(ISNUMBER(INDEX(art_price,MATCH($E14,art_ref,0))),INDEX(art_price,MATCH($E14,art_ref,0)),""),"")))</f>
        <v>121.0</v>
      </c>
      <c r="K14" s="71" t="n"/>
      <c r="L14" s="72" t="n"/>
      <c r="M14" s="72">
        <f>IF(E14="","",IF(L14&lt;&gt;"",L14,IFERROR(IF(ISNUMBER(INDEX(art_tva,MATCH($E14,art_ref,0))),INDEX(art_tva,MATCH($E14,art_ref,0)),""),"")))</f>
        <v>0.2</v>
      </c>
      <c r="N14" s="70">
        <f>IF(OR(E14="",J14=""),"",ROUND(N(H14)*J14*(1-N(K14)),2))</f>
        <v>3630.0</v>
      </c>
      <c r="O14" s="70">
        <f>IF(OR(N14="",NOT(ISNUMBER(M14))),"",ROUND(N14*M14,2))</f>
        <v>726.0</v>
      </c>
      <c r="P14" s="70">
        <f>IF(N14="","",N14+N(O14))</f>
        <v>4356.0</v>
      </c>
      <c r="Q14" s="64" t="n">
        <v>46293</v>
      </c>
      <c r="R14" s="73">
        <f>IF(N(Q14)&gt;0,Q14,IF(OR(N(B14)=0,ISNA(MATCH($C14,sup_code,0))),"",IF(ISNUMBER(INDEX(sup_delay,MATCH($C14,sup_code,0))),B14+INDEX(sup_delay,MATCH($C14,sup_code,0)),"")))</f>
        <v>46293.0</v>
      </c>
      <c r="S14" s="64" t="n">
        <v>46281</v>
      </c>
      <c r="T14" s="68" t="n">
        <v>30</v>
      </c>
      <c r="U14" s="64" t="n">
        <v>46293</v>
      </c>
      <c r="V14" s="65" t="n"/>
      <c r="W14" s="74">
        <f>IF(AND(A14="",E14=""),"",IF(V14="Oui",0,MAX(0,ROUND(N(H14)-N(T14),6))))</f>
        <v>0.0</v>
      </c>
      <c r="X14" s="67" t="str">
        <f>IF(AND(A14="",E14=""),"",IF(V14="Oui","Annulé",IF(AND(N(H14)&gt;0,N(T14)&gt;=N(H14)),"Reçu",IF(N(S14)=0,"Brouillon",IF(AND(ISNUMBER(R14),R14&lt;p_today),"En retard",IF(N(T14)&gt;0,"Partiel","Envoyé"))))))</f>
        <v>Reçu</v>
      </c>
      <c r="Y14" s="75">
        <f>IF(X14="En retard",p_today-R14,IF(AND(X14="Reçu",ISNUMBER(R14)),MAX(0,N(U14)-R14),""))</f>
        <v>0.0</v>
      </c>
      <c r="Z14" s="67" t="str">
        <f>IF(AND(A14="",E14=""),"",IF(A14="","N° de bon manquant",IF(N(B14)=0,"Date de commande manquante",IF(C14="","Fournisseur manquant",IF(ISNA(MATCH($C14,sup_code,0)),"Fournisseur inconnu",IF(E14="","Article manquant",IF(ISNA(MATCH($E14,art_ref,0)),"Article inconnu",IF(N(H14)&lt;=0,"Quantité invalide",IF(J14="","Prix manquant",IF(OR(N(K14)&lt;0,N(K14)&gt;=1),"Remise invalide",IF(M14="","TVA manquante",IF(ISNA(MATCH(M14,p_tva,0)),"Taux de TVA inconnu",IF(COUNTIFS(po_num,A14,po_sup,"&lt;&gt;"&amp;C14)&gt;0,"Fournisseur différent sur ce bon",IF(COUNTIFS(po_num,A14,po_date,"&lt;&gt;"&amp;B14)&gt;0,"Date différente sur ce bon",IF(COUNTIF(po_num,A14)&gt;25,"Plus de 25 lignes sur ce bon",IF(R14="","Date de livraison manquante",IF(R14&lt;B14,"Livraison avant la commande",IF(AND(N(T14)&gt;0,N(S14)=0),"Date d'envoi manquante",IF(N(T14)&gt;N(H14),"Reçu plus que commandé",IF(AND(N(T14)&gt;0,N(U14)=0),"Date de réception manquante",IF(AND(N(U14)&gt;0,U14&lt;B14),"Réception avant la commande","OK")))))))))))))))))))))</f>
        <v>OK</v>
      </c>
      <c r="AA14" s="66">
        <f>IF(AND(X14="Reçu",ISNUMBER(R14)),IF(N(U14)&lt;=R14,1,0),"")</f>
        <v>1.0</v>
      </c>
      <c r="AB14" s="76" t="str">
        <f>IF(OR(X14="Envoyé",X14="Partiel",X14="En retard"),IF(ISNUMBER(R14),R14,100000)+ROW()/100000,"")</f>
        <v/>
      </c>
      <c r="AC14" s="66" t="str">
        <f>IF(A14="","",IF(COUNTIF($A$6:A14,A14)=1,1,""))</f>
        <v/>
      </c>
      <c r="AD14" s="66" t="str">
        <f>IF(AC14=1,COUNT($AC$6:AC14),"")</f>
        <v/>
      </c>
      <c r="AE14" s="66" t="str">
        <f>IFERROR(INDEX(po_num,MATCH(9,po_seq,0))&amp;"","")</f>
        <v>BC-2026-0109</v>
      </c>
      <c r="AF14" s="66" t="str">
        <f>IF(OR(A14="",p_po=""),"",IF(A14&amp;""=p_po,COUNTIF($A$6:A14,A14),""))</f>
        <v/>
      </c>
      <c r="AG14" s="66" t="str">
        <f>IF(OR(AB14="",A14=""),"",IF(COUNTIFS($A$6:A14,A14,$AB$6:AB14,"&gt;0")=1,1,""))</f>
        <v/>
      </c>
      <c r="AH14" s="70" t="str">
        <f>IF(AB14="","",ROUND(N(W14)*N(J14)*(1-N(K14)),2))</f>
        <v/>
      </c>
      <c r="AI14" s="70">
        <f>IF(OR(J14="",N(T14)&lt;=0,V14="Oui"),"",ROUND(N(T14)*J14*(1-N(K14)),2))</f>
        <v>3630.0</v>
      </c>
    </row>
    <row r="15">
      <c r="A15" s="63" t="inlineStr">
        <is>
          <t>BC-2026-0104</t>
        </is>
      </c>
      <c r="B15" s="64" t="n">
        <v>46287</v>
      </c>
      <c r="C15" s="65" t="inlineStr">
        <is>
          <t>SOU05</t>
        </is>
      </c>
      <c r="D15" s="66" t="str">
        <f>IF(C15="","",IFERROR(INDEX(sup_name,MATCH($C15,sup_code,0))&amp;"","Fournisseur inconnu"))</f>
        <v>Gaz et Soudure Kénitra</v>
      </c>
      <c r="E15" s="63" t="inlineStr">
        <is>
          <t>FIL-MIG-1</t>
        </is>
      </c>
      <c r="F15" s="66" t="str">
        <f>IF(E15="","",IFERROR(INDEX(art_des,MATCH($E15,art_ref,0))&amp;"","Article inconnu"))</f>
        <v>Fil MIG acier Ø1 mm, bobine 15 kg</v>
      </c>
      <c r="G15" s="67" t="str">
        <f>IF(E15="","",IFERROR(INDEX(art_unit,MATCH($E15,art_ref,0))&amp;"",""))</f>
        <v>bobine</v>
      </c>
      <c r="H15" s="68" t="n">
        <v>6</v>
      </c>
      <c r="I15" s="69" t="n"/>
      <c r="J15" s="70">
        <f>IF(E15="","",IF(ISNUMBER(I15),I15,IFERROR(IF(ISNUMBER(INDEX(art_price,MATCH($E15,art_ref,0))),INDEX(art_price,MATCH($E15,art_ref,0)),""),"")))</f>
        <v>395.0</v>
      </c>
      <c r="K15" s="71" t="n"/>
      <c r="L15" s="72" t="n"/>
      <c r="M15" s="72">
        <f>IF(E15="","",IF(L15&lt;&gt;"",L15,IFERROR(IF(ISNUMBER(INDEX(art_tva,MATCH($E15,art_ref,0))),INDEX(art_tva,MATCH($E15,art_ref,0)),""),"")))</f>
        <v>0.2</v>
      </c>
      <c r="N15" s="70">
        <f>IF(OR(E15="",J15=""),"",ROUND(N(H15)*J15*(1-N(K15)),2))</f>
        <v>2370.0</v>
      </c>
      <c r="O15" s="70">
        <f>IF(OR(N15="",NOT(ISNUMBER(M15))),"",ROUND(N15*M15,2))</f>
        <v>474.0</v>
      </c>
      <c r="P15" s="70">
        <f>IF(N15="","",N15+N(O15))</f>
        <v>2844.0</v>
      </c>
      <c r="Q15" s="64" t="n"/>
      <c r="R15" s="73">
        <f>IF(N(Q15)&gt;0,Q15,IF(OR(N(B15)=0,ISNA(MATCH($C15,sup_code,0))),"",IF(ISNUMBER(INDEX(sup_delay,MATCH($C15,sup_code,0))),B15+INDEX(sup_delay,MATCH($C15,sup_code,0)),"")))</f>
        <v>46291.0</v>
      </c>
      <c r="S15" s="64" t="n">
        <v>46287</v>
      </c>
      <c r="T15" s="68" t="n">
        <v>6</v>
      </c>
      <c r="U15" s="64" t="n">
        <v>46290</v>
      </c>
      <c r="V15" s="65" t="n"/>
      <c r="W15" s="74">
        <f>IF(AND(A15="",E15=""),"",IF(V15="Oui",0,MAX(0,ROUND(N(H15)-N(T15),6))))</f>
        <v>0.0</v>
      </c>
      <c r="X15" s="67" t="str">
        <f>IF(AND(A15="",E15=""),"",IF(V15="Oui","Annulé",IF(AND(N(H15)&gt;0,N(T15)&gt;=N(H15)),"Reçu",IF(N(S15)=0,"Brouillon",IF(AND(ISNUMBER(R15),R15&lt;p_today),"En retard",IF(N(T15)&gt;0,"Partiel","Envoyé"))))))</f>
        <v>Reçu</v>
      </c>
      <c r="Y15" s="75">
        <f>IF(X15="En retard",p_today-R15,IF(AND(X15="Reçu",ISNUMBER(R15)),MAX(0,N(U15)-R15),""))</f>
        <v>0.0</v>
      </c>
      <c r="Z15" s="67" t="str">
        <f>IF(AND(A15="",E15=""),"",IF(A15="","N° de bon manquant",IF(N(B15)=0,"Date de commande manquante",IF(C15="","Fournisseur manquant",IF(ISNA(MATCH($C15,sup_code,0)),"Fournisseur inconnu",IF(E15="","Article manquant",IF(ISNA(MATCH($E15,art_ref,0)),"Article inconnu",IF(N(H15)&lt;=0,"Quantité invalide",IF(J15="","Prix manquant",IF(OR(N(K15)&lt;0,N(K15)&gt;=1),"Remise invalide",IF(M15="","TVA manquante",IF(ISNA(MATCH(M15,p_tva,0)),"Taux de TVA inconnu",IF(COUNTIFS(po_num,A15,po_sup,"&lt;&gt;"&amp;C15)&gt;0,"Fournisseur différent sur ce bon",IF(COUNTIFS(po_num,A15,po_date,"&lt;&gt;"&amp;B15)&gt;0,"Date différente sur ce bon",IF(COUNTIF(po_num,A15)&gt;25,"Plus de 25 lignes sur ce bon",IF(R15="","Date de livraison manquante",IF(R15&lt;B15,"Livraison avant la commande",IF(AND(N(T15)&gt;0,N(S15)=0),"Date d'envoi manquante",IF(N(T15)&gt;N(H15),"Reçu plus que commandé",IF(AND(N(T15)&gt;0,N(U15)=0),"Date de réception manquante",IF(AND(N(U15)&gt;0,U15&lt;B15),"Réception avant la commande","OK")))))))))))))))))))))</f>
        <v>OK</v>
      </c>
      <c r="AA15" s="66">
        <f>IF(AND(X15="Reçu",ISNUMBER(R15)),IF(N(U15)&lt;=R15,1,0),"")</f>
        <v>1.0</v>
      </c>
      <c r="AB15" s="76" t="str">
        <f>IF(OR(X15="Envoyé",X15="Partiel",X15="En retard"),IF(ISNUMBER(R15),R15,100000)+ROW()/100000,"")</f>
        <v/>
      </c>
      <c r="AC15" s="66">
        <f>IF(A15="","",IF(COUNTIF($A$6:A15,A15)=1,1,""))</f>
        <v>1.0</v>
      </c>
      <c r="AD15" s="66">
        <f>IF(AC15=1,COUNT($AC$6:AC15),"")</f>
        <v>4.0</v>
      </c>
      <c r="AE15" s="66" t="str">
        <f>IFERROR(INDEX(po_num,MATCH(10,po_seq,0))&amp;"","")</f>
        <v>BC-2026-0110</v>
      </c>
      <c r="AF15" s="66" t="str">
        <f>IF(OR(A15="",p_po=""),"",IF(A15&amp;""=p_po,COUNTIF($A$6:A15,A15),""))</f>
        <v/>
      </c>
      <c r="AG15" s="66" t="str">
        <f>IF(OR(AB15="",A15=""),"",IF(COUNTIFS($A$6:A15,A15,$AB$6:AB15,"&gt;0")=1,1,""))</f>
        <v/>
      </c>
      <c r="AH15" s="70" t="str">
        <f>IF(AB15="","",ROUND(N(W15)*N(J15)*(1-N(K15)),2))</f>
        <v/>
      </c>
      <c r="AI15" s="70">
        <f>IF(OR(J15="",N(T15)&lt;=0,V15="Oui"),"",ROUND(N(T15)*J15*(1-N(K15)),2))</f>
        <v>2370.0</v>
      </c>
    </row>
    <row r="16">
      <c r="A16" s="63" t="inlineStr">
        <is>
          <t>BC-2026-0104</t>
        </is>
      </c>
      <c r="B16" s="64" t="n">
        <v>46287</v>
      </c>
      <c r="C16" s="65" t="inlineStr">
        <is>
          <t>SOU05</t>
        </is>
      </c>
      <c r="D16" s="66" t="str">
        <f>IF(C16="","",IFERROR(INDEX(sup_name,MATCH($C16,sup_code,0))&amp;"","Fournisseur inconnu"))</f>
        <v>Gaz et Soudure Kénitra</v>
      </c>
      <c r="E16" s="63" t="inlineStr">
        <is>
          <t>GAZ-ARCAL</t>
        </is>
      </c>
      <c r="F16" s="66" t="str">
        <f>IF(E16="","",IFERROR(INDEX(art_des,MATCH($E16,art_ref,0))&amp;"","Article inconnu"))</f>
        <v>Recharge gaz de soudage 20 L</v>
      </c>
      <c r="G16" s="67" t="str">
        <f>IF(E16="","",IFERROR(INDEX(art_unit,MATCH($E16,art_ref,0))&amp;"",""))</f>
        <v>bouteille</v>
      </c>
      <c r="H16" s="68" t="n">
        <v>4</v>
      </c>
      <c r="I16" s="69" t="n"/>
      <c r="J16" s="70">
        <f>IF(E16="","",IF(ISNUMBER(I16),I16,IFERROR(IF(ISNUMBER(INDEX(art_price,MATCH($E16,art_ref,0))),INDEX(art_price,MATCH($E16,art_ref,0)),""),"")))</f>
        <v>520.0</v>
      </c>
      <c r="K16" s="71" t="n"/>
      <c r="L16" s="72" t="n"/>
      <c r="M16" s="72">
        <f>IF(E16="","",IF(L16&lt;&gt;"",L16,IFERROR(IF(ISNUMBER(INDEX(art_tva,MATCH($E16,art_ref,0))),INDEX(art_tva,MATCH($E16,art_ref,0)),""),"")))</f>
        <v>0.2</v>
      </c>
      <c r="N16" s="70">
        <f>IF(OR(E16="",J16=""),"",ROUND(N(H16)*J16*(1-N(K16)),2))</f>
        <v>2080.0</v>
      </c>
      <c r="O16" s="70">
        <f>IF(OR(N16="",NOT(ISNUMBER(M16))),"",ROUND(N16*M16,2))</f>
        <v>416.0</v>
      </c>
      <c r="P16" s="70">
        <f>IF(N16="","",N16+N(O16))</f>
        <v>2496.0</v>
      </c>
      <c r="Q16" s="64" t="n"/>
      <c r="R16" s="73">
        <f>IF(N(Q16)&gt;0,Q16,IF(OR(N(B16)=0,ISNA(MATCH($C16,sup_code,0))),"",IF(ISNUMBER(INDEX(sup_delay,MATCH($C16,sup_code,0))),B16+INDEX(sup_delay,MATCH($C16,sup_code,0)),"")))</f>
        <v>46291.0</v>
      </c>
      <c r="S16" s="64" t="n">
        <v>46287</v>
      </c>
      <c r="T16" s="68" t="n">
        <v>4</v>
      </c>
      <c r="U16" s="64" t="n">
        <v>46290</v>
      </c>
      <c r="V16" s="65" t="n"/>
      <c r="W16" s="74">
        <f>IF(AND(A16="",E16=""),"",IF(V16="Oui",0,MAX(0,ROUND(N(H16)-N(T16),6))))</f>
        <v>0.0</v>
      </c>
      <c r="X16" s="67" t="str">
        <f>IF(AND(A16="",E16=""),"",IF(V16="Oui","Annulé",IF(AND(N(H16)&gt;0,N(T16)&gt;=N(H16)),"Reçu",IF(N(S16)=0,"Brouillon",IF(AND(ISNUMBER(R16),R16&lt;p_today),"En retard",IF(N(T16)&gt;0,"Partiel","Envoyé"))))))</f>
        <v>Reçu</v>
      </c>
      <c r="Y16" s="75">
        <f>IF(X16="En retard",p_today-R16,IF(AND(X16="Reçu",ISNUMBER(R16)),MAX(0,N(U16)-R16),""))</f>
        <v>0.0</v>
      </c>
      <c r="Z16" s="67" t="str">
        <f>IF(AND(A16="",E16=""),"",IF(A16="","N° de bon manquant",IF(N(B16)=0,"Date de commande manquante",IF(C16="","Fournisseur manquant",IF(ISNA(MATCH($C16,sup_code,0)),"Fournisseur inconnu",IF(E16="","Article manquant",IF(ISNA(MATCH($E16,art_ref,0)),"Article inconnu",IF(N(H16)&lt;=0,"Quantité invalide",IF(J16="","Prix manquant",IF(OR(N(K16)&lt;0,N(K16)&gt;=1),"Remise invalide",IF(M16="","TVA manquante",IF(ISNA(MATCH(M16,p_tva,0)),"Taux de TVA inconnu",IF(COUNTIFS(po_num,A16,po_sup,"&lt;&gt;"&amp;C16)&gt;0,"Fournisseur différent sur ce bon",IF(COUNTIFS(po_num,A16,po_date,"&lt;&gt;"&amp;B16)&gt;0,"Date différente sur ce bon",IF(COUNTIF(po_num,A16)&gt;25,"Plus de 25 lignes sur ce bon",IF(R16="","Date de livraison manquante",IF(R16&lt;B16,"Livraison avant la commande",IF(AND(N(T16)&gt;0,N(S16)=0),"Date d'envoi manquante",IF(N(T16)&gt;N(H16),"Reçu plus que commandé",IF(AND(N(T16)&gt;0,N(U16)=0),"Date de réception manquante",IF(AND(N(U16)&gt;0,U16&lt;B16),"Réception avant la commande","OK")))))))))))))))))))))</f>
        <v>OK</v>
      </c>
      <c r="AA16" s="66">
        <f>IF(AND(X16="Reçu",ISNUMBER(R16)),IF(N(U16)&lt;=R16,1,0),"")</f>
        <v>1.0</v>
      </c>
      <c r="AB16" s="76" t="str">
        <f>IF(OR(X16="Envoyé",X16="Partiel",X16="En retard"),IF(ISNUMBER(R16),R16,100000)+ROW()/100000,"")</f>
        <v/>
      </c>
      <c r="AC16" s="66" t="str">
        <f>IF(A16="","",IF(COUNTIF($A$6:A16,A16)=1,1,""))</f>
        <v/>
      </c>
      <c r="AD16" s="66" t="str">
        <f>IF(AC16=1,COUNT($AC$6:AC16),"")</f>
        <v/>
      </c>
      <c r="AE16" s="66" t="str">
        <f>IFERROR(INDEX(po_num,MATCH(11,po_seq,0))&amp;"","")</f>
        <v>BC-2026-0111</v>
      </c>
      <c r="AF16" s="66" t="str">
        <f>IF(OR(A16="",p_po=""),"",IF(A16&amp;""=p_po,COUNTIF($A$6:A16,A16),""))</f>
        <v/>
      </c>
      <c r="AG16" s="66" t="str">
        <f>IF(OR(AB16="",A16=""),"",IF(COUNTIFS($A$6:A16,A16,$AB$6:AB16,"&gt;0")=1,1,""))</f>
        <v/>
      </c>
      <c r="AH16" s="70" t="str">
        <f>IF(AB16="","",ROUND(N(W16)*N(J16)*(1-N(K16)),2))</f>
        <v/>
      </c>
      <c r="AI16" s="70">
        <f>IF(OR(J16="",N(T16)&lt;=0,V16="Oui"),"",ROUND(N(T16)*J16*(1-N(K16)),2))</f>
        <v>2080.0</v>
      </c>
    </row>
    <row r="17">
      <c r="A17" s="63" t="inlineStr">
        <is>
          <t>BC-2026-0104</t>
        </is>
      </c>
      <c r="B17" s="64" t="n">
        <v>46287</v>
      </c>
      <c r="C17" s="65" t="inlineStr">
        <is>
          <t>SOU05</t>
        </is>
      </c>
      <c r="D17" s="66" t="str">
        <f>IF(C17="","",IFERROR(INDEX(sup_name,MATCH($C17,sup_code,0))&amp;"","Fournisseur inconnu"))</f>
        <v>Gaz et Soudure Kénitra</v>
      </c>
      <c r="E17" s="63" t="inlineStr">
        <is>
          <t>ELE-25</t>
        </is>
      </c>
      <c r="F17" s="66" t="str">
        <f>IF(E17="","",IFERROR(INDEX(art_des,MATCH($E17,art_ref,0))&amp;"","Article inconnu"))</f>
        <v>Électrodes rutiles Ø2,5 (boîte de 5 kg)</v>
      </c>
      <c r="G17" s="67" t="str">
        <f>IF(E17="","",IFERROR(INDEX(art_unit,MATCH($E17,art_ref,0))&amp;"",""))</f>
        <v>boîte</v>
      </c>
      <c r="H17" s="68" t="n">
        <v>10</v>
      </c>
      <c r="I17" s="69" t="n"/>
      <c r="J17" s="70">
        <f>IF(E17="","",IF(ISNUMBER(I17),I17,IFERROR(IF(ISNUMBER(INDEX(art_price,MATCH($E17,art_ref,0))),INDEX(art_price,MATCH($E17,art_ref,0)),""),"")))</f>
        <v>118.0</v>
      </c>
      <c r="K17" s="71" t="n"/>
      <c r="L17" s="72" t="n"/>
      <c r="M17" s="72">
        <f>IF(E17="","",IF(L17&lt;&gt;"",L17,IFERROR(IF(ISNUMBER(INDEX(art_tva,MATCH($E17,art_ref,0))),INDEX(art_tva,MATCH($E17,art_ref,0)),""),"")))</f>
        <v>0.2</v>
      </c>
      <c r="N17" s="70">
        <f>IF(OR(E17="",J17=""),"",ROUND(N(H17)*J17*(1-N(K17)),2))</f>
        <v>1180.0</v>
      </c>
      <c r="O17" s="70">
        <f>IF(OR(N17="",NOT(ISNUMBER(M17))),"",ROUND(N17*M17,2))</f>
        <v>236.0</v>
      </c>
      <c r="P17" s="70">
        <f>IF(N17="","",N17+N(O17))</f>
        <v>1416.0</v>
      </c>
      <c r="Q17" s="64" t="n"/>
      <c r="R17" s="73">
        <f>IF(N(Q17)&gt;0,Q17,IF(OR(N(B17)=0,ISNA(MATCH($C17,sup_code,0))),"",IF(ISNUMBER(INDEX(sup_delay,MATCH($C17,sup_code,0))),B17+INDEX(sup_delay,MATCH($C17,sup_code,0)),"")))</f>
        <v>46291.0</v>
      </c>
      <c r="S17" s="64" t="n">
        <v>46287</v>
      </c>
      <c r="T17" s="68" t="n">
        <v>10</v>
      </c>
      <c r="U17" s="64" t="n">
        <v>46290</v>
      </c>
      <c r="V17" s="65" t="n"/>
      <c r="W17" s="74">
        <f>IF(AND(A17="",E17=""),"",IF(V17="Oui",0,MAX(0,ROUND(N(H17)-N(T17),6))))</f>
        <v>0.0</v>
      </c>
      <c r="X17" s="67" t="str">
        <f>IF(AND(A17="",E17=""),"",IF(V17="Oui","Annulé",IF(AND(N(H17)&gt;0,N(T17)&gt;=N(H17)),"Reçu",IF(N(S17)=0,"Brouillon",IF(AND(ISNUMBER(R17),R17&lt;p_today),"En retard",IF(N(T17)&gt;0,"Partiel","Envoyé"))))))</f>
        <v>Reçu</v>
      </c>
      <c r="Y17" s="75">
        <f>IF(X17="En retard",p_today-R17,IF(AND(X17="Reçu",ISNUMBER(R17)),MAX(0,N(U17)-R17),""))</f>
        <v>0.0</v>
      </c>
      <c r="Z17" s="67" t="str">
        <f>IF(AND(A17="",E17=""),"",IF(A17="","N° de bon manquant",IF(N(B17)=0,"Date de commande manquante",IF(C17="","Fournisseur manquant",IF(ISNA(MATCH($C17,sup_code,0)),"Fournisseur inconnu",IF(E17="","Article manquant",IF(ISNA(MATCH($E17,art_ref,0)),"Article inconnu",IF(N(H17)&lt;=0,"Quantité invalide",IF(J17="","Prix manquant",IF(OR(N(K17)&lt;0,N(K17)&gt;=1),"Remise invalide",IF(M17="","TVA manquante",IF(ISNA(MATCH(M17,p_tva,0)),"Taux de TVA inconnu",IF(COUNTIFS(po_num,A17,po_sup,"&lt;&gt;"&amp;C17)&gt;0,"Fournisseur différent sur ce bon",IF(COUNTIFS(po_num,A17,po_date,"&lt;&gt;"&amp;B17)&gt;0,"Date différente sur ce bon",IF(COUNTIF(po_num,A17)&gt;25,"Plus de 25 lignes sur ce bon",IF(R17="","Date de livraison manquante",IF(R17&lt;B17,"Livraison avant la commande",IF(AND(N(T17)&gt;0,N(S17)=0),"Date d'envoi manquante",IF(N(T17)&gt;N(H17),"Reçu plus que commandé",IF(AND(N(T17)&gt;0,N(U17)=0),"Date de réception manquante",IF(AND(N(U17)&gt;0,U17&lt;B17),"Réception avant la commande","OK")))))))))))))))))))))</f>
        <v>OK</v>
      </c>
      <c r="AA17" s="66">
        <f>IF(AND(X17="Reçu",ISNUMBER(R17)),IF(N(U17)&lt;=R17,1,0),"")</f>
        <v>1.0</v>
      </c>
      <c r="AB17" s="76" t="str">
        <f>IF(OR(X17="Envoyé",X17="Partiel",X17="En retard"),IF(ISNUMBER(R17),R17,100000)+ROW()/100000,"")</f>
        <v/>
      </c>
      <c r="AC17" s="66" t="str">
        <f>IF(A17="","",IF(COUNTIF($A$6:A17,A17)=1,1,""))</f>
        <v/>
      </c>
      <c r="AD17" s="66" t="str">
        <f>IF(AC17=1,COUNT($AC$6:AC17),"")</f>
        <v/>
      </c>
      <c r="AE17" s="66" t="str">
        <f>IFERROR(INDEX(po_num,MATCH(12,po_seq,0))&amp;"","")</f>
        <v>BC-2026-0112</v>
      </c>
      <c r="AF17" s="66" t="str">
        <f>IF(OR(A17="",p_po=""),"",IF(A17&amp;""=p_po,COUNTIF($A$6:A17,A17),""))</f>
        <v/>
      </c>
      <c r="AG17" s="66" t="str">
        <f>IF(OR(AB17="",A17=""),"",IF(COUNTIFS($A$6:A17,A17,$AB$6:AB17,"&gt;0")=1,1,""))</f>
        <v/>
      </c>
      <c r="AH17" s="70" t="str">
        <f>IF(AB17="","",ROUND(N(W17)*N(J17)*(1-N(K17)),2))</f>
        <v/>
      </c>
      <c r="AI17" s="70">
        <f>IF(OR(J17="",N(T17)&lt;=0,V17="Oui"),"",ROUND(N(T17)*J17*(1-N(K17)),2))</f>
        <v>1180.0</v>
      </c>
    </row>
    <row r="18">
      <c r="A18" s="63" t="inlineStr">
        <is>
          <t>BC-2026-0105</t>
        </is>
      </c>
      <c r="B18" s="64" t="n">
        <v>46294</v>
      </c>
      <c r="C18" s="65" t="inlineStr">
        <is>
          <t>PEI06</t>
        </is>
      </c>
      <c r="D18" s="66" t="str">
        <f>IF(C18="","",IFERROR(INDEX(sup_name,MATCH($C18,sup_code,0))&amp;"","Fournisseur inconnu"))</f>
        <v>Peintures Oasis Industrie</v>
      </c>
      <c r="E18" s="63" t="inlineStr">
        <is>
          <t>PEI-EPO-GR</t>
        </is>
      </c>
      <c r="F18" s="66" t="str">
        <f>IF(E18="","",IFERROR(INDEX(art_des,MATCH($E18,art_ref,0))&amp;"","Article inconnu"))</f>
        <v>Peinture époxy gris RAL 7016</v>
      </c>
      <c r="G18" s="67" t="str">
        <f>IF(E18="","",IFERROR(INDEX(art_unit,MATCH($E18,art_ref,0))&amp;"",""))</f>
        <v>kg</v>
      </c>
      <c r="H18" s="68" t="n">
        <v>120</v>
      </c>
      <c r="I18" s="69" t="n"/>
      <c r="J18" s="70">
        <f>IF(E18="","",IF(ISNUMBER(I18),I18,IFERROR(IF(ISNUMBER(INDEX(art_price,MATCH($E18,art_ref,0))),INDEX(art_price,MATCH($E18,art_ref,0)),""),"")))</f>
        <v>92.0</v>
      </c>
      <c r="K18" s="71" t="n"/>
      <c r="L18" s="72" t="n"/>
      <c r="M18" s="72">
        <f>IF(E18="","",IF(L18&lt;&gt;"",L18,IFERROR(IF(ISNUMBER(INDEX(art_tva,MATCH($E18,art_ref,0))),INDEX(art_tva,MATCH($E18,art_ref,0)),""),"")))</f>
        <v>0.2</v>
      </c>
      <c r="N18" s="70">
        <f>IF(OR(E18="",J18=""),"",ROUND(N(H18)*J18*(1-N(K18)),2))</f>
        <v>11040.0</v>
      </c>
      <c r="O18" s="70">
        <f>IF(OR(N18="",NOT(ISNUMBER(M18))),"",ROUND(N18*M18,2))</f>
        <v>2208.0</v>
      </c>
      <c r="P18" s="70">
        <f>IF(N18="","",N18+N(O18))</f>
        <v>13248.0</v>
      </c>
      <c r="Q18" s="64" t="n"/>
      <c r="R18" s="73">
        <f>IF(N(Q18)&gt;0,Q18,IF(OR(N(B18)=0,ISNA(MATCH($C18,sup_code,0))),"",IF(ISNUMBER(INDEX(sup_delay,MATCH($C18,sup_code,0))),B18+INDEX(sup_delay,MATCH($C18,sup_code,0)),"")))</f>
        <v>46306.0</v>
      </c>
      <c r="S18" s="64" t="n">
        <v>46295</v>
      </c>
      <c r="T18" s="68" t="n">
        <v>120</v>
      </c>
      <c r="U18" s="64" t="n">
        <v>46309</v>
      </c>
      <c r="V18" s="65" t="n"/>
      <c r="W18" s="74">
        <f>IF(AND(A18="",E18=""),"",IF(V18="Oui",0,MAX(0,ROUND(N(H18)-N(T18),6))))</f>
        <v>0.0</v>
      </c>
      <c r="X18" s="67" t="str">
        <f>IF(AND(A18="",E18=""),"",IF(V18="Oui","Annulé",IF(AND(N(H18)&gt;0,N(T18)&gt;=N(H18)),"Reçu",IF(N(S18)=0,"Brouillon",IF(AND(ISNUMBER(R18),R18&lt;p_today),"En retard",IF(N(T18)&gt;0,"Partiel","Envoyé"))))))</f>
        <v>Reçu</v>
      </c>
      <c r="Y18" s="75">
        <f>IF(X18="En retard",p_today-R18,IF(AND(X18="Reçu",ISNUMBER(R18)),MAX(0,N(U18)-R18),""))</f>
        <v>3.0</v>
      </c>
      <c r="Z18" s="67" t="str">
        <f>IF(AND(A18="",E18=""),"",IF(A18="","N° de bon manquant",IF(N(B18)=0,"Date de commande manquante",IF(C18="","Fournisseur manquant",IF(ISNA(MATCH($C18,sup_code,0)),"Fournisseur inconnu",IF(E18="","Article manquant",IF(ISNA(MATCH($E18,art_ref,0)),"Article inconnu",IF(N(H18)&lt;=0,"Quantité invalide",IF(J18="","Prix manquant",IF(OR(N(K18)&lt;0,N(K18)&gt;=1),"Remise invalide",IF(M18="","TVA manquante",IF(ISNA(MATCH(M18,p_tva,0)),"Taux de TVA inconnu",IF(COUNTIFS(po_num,A18,po_sup,"&lt;&gt;"&amp;C18)&gt;0,"Fournisseur différent sur ce bon",IF(COUNTIFS(po_num,A18,po_date,"&lt;&gt;"&amp;B18)&gt;0,"Date différente sur ce bon",IF(COUNTIF(po_num,A18)&gt;25,"Plus de 25 lignes sur ce bon",IF(R18="","Date de livraison manquante",IF(R18&lt;B18,"Livraison avant la commande",IF(AND(N(T18)&gt;0,N(S18)=0),"Date d'envoi manquante",IF(N(T18)&gt;N(H18),"Reçu plus que commandé",IF(AND(N(T18)&gt;0,N(U18)=0),"Date de réception manquante",IF(AND(N(U18)&gt;0,U18&lt;B18),"Réception avant la commande","OK")))))))))))))))))))))</f>
        <v>OK</v>
      </c>
      <c r="AA18" s="66">
        <f>IF(AND(X18="Reçu",ISNUMBER(R18)),IF(N(U18)&lt;=R18,1,0),"")</f>
        <v>0.0</v>
      </c>
      <c r="AB18" s="76" t="str">
        <f>IF(OR(X18="Envoyé",X18="Partiel",X18="En retard"),IF(ISNUMBER(R18),R18,100000)+ROW()/100000,"")</f>
        <v/>
      </c>
      <c r="AC18" s="66">
        <f>IF(A18="","",IF(COUNTIF($A$6:A18,A18)=1,1,""))</f>
        <v>1.0</v>
      </c>
      <c r="AD18" s="66">
        <f>IF(AC18=1,COUNT($AC$6:AC18),"")</f>
        <v>5.0</v>
      </c>
      <c r="AE18" s="66" t="str">
        <f>IFERROR(INDEX(po_num,MATCH(13,po_seq,0))&amp;"","")</f>
        <v>BC-2026-0113</v>
      </c>
      <c r="AF18" s="66" t="str">
        <f>IF(OR(A18="",p_po=""),"",IF(A18&amp;""=p_po,COUNTIF($A$6:A18,A18),""))</f>
        <v/>
      </c>
      <c r="AG18" s="66" t="str">
        <f>IF(OR(AB18="",A18=""),"",IF(COUNTIFS($A$6:A18,A18,$AB$6:AB18,"&gt;0")=1,1,""))</f>
        <v/>
      </c>
      <c r="AH18" s="70" t="str">
        <f>IF(AB18="","",ROUND(N(W18)*N(J18)*(1-N(K18)),2))</f>
        <v/>
      </c>
      <c r="AI18" s="70">
        <f>IF(OR(J18="",N(T18)&lt;=0,V18="Oui"),"",ROUND(N(T18)*J18*(1-N(K18)),2))</f>
        <v>11040.0</v>
      </c>
    </row>
    <row r="19">
      <c r="A19" s="63" t="inlineStr">
        <is>
          <t>BC-2026-0105</t>
        </is>
      </c>
      <c r="B19" s="64" t="n">
        <v>46294</v>
      </c>
      <c r="C19" s="65" t="inlineStr">
        <is>
          <t>PEI06</t>
        </is>
      </c>
      <c r="D19" s="66" t="str">
        <f>IF(C19="","",IFERROR(INDEX(sup_name,MATCH($C19,sup_code,0))&amp;"","Fournisseur inconnu"))</f>
        <v>Peintures Oasis Industrie</v>
      </c>
      <c r="E19" s="63" t="inlineStr">
        <is>
          <t>DIL-EPO</t>
        </is>
      </c>
      <c r="F19" s="66" t="str">
        <f>IF(E19="","",IFERROR(INDEX(art_des,MATCH($E19,art_ref,0))&amp;"","Article inconnu"))</f>
        <v>Diluant époxy</v>
      </c>
      <c r="G19" s="67" t="str">
        <f>IF(E19="","",IFERROR(INDEX(art_unit,MATCH($E19,art_ref,0))&amp;"",""))</f>
        <v>litre</v>
      </c>
      <c r="H19" s="68" t="n">
        <v>40</v>
      </c>
      <c r="I19" s="69" t="n"/>
      <c r="J19" s="70">
        <f>IF(E19="","",IF(ISNUMBER(I19),I19,IFERROR(IF(ISNUMBER(INDEX(art_price,MATCH($E19,art_ref,0))),INDEX(art_price,MATCH($E19,art_ref,0)),""),"")))</f>
        <v>38.0</v>
      </c>
      <c r="K19" s="71" t="n"/>
      <c r="L19" s="72" t="n"/>
      <c r="M19" s="72">
        <f>IF(E19="","",IF(L19&lt;&gt;"",L19,IFERROR(IF(ISNUMBER(INDEX(art_tva,MATCH($E19,art_ref,0))),INDEX(art_tva,MATCH($E19,art_ref,0)),""),"")))</f>
        <v>0.2</v>
      </c>
      <c r="N19" s="70">
        <f>IF(OR(E19="",J19=""),"",ROUND(N(H19)*J19*(1-N(K19)),2))</f>
        <v>1520.0</v>
      </c>
      <c r="O19" s="70">
        <f>IF(OR(N19="",NOT(ISNUMBER(M19))),"",ROUND(N19*M19,2))</f>
        <v>304.0</v>
      </c>
      <c r="P19" s="70">
        <f>IF(N19="","",N19+N(O19))</f>
        <v>1824.0</v>
      </c>
      <c r="Q19" s="64" t="n"/>
      <c r="R19" s="73">
        <f>IF(N(Q19)&gt;0,Q19,IF(OR(N(B19)=0,ISNA(MATCH($C19,sup_code,0))),"",IF(ISNUMBER(INDEX(sup_delay,MATCH($C19,sup_code,0))),B19+INDEX(sup_delay,MATCH($C19,sup_code,0)),"")))</f>
        <v>46306.0</v>
      </c>
      <c r="S19" s="64" t="n">
        <v>46295</v>
      </c>
      <c r="T19" s="68" t="n">
        <v>40</v>
      </c>
      <c r="U19" s="64" t="n">
        <v>46309</v>
      </c>
      <c r="V19" s="65" t="n"/>
      <c r="W19" s="74">
        <f>IF(AND(A19="",E19=""),"",IF(V19="Oui",0,MAX(0,ROUND(N(H19)-N(T19),6))))</f>
        <v>0.0</v>
      </c>
      <c r="X19" s="67" t="str">
        <f>IF(AND(A19="",E19=""),"",IF(V19="Oui","Annulé",IF(AND(N(H19)&gt;0,N(T19)&gt;=N(H19)),"Reçu",IF(N(S19)=0,"Brouillon",IF(AND(ISNUMBER(R19),R19&lt;p_today),"En retard",IF(N(T19)&gt;0,"Partiel","Envoyé"))))))</f>
        <v>Reçu</v>
      </c>
      <c r="Y19" s="75">
        <f>IF(X19="En retard",p_today-R19,IF(AND(X19="Reçu",ISNUMBER(R19)),MAX(0,N(U19)-R19),""))</f>
        <v>3.0</v>
      </c>
      <c r="Z19" s="67" t="str">
        <f>IF(AND(A19="",E19=""),"",IF(A19="","N° de bon manquant",IF(N(B19)=0,"Date de commande manquante",IF(C19="","Fournisseur manquant",IF(ISNA(MATCH($C19,sup_code,0)),"Fournisseur inconnu",IF(E19="","Article manquant",IF(ISNA(MATCH($E19,art_ref,0)),"Article inconnu",IF(N(H19)&lt;=0,"Quantité invalide",IF(J19="","Prix manquant",IF(OR(N(K19)&lt;0,N(K19)&gt;=1),"Remise invalide",IF(M19="","TVA manquante",IF(ISNA(MATCH(M19,p_tva,0)),"Taux de TVA inconnu",IF(COUNTIFS(po_num,A19,po_sup,"&lt;&gt;"&amp;C19)&gt;0,"Fournisseur différent sur ce bon",IF(COUNTIFS(po_num,A19,po_date,"&lt;&gt;"&amp;B19)&gt;0,"Date différente sur ce bon",IF(COUNTIF(po_num,A19)&gt;25,"Plus de 25 lignes sur ce bon",IF(R19="","Date de livraison manquante",IF(R19&lt;B19,"Livraison avant la commande",IF(AND(N(T19)&gt;0,N(S19)=0),"Date d'envoi manquante",IF(N(T19)&gt;N(H19),"Reçu plus que commandé",IF(AND(N(T19)&gt;0,N(U19)=0),"Date de réception manquante",IF(AND(N(U19)&gt;0,U19&lt;B19),"Réception avant la commande","OK")))))))))))))))))))))</f>
        <v>OK</v>
      </c>
      <c r="AA19" s="66">
        <f>IF(AND(X19="Reçu",ISNUMBER(R19)),IF(N(U19)&lt;=R19,1,0),"")</f>
        <v>0.0</v>
      </c>
      <c r="AB19" s="76" t="str">
        <f>IF(OR(X19="Envoyé",X19="Partiel",X19="En retard"),IF(ISNUMBER(R19),R19,100000)+ROW()/100000,"")</f>
        <v/>
      </c>
      <c r="AC19" s="66" t="str">
        <f>IF(A19="","",IF(COUNTIF($A$6:A19,A19)=1,1,""))</f>
        <v/>
      </c>
      <c r="AD19" s="66" t="str">
        <f>IF(AC19=1,COUNT($AC$6:AC19),"")</f>
        <v/>
      </c>
      <c r="AE19" s="66" t="str">
        <f>IFERROR(INDEX(po_num,MATCH(14,po_seq,0))&amp;"","")</f>
        <v>BC-2026-0114</v>
      </c>
      <c r="AF19" s="66" t="str">
        <f>IF(OR(A19="",p_po=""),"",IF(A19&amp;""=p_po,COUNTIF($A$6:A19,A19),""))</f>
        <v/>
      </c>
      <c r="AG19" s="66" t="str">
        <f>IF(OR(AB19="",A19=""),"",IF(COUNTIFS($A$6:A19,A19,$AB$6:AB19,"&gt;0")=1,1,""))</f>
        <v/>
      </c>
      <c r="AH19" s="70" t="str">
        <f>IF(AB19="","",ROUND(N(W19)*N(J19)*(1-N(K19)),2))</f>
        <v/>
      </c>
      <c r="AI19" s="70">
        <f>IF(OR(J19="",N(T19)&lt;=0,V19="Oui"),"",ROUND(N(T19)*J19*(1-N(K19)),2))</f>
        <v>1520.0</v>
      </c>
    </row>
    <row r="20">
      <c r="A20" s="63" t="inlineStr">
        <is>
          <t>BC-2026-0106</t>
        </is>
      </c>
      <c r="B20" s="64" t="n">
        <v>46297</v>
      </c>
      <c r="C20" s="65" t="inlineStr">
        <is>
          <t>OUT07</t>
        </is>
      </c>
      <c r="D20" s="66" t="str">
        <f>IF(C20="","",IFERROR(INDEX(sup_name,MATCH($C20,sup_code,0))&amp;"","Fournisseur inconnu"))</f>
        <v>Outillage Médina Pro</v>
      </c>
      <c r="E20" s="63" t="inlineStr">
        <is>
          <t>FOR-HSS-8</t>
        </is>
      </c>
      <c r="F20" s="66" t="str">
        <f>IF(E20="","",IFERROR(INDEX(art_des,MATCH($E20,art_ref,0))&amp;"","Article inconnu"))</f>
        <v>Foret HSS Ø8 mm</v>
      </c>
      <c r="G20" s="67" t="str">
        <f>IF(E20="","",IFERROR(INDEX(art_unit,MATCH($E20,art_ref,0))&amp;"",""))</f>
        <v>pièce</v>
      </c>
      <c r="H20" s="68" t="n">
        <v>20</v>
      </c>
      <c r="I20" s="69" t="n"/>
      <c r="J20" s="70">
        <f>IF(E20="","",IF(ISNUMBER(I20),I20,IFERROR(IF(ISNUMBER(INDEX(art_price,MATCH($E20,art_ref,0))),INDEX(art_price,MATCH($E20,art_ref,0)),""),"")))</f>
        <v>24.0</v>
      </c>
      <c r="K20" s="71" t="n"/>
      <c r="L20" s="72" t="n"/>
      <c r="M20" s="72">
        <f>IF(E20="","",IF(L20&lt;&gt;"",L20,IFERROR(IF(ISNUMBER(INDEX(art_tva,MATCH($E20,art_ref,0))),INDEX(art_tva,MATCH($E20,art_ref,0)),""),"")))</f>
        <v>0.2</v>
      </c>
      <c r="N20" s="70">
        <f>IF(OR(E20="",J20=""),"",ROUND(N(H20)*J20*(1-N(K20)),2))</f>
        <v>480.0</v>
      </c>
      <c r="O20" s="70">
        <f>IF(OR(N20="",NOT(ISNUMBER(M20))),"",ROUND(N20*M20,2))</f>
        <v>96.0</v>
      </c>
      <c r="P20" s="70">
        <f>IF(N20="","",N20+N(O20))</f>
        <v>576.0</v>
      </c>
      <c r="Q20" s="64" t="n"/>
      <c r="R20" s="73">
        <f>IF(N(Q20)&gt;0,Q20,IF(OR(N(B20)=0,ISNA(MATCH($C20,sup_code,0))),"",IF(ISNUMBER(INDEX(sup_delay,MATCH($C20,sup_code,0))),B20+INDEX(sup_delay,MATCH($C20,sup_code,0)),"")))</f>
        <v>46303.0</v>
      </c>
      <c r="S20" s="64" t="n">
        <v>46297</v>
      </c>
      <c r="T20" s="68" t="n">
        <v>20</v>
      </c>
      <c r="U20" s="64" t="n">
        <v>46302</v>
      </c>
      <c r="V20" s="65" t="n"/>
      <c r="W20" s="74">
        <f>IF(AND(A20="",E20=""),"",IF(V20="Oui",0,MAX(0,ROUND(N(H20)-N(T20),6))))</f>
        <v>0.0</v>
      </c>
      <c r="X20" s="67" t="str">
        <f>IF(AND(A20="",E20=""),"",IF(V20="Oui","Annulé",IF(AND(N(H20)&gt;0,N(T20)&gt;=N(H20)),"Reçu",IF(N(S20)=0,"Brouillon",IF(AND(ISNUMBER(R20),R20&lt;p_today),"En retard",IF(N(T20)&gt;0,"Partiel","Envoyé"))))))</f>
        <v>Reçu</v>
      </c>
      <c r="Y20" s="75">
        <f>IF(X20="En retard",p_today-R20,IF(AND(X20="Reçu",ISNUMBER(R20)),MAX(0,N(U20)-R20),""))</f>
        <v>0.0</v>
      </c>
      <c r="Z20" s="67" t="str">
        <f>IF(AND(A20="",E20=""),"",IF(A20="","N° de bon manquant",IF(N(B20)=0,"Date de commande manquante",IF(C20="","Fournisseur manquant",IF(ISNA(MATCH($C20,sup_code,0)),"Fournisseur inconnu",IF(E20="","Article manquant",IF(ISNA(MATCH($E20,art_ref,0)),"Article inconnu",IF(N(H20)&lt;=0,"Quantité invalide",IF(J20="","Prix manquant",IF(OR(N(K20)&lt;0,N(K20)&gt;=1),"Remise invalide",IF(M20="","TVA manquante",IF(ISNA(MATCH(M20,p_tva,0)),"Taux de TVA inconnu",IF(COUNTIFS(po_num,A20,po_sup,"&lt;&gt;"&amp;C20)&gt;0,"Fournisseur différent sur ce bon",IF(COUNTIFS(po_num,A20,po_date,"&lt;&gt;"&amp;B20)&gt;0,"Date différente sur ce bon",IF(COUNTIF(po_num,A20)&gt;25,"Plus de 25 lignes sur ce bon",IF(R20="","Date de livraison manquante",IF(R20&lt;B20,"Livraison avant la commande",IF(AND(N(T20)&gt;0,N(S20)=0),"Date d'envoi manquante",IF(N(T20)&gt;N(H20),"Reçu plus que commandé",IF(AND(N(T20)&gt;0,N(U20)=0),"Date de réception manquante",IF(AND(N(U20)&gt;0,U20&lt;B20),"Réception avant la commande","OK")))))))))))))))))))))</f>
        <v>OK</v>
      </c>
      <c r="AA20" s="66">
        <f>IF(AND(X20="Reçu",ISNUMBER(R20)),IF(N(U20)&lt;=R20,1,0),"")</f>
        <v>1.0</v>
      </c>
      <c r="AB20" s="76" t="str">
        <f>IF(OR(X20="Envoyé",X20="Partiel",X20="En retard"),IF(ISNUMBER(R20),R20,100000)+ROW()/100000,"")</f>
        <v/>
      </c>
      <c r="AC20" s="66">
        <f>IF(A20="","",IF(COUNTIF($A$6:A20,A20)=1,1,""))</f>
        <v>1.0</v>
      </c>
      <c r="AD20" s="66">
        <f>IF(AC20=1,COUNT($AC$6:AC20),"")</f>
        <v>6.0</v>
      </c>
      <c r="AE20" s="66" t="str">
        <f>IFERROR(INDEX(po_num,MATCH(15,po_seq,0))&amp;"","")</f>
        <v>BC-2026-0115</v>
      </c>
      <c r="AF20" s="66" t="str">
        <f>IF(OR(A20="",p_po=""),"",IF(A20&amp;""=p_po,COUNTIF($A$6:A20,A20),""))</f>
        <v/>
      </c>
      <c r="AG20" s="66" t="str">
        <f>IF(OR(AB20="",A20=""),"",IF(COUNTIFS($A$6:A20,A20,$AB$6:AB20,"&gt;0")=1,1,""))</f>
        <v/>
      </c>
      <c r="AH20" s="70" t="str">
        <f>IF(AB20="","",ROUND(N(W20)*N(J20)*(1-N(K20)),2))</f>
        <v/>
      </c>
      <c r="AI20" s="70">
        <f>IF(OR(J20="",N(T20)&lt;=0,V20="Oui"),"",ROUND(N(T20)*J20*(1-N(K20)),2))</f>
        <v>480.0</v>
      </c>
    </row>
    <row r="21">
      <c r="A21" s="63" t="inlineStr">
        <is>
          <t>BC-2026-0106</t>
        </is>
      </c>
      <c r="B21" s="64" t="n">
        <v>46297</v>
      </c>
      <c r="C21" s="65" t="inlineStr">
        <is>
          <t>OUT07</t>
        </is>
      </c>
      <c r="D21" s="66" t="str">
        <f>IF(C21="","",IFERROR(INDEX(sup_name,MATCH($C21,sup_code,0))&amp;"","Fournisseur inconnu"))</f>
        <v>Outillage Médina Pro</v>
      </c>
      <c r="E21" s="63" t="inlineStr">
        <is>
          <t>PLA-CNMG</t>
        </is>
      </c>
      <c r="F21" s="66" t="str">
        <f>IF(E21="","",IFERROR(INDEX(art_des,MATCH($E21,art_ref,0))&amp;"","Article inconnu"))</f>
        <v>Plaquette carbure CNMG 120408</v>
      </c>
      <c r="G21" s="67" t="str">
        <f>IF(E21="","",IFERROR(INDEX(art_unit,MATCH($E21,art_ref,0))&amp;"",""))</f>
        <v>pièce</v>
      </c>
      <c r="H21" s="68" t="n">
        <v>50</v>
      </c>
      <c r="I21" s="69" t="n">
        <v>55</v>
      </c>
      <c r="J21" s="70">
        <f>IF(E21="","",IF(ISNUMBER(I21),I21,IFERROR(IF(ISNUMBER(INDEX(art_price,MATCH($E21,art_ref,0))),INDEX(art_price,MATCH($E21,art_ref,0)),""),"")))</f>
        <v>55.0</v>
      </c>
      <c r="K21" s="71" t="n"/>
      <c r="L21" s="72" t="n"/>
      <c r="M21" s="72">
        <f>IF(E21="","",IF(L21&lt;&gt;"",L21,IFERROR(IF(ISNUMBER(INDEX(art_tva,MATCH($E21,art_ref,0))),INDEX(art_tva,MATCH($E21,art_ref,0)),""),"")))</f>
        <v>0.2</v>
      </c>
      <c r="N21" s="70">
        <f>IF(OR(E21="",J21=""),"",ROUND(N(H21)*J21*(1-N(K21)),2))</f>
        <v>2750.0</v>
      </c>
      <c r="O21" s="70">
        <f>IF(OR(N21="",NOT(ISNUMBER(M21))),"",ROUND(N21*M21,2))</f>
        <v>550.0</v>
      </c>
      <c r="P21" s="70">
        <f>IF(N21="","",N21+N(O21))</f>
        <v>3300.0</v>
      </c>
      <c r="Q21" s="64" t="n"/>
      <c r="R21" s="73">
        <f>IF(N(Q21)&gt;0,Q21,IF(OR(N(B21)=0,ISNA(MATCH($C21,sup_code,0))),"",IF(ISNUMBER(INDEX(sup_delay,MATCH($C21,sup_code,0))),B21+INDEX(sup_delay,MATCH($C21,sup_code,0)),"")))</f>
        <v>46303.0</v>
      </c>
      <c r="S21" s="64" t="n">
        <v>46297</v>
      </c>
      <c r="T21" s="68" t="n">
        <v>50</v>
      </c>
      <c r="U21" s="64" t="n">
        <v>46302</v>
      </c>
      <c r="V21" s="65" t="n"/>
      <c r="W21" s="74">
        <f>IF(AND(A21="",E21=""),"",IF(V21="Oui",0,MAX(0,ROUND(N(H21)-N(T21),6))))</f>
        <v>0.0</v>
      </c>
      <c r="X21" s="67" t="str">
        <f>IF(AND(A21="",E21=""),"",IF(V21="Oui","Annulé",IF(AND(N(H21)&gt;0,N(T21)&gt;=N(H21)),"Reçu",IF(N(S21)=0,"Brouillon",IF(AND(ISNUMBER(R21),R21&lt;p_today),"En retard",IF(N(T21)&gt;0,"Partiel","Envoyé"))))))</f>
        <v>Reçu</v>
      </c>
      <c r="Y21" s="75">
        <f>IF(X21="En retard",p_today-R21,IF(AND(X21="Reçu",ISNUMBER(R21)),MAX(0,N(U21)-R21),""))</f>
        <v>0.0</v>
      </c>
      <c r="Z21" s="67" t="str">
        <f>IF(AND(A21="",E21=""),"",IF(A21="","N° de bon manquant",IF(N(B21)=0,"Date de commande manquante",IF(C21="","Fournisseur manquant",IF(ISNA(MATCH($C21,sup_code,0)),"Fournisseur inconnu",IF(E21="","Article manquant",IF(ISNA(MATCH($E21,art_ref,0)),"Article inconnu",IF(N(H21)&lt;=0,"Quantité invalide",IF(J21="","Prix manquant",IF(OR(N(K21)&lt;0,N(K21)&gt;=1),"Remise invalide",IF(M21="","TVA manquante",IF(ISNA(MATCH(M21,p_tva,0)),"Taux de TVA inconnu",IF(COUNTIFS(po_num,A21,po_sup,"&lt;&gt;"&amp;C21)&gt;0,"Fournisseur différent sur ce bon",IF(COUNTIFS(po_num,A21,po_date,"&lt;&gt;"&amp;B21)&gt;0,"Date différente sur ce bon",IF(COUNTIF(po_num,A21)&gt;25,"Plus de 25 lignes sur ce bon",IF(R21="","Date de livraison manquante",IF(R21&lt;B21,"Livraison avant la commande",IF(AND(N(T21)&gt;0,N(S21)=0),"Date d'envoi manquante",IF(N(T21)&gt;N(H21),"Reçu plus que commandé",IF(AND(N(T21)&gt;0,N(U21)=0),"Date de réception manquante",IF(AND(N(U21)&gt;0,U21&lt;B21),"Réception avant la commande","OK")))))))))))))))))))))</f>
        <v>OK</v>
      </c>
      <c r="AA21" s="66">
        <f>IF(AND(X21="Reçu",ISNUMBER(R21)),IF(N(U21)&lt;=R21,1,0),"")</f>
        <v>1.0</v>
      </c>
      <c r="AB21" s="76" t="str">
        <f>IF(OR(X21="Envoyé",X21="Partiel",X21="En retard"),IF(ISNUMBER(R21),R21,100000)+ROW()/100000,"")</f>
        <v/>
      </c>
      <c r="AC21" s="66" t="str">
        <f>IF(A21="","",IF(COUNTIF($A$6:A21,A21)=1,1,""))</f>
        <v/>
      </c>
      <c r="AD21" s="66" t="str">
        <f>IF(AC21=1,COUNT($AC$6:AC21),"")</f>
        <v/>
      </c>
      <c r="AE21" s="66" t="str">
        <f>IFERROR(INDEX(po_num,MATCH(16,po_seq,0))&amp;"","")</f>
        <v>BC-2026-0116</v>
      </c>
      <c r="AF21" s="66" t="str">
        <f>IF(OR(A21="",p_po=""),"",IF(A21&amp;""=p_po,COUNTIF($A$6:A21,A21),""))</f>
        <v/>
      </c>
      <c r="AG21" s="66" t="str">
        <f>IF(OR(AB21="",A21=""),"",IF(COUNTIFS($A$6:A21,A21,$AB$6:AB21,"&gt;0")=1,1,""))</f>
        <v/>
      </c>
      <c r="AH21" s="70" t="str">
        <f>IF(AB21="","",ROUND(N(W21)*N(J21)*(1-N(K21)),2))</f>
        <v/>
      </c>
      <c r="AI21" s="70">
        <f>IF(OR(J21="",N(T21)&lt;=0,V21="Oui"),"",ROUND(N(T21)*J21*(1-N(K21)),2))</f>
        <v>2750.0</v>
      </c>
    </row>
    <row r="22">
      <c r="A22" s="63" t="inlineStr">
        <is>
          <t>BC-2026-0106</t>
        </is>
      </c>
      <c r="B22" s="64" t="n">
        <v>46297</v>
      </c>
      <c r="C22" s="65" t="inlineStr">
        <is>
          <t>OUT07</t>
        </is>
      </c>
      <c r="D22" s="66" t="str">
        <f>IF(C22="","",IFERROR(INDEX(sup_name,MATCH($C22,sup_code,0))&amp;"","Fournisseur inconnu"))</f>
        <v>Outillage Médina Pro</v>
      </c>
      <c r="E22" s="63" t="inlineStr">
        <is>
          <t>DIS-TRO-125</t>
        </is>
      </c>
      <c r="F22" s="66" t="str">
        <f>IF(E22="","",IFERROR(INDEX(art_des,MATCH($E22,art_ref,0))&amp;"","Article inconnu"))</f>
        <v>Disque à tronçonner 125 mm</v>
      </c>
      <c r="G22" s="67" t="str">
        <f>IF(E22="","",IFERROR(INDEX(art_unit,MATCH($E22,art_ref,0))&amp;"",""))</f>
        <v>pièce</v>
      </c>
      <c r="H22" s="68" t="n">
        <v>200</v>
      </c>
      <c r="I22" s="69" t="n"/>
      <c r="J22" s="70">
        <f>IF(E22="","",IF(ISNUMBER(I22),I22,IFERROR(IF(ISNUMBER(INDEX(art_price,MATCH($E22,art_ref,0))),INDEX(art_price,MATCH($E22,art_ref,0)),""),"")))</f>
        <v>9.8</v>
      </c>
      <c r="K22" s="71" t="n"/>
      <c r="L22" s="72" t="n"/>
      <c r="M22" s="72">
        <f>IF(E22="","",IF(L22&lt;&gt;"",L22,IFERROR(IF(ISNUMBER(INDEX(art_tva,MATCH($E22,art_ref,0))),INDEX(art_tva,MATCH($E22,art_ref,0)),""),"")))</f>
        <v>0.2</v>
      </c>
      <c r="N22" s="70">
        <f>IF(OR(E22="",J22=""),"",ROUND(N(H22)*J22*(1-N(K22)),2))</f>
        <v>1960.0</v>
      </c>
      <c r="O22" s="70">
        <f>IF(OR(N22="",NOT(ISNUMBER(M22))),"",ROUND(N22*M22,2))</f>
        <v>392.0</v>
      </c>
      <c r="P22" s="70">
        <f>IF(N22="","",N22+N(O22))</f>
        <v>2352.0</v>
      </c>
      <c r="Q22" s="64" t="n"/>
      <c r="R22" s="73">
        <f>IF(N(Q22)&gt;0,Q22,IF(OR(N(B22)=0,ISNA(MATCH($C22,sup_code,0))),"",IF(ISNUMBER(INDEX(sup_delay,MATCH($C22,sup_code,0))),B22+INDEX(sup_delay,MATCH($C22,sup_code,0)),"")))</f>
        <v>46303.0</v>
      </c>
      <c r="S22" s="64" t="n">
        <v>46297</v>
      </c>
      <c r="T22" s="68" t="n">
        <v>200</v>
      </c>
      <c r="U22" s="64" t="n">
        <v>46302</v>
      </c>
      <c r="V22" s="65" t="n"/>
      <c r="W22" s="74">
        <f>IF(AND(A22="",E22=""),"",IF(V22="Oui",0,MAX(0,ROUND(N(H22)-N(T22),6))))</f>
        <v>0.0</v>
      </c>
      <c r="X22" s="67" t="str">
        <f>IF(AND(A22="",E22=""),"",IF(V22="Oui","Annulé",IF(AND(N(H22)&gt;0,N(T22)&gt;=N(H22)),"Reçu",IF(N(S22)=0,"Brouillon",IF(AND(ISNUMBER(R22),R22&lt;p_today),"En retard",IF(N(T22)&gt;0,"Partiel","Envoyé"))))))</f>
        <v>Reçu</v>
      </c>
      <c r="Y22" s="75">
        <f>IF(X22="En retard",p_today-R22,IF(AND(X22="Reçu",ISNUMBER(R22)),MAX(0,N(U22)-R22),""))</f>
        <v>0.0</v>
      </c>
      <c r="Z22" s="67" t="str">
        <f>IF(AND(A22="",E22=""),"",IF(A22="","N° de bon manquant",IF(N(B22)=0,"Date de commande manquante",IF(C22="","Fournisseur manquant",IF(ISNA(MATCH($C22,sup_code,0)),"Fournisseur inconnu",IF(E22="","Article manquant",IF(ISNA(MATCH($E22,art_ref,0)),"Article inconnu",IF(N(H22)&lt;=0,"Quantité invalide",IF(J22="","Prix manquant",IF(OR(N(K22)&lt;0,N(K22)&gt;=1),"Remise invalide",IF(M22="","TVA manquante",IF(ISNA(MATCH(M22,p_tva,0)),"Taux de TVA inconnu",IF(COUNTIFS(po_num,A22,po_sup,"&lt;&gt;"&amp;C22)&gt;0,"Fournisseur différent sur ce bon",IF(COUNTIFS(po_num,A22,po_date,"&lt;&gt;"&amp;B22)&gt;0,"Date différente sur ce bon",IF(COUNTIF(po_num,A22)&gt;25,"Plus de 25 lignes sur ce bon",IF(R22="","Date de livraison manquante",IF(R22&lt;B22,"Livraison avant la commande",IF(AND(N(T22)&gt;0,N(S22)=0),"Date d'envoi manquante",IF(N(T22)&gt;N(H22),"Reçu plus que commandé",IF(AND(N(T22)&gt;0,N(U22)=0),"Date de réception manquante",IF(AND(N(U22)&gt;0,U22&lt;B22),"Réception avant la commande","OK")))))))))))))))))))))</f>
        <v>OK</v>
      </c>
      <c r="AA22" s="66">
        <f>IF(AND(X22="Reçu",ISNUMBER(R22)),IF(N(U22)&lt;=R22,1,0),"")</f>
        <v>1.0</v>
      </c>
      <c r="AB22" s="76" t="str">
        <f>IF(OR(X22="Envoyé",X22="Partiel",X22="En retard"),IF(ISNUMBER(R22),R22,100000)+ROW()/100000,"")</f>
        <v/>
      </c>
      <c r="AC22" s="66" t="str">
        <f>IF(A22="","",IF(COUNTIF($A$6:A22,A22)=1,1,""))</f>
        <v/>
      </c>
      <c r="AD22" s="66" t="str">
        <f>IF(AC22=1,COUNT($AC$6:AC22),"")</f>
        <v/>
      </c>
      <c r="AE22" s="66" t="str">
        <f>IFERROR(INDEX(po_num,MATCH(17,po_seq,0))&amp;"","")</f>
        <v>BC-2026-0117</v>
      </c>
      <c r="AF22" s="66" t="str">
        <f>IF(OR(A22="",p_po=""),"",IF(A22&amp;""=p_po,COUNTIF($A$6:A22,A22),""))</f>
        <v/>
      </c>
      <c r="AG22" s="66" t="str">
        <f>IF(OR(AB22="",A22=""),"",IF(COUNTIFS($A$6:A22,A22,$AB$6:AB22,"&gt;0")=1,1,""))</f>
        <v/>
      </c>
      <c r="AH22" s="70" t="str">
        <f>IF(AB22="","",ROUND(N(W22)*N(J22)*(1-N(K22)),2))</f>
        <v/>
      </c>
      <c r="AI22" s="70">
        <f>IF(OR(J22="",N(T22)&lt;=0,V22="Oui"),"",ROUND(N(T22)*J22*(1-N(K22)),2))</f>
        <v>1960.0</v>
      </c>
    </row>
    <row r="23">
      <c r="A23" s="63" t="inlineStr">
        <is>
          <t>BC-2026-0107</t>
        </is>
      </c>
      <c r="B23" s="64" t="n">
        <v>46301</v>
      </c>
      <c r="C23" s="65" t="inlineStr">
        <is>
          <t>MET01</t>
        </is>
      </c>
      <c r="D23" s="66" t="str">
        <f>IF(C23="","",IFERROR(INDEX(sup_name,MATCH($C23,sup_code,0))&amp;"","Fournisseur inconnu"))</f>
        <v>Métaux Atlas SARL</v>
      </c>
      <c r="E23" s="63" t="inlineStr">
        <is>
          <t>TOL-S235-2</t>
        </is>
      </c>
      <c r="F23" s="66" t="str">
        <f>IF(E23="","",IFERROR(INDEX(art_des,MATCH($E23,art_ref,0))&amp;"","Article inconnu"))</f>
        <v>Tôle acier S235 ép. 2 mm</v>
      </c>
      <c r="G23" s="67" t="str">
        <f>IF(E23="","",IFERROR(INDEX(art_unit,MATCH($E23,art_ref,0))&amp;"",""))</f>
        <v>kg</v>
      </c>
      <c r="H23" s="68" t="n">
        <v>1200</v>
      </c>
      <c r="I23" s="69" t="n"/>
      <c r="J23" s="70">
        <f>IF(E23="","",IF(ISNUMBER(I23),I23,IFERROR(IF(ISNUMBER(INDEX(art_price,MATCH($E23,art_ref,0))),INDEX(art_price,MATCH($E23,art_ref,0)),""),"")))</f>
        <v>11.8</v>
      </c>
      <c r="K23" s="71" t="n"/>
      <c r="L23" s="72" t="n"/>
      <c r="M23" s="72">
        <f>IF(E23="","",IF(L23&lt;&gt;"",L23,IFERROR(IF(ISNUMBER(INDEX(art_tva,MATCH($E23,art_ref,0))),INDEX(art_tva,MATCH($E23,art_ref,0)),""),"")))</f>
        <v>0.2</v>
      </c>
      <c r="N23" s="70">
        <f>IF(OR(E23="",J23=""),"",ROUND(N(H23)*J23*(1-N(K23)),2))</f>
        <v>14160.0</v>
      </c>
      <c r="O23" s="70">
        <f>IF(OR(N23="",NOT(ISNUMBER(M23))),"",ROUND(N23*M23,2))</f>
        <v>2832.0</v>
      </c>
      <c r="P23" s="70">
        <f>IF(N23="","",N23+N(O23))</f>
        <v>16992.0</v>
      </c>
      <c r="Q23" s="64" t="n"/>
      <c r="R23" s="73">
        <f>IF(N(Q23)&gt;0,Q23,IF(OR(N(B23)=0,ISNA(MATCH($C23,sup_code,0))),"",IF(ISNUMBER(INDEX(sup_delay,MATCH($C23,sup_code,0))),B23+INDEX(sup_delay,MATCH($C23,sup_code,0)),"")))</f>
        <v>46308.0</v>
      </c>
      <c r="S23" s="64" t="n">
        <v>46301</v>
      </c>
      <c r="T23" s="68" t="n">
        <v>1200</v>
      </c>
      <c r="U23" s="64" t="n">
        <v>46307</v>
      </c>
      <c r="V23" s="65" t="n"/>
      <c r="W23" s="74">
        <f>IF(AND(A23="",E23=""),"",IF(V23="Oui",0,MAX(0,ROUND(N(H23)-N(T23),6))))</f>
        <v>0.0</v>
      </c>
      <c r="X23" s="67" t="str">
        <f>IF(AND(A23="",E23=""),"",IF(V23="Oui","Annulé",IF(AND(N(H23)&gt;0,N(T23)&gt;=N(H23)),"Reçu",IF(N(S23)=0,"Brouillon",IF(AND(ISNUMBER(R23),R23&lt;p_today),"En retard",IF(N(T23)&gt;0,"Partiel","Envoyé"))))))</f>
        <v>Reçu</v>
      </c>
      <c r="Y23" s="75">
        <f>IF(X23="En retard",p_today-R23,IF(AND(X23="Reçu",ISNUMBER(R23)),MAX(0,N(U23)-R23),""))</f>
        <v>0.0</v>
      </c>
      <c r="Z23" s="67" t="str">
        <f>IF(AND(A23="",E23=""),"",IF(A23="","N° de bon manquant",IF(N(B23)=0,"Date de commande manquante",IF(C23="","Fournisseur manquant",IF(ISNA(MATCH($C23,sup_code,0)),"Fournisseur inconnu",IF(E23="","Article manquant",IF(ISNA(MATCH($E23,art_ref,0)),"Article inconnu",IF(N(H23)&lt;=0,"Quantité invalide",IF(J23="","Prix manquant",IF(OR(N(K23)&lt;0,N(K23)&gt;=1),"Remise invalide",IF(M23="","TVA manquante",IF(ISNA(MATCH(M23,p_tva,0)),"Taux de TVA inconnu",IF(COUNTIFS(po_num,A23,po_sup,"&lt;&gt;"&amp;C23)&gt;0,"Fournisseur différent sur ce bon",IF(COUNTIFS(po_num,A23,po_date,"&lt;&gt;"&amp;B23)&gt;0,"Date différente sur ce bon",IF(COUNTIF(po_num,A23)&gt;25,"Plus de 25 lignes sur ce bon",IF(R23="","Date de livraison manquante",IF(R23&lt;B23,"Livraison avant la commande",IF(AND(N(T23)&gt;0,N(S23)=0),"Date d'envoi manquante",IF(N(T23)&gt;N(H23),"Reçu plus que commandé",IF(AND(N(T23)&gt;0,N(U23)=0),"Date de réception manquante",IF(AND(N(U23)&gt;0,U23&lt;B23),"Réception avant la commande","OK")))))))))))))))))))))</f>
        <v>OK</v>
      </c>
      <c r="AA23" s="66">
        <f>IF(AND(X23="Reçu",ISNUMBER(R23)),IF(N(U23)&lt;=R23,1,0),"")</f>
        <v>1.0</v>
      </c>
      <c r="AB23" s="76" t="str">
        <f>IF(OR(X23="Envoyé",X23="Partiel",X23="En retard"),IF(ISNUMBER(R23),R23,100000)+ROW()/100000,"")</f>
        <v/>
      </c>
      <c r="AC23" s="66">
        <f>IF(A23="","",IF(COUNTIF($A$6:A23,A23)=1,1,""))</f>
        <v>1.0</v>
      </c>
      <c r="AD23" s="66">
        <f>IF(AC23=1,COUNT($AC$6:AC23),"")</f>
        <v>7.0</v>
      </c>
      <c r="AE23" s="66" t="str">
        <f>IFERROR(INDEX(po_num,MATCH(18,po_seq,0))&amp;"","")</f>
        <v>BC-2026-0118</v>
      </c>
      <c r="AF23" s="66" t="str">
        <f>IF(OR(A23="",p_po=""),"",IF(A23&amp;""=p_po,COUNTIF($A$6:A23,A23),""))</f>
        <v/>
      </c>
      <c r="AG23" s="66" t="str">
        <f>IF(OR(AB23="",A23=""),"",IF(COUNTIFS($A$6:A23,A23,$AB$6:AB23,"&gt;0")=1,1,""))</f>
        <v/>
      </c>
      <c r="AH23" s="70" t="str">
        <f>IF(AB23="","",ROUND(N(W23)*N(J23)*(1-N(K23)),2))</f>
        <v/>
      </c>
      <c r="AI23" s="70">
        <f>IF(OR(J23="",N(T23)&lt;=0,V23="Oui"),"",ROUND(N(T23)*J23*(1-N(K23)),2))</f>
        <v>14160.0</v>
      </c>
    </row>
    <row r="24">
      <c r="A24" s="63" t="inlineStr">
        <is>
          <t>BC-2026-0107</t>
        </is>
      </c>
      <c r="B24" s="64" t="n">
        <v>46301</v>
      </c>
      <c r="C24" s="65" t="inlineStr">
        <is>
          <t>MET01</t>
        </is>
      </c>
      <c r="D24" s="66" t="str">
        <f>IF(C24="","",IFERROR(INDEX(sup_name,MATCH($C24,sup_code,0))&amp;"","Fournisseur inconnu"))</f>
        <v>Métaux Atlas SARL</v>
      </c>
      <c r="E24" s="63" t="inlineStr">
        <is>
          <t>TOL-S235-4</t>
        </is>
      </c>
      <c r="F24" s="66" t="str">
        <f>IF(E24="","",IFERROR(INDEX(art_des,MATCH($E24,art_ref,0))&amp;"","Article inconnu"))</f>
        <v>Tôle acier S235 ép. 4 mm</v>
      </c>
      <c r="G24" s="67" t="str">
        <f>IF(E24="","",IFERROR(INDEX(art_unit,MATCH($E24,art_ref,0))&amp;"",""))</f>
        <v>kg</v>
      </c>
      <c r="H24" s="68" t="n">
        <v>900</v>
      </c>
      <c r="I24" s="69" t="n"/>
      <c r="J24" s="70">
        <f>IF(E24="","",IF(ISNUMBER(I24),I24,IFERROR(IF(ISNUMBER(INDEX(art_price,MATCH($E24,art_ref,0))),INDEX(art_price,MATCH($E24,art_ref,0)),""),"")))</f>
        <v>11.4</v>
      </c>
      <c r="K24" s="71" t="n"/>
      <c r="L24" s="72" t="n"/>
      <c r="M24" s="72">
        <f>IF(E24="","",IF(L24&lt;&gt;"",L24,IFERROR(IF(ISNUMBER(INDEX(art_tva,MATCH($E24,art_ref,0))),INDEX(art_tva,MATCH($E24,art_ref,0)),""),"")))</f>
        <v>0.2</v>
      </c>
      <c r="N24" s="70">
        <f>IF(OR(E24="",J24=""),"",ROUND(N(H24)*J24*(1-N(K24)),2))</f>
        <v>10260.0</v>
      </c>
      <c r="O24" s="70">
        <f>IF(OR(N24="",NOT(ISNUMBER(M24))),"",ROUND(N24*M24,2))</f>
        <v>2052.0</v>
      </c>
      <c r="P24" s="70">
        <f>IF(N24="","",N24+N(O24))</f>
        <v>12312.0</v>
      </c>
      <c r="Q24" s="64" t="n"/>
      <c r="R24" s="73">
        <f>IF(N(Q24)&gt;0,Q24,IF(OR(N(B24)=0,ISNA(MATCH($C24,sup_code,0))),"",IF(ISNUMBER(INDEX(sup_delay,MATCH($C24,sup_code,0))),B24+INDEX(sup_delay,MATCH($C24,sup_code,0)),"")))</f>
        <v>46308.0</v>
      </c>
      <c r="S24" s="64" t="n">
        <v>46301</v>
      </c>
      <c r="T24" s="68" t="n">
        <v>900</v>
      </c>
      <c r="U24" s="64" t="n">
        <v>46307</v>
      </c>
      <c r="V24" s="65" t="n"/>
      <c r="W24" s="74">
        <f>IF(AND(A24="",E24=""),"",IF(V24="Oui",0,MAX(0,ROUND(N(H24)-N(T24),6))))</f>
        <v>0.0</v>
      </c>
      <c r="X24" s="67" t="str">
        <f>IF(AND(A24="",E24=""),"",IF(V24="Oui","Annulé",IF(AND(N(H24)&gt;0,N(T24)&gt;=N(H24)),"Reçu",IF(N(S24)=0,"Brouillon",IF(AND(ISNUMBER(R24),R24&lt;p_today),"En retard",IF(N(T24)&gt;0,"Partiel","Envoyé"))))))</f>
        <v>Reçu</v>
      </c>
      <c r="Y24" s="75">
        <f>IF(X24="En retard",p_today-R24,IF(AND(X24="Reçu",ISNUMBER(R24)),MAX(0,N(U24)-R24),""))</f>
        <v>0.0</v>
      </c>
      <c r="Z24" s="67" t="str">
        <f>IF(AND(A24="",E24=""),"",IF(A24="","N° de bon manquant",IF(N(B24)=0,"Date de commande manquante",IF(C24="","Fournisseur manquant",IF(ISNA(MATCH($C24,sup_code,0)),"Fournisseur inconnu",IF(E24="","Article manquant",IF(ISNA(MATCH($E24,art_ref,0)),"Article inconnu",IF(N(H24)&lt;=0,"Quantité invalide",IF(J24="","Prix manquant",IF(OR(N(K24)&lt;0,N(K24)&gt;=1),"Remise invalide",IF(M24="","TVA manquante",IF(ISNA(MATCH(M24,p_tva,0)),"Taux de TVA inconnu",IF(COUNTIFS(po_num,A24,po_sup,"&lt;&gt;"&amp;C24)&gt;0,"Fournisseur différent sur ce bon",IF(COUNTIFS(po_num,A24,po_date,"&lt;&gt;"&amp;B24)&gt;0,"Date différente sur ce bon",IF(COUNTIF(po_num,A24)&gt;25,"Plus de 25 lignes sur ce bon",IF(R24="","Date de livraison manquante",IF(R24&lt;B24,"Livraison avant la commande",IF(AND(N(T24)&gt;0,N(S24)=0),"Date d'envoi manquante",IF(N(T24)&gt;N(H24),"Reçu plus que commandé",IF(AND(N(T24)&gt;0,N(U24)=0),"Date de réception manquante",IF(AND(N(U24)&gt;0,U24&lt;B24),"Réception avant la commande","OK")))))))))))))))))))))</f>
        <v>OK</v>
      </c>
      <c r="AA24" s="66">
        <f>IF(AND(X24="Reçu",ISNUMBER(R24)),IF(N(U24)&lt;=R24,1,0),"")</f>
        <v>1.0</v>
      </c>
      <c r="AB24" s="76" t="str">
        <f>IF(OR(X24="Envoyé",X24="Partiel",X24="En retard"),IF(ISNUMBER(R24),R24,100000)+ROW()/100000,"")</f>
        <v/>
      </c>
      <c r="AC24" s="66" t="str">
        <f>IF(A24="","",IF(COUNTIF($A$6:A24,A24)=1,1,""))</f>
        <v/>
      </c>
      <c r="AD24" s="66" t="str">
        <f>IF(AC24=1,COUNT($AC$6:AC24),"")</f>
        <v/>
      </c>
      <c r="AE24" s="66" t="str">
        <f>IFERROR(INDEX(po_num,MATCH(19,po_seq,0))&amp;"","")</f>
        <v>BC-2026-0119</v>
      </c>
      <c r="AF24" s="66" t="str">
        <f>IF(OR(A24="",p_po=""),"",IF(A24&amp;""=p_po,COUNTIF($A$6:A24,A24),""))</f>
        <v/>
      </c>
      <c r="AG24" s="66" t="str">
        <f>IF(OR(AB24="",A24=""),"",IF(COUNTIFS($A$6:A24,A24,$AB$6:AB24,"&gt;0")=1,1,""))</f>
        <v/>
      </c>
      <c r="AH24" s="70" t="str">
        <f>IF(AB24="","",ROUND(N(W24)*N(J24)*(1-N(K24)),2))</f>
        <v/>
      </c>
      <c r="AI24" s="70">
        <f>IF(OR(J24="",N(T24)&lt;=0,V24="Oui"),"",ROUND(N(T24)*J24*(1-N(K24)),2))</f>
        <v>10260.0</v>
      </c>
    </row>
    <row r="25">
      <c r="A25" s="63" t="inlineStr">
        <is>
          <t>BC-2026-0108</t>
        </is>
      </c>
      <c r="B25" s="64" t="n">
        <v>46304</v>
      </c>
      <c r="C25" s="65" t="inlineStr">
        <is>
          <t>TRA09</t>
        </is>
      </c>
      <c r="D25" s="66" t="str">
        <f>IF(C25="","",IFERROR(INDEX(sup_name,MATCH($C25,sup_code,0))&amp;"","Fournisseur inconnu"))</f>
        <v>Transports Rapides Chaouia</v>
      </c>
      <c r="E25" s="63" t="inlineStr">
        <is>
          <t>TRANS-CASA</t>
        </is>
      </c>
      <c r="F25" s="66" t="str">
        <f>IF(E25="","",IFERROR(INDEX(art_des,MATCH($E25,art_ref,0))&amp;"","Article inconnu"))</f>
        <v>Transport Casablanca, camion 3,5 t</v>
      </c>
      <c r="G25" s="67" t="str">
        <f>IF(E25="","",IFERROR(INDEX(art_unit,MATCH($E25,art_ref,0))&amp;"",""))</f>
        <v>voyage</v>
      </c>
      <c r="H25" s="68" t="n">
        <v>3</v>
      </c>
      <c r="I25" s="69" t="n"/>
      <c r="J25" s="70">
        <f>IF(E25="","",IF(ISNUMBER(I25),I25,IFERROR(IF(ISNUMBER(INDEX(art_price,MATCH($E25,art_ref,0))),INDEX(art_price,MATCH($E25,art_ref,0)),""),"")))</f>
        <v>850.0</v>
      </c>
      <c r="K25" s="71" t="n"/>
      <c r="L25" s="72" t="n"/>
      <c r="M25" s="72">
        <f>IF(E25="","",IF(L25&lt;&gt;"",L25,IFERROR(IF(ISNUMBER(INDEX(art_tva,MATCH($E25,art_ref,0))),INDEX(art_tva,MATCH($E25,art_ref,0)),""),"")))</f>
        <v>0.14</v>
      </c>
      <c r="N25" s="70">
        <f>IF(OR(E25="",J25=""),"",ROUND(N(H25)*J25*(1-N(K25)),2))</f>
        <v>2550.0</v>
      </c>
      <c r="O25" s="70">
        <f>IF(OR(N25="",NOT(ISNUMBER(M25))),"",ROUND(N25*M25,2))</f>
        <v>357.0</v>
      </c>
      <c r="P25" s="70">
        <f>IF(N25="","",N25+N(O25))</f>
        <v>2907.0</v>
      </c>
      <c r="Q25" s="64" t="n"/>
      <c r="R25" s="73">
        <f>IF(N(Q25)&gt;0,Q25,IF(OR(N(B25)=0,ISNA(MATCH($C25,sup_code,0))),"",IF(ISNUMBER(INDEX(sup_delay,MATCH($C25,sup_code,0))),B25+INDEX(sup_delay,MATCH($C25,sup_code,0)),"")))</f>
        <v>46306.0</v>
      </c>
      <c r="S25" s="64" t="n">
        <v>46304</v>
      </c>
      <c r="T25" s="68" t="n">
        <v>3</v>
      </c>
      <c r="U25" s="64" t="n">
        <v>46305</v>
      </c>
      <c r="V25" s="65" t="n"/>
      <c r="W25" s="74">
        <f>IF(AND(A25="",E25=""),"",IF(V25="Oui",0,MAX(0,ROUND(N(H25)-N(T25),6))))</f>
        <v>0.0</v>
      </c>
      <c r="X25" s="67" t="str">
        <f>IF(AND(A25="",E25=""),"",IF(V25="Oui","Annulé",IF(AND(N(H25)&gt;0,N(T25)&gt;=N(H25)),"Reçu",IF(N(S25)=0,"Brouillon",IF(AND(ISNUMBER(R25),R25&lt;p_today),"En retard",IF(N(T25)&gt;0,"Partiel","Envoyé"))))))</f>
        <v>Reçu</v>
      </c>
      <c r="Y25" s="75">
        <f>IF(X25="En retard",p_today-R25,IF(AND(X25="Reçu",ISNUMBER(R25)),MAX(0,N(U25)-R25),""))</f>
        <v>0.0</v>
      </c>
      <c r="Z25" s="67" t="str">
        <f>IF(AND(A25="",E25=""),"",IF(A25="","N° de bon manquant",IF(N(B25)=0,"Date de commande manquante",IF(C25="","Fournisseur manquant",IF(ISNA(MATCH($C25,sup_code,0)),"Fournisseur inconnu",IF(E25="","Article manquant",IF(ISNA(MATCH($E25,art_ref,0)),"Article inconnu",IF(N(H25)&lt;=0,"Quantité invalide",IF(J25="","Prix manquant",IF(OR(N(K25)&lt;0,N(K25)&gt;=1),"Remise invalide",IF(M25="","TVA manquante",IF(ISNA(MATCH(M25,p_tva,0)),"Taux de TVA inconnu",IF(COUNTIFS(po_num,A25,po_sup,"&lt;&gt;"&amp;C25)&gt;0,"Fournisseur différent sur ce bon",IF(COUNTIFS(po_num,A25,po_date,"&lt;&gt;"&amp;B25)&gt;0,"Date différente sur ce bon",IF(COUNTIF(po_num,A25)&gt;25,"Plus de 25 lignes sur ce bon",IF(R25="","Date de livraison manquante",IF(R25&lt;B25,"Livraison avant la commande",IF(AND(N(T25)&gt;0,N(S25)=0),"Date d'envoi manquante",IF(N(T25)&gt;N(H25),"Reçu plus que commandé",IF(AND(N(T25)&gt;0,N(U25)=0),"Date de réception manquante",IF(AND(N(U25)&gt;0,U25&lt;B25),"Réception avant la commande","OK")))))))))))))))))))))</f>
        <v>OK</v>
      </c>
      <c r="AA25" s="66">
        <f>IF(AND(X25="Reçu",ISNUMBER(R25)),IF(N(U25)&lt;=R25,1,0),"")</f>
        <v>1.0</v>
      </c>
      <c r="AB25" s="76" t="str">
        <f>IF(OR(X25="Envoyé",X25="Partiel",X25="En retard"),IF(ISNUMBER(R25),R25,100000)+ROW()/100000,"")</f>
        <v/>
      </c>
      <c r="AC25" s="66">
        <f>IF(A25="","",IF(COUNTIF($A$6:A25,A25)=1,1,""))</f>
        <v>1.0</v>
      </c>
      <c r="AD25" s="66">
        <f>IF(AC25=1,COUNT($AC$6:AC25),"")</f>
        <v>8.0</v>
      </c>
      <c r="AE25" s="66" t="str">
        <f>IFERROR(INDEX(po_num,MATCH(20,po_seq,0))&amp;"","")</f>
        <v/>
      </c>
      <c r="AF25" s="66" t="str">
        <f>IF(OR(A25="",p_po=""),"",IF(A25&amp;""=p_po,COUNTIF($A$6:A25,A25),""))</f>
        <v/>
      </c>
      <c r="AG25" s="66" t="str">
        <f>IF(OR(AB25="",A25=""),"",IF(COUNTIFS($A$6:A25,A25,$AB$6:AB25,"&gt;0")=1,1,""))</f>
        <v/>
      </c>
      <c r="AH25" s="70" t="str">
        <f>IF(AB25="","",ROUND(N(W25)*N(J25)*(1-N(K25)),2))</f>
        <v/>
      </c>
      <c r="AI25" s="70">
        <f>IF(OR(J25="",N(T25)&lt;=0,V25="Oui"),"",ROUND(N(T25)*J25*(1-N(K25)),2))</f>
        <v>2550.0</v>
      </c>
    </row>
    <row r="26">
      <c r="A26" s="63" t="inlineStr">
        <is>
          <t>BC-2026-0109</t>
        </is>
      </c>
      <c r="B26" s="64" t="n">
        <v>46308</v>
      </c>
      <c r="C26" s="65" t="inlineStr">
        <is>
          <t>ROU04</t>
        </is>
      </c>
      <c r="D26" s="66" t="str">
        <f>IF(C26="","",IFERROR(INDEX(sup_name,MATCH($C26,sup_code,0))&amp;"","Fournisseur inconnu"))</f>
        <v>Roulements Express</v>
      </c>
      <c r="E26" s="63" t="inlineStr">
        <is>
          <t>ROUL-6204</t>
        </is>
      </c>
      <c r="F26" s="66" t="str">
        <f>IF(E26="","",IFERROR(INDEX(art_des,MATCH($E26,art_ref,0))&amp;"","Article inconnu"))</f>
        <v>Roulement 6204-2RS</v>
      </c>
      <c r="G26" s="67" t="str">
        <f>IF(E26="","",IFERROR(INDEX(art_unit,MATCH($E26,art_ref,0))&amp;"",""))</f>
        <v>pièce</v>
      </c>
      <c r="H26" s="68" t="n">
        <v>200</v>
      </c>
      <c r="I26" s="69" t="n"/>
      <c r="J26" s="70">
        <f>IF(E26="","",IF(ISNUMBER(I26),I26,IFERROR(IF(ISNUMBER(INDEX(art_price,MATCH($E26,art_ref,0))),INDEX(art_price,MATCH($E26,art_ref,0)),""),"")))</f>
        <v>38.0</v>
      </c>
      <c r="K26" s="71" t="n"/>
      <c r="L26" s="72" t="n"/>
      <c r="M26" s="72">
        <f>IF(E26="","",IF(L26&lt;&gt;"",L26,IFERROR(IF(ISNUMBER(INDEX(art_tva,MATCH($E26,art_ref,0))),INDEX(art_tva,MATCH($E26,art_ref,0)),""),"")))</f>
        <v>0.2</v>
      </c>
      <c r="N26" s="70">
        <f>IF(OR(E26="",J26=""),"",ROUND(N(H26)*J26*(1-N(K26)),2))</f>
        <v>7600.0</v>
      </c>
      <c r="O26" s="70">
        <f>IF(OR(N26="",NOT(ISNUMBER(M26))),"",ROUND(N26*M26,2))</f>
        <v>1520.0</v>
      </c>
      <c r="P26" s="70">
        <f>IF(N26="","",N26+N(O26))</f>
        <v>9120.0</v>
      </c>
      <c r="Q26" s="64" t="n"/>
      <c r="R26" s="73">
        <f>IF(N(Q26)&gt;0,Q26,IF(OR(N(B26)=0,ISNA(MATCH($C26,sup_code,0))),"",IF(ISNUMBER(INDEX(sup_delay,MATCH($C26,sup_code,0))),B26+INDEX(sup_delay,MATCH($C26,sup_code,0)),"")))</f>
        <v>46311.0</v>
      </c>
      <c r="S26" s="64" t="n">
        <v>46308</v>
      </c>
      <c r="T26" s="68" t="n">
        <v>200</v>
      </c>
      <c r="U26" s="64" t="n">
        <v>46311</v>
      </c>
      <c r="V26" s="65" t="n"/>
      <c r="W26" s="74">
        <f>IF(AND(A26="",E26=""),"",IF(V26="Oui",0,MAX(0,ROUND(N(H26)-N(T26),6))))</f>
        <v>0.0</v>
      </c>
      <c r="X26" s="67" t="str">
        <f>IF(AND(A26="",E26=""),"",IF(V26="Oui","Annulé",IF(AND(N(H26)&gt;0,N(T26)&gt;=N(H26)),"Reçu",IF(N(S26)=0,"Brouillon",IF(AND(ISNUMBER(R26),R26&lt;p_today),"En retard",IF(N(T26)&gt;0,"Partiel","Envoyé"))))))</f>
        <v>Reçu</v>
      </c>
      <c r="Y26" s="75">
        <f>IF(X26="En retard",p_today-R26,IF(AND(X26="Reçu",ISNUMBER(R26)),MAX(0,N(U26)-R26),""))</f>
        <v>0.0</v>
      </c>
      <c r="Z26" s="67" t="str">
        <f>IF(AND(A26="",E26=""),"",IF(A26="","N° de bon manquant",IF(N(B26)=0,"Date de commande manquante",IF(C26="","Fournisseur manquant",IF(ISNA(MATCH($C26,sup_code,0)),"Fournisseur inconnu",IF(E26="","Article manquant",IF(ISNA(MATCH($E26,art_ref,0)),"Article inconnu",IF(N(H26)&lt;=0,"Quantité invalide",IF(J26="","Prix manquant",IF(OR(N(K26)&lt;0,N(K26)&gt;=1),"Remise invalide",IF(M26="","TVA manquante",IF(ISNA(MATCH(M26,p_tva,0)),"Taux de TVA inconnu",IF(COUNTIFS(po_num,A26,po_sup,"&lt;&gt;"&amp;C26)&gt;0,"Fournisseur différent sur ce bon",IF(COUNTIFS(po_num,A26,po_date,"&lt;&gt;"&amp;B26)&gt;0,"Date différente sur ce bon",IF(COUNTIF(po_num,A26)&gt;25,"Plus de 25 lignes sur ce bon",IF(R26="","Date de livraison manquante",IF(R26&lt;B26,"Livraison avant la commande",IF(AND(N(T26)&gt;0,N(S26)=0),"Date d'envoi manquante",IF(N(T26)&gt;N(H26),"Reçu plus que commandé",IF(AND(N(T26)&gt;0,N(U26)=0),"Date de réception manquante",IF(AND(N(U26)&gt;0,U26&lt;B26),"Réception avant la commande","OK")))))))))))))))))))))</f>
        <v>OK</v>
      </c>
      <c r="AA26" s="66">
        <f>IF(AND(X26="Reçu",ISNUMBER(R26)),IF(N(U26)&lt;=R26,1,0),"")</f>
        <v>1.0</v>
      </c>
      <c r="AB26" s="76" t="str">
        <f>IF(OR(X26="Envoyé",X26="Partiel",X26="En retard"),IF(ISNUMBER(R26),R26,100000)+ROW()/100000,"")</f>
        <v/>
      </c>
      <c r="AC26" s="66">
        <f>IF(A26="","",IF(COUNTIF($A$6:A26,A26)=1,1,""))</f>
        <v>1.0</v>
      </c>
      <c r="AD26" s="66">
        <f>IF(AC26=1,COUNT($AC$6:AC26),"")</f>
        <v>9.0</v>
      </c>
      <c r="AE26" s="66" t="str">
        <f>IFERROR(INDEX(po_num,MATCH(21,po_seq,0))&amp;"","")</f>
        <v/>
      </c>
      <c r="AF26" s="66" t="str">
        <f>IF(OR(A26="",p_po=""),"",IF(A26&amp;""=p_po,COUNTIF($A$6:A26,A26),""))</f>
        <v/>
      </c>
      <c r="AG26" s="66" t="str">
        <f>IF(OR(AB26="",A26=""),"",IF(COUNTIFS($A$6:A26,A26,$AB$6:AB26,"&gt;0")=1,1,""))</f>
        <v/>
      </c>
      <c r="AH26" s="70" t="str">
        <f>IF(AB26="","",ROUND(N(W26)*N(J26)*(1-N(K26)),2))</f>
        <v/>
      </c>
      <c r="AI26" s="70">
        <f>IF(OR(J26="",N(T26)&lt;=0,V26="Oui"),"",ROUND(N(T26)*J26*(1-N(K26)),2))</f>
        <v>7600.0</v>
      </c>
    </row>
    <row r="27">
      <c r="A27" s="63" t="inlineStr">
        <is>
          <t>BC-2026-0109</t>
        </is>
      </c>
      <c r="B27" s="64" t="n">
        <v>46308</v>
      </c>
      <c r="C27" s="65" t="inlineStr">
        <is>
          <t>ROU04</t>
        </is>
      </c>
      <c r="D27" s="66" t="str">
        <f>IF(C27="","",IFERROR(INDEX(sup_name,MATCH($C27,sup_code,0))&amp;"","Fournisseur inconnu"))</f>
        <v>Roulements Express</v>
      </c>
      <c r="E27" s="63" t="inlineStr">
        <is>
          <t>ROUL-6305</t>
        </is>
      </c>
      <c r="F27" s="66" t="str">
        <f>IF(E27="","",IFERROR(INDEX(art_des,MATCH($E27,art_ref,0))&amp;"","Article inconnu"))</f>
        <v>Roulement 6305-2RS</v>
      </c>
      <c r="G27" s="67" t="str">
        <f>IF(E27="","",IFERROR(INDEX(art_unit,MATCH($E27,art_ref,0))&amp;"",""))</f>
        <v>pièce</v>
      </c>
      <c r="H27" s="68" t="n">
        <v>80</v>
      </c>
      <c r="I27" s="69" t="n"/>
      <c r="J27" s="70">
        <f>IF(E27="","",IF(ISNUMBER(I27),I27,IFERROR(IF(ISNUMBER(INDEX(art_price,MATCH($E27,art_ref,0))),INDEX(art_price,MATCH($E27,art_ref,0)),""),"")))</f>
        <v>64.0</v>
      </c>
      <c r="K27" s="71" t="n"/>
      <c r="L27" s="72" t="n"/>
      <c r="M27" s="72">
        <f>IF(E27="","",IF(L27&lt;&gt;"",L27,IFERROR(IF(ISNUMBER(INDEX(art_tva,MATCH($E27,art_ref,0))),INDEX(art_tva,MATCH($E27,art_ref,0)),""),"")))</f>
        <v>0.2</v>
      </c>
      <c r="N27" s="70">
        <f>IF(OR(E27="",J27=""),"",ROUND(N(H27)*J27*(1-N(K27)),2))</f>
        <v>5120.0</v>
      </c>
      <c r="O27" s="70">
        <f>IF(OR(N27="",NOT(ISNUMBER(M27))),"",ROUND(N27*M27,2))</f>
        <v>1024.0</v>
      </c>
      <c r="P27" s="70">
        <f>IF(N27="","",N27+N(O27))</f>
        <v>6144.0</v>
      </c>
      <c r="Q27" s="64" t="n"/>
      <c r="R27" s="73">
        <f>IF(N(Q27)&gt;0,Q27,IF(OR(N(B27)=0,ISNA(MATCH($C27,sup_code,0))),"",IF(ISNUMBER(INDEX(sup_delay,MATCH($C27,sup_code,0))),B27+INDEX(sup_delay,MATCH($C27,sup_code,0)),"")))</f>
        <v>46311.0</v>
      </c>
      <c r="S27" s="64" t="n">
        <v>46308</v>
      </c>
      <c r="T27" s="68" t="n">
        <v>50</v>
      </c>
      <c r="U27" s="64" t="n">
        <v>46311</v>
      </c>
      <c r="V27" s="65" t="n"/>
      <c r="W27" s="74">
        <f>IF(AND(A27="",E27=""),"",IF(V27="Oui",0,MAX(0,ROUND(N(H27)-N(T27),6))))</f>
        <v>30.0</v>
      </c>
      <c r="X27" s="67" t="str">
        <f>IF(AND(A27="",E27=""),"",IF(V27="Oui","Annulé",IF(AND(N(H27)&gt;0,N(T27)&gt;=N(H27)),"Reçu",IF(N(S27)=0,"Brouillon",IF(AND(ISNUMBER(R27),R27&lt;p_today),"En retard",IF(N(T27)&gt;0,"Partiel","Envoyé"))))))</f>
        <v>En retard</v>
      </c>
      <c r="Y27" s="75">
        <f>IF(X27="En retard",p_today-R27,IF(AND(X27="Reçu",ISNUMBER(R27)),MAX(0,N(U27)-R27),""))</f>
        <v>20.0</v>
      </c>
      <c r="Z27" s="67" t="str">
        <f>IF(AND(A27="",E27=""),"",IF(A27="","N° de bon manquant",IF(N(B27)=0,"Date de commande manquante",IF(C27="","Fournisseur manquant",IF(ISNA(MATCH($C27,sup_code,0)),"Fournisseur inconnu",IF(E27="","Article manquant",IF(ISNA(MATCH($E27,art_ref,0)),"Article inconnu",IF(N(H27)&lt;=0,"Quantité invalide",IF(J27="","Prix manquant",IF(OR(N(K27)&lt;0,N(K27)&gt;=1),"Remise invalide",IF(M27="","TVA manquante",IF(ISNA(MATCH(M27,p_tva,0)),"Taux de TVA inconnu",IF(COUNTIFS(po_num,A27,po_sup,"&lt;&gt;"&amp;C27)&gt;0,"Fournisseur différent sur ce bon",IF(COUNTIFS(po_num,A27,po_date,"&lt;&gt;"&amp;B27)&gt;0,"Date différente sur ce bon",IF(COUNTIF(po_num,A27)&gt;25,"Plus de 25 lignes sur ce bon",IF(R27="","Date de livraison manquante",IF(R27&lt;B27,"Livraison avant la commande",IF(AND(N(T27)&gt;0,N(S27)=0),"Date d'envoi manquante",IF(N(T27)&gt;N(H27),"Reçu plus que commandé",IF(AND(N(T27)&gt;0,N(U27)=0),"Date de réception manquante",IF(AND(N(U27)&gt;0,U27&lt;B27),"Réception avant la commande","OK")))))))))))))))))))))</f>
        <v>OK</v>
      </c>
      <c r="AA27" s="66" t="str">
        <f>IF(AND(X27="Reçu",ISNUMBER(R27)),IF(N(U27)&lt;=R27,1,0),"")</f>
        <v/>
      </c>
      <c r="AB27" s="76">
        <f>IF(OR(X27="Envoyé",X27="Partiel",X27="En retard"),IF(ISNUMBER(R27),R27,100000)+ROW()/100000,"")</f>
        <v>46311.00027</v>
      </c>
      <c r="AC27" s="66" t="str">
        <f>IF(A27="","",IF(COUNTIF($A$6:A27,A27)=1,1,""))</f>
        <v/>
      </c>
      <c r="AD27" s="66" t="str">
        <f>IF(AC27=1,COUNT($AC$6:AC27),"")</f>
        <v/>
      </c>
      <c r="AE27" s="66" t="str">
        <f>IFERROR(INDEX(po_num,MATCH(22,po_seq,0))&amp;"","")</f>
        <v/>
      </c>
      <c r="AF27" s="66" t="str">
        <f>IF(OR(A27="",p_po=""),"",IF(A27&amp;""=p_po,COUNTIF($A$6:A27,A27),""))</f>
        <v/>
      </c>
      <c r="AG27" s="66">
        <f>IF(OR(AB27="",A27=""),"",IF(COUNTIFS($A$6:A27,A27,$AB$6:AB27,"&gt;0")=1,1,""))</f>
        <v>1.0</v>
      </c>
      <c r="AH27" s="70">
        <f>IF(AB27="","",ROUND(N(W27)*N(J27)*(1-N(K27)),2))</f>
        <v>1920.0</v>
      </c>
      <c r="AI27" s="70">
        <f>IF(OR(J27="",N(T27)&lt;=0,V27="Oui"),"",ROUND(N(T27)*J27*(1-N(K27)),2))</f>
        <v>3200.0</v>
      </c>
    </row>
    <row r="28">
      <c r="A28" s="63" t="inlineStr">
        <is>
          <t>BC-2026-0110</t>
        </is>
      </c>
      <c r="B28" s="64" t="n">
        <v>46311</v>
      </c>
      <c r="C28" s="65" t="inlineStr">
        <is>
          <t>EMB08</t>
        </is>
      </c>
      <c r="D28" s="66" t="str">
        <f>IF(C28="","",IFERROR(INDEX(sup_name,MATCH($C28,sup_code,0))&amp;"","Fournisseur inconnu"))</f>
        <v>Emballages Atlas Sud</v>
      </c>
      <c r="E28" s="63" t="inlineStr">
        <is>
          <t>CAR-60</t>
        </is>
      </c>
      <c r="F28" s="66" t="str">
        <f>IF(E28="","",IFERROR(INDEX(art_des,MATCH($E28,art_ref,0))&amp;"","Article inconnu"))</f>
        <v>Carton double cannelure 600x400x400</v>
      </c>
      <c r="G28" s="67" t="str">
        <f>IF(E28="","",IFERROR(INDEX(art_unit,MATCH($E28,art_ref,0))&amp;"",""))</f>
        <v>pièce</v>
      </c>
      <c r="H28" s="68" t="n">
        <v>500</v>
      </c>
      <c r="I28" s="69" t="n"/>
      <c r="J28" s="70">
        <f>IF(E28="","",IF(ISNUMBER(I28),I28,IFERROR(IF(ISNUMBER(INDEX(art_price,MATCH($E28,art_ref,0))),INDEX(art_price,MATCH($E28,art_ref,0)),""),"")))</f>
        <v>14.5</v>
      </c>
      <c r="K28" s="71" t="n"/>
      <c r="L28" s="72" t="n"/>
      <c r="M28" s="72">
        <f>IF(E28="","",IF(L28&lt;&gt;"",L28,IFERROR(IF(ISNUMBER(INDEX(art_tva,MATCH($E28,art_ref,0))),INDEX(art_tva,MATCH($E28,art_ref,0)),""),"")))</f>
        <v>0.2</v>
      </c>
      <c r="N28" s="70">
        <f>IF(OR(E28="",J28=""),"",ROUND(N(H28)*J28*(1-N(K28)),2))</f>
        <v>7250.0</v>
      </c>
      <c r="O28" s="70">
        <f>IF(OR(N28="",NOT(ISNUMBER(M28))),"",ROUND(N28*M28,2))</f>
        <v>1450.0</v>
      </c>
      <c r="P28" s="70">
        <f>IF(N28="","",N28+N(O28))</f>
        <v>8700.0</v>
      </c>
      <c r="Q28" s="64" t="n"/>
      <c r="R28" s="73">
        <f>IF(N(Q28)&gt;0,Q28,IF(OR(N(B28)=0,ISNA(MATCH($C28,sup_code,0))),"",IF(ISNUMBER(INDEX(sup_delay,MATCH($C28,sup_code,0))),B28+INDEX(sup_delay,MATCH($C28,sup_code,0)),"")))</f>
        <v>46319.0</v>
      </c>
      <c r="S28" s="64" t="n">
        <v>46311</v>
      </c>
      <c r="T28" s="68" t="n">
        <v>500</v>
      </c>
      <c r="U28" s="64" t="n">
        <v>46322</v>
      </c>
      <c r="V28" s="65" t="n"/>
      <c r="W28" s="74">
        <f>IF(AND(A28="",E28=""),"",IF(V28="Oui",0,MAX(0,ROUND(N(H28)-N(T28),6))))</f>
        <v>0.0</v>
      </c>
      <c r="X28" s="67" t="str">
        <f>IF(AND(A28="",E28=""),"",IF(V28="Oui","Annulé",IF(AND(N(H28)&gt;0,N(T28)&gt;=N(H28)),"Reçu",IF(N(S28)=0,"Brouillon",IF(AND(ISNUMBER(R28),R28&lt;p_today),"En retard",IF(N(T28)&gt;0,"Partiel","Envoyé"))))))</f>
        <v>Reçu</v>
      </c>
      <c r="Y28" s="75">
        <f>IF(X28="En retard",p_today-R28,IF(AND(X28="Reçu",ISNUMBER(R28)),MAX(0,N(U28)-R28),""))</f>
        <v>3.0</v>
      </c>
      <c r="Z28" s="67" t="str">
        <f>IF(AND(A28="",E28=""),"",IF(A28="","N° de bon manquant",IF(N(B28)=0,"Date de commande manquante",IF(C28="","Fournisseur manquant",IF(ISNA(MATCH($C28,sup_code,0)),"Fournisseur inconnu",IF(E28="","Article manquant",IF(ISNA(MATCH($E28,art_ref,0)),"Article inconnu",IF(N(H28)&lt;=0,"Quantité invalide",IF(J28="","Prix manquant",IF(OR(N(K28)&lt;0,N(K28)&gt;=1),"Remise invalide",IF(M28="","TVA manquante",IF(ISNA(MATCH(M28,p_tva,0)),"Taux de TVA inconnu",IF(COUNTIFS(po_num,A28,po_sup,"&lt;&gt;"&amp;C28)&gt;0,"Fournisseur différent sur ce bon",IF(COUNTIFS(po_num,A28,po_date,"&lt;&gt;"&amp;B28)&gt;0,"Date différente sur ce bon",IF(COUNTIF(po_num,A28)&gt;25,"Plus de 25 lignes sur ce bon",IF(R28="","Date de livraison manquante",IF(R28&lt;B28,"Livraison avant la commande",IF(AND(N(T28)&gt;0,N(S28)=0),"Date d'envoi manquante",IF(N(T28)&gt;N(H28),"Reçu plus que commandé",IF(AND(N(T28)&gt;0,N(U28)=0),"Date de réception manquante",IF(AND(N(U28)&gt;0,U28&lt;B28),"Réception avant la commande","OK")))))))))))))))))))))</f>
        <v>OK</v>
      </c>
      <c r="AA28" s="66">
        <f>IF(AND(X28="Reçu",ISNUMBER(R28)),IF(N(U28)&lt;=R28,1,0),"")</f>
        <v>0.0</v>
      </c>
      <c r="AB28" s="76" t="str">
        <f>IF(OR(X28="Envoyé",X28="Partiel",X28="En retard"),IF(ISNUMBER(R28),R28,100000)+ROW()/100000,"")</f>
        <v/>
      </c>
      <c r="AC28" s="66">
        <f>IF(A28="","",IF(COUNTIF($A$6:A28,A28)=1,1,""))</f>
        <v>1.0</v>
      </c>
      <c r="AD28" s="66">
        <f>IF(AC28=1,COUNT($AC$6:AC28),"")</f>
        <v>10.0</v>
      </c>
      <c r="AE28" s="66" t="str">
        <f>IFERROR(INDEX(po_num,MATCH(23,po_seq,0))&amp;"","")</f>
        <v/>
      </c>
      <c r="AF28" s="66" t="str">
        <f>IF(OR(A28="",p_po=""),"",IF(A28&amp;""=p_po,COUNTIF($A$6:A28,A28),""))</f>
        <v/>
      </c>
      <c r="AG28" s="66" t="str">
        <f>IF(OR(AB28="",A28=""),"",IF(COUNTIFS($A$6:A28,A28,$AB$6:AB28,"&gt;0")=1,1,""))</f>
        <v/>
      </c>
      <c r="AH28" s="70" t="str">
        <f>IF(AB28="","",ROUND(N(W28)*N(J28)*(1-N(K28)),2))</f>
        <v/>
      </c>
      <c r="AI28" s="70">
        <f>IF(OR(J28="",N(T28)&lt;=0,V28="Oui"),"",ROUND(N(T28)*J28*(1-N(K28)),2))</f>
        <v>7250.0</v>
      </c>
    </row>
    <row r="29">
      <c r="A29" s="63" t="inlineStr">
        <is>
          <t>BC-2026-0110</t>
        </is>
      </c>
      <c r="B29" s="64" t="n">
        <v>46311</v>
      </c>
      <c r="C29" s="65" t="inlineStr">
        <is>
          <t>EMB08</t>
        </is>
      </c>
      <c r="D29" s="66" t="str">
        <f>IF(C29="","",IFERROR(INDEX(sup_name,MATCH($C29,sup_code,0))&amp;"","Fournisseur inconnu"))</f>
        <v>Emballages Atlas Sud</v>
      </c>
      <c r="E29" s="63" t="inlineStr">
        <is>
          <t>PAL-EUR</t>
        </is>
      </c>
      <c r="F29" s="66" t="str">
        <f>IF(E29="","",IFERROR(INDEX(art_des,MATCH($E29,art_ref,0))&amp;"","Article inconnu"))</f>
        <v>Palette bois 1200x800</v>
      </c>
      <c r="G29" s="67" t="str">
        <f>IF(E29="","",IFERROR(INDEX(art_unit,MATCH($E29,art_ref,0))&amp;"",""))</f>
        <v>pièce</v>
      </c>
      <c r="H29" s="68" t="n">
        <v>40</v>
      </c>
      <c r="I29" s="69" t="n"/>
      <c r="J29" s="70">
        <f>IF(E29="","",IF(ISNUMBER(I29),I29,IFERROR(IF(ISNUMBER(INDEX(art_price,MATCH($E29,art_ref,0))),INDEX(art_price,MATCH($E29,art_ref,0)),""),"")))</f>
        <v>95.0</v>
      </c>
      <c r="K29" s="71" t="n"/>
      <c r="L29" s="72" t="n"/>
      <c r="M29" s="72">
        <f>IF(E29="","",IF(L29&lt;&gt;"",L29,IFERROR(IF(ISNUMBER(INDEX(art_tva,MATCH($E29,art_ref,0))),INDEX(art_tva,MATCH($E29,art_ref,0)),""),"")))</f>
        <v>0.2</v>
      </c>
      <c r="N29" s="70">
        <f>IF(OR(E29="",J29=""),"",ROUND(N(H29)*J29*(1-N(K29)),2))</f>
        <v>3800.0</v>
      </c>
      <c r="O29" s="70">
        <f>IF(OR(N29="",NOT(ISNUMBER(M29))),"",ROUND(N29*M29,2))</f>
        <v>760.0</v>
      </c>
      <c r="P29" s="70">
        <f>IF(N29="","",N29+N(O29))</f>
        <v>4560.0</v>
      </c>
      <c r="Q29" s="64" t="n"/>
      <c r="R29" s="73">
        <f>IF(N(Q29)&gt;0,Q29,IF(OR(N(B29)=0,ISNA(MATCH($C29,sup_code,0))),"",IF(ISNUMBER(INDEX(sup_delay,MATCH($C29,sup_code,0))),B29+INDEX(sup_delay,MATCH($C29,sup_code,0)),"")))</f>
        <v>46319.0</v>
      </c>
      <c r="S29" s="64" t="n">
        <v>46311</v>
      </c>
      <c r="T29" s="68" t="n">
        <v>40</v>
      </c>
      <c r="U29" s="64" t="n">
        <v>46322</v>
      </c>
      <c r="V29" s="65" t="n"/>
      <c r="W29" s="74">
        <f>IF(AND(A29="",E29=""),"",IF(V29="Oui",0,MAX(0,ROUND(N(H29)-N(T29),6))))</f>
        <v>0.0</v>
      </c>
      <c r="X29" s="67" t="str">
        <f>IF(AND(A29="",E29=""),"",IF(V29="Oui","Annulé",IF(AND(N(H29)&gt;0,N(T29)&gt;=N(H29)),"Reçu",IF(N(S29)=0,"Brouillon",IF(AND(ISNUMBER(R29),R29&lt;p_today),"En retard",IF(N(T29)&gt;0,"Partiel","Envoyé"))))))</f>
        <v>Reçu</v>
      </c>
      <c r="Y29" s="75">
        <f>IF(X29="En retard",p_today-R29,IF(AND(X29="Reçu",ISNUMBER(R29)),MAX(0,N(U29)-R29),""))</f>
        <v>3.0</v>
      </c>
      <c r="Z29" s="67" t="str">
        <f>IF(AND(A29="",E29=""),"",IF(A29="","N° de bon manquant",IF(N(B29)=0,"Date de commande manquante",IF(C29="","Fournisseur manquant",IF(ISNA(MATCH($C29,sup_code,0)),"Fournisseur inconnu",IF(E29="","Article manquant",IF(ISNA(MATCH($E29,art_ref,0)),"Article inconnu",IF(N(H29)&lt;=0,"Quantité invalide",IF(J29="","Prix manquant",IF(OR(N(K29)&lt;0,N(K29)&gt;=1),"Remise invalide",IF(M29="","TVA manquante",IF(ISNA(MATCH(M29,p_tva,0)),"Taux de TVA inconnu",IF(COUNTIFS(po_num,A29,po_sup,"&lt;&gt;"&amp;C29)&gt;0,"Fournisseur différent sur ce bon",IF(COUNTIFS(po_num,A29,po_date,"&lt;&gt;"&amp;B29)&gt;0,"Date différente sur ce bon",IF(COUNTIF(po_num,A29)&gt;25,"Plus de 25 lignes sur ce bon",IF(R29="","Date de livraison manquante",IF(R29&lt;B29,"Livraison avant la commande",IF(AND(N(T29)&gt;0,N(S29)=0),"Date d'envoi manquante",IF(N(T29)&gt;N(H29),"Reçu plus que commandé",IF(AND(N(T29)&gt;0,N(U29)=0),"Date de réception manquante",IF(AND(N(U29)&gt;0,U29&lt;B29),"Réception avant la commande","OK")))))))))))))))))))))</f>
        <v>OK</v>
      </c>
      <c r="AA29" s="66">
        <f>IF(AND(X29="Reçu",ISNUMBER(R29)),IF(N(U29)&lt;=R29,1,0),"")</f>
        <v>0.0</v>
      </c>
      <c r="AB29" s="76" t="str">
        <f>IF(OR(X29="Envoyé",X29="Partiel",X29="En retard"),IF(ISNUMBER(R29),R29,100000)+ROW()/100000,"")</f>
        <v/>
      </c>
      <c r="AC29" s="66" t="str">
        <f>IF(A29="","",IF(COUNTIF($A$6:A29,A29)=1,1,""))</f>
        <v/>
      </c>
      <c r="AD29" s="66" t="str">
        <f>IF(AC29=1,COUNT($AC$6:AC29),"")</f>
        <v/>
      </c>
      <c r="AE29" s="66" t="str">
        <f>IFERROR(INDEX(po_num,MATCH(24,po_seq,0))&amp;"","")</f>
        <v/>
      </c>
      <c r="AF29" s="66" t="str">
        <f>IF(OR(A29="",p_po=""),"",IF(A29&amp;""=p_po,COUNTIF($A$6:A29,A29),""))</f>
        <v/>
      </c>
      <c r="AG29" s="66" t="str">
        <f>IF(OR(AB29="",A29=""),"",IF(COUNTIFS($A$6:A29,A29,$AB$6:AB29,"&gt;0")=1,1,""))</f>
        <v/>
      </c>
      <c r="AH29" s="70" t="str">
        <f>IF(AB29="","",ROUND(N(W29)*N(J29)*(1-N(K29)),2))</f>
        <v/>
      </c>
      <c r="AI29" s="70">
        <f>IF(OR(J29="",N(T29)&lt;=0,V29="Oui"),"",ROUND(N(T29)*J29*(1-N(K29)),2))</f>
        <v>3800.0</v>
      </c>
    </row>
    <row r="30">
      <c r="A30" s="63" t="inlineStr">
        <is>
          <t>BC-2026-0111</t>
        </is>
      </c>
      <c r="B30" s="64" t="n">
        <v>46315</v>
      </c>
      <c r="C30" s="65" t="inlineStr">
        <is>
          <t>TUB02</t>
        </is>
      </c>
      <c r="D30" s="66" t="str">
        <f>IF(C30="","",IFERROR(INDEX(sup_name,MATCH($C30,sup_code,0))&amp;"","Fournisseur inconnu"))</f>
        <v>Tubes et Profilés du Nord</v>
      </c>
      <c r="E30" s="63" t="inlineStr">
        <is>
          <t>TUB-40X40</t>
        </is>
      </c>
      <c r="F30" s="66" t="str">
        <f>IF(E30="","",IFERROR(INDEX(art_des,MATCH($E30,art_ref,0))&amp;"","Article inconnu"))</f>
        <v>Tube carré 40x40x2, barre 6 m</v>
      </c>
      <c r="G30" s="67" t="str">
        <f>IF(E30="","",IFERROR(INDEX(art_unit,MATCH($E30,art_ref,0))&amp;"",""))</f>
        <v>barre</v>
      </c>
      <c r="H30" s="68" t="n">
        <v>80</v>
      </c>
      <c r="I30" s="69" t="n"/>
      <c r="J30" s="70">
        <f>IF(E30="","",IF(ISNUMBER(I30),I30,IFERROR(IF(ISNUMBER(INDEX(art_price,MATCH($E30,art_ref,0))),INDEX(art_price,MATCH($E30,art_ref,0)),""),"")))</f>
        <v>168.0</v>
      </c>
      <c r="K30" s="71" t="n"/>
      <c r="L30" s="72" t="n"/>
      <c r="M30" s="72">
        <f>IF(E30="","",IF(L30&lt;&gt;"",L30,IFERROR(IF(ISNUMBER(INDEX(art_tva,MATCH($E30,art_ref,0))),INDEX(art_tva,MATCH($E30,art_ref,0)),""),"")))</f>
        <v>0.2</v>
      </c>
      <c r="N30" s="70">
        <f>IF(OR(E30="",J30=""),"",ROUND(N(H30)*J30*(1-N(K30)),2))</f>
        <v>13440.0</v>
      </c>
      <c r="O30" s="70">
        <f>IF(OR(N30="",NOT(ISNUMBER(M30))),"",ROUND(N30*M30,2))</f>
        <v>2688.0</v>
      </c>
      <c r="P30" s="70">
        <f>IF(N30="","",N30+N(O30))</f>
        <v>16128.0</v>
      </c>
      <c r="Q30" s="64" t="n">
        <v>46325</v>
      </c>
      <c r="R30" s="73">
        <f>IF(N(Q30)&gt;0,Q30,IF(OR(N(B30)=0,ISNA(MATCH($C30,sup_code,0))),"",IF(ISNUMBER(INDEX(sup_delay,MATCH($C30,sup_code,0))),B30+INDEX(sup_delay,MATCH($C30,sup_code,0)),"")))</f>
        <v>46325.0</v>
      </c>
      <c r="S30" s="64" t="n">
        <v>46316</v>
      </c>
      <c r="T30" s="68" t="n"/>
      <c r="U30" s="64" t="n"/>
      <c r="V30" s="65" t="n"/>
      <c r="W30" s="74">
        <f>IF(AND(A30="",E30=""),"",IF(V30="Oui",0,MAX(0,ROUND(N(H30)-N(T30),6))))</f>
        <v>80.0</v>
      </c>
      <c r="X30" s="67" t="str">
        <f>IF(AND(A30="",E30=""),"",IF(V30="Oui","Annulé",IF(AND(N(H30)&gt;0,N(T30)&gt;=N(H30)),"Reçu",IF(N(S30)=0,"Brouillon",IF(AND(ISNUMBER(R30),R30&lt;p_today),"En retard",IF(N(T30)&gt;0,"Partiel","Envoyé"))))))</f>
        <v>En retard</v>
      </c>
      <c r="Y30" s="75">
        <f>IF(X30="En retard",p_today-R30,IF(AND(X30="Reçu",ISNUMBER(R30)),MAX(0,N(U30)-R30),""))</f>
        <v>6.0</v>
      </c>
      <c r="Z30" s="67" t="str">
        <f>IF(AND(A30="",E30=""),"",IF(A30="","N° de bon manquant",IF(N(B30)=0,"Date de commande manquante",IF(C30="","Fournisseur manquant",IF(ISNA(MATCH($C30,sup_code,0)),"Fournisseur inconnu",IF(E30="","Article manquant",IF(ISNA(MATCH($E30,art_ref,0)),"Article inconnu",IF(N(H30)&lt;=0,"Quantité invalide",IF(J30="","Prix manquant",IF(OR(N(K30)&lt;0,N(K30)&gt;=1),"Remise invalide",IF(M30="","TVA manquante",IF(ISNA(MATCH(M30,p_tva,0)),"Taux de TVA inconnu",IF(COUNTIFS(po_num,A30,po_sup,"&lt;&gt;"&amp;C30)&gt;0,"Fournisseur différent sur ce bon",IF(COUNTIFS(po_num,A30,po_date,"&lt;&gt;"&amp;B30)&gt;0,"Date différente sur ce bon",IF(COUNTIF(po_num,A30)&gt;25,"Plus de 25 lignes sur ce bon",IF(R30="","Date de livraison manquante",IF(R30&lt;B30,"Livraison avant la commande",IF(AND(N(T30)&gt;0,N(S30)=0),"Date d'envoi manquante",IF(N(T30)&gt;N(H30),"Reçu plus que commandé",IF(AND(N(T30)&gt;0,N(U30)=0),"Date de réception manquante",IF(AND(N(U30)&gt;0,U30&lt;B30),"Réception avant la commande","OK")))))))))))))))))))))</f>
        <v>OK</v>
      </c>
      <c r="AA30" s="66" t="str">
        <f>IF(AND(X30="Reçu",ISNUMBER(R30)),IF(N(U30)&lt;=R30,1,0),"")</f>
        <v/>
      </c>
      <c r="AB30" s="76">
        <f>IF(OR(X30="Envoyé",X30="Partiel",X30="En retard"),IF(ISNUMBER(R30),R30,100000)+ROW()/100000,"")</f>
        <v>46325.0003</v>
      </c>
      <c r="AC30" s="66">
        <f>IF(A30="","",IF(COUNTIF($A$6:A30,A30)=1,1,""))</f>
        <v>1.0</v>
      </c>
      <c r="AD30" s="66">
        <f>IF(AC30=1,COUNT($AC$6:AC30),"")</f>
        <v>11.0</v>
      </c>
      <c r="AE30" s="66" t="str">
        <f>IFERROR(INDEX(po_num,MATCH(25,po_seq,0))&amp;"","")</f>
        <v/>
      </c>
      <c r="AF30" s="66" t="str">
        <f>IF(OR(A30="",p_po=""),"",IF(A30&amp;""=p_po,COUNTIF($A$6:A30,A30),""))</f>
        <v/>
      </c>
      <c r="AG30" s="66">
        <f>IF(OR(AB30="",A30=""),"",IF(COUNTIFS($A$6:A30,A30,$AB$6:AB30,"&gt;0")=1,1,""))</f>
        <v>1.0</v>
      </c>
      <c r="AH30" s="70">
        <f>IF(AB30="","",ROUND(N(W30)*N(J30)*(1-N(K30)),2))</f>
        <v>13440.0</v>
      </c>
      <c r="AI30" s="70" t="str">
        <f>IF(OR(J30="",N(T30)&lt;=0,V30="Oui"),"",ROUND(N(T30)*J30*(1-N(K30)),2))</f>
        <v/>
      </c>
    </row>
    <row r="31">
      <c r="A31" s="63" t="inlineStr">
        <is>
          <t>BC-2026-0111</t>
        </is>
      </c>
      <c r="B31" s="64" t="n">
        <v>46315</v>
      </c>
      <c r="C31" s="65" t="inlineStr">
        <is>
          <t>TUB02</t>
        </is>
      </c>
      <c r="D31" s="66" t="str">
        <f>IF(C31="","",IFERROR(INDEX(sup_name,MATCH($C31,sup_code,0))&amp;"","Fournisseur inconnu"))</f>
        <v>Tubes et Profilés du Nord</v>
      </c>
      <c r="E31" s="63" t="inlineStr">
        <is>
          <t>COR-L40</t>
        </is>
      </c>
      <c r="F31" s="66" t="str">
        <f>IF(E31="","",IFERROR(INDEX(art_des,MATCH($E31,art_ref,0))&amp;"","Article inconnu"))</f>
        <v>Cornière 40x40x4, barre 6 m</v>
      </c>
      <c r="G31" s="67" t="str">
        <f>IF(E31="","",IFERROR(INDEX(art_unit,MATCH($E31,art_ref,0))&amp;"",""))</f>
        <v>barre</v>
      </c>
      <c r="H31" s="68" t="n">
        <v>50</v>
      </c>
      <c r="I31" s="69" t="n"/>
      <c r="J31" s="70">
        <f>IF(E31="","",IF(ISNUMBER(I31),I31,IFERROR(IF(ISNUMBER(INDEX(art_price,MATCH($E31,art_ref,0))),INDEX(art_price,MATCH($E31,art_ref,0)),""),"")))</f>
        <v>121.0</v>
      </c>
      <c r="K31" s="71" t="n"/>
      <c r="L31" s="72" t="n"/>
      <c r="M31" s="72">
        <f>IF(E31="","",IF(L31&lt;&gt;"",L31,IFERROR(IF(ISNUMBER(INDEX(art_tva,MATCH($E31,art_ref,0))),INDEX(art_tva,MATCH($E31,art_ref,0)),""),"")))</f>
        <v>0.2</v>
      </c>
      <c r="N31" s="70">
        <f>IF(OR(E31="",J31=""),"",ROUND(N(H31)*J31*(1-N(K31)),2))</f>
        <v>6050.0</v>
      </c>
      <c r="O31" s="70">
        <f>IF(OR(N31="",NOT(ISNUMBER(M31))),"",ROUND(N31*M31,2))</f>
        <v>1210.0</v>
      </c>
      <c r="P31" s="70">
        <f>IF(N31="","",N31+N(O31))</f>
        <v>7260.0</v>
      </c>
      <c r="Q31" s="64" t="n">
        <v>46325</v>
      </c>
      <c r="R31" s="73">
        <f>IF(N(Q31)&gt;0,Q31,IF(OR(N(B31)=0,ISNA(MATCH($C31,sup_code,0))),"",IF(ISNUMBER(INDEX(sup_delay,MATCH($C31,sup_code,0))),B31+INDEX(sup_delay,MATCH($C31,sup_code,0)),"")))</f>
        <v>46325.0</v>
      </c>
      <c r="S31" s="64" t="n">
        <v>46316</v>
      </c>
      <c r="T31" s="68" t="n"/>
      <c r="U31" s="64" t="n"/>
      <c r="V31" s="65" t="n"/>
      <c r="W31" s="74">
        <f>IF(AND(A31="",E31=""),"",IF(V31="Oui",0,MAX(0,ROUND(N(H31)-N(T31),6))))</f>
        <v>50.0</v>
      </c>
      <c r="X31" s="67" t="str">
        <f>IF(AND(A31="",E31=""),"",IF(V31="Oui","Annulé",IF(AND(N(H31)&gt;0,N(T31)&gt;=N(H31)),"Reçu",IF(N(S31)=0,"Brouillon",IF(AND(ISNUMBER(R31),R31&lt;p_today),"En retard",IF(N(T31)&gt;0,"Partiel","Envoyé"))))))</f>
        <v>En retard</v>
      </c>
      <c r="Y31" s="75">
        <f>IF(X31="En retard",p_today-R31,IF(AND(X31="Reçu",ISNUMBER(R31)),MAX(0,N(U31)-R31),""))</f>
        <v>6.0</v>
      </c>
      <c r="Z31" s="67" t="str">
        <f>IF(AND(A31="",E31=""),"",IF(A31="","N° de bon manquant",IF(N(B31)=0,"Date de commande manquante",IF(C31="","Fournisseur manquant",IF(ISNA(MATCH($C31,sup_code,0)),"Fournisseur inconnu",IF(E31="","Article manquant",IF(ISNA(MATCH($E31,art_ref,0)),"Article inconnu",IF(N(H31)&lt;=0,"Quantité invalide",IF(J31="","Prix manquant",IF(OR(N(K31)&lt;0,N(K31)&gt;=1),"Remise invalide",IF(M31="","TVA manquante",IF(ISNA(MATCH(M31,p_tva,0)),"Taux de TVA inconnu",IF(COUNTIFS(po_num,A31,po_sup,"&lt;&gt;"&amp;C31)&gt;0,"Fournisseur différent sur ce bon",IF(COUNTIFS(po_num,A31,po_date,"&lt;&gt;"&amp;B31)&gt;0,"Date différente sur ce bon",IF(COUNTIF(po_num,A31)&gt;25,"Plus de 25 lignes sur ce bon",IF(R31="","Date de livraison manquante",IF(R31&lt;B31,"Livraison avant la commande",IF(AND(N(T31)&gt;0,N(S31)=0),"Date d'envoi manquante",IF(N(T31)&gt;N(H31),"Reçu plus que commandé",IF(AND(N(T31)&gt;0,N(U31)=0),"Date de réception manquante",IF(AND(N(U31)&gt;0,U31&lt;B31),"Réception avant la commande","OK")))))))))))))))))))))</f>
        <v>OK</v>
      </c>
      <c r="AA31" s="66" t="str">
        <f>IF(AND(X31="Reçu",ISNUMBER(R31)),IF(N(U31)&lt;=R31,1,0),"")</f>
        <v/>
      </c>
      <c r="AB31" s="76">
        <f>IF(OR(X31="Envoyé",X31="Partiel",X31="En retard"),IF(ISNUMBER(R31),R31,100000)+ROW()/100000,"")</f>
        <v>46325.00031</v>
      </c>
      <c r="AC31" s="66" t="str">
        <f>IF(A31="","",IF(COUNTIF($A$6:A31,A31)=1,1,""))</f>
        <v/>
      </c>
      <c r="AD31" s="66" t="str">
        <f>IF(AC31=1,COUNT($AC$6:AC31),"")</f>
        <v/>
      </c>
      <c r="AE31" s="66" t="str">
        <f>IFERROR(INDEX(po_num,MATCH(26,po_seq,0))&amp;"","")</f>
        <v/>
      </c>
      <c r="AF31" s="66" t="str">
        <f>IF(OR(A31="",p_po=""),"",IF(A31&amp;""=p_po,COUNTIF($A$6:A31,A31),""))</f>
        <v/>
      </c>
      <c r="AG31" s="66" t="str">
        <f>IF(OR(AB31="",A31=""),"",IF(COUNTIFS($A$6:A31,A31,$AB$6:AB31,"&gt;0")=1,1,""))</f>
        <v/>
      </c>
      <c r="AH31" s="70">
        <f>IF(AB31="","",ROUND(N(W31)*N(J31)*(1-N(K31)),2))</f>
        <v>6050.0</v>
      </c>
      <c r="AI31" s="70" t="str">
        <f>IF(OR(J31="",N(T31)&lt;=0,V31="Oui"),"",ROUND(N(T31)*J31*(1-N(K31)),2))</f>
        <v/>
      </c>
    </row>
    <row r="32">
      <c r="A32" s="63" t="inlineStr">
        <is>
          <t>BC-2026-0111</t>
        </is>
      </c>
      <c r="B32" s="64" t="n">
        <v>46315</v>
      </c>
      <c r="C32" s="65" t="inlineStr">
        <is>
          <t>TUB02</t>
        </is>
      </c>
      <c r="D32" s="66" t="str">
        <f>IF(C32="","",IFERROR(INDEX(sup_name,MATCH($C32,sup_code,0))&amp;"","Fournisseur inconnu"))</f>
        <v>Tubes et Profilés du Nord</v>
      </c>
      <c r="E32" s="63" t="inlineStr">
        <is>
          <t>TUB-R-33</t>
        </is>
      </c>
      <c r="F32" s="66" t="str">
        <f>IF(E32="","",IFERROR(INDEX(art_des,MATCH($E32,art_ref,0))&amp;"","Article inconnu"))</f>
        <v>Tube rond Ø33,7x2,6, barre 6 m</v>
      </c>
      <c r="G32" s="67" t="str">
        <f>IF(E32="","",IFERROR(INDEX(art_unit,MATCH($E32,art_ref,0))&amp;"",""))</f>
        <v>barre</v>
      </c>
      <c r="H32" s="68" t="n">
        <v>20</v>
      </c>
      <c r="I32" s="69" t="n"/>
      <c r="J32" s="70">
        <f>IF(E32="","",IF(ISNUMBER(I32),I32,IFERROR(IF(ISNUMBER(INDEX(art_price,MATCH($E32,art_ref,0))),INDEX(art_price,MATCH($E32,art_ref,0)),""),"")))</f>
        <v>142.0</v>
      </c>
      <c r="K32" s="71" t="n"/>
      <c r="L32" s="72" t="n"/>
      <c r="M32" s="72">
        <f>IF(E32="","",IF(L32&lt;&gt;"",L32,IFERROR(IF(ISNUMBER(INDEX(art_tva,MATCH($E32,art_ref,0))),INDEX(art_tva,MATCH($E32,art_ref,0)),""),"")))</f>
        <v>0.2</v>
      </c>
      <c r="N32" s="70">
        <f>IF(OR(E32="",J32=""),"",ROUND(N(H32)*J32*(1-N(K32)),2))</f>
        <v>2840.0</v>
      </c>
      <c r="O32" s="70">
        <f>IF(OR(N32="",NOT(ISNUMBER(M32))),"",ROUND(N32*M32,2))</f>
        <v>568.0</v>
      </c>
      <c r="P32" s="70">
        <f>IF(N32="","",N32+N(O32))</f>
        <v>3408.0</v>
      </c>
      <c r="Q32" s="64" t="n">
        <v>46325</v>
      </c>
      <c r="R32" s="73">
        <f>IF(N(Q32)&gt;0,Q32,IF(OR(N(B32)=0,ISNA(MATCH($C32,sup_code,0))),"",IF(ISNUMBER(INDEX(sup_delay,MATCH($C32,sup_code,0))),B32+INDEX(sup_delay,MATCH($C32,sup_code,0)),"")))</f>
        <v>46325.0</v>
      </c>
      <c r="S32" s="64" t="n">
        <v>46316</v>
      </c>
      <c r="T32" s="68" t="n"/>
      <c r="U32" s="64" t="n"/>
      <c r="V32" s="65" t="inlineStr">
        <is>
          <t>Oui</t>
        </is>
      </c>
      <c r="W32" s="74">
        <f>IF(AND(A32="",E32=""),"",IF(V32="Oui",0,MAX(0,ROUND(N(H32)-N(T32),6))))</f>
        <v>0.0</v>
      </c>
      <c r="X32" s="67" t="str">
        <f>IF(AND(A32="",E32=""),"",IF(V32="Oui","Annulé",IF(AND(N(H32)&gt;0,N(T32)&gt;=N(H32)),"Reçu",IF(N(S32)=0,"Brouillon",IF(AND(ISNUMBER(R32),R32&lt;p_today),"En retard",IF(N(T32)&gt;0,"Partiel","Envoyé"))))))</f>
        <v>Annulé</v>
      </c>
      <c r="Y32" s="75" t="str">
        <f>IF(X32="En retard",p_today-R32,IF(AND(X32="Reçu",ISNUMBER(R32)),MAX(0,N(U32)-R32),""))</f>
        <v/>
      </c>
      <c r="Z32" s="67" t="str">
        <f>IF(AND(A32="",E32=""),"",IF(A32="","N° de bon manquant",IF(N(B32)=0,"Date de commande manquante",IF(C32="","Fournisseur manquant",IF(ISNA(MATCH($C32,sup_code,0)),"Fournisseur inconnu",IF(E32="","Article manquant",IF(ISNA(MATCH($E32,art_ref,0)),"Article inconnu",IF(N(H32)&lt;=0,"Quantité invalide",IF(J32="","Prix manquant",IF(OR(N(K32)&lt;0,N(K32)&gt;=1),"Remise invalide",IF(M32="","TVA manquante",IF(ISNA(MATCH(M32,p_tva,0)),"Taux de TVA inconnu",IF(COUNTIFS(po_num,A32,po_sup,"&lt;&gt;"&amp;C32)&gt;0,"Fournisseur différent sur ce bon",IF(COUNTIFS(po_num,A32,po_date,"&lt;&gt;"&amp;B32)&gt;0,"Date différente sur ce bon",IF(COUNTIF(po_num,A32)&gt;25,"Plus de 25 lignes sur ce bon",IF(R32="","Date de livraison manquante",IF(R32&lt;B32,"Livraison avant la commande",IF(AND(N(T32)&gt;0,N(S32)=0),"Date d'envoi manquante",IF(N(T32)&gt;N(H32),"Reçu plus que commandé",IF(AND(N(T32)&gt;0,N(U32)=0),"Date de réception manquante",IF(AND(N(U32)&gt;0,U32&lt;B32),"Réception avant la commande","OK")))))))))))))))))))))</f>
        <v>OK</v>
      </c>
      <c r="AA32" s="66" t="str">
        <f>IF(AND(X32="Reçu",ISNUMBER(R32)),IF(N(U32)&lt;=R32,1,0),"")</f>
        <v/>
      </c>
      <c r="AB32" s="76" t="str">
        <f>IF(OR(X32="Envoyé",X32="Partiel",X32="En retard"),IF(ISNUMBER(R32),R32,100000)+ROW()/100000,"")</f>
        <v/>
      </c>
      <c r="AC32" s="66" t="str">
        <f>IF(A32="","",IF(COUNTIF($A$6:A32,A32)=1,1,""))</f>
        <v/>
      </c>
      <c r="AD32" s="66" t="str">
        <f>IF(AC32=1,COUNT($AC$6:AC32),"")</f>
        <v/>
      </c>
      <c r="AE32" s="66" t="str">
        <f>IFERROR(INDEX(po_num,MATCH(27,po_seq,0))&amp;"","")</f>
        <v/>
      </c>
      <c r="AF32" s="66" t="str">
        <f>IF(OR(A32="",p_po=""),"",IF(A32&amp;""=p_po,COUNTIF($A$6:A32,A32),""))</f>
        <v/>
      </c>
      <c r="AG32" s="66" t="str">
        <f>IF(OR(AB32="",A32=""),"",IF(COUNTIFS($A$6:A32,A32,$AB$6:AB32,"&gt;0")=1,1,""))</f>
        <v/>
      </c>
      <c r="AH32" s="70" t="str">
        <f>IF(AB32="","",ROUND(N(W32)*N(J32)*(1-N(K32)),2))</f>
        <v/>
      </c>
      <c r="AI32" s="70" t="str">
        <f>IF(OR(J32="",N(T32)&lt;=0,V32="Oui"),"",ROUND(N(T32)*J32*(1-N(K32)),2))</f>
        <v/>
      </c>
    </row>
    <row r="33">
      <c r="A33" s="63" t="inlineStr">
        <is>
          <t>BC-2026-0112</t>
        </is>
      </c>
      <c r="B33" s="64" t="n">
        <v>46318</v>
      </c>
      <c r="C33" s="65" t="inlineStr">
        <is>
          <t>FIX03</t>
        </is>
      </c>
      <c r="D33" s="66" t="str">
        <f>IF(C33="","",IFERROR(INDEX(sup_name,MATCH($C33,sup_code,0))&amp;"","Fournisseur inconnu"))</f>
        <v>Fixations Souss SARL</v>
      </c>
      <c r="E33" s="63" t="inlineStr">
        <is>
          <t>VIS-M8-25</t>
        </is>
      </c>
      <c r="F33" s="66" t="str">
        <f>IF(E33="","",IFERROR(INDEX(art_des,MATCH($E33,art_ref,0))&amp;"","Article inconnu"))</f>
        <v>Vis H M8x25 classe 8.8 (boîte de 100)</v>
      </c>
      <c r="G33" s="67" t="str">
        <f>IF(E33="","",IFERROR(INDEX(art_unit,MATCH($E33,art_ref,0))&amp;"",""))</f>
        <v>boîte</v>
      </c>
      <c r="H33" s="68" t="n">
        <v>30</v>
      </c>
      <c r="I33" s="69" t="n"/>
      <c r="J33" s="70">
        <f>IF(E33="","",IF(ISNUMBER(I33),I33,IFERROR(IF(ISNUMBER(INDEX(art_price,MATCH($E33,art_ref,0))),INDEX(art_price,MATCH($E33,art_ref,0)),""),"")))</f>
        <v>46.0</v>
      </c>
      <c r="K33" s="71" t="n"/>
      <c r="L33" s="72" t="n"/>
      <c r="M33" s="72">
        <f>IF(E33="","",IF(L33&lt;&gt;"",L33,IFERROR(IF(ISNUMBER(INDEX(art_tva,MATCH($E33,art_ref,0))),INDEX(art_tva,MATCH($E33,art_ref,0)),""),"")))</f>
        <v>0.2</v>
      </c>
      <c r="N33" s="70">
        <f>IF(OR(E33="",J33=""),"",ROUND(N(H33)*J33*(1-N(K33)),2))</f>
        <v>1380.0</v>
      </c>
      <c r="O33" s="70">
        <f>IF(OR(N33="",NOT(ISNUMBER(M33))),"",ROUND(N33*M33,2))</f>
        <v>276.0</v>
      </c>
      <c r="P33" s="70">
        <f>IF(N33="","",N33+N(O33))</f>
        <v>1656.0</v>
      </c>
      <c r="Q33" s="64" t="n"/>
      <c r="R33" s="73">
        <f>IF(N(Q33)&gt;0,Q33,IF(OR(N(B33)=0,ISNA(MATCH($C33,sup_code,0))),"",IF(ISNUMBER(INDEX(sup_delay,MATCH($C33,sup_code,0))),B33+INDEX(sup_delay,MATCH($C33,sup_code,0)),"")))</f>
        <v>46323.0</v>
      </c>
      <c r="S33" s="64" t="n">
        <v>46318</v>
      </c>
      <c r="T33" s="68" t="n">
        <v>30</v>
      </c>
      <c r="U33" s="64" t="n">
        <v>46323</v>
      </c>
      <c r="V33" s="65" t="n"/>
      <c r="W33" s="74">
        <f>IF(AND(A33="",E33=""),"",IF(V33="Oui",0,MAX(0,ROUND(N(H33)-N(T33),6))))</f>
        <v>0.0</v>
      </c>
      <c r="X33" s="67" t="str">
        <f>IF(AND(A33="",E33=""),"",IF(V33="Oui","Annulé",IF(AND(N(H33)&gt;0,N(T33)&gt;=N(H33)),"Reçu",IF(N(S33)=0,"Brouillon",IF(AND(ISNUMBER(R33),R33&lt;p_today),"En retard",IF(N(T33)&gt;0,"Partiel","Envoyé"))))))</f>
        <v>Reçu</v>
      </c>
      <c r="Y33" s="75">
        <f>IF(X33="En retard",p_today-R33,IF(AND(X33="Reçu",ISNUMBER(R33)),MAX(0,N(U33)-R33),""))</f>
        <v>0.0</v>
      </c>
      <c r="Z33" s="67" t="str">
        <f>IF(AND(A33="",E33=""),"",IF(A33="","N° de bon manquant",IF(N(B33)=0,"Date de commande manquante",IF(C33="","Fournisseur manquant",IF(ISNA(MATCH($C33,sup_code,0)),"Fournisseur inconnu",IF(E33="","Article manquant",IF(ISNA(MATCH($E33,art_ref,0)),"Article inconnu",IF(N(H33)&lt;=0,"Quantité invalide",IF(J33="","Prix manquant",IF(OR(N(K33)&lt;0,N(K33)&gt;=1),"Remise invalide",IF(M33="","TVA manquante",IF(ISNA(MATCH(M33,p_tva,0)),"Taux de TVA inconnu",IF(COUNTIFS(po_num,A33,po_sup,"&lt;&gt;"&amp;C33)&gt;0,"Fournisseur différent sur ce bon",IF(COUNTIFS(po_num,A33,po_date,"&lt;&gt;"&amp;B33)&gt;0,"Date différente sur ce bon",IF(COUNTIF(po_num,A33)&gt;25,"Plus de 25 lignes sur ce bon",IF(R33="","Date de livraison manquante",IF(R33&lt;B33,"Livraison avant la commande",IF(AND(N(T33)&gt;0,N(S33)=0),"Date d'envoi manquante",IF(N(T33)&gt;N(H33),"Reçu plus que commandé",IF(AND(N(T33)&gt;0,N(U33)=0),"Date de réception manquante",IF(AND(N(U33)&gt;0,U33&lt;B33),"Réception avant la commande","OK")))))))))))))))))))))</f>
        <v>OK</v>
      </c>
      <c r="AA33" s="66">
        <f>IF(AND(X33="Reçu",ISNUMBER(R33)),IF(N(U33)&lt;=R33,1,0),"")</f>
        <v>1.0</v>
      </c>
      <c r="AB33" s="76" t="str">
        <f>IF(OR(X33="Envoyé",X33="Partiel",X33="En retard"),IF(ISNUMBER(R33),R33,100000)+ROW()/100000,"")</f>
        <v/>
      </c>
      <c r="AC33" s="66">
        <f>IF(A33="","",IF(COUNTIF($A$6:A33,A33)=1,1,""))</f>
        <v>1.0</v>
      </c>
      <c r="AD33" s="66">
        <f>IF(AC33=1,COUNT($AC$6:AC33),"")</f>
        <v>12.0</v>
      </c>
      <c r="AE33" s="66" t="str">
        <f>IFERROR(INDEX(po_num,MATCH(28,po_seq,0))&amp;"","")</f>
        <v/>
      </c>
      <c r="AF33" s="66" t="str">
        <f>IF(OR(A33="",p_po=""),"",IF(A33&amp;""=p_po,COUNTIF($A$6:A33,A33),""))</f>
        <v/>
      </c>
      <c r="AG33" s="66" t="str">
        <f>IF(OR(AB33="",A33=""),"",IF(COUNTIFS($A$6:A33,A33,$AB$6:AB33,"&gt;0")=1,1,""))</f>
        <v/>
      </c>
      <c r="AH33" s="70" t="str">
        <f>IF(AB33="","",ROUND(N(W33)*N(J33)*(1-N(K33)),2))</f>
        <v/>
      </c>
      <c r="AI33" s="70">
        <f>IF(OR(J33="",N(T33)&lt;=0,V33="Oui"),"",ROUND(N(T33)*J33*(1-N(K33)),2))</f>
        <v>1380.0</v>
      </c>
    </row>
    <row r="34">
      <c r="A34" s="63" t="inlineStr">
        <is>
          <t>BC-2026-0112</t>
        </is>
      </c>
      <c r="B34" s="64" t="n">
        <v>46318</v>
      </c>
      <c r="C34" s="65" t="inlineStr">
        <is>
          <t>FIX03</t>
        </is>
      </c>
      <c r="D34" s="66" t="str">
        <f>IF(C34="","",IFERROR(INDEX(sup_name,MATCH($C34,sup_code,0))&amp;"","Fournisseur inconnu"))</f>
        <v>Fixations Souss SARL</v>
      </c>
      <c r="E34" s="63" t="inlineStr">
        <is>
          <t>ECR-M8</t>
        </is>
      </c>
      <c r="F34" s="66" t="str">
        <f>IF(E34="","",IFERROR(INDEX(art_des,MATCH($E34,art_ref,0))&amp;"","Article inconnu"))</f>
        <v>Écrou H M8 classe 8 (boîte de 100)</v>
      </c>
      <c r="G34" s="67" t="str">
        <f>IF(E34="","",IFERROR(INDEX(art_unit,MATCH($E34,art_ref,0))&amp;"",""))</f>
        <v>boîte</v>
      </c>
      <c r="H34" s="68" t="n">
        <v>30</v>
      </c>
      <c r="I34" s="69" t="n"/>
      <c r="J34" s="70">
        <f>IF(E34="","",IF(ISNUMBER(I34),I34,IFERROR(IF(ISNUMBER(INDEX(art_price,MATCH($E34,art_ref,0))),INDEX(art_price,MATCH($E34,art_ref,0)),""),"")))</f>
        <v>22.0</v>
      </c>
      <c r="K34" s="71" t="n"/>
      <c r="L34" s="72" t="n"/>
      <c r="M34" s="72">
        <f>IF(E34="","",IF(L34&lt;&gt;"",L34,IFERROR(IF(ISNUMBER(INDEX(art_tva,MATCH($E34,art_ref,0))),INDEX(art_tva,MATCH($E34,art_ref,0)),""),"")))</f>
        <v>0.2</v>
      </c>
      <c r="N34" s="70">
        <f>IF(OR(E34="",J34=""),"",ROUND(N(H34)*J34*(1-N(K34)),2))</f>
        <v>660.0</v>
      </c>
      <c r="O34" s="70">
        <f>IF(OR(N34="",NOT(ISNUMBER(M34))),"",ROUND(N34*M34,2))</f>
        <v>132.0</v>
      </c>
      <c r="P34" s="70">
        <f>IF(N34="","",N34+N(O34))</f>
        <v>792.0</v>
      </c>
      <c r="Q34" s="64" t="n"/>
      <c r="R34" s="73">
        <f>IF(N(Q34)&gt;0,Q34,IF(OR(N(B34)=0,ISNA(MATCH($C34,sup_code,0))),"",IF(ISNUMBER(INDEX(sup_delay,MATCH($C34,sup_code,0))),B34+INDEX(sup_delay,MATCH($C34,sup_code,0)),"")))</f>
        <v>46323.0</v>
      </c>
      <c r="S34" s="64" t="n">
        <v>46318</v>
      </c>
      <c r="T34" s="68" t="n"/>
      <c r="U34" s="64" t="n"/>
      <c r="V34" s="65" t="n"/>
      <c r="W34" s="74">
        <f>IF(AND(A34="",E34=""),"",IF(V34="Oui",0,MAX(0,ROUND(N(H34)-N(T34),6))))</f>
        <v>30.0</v>
      </c>
      <c r="X34" s="67" t="str">
        <f>IF(AND(A34="",E34=""),"",IF(V34="Oui","Annulé",IF(AND(N(H34)&gt;0,N(T34)&gt;=N(H34)),"Reçu",IF(N(S34)=0,"Brouillon",IF(AND(ISNUMBER(R34),R34&lt;p_today),"En retard",IF(N(T34)&gt;0,"Partiel","Envoyé"))))))</f>
        <v>En retard</v>
      </c>
      <c r="Y34" s="75">
        <f>IF(X34="En retard",p_today-R34,IF(AND(X34="Reçu",ISNUMBER(R34)),MAX(0,N(U34)-R34),""))</f>
        <v>8.0</v>
      </c>
      <c r="Z34" s="67" t="str">
        <f>IF(AND(A34="",E34=""),"",IF(A34="","N° de bon manquant",IF(N(B34)=0,"Date de commande manquante",IF(C34="","Fournisseur manquant",IF(ISNA(MATCH($C34,sup_code,0)),"Fournisseur inconnu",IF(E34="","Article manquant",IF(ISNA(MATCH($E34,art_ref,0)),"Article inconnu",IF(N(H34)&lt;=0,"Quantité invalide",IF(J34="","Prix manquant",IF(OR(N(K34)&lt;0,N(K34)&gt;=1),"Remise invalide",IF(M34="","TVA manquante",IF(ISNA(MATCH(M34,p_tva,0)),"Taux de TVA inconnu",IF(COUNTIFS(po_num,A34,po_sup,"&lt;&gt;"&amp;C34)&gt;0,"Fournisseur différent sur ce bon",IF(COUNTIFS(po_num,A34,po_date,"&lt;&gt;"&amp;B34)&gt;0,"Date différente sur ce bon",IF(COUNTIF(po_num,A34)&gt;25,"Plus de 25 lignes sur ce bon",IF(R34="","Date de livraison manquante",IF(R34&lt;B34,"Livraison avant la commande",IF(AND(N(T34)&gt;0,N(S34)=0),"Date d'envoi manquante",IF(N(T34)&gt;N(H34),"Reçu plus que commandé",IF(AND(N(T34)&gt;0,N(U34)=0),"Date de réception manquante",IF(AND(N(U34)&gt;0,U34&lt;B34),"Réception avant la commande","OK")))))))))))))))))))))</f>
        <v>OK</v>
      </c>
      <c r="AA34" s="66" t="str">
        <f>IF(AND(X34="Reçu",ISNUMBER(R34)),IF(N(U34)&lt;=R34,1,0),"")</f>
        <v/>
      </c>
      <c r="AB34" s="76">
        <f>IF(OR(X34="Envoyé",X34="Partiel",X34="En retard"),IF(ISNUMBER(R34),R34,100000)+ROW()/100000,"")</f>
        <v>46323.00034</v>
      </c>
      <c r="AC34" s="66" t="str">
        <f>IF(A34="","",IF(COUNTIF($A$6:A34,A34)=1,1,""))</f>
        <v/>
      </c>
      <c r="AD34" s="66" t="str">
        <f>IF(AC34=1,COUNT($AC$6:AC34),"")</f>
        <v/>
      </c>
      <c r="AE34" s="66" t="str">
        <f>IFERROR(INDEX(po_num,MATCH(29,po_seq,0))&amp;"","")</f>
        <v/>
      </c>
      <c r="AF34" s="66" t="str">
        <f>IF(OR(A34="",p_po=""),"",IF(A34&amp;""=p_po,COUNTIF($A$6:A34,A34),""))</f>
        <v/>
      </c>
      <c r="AG34" s="66">
        <f>IF(OR(AB34="",A34=""),"",IF(COUNTIFS($A$6:A34,A34,$AB$6:AB34,"&gt;0")=1,1,""))</f>
        <v>1.0</v>
      </c>
      <c r="AH34" s="70">
        <f>IF(AB34="","",ROUND(N(W34)*N(J34)*(1-N(K34)),2))</f>
        <v>660.0</v>
      </c>
      <c r="AI34" s="70" t="str">
        <f>IF(OR(J34="",N(T34)&lt;=0,V34="Oui"),"",ROUND(N(T34)*J34*(1-N(K34)),2))</f>
        <v/>
      </c>
    </row>
    <row r="35">
      <c r="A35" s="63" t="inlineStr">
        <is>
          <t>BC-2026-0113</t>
        </is>
      </c>
      <c r="B35" s="64" t="n">
        <v>46321</v>
      </c>
      <c r="C35" s="65" t="inlineStr">
        <is>
          <t>SOU05</t>
        </is>
      </c>
      <c r="D35" s="66" t="str">
        <f>IF(C35="","",IFERROR(INDEX(sup_name,MATCH($C35,sup_code,0))&amp;"","Fournisseur inconnu"))</f>
        <v>Gaz et Soudure Kénitra</v>
      </c>
      <c r="E35" s="63" t="inlineStr">
        <is>
          <t>GAZ-ARCAL</t>
        </is>
      </c>
      <c r="F35" s="66" t="str">
        <f>IF(E35="","",IFERROR(INDEX(art_des,MATCH($E35,art_ref,0))&amp;"","Article inconnu"))</f>
        <v>Recharge gaz de soudage 20 L</v>
      </c>
      <c r="G35" s="67" t="str">
        <f>IF(E35="","",IFERROR(INDEX(art_unit,MATCH($E35,art_ref,0))&amp;"",""))</f>
        <v>bouteille</v>
      </c>
      <c r="H35" s="68" t="n">
        <v>6</v>
      </c>
      <c r="I35" s="69" t="n"/>
      <c r="J35" s="70">
        <f>IF(E35="","",IF(ISNUMBER(I35),I35,IFERROR(IF(ISNUMBER(INDEX(art_price,MATCH($E35,art_ref,0))),INDEX(art_price,MATCH($E35,art_ref,0)),""),"")))</f>
        <v>520.0</v>
      </c>
      <c r="K35" s="71" t="n"/>
      <c r="L35" s="72" t="n"/>
      <c r="M35" s="72">
        <f>IF(E35="","",IF(L35&lt;&gt;"",L35,IFERROR(IF(ISNUMBER(INDEX(art_tva,MATCH($E35,art_ref,0))),INDEX(art_tva,MATCH($E35,art_ref,0)),""),"")))</f>
        <v>0.2</v>
      </c>
      <c r="N35" s="70">
        <f>IF(OR(E35="",J35=""),"",ROUND(N(H35)*J35*(1-N(K35)),2))</f>
        <v>3120.0</v>
      </c>
      <c r="O35" s="70">
        <f>IF(OR(N35="",NOT(ISNUMBER(M35))),"",ROUND(N35*M35,2))</f>
        <v>624.0</v>
      </c>
      <c r="P35" s="70">
        <f>IF(N35="","",N35+N(O35))</f>
        <v>3744.0</v>
      </c>
      <c r="Q35" s="64" t="n">
        <v>46332</v>
      </c>
      <c r="R35" s="73">
        <f>IF(N(Q35)&gt;0,Q35,IF(OR(N(B35)=0,ISNA(MATCH($C35,sup_code,0))),"",IF(ISNUMBER(INDEX(sup_delay,MATCH($C35,sup_code,0))),B35+INDEX(sup_delay,MATCH($C35,sup_code,0)),"")))</f>
        <v>46332.0</v>
      </c>
      <c r="S35" s="64" t="n">
        <v>46321</v>
      </c>
      <c r="T35" s="68" t="n"/>
      <c r="U35" s="64" t="n"/>
      <c r="V35" s="65" t="n"/>
      <c r="W35" s="74">
        <f>IF(AND(A35="",E35=""),"",IF(V35="Oui",0,MAX(0,ROUND(N(H35)-N(T35),6))))</f>
        <v>6.0</v>
      </c>
      <c r="X35" s="67" t="str">
        <f>IF(AND(A35="",E35=""),"",IF(V35="Oui","Annulé",IF(AND(N(H35)&gt;0,N(T35)&gt;=N(H35)),"Reçu",IF(N(S35)=0,"Brouillon",IF(AND(ISNUMBER(R35),R35&lt;p_today),"En retard",IF(N(T35)&gt;0,"Partiel","Envoyé"))))))</f>
        <v>Envoyé</v>
      </c>
      <c r="Y35" s="75" t="str">
        <f>IF(X35="En retard",p_today-R35,IF(AND(X35="Reçu",ISNUMBER(R35)),MAX(0,N(U35)-R35),""))</f>
        <v/>
      </c>
      <c r="Z35" s="67" t="str">
        <f>IF(AND(A35="",E35=""),"",IF(A35="","N° de bon manquant",IF(N(B35)=0,"Date de commande manquante",IF(C35="","Fournisseur manquant",IF(ISNA(MATCH($C35,sup_code,0)),"Fournisseur inconnu",IF(E35="","Article manquant",IF(ISNA(MATCH($E35,art_ref,0)),"Article inconnu",IF(N(H35)&lt;=0,"Quantité invalide",IF(J35="","Prix manquant",IF(OR(N(K35)&lt;0,N(K35)&gt;=1),"Remise invalide",IF(M35="","TVA manquante",IF(ISNA(MATCH(M35,p_tva,0)),"Taux de TVA inconnu",IF(COUNTIFS(po_num,A35,po_sup,"&lt;&gt;"&amp;C35)&gt;0,"Fournisseur différent sur ce bon",IF(COUNTIFS(po_num,A35,po_date,"&lt;&gt;"&amp;B35)&gt;0,"Date différente sur ce bon",IF(COUNTIF(po_num,A35)&gt;25,"Plus de 25 lignes sur ce bon",IF(R35="","Date de livraison manquante",IF(R35&lt;B35,"Livraison avant la commande",IF(AND(N(T35)&gt;0,N(S35)=0),"Date d'envoi manquante",IF(N(T35)&gt;N(H35),"Reçu plus que commandé",IF(AND(N(T35)&gt;0,N(U35)=0),"Date de réception manquante",IF(AND(N(U35)&gt;0,U35&lt;B35),"Réception avant la commande","OK")))))))))))))))))))))</f>
        <v>OK</v>
      </c>
      <c r="AA35" s="66" t="str">
        <f>IF(AND(X35="Reçu",ISNUMBER(R35)),IF(N(U35)&lt;=R35,1,0),"")</f>
        <v/>
      </c>
      <c r="AB35" s="76">
        <f>IF(OR(X35="Envoyé",X35="Partiel",X35="En retard"),IF(ISNUMBER(R35),R35,100000)+ROW()/100000,"")</f>
        <v>46332.00035</v>
      </c>
      <c r="AC35" s="66">
        <f>IF(A35="","",IF(COUNTIF($A$6:A35,A35)=1,1,""))</f>
        <v>1.0</v>
      </c>
      <c r="AD35" s="66">
        <f>IF(AC35=1,COUNT($AC$6:AC35),"")</f>
        <v>13.0</v>
      </c>
      <c r="AE35" s="66" t="str">
        <f>IFERROR(INDEX(po_num,MATCH(30,po_seq,0))&amp;"","")</f>
        <v/>
      </c>
      <c r="AF35" s="66" t="str">
        <f>IF(OR(A35="",p_po=""),"",IF(A35&amp;""=p_po,COUNTIF($A$6:A35,A35),""))</f>
        <v/>
      </c>
      <c r="AG35" s="66">
        <f>IF(OR(AB35="",A35=""),"",IF(COUNTIFS($A$6:A35,A35,$AB$6:AB35,"&gt;0")=1,1,""))</f>
        <v>1.0</v>
      </c>
      <c r="AH35" s="70">
        <f>IF(AB35="","",ROUND(N(W35)*N(J35)*(1-N(K35)),2))</f>
        <v>3120.0</v>
      </c>
      <c r="AI35" s="70" t="str">
        <f>IF(OR(J35="",N(T35)&lt;=0,V35="Oui"),"",ROUND(N(T35)*J35*(1-N(K35)),2))</f>
        <v/>
      </c>
    </row>
    <row r="36">
      <c r="A36" s="63" t="inlineStr">
        <is>
          <t>BC-2026-0113</t>
        </is>
      </c>
      <c r="B36" s="64" t="n">
        <v>46321</v>
      </c>
      <c r="C36" s="65" t="inlineStr">
        <is>
          <t>SOU05</t>
        </is>
      </c>
      <c r="D36" s="66" t="str">
        <f>IF(C36="","",IFERROR(INDEX(sup_name,MATCH($C36,sup_code,0))&amp;"","Fournisseur inconnu"))</f>
        <v>Gaz et Soudure Kénitra</v>
      </c>
      <c r="E36" s="63" t="inlineStr">
        <is>
          <t>FIL-MIG-1</t>
        </is>
      </c>
      <c r="F36" s="66" t="str">
        <f>IF(E36="","",IFERROR(INDEX(art_des,MATCH($E36,art_ref,0))&amp;"","Article inconnu"))</f>
        <v>Fil MIG acier Ø1 mm, bobine 15 kg</v>
      </c>
      <c r="G36" s="67" t="str">
        <f>IF(E36="","",IFERROR(INDEX(art_unit,MATCH($E36,art_ref,0))&amp;"",""))</f>
        <v>bobine</v>
      </c>
      <c r="H36" s="68" t="n">
        <v>4</v>
      </c>
      <c r="I36" s="69" t="n"/>
      <c r="J36" s="70">
        <f>IF(E36="","",IF(ISNUMBER(I36),I36,IFERROR(IF(ISNUMBER(INDEX(art_price,MATCH($E36,art_ref,0))),INDEX(art_price,MATCH($E36,art_ref,0)),""),"")))</f>
        <v>395.0</v>
      </c>
      <c r="K36" s="71" t="n"/>
      <c r="L36" s="72" t="n"/>
      <c r="M36" s="72">
        <f>IF(E36="","",IF(L36&lt;&gt;"",L36,IFERROR(IF(ISNUMBER(INDEX(art_tva,MATCH($E36,art_ref,0))),INDEX(art_tva,MATCH($E36,art_ref,0)),""),"")))</f>
        <v>0.2</v>
      </c>
      <c r="N36" s="70">
        <f>IF(OR(E36="",J36=""),"",ROUND(N(H36)*J36*(1-N(K36)),2))</f>
        <v>1580.0</v>
      </c>
      <c r="O36" s="70">
        <f>IF(OR(N36="",NOT(ISNUMBER(M36))),"",ROUND(N36*M36,2))</f>
        <v>316.0</v>
      </c>
      <c r="P36" s="70">
        <f>IF(N36="","",N36+N(O36))</f>
        <v>1896.0</v>
      </c>
      <c r="Q36" s="64" t="n">
        <v>46332</v>
      </c>
      <c r="R36" s="73">
        <f>IF(N(Q36)&gt;0,Q36,IF(OR(N(B36)=0,ISNA(MATCH($C36,sup_code,0))),"",IF(ISNUMBER(INDEX(sup_delay,MATCH($C36,sup_code,0))),B36+INDEX(sup_delay,MATCH($C36,sup_code,0)),"")))</f>
        <v>46332.0</v>
      </c>
      <c r="S36" s="64" t="n">
        <v>46321</v>
      </c>
      <c r="T36" s="68" t="n"/>
      <c r="U36" s="64" t="n"/>
      <c r="V36" s="65" t="n"/>
      <c r="W36" s="74">
        <f>IF(AND(A36="",E36=""),"",IF(V36="Oui",0,MAX(0,ROUND(N(H36)-N(T36),6))))</f>
        <v>4.0</v>
      </c>
      <c r="X36" s="67" t="str">
        <f>IF(AND(A36="",E36=""),"",IF(V36="Oui","Annulé",IF(AND(N(H36)&gt;0,N(T36)&gt;=N(H36)),"Reçu",IF(N(S36)=0,"Brouillon",IF(AND(ISNUMBER(R36),R36&lt;p_today),"En retard",IF(N(T36)&gt;0,"Partiel","Envoyé"))))))</f>
        <v>Envoyé</v>
      </c>
      <c r="Y36" s="75" t="str">
        <f>IF(X36="En retard",p_today-R36,IF(AND(X36="Reçu",ISNUMBER(R36)),MAX(0,N(U36)-R36),""))</f>
        <v/>
      </c>
      <c r="Z36" s="67" t="str">
        <f>IF(AND(A36="",E36=""),"",IF(A36="","N° de bon manquant",IF(N(B36)=0,"Date de commande manquante",IF(C36="","Fournisseur manquant",IF(ISNA(MATCH($C36,sup_code,0)),"Fournisseur inconnu",IF(E36="","Article manquant",IF(ISNA(MATCH($E36,art_ref,0)),"Article inconnu",IF(N(H36)&lt;=0,"Quantité invalide",IF(J36="","Prix manquant",IF(OR(N(K36)&lt;0,N(K36)&gt;=1),"Remise invalide",IF(M36="","TVA manquante",IF(ISNA(MATCH(M36,p_tva,0)),"Taux de TVA inconnu",IF(COUNTIFS(po_num,A36,po_sup,"&lt;&gt;"&amp;C36)&gt;0,"Fournisseur différent sur ce bon",IF(COUNTIFS(po_num,A36,po_date,"&lt;&gt;"&amp;B36)&gt;0,"Date différente sur ce bon",IF(COUNTIF(po_num,A36)&gt;25,"Plus de 25 lignes sur ce bon",IF(R36="","Date de livraison manquante",IF(R36&lt;B36,"Livraison avant la commande",IF(AND(N(T36)&gt;0,N(S36)=0),"Date d'envoi manquante",IF(N(T36)&gt;N(H36),"Reçu plus que commandé",IF(AND(N(T36)&gt;0,N(U36)=0),"Date de réception manquante",IF(AND(N(U36)&gt;0,U36&lt;B36),"Réception avant la commande","OK")))))))))))))))))))))</f>
        <v>OK</v>
      </c>
      <c r="AA36" s="66" t="str">
        <f>IF(AND(X36="Reçu",ISNUMBER(R36)),IF(N(U36)&lt;=R36,1,0),"")</f>
        <v/>
      </c>
      <c r="AB36" s="76">
        <f>IF(OR(X36="Envoyé",X36="Partiel",X36="En retard"),IF(ISNUMBER(R36),R36,100000)+ROW()/100000,"")</f>
        <v>46332.00036</v>
      </c>
      <c r="AC36" s="66" t="str">
        <f>IF(A36="","",IF(COUNTIF($A$6:A36,A36)=1,1,""))</f>
        <v/>
      </c>
      <c r="AD36" s="66" t="str">
        <f>IF(AC36=1,COUNT($AC$6:AC36),"")</f>
        <v/>
      </c>
      <c r="AE36" s="66" t="str">
        <f>IFERROR(INDEX(po_num,MATCH(31,po_seq,0))&amp;"","")</f>
        <v/>
      </c>
      <c r="AF36" s="66" t="str">
        <f>IF(OR(A36="",p_po=""),"",IF(A36&amp;""=p_po,COUNTIF($A$6:A36,A36),""))</f>
        <v/>
      </c>
      <c r="AG36" s="66" t="str">
        <f>IF(OR(AB36="",A36=""),"",IF(COUNTIFS($A$6:A36,A36,$AB$6:AB36,"&gt;0")=1,1,""))</f>
        <v/>
      </c>
      <c r="AH36" s="70">
        <f>IF(AB36="","",ROUND(N(W36)*N(J36)*(1-N(K36)),2))</f>
        <v>1580.0</v>
      </c>
      <c r="AI36" s="70" t="str">
        <f>IF(OR(J36="",N(T36)&lt;=0,V36="Oui"),"",ROUND(N(T36)*J36*(1-N(K36)),2))</f>
        <v/>
      </c>
    </row>
    <row r="37">
      <c r="A37" s="63" t="inlineStr">
        <is>
          <t>BC-2026-0114</t>
        </is>
      </c>
      <c r="B37" s="64" t="n">
        <v>46322</v>
      </c>
      <c r="C37" s="65" t="inlineStr">
        <is>
          <t>EMB08</t>
        </is>
      </c>
      <c r="D37" s="66" t="str">
        <f>IF(C37="","",IFERROR(INDEX(sup_name,MATCH($C37,sup_code,0))&amp;"","Fournisseur inconnu"))</f>
        <v>Emballages Atlas Sud</v>
      </c>
      <c r="E37" s="63" t="inlineStr">
        <is>
          <t>PAL-EUR</t>
        </is>
      </c>
      <c r="F37" s="66" t="str">
        <f>IF(E37="","",IFERROR(INDEX(art_des,MATCH($E37,art_ref,0))&amp;"","Article inconnu"))</f>
        <v>Palette bois 1200x800</v>
      </c>
      <c r="G37" s="67" t="str">
        <f>IF(E37="","",IFERROR(INDEX(art_unit,MATCH($E37,art_ref,0))&amp;"",""))</f>
        <v>pièce</v>
      </c>
      <c r="H37" s="68" t="n">
        <v>60</v>
      </c>
      <c r="I37" s="69" t="n"/>
      <c r="J37" s="70">
        <f>IF(E37="","",IF(ISNUMBER(I37),I37,IFERROR(IF(ISNUMBER(INDEX(art_price,MATCH($E37,art_ref,0))),INDEX(art_price,MATCH($E37,art_ref,0)),""),"")))</f>
        <v>95.0</v>
      </c>
      <c r="K37" s="71" t="n"/>
      <c r="L37" s="72" t="n"/>
      <c r="M37" s="72">
        <f>IF(E37="","",IF(L37&lt;&gt;"",L37,IFERROR(IF(ISNUMBER(INDEX(art_tva,MATCH($E37,art_ref,0))),INDEX(art_tva,MATCH($E37,art_ref,0)),""),"")))</f>
        <v>0.2</v>
      </c>
      <c r="N37" s="70">
        <f>IF(OR(E37="",J37=""),"",ROUND(N(H37)*J37*(1-N(K37)),2))</f>
        <v>5700.0</v>
      </c>
      <c r="O37" s="70">
        <f>IF(OR(N37="",NOT(ISNUMBER(M37))),"",ROUND(N37*M37,2))</f>
        <v>1140.0</v>
      </c>
      <c r="P37" s="70">
        <f>IF(N37="","",N37+N(O37))</f>
        <v>6840.0</v>
      </c>
      <c r="Q37" s="64" t="n"/>
      <c r="R37" s="73">
        <f>IF(N(Q37)&gt;0,Q37,IF(OR(N(B37)=0,ISNA(MATCH($C37,sup_code,0))),"",IF(ISNUMBER(INDEX(sup_delay,MATCH($C37,sup_code,0))),B37+INDEX(sup_delay,MATCH($C37,sup_code,0)),"")))</f>
        <v>46330.0</v>
      </c>
      <c r="S37" s="64" t="n"/>
      <c r="T37" s="68" t="n"/>
      <c r="U37" s="64" t="n"/>
      <c r="V37" s="65" t="inlineStr">
        <is>
          <t>Oui</t>
        </is>
      </c>
      <c r="W37" s="74">
        <f>IF(AND(A37="",E37=""),"",IF(V37="Oui",0,MAX(0,ROUND(N(H37)-N(T37),6))))</f>
        <v>0.0</v>
      </c>
      <c r="X37" s="67" t="str">
        <f>IF(AND(A37="",E37=""),"",IF(V37="Oui","Annulé",IF(AND(N(H37)&gt;0,N(T37)&gt;=N(H37)),"Reçu",IF(N(S37)=0,"Brouillon",IF(AND(ISNUMBER(R37),R37&lt;p_today),"En retard",IF(N(T37)&gt;0,"Partiel","Envoyé"))))))</f>
        <v>Annulé</v>
      </c>
      <c r="Y37" s="75" t="str">
        <f>IF(X37="En retard",p_today-R37,IF(AND(X37="Reçu",ISNUMBER(R37)),MAX(0,N(U37)-R37),""))</f>
        <v/>
      </c>
      <c r="Z37" s="67" t="str">
        <f>IF(AND(A37="",E37=""),"",IF(A37="","N° de bon manquant",IF(N(B37)=0,"Date de commande manquante",IF(C37="","Fournisseur manquant",IF(ISNA(MATCH($C37,sup_code,0)),"Fournisseur inconnu",IF(E37="","Article manquant",IF(ISNA(MATCH($E37,art_ref,0)),"Article inconnu",IF(N(H37)&lt;=0,"Quantité invalide",IF(J37="","Prix manquant",IF(OR(N(K37)&lt;0,N(K37)&gt;=1),"Remise invalide",IF(M37="","TVA manquante",IF(ISNA(MATCH(M37,p_tva,0)),"Taux de TVA inconnu",IF(COUNTIFS(po_num,A37,po_sup,"&lt;&gt;"&amp;C37)&gt;0,"Fournisseur différent sur ce bon",IF(COUNTIFS(po_num,A37,po_date,"&lt;&gt;"&amp;B37)&gt;0,"Date différente sur ce bon",IF(COUNTIF(po_num,A37)&gt;25,"Plus de 25 lignes sur ce bon",IF(R37="","Date de livraison manquante",IF(R37&lt;B37,"Livraison avant la commande",IF(AND(N(T37)&gt;0,N(S37)=0),"Date d'envoi manquante",IF(N(T37)&gt;N(H37),"Reçu plus que commandé",IF(AND(N(T37)&gt;0,N(U37)=0),"Date de réception manquante",IF(AND(N(U37)&gt;0,U37&lt;B37),"Réception avant la commande","OK")))))))))))))))))))))</f>
        <v>OK</v>
      </c>
      <c r="AA37" s="66" t="str">
        <f>IF(AND(X37="Reçu",ISNUMBER(R37)),IF(N(U37)&lt;=R37,1,0),"")</f>
        <v/>
      </c>
      <c r="AB37" s="76" t="str">
        <f>IF(OR(X37="Envoyé",X37="Partiel",X37="En retard"),IF(ISNUMBER(R37),R37,100000)+ROW()/100000,"")</f>
        <v/>
      </c>
      <c r="AC37" s="66">
        <f>IF(A37="","",IF(COUNTIF($A$6:A37,A37)=1,1,""))</f>
        <v>1.0</v>
      </c>
      <c r="AD37" s="66">
        <f>IF(AC37=1,COUNT($AC$6:AC37),"")</f>
        <v>14.0</v>
      </c>
      <c r="AE37" s="66" t="str">
        <f>IFERROR(INDEX(po_num,MATCH(32,po_seq,0))&amp;"","")</f>
        <v/>
      </c>
      <c r="AF37" s="66" t="str">
        <f>IF(OR(A37="",p_po=""),"",IF(A37&amp;""=p_po,COUNTIF($A$6:A37,A37),""))</f>
        <v/>
      </c>
      <c r="AG37" s="66" t="str">
        <f>IF(OR(AB37="",A37=""),"",IF(COUNTIFS($A$6:A37,A37,$AB$6:AB37,"&gt;0")=1,1,""))</f>
        <v/>
      </c>
      <c r="AH37" s="70" t="str">
        <f>IF(AB37="","",ROUND(N(W37)*N(J37)*(1-N(K37)),2))</f>
        <v/>
      </c>
      <c r="AI37" s="70" t="str">
        <f>IF(OR(J37="",N(T37)&lt;=0,V37="Oui"),"",ROUND(N(T37)*J37*(1-N(K37)),2))</f>
        <v/>
      </c>
    </row>
    <row r="38">
      <c r="A38" s="63" t="inlineStr">
        <is>
          <t>BC-2026-0115</t>
        </is>
      </c>
      <c r="B38" s="64" t="n">
        <v>46323</v>
      </c>
      <c r="C38" s="65" t="inlineStr">
        <is>
          <t>MET01</t>
        </is>
      </c>
      <c r="D38" s="66" t="str">
        <f>IF(C38="","",IFERROR(INDEX(sup_name,MATCH($C38,sup_code,0))&amp;"","Fournisseur inconnu"))</f>
        <v>Métaux Atlas SARL</v>
      </c>
      <c r="E38" s="63" t="inlineStr">
        <is>
          <t>TOL-S235-2</t>
        </is>
      </c>
      <c r="F38" s="66" t="str">
        <f>IF(E38="","",IFERROR(INDEX(art_des,MATCH($E38,art_ref,0))&amp;"","Article inconnu"))</f>
        <v>Tôle acier S235 ép. 2 mm</v>
      </c>
      <c r="G38" s="67" t="str">
        <f>IF(E38="","",IFERROR(INDEX(art_unit,MATCH($E38,art_ref,0))&amp;"",""))</f>
        <v>kg</v>
      </c>
      <c r="H38" s="68" t="n">
        <v>1500</v>
      </c>
      <c r="I38" s="69" t="n"/>
      <c r="J38" s="70">
        <f>IF(E38="","",IF(ISNUMBER(I38),I38,IFERROR(IF(ISNUMBER(INDEX(art_price,MATCH($E38,art_ref,0))),INDEX(art_price,MATCH($E38,art_ref,0)),""),"")))</f>
        <v>11.8</v>
      </c>
      <c r="K38" s="71" t="n">
        <v>0.03</v>
      </c>
      <c r="L38" s="72" t="n"/>
      <c r="M38" s="72">
        <f>IF(E38="","",IF(L38&lt;&gt;"",L38,IFERROR(IF(ISNUMBER(INDEX(art_tva,MATCH($E38,art_ref,0))),INDEX(art_tva,MATCH($E38,art_ref,0)),""),"")))</f>
        <v>0.2</v>
      </c>
      <c r="N38" s="70">
        <f>IF(OR(E38="",J38=""),"",ROUND(N(H38)*J38*(1-N(K38)),2))</f>
        <v>17169.0</v>
      </c>
      <c r="O38" s="70">
        <f>IF(OR(N38="",NOT(ISNUMBER(M38))),"",ROUND(N38*M38,2))</f>
        <v>3433.8</v>
      </c>
      <c r="P38" s="70">
        <f>IF(N38="","",N38+N(O38))</f>
        <v>20602.8</v>
      </c>
      <c r="Q38" s="64" t="n">
        <v>46335</v>
      </c>
      <c r="R38" s="73">
        <f>IF(N(Q38)&gt;0,Q38,IF(OR(N(B38)=0,ISNA(MATCH($C38,sup_code,0))),"",IF(ISNUMBER(INDEX(sup_delay,MATCH($C38,sup_code,0))),B38+INDEX(sup_delay,MATCH($C38,sup_code,0)),"")))</f>
        <v>46335.0</v>
      </c>
      <c r="S38" s="64" t="n">
        <v>46323</v>
      </c>
      <c r="T38" s="68" t="n">
        <v>900</v>
      </c>
      <c r="U38" s="64" t="n">
        <v>46330</v>
      </c>
      <c r="V38" s="65" t="n"/>
      <c r="W38" s="74">
        <f>IF(AND(A38="",E38=""),"",IF(V38="Oui",0,MAX(0,ROUND(N(H38)-N(T38),6))))</f>
        <v>600.0</v>
      </c>
      <c r="X38" s="67" t="str">
        <f>IF(AND(A38="",E38=""),"",IF(V38="Oui","Annulé",IF(AND(N(H38)&gt;0,N(T38)&gt;=N(H38)),"Reçu",IF(N(S38)=0,"Brouillon",IF(AND(ISNUMBER(R38),R38&lt;p_today),"En retard",IF(N(T38)&gt;0,"Partiel","Envoyé"))))))</f>
        <v>Partiel</v>
      </c>
      <c r="Y38" s="75" t="str">
        <f>IF(X38="En retard",p_today-R38,IF(AND(X38="Reçu",ISNUMBER(R38)),MAX(0,N(U38)-R38),""))</f>
        <v/>
      </c>
      <c r="Z38" s="67" t="str">
        <f>IF(AND(A38="",E38=""),"",IF(A38="","N° de bon manquant",IF(N(B38)=0,"Date de commande manquante",IF(C38="","Fournisseur manquant",IF(ISNA(MATCH($C38,sup_code,0)),"Fournisseur inconnu",IF(E38="","Article manquant",IF(ISNA(MATCH($E38,art_ref,0)),"Article inconnu",IF(N(H38)&lt;=0,"Quantité invalide",IF(J38="","Prix manquant",IF(OR(N(K38)&lt;0,N(K38)&gt;=1),"Remise invalide",IF(M38="","TVA manquante",IF(ISNA(MATCH(M38,p_tva,0)),"Taux de TVA inconnu",IF(COUNTIFS(po_num,A38,po_sup,"&lt;&gt;"&amp;C38)&gt;0,"Fournisseur différent sur ce bon",IF(COUNTIFS(po_num,A38,po_date,"&lt;&gt;"&amp;B38)&gt;0,"Date différente sur ce bon",IF(COUNTIF(po_num,A38)&gt;25,"Plus de 25 lignes sur ce bon",IF(R38="","Date de livraison manquante",IF(R38&lt;B38,"Livraison avant la commande",IF(AND(N(T38)&gt;0,N(S38)=0),"Date d'envoi manquante",IF(N(T38)&gt;N(H38),"Reçu plus que commandé",IF(AND(N(T38)&gt;0,N(U38)=0),"Date de réception manquante",IF(AND(N(U38)&gt;0,U38&lt;B38),"Réception avant la commande","OK")))))))))))))))))))))</f>
        <v>OK</v>
      </c>
      <c r="AA38" s="66" t="str">
        <f>IF(AND(X38="Reçu",ISNUMBER(R38)),IF(N(U38)&lt;=R38,1,0),"")</f>
        <v/>
      </c>
      <c r="AB38" s="76">
        <f>IF(OR(X38="Envoyé",X38="Partiel",X38="En retard"),IF(ISNUMBER(R38),R38,100000)+ROW()/100000,"")</f>
        <v>46335.00038</v>
      </c>
      <c r="AC38" s="66">
        <f>IF(A38="","",IF(COUNTIF($A$6:A38,A38)=1,1,""))</f>
        <v>1.0</v>
      </c>
      <c r="AD38" s="66">
        <f>IF(AC38=1,COUNT($AC$6:AC38),"")</f>
        <v>15.0</v>
      </c>
      <c r="AE38" s="66" t="str">
        <f>IFERROR(INDEX(po_num,MATCH(33,po_seq,0))&amp;"","")</f>
        <v/>
      </c>
      <c r="AF38" s="66">
        <f>IF(OR(A38="",p_po=""),"",IF(A38&amp;""=p_po,COUNTIF($A$6:A38,A38),""))</f>
        <v>1.0</v>
      </c>
      <c r="AG38" s="66">
        <f>IF(OR(AB38="",A38=""),"",IF(COUNTIFS($A$6:A38,A38,$AB$6:AB38,"&gt;0")=1,1,""))</f>
        <v>1.0</v>
      </c>
      <c r="AH38" s="70">
        <f>IF(AB38="","",ROUND(N(W38)*N(J38)*(1-N(K38)),2))</f>
        <v>6867.6</v>
      </c>
      <c r="AI38" s="70">
        <f>IF(OR(J38="",N(T38)&lt;=0,V38="Oui"),"",ROUND(N(T38)*J38*(1-N(K38)),2))</f>
        <v>10301.4</v>
      </c>
    </row>
    <row r="39">
      <c r="A39" s="63" t="inlineStr">
        <is>
          <t>BC-2026-0115</t>
        </is>
      </c>
      <c r="B39" s="64" t="n">
        <v>46323</v>
      </c>
      <c r="C39" s="65" t="inlineStr">
        <is>
          <t>MET01</t>
        </is>
      </c>
      <c r="D39" s="66" t="str">
        <f>IF(C39="","",IFERROR(INDEX(sup_name,MATCH($C39,sup_code,0))&amp;"","Fournisseur inconnu"))</f>
        <v>Métaux Atlas SARL</v>
      </c>
      <c r="E39" s="63" t="inlineStr">
        <is>
          <t>ROND-C45-30</t>
        </is>
      </c>
      <c r="F39" s="66" t="str">
        <f>IF(E39="","",IFERROR(INDEX(art_des,MATCH($E39,art_ref,0))&amp;"","Article inconnu"))</f>
        <v>Rond acier C45 Ø30, barre 3 m</v>
      </c>
      <c r="G39" s="67" t="str">
        <f>IF(E39="","",IFERROR(INDEX(art_unit,MATCH($E39,art_ref,0))&amp;"",""))</f>
        <v>barre</v>
      </c>
      <c r="H39" s="68" t="n">
        <v>20</v>
      </c>
      <c r="I39" s="69" t="n"/>
      <c r="J39" s="70">
        <f>IF(E39="","",IF(ISNUMBER(I39),I39,IFERROR(IF(ISNUMBER(INDEX(art_price,MATCH($E39,art_ref,0))),INDEX(art_price,MATCH($E39,art_ref,0)),""),"")))</f>
        <v>285.0</v>
      </c>
      <c r="K39" s="71" t="n">
        <v>0.03</v>
      </c>
      <c r="L39" s="72" t="n"/>
      <c r="M39" s="72">
        <f>IF(E39="","",IF(L39&lt;&gt;"",L39,IFERROR(IF(ISNUMBER(INDEX(art_tva,MATCH($E39,art_ref,0))),INDEX(art_tva,MATCH($E39,art_ref,0)),""),"")))</f>
        <v>0.2</v>
      </c>
      <c r="N39" s="70">
        <f>IF(OR(E39="",J39=""),"",ROUND(N(H39)*J39*(1-N(K39)),2))</f>
        <v>5529.0</v>
      </c>
      <c r="O39" s="70">
        <f>IF(OR(N39="",NOT(ISNUMBER(M39))),"",ROUND(N39*M39,2))</f>
        <v>1105.8</v>
      </c>
      <c r="P39" s="70">
        <f>IF(N39="","",N39+N(O39))</f>
        <v>6634.8</v>
      </c>
      <c r="Q39" s="64" t="n">
        <v>46335</v>
      </c>
      <c r="R39" s="73">
        <f>IF(N(Q39)&gt;0,Q39,IF(OR(N(B39)=0,ISNA(MATCH($C39,sup_code,0))),"",IF(ISNUMBER(INDEX(sup_delay,MATCH($C39,sup_code,0))),B39+INDEX(sup_delay,MATCH($C39,sup_code,0)),"")))</f>
        <v>46335.0</v>
      </c>
      <c r="S39" s="64" t="n">
        <v>46323</v>
      </c>
      <c r="T39" s="68" t="n"/>
      <c r="U39" s="64" t="n"/>
      <c r="V39" s="65" t="n"/>
      <c r="W39" s="74">
        <f>IF(AND(A39="",E39=""),"",IF(V39="Oui",0,MAX(0,ROUND(N(H39)-N(T39),6))))</f>
        <v>20.0</v>
      </c>
      <c r="X39" s="67" t="str">
        <f>IF(AND(A39="",E39=""),"",IF(V39="Oui","Annulé",IF(AND(N(H39)&gt;0,N(T39)&gt;=N(H39)),"Reçu",IF(N(S39)=0,"Brouillon",IF(AND(ISNUMBER(R39),R39&lt;p_today),"En retard",IF(N(T39)&gt;0,"Partiel","Envoyé"))))))</f>
        <v>Envoyé</v>
      </c>
      <c r="Y39" s="75" t="str">
        <f>IF(X39="En retard",p_today-R39,IF(AND(X39="Reçu",ISNUMBER(R39)),MAX(0,N(U39)-R39),""))</f>
        <v/>
      </c>
      <c r="Z39" s="67" t="str">
        <f>IF(AND(A39="",E39=""),"",IF(A39="","N° de bon manquant",IF(N(B39)=0,"Date de commande manquante",IF(C39="","Fournisseur manquant",IF(ISNA(MATCH($C39,sup_code,0)),"Fournisseur inconnu",IF(E39="","Article manquant",IF(ISNA(MATCH($E39,art_ref,0)),"Article inconnu",IF(N(H39)&lt;=0,"Quantité invalide",IF(J39="","Prix manquant",IF(OR(N(K39)&lt;0,N(K39)&gt;=1),"Remise invalide",IF(M39="","TVA manquante",IF(ISNA(MATCH(M39,p_tva,0)),"Taux de TVA inconnu",IF(COUNTIFS(po_num,A39,po_sup,"&lt;&gt;"&amp;C39)&gt;0,"Fournisseur différent sur ce bon",IF(COUNTIFS(po_num,A39,po_date,"&lt;&gt;"&amp;B39)&gt;0,"Date différente sur ce bon",IF(COUNTIF(po_num,A39)&gt;25,"Plus de 25 lignes sur ce bon",IF(R39="","Date de livraison manquante",IF(R39&lt;B39,"Livraison avant la commande",IF(AND(N(T39)&gt;0,N(S39)=0),"Date d'envoi manquante",IF(N(T39)&gt;N(H39),"Reçu plus que commandé",IF(AND(N(T39)&gt;0,N(U39)=0),"Date de réception manquante",IF(AND(N(U39)&gt;0,U39&lt;B39),"Réception avant la commande","OK")))))))))))))))))))))</f>
        <v>OK</v>
      </c>
      <c r="AA39" s="66" t="str">
        <f>IF(AND(X39="Reçu",ISNUMBER(R39)),IF(N(U39)&lt;=R39,1,0),"")</f>
        <v/>
      </c>
      <c r="AB39" s="76">
        <f>IF(OR(X39="Envoyé",X39="Partiel",X39="En retard"),IF(ISNUMBER(R39),R39,100000)+ROW()/100000,"")</f>
        <v>46335.00039</v>
      </c>
      <c r="AC39" s="66" t="str">
        <f>IF(A39="","",IF(COUNTIF($A$6:A39,A39)=1,1,""))</f>
        <v/>
      </c>
      <c r="AD39" s="66" t="str">
        <f>IF(AC39=1,COUNT($AC$6:AC39),"")</f>
        <v/>
      </c>
      <c r="AE39" s="66" t="str">
        <f>IFERROR(INDEX(po_num,MATCH(34,po_seq,0))&amp;"","")</f>
        <v/>
      </c>
      <c r="AF39" s="66">
        <f>IF(OR(A39="",p_po=""),"",IF(A39&amp;""=p_po,COUNTIF($A$6:A39,A39),""))</f>
        <v>2.0</v>
      </c>
      <c r="AG39" s="66" t="str">
        <f>IF(OR(AB39="",A39=""),"",IF(COUNTIFS($A$6:A39,A39,$AB$6:AB39,"&gt;0")=1,1,""))</f>
        <v/>
      </c>
      <c r="AH39" s="70">
        <f>IF(AB39="","",ROUND(N(W39)*N(J39)*(1-N(K39)),2))</f>
        <v>5529.0</v>
      </c>
      <c r="AI39" s="70" t="str">
        <f>IF(OR(J39="",N(T39)&lt;=0,V39="Oui"),"",ROUND(N(T39)*J39*(1-N(K39)),2))</f>
        <v/>
      </c>
    </row>
    <row r="40">
      <c r="A40" s="63" t="inlineStr">
        <is>
          <t>BC-2026-0115</t>
        </is>
      </c>
      <c r="B40" s="64" t="n">
        <v>46323</v>
      </c>
      <c r="C40" s="65" t="inlineStr">
        <is>
          <t>MET01</t>
        </is>
      </c>
      <c r="D40" s="66" t="str">
        <f>IF(C40="","",IFERROR(INDEX(sup_name,MATCH($C40,sup_code,0))&amp;"","Fournisseur inconnu"))</f>
        <v>Métaux Atlas SARL</v>
      </c>
      <c r="E40" s="63" t="inlineStr">
        <is>
          <t>TRANS-CASA</t>
        </is>
      </c>
      <c r="F40" s="66" t="str">
        <f>IF(E40="","",IFERROR(INDEX(art_des,MATCH($E40,art_ref,0))&amp;"","Article inconnu"))</f>
        <v>Transport Casablanca, camion 3,5 t</v>
      </c>
      <c r="G40" s="67" t="str">
        <f>IF(E40="","",IFERROR(INDEX(art_unit,MATCH($E40,art_ref,0))&amp;"",""))</f>
        <v>voyage</v>
      </c>
      <c r="H40" s="68" t="n">
        <v>1</v>
      </c>
      <c r="I40" s="69" t="n">
        <v>650</v>
      </c>
      <c r="J40" s="70">
        <f>IF(E40="","",IF(ISNUMBER(I40),I40,IFERROR(IF(ISNUMBER(INDEX(art_price,MATCH($E40,art_ref,0))),INDEX(art_price,MATCH($E40,art_ref,0)),""),"")))</f>
        <v>650.0</v>
      </c>
      <c r="K40" s="71" t="n"/>
      <c r="L40" s="72" t="n"/>
      <c r="M40" s="72">
        <f>IF(E40="","",IF(L40&lt;&gt;"",L40,IFERROR(IF(ISNUMBER(INDEX(art_tva,MATCH($E40,art_ref,0))),INDEX(art_tva,MATCH($E40,art_ref,0)),""),"")))</f>
        <v>0.14</v>
      </c>
      <c r="N40" s="70">
        <f>IF(OR(E40="",J40=""),"",ROUND(N(H40)*J40*(1-N(K40)),2))</f>
        <v>650.0</v>
      </c>
      <c r="O40" s="70">
        <f>IF(OR(N40="",NOT(ISNUMBER(M40))),"",ROUND(N40*M40,2))</f>
        <v>91.0</v>
      </c>
      <c r="P40" s="70">
        <f>IF(N40="","",N40+N(O40))</f>
        <v>741.0</v>
      </c>
      <c r="Q40" s="64" t="n">
        <v>46335</v>
      </c>
      <c r="R40" s="73">
        <f>IF(N(Q40)&gt;0,Q40,IF(OR(N(B40)=0,ISNA(MATCH($C40,sup_code,0))),"",IF(ISNUMBER(INDEX(sup_delay,MATCH($C40,sup_code,0))),B40+INDEX(sup_delay,MATCH($C40,sup_code,0)),"")))</f>
        <v>46335.0</v>
      </c>
      <c r="S40" s="64" t="n">
        <v>46323</v>
      </c>
      <c r="T40" s="68" t="n"/>
      <c r="U40" s="64" t="n"/>
      <c r="V40" s="65" t="n"/>
      <c r="W40" s="74">
        <f>IF(AND(A40="",E40=""),"",IF(V40="Oui",0,MAX(0,ROUND(N(H40)-N(T40),6))))</f>
        <v>1.0</v>
      </c>
      <c r="X40" s="67" t="str">
        <f>IF(AND(A40="",E40=""),"",IF(V40="Oui","Annulé",IF(AND(N(H40)&gt;0,N(T40)&gt;=N(H40)),"Reçu",IF(N(S40)=0,"Brouillon",IF(AND(ISNUMBER(R40),R40&lt;p_today),"En retard",IF(N(T40)&gt;0,"Partiel","Envoyé"))))))</f>
        <v>Envoyé</v>
      </c>
      <c r="Y40" s="75" t="str">
        <f>IF(X40="En retard",p_today-R40,IF(AND(X40="Reçu",ISNUMBER(R40)),MAX(0,N(U40)-R40),""))</f>
        <v/>
      </c>
      <c r="Z40" s="67" t="str">
        <f>IF(AND(A40="",E40=""),"",IF(A40="","N° de bon manquant",IF(N(B40)=0,"Date de commande manquante",IF(C40="","Fournisseur manquant",IF(ISNA(MATCH($C40,sup_code,0)),"Fournisseur inconnu",IF(E40="","Article manquant",IF(ISNA(MATCH($E40,art_ref,0)),"Article inconnu",IF(N(H40)&lt;=0,"Quantité invalide",IF(J40="","Prix manquant",IF(OR(N(K40)&lt;0,N(K40)&gt;=1),"Remise invalide",IF(M40="","TVA manquante",IF(ISNA(MATCH(M40,p_tva,0)),"Taux de TVA inconnu",IF(COUNTIFS(po_num,A40,po_sup,"&lt;&gt;"&amp;C40)&gt;0,"Fournisseur différent sur ce bon",IF(COUNTIFS(po_num,A40,po_date,"&lt;&gt;"&amp;B40)&gt;0,"Date différente sur ce bon",IF(COUNTIF(po_num,A40)&gt;25,"Plus de 25 lignes sur ce bon",IF(R40="","Date de livraison manquante",IF(R40&lt;B40,"Livraison avant la commande",IF(AND(N(T40)&gt;0,N(S40)=0),"Date d'envoi manquante",IF(N(T40)&gt;N(H40),"Reçu plus que commandé",IF(AND(N(T40)&gt;0,N(U40)=0),"Date de réception manquante",IF(AND(N(U40)&gt;0,U40&lt;B40),"Réception avant la commande","OK")))))))))))))))))))))</f>
        <v>OK</v>
      </c>
      <c r="AA40" s="66" t="str">
        <f>IF(AND(X40="Reçu",ISNUMBER(R40)),IF(N(U40)&lt;=R40,1,0),"")</f>
        <v/>
      </c>
      <c r="AB40" s="76">
        <f>IF(OR(X40="Envoyé",X40="Partiel",X40="En retard"),IF(ISNUMBER(R40),R40,100000)+ROW()/100000,"")</f>
        <v>46335.0004</v>
      </c>
      <c r="AC40" s="66" t="str">
        <f>IF(A40="","",IF(COUNTIF($A$6:A40,A40)=1,1,""))</f>
        <v/>
      </c>
      <c r="AD40" s="66" t="str">
        <f>IF(AC40=1,COUNT($AC$6:AC40),"")</f>
        <v/>
      </c>
      <c r="AE40" s="66" t="str">
        <f>IFERROR(INDEX(po_num,MATCH(35,po_seq,0))&amp;"","")</f>
        <v/>
      </c>
      <c r="AF40" s="66">
        <f>IF(OR(A40="",p_po=""),"",IF(A40&amp;""=p_po,COUNTIF($A$6:A40,A40),""))</f>
        <v>3.0</v>
      </c>
      <c r="AG40" s="66" t="str">
        <f>IF(OR(AB40="",A40=""),"",IF(COUNTIFS($A$6:A40,A40,$AB$6:AB40,"&gt;0")=1,1,""))</f>
        <v/>
      </c>
      <c r="AH40" s="70">
        <f>IF(AB40="","",ROUND(N(W40)*N(J40)*(1-N(K40)),2))</f>
        <v>650.0</v>
      </c>
      <c r="AI40" s="70" t="str">
        <f>IF(OR(J40="",N(T40)&lt;=0,V40="Oui"),"",ROUND(N(T40)*J40*(1-N(K40)),2))</f>
        <v/>
      </c>
    </row>
    <row r="41">
      <c r="A41" s="63" t="inlineStr">
        <is>
          <t>BC-2026-0116</t>
        </is>
      </c>
      <c r="B41" s="64" t="n">
        <v>46328</v>
      </c>
      <c r="C41" s="65" t="inlineStr">
        <is>
          <t>PEI06</t>
        </is>
      </c>
      <c r="D41" s="66" t="str">
        <f>IF(C41="","",IFERROR(INDEX(sup_name,MATCH($C41,sup_code,0))&amp;"","Fournisseur inconnu"))</f>
        <v>Peintures Oasis Industrie</v>
      </c>
      <c r="E41" s="63" t="inlineStr">
        <is>
          <t>PEI-EPO-GR</t>
        </is>
      </c>
      <c r="F41" s="66" t="str">
        <f>IF(E41="","",IFERROR(INDEX(art_des,MATCH($E41,art_ref,0))&amp;"","Article inconnu"))</f>
        <v>Peinture époxy gris RAL 7016</v>
      </c>
      <c r="G41" s="67" t="str">
        <f>IF(E41="","",IFERROR(INDEX(art_unit,MATCH($E41,art_ref,0))&amp;"",""))</f>
        <v>kg</v>
      </c>
      <c r="H41" s="68" t="n">
        <v>150</v>
      </c>
      <c r="I41" s="69" t="n"/>
      <c r="J41" s="70">
        <f>IF(E41="","",IF(ISNUMBER(I41),I41,IFERROR(IF(ISNUMBER(INDEX(art_price,MATCH($E41,art_ref,0))),INDEX(art_price,MATCH($E41,art_ref,0)),""),"")))</f>
        <v>92.0</v>
      </c>
      <c r="K41" s="71" t="n"/>
      <c r="L41" s="72" t="n"/>
      <c r="M41" s="72">
        <f>IF(E41="","",IF(L41&lt;&gt;"",L41,IFERROR(IF(ISNUMBER(INDEX(art_tva,MATCH($E41,art_ref,0))),INDEX(art_tva,MATCH($E41,art_ref,0)),""),"")))</f>
        <v>0.2</v>
      </c>
      <c r="N41" s="70">
        <f>IF(OR(E41="",J41=""),"",ROUND(N(H41)*J41*(1-N(K41)),2))</f>
        <v>13800.0</v>
      </c>
      <c r="O41" s="70">
        <f>IF(OR(N41="",NOT(ISNUMBER(M41))),"",ROUND(N41*M41,2))</f>
        <v>2760.0</v>
      </c>
      <c r="P41" s="70">
        <f>IF(N41="","",N41+N(O41))</f>
        <v>16560.0</v>
      </c>
      <c r="Q41" s="64" t="n"/>
      <c r="R41" s="73">
        <f>IF(N(Q41)&gt;0,Q41,IF(OR(N(B41)=0,ISNA(MATCH($C41,sup_code,0))),"",IF(ISNUMBER(INDEX(sup_delay,MATCH($C41,sup_code,0))),B41+INDEX(sup_delay,MATCH($C41,sup_code,0)),"")))</f>
        <v>46340.0</v>
      </c>
      <c r="S41" s="64" t="n">
        <v>46329</v>
      </c>
      <c r="T41" s="68" t="n"/>
      <c r="U41" s="64" t="n"/>
      <c r="V41" s="65" t="n"/>
      <c r="W41" s="74">
        <f>IF(AND(A41="",E41=""),"",IF(V41="Oui",0,MAX(0,ROUND(N(H41)-N(T41),6))))</f>
        <v>150.0</v>
      </c>
      <c r="X41" s="67" t="str">
        <f>IF(AND(A41="",E41=""),"",IF(V41="Oui","Annulé",IF(AND(N(H41)&gt;0,N(T41)&gt;=N(H41)),"Reçu",IF(N(S41)=0,"Brouillon",IF(AND(ISNUMBER(R41),R41&lt;p_today),"En retard",IF(N(T41)&gt;0,"Partiel","Envoyé"))))))</f>
        <v>Envoyé</v>
      </c>
      <c r="Y41" s="75" t="str">
        <f>IF(X41="En retard",p_today-R41,IF(AND(X41="Reçu",ISNUMBER(R41)),MAX(0,N(U41)-R41),""))</f>
        <v/>
      </c>
      <c r="Z41" s="67" t="str">
        <f>IF(AND(A41="",E41=""),"",IF(A41="","N° de bon manquant",IF(N(B41)=0,"Date de commande manquante",IF(C41="","Fournisseur manquant",IF(ISNA(MATCH($C41,sup_code,0)),"Fournisseur inconnu",IF(E41="","Article manquant",IF(ISNA(MATCH($E41,art_ref,0)),"Article inconnu",IF(N(H41)&lt;=0,"Quantité invalide",IF(J41="","Prix manquant",IF(OR(N(K41)&lt;0,N(K41)&gt;=1),"Remise invalide",IF(M41="","TVA manquante",IF(ISNA(MATCH(M41,p_tva,0)),"Taux de TVA inconnu",IF(COUNTIFS(po_num,A41,po_sup,"&lt;&gt;"&amp;C41)&gt;0,"Fournisseur différent sur ce bon",IF(COUNTIFS(po_num,A41,po_date,"&lt;&gt;"&amp;B41)&gt;0,"Date différente sur ce bon",IF(COUNTIF(po_num,A41)&gt;25,"Plus de 25 lignes sur ce bon",IF(R41="","Date de livraison manquante",IF(R41&lt;B41,"Livraison avant la commande",IF(AND(N(T41)&gt;0,N(S41)=0),"Date d'envoi manquante",IF(N(T41)&gt;N(H41),"Reçu plus que commandé",IF(AND(N(T41)&gt;0,N(U41)=0),"Date de réception manquante",IF(AND(N(U41)&gt;0,U41&lt;B41),"Réception avant la commande","OK")))))))))))))))))))))</f>
        <v>OK</v>
      </c>
      <c r="AA41" s="66" t="str">
        <f>IF(AND(X41="Reçu",ISNUMBER(R41)),IF(N(U41)&lt;=R41,1,0),"")</f>
        <v/>
      </c>
      <c r="AB41" s="76">
        <f>IF(OR(X41="Envoyé",X41="Partiel",X41="En retard"),IF(ISNUMBER(R41),R41,100000)+ROW()/100000,"")</f>
        <v>46340.00041</v>
      </c>
      <c r="AC41" s="66">
        <f>IF(A41="","",IF(COUNTIF($A$6:A41,A41)=1,1,""))</f>
        <v>1.0</v>
      </c>
      <c r="AD41" s="66">
        <f>IF(AC41=1,COUNT($AC$6:AC41),"")</f>
        <v>16.0</v>
      </c>
      <c r="AE41" s="66" t="str">
        <f>IFERROR(INDEX(po_num,MATCH(36,po_seq,0))&amp;"","")</f>
        <v/>
      </c>
      <c r="AF41" s="66" t="str">
        <f>IF(OR(A41="",p_po=""),"",IF(A41&amp;""=p_po,COUNTIF($A$6:A41,A41),""))</f>
        <v/>
      </c>
      <c r="AG41" s="66">
        <f>IF(OR(AB41="",A41=""),"",IF(COUNTIFS($A$6:A41,A41,$AB$6:AB41,"&gt;0")=1,1,""))</f>
        <v>1.0</v>
      </c>
      <c r="AH41" s="70">
        <f>IF(AB41="","",ROUND(N(W41)*N(J41)*(1-N(K41)),2))</f>
        <v>13800.0</v>
      </c>
      <c r="AI41" s="70" t="str">
        <f>IF(OR(J41="",N(T41)&lt;=0,V41="Oui"),"",ROUND(N(T41)*J41*(1-N(K41)),2))</f>
        <v/>
      </c>
    </row>
    <row r="42">
      <c r="A42" s="63" t="inlineStr">
        <is>
          <t>BC-2026-0116</t>
        </is>
      </c>
      <c r="B42" s="64" t="n">
        <v>46328</v>
      </c>
      <c r="C42" s="65" t="inlineStr">
        <is>
          <t>PEI06</t>
        </is>
      </c>
      <c r="D42" s="66" t="str">
        <f>IF(C42="","",IFERROR(INDEX(sup_name,MATCH($C42,sup_code,0))&amp;"","Fournisseur inconnu"))</f>
        <v>Peintures Oasis Industrie</v>
      </c>
      <c r="E42" s="63" t="inlineStr">
        <is>
          <t>DIL-EPO</t>
        </is>
      </c>
      <c r="F42" s="66" t="str">
        <f>IF(E42="","",IFERROR(INDEX(art_des,MATCH($E42,art_ref,0))&amp;"","Article inconnu"))</f>
        <v>Diluant époxy</v>
      </c>
      <c r="G42" s="67" t="str">
        <f>IF(E42="","",IFERROR(INDEX(art_unit,MATCH($E42,art_ref,0))&amp;"",""))</f>
        <v>litre</v>
      </c>
      <c r="H42" s="68" t="n">
        <v>50</v>
      </c>
      <c r="I42" s="69" t="n"/>
      <c r="J42" s="70">
        <f>IF(E42="","",IF(ISNUMBER(I42),I42,IFERROR(IF(ISNUMBER(INDEX(art_price,MATCH($E42,art_ref,0))),INDEX(art_price,MATCH($E42,art_ref,0)),""),"")))</f>
        <v>38.0</v>
      </c>
      <c r="K42" s="71" t="n"/>
      <c r="L42" s="72" t="n"/>
      <c r="M42" s="72">
        <f>IF(E42="","",IF(L42&lt;&gt;"",L42,IFERROR(IF(ISNUMBER(INDEX(art_tva,MATCH($E42,art_ref,0))),INDEX(art_tva,MATCH($E42,art_ref,0)),""),"")))</f>
        <v>0.2</v>
      </c>
      <c r="N42" s="70">
        <f>IF(OR(E42="",J42=""),"",ROUND(N(H42)*J42*(1-N(K42)),2))</f>
        <v>1900.0</v>
      </c>
      <c r="O42" s="70">
        <f>IF(OR(N42="",NOT(ISNUMBER(M42))),"",ROUND(N42*M42,2))</f>
        <v>380.0</v>
      </c>
      <c r="P42" s="70">
        <f>IF(N42="","",N42+N(O42))</f>
        <v>2280.0</v>
      </c>
      <c r="Q42" s="64" t="n"/>
      <c r="R42" s="73">
        <f>IF(N(Q42)&gt;0,Q42,IF(OR(N(B42)=0,ISNA(MATCH($C42,sup_code,0))),"",IF(ISNUMBER(INDEX(sup_delay,MATCH($C42,sup_code,0))),B42+INDEX(sup_delay,MATCH($C42,sup_code,0)),"")))</f>
        <v>46340.0</v>
      </c>
      <c r="S42" s="64" t="n">
        <v>46329</v>
      </c>
      <c r="T42" s="68" t="n"/>
      <c r="U42" s="64" t="n"/>
      <c r="V42" s="65" t="n"/>
      <c r="W42" s="74">
        <f>IF(AND(A42="",E42=""),"",IF(V42="Oui",0,MAX(0,ROUND(N(H42)-N(T42),6))))</f>
        <v>50.0</v>
      </c>
      <c r="X42" s="67" t="str">
        <f>IF(AND(A42="",E42=""),"",IF(V42="Oui","Annulé",IF(AND(N(H42)&gt;0,N(T42)&gt;=N(H42)),"Reçu",IF(N(S42)=0,"Brouillon",IF(AND(ISNUMBER(R42),R42&lt;p_today),"En retard",IF(N(T42)&gt;0,"Partiel","Envoyé"))))))</f>
        <v>Envoyé</v>
      </c>
      <c r="Y42" s="75" t="str">
        <f>IF(X42="En retard",p_today-R42,IF(AND(X42="Reçu",ISNUMBER(R42)),MAX(0,N(U42)-R42),""))</f>
        <v/>
      </c>
      <c r="Z42" s="67" t="str">
        <f>IF(AND(A42="",E42=""),"",IF(A42="","N° de bon manquant",IF(N(B42)=0,"Date de commande manquante",IF(C42="","Fournisseur manquant",IF(ISNA(MATCH($C42,sup_code,0)),"Fournisseur inconnu",IF(E42="","Article manquant",IF(ISNA(MATCH($E42,art_ref,0)),"Article inconnu",IF(N(H42)&lt;=0,"Quantité invalide",IF(J42="","Prix manquant",IF(OR(N(K42)&lt;0,N(K42)&gt;=1),"Remise invalide",IF(M42="","TVA manquante",IF(ISNA(MATCH(M42,p_tva,0)),"Taux de TVA inconnu",IF(COUNTIFS(po_num,A42,po_sup,"&lt;&gt;"&amp;C42)&gt;0,"Fournisseur différent sur ce bon",IF(COUNTIFS(po_num,A42,po_date,"&lt;&gt;"&amp;B42)&gt;0,"Date différente sur ce bon",IF(COUNTIF(po_num,A42)&gt;25,"Plus de 25 lignes sur ce bon",IF(R42="","Date de livraison manquante",IF(R42&lt;B42,"Livraison avant la commande",IF(AND(N(T42)&gt;0,N(S42)=0),"Date d'envoi manquante",IF(N(T42)&gt;N(H42),"Reçu plus que commandé",IF(AND(N(T42)&gt;0,N(U42)=0),"Date de réception manquante",IF(AND(N(U42)&gt;0,U42&lt;B42),"Réception avant la commande","OK")))))))))))))))))))))</f>
        <v>OK</v>
      </c>
      <c r="AA42" s="66" t="str">
        <f>IF(AND(X42="Reçu",ISNUMBER(R42)),IF(N(U42)&lt;=R42,1,0),"")</f>
        <v/>
      </c>
      <c r="AB42" s="76">
        <f>IF(OR(X42="Envoyé",X42="Partiel",X42="En retard"),IF(ISNUMBER(R42),R42,100000)+ROW()/100000,"")</f>
        <v>46340.00042</v>
      </c>
      <c r="AC42" s="66" t="str">
        <f>IF(A42="","",IF(COUNTIF($A$6:A42,A42)=1,1,""))</f>
        <v/>
      </c>
      <c r="AD42" s="66" t="str">
        <f>IF(AC42=1,COUNT($AC$6:AC42),"")</f>
        <v/>
      </c>
      <c r="AE42" s="66" t="str">
        <f>IFERROR(INDEX(po_num,MATCH(37,po_seq,0))&amp;"","")</f>
        <v/>
      </c>
      <c r="AF42" s="66" t="str">
        <f>IF(OR(A42="",p_po=""),"",IF(A42&amp;""=p_po,COUNTIF($A$6:A42,A42),""))</f>
        <v/>
      </c>
      <c r="AG42" s="66" t="str">
        <f>IF(OR(AB42="",A42=""),"",IF(COUNTIFS($A$6:A42,A42,$AB$6:AB42,"&gt;0")=1,1,""))</f>
        <v/>
      </c>
      <c r="AH42" s="70">
        <f>IF(AB42="","",ROUND(N(W42)*N(J42)*(1-N(K42)),2))</f>
        <v>1900.0</v>
      </c>
      <c r="AI42" s="70" t="str">
        <f>IF(OR(J42="",N(T42)&lt;=0,V42="Oui"),"",ROUND(N(T42)*J42*(1-N(K42)),2))</f>
        <v/>
      </c>
    </row>
    <row r="43">
      <c r="A43" s="63" t="inlineStr">
        <is>
          <t>BC-2026-0117</t>
        </is>
      </c>
      <c r="B43" s="64" t="n">
        <v>46329</v>
      </c>
      <c r="C43" s="65" t="inlineStr">
        <is>
          <t>OUT07</t>
        </is>
      </c>
      <c r="D43" s="66" t="str">
        <f>IF(C43="","",IFERROR(INDEX(sup_name,MATCH($C43,sup_code,0))&amp;"","Fournisseur inconnu"))</f>
        <v>Outillage Médina Pro</v>
      </c>
      <c r="E43" s="63" t="inlineStr">
        <is>
          <t>PLA-CNMG</t>
        </is>
      </c>
      <c r="F43" s="66" t="str">
        <f>IF(E43="","",IFERROR(INDEX(art_des,MATCH($E43,art_ref,0))&amp;"","Article inconnu"))</f>
        <v>Plaquette carbure CNMG 120408</v>
      </c>
      <c r="G43" s="67" t="str">
        <f>IF(E43="","",IFERROR(INDEX(art_unit,MATCH($E43,art_ref,0))&amp;"",""))</f>
        <v>pièce</v>
      </c>
      <c r="H43" s="68" t="n">
        <v>100</v>
      </c>
      <c r="I43" s="69" t="n">
        <v>55</v>
      </c>
      <c r="J43" s="70">
        <f>IF(E43="","",IF(ISNUMBER(I43),I43,IFERROR(IF(ISNUMBER(INDEX(art_price,MATCH($E43,art_ref,0))),INDEX(art_price,MATCH($E43,art_ref,0)),""),"")))</f>
        <v>55.0</v>
      </c>
      <c r="K43" s="71" t="n"/>
      <c r="L43" s="72" t="n"/>
      <c r="M43" s="72">
        <f>IF(E43="","",IF(L43&lt;&gt;"",L43,IFERROR(IF(ISNUMBER(INDEX(art_tva,MATCH($E43,art_ref,0))),INDEX(art_tva,MATCH($E43,art_ref,0)),""),"")))</f>
        <v>0.2</v>
      </c>
      <c r="N43" s="70">
        <f>IF(OR(E43="",J43=""),"",ROUND(N(H43)*J43*(1-N(K43)),2))</f>
        <v>5500.0</v>
      </c>
      <c r="O43" s="70">
        <f>IF(OR(N43="",NOT(ISNUMBER(M43))),"",ROUND(N43*M43,2))</f>
        <v>1100.0</v>
      </c>
      <c r="P43" s="70">
        <f>IF(N43="","",N43+N(O43))</f>
        <v>6600.0</v>
      </c>
      <c r="Q43" s="64" t="n">
        <v>46331</v>
      </c>
      <c r="R43" s="73">
        <f>IF(N(Q43)&gt;0,Q43,IF(OR(N(B43)=0,ISNA(MATCH($C43,sup_code,0))),"",IF(ISNUMBER(INDEX(sup_delay,MATCH($C43,sup_code,0))),B43+INDEX(sup_delay,MATCH($C43,sup_code,0)),"")))</f>
        <v>46331.0</v>
      </c>
      <c r="S43" s="64" t="n">
        <v>46329</v>
      </c>
      <c r="T43" s="68" t="n"/>
      <c r="U43" s="64" t="n"/>
      <c r="V43" s="65" t="n"/>
      <c r="W43" s="74">
        <f>IF(AND(A43="",E43=""),"",IF(V43="Oui",0,MAX(0,ROUND(N(H43)-N(T43),6))))</f>
        <v>100.0</v>
      </c>
      <c r="X43" s="67" t="str">
        <f>IF(AND(A43="",E43=""),"",IF(V43="Oui","Annulé",IF(AND(N(H43)&gt;0,N(T43)&gt;=N(H43)),"Reçu",IF(N(S43)=0,"Brouillon",IF(AND(ISNUMBER(R43),R43&lt;p_today),"En retard",IF(N(T43)&gt;0,"Partiel","Envoyé"))))))</f>
        <v>Envoyé</v>
      </c>
      <c r="Y43" s="75" t="str">
        <f>IF(X43="En retard",p_today-R43,IF(AND(X43="Reçu",ISNUMBER(R43)),MAX(0,N(U43)-R43),""))</f>
        <v/>
      </c>
      <c r="Z43" s="67" t="str">
        <f>IF(AND(A43="",E43=""),"",IF(A43="","N° de bon manquant",IF(N(B43)=0,"Date de commande manquante",IF(C43="","Fournisseur manquant",IF(ISNA(MATCH($C43,sup_code,0)),"Fournisseur inconnu",IF(E43="","Article manquant",IF(ISNA(MATCH($E43,art_ref,0)),"Article inconnu",IF(N(H43)&lt;=0,"Quantité invalide",IF(J43="","Prix manquant",IF(OR(N(K43)&lt;0,N(K43)&gt;=1),"Remise invalide",IF(M43="","TVA manquante",IF(ISNA(MATCH(M43,p_tva,0)),"Taux de TVA inconnu",IF(COUNTIFS(po_num,A43,po_sup,"&lt;&gt;"&amp;C43)&gt;0,"Fournisseur différent sur ce bon",IF(COUNTIFS(po_num,A43,po_date,"&lt;&gt;"&amp;B43)&gt;0,"Date différente sur ce bon",IF(COUNTIF(po_num,A43)&gt;25,"Plus de 25 lignes sur ce bon",IF(R43="","Date de livraison manquante",IF(R43&lt;B43,"Livraison avant la commande",IF(AND(N(T43)&gt;0,N(S43)=0),"Date d'envoi manquante",IF(N(T43)&gt;N(H43),"Reçu plus que commandé",IF(AND(N(T43)&gt;0,N(U43)=0),"Date de réception manquante",IF(AND(N(U43)&gt;0,U43&lt;B43),"Réception avant la commande","OK")))))))))))))))))))))</f>
        <v>OK</v>
      </c>
      <c r="AA43" s="66" t="str">
        <f>IF(AND(X43="Reçu",ISNUMBER(R43)),IF(N(U43)&lt;=R43,1,0),"")</f>
        <v/>
      </c>
      <c r="AB43" s="76">
        <f>IF(OR(X43="Envoyé",X43="Partiel",X43="En retard"),IF(ISNUMBER(R43),R43,100000)+ROW()/100000,"")</f>
        <v>46331.00043</v>
      </c>
      <c r="AC43" s="66">
        <f>IF(A43="","",IF(COUNTIF($A$6:A43,A43)=1,1,""))</f>
        <v>1.0</v>
      </c>
      <c r="AD43" s="66">
        <f>IF(AC43=1,COUNT($AC$6:AC43),"")</f>
        <v>17.0</v>
      </c>
      <c r="AE43" s="66" t="str">
        <f>IFERROR(INDEX(po_num,MATCH(38,po_seq,0))&amp;"","")</f>
        <v/>
      </c>
      <c r="AF43" s="66" t="str">
        <f>IF(OR(A43="",p_po=""),"",IF(A43&amp;""=p_po,COUNTIF($A$6:A43,A43),""))</f>
        <v/>
      </c>
      <c r="AG43" s="66">
        <f>IF(OR(AB43="",A43=""),"",IF(COUNTIFS($A$6:A43,A43,$AB$6:AB43,"&gt;0")=1,1,""))</f>
        <v>1.0</v>
      </c>
      <c r="AH43" s="70">
        <f>IF(AB43="","",ROUND(N(W43)*N(J43)*(1-N(K43)),2))</f>
        <v>5500.0</v>
      </c>
      <c r="AI43" s="70" t="str">
        <f>IF(OR(J43="",N(T43)&lt;=0,V43="Oui"),"",ROUND(N(T43)*J43*(1-N(K43)),2))</f>
        <v/>
      </c>
    </row>
    <row r="44">
      <c r="A44" s="63" t="inlineStr">
        <is>
          <t>BC-2026-0117</t>
        </is>
      </c>
      <c r="B44" s="64" t="n">
        <v>46329</v>
      </c>
      <c r="C44" s="65" t="inlineStr">
        <is>
          <t>OUT07</t>
        </is>
      </c>
      <c r="D44" s="66" t="str">
        <f>IF(C44="","",IFERROR(INDEX(sup_name,MATCH($C44,sup_code,0))&amp;"","Fournisseur inconnu"))</f>
        <v>Outillage Médina Pro</v>
      </c>
      <c r="E44" s="63" t="inlineStr">
        <is>
          <t>FOR-HSS-8</t>
        </is>
      </c>
      <c r="F44" s="66" t="str">
        <f>IF(E44="","",IFERROR(INDEX(art_des,MATCH($E44,art_ref,0))&amp;"","Article inconnu"))</f>
        <v>Foret HSS Ø8 mm</v>
      </c>
      <c r="G44" s="67" t="str">
        <f>IF(E44="","",IFERROR(INDEX(art_unit,MATCH($E44,art_ref,0))&amp;"",""))</f>
        <v>pièce</v>
      </c>
      <c r="H44" s="68" t="n">
        <v>30</v>
      </c>
      <c r="I44" s="69" t="n"/>
      <c r="J44" s="70">
        <f>IF(E44="","",IF(ISNUMBER(I44),I44,IFERROR(IF(ISNUMBER(INDEX(art_price,MATCH($E44,art_ref,0))),INDEX(art_price,MATCH($E44,art_ref,0)),""),"")))</f>
        <v>24.0</v>
      </c>
      <c r="K44" s="71" t="n"/>
      <c r="L44" s="72" t="n"/>
      <c r="M44" s="72">
        <f>IF(E44="","",IF(L44&lt;&gt;"",L44,IFERROR(IF(ISNUMBER(INDEX(art_tva,MATCH($E44,art_ref,0))),INDEX(art_tva,MATCH($E44,art_ref,0)),""),"")))</f>
        <v>0.2</v>
      </c>
      <c r="N44" s="70">
        <f>IF(OR(E44="",J44=""),"",ROUND(N(H44)*J44*(1-N(K44)),2))</f>
        <v>720.0</v>
      </c>
      <c r="O44" s="70">
        <f>IF(OR(N44="",NOT(ISNUMBER(M44))),"",ROUND(N44*M44,2))</f>
        <v>144.0</v>
      </c>
      <c r="P44" s="70">
        <f>IF(N44="","",N44+N(O44))</f>
        <v>864.0</v>
      </c>
      <c r="Q44" s="64" t="n">
        <v>46331</v>
      </c>
      <c r="R44" s="73">
        <f>IF(N(Q44)&gt;0,Q44,IF(OR(N(B44)=0,ISNA(MATCH($C44,sup_code,0))),"",IF(ISNUMBER(INDEX(sup_delay,MATCH($C44,sup_code,0))),B44+INDEX(sup_delay,MATCH($C44,sup_code,0)),"")))</f>
        <v>46331.0</v>
      </c>
      <c r="S44" s="64" t="n">
        <v>46329</v>
      </c>
      <c r="T44" s="68" t="n"/>
      <c r="U44" s="64" t="n"/>
      <c r="V44" s="65" t="n"/>
      <c r="W44" s="74">
        <f>IF(AND(A44="",E44=""),"",IF(V44="Oui",0,MAX(0,ROUND(N(H44)-N(T44),6))))</f>
        <v>30.0</v>
      </c>
      <c r="X44" s="67" t="str">
        <f>IF(AND(A44="",E44=""),"",IF(V44="Oui","Annulé",IF(AND(N(H44)&gt;0,N(T44)&gt;=N(H44)),"Reçu",IF(N(S44)=0,"Brouillon",IF(AND(ISNUMBER(R44),R44&lt;p_today),"En retard",IF(N(T44)&gt;0,"Partiel","Envoyé"))))))</f>
        <v>Envoyé</v>
      </c>
      <c r="Y44" s="75" t="str">
        <f>IF(X44="En retard",p_today-R44,IF(AND(X44="Reçu",ISNUMBER(R44)),MAX(0,N(U44)-R44),""))</f>
        <v/>
      </c>
      <c r="Z44" s="67" t="str">
        <f>IF(AND(A44="",E44=""),"",IF(A44="","N° de bon manquant",IF(N(B44)=0,"Date de commande manquante",IF(C44="","Fournisseur manquant",IF(ISNA(MATCH($C44,sup_code,0)),"Fournisseur inconnu",IF(E44="","Article manquant",IF(ISNA(MATCH($E44,art_ref,0)),"Article inconnu",IF(N(H44)&lt;=0,"Quantité invalide",IF(J44="","Prix manquant",IF(OR(N(K44)&lt;0,N(K44)&gt;=1),"Remise invalide",IF(M44="","TVA manquante",IF(ISNA(MATCH(M44,p_tva,0)),"Taux de TVA inconnu",IF(COUNTIFS(po_num,A44,po_sup,"&lt;&gt;"&amp;C44)&gt;0,"Fournisseur différent sur ce bon",IF(COUNTIFS(po_num,A44,po_date,"&lt;&gt;"&amp;B44)&gt;0,"Date différente sur ce bon",IF(COUNTIF(po_num,A44)&gt;25,"Plus de 25 lignes sur ce bon",IF(R44="","Date de livraison manquante",IF(R44&lt;B44,"Livraison avant la commande",IF(AND(N(T44)&gt;0,N(S44)=0),"Date d'envoi manquante",IF(N(T44)&gt;N(H44),"Reçu plus que commandé",IF(AND(N(T44)&gt;0,N(U44)=0),"Date de réception manquante",IF(AND(N(U44)&gt;0,U44&lt;B44),"Réception avant la commande","OK")))))))))))))))))))))</f>
        <v>OK</v>
      </c>
      <c r="AA44" s="66" t="str">
        <f>IF(AND(X44="Reçu",ISNUMBER(R44)),IF(N(U44)&lt;=R44,1,0),"")</f>
        <v/>
      </c>
      <c r="AB44" s="76">
        <f>IF(OR(X44="Envoyé",X44="Partiel",X44="En retard"),IF(ISNUMBER(R44),R44,100000)+ROW()/100000,"")</f>
        <v>46331.00044</v>
      </c>
      <c r="AC44" s="66" t="str">
        <f>IF(A44="","",IF(COUNTIF($A$6:A44,A44)=1,1,""))</f>
        <v/>
      </c>
      <c r="AD44" s="66" t="str">
        <f>IF(AC44=1,COUNT($AC$6:AC44),"")</f>
        <v/>
      </c>
      <c r="AE44" s="66" t="str">
        <f>IFERROR(INDEX(po_num,MATCH(39,po_seq,0))&amp;"","")</f>
        <v/>
      </c>
      <c r="AF44" s="66" t="str">
        <f>IF(OR(A44="",p_po=""),"",IF(A44&amp;""=p_po,COUNTIF($A$6:A44,A44),""))</f>
        <v/>
      </c>
      <c r="AG44" s="66" t="str">
        <f>IF(OR(AB44="",A44=""),"",IF(COUNTIFS($A$6:A44,A44,$AB$6:AB44,"&gt;0")=1,1,""))</f>
        <v/>
      </c>
      <c r="AH44" s="70">
        <f>IF(AB44="","",ROUND(N(W44)*N(J44)*(1-N(K44)),2))</f>
        <v>720.0</v>
      </c>
      <c r="AI44" s="70" t="str">
        <f>IF(OR(J44="",N(T44)&lt;=0,V44="Oui"),"",ROUND(N(T44)*J44*(1-N(K44)),2))</f>
        <v/>
      </c>
    </row>
    <row r="45">
      <c r="A45" s="63" t="inlineStr">
        <is>
          <t>BC-2026-0118</t>
        </is>
      </c>
      <c r="B45" s="64" t="n">
        <v>46330</v>
      </c>
      <c r="C45" s="65" t="inlineStr">
        <is>
          <t>ROU04</t>
        </is>
      </c>
      <c r="D45" s="66" t="str">
        <f>IF(C45="","",IFERROR(INDEX(sup_name,MATCH($C45,sup_code,0))&amp;"","Fournisseur inconnu"))</f>
        <v>Roulements Express</v>
      </c>
      <c r="E45" s="63" t="inlineStr">
        <is>
          <t>ROUL-6204</t>
        </is>
      </c>
      <c r="F45" s="66" t="str">
        <f>IF(E45="","",IFERROR(INDEX(art_des,MATCH($E45,art_ref,0))&amp;"","Article inconnu"))</f>
        <v>Roulement 6204-2RS</v>
      </c>
      <c r="G45" s="67" t="str">
        <f>IF(E45="","",IFERROR(INDEX(art_unit,MATCH($E45,art_ref,0))&amp;"",""))</f>
        <v>pièce</v>
      </c>
      <c r="H45" s="68" t="n">
        <v>150</v>
      </c>
      <c r="I45" s="69" t="n"/>
      <c r="J45" s="70">
        <f>IF(E45="","",IF(ISNUMBER(I45),I45,IFERROR(IF(ISNUMBER(INDEX(art_price,MATCH($E45,art_ref,0))),INDEX(art_price,MATCH($E45,art_ref,0)),""),"")))</f>
        <v>38.0</v>
      </c>
      <c r="K45" s="71" t="n"/>
      <c r="L45" s="72" t="n"/>
      <c r="M45" s="72">
        <f>IF(E45="","",IF(L45&lt;&gt;"",L45,IFERROR(IF(ISNUMBER(INDEX(art_tva,MATCH($E45,art_ref,0))),INDEX(art_tva,MATCH($E45,art_ref,0)),""),"")))</f>
        <v>0.2</v>
      </c>
      <c r="N45" s="70">
        <f>IF(OR(E45="",J45=""),"",ROUND(N(H45)*J45*(1-N(K45)),2))</f>
        <v>5700.0</v>
      </c>
      <c r="O45" s="70">
        <f>IF(OR(N45="",NOT(ISNUMBER(M45))),"",ROUND(N45*M45,2))</f>
        <v>1140.0</v>
      </c>
      <c r="P45" s="70">
        <f>IF(N45="","",N45+N(O45))</f>
        <v>6840.0</v>
      </c>
      <c r="Q45" s="64" t="n"/>
      <c r="R45" s="73">
        <f>IF(N(Q45)&gt;0,Q45,IF(OR(N(B45)=0,ISNA(MATCH($C45,sup_code,0))),"",IF(ISNUMBER(INDEX(sup_delay,MATCH($C45,sup_code,0))),B45+INDEX(sup_delay,MATCH($C45,sup_code,0)),"")))</f>
        <v>46333.0</v>
      </c>
      <c r="S45" s="64" t="n"/>
      <c r="T45" s="68" t="n"/>
      <c r="U45" s="64" t="n"/>
      <c r="V45" s="65" t="n"/>
      <c r="W45" s="74">
        <f>IF(AND(A45="",E45=""),"",IF(V45="Oui",0,MAX(0,ROUND(N(H45)-N(T45),6))))</f>
        <v>150.0</v>
      </c>
      <c r="X45" s="67" t="str">
        <f>IF(AND(A45="",E45=""),"",IF(V45="Oui","Annulé",IF(AND(N(H45)&gt;0,N(T45)&gt;=N(H45)),"Reçu",IF(N(S45)=0,"Brouillon",IF(AND(ISNUMBER(R45),R45&lt;p_today),"En retard",IF(N(T45)&gt;0,"Partiel","Envoyé"))))))</f>
        <v>Brouillon</v>
      </c>
      <c r="Y45" s="75" t="str">
        <f>IF(X45="En retard",p_today-R45,IF(AND(X45="Reçu",ISNUMBER(R45)),MAX(0,N(U45)-R45),""))</f>
        <v/>
      </c>
      <c r="Z45" s="67" t="str">
        <f>IF(AND(A45="",E45=""),"",IF(A45="","N° de bon manquant",IF(N(B45)=0,"Date de commande manquante",IF(C45="","Fournisseur manquant",IF(ISNA(MATCH($C45,sup_code,0)),"Fournisseur inconnu",IF(E45="","Article manquant",IF(ISNA(MATCH($E45,art_ref,0)),"Article inconnu",IF(N(H45)&lt;=0,"Quantité invalide",IF(J45="","Prix manquant",IF(OR(N(K45)&lt;0,N(K45)&gt;=1),"Remise invalide",IF(M45="","TVA manquante",IF(ISNA(MATCH(M45,p_tva,0)),"Taux de TVA inconnu",IF(COUNTIFS(po_num,A45,po_sup,"&lt;&gt;"&amp;C45)&gt;0,"Fournisseur différent sur ce bon",IF(COUNTIFS(po_num,A45,po_date,"&lt;&gt;"&amp;B45)&gt;0,"Date différente sur ce bon",IF(COUNTIF(po_num,A45)&gt;25,"Plus de 25 lignes sur ce bon",IF(R45="","Date de livraison manquante",IF(R45&lt;B45,"Livraison avant la commande",IF(AND(N(T45)&gt;0,N(S45)=0),"Date d'envoi manquante",IF(N(T45)&gt;N(H45),"Reçu plus que commandé",IF(AND(N(T45)&gt;0,N(U45)=0),"Date de réception manquante",IF(AND(N(U45)&gt;0,U45&lt;B45),"Réception avant la commande","OK")))))))))))))))))))))</f>
        <v>OK</v>
      </c>
      <c r="AA45" s="66" t="str">
        <f>IF(AND(X45="Reçu",ISNUMBER(R45)),IF(N(U45)&lt;=R45,1,0),"")</f>
        <v/>
      </c>
      <c r="AB45" s="76" t="str">
        <f>IF(OR(X45="Envoyé",X45="Partiel",X45="En retard"),IF(ISNUMBER(R45),R45,100000)+ROW()/100000,"")</f>
        <v/>
      </c>
      <c r="AC45" s="66">
        <f>IF(A45="","",IF(COUNTIF($A$6:A45,A45)=1,1,""))</f>
        <v>1.0</v>
      </c>
      <c r="AD45" s="66">
        <f>IF(AC45=1,COUNT($AC$6:AC45),"")</f>
        <v>18.0</v>
      </c>
      <c r="AE45" s="66" t="str">
        <f>IFERROR(INDEX(po_num,MATCH(40,po_seq,0))&amp;"","")</f>
        <v/>
      </c>
      <c r="AF45" s="66" t="str">
        <f>IF(OR(A45="",p_po=""),"",IF(A45&amp;""=p_po,COUNTIF($A$6:A45,A45),""))</f>
        <v/>
      </c>
      <c r="AG45" s="66" t="str">
        <f>IF(OR(AB45="",A45=""),"",IF(COUNTIFS($A$6:A45,A45,$AB$6:AB45,"&gt;0")=1,1,""))</f>
        <v/>
      </c>
      <c r="AH45" s="70" t="str">
        <f>IF(AB45="","",ROUND(N(W45)*N(J45)*(1-N(K45)),2))</f>
        <v/>
      </c>
      <c r="AI45" s="70" t="str">
        <f>IF(OR(J45="",N(T45)&lt;=0,V45="Oui"),"",ROUND(N(T45)*J45*(1-N(K45)),2))</f>
        <v/>
      </c>
    </row>
    <row r="46">
      <c r="A46" s="63" t="inlineStr">
        <is>
          <t>BC-2026-0119</t>
        </is>
      </c>
      <c r="B46" s="64" t="n">
        <v>46331</v>
      </c>
      <c r="C46" s="65" t="inlineStr">
        <is>
          <t>TUB02</t>
        </is>
      </c>
      <c r="D46" s="66" t="str">
        <f>IF(C46="","",IFERROR(INDEX(sup_name,MATCH($C46,sup_code,0))&amp;"","Fournisseur inconnu"))</f>
        <v>Tubes et Profilés du Nord</v>
      </c>
      <c r="E46" s="63" t="inlineStr">
        <is>
          <t>TUB-R-33</t>
        </is>
      </c>
      <c r="F46" s="66" t="str">
        <f>IF(E46="","",IFERROR(INDEX(art_des,MATCH($E46,art_ref,0))&amp;"","Article inconnu"))</f>
        <v>Tube rond Ø33,7x2,6, barre 6 m</v>
      </c>
      <c r="G46" s="67" t="str">
        <f>IF(E46="","",IFERROR(INDEX(art_unit,MATCH($E46,art_ref,0))&amp;"",""))</f>
        <v>barre</v>
      </c>
      <c r="H46" s="68" t="n">
        <v>60</v>
      </c>
      <c r="I46" s="69" t="n"/>
      <c r="J46" s="70">
        <f>IF(E46="","",IF(ISNUMBER(I46),I46,IFERROR(IF(ISNUMBER(INDEX(art_price,MATCH($E46,art_ref,0))),INDEX(art_price,MATCH($E46,art_ref,0)),""),"")))</f>
        <v>142.0</v>
      </c>
      <c r="K46" s="71" t="n"/>
      <c r="L46" s="72" t="n"/>
      <c r="M46" s="72">
        <f>IF(E46="","",IF(L46&lt;&gt;"",L46,IFERROR(IF(ISNUMBER(INDEX(art_tva,MATCH($E46,art_ref,0))),INDEX(art_tva,MATCH($E46,art_ref,0)),""),"")))</f>
        <v>0.2</v>
      </c>
      <c r="N46" s="70">
        <f>IF(OR(E46="",J46=""),"",ROUND(N(H46)*J46*(1-N(K46)),2))</f>
        <v>8520.0</v>
      </c>
      <c r="O46" s="70">
        <f>IF(OR(N46="",NOT(ISNUMBER(M46))),"",ROUND(N46*M46,2))</f>
        <v>1704.0</v>
      </c>
      <c r="P46" s="70">
        <f>IF(N46="","",N46+N(O46))</f>
        <v>10224.0</v>
      </c>
      <c r="Q46" s="64" t="n"/>
      <c r="R46" s="73">
        <f>IF(N(Q46)&gt;0,Q46,IF(OR(N(B46)=0,ISNA(MATCH($C46,sup_code,0))),"",IF(ISNUMBER(INDEX(sup_delay,MATCH($C46,sup_code,0))),B46+INDEX(sup_delay,MATCH($C46,sup_code,0)),"")))</f>
        <v>46341.0</v>
      </c>
      <c r="S46" s="64" t="n"/>
      <c r="T46" s="68" t="n"/>
      <c r="U46" s="64" t="n"/>
      <c r="V46" s="65" t="n"/>
      <c r="W46" s="74">
        <f>IF(AND(A46="",E46=""),"",IF(V46="Oui",0,MAX(0,ROUND(N(H46)-N(T46),6))))</f>
        <v>60.0</v>
      </c>
      <c r="X46" s="67" t="str">
        <f>IF(AND(A46="",E46=""),"",IF(V46="Oui","Annulé",IF(AND(N(H46)&gt;0,N(T46)&gt;=N(H46)),"Reçu",IF(N(S46)=0,"Brouillon",IF(AND(ISNUMBER(R46),R46&lt;p_today),"En retard",IF(N(T46)&gt;0,"Partiel","Envoyé"))))))</f>
        <v>Brouillon</v>
      </c>
      <c r="Y46" s="75" t="str">
        <f>IF(X46="En retard",p_today-R46,IF(AND(X46="Reçu",ISNUMBER(R46)),MAX(0,N(U46)-R46),""))</f>
        <v/>
      </c>
      <c r="Z46" s="67" t="str">
        <f>IF(AND(A46="",E46=""),"",IF(A46="","N° de bon manquant",IF(N(B46)=0,"Date de commande manquante",IF(C46="","Fournisseur manquant",IF(ISNA(MATCH($C46,sup_code,0)),"Fournisseur inconnu",IF(E46="","Article manquant",IF(ISNA(MATCH($E46,art_ref,0)),"Article inconnu",IF(N(H46)&lt;=0,"Quantité invalide",IF(J46="","Prix manquant",IF(OR(N(K46)&lt;0,N(K46)&gt;=1),"Remise invalide",IF(M46="","TVA manquante",IF(ISNA(MATCH(M46,p_tva,0)),"Taux de TVA inconnu",IF(COUNTIFS(po_num,A46,po_sup,"&lt;&gt;"&amp;C46)&gt;0,"Fournisseur différent sur ce bon",IF(COUNTIFS(po_num,A46,po_date,"&lt;&gt;"&amp;B46)&gt;0,"Date différente sur ce bon",IF(COUNTIF(po_num,A46)&gt;25,"Plus de 25 lignes sur ce bon",IF(R46="","Date de livraison manquante",IF(R46&lt;B46,"Livraison avant la commande",IF(AND(N(T46)&gt;0,N(S46)=0),"Date d'envoi manquante",IF(N(T46)&gt;N(H46),"Reçu plus que commandé",IF(AND(N(T46)&gt;0,N(U46)=0),"Date de réception manquante",IF(AND(N(U46)&gt;0,U46&lt;B46),"Réception avant la commande","OK")))))))))))))))))))))</f>
        <v>OK</v>
      </c>
      <c r="AA46" s="66" t="str">
        <f>IF(AND(X46="Reçu",ISNUMBER(R46)),IF(N(U46)&lt;=R46,1,0),"")</f>
        <v/>
      </c>
      <c r="AB46" s="76" t="str">
        <f>IF(OR(X46="Envoyé",X46="Partiel",X46="En retard"),IF(ISNUMBER(R46),R46,100000)+ROW()/100000,"")</f>
        <v/>
      </c>
      <c r="AC46" s="66">
        <f>IF(A46="","",IF(COUNTIF($A$6:A46,A46)=1,1,""))</f>
        <v>1.0</v>
      </c>
      <c r="AD46" s="66">
        <f>IF(AC46=1,COUNT($AC$6:AC46),"")</f>
        <v>19.0</v>
      </c>
      <c r="AE46" s="66" t="str">
        <f>IFERROR(INDEX(po_num,MATCH(41,po_seq,0))&amp;"","")</f>
        <v/>
      </c>
      <c r="AF46" s="66" t="str">
        <f>IF(OR(A46="",p_po=""),"",IF(A46&amp;""=p_po,COUNTIF($A$6:A46,A46),""))</f>
        <v/>
      </c>
      <c r="AG46" s="66" t="str">
        <f>IF(OR(AB46="",A46=""),"",IF(COUNTIFS($A$6:A46,A46,$AB$6:AB46,"&gt;0")=1,1,""))</f>
        <v/>
      </c>
      <c r="AH46" s="70" t="str">
        <f>IF(AB46="","",ROUND(N(W46)*N(J46)*(1-N(K46)),2))</f>
        <v/>
      </c>
      <c r="AI46" s="70" t="str">
        <f>IF(OR(J46="",N(T46)&lt;=0,V46="Oui"),"",ROUND(N(T46)*J46*(1-N(K46)),2))</f>
        <v/>
      </c>
    </row>
    <row r="47">
      <c r="A47" s="63" t="inlineStr">
        <is>
          <t>BC-2026-0119</t>
        </is>
      </c>
      <c r="B47" s="64" t="n">
        <v>46331</v>
      </c>
      <c r="C47" s="65" t="inlineStr">
        <is>
          <t>TUB02</t>
        </is>
      </c>
      <c r="D47" s="66" t="str">
        <f>IF(C47="","",IFERROR(INDEX(sup_name,MATCH($C47,sup_code,0))&amp;"","Fournisseur inconnu"))</f>
        <v>Tubes et Profilés du Nord</v>
      </c>
      <c r="E47" s="63" t="inlineStr">
        <is>
          <t>COR-L40</t>
        </is>
      </c>
      <c r="F47" s="66" t="str">
        <f>IF(E47="","",IFERROR(INDEX(art_des,MATCH($E47,art_ref,0))&amp;"","Article inconnu"))</f>
        <v>Cornière 40x40x4, barre 6 m</v>
      </c>
      <c r="G47" s="67" t="str">
        <f>IF(E47="","",IFERROR(INDEX(art_unit,MATCH($E47,art_ref,0))&amp;"",""))</f>
        <v>barre</v>
      </c>
      <c r="H47" s="68" t="n">
        <v>40</v>
      </c>
      <c r="I47" s="69" t="n"/>
      <c r="J47" s="70">
        <f>IF(E47="","",IF(ISNUMBER(I47),I47,IFERROR(IF(ISNUMBER(INDEX(art_price,MATCH($E47,art_ref,0))),INDEX(art_price,MATCH($E47,art_ref,0)),""),"")))</f>
        <v>121.0</v>
      </c>
      <c r="K47" s="71" t="n"/>
      <c r="L47" s="72" t="n"/>
      <c r="M47" s="72">
        <f>IF(E47="","",IF(L47&lt;&gt;"",L47,IFERROR(IF(ISNUMBER(INDEX(art_tva,MATCH($E47,art_ref,0))),INDEX(art_tva,MATCH($E47,art_ref,0)),""),"")))</f>
        <v>0.2</v>
      </c>
      <c r="N47" s="70">
        <f>IF(OR(E47="",J47=""),"",ROUND(N(H47)*J47*(1-N(K47)),2))</f>
        <v>4840.0</v>
      </c>
      <c r="O47" s="70">
        <f>IF(OR(N47="",NOT(ISNUMBER(M47))),"",ROUND(N47*M47,2))</f>
        <v>968.0</v>
      </c>
      <c r="P47" s="70">
        <f>IF(N47="","",N47+N(O47))</f>
        <v>5808.0</v>
      </c>
      <c r="Q47" s="64" t="n"/>
      <c r="R47" s="73">
        <f>IF(N(Q47)&gt;0,Q47,IF(OR(N(B47)=0,ISNA(MATCH($C47,sup_code,0))),"",IF(ISNUMBER(INDEX(sup_delay,MATCH($C47,sup_code,0))),B47+INDEX(sup_delay,MATCH($C47,sup_code,0)),"")))</f>
        <v>46341.0</v>
      </c>
      <c r="S47" s="64" t="n"/>
      <c r="T47" s="68" t="n"/>
      <c r="U47" s="64" t="n"/>
      <c r="V47" s="65" t="n"/>
      <c r="W47" s="74">
        <f>IF(AND(A47="",E47=""),"",IF(V47="Oui",0,MAX(0,ROUND(N(H47)-N(T47),6))))</f>
        <v>40.0</v>
      </c>
      <c r="X47" s="67" t="str">
        <f>IF(AND(A47="",E47=""),"",IF(V47="Oui","Annulé",IF(AND(N(H47)&gt;0,N(T47)&gt;=N(H47)),"Reçu",IF(N(S47)=0,"Brouillon",IF(AND(ISNUMBER(R47),R47&lt;p_today),"En retard",IF(N(T47)&gt;0,"Partiel","Envoyé"))))))</f>
        <v>Brouillon</v>
      </c>
      <c r="Y47" s="75" t="str">
        <f>IF(X47="En retard",p_today-R47,IF(AND(X47="Reçu",ISNUMBER(R47)),MAX(0,N(U47)-R47),""))</f>
        <v/>
      </c>
      <c r="Z47" s="67" t="str">
        <f>IF(AND(A47="",E47=""),"",IF(A47="","N° de bon manquant",IF(N(B47)=0,"Date de commande manquante",IF(C47="","Fournisseur manquant",IF(ISNA(MATCH($C47,sup_code,0)),"Fournisseur inconnu",IF(E47="","Article manquant",IF(ISNA(MATCH($E47,art_ref,0)),"Article inconnu",IF(N(H47)&lt;=0,"Quantité invalide",IF(J47="","Prix manquant",IF(OR(N(K47)&lt;0,N(K47)&gt;=1),"Remise invalide",IF(M47="","TVA manquante",IF(ISNA(MATCH(M47,p_tva,0)),"Taux de TVA inconnu",IF(COUNTIFS(po_num,A47,po_sup,"&lt;&gt;"&amp;C47)&gt;0,"Fournisseur différent sur ce bon",IF(COUNTIFS(po_num,A47,po_date,"&lt;&gt;"&amp;B47)&gt;0,"Date différente sur ce bon",IF(COUNTIF(po_num,A47)&gt;25,"Plus de 25 lignes sur ce bon",IF(R47="","Date de livraison manquante",IF(R47&lt;B47,"Livraison avant la commande",IF(AND(N(T47)&gt;0,N(S47)=0),"Date d'envoi manquante",IF(N(T47)&gt;N(H47),"Reçu plus que commandé",IF(AND(N(T47)&gt;0,N(U47)=0),"Date de réception manquante",IF(AND(N(U47)&gt;0,U47&lt;B47),"Réception avant la commande","OK")))))))))))))))))))))</f>
        <v>OK</v>
      </c>
      <c r="AA47" s="66" t="str">
        <f>IF(AND(X47="Reçu",ISNUMBER(R47)),IF(N(U47)&lt;=R47,1,0),"")</f>
        <v/>
      </c>
      <c r="AB47" s="76" t="str">
        <f>IF(OR(X47="Envoyé",X47="Partiel",X47="En retard"),IF(ISNUMBER(R47),R47,100000)+ROW()/100000,"")</f>
        <v/>
      </c>
      <c r="AC47" s="66" t="str">
        <f>IF(A47="","",IF(COUNTIF($A$6:A47,A47)=1,1,""))</f>
        <v/>
      </c>
      <c r="AD47" s="66" t="str">
        <f>IF(AC47=1,COUNT($AC$6:AC47),"")</f>
        <v/>
      </c>
      <c r="AE47" s="66" t="str">
        <f>IFERROR(INDEX(po_num,MATCH(42,po_seq,0))&amp;"","")</f>
        <v/>
      </c>
      <c r="AF47" s="66" t="str">
        <f>IF(OR(A47="",p_po=""),"",IF(A47&amp;""=p_po,COUNTIF($A$6:A47,A47),""))</f>
        <v/>
      </c>
      <c r="AG47" s="66" t="str">
        <f>IF(OR(AB47="",A47=""),"",IF(COUNTIFS($A$6:A47,A47,$AB$6:AB47,"&gt;0")=1,1,""))</f>
        <v/>
      </c>
      <c r="AH47" s="70" t="str">
        <f>IF(AB47="","",ROUND(N(W47)*N(J47)*(1-N(K47)),2))</f>
        <v/>
      </c>
      <c r="AI47" s="70" t="str">
        <f>IF(OR(J47="",N(T47)&lt;=0,V47="Oui"),"",ROUND(N(T47)*J47*(1-N(K47)),2))</f>
        <v/>
      </c>
    </row>
    <row r="48">
      <c r="A48" s="63" t="n"/>
      <c r="B48" s="64" t="n"/>
      <c r="C48" s="65" t="n"/>
      <c r="D48" s="66" t="str">
        <f>IF(C48="","",IFERROR(INDEX(sup_name,MATCH($C48,sup_code,0))&amp;"","Fournisseur inconnu"))</f>
        <v/>
      </c>
      <c r="E48" s="63" t="n"/>
      <c r="F48" s="66" t="str">
        <f>IF(E48="","",IFERROR(INDEX(art_des,MATCH($E48,art_ref,0))&amp;"","Article inconnu"))</f>
        <v/>
      </c>
      <c r="G48" s="67" t="str">
        <f>IF(E48="","",IFERROR(INDEX(art_unit,MATCH($E48,art_ref,0))&amp;"",""))</f>
        <v/>
      </c>
      <c r="H48" s="68" t="n"/>
      <c r="I48" s="69" t="n"/>
      <c r="J48" s="70" t="str">
        <f>IF(E48="","",IF(ISNUMBER(I48),I48,IFERROR(IF(ISNUMBER(INDEX(art_price,MATCH($E48,art_ref,0))),INDEX(art_price,MATCH($E48,art_ref,0)),""),"")))</f>
        <v/>
      </c>
      <c r="K48" s="71" t="n"/>
      <c r="L48" s="72" t="n"/>
      <c r="M48" s="72" t="str">
        <f>IF(E48="","",IF(L48&lt;&gt;"",L48,IFERROR(IF(ISNUMBER(INDEX(art_tva,MATCH($E48,art_ref,0))),INDEX(art_tva,MATCH($E48,art_ref,0)),""),"")))</f>
        <v/>
      </c>
      <c r="N48" s="70" t="str">
        <f>IF(OR(E48="",J48=""),"",ROUND(N(H48)*J48*(1-N(K48)),2))</f>
        <v/>
      </c>
      <c r="O48" s="70" t="str">
        <f>IF(OR(N48="",NOT(ISNUMBER(M48))),"",ROUND(N48*M48,2))</f>
        <v/>
      </c>
      <c r="P48" s="70" t="str">
        <f>IF(N48="","",N48+N(O48))</f>
        <v/>
      </c>
      <c r="Q48" s="64" t="n"/>
      <c r="R48" s="73" t="str">
        <f>IF(N(Q48)&gt;0,Q48,IF(OR(N(B48)=0,ISNA(MATCH($C48,sup_code,0))),"",IF(ISNUMBER(INDEX(sup_delay,MATCH($C48,sup_code,0))),B48+INDEX(sup_delay,MATCH($C48,sup_code,0)),"")))</f>
        <v/>
      </c>
      <c r="S48" s="64" t="n"/>
      <c r="T48" s="68" t="n"/>
      <c r="U48" s="64" t="n"/>
      <c r="V48" s="65" t="n"/>
      <c r="W48" s="74" t="str">
        <f>IF(AND(A48="",E48=""),"",IF(V48="Oui",0,MAX(0,ROUND(N(H48)-N(T48),6))))</f>
        <v/>
      </c>
      <c r="X48" s="67" t="str">
        <f>IF(AND(A48="",E48=""),"",IF(V48="Oui","Annulé",IF(AND(N(H48)&gt;0,N(T48)&gt;=N(H48)),"Reçu",IF(N(S48)=0,"Brouillon",IF(AND(ISNUMBER(R48),R48&lt;p_today),"En retard",IF(N(T48)&gt;0,"Partiel","Envoyé"))))))</f>
        <v/>
      </c>
      <c r="Y48" s="75" t="str">
        <f>IF(X48="En retard",p_today-R48,IF(AND(X48="Reçu",ISNUMBER(R48)),MAX(0,N(U48)-R48),""))</f>
        <v/>
      </c>
      <c r="Z48" s="67" t="str">
        <f>IF(AND(A48="",E48=""),"",IF(A48="","N° de bon manquant",IF(N(B48)=0,"Date de commande manquante",IF(C48="","Fournisseur manquant",IF(ISNA(MATCH($C48,sup_code,0)),"Fournisseur inconnu",IF(E48="","Article manquant",IF(ISNA(MATCH($E48,art_ref,0)),"Article inconnu",IF(N(H48)&lt;=0,"Quantité invalide",IF(J48="","Prix manquant",IF(OR(N(K48)&lt;0,N(K48)&gt;=1),"Remise invalide",IF(M48="","TVA manquante",IF(ISNA(MATCH(M48,p_tva,0)),"Taux de TVA inconnu",IF(COUNTIFS(po_num,A48,po_sup,"&lt;&gt;"&amp;C48)&gt;0,"Fournisseur différent sur ce bon",IF(COUNTIFS(po_num,A48,po_date,"&lt;&gt;"&amp;B48)&gt;0,"Date différente sur ce bon",IF(COUNTIF(po_num,A48)&gt;25,"Plus de 25 lignes sur ce bon",IF(R48="","Date de livraison manquante",IF(R48&lt;B48,"Livraison avant la commande",IF(AND(N(T48)&gt;0,N(S48)=0),"Date d'envoi manquante",IF(N(T48)&gt;N(H48),"Reçu plus que commandé",IF(AND(N(T48)&gt;0,N(U48)=0),"Date de réception manquante",IF(AND(N(U48)&gt;0,U48&lt;B48),"Réception avant la commande","OK")))))))))))))))))))))</f>
        <v/>
      </c>
      <c r="AA48" s="66" t="str">
        <f>IF(AND(X48="Reçu",ISNUMBER(R48)),IF(N(U48)&lt;=R48,1,0),"")</f>
        <v/>
      </c>
      <c r="AB48" s="76" t="str">
        <f>IF(OR(X48="Envoyé",X48="Partiel",X48="En retard"),IF(ISNUMBER(R48),R48,100000)+ROW()/100000,"")</f>
        <v/>
      </c>
      <c r="AC48" s="66" t="str">
        <f>IF(A48="","",IF(COUNTIF($A$6:A48,A48)=1,1,""))</f>
        <v/>
      </c>
      <c r="AD48" s="66" t="str">
        <f>IF(AC48=1,COUNT($AC$6:AC48),"")</f>
        <v/>
      </c>
      <c r="AE48" s="66" t="str">
        <f>IFERROR(INDEX(po_num,MATCH(43,po_seq,0))&amp;"","")</f>
        <v/>
      </c>
      <c r="AF48" s="66" t="str">
        <f>IF(OR(A48="",p_po=""),"",IF(A48&amp;""=p_po,COUNTIF($A$6:A48,A48),""))</f>
        <v/>
      </c>
      <c r="AG48" s="66" t="str">
        <f>IF(OR(AB48="",A48=""),"",IF(COUNTIFS($A$6:A48,A48,$AB$6:AB48,"&gt;0")=1,1,""))</f>
        <v/>
      </c>
      <c r="AH48" s="70" t="str">
        <f>IF(AB48="","",ROUND(N(W48)*N(J48)*(1-N(K48)),2))</f>
        <v/>
      </c>
      <c r="AI48" s="70" t="str">
        <f>IF(OR(J48="",N(T48)&lt;=0,V48="Oui"),"",ROUND(N(T48)*J48*(1-N(K48)),2))</f>
        <v/>
      </c>
    </row>
    <row r="49">
      <c r="A49" s="63" t="n"/>
      <c r="B49" s="64" t="n"/>
      <c r="C49" s="65" t="n"/>
      <c r="D49" s="66" t="str">
        <f>IF(C49="","",IFERROR(INDEX(sup_name,MATCH($C49,sup_code,0))&amp;"","Fournisseur inconnu"))</f>
        <v/>
      </c>
      <c r="E49" s="63" t="n"/>
      <c r="F49" s="66" t="str">
        <f>IF(E49="","",IFERROR(INDEX(art_des,MATCH($E49,art_ref,0))&amp;"","Article inconnu"))</f>
        <v/>
      </c>
      <c r="G49" s="67" t="str">
        <f>IF(E49="","",IFERROR(INDEX(art_unit,MATCH($E49,art_ref,0))&amp;"",""))</f>
        <v/>
      </c>
      <c r="H49" s="68" t="n"/>
      <c r="I49" s="69" t="n"/>
      <c r="J49" s="70" t="str">
        <f>IF(E49="","",IF(ISNUMBER(I49),I49,IFERROR(IF(ISNUMBER(INDEX(art_price,MATCH($E49,art_ref,0))),INDEX(art_price,MATCH($E49,art_ref,0)),""),"")))</f>
        <v/>
      </c>
      <c r="K49" s="71" t="n"/>
      <c r="L49" s="72" t="n"/>
      <c r="M49" s="72" t="str">
        <f>IF(E49="","",IF(L49&lt;&gt;"",L49,IFERROR(IF(ISNUMBER(INDEX(art_tva,MATCH($E49,art_ref,0))),INDEX(art_tva,MATCH($E49,art_ref,0)),""),"")))</f>
        <v/>
      </c>
      <c r="N49" s="70" t="str">
        <f>IF(OR(E49="",J49=""),"",ROUND(N(H49)*J49*(1-N(K49)),2))</f>
        <v/>
      </c>
      <c r="O49" s="70" t="str">
        <f>IF(OR(N49="",NOT(ISNUMBER(M49))),"",ROUND(N49*M49,2))</f>
        <v/>
      </c>
      <c r="P49" s="70" t="str">
        <f>IF(N49="","",N49+N(O49))</f>
        <v/>
      </c>
      <c r="Q49" s="64" t="n"/>
      <c r="R49" s="73" t="str">
        <f>IF(N(Q49)&gt;0,Q49,IF(OR(N(B49)=0,ISNA(MATCH($C49,sup_code,0))),"",IF(ISNUMBER(INDEX(sup_delay,MATCH($C49,sup_code,0))),B49+INDEX(sup_delay,MATCH($C49,sup_code,0)),"")))</f>
        <v/>
      </c>
      <c r="S49" s="64" t="n"/>
      <c r="T49" s="68" t="n"/>
      <c r="U49" s="64" t="n"/>
      <c r="V49" s="65" t="n"/>
      <c r="W49" s="74" t="str">
        <f>IF(AND(A49="",E49=""),"",IF(V49="Oui",0,MAX(0,ROUND(N(H49)-N(T49),6))))</f>
        <v/>
      </c>
      <c r="X49" s="67" t="str">
        <f>IF(AND(A49="",E49=""),"",IF(V49="Oui","Annulé",IF(AND(N(H49)&gt;0,N(T49)&gt;=N(H49)),"Reçu",IF(N(S49)=0,"Brouillon",IF(AND(ISNUMBER(R49),R49&lt;p_today),"En retard",IF(N(T49)&gt;0,"Partiel","Envoyé"))))))</f>
        <v/>
      </c>
      <c r="Y49" s="75" t="str">
        <f>IF(X49="En retard",p_today-R49,IF(AND(X49="Reçu",ISNUMBER(R49)),MAX(0,N(U49)-R49),""))</f>
        <v/>
      </c>
      <c r="Z49" s="67" t="str">
        <f>IF(AND(A49="",E49=""),"",IF(A49="","N° de bon manquant",IF(N(B49)=0,"Date de commande manquante",IF(C49="","Fournisseur manquant",IF(ISNA(MATCH($C49,sup_code,0)),"Fournisseur inconnu",IF(E49="","Article manquant",IF(ISNA(MATCH($E49,art_ref,0)),"Article inconnu",IF(N(H49)&lt;=0,"Quantité invalide",IF(J49="","Prix manquant",IF(OR(N(K49)&lt;0,N(K49)&gt;=1),"Remise invalide",IF(M49="","TVA manquante",IF(ISNA(MATCH(M49,p_tva,0)),"Taux de TVA inconnu",IF(COUNTIFS(po_num,A49,po_sup,"&lt;&gt;"&amp;C49)&gt;0,"Fournisseur différent sur ce bon",IF(COUNTIFS(po_num,A49,po_date,"&lt;&gt;"&amp;B49)&gt;0,"Date différente sur ce bon",IF(COUNTIF(po_num,A49)&gt;25,"Plus de 25 lignes sur ce bon",IF(R49="","Date de livraison manquante",IF(R49&lt;B49,"Livraison avant la commande",IF(AND(N(T49)&gt;0,N(S49)=0),"Date d'envoi manquante",IF(N(T49)&gt;N(H49),"Reçu plus que commandé",IF(AND(N(T49)&gt;0,N(U49)=0),"Date de réception manquante",IF(AND(N(U49)&gt;0,U49&lt;B49),"Réception avant la commande","OK")))))))))))))))))))))</f>
        <v/>
      </c>
      <c r="AA49" s="66" t="str">
        <f>IF(AND(X49="Reçu",ISNUMBER(R49)),IF(N(U49)&lt;=R49,1,0),"")</f>
        <v/>
      </c>
      <c r="AB49" s="76" t="str">
        <f>IF(OR(X49="Envoyé",X49="Partiel",X49="En retard"),IF(ISNUMBER(R49),R49,100000)+ROW()/100000,"")</f>
        <v/>
      </c>
      <c r="AC49" s="66" t="str">
        <f>IF(A49="","",IF(COUNTIF($A$6:A49,A49)=1,1,""))</f>
        <v/>
      </c>
      <c r="AD49" s="66" t="str">
        <f>IF(AC49=1,COUNT($AC$6:AC49),"")</f>
        <v/>
      </c>
      <c r="AE49" s="66" t="str">
        <f>IFERROR(INDEX(po_num,MATCH(44,po_seq,0))&amp;"","")</f>
        <v/>
      </c>
      <c r="AF49" s="66" t="str">
        <f>IF(OR(A49="",p_po=""),"",IF(A49&amp;""=p_po,COUNTIF($A$6:A49,A49),""))</f>
        <v/>
      </c>
      <c r="AG49" s="66" t="str">
        <f>IF(OR(AB49="",A49=""),"",IF(COUNTIFS($A$6:A49,A49,$AB$6:AB49,"&gt;0")=1,1,""))</f>
        <v/>
      </c>
      <c r="AH49" s="70" t="str">
        <f>IF(AB49="","",ROUND(N(W49)*N(J49)*(1-N(K49)),2))</f>
        <v/>
      </c>
      <c r="AI49" s="70" t="str">
        <f>IF(OR(J49="",N(T49)&lt;=0,V49="Oui"),"",ROUND(N(T49)*J49*(1-N(K49)),2))</f>
        <v/>
      </c>
    </row>
    <row r="50">
      <c r="A50" s="63" t="n"/>
      <c r="B50" s="64" t="n"/>
      <c r="C50" s="65" t="n"/>
      <c r="D50" s="66" t="str">
        <f>IF(C50="","",IFERROR(INDEX(sup_name,MATCH($C50,sup_code,0))&amp;"","Fournisseur inconnu"))</f>
        <v/>
      </c>
      <c r="E50" s="63" t="n"/>
      <c r="F50" s="66" t="str">
        <f>IF(E50="","",IFERROR(INDEX(art_des,MATCH($E50,art_ref,0))&amp;"","Article inconnu"))</f>
        <v/>
      </c>
      <c r="G50" s="67" t="str">
        <f>IF(E50="","",IFERROR(INDEX(art_unit,MATCH($E50,art_ref,0))&amp;"",""))</f>
        <v/>
      </c>
      <c r="H50" s="68" t="n"/>
      <c r="I50" s="69" t="n"/>
      <c r="J50" s="70" t="str">
        <f>IF(E50="","",IF(ISNUMBER(I50),I50,IFERROR(IF(ISNUMBER(INDEX(art_price,MATCH($E50,art_ref,0))),INDEX(art_price,MATCH($E50,art_ref,0)),""),"")))</f>
        <v/>
      </c>
      <c r="K50" s="71" t="n"/>
      <c r="L50" s="72" t="n"/>
      <c r="M50" s="72" t="str">
        <f>IF(E50="","",IF(L50&lt;&gt;"",L50,IFERROR(IF(ISNUMBER(INDEX(art_tva,MATCH($E50,art_ref,0))),INDEX(art_tva,MATCH($E50,art_ref,0)),""),"")))</f>
        <v/>
      </c>
      <c r="N50" s="70" t="str">
        <f>IF(OR(E50="",J50=""),"",ROUND(N(H50)*J50*(1-N(K50)),2))</f>
        <v/>
      </c>
      <c r="O50" s="70" t="str">
        <f>IF(OR(N50="",NOT(ISNUMBER(M50))),"",ROUND(N50*M50,2))</f>
        <v/>
      </c>
      <c r="P50" s="70" t="str">
        <f>IF(N50="","",N50+N(O50))</f>
        <v/>
      </c>
      <c r="Q50" s="64" t="n"/>
      <c r="R50" s="73" t="str">
        <f>IF(N(Q50)&gt;0,Q50,IF(OR(N(B50)=0,ISNA(MATCH($C50,sup_code,0))),"",IF(ISNUMBER(INDEX(sup_delay,MATCH($C50,sup_code,0))),B50+INDEX(sup_delay,MATCH($C50,sup_code,0)),"")))</f>
        <v/>
      </c>
      <c r="S50" s="64" t="n"/>
      <c r="T50" s="68" t="n"/>
      <c r="U50" s="64" t="n"/>
      <c r="V50" s="65" t="n"/>
      <c r="W50" s="74" t="str">
        <f>IF(AND(A50="",E50=""),"",IF(V50="Oui",0,MAX(0,ROUND(N(H50)-N(T50),6))))</f>
        <v/>
      </c>
      <c r="X50" s="67" t="str">
        <f>IF(AND(A50="",E50=""),"",IF(V50="Oui","Annulé",IF(AND(N(H50)&gt;0,N(T50)&gt;=N(H50)),"Reçu",IF(N(S50)=0,"Brouillon",IF(AND(ISNUMBER(R50),R50&lt;p_today),"En retard",IF(N(T50)&gt;0,"Partiel","Envoyé"))))))</f>
        <v/>
      </c>
      <c r="Y50" s="75" t="str">
        <f>IF(X50="En retard",p_today-R50,IF(AND(X50="Reçu",ISNUMBER(R50)),MAX(0,N(U50)-R50),""))</f>
        <v/>
      </c>
      <c r="Z50" s="67" t="str">
        <f>IF(AND(A50="",E50=""),"",IF(A50="","N° de bon manquant",IF(N(B50)=0,"Date de commande manquante",IF(C50="","Fournisseur manquant",IF(ISNA(MATCH($C50,sup_code,0)),"Fournisseur inconnu",IF(E50="","Article manquant",IF(ISNA(MATCH($E50,art_ref,0)),"Article inconnu",IF(N(H50)&lt;=0,"Quantité invalide",IF(J50="","Prix manquant",IF(OR(N(K50)&lt;0,N(K50)&gt;=1),"Remise invalide",IF(M50="","TVA manquante",IF(ISNA(MATCH(M50,p_tva,0)),"Taux de TVA inconnu",IF(COUNTIFS(po_num,A50,po_sup,"&lt;&gt;"&amp;C50)&gt;0,"Fournisseur différent sur ce bon",IF(COUNTIFS(po_num,A50,po_date,"&lt;&gt;"&amp;B50)&gt;0,"Date différente sur ce bon",IF(COUNTIF(po_num,A50)&gt;25,"Plus de 25 lignes sur ce bon",IF(R50="","Date de livraison manquante",IF(R50&lt;B50,"Livraison avant la commande",IF(AND(N(T50)&gt;0,N(S50)=0),"Date d'envoi manquante",IF(N(T50)&gt;N(H50),"Reçu plus que commandé",IF(AND(N(T50)&gt;0,N(U50)=0),"Date de réception manquante",IF(AND(N(U50)&gt;0,U50&lt;B50),"Réception avant la commande","OK")))))))))))))))))))))</f>
        <v/>
      </c>
      <c r="AA50" s="66" t="str">
        <f>IF(AND(X50="Reçu",ISNUMBER(R50)),IF(N(U50)&lt;=R50,1,0),"")</f>
        <v/>
      </c>
      <c r="AB50" s="76" t="str">
        <f>IF(OR(X50="Envoyé",X50="Partiel",X50="En retard"),IF(ISNUMBER(R50),R50,100000)+ROW()/100000,"")</f>
        <v/>
      </c>
      <c r="AC50" s="66" t="str">
        <f>IF(A50="","",IF(COUNTIF($A$6:A50,A50)=1,1,""))</f>
        <v/>
      </c>
      <c r="AD50" s="66" t="str">
        <f>IF(AC50=1,COUNT($AC$6:AC50),"")</f>
        <v/>
      </c>
      <c r="AE50" s="66" t="str">
        <f>IFERROR(INDEX(po_num,MATCH(45,po_seq,0))&amp;"","")</f>
        <v/>
      </c>
      <c r="AF50" s="66" t="str">
        <f>IF(OR(A50="",p_po=""),"",IF(A50&amp;""=p_po,COUNTIF($A$6:A50,A50),""))</f>
        <v/>
      </c>
      <c r="AG50" s="66" t="str">
        <f>IF(OR(AB50="",A50=""),"",IF(COUNTIFS($A$6:A50,A50,$AB$6:AB50,"&gt;0")=1,1,""))</f>
        <v/>
      </c>
      <c r="AH50" s="70" t="str">
        <f>IF(AB50="","",ROUND(N(W50)*N(J50)*(1-N(K50)),2))</f>
        <v/>
      </c>
      <c r="AI50" s="70" t="str">
        <f>IF(OR(J50="",N(T50)&lt;=0,V50="Oui"),"",ROUND(N(T50)*J50*(1-N(K50)),2))</f>
        <v/>
      </c>
    </row>
    <row r="51">
      <c r="A51" s="63" t="n"/>
      <c r="B51" s="64" t="n"/>
      <c r="C51" s="65" t="n"/>
      <c r="D51" s="66" t="str">
        <f>IF(C51="","",IFERROR(INDEX(sup_name,MATCH($C51,sup_code,0))&amp;"","Fournisseur inconnu"))</f>
        <v/>
      </c>
      <c r="E51" s="63" t="n"/>
      <c r="F51" s="66" t="str">
        <f>IF(E51="","",IFERROR(INDEX(art_des,MATCH($E51,art_ref,0))&amp;"","Article inconnu"))</f>
        <v/>
      </c>
      <c r="G51" s="67" t="str">
        <f>IF(E51="","",IFERROR(INDEX(art_unit,MATCH($E51,art_ref,0))&amp;"",""))</f>
        <v/>
      </c>
      <c r="H51" s="68" t="n"/>
      <c r="I51" s="69" t="n"/>
      <c r="J51" s="70" t="str">
        <f>IF(E51="","",IF(ISNUMBER(I51),I51,IFERROR(IF(ISNUMBER(INDEX(art_price,MATCH($E51,art_ref,0))),INDEX(art_price,MATCH($E51,art_ref,0)),""),"")))</f>
        <v/>
      </c>
      <c r="K51" s="71" t="n"/>
      <c r="L51" s="72" t="n"/>
      <c r="M51" s="72" t="str">
        <f>IF(E51="","",IF(L51&lt;&gt;"",L51,IFERROR(IF(ISNUMBER(INDEX(art_tva,MATCH($E51,art_ref,0))),INDEX(art_tva,MATCH($E51,art_ref,0)),""),"")))</f>
        <v/>
      </c>
      <c r="N51" s="70" t="str">
        <f>IF(OR(E51="",J51=""),"",ROUND(N(H51)*J51*(1-N(K51)),2))</f>
        <v/>
      </c>
      <c r="O51" s="70" t="str">
        <f>IF(OR(N51="",NOT(ISNUMBER(M51))),"",ROUND(N51*M51,2))</f>
        <v/>
      </c>
      <c r="P51" s="70" t="str">
        <f>IF(N51="","",N51+N(O51))</f>
        <v/>
      </c>
      <c r="Q51" s="64" t="n"/>
      <c r="R51" s="73" t="str">
        <f>IF(N(Q51)&gt;0,Q51,IF(OR(N(B51)=0,ISNA(MATCH($C51,sup_code,0))),"",IF(ISNUMBER(INDEX(sup_delay,MATCH($C51,sup_code,0))),B51+INDEX(sup_delay,MATCH($C51,sup_code,0)),"")))</f>
        <v/>
      </c>
      <c r="S51" s="64" t="n"/>
      <c r="T51" s="68" t="n"/>
      <c r="U51" s="64" t="n"/>
      <c r="V51" s="65" t="n"/>
      <c r="W51" s="74" t="str">
        <f>IF(AND(A51="",E51=""),"",IF(V51="Oui",0,MAX(0,ROUND(N(H51)-N(T51),6))))</f>
        <v/>
      </c>
      <c r="X51" s="67" t="str">
        <f>IF(AND(A51="",E51=""),"",IF(V51="Oui","Annulé",IF(AND(N(H51)&gt;0,N(T51)&gt;=N(H51)),"Reçu",IF(N(S51)=0,"Brouillon",IF(AND(ISNUMBER(R51),R51&lt;p_today),"En retard",IF(N(T51)&gt;0,"Partiel","Envoyé"))))))</f>
        <v/>
      </c>
      <c r="Y51" s="75" t="str">
        <f>IF(X51="En retard",p_today-R51,IF(AND(X51="Reçu",ISNUMBER(R51)),MAX(0,N(U51)-R51),""))</f>
        <v/>
      </c>
      <c r="Z51" s="67" t="str">
        <f>IF(AND(A51="",E51=""),"",IF(A51="","N° de bon manquant",IF(N(B51)=0,"Date de commande manquante",IF(C51="","Fournisseur manquant",IF(ISNA(MATCH($C51,sup_code,0)),"Fournisseur inconnu",IF(E51="","Article manquant",IF(ISNA(MATCH($E51,art_ref,0)),"Article inconnu",IF(N(H51)&lt;=0,"Quantité invalide",IF(J51="","Prix manquant",IF(OR(N(K51)&lt;0,N(K51)&gt;=1),"Remise invalide",IF(M51="","TVA manquante",IF(ISNA(MATCH(M51,p_tva,0)),"Taux de TVA inconnu",IF(COUNTIFS(po_num,A51,po_sup,"&lt;&gt;"&amp;C51)&gt;0,"Fournisseur différent sur ce bon",IF(COUNTIFS(po_num,A51,po_date,"&lt;&gt;"&amp;B51)&gt;0,"Date différente sur ce bon",IF(COUNTIF(po_num,A51)&gt;25,"Plus de 25 lignes sur ce bon",IF(R51="","Date de livraison manquante",IF(R51&lt;B51,"Livraison avant la commande",IF(AND(N(T51)&gt;0,N(S51)=0),"Date d'envoi manquante",IF(N(T51)&gt;N(H51),"Reçu plus que commandé",IF(AND(N(T51)&gt;0,N(U51)=0),"Date de réception manquante",IF(AND(N(U51)&gt;0,U51&lt;B51),"Réception avant la commande","OK")))))))))))))))))))))</f>
        <v/>
      </c>
      <c r="AA51" s="66" t="str">
        <f>IF(AND(X51="Reçu",ISNUMBER(R51)),IF(N(U51)&lt;=R51,1,0),"")</f>
        <v/>
      </c>
      <c r="AB51" s="76" t="str">
        <f>IF(OR(X51="Envoyé",X51="Partiel",X51="En retard"),IF(ISNUMBER(R51),R51,100000)+ROW()/100000,"")</f>
        <v/>
      </c>
      <c r="AC51" s="66" t="str">
        <f>IF(A51="","",IF(COUNTIF($A$6:A51,A51)=1,1,""))</f>
        <v/>
      </c>
      <c r="AD51" s="66" t="str">
        <f>IF(AC51=1,COUNT($AC$6:AC51),"")</f>
        <v/>
      </c>
      <c r="AE51" s="66" t="str">
        <f>IFERROR(INDEX(po_num,MATCH(46,po_seq,0))&amp;"","")</f>
        <v/>
      </c>
      <c r="AF51" s="66" t="str">
        <f>IF(OR(A51="",p_po=""),"",IF(A51&amp;""=p_po,COUNTIF($A$6:A51,A51),""))</f>
        <v/>
      </c>
      <c r="AG51" s="66" t="str">
        <f>IF(OR(AB51="",A51=""),"",IF(COUNTIFS($A$6:A51,A51,$AB$6:AB51,"&gt;0")=1,1,""))</f>
        <v/>
      </c>
      <c r="AH51" s="70" t="str">
        <f>IF(AB51="","",ROUND(N(W51)*N(J51)*(1-N(K51)),2))</f>
        <v/>
      </c>
      <c r="AI51" s="70" t="str">
        <f>IF(OR(J51="",N(T51)&lt;=0,V51="Oui"),"",ROUND(N(T51)*J51*(1-N(K51)),2))</f>
        <v/>
      </c>
    </row>
    <row r="52">
      <c r="A52" s="63" t="n"/>
      <c r="B52" s="64" t="n"/>
      <c r="C52" s="65" t="n"/>
      <c r="D52" s="66" t="str">
        <f>IF(C52="","",IFERROR(INDEX(sup_name,MATCH($C52,sup_code,0))&amp;"","Fournisseur inconnu"))</f>
        <v/>
      </c>
      <c r="E52" s="63" t="n"/>
      <c r="F52" s="66" t="str">
        <f>IF(E52="","",IFERROR(INDEX(art_des,MATCH($E52,art_ref,0))&amp;"","Article inconnu"))</f>
        <v/>
      </c>
      <c r="G52" s="67" t="str">
        <f>IF(E52="","",IFERROR(INDEX(art_unit,MATCH($E52,art_ref,0))&amp;"",""))</f>
        <v/>
      </c>
      <c r="H52" s="68" t="n"/>
      <c r="I52" s="69" t="n"/>
      <c r="J52" s="70" t="str">
        <f>IF(E52="","",IF(ISNUMBER(I52),I52,IFERROR(IF(ISNUMBER(INDEX(art_price,MATCH($E52,art_ref,0))),INDEX(art_price,MATCH($E52,art_ref,0)),""),"")))</f>
        <v/>
      </c>
      <c r="K52" s="71" t="n"/>
      <c r="L52" s="72" t="n"/>
      <c r="M52" s="72" t="str">
        <f>IF(E52="","",IF(L52&lt;&gt;"",L52,IFERROR(IF(ISNUMBER(INDEX(art_tva,MATCH($E52,art_ref,0))),INDEX(art_tva,MATCH($E52,art_ref,0)),""),"")))</f>
        <v/>
      </c>
      <c r="N52" s="70" t="str">
        <f>IF(OR(E52="",J52=""),"",ROUND(N(H52)*J52*(1-N(K52)),2))</f>
        <v/>
      </c>
      <c r="O52" s="70" t="str">
        <f>IF(OR(N52="",NOT(ISNUMBER(M52))),"",ROUND(N52*M52,2))</f>
        <v/>
      </c>
      <c r="P52" s="70" t="str">
        <f>IF(N52="","",N52+N(O52))</f>
        <v/>
      </c>
      <c r="Q52" s="64" t="n"/>
      <c r="R52" s="73" t="str">
        <f>IF(N(Q52)&gt;0,Q52,IF(OR(N(B52)=0,ISNA(MATCH($C52,sup_code,0))),"",IF(ISNUMBER(INDEX(sup_delay,MATCH($C52,sup_code,0))),B52+INDEX(sup_delay,MATCH($C52,sup_code,0)),"")))</f>
        <v/>
      </c>
      <c r="S52" s="64" t="n"/>
      <c r="T52" s="68" t="n"/>
      <c r="U52" s="64" t="n"/>
      <c r="V52" s="65" t="n"/>
      <c r="W52" s="74" t="str">
        <f>IF(AND(A52="",E52=""),"",IF(V52="Oui",0,MAX(0,ROUND(N(H52)-N(T52),6))))</f>
        <v/>
      </c>
      <c r="X52" s="67" t="str">
        <f>IF(AND(A52="",E52=""),"",IF(V52="Oui","Annulé",IF(AND(N(H52)&gt;0,N(T52)&gt;=N(H52)),"Reçu",IF(N(S52)=0,"Brouillon",IF(AND(ISNUMBER(R52),R52&lt;p_today),"En retard",IF(N(T52)&gt;0,"Partiel","Envoyé"))))))</f>
        <v/>
      </c>
      <c r="Y52" s="75" t="str">
        <f>IF(X52="En retard",p_today-R52,IF(AND(X52="Reçu",ISNUMBER(R52)),MAX(0,N(U52)-R52),""))</f>
        <v/>
      </c>
      <c r="Z52" s="67" t="str">
        <f>IF(AND(A52="",E52=""),"",IF(A52="","N° de bon manquant",IF(N(B52)=0,"Date de commande manquante",IF(C52="","Fournisseur manquant",IF(ISNA(MATCH($C52,sup_code,0)),"Fournisseur inconnu",IF(E52="","Article manquant",IF(ISNA(MATCH($E52,art_ref,0)),"Article inconnu",IF(N(H52)&lt;=0,"Quantité invalide",IF(J52="","Prix manquant",IF(OR(N(K52)&lt;0,N(K52)&gt;=1),"Remise invalide",IF(M52="","TVA manquante",IF(ISNA(MATCH(M52,p_tva,0)),"Taux de TVA inconnu",IF(COUNTIFS(po_num,A52,po_sup,"&lt;&gt;"&amp;C52)&gt;0,"Fournisseur différent sur ce bon",IF(COUNTIFS(po_num,A52,po_date,"&lt;&gt;"&amp;B52)&gt;0,"Date différente sur ce bon",IF(COUNTIF(po_num,A52)&gt;25,"Plus de 25 lignes sur ce bon",IF(R52="","Date de livraison manquante",IF(R52&lt;B52,"Livraison avant la commande",IF(AND(N(T52)&gt;0,N(S52)=0),"Date d'envoi manquante",IF(N(T52)&gt;N(H52),"Reçu plus que commandé",IF(AND(N(T52)&gt;0,N(U52)=0),"Date de réception manquante",IF(AND(N(U52)&gt;0,U52&lt;B52),"Réception avant la commande","OK")))))))))))))))))))))</f>
        <v/>
      </c>
      <c r="AA52" s="66" t="str">
        <f>IF(AND(X52="Reçu",ISNUMBER(R52)),IF(N(U52)&lt;=R52,1,0),"")</f>
        <v/>
      </c>
      <c r="AB52" s="76" t="str">
        <f>IF(OR(X52="Envoyé",X52="Partiel",X52="En retard"),IF(ISNUMBER(R52),R52,100000)+ROW()/100000,"")</f>
        <v/>
      </c>
      <c r="AC52" s="66" t="str">
        <f>IF(A52="","",IF(COUNTIF($A$6:A52,A52)=1,1,""))</f>
        <v/>
      </c>
      <c r="AD52" s="66" t="str">
        <f>IF(AC52=1,COUNT($AC$6:AC52),"")</f>
        <v/>
      </c>
      <c r="AE52" s="66" t="str">
        <f>IFERROR(INDEX(po_num,MATCH(47,po_seq,0))&amp;"","")</f>
        <v/>
      </c>
      <c r="AF52" s="66" t="str">
        <f>IF(OR(A52="",p_po=""),"",IF(A52&amp;""=p_po,COUNTIF($A$6:A52,A52),""))</f>
        <v/>
      </c>
      <c r="AG52" s="66" t="str">
        <f>IF(OR(AB52="",A52=""),"",IF(COUNTIFS($A$6:A52,A52,$AB$6:AB52,"&gt;0")=1,1,""))</f>
        <v/>
      </c>
      <c r="AH52" s="70" t="str">
        <f>IF(AB52="","",ROUND(N(W52)*N(J52)*(1-N(K52)),2))</f>
        <v/>
      </c>
      <c r="AI52" s="70" t="str">
        <f>IF(OR(J52="",N(T52)&lt;=0,V52="Oui"),"",ROUND(N(T52)*J52*(1-N(K52)),2))</f>
        <v/>
      </c>
    </row>
    <row r="53">
      <c r="A53" s="63" t="n"/>
      <c r="B53" s="64" t="n"/>
      <c r="C53" s="65" t="n"/>
      <c r="D53" s="66" t="str">
        <f>IF(C53="","",IFERROR(INDEX(sup_name,MATCH($C53,sup_code,0))&amp;"","Fournisseur inconnu"))</f>
        <v/>
      </c>
      <c r="E53" s="63" t="n"/>
      <c r="F53" s="66" t="str">
        <f>IF(E53="","",IFERROR(INDEX(art_des,MATCH($E53,art_ref,0))&amp;"","Article inconnu"))</f>
        <v/>
      </c>
      <c r="G53" s="67" t="str">
        <f>IF(E53="","",IFERROR(INDEX(art_unit,MATCH($E53,art_ref,0))&amp;"",""))</f>
        <v/>
      </c>
      <c r="H53" s="68" t="n"/>
      <c r="I53" s="69" t="n"/>
      <c r="J53" s="70" t="str">
        <f>IF(E53="","",IF(ISNUMBER(I53),I53,IFERROR(IF(ISNUMBER(INDEX(art_price,MATCH($E53,art_ref,0))),INDEX(art_price,MATCH($E53,art_ref,0)),""),"")))</f>
        <v/>
      </c>
      <c r="K53" s="71" t="n"/>
      <c r="L53" s="72" t="n"/>
      <c r="M53" s="72" t="str">
        <f>IF(E53="","",IF(L53&lt;&gt;"",L53,IFERROR(IF(ISNUMBER(INDEX(art_tva,MATCH($E53,art_ref,0))),INDEX(art_tva,MATCH($E53,art_ref,0)),""),"")))</f>
        <v/>
      </c>
      <c r="N53" s="70" t="str">
        <f>IF(OR(E53="",J53=""),"",ROUND(N(H53)*J53*(1-N(K53)),2))</f>
        <v/>
      </c>
      <c r="O53" s="70" t="str">
        <f>IF(OR(N53="",NOT(ISNUMBER(M53))),"",ROUND(N53*M53,2))</f>
        <v/>
      </c>
      <c r="P53" s="70" t="str">
        <f>IF(N53="","",N53+N(O53))</f>
        <v/>
      </c>
      <c r="Q53" s="64" t="n"/>
      <c r="R53" s="73" t="str">
        <f>IF(N(Q53)&gt;0,Q53,IF(OR(N(B53)=0,ISNA(MATCH($C53,sup_code,0))),"",IF(ISNUMBER(INDEX(sup_delay,MATCH($C53,sup_code,0))),B53+INDEX(sup_delay,MATCH($C53,sup_code,0)),"")))</f>
        <v/>
      </c>
      <c r="S53" s="64" t="n"/>
      <c r="T53" s="68" t="n"/>
      <c r="U53" s="64" t="n"/>
      <c r="V53" s="65" t="n"/>
      <c r="W53" s="74" t="str">
        <f>IF(AND(A53="",E53=""),"",IF(V53="Oui",0,MAX(0,ROUND(N(H53)-N(T53),6))))</f>
        <v/>
      </c>
      <c r="X53" s="67" t="str">
        <f>IF(AND(A53="",E53=""),"",IF(V53="Oui","Annulé",IF(AND(N(H53)&gt;0,N(T53)&gt;=N(H53)),"Reçu",IF(N(S53)=0,"Brouillon",IF(AND(ISNUMBER(R53),R53&lt;p_today),"En retard",IF(N(T53)&gt;0,"Partiel","Envoyé"))))))</f>
        <v/>
      </c>
      <c r="Y53" s="75" t="str">
        <f>IF(X53="En retard",p_today-R53,IF(AND(X53="Reçu",ISNUMBER(R53)),MAX(0,N(U53)-R53),""))</f>
        <v/>
      </c>
      <c r="Z53" s="67" t="str">
        <f>IF(AND(A53="",E53=""),"",IF(A53="","N° de bon manquant",IF(N(B53)=0,"Date de commande manquante",IF(C53="","Fournisseur manquant",IF(ISNA(MATCH($C53,sup_code,0)),"Fournisseur inconnu",IF(E53="","Article manquant",IF(ISNA(MATCH($E53,art_ref,0)),"Article inconnu",IF(N(H53)&lt;=0,"Quantité invalide",IF(J53="","Prix manquant",IF(OR(N(K53)&lt;0,N(K53)&gt;=1),"Remise invalide",IF(M53="","TVA manquante",IF(ISNA(MATCH(M53,p_tva,0)),"Taux de TVA inconnu",IF(COUNTIFS(po_num,A53,po_sup,"&lt;&gt;"&amp;C53)&gt;0,"Fournisseur différent sur ce bon",IF(COUNTIFS(po_num,A53,po_date,"&lt;&gt;"&amp;B53)&gt;0,"Date différente sur ce bon",IF(COUNTIF(po_num,A53)&gt;25,"Plus de 25 lignes sur ce bon",IF(R53="","Date de livraison manquante",IF(R53&lt;B53,"Livraison avant la commande",IF(AND(N(T53)&gt;0,N(S53)=0),"Date d'envoi manquante",IF(N(T53)&gt;N(H53),"Reçu plus que commandé",IF(AND(N(T53)&gt;0,N(U53)=0),"Date de réception manquante",IF(AND(N(U53)&gt;0,U53&lt;B53),"Réception avant la commande","OK")))))))))))))))))))))</f>
        <v/>
      </c>
      <c r="AA53" s="66" t="str">
        <f>IF(AND(X53="Reçu",ISNUMBER(R53)),IF(N(U53)&lt;=R53,1,0),"")</f>
        <v/>
      </c>
      <c r="AB53" s="76" t="str">
        <f>IF(OR(X53="Envoyé",X53="Partiel",X53="En retard"),IF(ISNUMBER(R53),R53,100000)+ROW()/100000,"")</f>
        <v/>
      </c>
      <c r="AC53" s="66" t="str">
        <f>IF(A53="","",IF(COUNTIF($A$6:A53,A53)=1,1,""))</f>
        <v/>
      </c>
      <c r="AD53" s="66" t="str">
        <f>IF(AC53=1,COUNT($AC$6:AC53),"")</f>
        <v/>
      </c>
      <c r="AE53" s="66" t="str">
        <f>IFERROR(INDEX(po_num,MATCH(48,po_seq,0))&amp;"","")</f>
        <v/>
      </c>
      <c r="AF53" s="66" t="str">
        <f>IF(OR(A53="",p_po=""),"",IF(A53&amp;""=p_po,COUNTIF($A$6:A53,A53),""))</f>
        <v/>
      </c>
      <c r="AG53" s="66" t="str">
        <f>IF(OR(AB53="",A53=""),"",IF(COUNTIFS($A$6:A53,A53,$AB$6:AB53,"&gt;0")=1,1,""))</f>
        <v/>
      </c>
      <c r="AH53" s="70" t="str">
        <f>IF(AB53="","",ROUND(N(W53)*N(J53)*(1-N(K53)),2))</f>
        <v/>
      </c>
      <c r="AI53" s="70" t="str">
        <f>IF(OR(J53="",N(T53)&lt;=0,V53="Oui"),"",ROUND(N(T53)*J53*(1-N(K53)),2))</f>
        <v/>
      </c>
    </row>
    <row r="54">
      <c r="A54" s="63" t="n"/>
      <c r="B54" s="64" t="n"/>
      <c r="C54" s="65" t="n"/>
      <c r="D54" s="66" t="str">
        <f>IF(C54="","",IFERROR(INDEX(sup_name,MATCH($C54,sup_code,0))&amp;"","Fournisseur inconnu"))</f>
        <v/>
      </c>
      <c r="E54" s="63" t="n"/>
      <c r="F54" s="66" t="str">
        <f>IF(E54="","",IFERROR(INDEX(art_des,MATCH($E54,art_ref,0))&amp;"","Article inconnu"))</f>
        <v/>
      </c>
      <c r="G54" s="67" t="str">
        <f>IF(E54="","",IFERROR(INDEX(art_unit,MATCH($E54,art_ref,0))&amp;"",""))</f>
        <v/>
      </c>
      <c r="H54" s="68" t="n"/>
      <c r="I54" s="69" t="n"/>
      <c r="J54" s="70" t="str">
        <f>IF(E54="","",IF(ISNUMBER(I54),I54,IFERROR(IF(ISNUMBER(INDEX(art_price,MATCH($E54,art_ref,0))),INDEX(art_price,MATCH($E54,art_ref,0)),""),"")))</f>
        <v/>
      </c>
      <c r="K54" s="71" t="n"/>
      <c r="L54" s="72" t="n"/>
      <c r="M54" s="72" t="str">
        <f>IF(E54="","",IF(L54&lt;&gt;"",L54,IFERROR(IF(ISNUMBER(INDEX(art_tva,MATCH($E54,art_ref,0))),INDEX(art_tva,MATCH($E54,art_ref,0)),""),"")))</f>
        <v/>
      </c>
      <c r="N54" s="70" t="str">
        <f>IF(OR(E54="",J54=""),"",ROUND(N(H54)*J54*(1-N(K54)),2))</f>
        <v/>
      </c>
      <c r="O54" s="70" t="str">
        <f>IF(OR(N54="",NOT(ISNUMBER(M54))),"",ROUND(N54*M54,2))</f>
        <v/>
      </c>
      <c r="P54" s="70" t="str">
        <f>IF(N54="","",N54+N(O54))</f>
        <v/>
      </c>
      <c r="Q54" s="64" t="n"/>
      <c r="R54" s="73" t="str">
        <f>IF(N(Q54)&gt;0,Q54,IF(OR(N(B54)=0,ISNA(MATCH($C54,sup_code,0))),"",IF(ISNUMBER(INDEX(sup_delay,MATCH($C54,sup_code,0))),B54+INDEX(sup_delay,MATCH($C54,sup_code,0)),"")))</f>
        <v/>
      </c>
      <c r="S54" s="64" t="n"/>
      <c r="T54" s="68" t="n"/>
      <c r="U54" s="64" t="n"/>
      <c r="V54" s="65" t="n"/>
      <c r="W54" s="74" t="str">
        <f>IF(AND(A54="",E54=""),"",IF(V54="Oui",0,MAX(0,ROUND(N(H54)-N(T54),6))))</f>
        <v/>
      </c>
      <c r="X54" s="67" t="str">
        <f>IF(AND(A54="",E54=""),"",IF(V54="Oui","Annulé",IF(AND(N(H54)&gt;0,N(T54)&gt;=N(H54)),"Reçu",IF(N(S54)=0,"Brouillon",IF(AND(ISNUMBER(R54),R54&lt;p_today),"En retard",IF(N(T54)&gt;0,"Partiel","Envoyé"))))))</f>
        <v/>
      </c>
      <c r="Y54" s="75" t="str">
        <f>IF(X54="En retard",p_today-R54,IF(AND(X54="Reçu",ISNUMBER(R54)),MAX(0,N(U54)-R54),""))</f>
        <v/>
      </c>
      <c r="Z54" s="67" t="str">
        <f>IF(AND(A54="",E54=""),"",IF(A54="","N° de bon manquant",IF(N(B54)=0,"Date de commande manquante",IF(C54="","Fournisseur manquant",IF(ISNA(MATCH($C54,sup_code,0)),"Fournisseur inconnu",IF(E54="","Article manquant",IF(ISNA(MATCH($E54,art_ref,0)),"Article inconnu",IF(N(H54)&lt;=0,"Quantité invalide",IF(J54="","Prix manquant",IF(OR(N(K54)&lt;0,N(K54)&gt;=1),"Remise invalide",IF(M54="","TVA manquante",IF(ISNA(MATCH(M54,p_tva,0)),"Taux de TVA inconnu",IF(COUNTIFS(po_num,A54,po_sup,"&lt;&gt;"&amp;C54)&gt;0,"Fournisseur différent sur ce bon",IF(COUNTIFS(po_num,A54,po_date,"&lt;&gt;"&amp;B54)&gt;0,"Date différente sur ce bon",IF(COUNTIF(po_num,A54)&gt;25,"Plus de 25 lignes sur ce bon",IF(R54="","Date de livraison manquante",IF(R54&lt;B54,"Livraison avant la commande",IF(AND(N(T54)&gt;0,N(S54)=0),"Date d'envoi manquante",IF(N(T54)&gt;N(H54),"Reçu plus que commandé",IF(AND(N(T54)&gt;0,N(U54)=0),"Date de réception manquante",IF(AND(N(U54)&gt;0,U54&lt;B54),"Réception avant la commande","OK")))))))))))))))))))))</f>
        <v/>
      </c>
      <c r="AA54" s="66" t="str">
        <f>IF(AND(X54="Reçu",ISNUMBER(R54)),IF(N(U54)&lt;=R54,1,0),"")</f>
        <v/>
      </c>
      <c r="AB54" s="76" t="str">
        <f>IF(OR(X54="Envoyé",X54="Partiel",X54="En retard"),IF(ISNUMBER(R54),R54,100000)+ROW()/100000,"")</f>
        <v/>
      </c>
      <c r="AC54" s="66" t="str">
        <f>IF(A54="","",IF(COUNTIF($A$6:A54,A54)=1,1,""))</f>
        <v/>
      </c>
      <c r="AD54" s="66" t="str">
        <f>IF(AC54=1,COUNT($AC$6:AC54),"")</f>
        <v/>
      </c>
      <c r="AE54" s="66" t="str">
        <f>IFERROR(INDEX(po_num,MATCH(49,po_seq,0))&amp;"","")</f>
        <v/>
      </c>
      <c r="AF54" s="66" t="str">
        <f>IF(OR(A54="",p_po=""),"",IF(A54&amp;""=p_po,COUNTIF($A$6:A54,A54),""))</f>
        <v/>
      </c>
      <c r="AG54" s="66" t="str">
        <f>IF(OR(AB54="",A54=""),"",IF(COUNTIFS($A$6:A54,A54,$AB$6:AB54,"&gt;0")=1,1,""))</f>
        <v/>
      </c>
      <c r="AH54" s="70" t="str">
        <f>IF(AB54="","",ROUND(N(W54)*N(J54)*(1-N(K54)),2))</f>
        <v/>
      </c>
      <c r="AI54" s="70" t="str">
        <f>IF(OR(J54="",N(T54)&lt;=0,V54="Oui"),"",ROUND(N(T54)*J54*(1-N(K54)),2))</f>
        <v/>
      </c>
    </row>
    <row r="55">
      <c r="A55" s="63" t="n"/>
      <c r="B55" s="64" t="n"/>
      <c r="C55" s="65" t="n"/>
      <c r="D55" s="66" t="str">
        <f>IF(C55="","",IFERROR(INDEX(sup_name,MATCH($C55,sup_code,0))&amp;"","Fournisseur inconnu"))</f>
        <v/>
      </c>
      <c r="E55" s="63" t="n"/>
      <c r="F55" s="66" t="str">
        <f>IF(E55="","",IFERROR(INDEX(art_des,MATCH($E55,art_ref,0))&amp;"","Article inconnu"))</f>
        <v/>
      </c>
      <c r="G55" s="67" t="str">
        <f>IF(E55="","",IFERROR(INDEX(art_unit,MATCH($E55,art_ref,0))&amp;"",""))</f>
        <v/>
      </c>
      <c r="H55" s="68" t="n"/>
      <c r="I55" s="69" t="n"/>
      <c r="J55" s="70" t="str">
        <f>IF(E55="","",IF(ISNUMBER(I55),I55,IFERROR(IF(ISNUMBER(INDEX(art_price,MATCH($E55,art_ref,0))),INDEX(art_price,MATCH($E55,art_ref,0)),""),"")))</f>
        <v/>
      </c>
      <c r="K55" s="71" t="n"/>
      <c r="L55" s="72" t="n"/>
      <c r="M55" s="72" t="str">
        <f>IF(E55="","",IF(L55&lt;&gt;"",L55,IFERROR(IF(ISNUMBER(INDEX(art_tva,MATCH($E55,art_ref,0))),INDEX(art_tva,MATCH($E55,art_ref,0)),""),"")))</f>
        <v/>
      </c>
      <c r="N55" s="70" t="str">
        <f>IF(OR(E55="",J55=""),"",ROUND(N(H55)*J55*(1-N(K55)),2))</f>
        <v/>
      </c>
      <c r="O55" s="70" t="str">
        <f>IF(OR(N55="",NOT(ISNUMBER(M55))),"",ROUND(N55*M55,2))</f>
        <v/>
      </c>
      <c r="P55" s="70" t="str">
        <f>IF(N55="","",N55+N(O55))</f>
        <v/>
      </c>
      <c r="Q55" s="64" t="n"/>
      <c r="R55" s="73" t="str">
        <f>IF(N(Q55)&gt;0,Q55,IF(OR(N(B55)=0,ISNA(MATCH($C55,sup_code,0))),"",IF(ISNUMBER(INDEX(sup_delay,MATCH($C55,sup_code,0))),B55+INDEX(sup_delay,MATCH($C55,sup_code,0)),"")))</f>
        <v/>
      </c>
      <c r="S55" s="64" t="n"/>
      <c r="T55" s="68" t="n"/>
      <c r="U55" s="64" t="n"/>
      <c r="V55" s="65" t="n"/>
      <c r="W55" s="74" t="str">
        <f>IF(AND(A55="",E55=""),"",IF(V55="Oui",0,MAX(0,ROUND(N(H55)-N(T55),6))))</f>
        <v/>
      </c>
      <c r="X55" s="67" t="str">
        <f>IF(AND(A55="",E55=""),"",IF(V55="Oui","Annulé",IF(AND(N(H55)&gt;0,N(T55)&gt;=N(H55)),"Reçu",IF(N(S55)=0,"Brouillon",IF(AND(ISNUMBER(R55),R55&lt;p_today),"En retard",IF(N(T55)&gt;0,"Partiel","Envoyé"))))))</f>
        <v/>
      </c>
      <c r="Y55" s="75" t="str">
        <f>IF(X55="En retard",p_today-R55,IF(AND(X55="Reçu",ISNUMBER(R55)),MAX(0,N(U55)-R55),""))</f>
        <v/>
      </c>
      <c r="Z55" s="67" t="str">
        <f>IF(AND(A55="",E55=""),"",IF(A55="","N° de bon manquant",IF(N(B55)=0,"Date de commande manquante",IF(C55="","Fournisseur manquant",IF(ISNA(MATCH($C55,sup_code,0)),"Fournisseur inconnu",IF(E55="","Article manquant",IF(ISNA(MATCH($E55,art_ref,0)),"Article inconnu",IF(N(H55)&lt;=0,"Quantité invalide",IF(J55="","Prix manquant",IF(OR(N(K55)&lt;0,N(K55)&gt;=1),"Remise invalide",IF(M55="","TVA manquante",IF(ISNA(MATCH(M55,p_tva,0)),"Taux de TVA inconnu",IF(COUNTIFS(po_num,A55,po_sup,"&lt;&gt;"&amp;C55)&gt;0,"Fournisseur différent sur ce bon",IF(COUNTIFS(po_num,A55,po_date,"&lt;&gt;"&amp;B55)&gt;0,"Date différente sur ce bon",IF(COUNTIF(po_num,A55)&gt;25,"Plus de 25 lignes sur ce bon",IF(R55="","Date de livraison manquante",IF(R55&lt;B55,"Livraison avant la commande",IF(AND(N(T55)&gt;0,N(S55)=0),"Date d'envoi manquante",IF(N(T55)&gt;N(H55),"Reçu plus que commandé",IF(AND(N(T55)&gt;0,N(U55)=0),"Date de réception manquante",IF(AND(N(U55)&gt;0,U55&lt;B55),"Réception avant la commande","OK")))))))))))))))))))))</f>
        <v/>
      </c>
      <c r="AA55" s="66" t="str">
        <f>IF(AND(X55="Reçu",ISNUMBER(R55)),IF(N(U55)&lt;=R55,1,0),"")</f>
        <v/>
      </c>
      <c r="AB55" s="76" t="str">
        <f>IF(OR(X55="Envoyé",X55="Partiel",X55="En retard"),IF(ISNUMBER(R55),R55,100000)+ROW()/100000,"")</f>
        <v/>
      </c>
      <c r="AC55" s="66" t="str">
        <f>IF(A55="","",IF(COUNTIF($A$6:A55,A55)=1,1,""))</f>
        <v/>
      </c>
      <c r="AD55" s="66" t="str">
        <f>IF(AC55=1,COUNT($AC$6:AC55),"")</f>
        <v/>
      </c>
      <c r="AE55" s="66" t="str">
        <f>IFERROR(INDEX(po_num,MATCH(50,po_seq,0))&amp;"","")</f>
        <v/>
      </c>
      <c r="AF55" s="66" t="str">
        <f>IF(OR(A55="",p_po=""),"",IF(A55&amp;""=p_po,COUNTIF($A$6:A55,A55),""))</f>
        <v/>
      </c>
      <c r="AG55" s="66" t="str">
        <f>IF(OR(AB55="",A55=""),"",IF(COUNTIFS($A$6:A55,A55,$AB$6:AB55,"&gt;0")=1,1,""))</f>
        <v/>
      </c>
      <c r="AH55" s="70" t="str">
        <f>IF(AB55="","",ROUND(N(W55)*N(J55)*(1-N(K55)),2))</f>
        <v/>
      </c>
      <c r="AI55" s="70" t="str">
        <f>IF(OR(J55="",N(T55)&lt;=0,V55="Oui"),"",ROUND(N(T55)*J55*(1-N(K55)),2))</f>
        <v/>
      </c>
    </row>
    <row r="56">
      <c r="A56" s="63" t="n"/>
      <c r="B56" s="64" t="n"/>
      <c r="C56" s="65" t="n"/>
      <c r="D56" s="66" t="str">
        <f>IF(C56="","",IFERROR(INDEX(sup_name,MATCH($C56,sup_code,0))&amp;"","Fournisseur inconnu"))</f>
        <v/>
      </c>
      <c r="E56" s="63" t="n"/>
      <c r="F56" s="66" t="str">
        <f>IF(E56="","",IFERROR(INDEX(art_des,MATCH($E56,art_ref,0))&amp;"","Article inconnu"))</f>
        <v/>
      </c>
      <c r="G56" s="67" t="str">
        <f>IF(E56="","",IFERROR(INDEX(art_unit,MATCH($E56,art_ref,0))&amp;"",""))</f>
        <v/>
      </c>
      <c r="H56" s="68" t="n"/>
      <c r="I56" s="69" t="n"/>
      <c r="J56" s="70" t="str">
        <f>IF(E56="","",IF(ISNUMBER(I56),I56,IFERROR(IF(ISNUMBER(INDEX(art_price,MATCH($E56,art_ref,0))),INDEX(art_price,MATCH($E56,art_ref,0)),""),"")))</f>
        <v/>
      </c>
      <c r="K56" s="71" t="n"/>
      <c r="L56" s="72" t="n"/>
      <c r="M56" s="72" t="str">
        <f>IF(E56="","",IF(L56&lt;&gt;"",L56,IFERROR(IF(ISNUMBER(INDEX(art_tva,MATCH($E56,art_ref,0))),INDEX(art_tva,MATCH($E56,art_ref,0)),""),"")))</f>
        <v/>
      </c>
      <c r="N56" s="70" t="str">
        <f>IF(OR(E56="",J56=""),"",ROUND(N(H56)*J56*(1-N(K56)),2))</f>
        <v/>
      </c>
      <c r="O56" s="70" t="str">
        <f>IF(OR(N56="",NOT(ISNUMBER(M56))),"",ROUND(N56*M56,2))</f>
        <v/>
      </c>
      <c r="P56" s="70" t="str">
        <f>IF(N56="","",N56+N(O56))</f>
        <v/>
      </c>
      <c r="Q56" s="64" t="n"/>
      <c r="R56" s="73" t="str">
        <f>IF(N(Q56)&gt;0,Q56,IF(OR(N(B56)=0,ISNA(MATCH($C56,sup_code,0))),"",IF(ISNUMBER(INDEX(sup_delay,MATCH($C56,sup_code,0))),B56+INDEX(sup_delay,MATCH($C56,sup_code,0)),"")))</f>
        <v/>
      </c>
      <c r="S56" s="64" t="n"/>
      <c r="T56" s="68" t="n"/>
      <c r="U56" s="64" t="n"/>
      <c r="V56" s="65" t="n"/>
      <c r="W56" s="74" t="str">
        <f>IF(AND(A56="",E56=""),"",IF(V56="Oui",0,MAX(0,ROUND(N(H56)-N(T56),6))))</f>
        <v/>
      </c>
      <c r="X56" s="67" t="str">
        <f>IF(AND(A56="",E56=""),"",IF(V56="Oui","Annulé",IF(AND(N(H56)&gt;0,N(T56)&gt;=N(H56)),"Reçu",IF(N(S56)=0,"Brouillon",IF(AND(ISNUMBER(R56),R56&lt;p_today),"En retard",IF(N(T56)&gt;0,"Partiel","Envoyé"))))))</f>
        <v/>
      </c>
      <c r="Y56" s="75" t="str">
        <f>IF(X56="En retard",p_today-R56,IF(AND(X56="Reçu",ISNUMBER(R56)),MAX(0,N(U56)-R56),""))</f>
        <v/>
      </c>
      <c r="Z56" s="67" t="str">
        <f>IF(AND(A56="",E56=""),"",IF(A56="","N° de bon manquant",IF(N(B56)=0,"Date de commande manquante",IF(C56="","Fournisseur manquant",IF(ISNA(MATCH($C56,sup_code,0)),"Fournisseur inconnu",IF(E56="","Article manquant",IF(ISNA(MATCH($E56,art_ref,0)),"Article inconnu",IF(N(H56)&lt;=0,"Quantité invalide",IF(J56="","Prix manquant",IF(OR(N(K56)&lt;0,N(K56)&gt;=1),"Remise invalide",IF(M56="","TVA manquante",IF(ISNA(MATCH(M56,p_tva,0)),"Taux de TVA inconnu",IF(COUNTIFS(po_num,A56,po_sup,"&lt;&gt;"&amp;C56)&gt;0,"Fournisseur différent sur ce bon",IF(COUNTIFS(po_num,A56,po_date,"&lt;&gt;"&amp;B56)&gt;0,"Date différente sur ce bon",IF(COUNTIF(po_num,A56)&gt;25,"Plus de 25 lignes sur ce bon",IF(R56="","Date de livraison manquante",IF(R56&lt;B56,"Livraison avant la commande",IF(AND(N(T56)&gt;0,N(S56)=0),"Date d'envoi manquante",IF(N(T56)&gt;N(H56),"Reçu plus que commandé",IF(AND(N(T56)&gt;0,N(U56)=0),"Date de réception manquante",IF(AND(N(U56)&gt;0,U56&lt;B56),"Réception avant la commande","OK")))))))))))))))))))))</f>
        <v/>
      </c>
      <c r="AA56" s="66" t="str">
        <f>IF(AND(X56="Reçu",ISNUMBER(R56)),IF(N(U56)&lt;=R56,1,0),"")</f>
        <v/>
      </c>
      <c r="AB56" s="76" t="str">
        <f>IF(OR(X56="Envoyé",X56="Partiel",X56="En retard"),IF(ISNUMBER(R56),R56,100000)+ROW()/100000,"")</f>
        <v/>
      </c>
      <c r="AC56" s="66" t="str">
        <f>IF(A56="","",IF(COUNTIF($A$6:A56,A56)=1,1,""))</f>
        <v/>
      </c>
      <c r="AD56" s="66" t="str">
        <f>IF(AC56=1,COUNT($AC$6:AC56),"")</f>
        <v/>
      </c>
      <c r="AE56" s="66" t="str">
        <f>IFERROR(INDEX(po_num,MATCH(51,po_seq,0))&amp;"","")</f>
        <v/>
      </c>
      <c r="AF56" s="66" t="str">
        <f>IF(OR(A56="",p_po=""),"",IF(A56&amp;""=p_po,COUNTIF($A$6:A56,A56),""))</f>
        <v/>
      </c>
      <c r="AG56" s="66" t="str">
        <f>IF(OR(AB56="",A56=""),"",IF(COUNTIFS($A$6:A56,A56,$AB$6:AB56,"&gt;0")=1,1,""))</f>
        <v/>
      </c>
      <c r="AH56" s="70" t="str">
        <f>IF(AB56="","",ROUND(N(W56)*N(J56)*(1-N(K56)),2))</f>
        <v/>
      </c>
      <c r="AI56" s="70" t="str">
        <f>IF(OR(J56="",N(T56)&lt;=0,V56="Oui"),"",ROUND(N(T56)*J56*(1-N(K56)),2))</f>
        <v/>
      </c>
    </row>
    <row r="57">
      <c r="A57" s="63" t="n"/>
      <c r="B57" s="64" t="n"/>
      <c r="C57" s="65" t="n"/>
      <c r="D57" s="66" t="str">
        <f>IF(C57="","",IFERROR(INDEX(sup_name,MATCH($C57,sup_code,0))&amp;"","Fournisseur inconnu"))</f>
        <v/>
      </c>
      <c r="E57" s="63" t="n"/>
      <c r="F57" s="66" t="str">
        <f>IF(E57="","",IFERROR(INDEX(art_des,MATCH($E57,art_ref,0))&amp;"","Article inconnu"))</f>
        <v/>
      </c>
      <c r="G57" s="67" t="str">
        <f>IF(E57="","",IFERROR(INDEX(art_unit,MATCH($E57,art_ref,0))&amp;"",""))</f>
        <v/>
      </c>
      <c r="H57" s="68" t="n"/>
      <c r="I57" s="69" t="n"/>
      <c r="J57" s="70" t="str">
        <f>IF(E57="","",IF(ISNUMBER(I57),I57,IFERROR(IF(ISNUMBER(INDEX(art_price,MATCH($E57,art_ref,0))),INDEX(art_price,MATCH($E57,art_ref,0)),""),"")))</f>
        <v/>
      </c>
      <c r="K57" s="71" t="n"/>
      <c r="L57" s="72" t="n"/>
      <c r="M57" s="72" t="str">
        <f>IF(E57="","",IF(L57&lt;&gt;"",L57,IFERROR(IF(ISNUMBER(INDEX(art_tva,MATCH($E57,art_ref,0))),INDEX(art_tva,MATCH($E57,art_ref,0)),""),"")))</f>
        <v/>
      </c>
      <c r="N57" s="70" t="str">
        <f>IF(OR(E57="",J57=""),"",ROUND(N(H57)*J57*(1-N(K57)),2))</f>
        <v/>
      </c>
      <c r="O57" s="70" t="str">
        <f>IF(OR(N57="",NOT(ISNUMBER(M57))),"",ROUND(N57*M57,2))</f>
        <v/>
      </c>
      <c r="P57" s="70" t="str">
        <f>IF(N57="","",N57+N(O57))</f>
        <v/>
      </c>
      <c r="Q57" s="64" t="n"/>
      <c r="R57" s="73" t="str">
        <f>IF(N(Q57)&gt;0,Q57,IF(OR(N(B57)=0,ISNA(MATCH($C57,sup_code,0))),"",IF(ISNUMBER(INDEX(sup_delay,MATCH($C57,sup_code,0))),B57+INDEX(sup_delay,MATCH($C57,sup_code,0)),"")))</f>
        <v/>
      </c>
      <c r="S57" s="64" t="n"/>
      <c r="T57" s="68" t="n"/>
      <c r="U57" s="64" t="n"/>
      <c r="V57" s="65" t="n"/>
      <c r="W57" s="74" t="str">
        <f>IF(AND(A57="",E57=""),"",IF(V57="Oui",0,MAX(0,ROUND(N(H57)-N(T57),6))))</f>
        <v/>
      </c>
      <c r="X57" s="67" t="str">
        <f>IF(AND(A57="",E57=""),"",IF(V57="Oui","Annulé",IF(AND(N(H57)&gt;0,N(T57)&gt;=N(H57)),"Reçu",IF(N(S57)=0,"Brouillon",IF(AND(ISNUMBER(R57),R57&lt;p_today),"En retard",IF(N(T57)&gt;0,"Partiel","Envoyé"))))))</f>
        <v/>
      </c>
      <c r="Y57" s="75" t="str">
        <f>IF(X57="En retard",p_today-R57,IF(AND(X57="Reçu",ISNUMBER(R57)),MAX(0,N(U57)-R57),""))</f>
        <v/>
      </c>
      <c r="Z57" s="67" t="str">
        <f>IF(AND(A57="",E57=""),"",IF(A57="","N° de bon manquant",IF(N(B57)=0,"Date de commande manquante",IF(C57="","Fournisseur manquant",IF(ISNA(MATCH($C57,sup_code,0)),"Fournisseur inconnu",IF(E57="","Article manquant",IF(ISNA(MATCH($E57,art_ref,0)),"Article inconnu",IF(N(H57)&lt;=0,"Quantité invalide",IF(J57="","Prix manquant",IF(OR(N(K57)&lt;0,N(K57)&gt;=1),"Remise invalide",IF(M57="","TVA manquante",IF(ISNA(MATCH(M57,p_tva,0)),"Taux de TVA inconnu",IF(COUNTIFS(po_num,A57,po_sup,"&lt;&gt;"&amp;C57)&gt;0,"Fournisseur différent sur ce bon",IF(COUNTIFS(po_num,A57,po_date,"&lt;&gt;"&amp;B57)&gt;0,"Date différente sur ce bon",IF(COUNTIF(po_num,A57)&gt;25,"Plus de 25 lignes sur ce bon",IF(R57="","Date de livraison manquante",IF(R57&lt;B57,"Livraison avant la commande",IF(AND(N(T57)&gt;0,N(S57)=0),"Date d'envoi manquante",IF(N(T57)&gt;N(H57),"Reçu plus que commandé",IF(AND(N(T57)&gt;0,N(U57)=0),"Date de réception manquante",IF(AND(N(U57)&gt;0,U57&lt;B57),"Réception avant la commande","OK")))))))))))))))))))))</f>
        <v/>
      </c>
      <c r="AA57" s="66" t="str">
        <f>IF(AND(X57="Reçu",ISNUMBER(R57)),IF(N(U57)&lt;=R57,1,0),"")</f>
        <v/>
      </c>
      <c r="AB57" s="76" t="str">
        <f>IF(OR(X57="Envoyé",X57="Partiel",X57="En retard"),IF(ISNUMBER(R57),R57,100000)+ROW()/100000,"")</f>
        <v/>
      </c>
      <c r="AC57" s="66" t="str">
        <f>IF(A57="","",IF(COUNTIF($A$6:A57,A57)=1,1,""))</f>
        <v/>
      </c>
      <c r="AD57" s="66" t="str">
        <f>IF(AC57=1,COUNT($AC$6:AC57),"")</f>
        <v/>
      </c>
      <c r="AE57" s="66" t="str">
        <f>IFERROR(INDEX(po_num,MATCH(52,po_seq,0))&amp;"","")</f>
        <v/>
      </c>
      <c r="AF57" s="66" t="str">
        <f>IF(OR(A57="",p_po=""),"",IF(A57&amp;""=p_po,COUNTIF($A$6:A57,A57),""))</f>
        <v/>
      </c>
      <c r="AG57" s="66" t="str">
        <f>IF(OR(AB57="",A57=""),"",IF(COUNTIFS($A$6:A57,A57,$AB$6:AB57,"&gt;0")=1,1,""))</f>
        <v/>
      </c>
      <c r="AH57" s="70" t="str">
        <f>IF(AB57="","",ROUND(N(W57)*N(J57)*(1-N(K57)),2))</f>
        <v/>
      </c>
      <c r="AI57" s="70" t="str">
        <f>IF(OR(J57="",N(T57)&lt;=0,V57="Oui"),"",ROUND(N(T57)*J57*(1-N(K57)),2))</f>
        <v/>
      </c>
    </row>
    <row r="58">
      <c r="A58" s="63" t="n"/>
      <c r="B58" s="64" t="n"/>
      <c r="C58" s="65" t="n"/>
      <c r="D58" s="66" t="str">
        <f>IF(C58="","",IFERROR(INDEX(sup_name,MATCH($C58,sup_code,0))&amp;"","Fournisseur inconnu"))</f>
        <v/>
      </c>
      <c r="E58" s="63" t="n"/>
      <c r="F58" s="66" t="str">
        <f>IF(E58="","",IFERROR(INDEX(art_des,MATCH($E58,art_ref,0))&amp;"","Article inconnu"))</f>
        <v/>
      </c>
      <c r="G58" s="67" t="str">
        <f>IF(E58="","",IFERROR(INDEX(art_unit,MATCH($E58,art_ref,0))&amp;"",""))</f>
        <v/>
      </c>
      <c r="H58" s="68" t="n"/>
      <c r="I58" s="69" t="n"/>
      <c r="J58" s="70" t="str">
        <f>IF(E58="","",IF(ISNUMBER(I58),I58,IFERROR(IF(ISNUMBER(INDEX(art_price,MATCH($E58,art_ref,0))),INDEX(art_price,MATCH($E58,art_ref,0)),""),"")))</f>
        <v/>
      </c>
      <c r="K58" s="71" t="n"/>
      <c r="L58" s="72" t="n"/>
      <c r="M58" s="72" t="str">
        <f>IF(E58="","",IF(L58&lt;&gt;"",L58,IFERROR(IF(ISNUMBER(INDEX(art_tva,MATCH($E58,art_ref,0))),INDEX(art_tva,MATCH($E58,art_ref,0)),""),"")))</f>
        <v/>
      </c>
      <c r="N58" s="70" t="str">
        <f>IF(OR(E58="",J58=""),"",ROUND(N(H58)*J58*(1-N(K58)),2))</f>
        <v/>
      </c>
      <c r="O58" s="70" t="str">
        <f>IF(OR(N58="",NOT(ISNUMBER(M58))),"",ROUND(N58*M58,2))</f>
        <v/>
      </c>
      <c r="P58" s="70" t="str">
        <f>IF(N58="","",N58+N(O58))</f>
        <v/>
      </c>
      <c r="Q58" s="64" t="n"/>
      <c r="R58" s="73" t="str">
        <f>IF(N(Q58)&gt;0,Q58,IF(OR(N(B58)=0,ISNA(MATCH($C58,sup_code,0))),"",IF(ISNUMBER(INDEX(sup_delay,MATCH($C58,sup_code,0))),B58+INDEX(sup_delay,MATCH($C58,sup_code,0)),"")))</f>
        <v/>
      </c>
      <c r="S58" s="64" t="n"/>
      <c r="T58" s="68" t="n"/>
      <c r="U58" s="64" t="n"/>
      <c r="V58" s="65" t="n"/>
      <c r="W58" s="74" t="str">
        <f>IF(AND(A58="",E58=""),"",IF(V58="Oui",0,MAX(0,ROUND(N(H58)-N(T58),6))))</f>
        <v/>
      </c>
      <c r="X58" s="67" t="str">
        <f>IF(AND(A58="",E58=""),"",IF(V58="Oui","Annulé",IF(AND(N(H58)&gt;0,N(T58)&gt;=N(H58)),"Reçu",IF(N(S58)=0,"Brouillon",IF(AND(ISNUMBER(R58),R58&lt;p_today),"En retard",IF(N(T58)&gt;0,"Partiel","Envoyé"))))))</f>
        <v/>
      </c>
      <c r="Y58" s="75" t="str">
        <f>IF(X58="En retard",p_today-R58,IF(AND(X58="Reçu",ISNUMBER(R58)),MAX(0,N(U58)-R58),""))</f>
        <v/>
      </c>
      <c r="Z58" s="67" t="str">
        <f>IF(AND(A58="",E58=""),"",IF(A58="","N° de bon manquant",IF(N(B58)=0,"Date de commande manquante",IF(C58="","Fournisseur manquant",IF(ISNA(MATCH($C58,sup_code,0)),"Fournisseur inconnu",IF(E58="","Article manquant",IF(ISNA(MATCH($E58,art_ref,0)),"Article inconnu",IF(N(H58)&lt;=0,"Quantité invalide",IF(J58="","Prix manquant",IF(OR(N(K58)&lt;0,N(K58)&gt;=1),"Remise invalide",IF(M58="","TVA manquante",IF(ISNA(MATCH(M58,p_tva,0)),"Taux de TVA inconnu",IF(COUNTIFS(po_num,A58,po_sup,"&lt;&gt;"&amp;C58)&gt;0,"Fournisseur différent sur ce bon",IF(COUNTIFS(po_num,A58,po_date,"&lt;&gt;"&amp;B58)&gt;0,"Date différente sur ce bon",IF(COUNTIF(po_num,A58)&gt;25,"Plus de 25 lignes sur ce bon",IF(R58="","Date de livraison manquante",IF(R58&lt;B58,"Livraison avant la commande",IF(AND(N(T58)&gt;0,N(S58)=0),"Date d'envoi manquante",IF(N(T58)&gt;N(H58),"Reçu plus que commandé",IF(AND(N(T58)&gt;0,N(U58)=0),"Date de réception manquante",IF(AND(N(U58)&gt;0,U58&lt;B58),"Réception avant la commande","OK")))))))))))))))))))))</f>
        <v/>
      </c>
      <c r="AA58" s="66" t="str">
        <f>IF(AND(X58="Reçu",ISNUMBER(R58)),IF(N(U58)&lt;=R58,1,0),"")</f>
        <v/>
      </c>
      <c r="AB58" s="76" t="str">
        <f>IF(OR(X58="Envoyé",X58="Partiel",X58="En retard"),IF(ISNUMBER(R58),R58,100000)+ROW()/100000,"")</f>
        <v/>
      </c>
      <c r="AC58" s="66" t="str">
        <f>IF(A58="","",IF(COUNTIF($A$6:A58,A58)=1,1,""))</f>
        <v/>
      </c>
      <c r="AD58" s="66" t="str">
        <f>IF(AC58=1,COUNT($AC$6:AC58),"")</f>
        <v/>
      </c>
      <c r="AE58" s="66" t="str">
        <f>IFERROR(INDEX(po_num,MATCH(53,po_seq,0))&amp;"","")</f>
        <v/>
      </c>
      <c r="AF58" s="66" t="str">
        <f>IF(OR(A58="",p_po=""),"",IF(A58&amp;""=p_po,COUNTIF($A$6:A58,A58),""))</f>
        <v/>
      </c>
      <c r="AG58" s="66" t="str">
        <f>IF(OR(AB58="",A58=""),"",IF(COUNTIFS($A$6:A58,A58,$AB$6:AB58,"&gt;0")=1,1,""))</f>
        <v/>
      </c>
      <c r="AH58" s="70" t="str">
        <f>IF(AB58="","",ROUND(N(W58)*N(J58)*(1-N(K58)),2))</f>
        <v/>
      </c>
      <c r="AI58" s="70" t="str">
        <f>IF(OR(J58="",N(T58)&lt;=0,V58="Oui"),"",ROUND(N(T58)*J58*(1-N(K58)),2))</f>
        <v/>
      </c>
    </row>
    <row r="59">
      <c r="A59" s="63" t="n"/>
      <c r="B59" s="64" t="n"/>
      <c r="C59" s="65" t="n"/>
      <c r="D59" s="66" t="str">
        <f>IF(C59="","",IFERROR(INDEX(sup_name,MATCH($C59,sup_code,0))&amp;"","Fournisseur inconnu"))</f>
        <v/>
      </c>
      <c r="E59" s="63" t="n"/>
      <c r="F59" s="66" t="str">
        <f>IF(E59="","",IFERROR(INDEX(art_des,MATCH($E59,art_ref,0))&amp;"","Article inconnu"))</f>
        <v/>
      </c>
      <c r="G59" s="67" t="str">
        <f>IF(E59="","",IFERROR(INDEX(art_unit,MATCH($E59,art_ref,0))&amp;"",""))</f>
        <v/>
      </c>
      <c r="H59" s="68" t="n"/>
      <c r="I59" s="69" t="n"/>
      <c r="J59" s="70" t="str">
        <f>IF(E59="","",IF(ISNUMBER(I59),I59,IFERROR(IF(ISNUMBER(INDEX(art_price,MATCH($E59,art_ref,0))),INDEX(art_price,MATCH($E59,art_ref,0)),""),"")))</f>
        <v/>
      </c>
      <c r="K59" s="71" t="n"/>
      <c r="L59" s="72" t="n"/>
      <c r="M59" s="72" t="str">
        <f>IF(E59="","",IF(L59&lt;&gt;"",L59,IFERROR(IF(ISNUMBER(INDEX(art_tva,MATCH($E59,art_ref,0))),INDEX(art_tva,MATCH($E59,art_ref,0)),""),"")))</f>
        <v/>
      </c>
      <c r="N59" s="70" t="str">
        <f>IF(OR(E59="",J59=""),"",ROUND(N(H59)*J59*(1-N(K59)),2))</f>
        <v/>
      </c>
      <c r="O59" s="70" t="str">
        <f>IF(OR(N59="",NOT(ISNUMBER(M59))),"",ROUND(N59*M59,2))</f>
        <v/>
      </c>
      <c r="P59" s="70" t="str">
        <f>IF(N59="","",N59+N(O59))</f>
        <v/>
      </c>
      <c r="Q59" s="64" t="n"/>
      <c r="R59" s="73" t="str">
        <f>IF(N(Q59)&gt;0,Q59,IF(OR(N(B59)=0,ISNA(MATCH($C59,sup_code,0))),"",IF(ISNUMBER(INDEX(sup_delay,MATCH($C59,sup_code,0))),B59+INDEX(sup_delay,MATCH($C59,sup_code,0)),"")))</f>
        <v/>
      </c>
      <c r="S59" s="64" t="n"/>
      <c r="T59" s="68" t="n"/>
      <c r="U59" s="64" t="n"/>
      <c r="V59" s="65" t="n"/>
      <c r="W59" s="74" t="str">
        <f>IF(AND(A59="",E59=""),"",IF(V59="Oui",0,MAX(0,ROUND(N(H59)-N(T59),6))))</f>
        <v/>
      </c>
      <c r="X59" s="67" t="str">
        <f>IF(AND(A59="",E59=""),"",IF(V59="Oui","Annulé",IF(AND(N(H59)&gt;0,N(T59)&gt;=N(H59)),"Reçu",IF(N(S59)=0,"Brouillon",IF(AND(ISNUMBER(R59),R59&lt;p_today),"En retard",IF(N(T59)&gt;0,"Partiel","Envoyé"))))))</f>
        <v/>
      </c>
      <c r="Y59" s="75" t="str">
        <f>IF(X59="En retard",p_today-R59,IF(AND(X59="Reçu",ISNUMBER(R59)),MAX(0,N(U59)-R59),""))</f>
        <v/>
      </c>
      <c r="Z59" s="67" t="str">
        <f>IF(AND(A59="",E59=""),"",IF(A59="","N° de bon manquant",IF(N(B59)=0,"Date de commande manquante",IF(C59="","Fournisseur manquant",IF(ISNA(MATCH($C59,sup_code,0)),"Fournisseur inconnu",IF(E59="","Article manquant",IF(ISNA(MATCH($E59,art_ref,0)),"Article inconnu",IF(N(H59)&lt;=0,"Quantité invalide",IF(J59="","Prix manquant",IF(OR(N(K59)&lt;0,N(K59)&gt;=1),"Remise invalide",IF(M59="","TVA manquante",IF(ISNA(MATCH(M59,p_tva,0)),"Taux de TVA inconnu",IF(COUNTIFS(po_num,A59,po_sup,"&lt;&gt;"&amp;C59)&gt;0,"Fournisseur différent sur ce bon",IF(COUNTIFS(po_num,A59,po_date,"&lt;&gt;"&amp;B59)&gt;0,"Date différente sur ce bon",IF(COUNTIF(po_num,A59)&gt;25,"Plus de 25 lignes sur ce bon",IF(R59="","Date de livraison manquante",IF(R59&lt;B59,"Livraison avant la commande",IF(AND(N(T59)&gt;0,N(S59)=0),"Date d'envoi manquante",IF(N(T59)&gt;N(H59),"Reçu plus que commandé",IF(AND(N(T59)&gt;0,N(U59)=0),"Date de réception manquante",IF(AND(N(U59)&gt;0,U59&lt;B59),"Réception avant la commande","OK")))))))))))))))))))))</f>
        <v/>
      </c>
      <c r="AA59" s="66" t="str">
        <f>IF(AND(X59="Reçu",ISNUMBER(R59)),IF(N(U59)&lt;=R59,1,0),"")</f>
        <v/>
      </c>
      <c r="AB59" s="76" t="str">
        <f>IF(OR(X59="Envoyé",X59="Partiel",X59="En retard"),IF(ISNUMBER(R59),R59,100000)+ROW()/100000,"")</f>
        <v/>
      </c>
      <c r="AC59" s="66" t="str">
        <f>IF(A59="","",IF(COUNTIF($A$6:A59,A59)=1,1,""))</f>
        <v/>
      </c>
      <c r="AD59" s="66" t="str">
        <f>IF(AC59=1,COUNT($AC$6:AC59),"")</f>
        <v/>
      </c>
      <c r="AE59" s="66" t="str">
        <f>IFERROR(INDEX(po_num,MATCH(54,po_seq,0))&amp;"","")</f>
        <v/>
      </c>
      <c r="AF59" s="66" t="str">
        <f>IF(OR(A59="",p_po=""),"",IF(A59&amp;""=p_po,COUNTIF($A$6:A59,A59),""))</f>
        <v/>
      </c>
      <c r="AG59" s="66" t="str">
        <f>IF(OR(AB59="",A59=""),"",IF(COUNTIFS($A$6:A59,A59,$AB$6:AB59,"&gt;0")=1,1,""))</f>
        <v/>
      </c>
      <c r="AH59" s="70" t="str">
        <f>IF(AB59="","",ROUND(N(W59)*N(J59)*(1-N(K59)),2))</f>
        <v/>
      </c>
      <c r="AI59" s="70" t="str">
        <f>IF(OR(J59="",N(T59)&lt;=0,V59="Oui"),"",ROUND(N(T59)*J59*(1-N(K59)),2))</f>
        <v/>
      </c>
    </row>
    <row r="60">
      <c r="A60" s="63" t="n"/>
      <c r="B60" s="64" t="n"/>
      <c r="C60" s="65" t="n"/>
      <c r="D60" s="66" t="str">
        <f>IF(C60="","",IFERROR(INDEX(sup_name,MATCH($C60,sup_code,0))&amp;"","Fournisseur inconnu"))</f>
        <v/>
      </c>
      <c r="E60" s="63" t="n"/>
      <c r="F60" s="66" t="str">
        <f>IF(E60="","",IFERROR(INDEX(art_des,MATCH($E60,art_ref,0))&amp;"","Article inconnu"))</f>
        <v/>
      </c>
      <c r="G60" s="67" t="str">
        <f>IF(E60="","",IFERROR(INDEX(art_unit,MATCH($E60,art_ref,0))&amp;"",""))</f>
        <v/>
      </c>
      <c r="H60" s="68" t="n"/>
      <c r="I60" s="69" t="n"/>
      <c r="J60" s="70" t="str">
        <f>IF(E60="","",IF(ISNUMBER(I60),I60,IFERROR(IF(ISNUMBER(INDEX(art_price,MATCH($E60,art_ref,0))),INDEX(art_price,MATCH($E60,art_ref,0)),""),"")))</f>
        <v/>
      </c>
      <c r="K60" s="71" t="n"/>
      <c r="L60" s="72" t="n"/>
      <c r="M60" s="72" t="str">
        <f>IF(E60="","",IF(L60&lt;&gt;"",L60,IFERROR(IF(ISNUMBER(INDEX(art_tva,MATCH($E60,art_ref,0))),INDEX(art_tva,MATCH($E60,art_ref,0)),""),"")))</f>
        <v/>
      </c>
      <c r="N60" s="70" t="str">
        <f>IF(OR(E60="",J60=""),"",ROUND(N(H60)*J60*(1-N(K60)),2))</f>
        <v/>
      </c>
      <c r="O60" s="70" t="str">
        <f>IF(OR(N60="",NOT(ISNUMBER(M60))),"",ROUND(N60*M60,2))</f>
        <v/>
      </c>
      <c r="P60" s="70" t="str">
        <f>IF(N60="","",N60+N(O60))</f>
        <v/>
      </c>
      <c r="Q60" s="64" t="n"/>
      <c r="R60" s="73" t="str">
        <f>IF(N(Q60)&gt;0,Q60,IF(OR(N(B60)=0,ISNA(MATCH($C60,sup_code,0))),"",IF(ISNUMBER(INDEX(sup_delay,MATCH($C60,sup_code,0))),B60+INDEX(sup_delay,MATCH($C60,sup_code,0)),"")))</f>
        <v/>
      </c>
      <c r="S60" s="64" t="n"/>
      <c r="T60" s="68" t="n"/>
      <c r="U60" s="64" t="n"/>
      <c r="V60" s="65" t="n"/>
      <c r="W60" s="74" t="str">
        <f>IF(AND(A60="",E60=""),"",IF(V60="Oui",0,MAX(0,ROUND(N(H60)-N(T60),6))))</f>
        <v/>
      </c>
      <c r="X60" s="67" t="str">
        <f>IF(AND(A60="",E60=""),"",IF(V60="Oui","Annulé",IF(AND(N(H60)&gt;0,N(T60)&gt;=N(H60)),"Reçu",IF(N(S60)=0,"Brouillon",IF(AND(ISNUMBER(R60),R60&lt;p_today),"En retard",IF(N(T60)&gt;0,"Partiel","Envoyé"))))))</f>
        <v/>
      </c>
      <c r="Y60" s="75" t="str">
        <f>IF(X60="En retard",p_today-R60,IF(AND(X60="Reçu",ISNUMBER(R60)),MAX(0,N(U60)-R60),""))</f>
        <v/>
      </c>
      <c r="Z60" s="67" t="str">
        <f>IF(AND(A60="",E60=""),"",IF(A60="","N° de bon manquant",IF(N(B60)=0,"Date de commande manquante",IF(C60="","Fournisseur manquant",IF(ISNA(MATCH($C60,sup_code,0)),"Fournisseur inconnu",IF(E60="","Article manquant",IF(ISNA(MATCH($E60,art_ref,0)),"Article inconnu",IF(N(H60)&lt;=0,"Quantité invalide",IF(J60="","Prix manquant",IF(OR(N(K60)&lt;0,N(K60)&gt;=1),"Remise invalide",IF(M60="","TVA manquante",IF(ISNA(MATCH(M60,p_tva,0)),"Taux de TVA inconnu",IF(COUNTIFS(po_num,A60,po_sup,"&lt;&gt;"&amp;C60)&gt;0,"Fournisseur différent sur ce bon",IF(COUNTIFS(po_num,A60,po_date,"&lt;&gt;"&amp;B60)&gt;0,"Date différente sur ce bon",IF(COUNTIF(po_num,A60)&gt;25,"Plus de 25 lignes sur ce bon",IF(R60="","Date de livraison manquante",IF(R60&lt;B60,"Livraison avant la commande",IF(AND(N(T60)&gt;0,N(S60)=0),"Date d'envoi manquante",IF(N(T60)&gt;N(H60),"Reçu plus que commandé",IF(AND(N(T60)&gt;0,N(U60)=0),"Date de réception manquante",IF(AND(N(U60)&gt;0,U60&lt;B60),"Réception avant la commande","OK")))))))))))))))))))))</f>
        <v/>
      </c>
      <c r="AA60" s="66" t="str">
        <f>IF(AND(X60="Reçu",ISNUMBER(R60)),IF(N(U60)&lt;=R60,1,0),"")</f>
        <v/>
      </c>
      <c r="AB60" s="76" t="str">
        <f>IF(OR(X60="Envoyé",X60="Partiel",X60="En retard"),IF(ISNUMBER(R60),R60,100000)+ROW()/100000,"")</f>
        <v/>
      </c>
      <c r="AC60" s="66" t="str">
        <f>IF(A60="","",IF(COUNTIF($A$6:A60,A60)=1,1,""))</f>
        <v/>
      </c>
      <c r="AD60" s="66" t="str">
        <f>IF(AC60=1,COUNT($AC$6:AC60),"")</f>
        <v/>
      </c>
      <c r="AE60" s="66" t="str">
        <f>IFERROR(INDEX(po_num,MATCH(55,po_seq,0))&amp;"","")</f>
        <v/>
      </c>
      <c r="AF60" s="66" t="str">
        <f>IF(OR(A60="",p_po=""),"",IF(A60&amp;""=p_po,COUNTIF($A$6:A60,A60),""))</f>
        <v/>
      </c>
      <c r="AG60" s="66" t="str">
        <f>IF(OR(AB60="",A60=""),"",IF(COUNTIFS($A$6:A60,A60,$AB$6:AB60,"&gt;0")=1,1,""))</f>
        <v/>
      </c>
      <c r="AH60" s="70" t="str">
        <f>IF(AB60="","",ROUND(N(W60)*N(J60)*(1-N(K60)),2))</f>
        <v/>
      </c>
      <c r="AI60" s="70" t="str">
        <f>IF(OR(J60="",N(T60)&lt;=0,V60="Oui"),"",ROUND(N(T60)*J60*(1-N(K60)),2))</f>
        <v/>
      </c>
    </row>
    <row r="61">
      <c r="A61" s="63" t="n"/>
      <c r="B61" s="64" t="n"/>
      <c r="C61" s="65" t="n"/>
      <c r="D61" s="66" t="str">
        <f>IF(C61="","",IFERROR(INDEX(sup_name,MATCH($C61,sup_code,0))&amp;"","Fournisseur inconnu"))</f>
        <v/>
      </c>
      <c r="E61" s="63" t="n"/>
      <c r="F61" s="66" t="str">
        <f>IF(E61="","",IFERROR(INDEX(art_des,MATCH($E61,art_ref,0))&amp;"","Article inconnu"))</f>
        <v/>
      </c>
      <c r="G61" s="67" t="str">
        <f>IF(E61="","",IFERROR(INDEX(art_unit,MATCH($E61,art_ref,0))&amp;"",""))</f>
        <v/>
      </c>
      <c r="H61" s="68" t="n"/>
      <c r="I61" s="69" t="n"/>
      <c r="J61" s="70" t="str">
        <f>IF(E61="","",IF(ISNUMBER(I61),I61,IFERROR(IF(ISNUMBER(INDEX(art_price,MATCH($E61,art_ref,0))),INDEX(art_price,MATCH($E61,art_ref,0)),""),"")))</f>
        <v/>
      </c>
      <c r="K61" s="71" t="n"/>
      <c r="L61" s="72" t="n"/>
      <c r="M61" s="72" t="str">
        <f>IF(E61="","",IF(L61&lt;&gt;"",L61,IFERROR(IF(ISNUMBER(INDEX(art_tva,MATCH($E61,art_ref,0))),INDEX(art_tva,MATCH($E61,art_ref,0)),""),"")))</f>
        <v/>
      </c>
      <c r="N61" s="70" t="str">
        <f>IF(OR(E61="",J61=""),"",ROUND(N(H61)*J61*(1-N(K61)),2))</f>
        <v/>
      </c>
      <c r="O61" s="70" t="str">
        <f>IF(OR(N61="",NOT(ISNUMBER(M61))),"",ROUND(N61*M61,2))</f>
        <v/>
      </c>
      <c r="P61" s="70" t="str">
        <f>IF(N61="","",N61+N(O61))</f>
        <v/>
      </c>
      <c r="Q61" s="64" t="n"/>
      <c r="R61" s="73" t="str">
        <f>IF(N(Q61)&gt;0,Q61,IF(OR(N(B61)=0,ISNA(MATCH($C61,sup_code,0))),"",IF(ISNUMBER(INDEX(sup_delay,MATCH($C61,sup_code,0))),B61+INDEX(sup_delay,MATCH($C61,sup_code,0)),"")))</f>
        <v/>
      </c>
      <c r="S61" s="64" t="n"/>
      <c r="T61" s="68" t="n"/>
      <c r="U61" s="64" t="n"/>
      <c r="V61" s="65" t="n"/>
      <c r="W61" s="74" t="str">
        <f>IF(AND(A61="",E61=""),"",IF(V61="Oui",0,MAX(0,ROUND(N(H61)-N(T61),6))))</f>
        <v/>
      </c>
      <c r="X61" s="67" t="str">
        <f>IF(AND(A61="",E61=""),"",IF(V61="Oui","Annulé",IF(AND(N(H61)&gt;0,N(T61)&gt;=N(H61)),"Reçu",IF(N(S61)=0,"Brouillon",IF(AND(ISNUMBER(R61),R61&lt;p_today),"En retard",IF(N(T61)&gt;0,"Partiel","Envoyé"))))))</f>
        <v/>
      </c>
      <c r="Y61" s="75" t="str">
        <f>IF(X61="En retard",p_today-R61,IF(AND(X61="Reçu",ISNUMBER(R61)),MAX(0,N(U61)-R61),""))</f>
        <v/>
      </c>
      <c r="Z61" s="67" t="str">
        <f>IF(AND(A61="",E61=""),"",IF(A61="","N° de bon manquant",IF(N(B61)=0,"Date de commande manquante",IF(C61="","Fournisseur manquant",IF(ISNA(MATCH($C61,sup_code,0)),"Fournisseur inconnu",IF(E61="","Article manquant",IF(ISNA(MATCH($E61,art_ref,0)),"Article inconnu",IF(N(H61)&lt;=0,"Quantité invalide",IF(J61="","Prix manquant",IF(OR(N(K61)&lt;0,N(K61)&gt;=1),"Remise invalide",IF(M61="","TVA manquante",IF(ISNA(MATCH(M61,p_tva,0)),"Taux de TVA inconnu",IF(COUNTIFS(po_num,A61,po_sup,"&lt;&gt;"&amp;C61)&gt;0,"Fournisseur différent sur ce bon",IF(COUNTIFS(po_num,A61,po_date,"&lt;&gt;"&amp;B61)&gt;0,"Date différente sur ce bon",IF(COUNTIF(po_num,A61)&gt;25,"Plus de 25 lignes sur ce bon",IF(R61="","Date de livraison manquante",IF(R61&lt;B61,"Livraison avant la commande",IF(AND(N(T61)&gt;0,N(S61)=0),"Date d'envoi manquante",IF(N(T61)&gt;N(H61),"Reçu plus que commandé",IF(AND(N(T61)&gt;0,N(U61)=0),"Date de réception manquante",IF(AND(N(U61)&gt;0,U61&lt;B61),"Réception avant la commande","OK")))))))))))))))))))))</f>
        <v/>
      </c>
      <c r="AA61" s="66" t="str">
        <f>IF(AND(X61="Reçu",ISNUMBER(R61)),IF(N(U61)&lt;=R61,1,0),"")</f>
        <v/>
      </c>
      <c r="AB61" s="76" t="str">
        <f>IF(OR(X61="Envoyé",X61="Partiel",X61="En retard"),IF(ISNUMBER(R61),R61,100000)+ROW()/100000,"")</f>
        <v/>
      </c>
      <c r="AC61" s="66" t="str">
        <f>IF(A61="","",IF(COUNTIF($A$6:A61,A61)=1,1,""))</f>
        <v/>
      </c>
      <c r="AD61" s="66" t="str">
        <f>IF(AC61=1,COUNT($AC$6:AC61),"")</f>
        <v/>
      </c>
      <c r="AE61" s="66" t="str">
        <f>IFERROR(INDEX(po_num,MATCH(56,po_seq,0))&amp;"","")</f>
        <v/>
      </c>
      <c r="AF61" s="66" t="str">
        <f>IF(OR(A61="",p_po=""),"",IF(A61&amp;""=p_po,COUNTIF($A$6:A61,A61),""))</f>
        <v/>
      </c>
      <c r="AG61" s="66" t="str">
        <f>IF(OR(AB61="",A61=""),"",IF(COUNTIFS($A$6:A61,A61,$AB$6:AB61,"&gt;0")=1,1,""))</f>
        <v/>
      </c>
      <c r="AH61" s="70" t="str">
        <f>IF(AB61="","",ROUND(N(W61)*N(J61)*(1-N(K61)),2))</f>
        <v/>
      </c>
      <c r="AI61" s="70" t="str">
        <f>IF(OR(J61="",N(T61)&lt;=0,V61="Oui"),"",ROUND(N(T61)*J61*(1-N(K61)),2))</f>
        <v/>
      </c>
    </row>
    <row r="62">
      <c r="A62" s="63" t="n"/>
      <c r="B62" s="64" t="n"/>
      <c r="C62" s="65" t="n"/>
      <c r="D62" s="66" t="str">
        <f>IF(C62="","",IFERROR(INDEX(sup_name,MATCH($C62,sup_code,0))&amp;"","Fournisseur inconnu"))</f>
        <v/>
      </c>
      <c r="E62" s="63" t="n"/>
      <c r="F62" s="66" t="str">
        <f>IF(E62="","",IFERROR(INDEX(art_des,MATCH($E62,art_ref,0))&amp;"","Article inconnu"))</f>
        <v/>
      </c>
      <c r="G62" s="67" t="str">
        <f>IF(E62="","",IFERROR(INDEX(art_unit,MATCH($E62,art_ref,0))&amp;"",""))</f>
        <v/>
      </c>
      <c r="H62" s="68" t="n"/>
      <c r="I62" s="69" t="n"/>
      <c r="J62" s="70" t="str">
        <f>IF(E62="","",IF(ISNUMBER(I62),I62,IFERROR(IF(ISNUMBER(INDEX(art_price,MATCH($E62,art_ref,0))),INDEX(art_price,MATCH($E62,art_ref,0)),""),"")))</f>
        <v/>
      </c>
      <c r="K62" s="71" t="n"/>
      <c r="L62" s="72" t="n"/>
      <c r="M62" s="72" t="str">
        <f>IF(E62="","",IF(L62&lt;&gt;"",L62,IFERROR(IF(ISNUMBER(INDEX(art_tva,MATCH($E62,art_ref,0))),INDEX(art_tva,MATCH($E62,art_ref,0)),""),"")))</f>
        <v/>
      </c>
      <c r="N62" s="70" t="str">
        <f>IF(OR(E62="",J62=""),"",ROUND(N(H62)*J62*(1-N(K62)),2))</f>
        <v/>
      </c>
      <c r="O62" s="70" t="str">
        <f>IF(OR(N62="",NOT(ISNUMBER(M62))),"",ROUND(N62*M62,2))</f>
        <v/>
      </c>
      <c r="P62" s="70" t="str">
        <f>IF(N62="","",N62+N(O62))</f>
        <v/>
      </c>
      <c r="Q62" s="64" t="n"/>
      <c r="R62" s="73" t="str">
        <f>IF(N(Q62)&gt;0,Q62,IF(OR(N(B62)=0,ISNA(MATCH($C62,sup_code,0))),"",IF(ISNUMBER(INDEX(sup_delay,MATCH($C62,sup_code,0))),B62+INDEX(sup_delay,MATCH($C62,sup_code,0)),"")))</f>
        <v/>
      </c>
      <c r="S62" s="64" t="n"/>
      <c r="T62" s="68" t="n"/>
      <c r="U62" s="64" t="n"/>
      <c r="V62" s="65" t="n"/>
      <c r="W62" s="74" t="str">
        <f>IF(AND(A62="",E62=""),"",IF(V62="Oui",0,MAX(0,ROUND(N(H62)-N(T62),6))))</f>
        <v/>
      </c>
      <c r="X62" s="67" t="str">
        <f>IF(AND(A62="",E62=""),"",IF(V62="Oui","Annulé",IF(AND(N(H62)&gt;0,N(T62)&gt;=N(H62)),"Reçu",IF(N(S62)=0,"Brouillon",IF(AND(ISNUMBER(R62),R62&lt;p_today),"En retard",IF(N(T62)&gt;0,"Partiel","Envoyé"))))))</f>
        <v/>
      </c>
      <c r="Y62" s="75" t="str">
        <f>IF(X62="En retard",p_today-R62,IF(AND(X62="Reçu",ISNUMBER(R62)),MAX(0,N(U62)-R62),""))</f>
        <v/>
      </c>
      <c r="Z62" s="67" t="str">
        <f>IF(AND(A62="",E62=""),"",IF(A62="","N° de bon manquant",IF(N(B62)=0,"Date de commande manquante",IF(C62="","Fournisseur manquant",IF(ISNA(MATCH($C62,sup_code,0)),"Fournisseur inconnu",IF(E62="","Article manquant",IF(ISNA(MATCH($E62,art_ref,0)),"Article inconnu",IF(N(H62)&lt;=0,"Quantité invalide",IF(J62="","Prix manquant",IF(OR(N(K62)&lt;0,N(K62)&gt;=1),"Remise invalide",IF(M62="","TVA manquante",IF(ISNA(MATCH(M62,p_tva,0)),"Taux de TVA inconnu",IF(COUNTIFS(po_num,A62,po_sup,"&lt;&gt;"&amp;C62)&gt;0,"Fournisseur différent sur ce bon",IF(COUNTIFS(po_num,A62,po_date,"&lt;&gt;"&amp;B62)&gt;0,"Date différente sur ce bon",IF(COUNTIF(po_num,A62)&gt;25,"Plus de 25 lignes sur ce bon",IF(R62="","Date de livraison manquante",IF(R62&lt;B62,"Livraison avant la commande",IF(AND(N(T62)&gt;0,N(S62)=0),"Date d'envoi manquante",IF(N(T62)&gt;N(H62),"Reçu plus que commandé",IF(AND(N(T62)&gt;0,N(U62)=0),"Date de réception manquante",IF(AND(N(U62)&gt;0,U62&lt;B62),"Réception avant la commande","OK")))))))))))))))))))))</f>
        <v/>
      </c>
      <c r="AA62" s="66" t="str">
        <f>IF(AND(X62="Reçu",ISNUMBER(R62)),IF(N(U62)&lt;=R62,1,0),"")</f>
        <v/>
      </c>
      <c r="AB62" s="76" t="str">
        <f>IF(OR(X62="Envoyé",X62="Partiel",X62="En retard"),IF(ISNUMBER(R62),R62,100000)+ROW()/100000,"")</f>
        <v/>
      </c>
      <c r="AC62" s="66" t="str">
        <f>IF(A62="","",IF(COUNTIF($A$6:A62,A62)=1,1,""))</f>
        <v/>
      </c>
      <c r="AD62" s="66" t="str">
        <f>IF(AC62=1,COUNT($AC$6:AC62),"")</f>
        <v/>
      </c>
      <c r="AE62" s="66" t="str">
        <f>IFERROR(INDEX(po_num,MATCH(57,po_seq,0))&amp;"","")</f>
        <v/>
      </c>
      <c r="AF62" s="66" t="str">
        <f>IF(OR(A62="",p_po=""),"",IF(A62&amp;""=p_po,COUNTIF($A$6:A62,A62),""))</f>
        <v/>
      </c>
      <c r="AG62" s="66" t="str">
        <f>IF(OR(AB62="",A62=""),"",IF(COUNTIFS($A$6:A62,A62,$AB$6:AB62,"&gt;0")=1,1,""))</f>
        <v/>
      </c>
      <c r="AH62" s="70" t="str">
        <f>IF(AB62="","",ROUND(N(W62)*N(J62)*(1-N(K62)),2))</f>
        <v/>
      </c>
      <c r="AI62" s="70" t="str">
        <f>IF(OR(J62="",N(T62)&lt;=0,V62="Oui"),"",ROUND(N(T62)*J62*(1-N(K62)),2))</f>
        <v/>
      </c>
    </row>
    <row r="63">
      <c r="A63" s="63" t="n"/>
      <c r="B63" s="64" t="n"/>
      <c r="C63" s="65" t="n"/>
      <c r="D63" s="66" t="str">
        <f>IF(C63="","",IFERROR(INDEX(sup_name,MATCH($C63,sup_code,0))&amp;"","Fournisseur inconnu"))</f>
        <v/>
      </c>
      <c r="E63" s="63" t="n"/>
      <c r="F63" s="66" t="str">
        <f>IF(E63="","",IFERROR(INDEX(art_des,MATCH($E63,art_ref,0))&amp;"","Article inconnu"))</f>
        <v/>
      </c>
      <c r="G63" s="67" t="str">
        <f>IF(E63="","",IFERROR(INDEX(art_unit,MATCH($E63,art_ref,0))&amp;"",""))</f>
        <v/>
      </c>
      <c r="H63" s="68" t="n"/>
      <c r="I63" s="69" t="n"/>
      <c r="J63" s="70" t="str">
        <f>IF(E63="","",IF(ISNUMBER(I63),I63,IFERROR(IF(ISNUMBER(INDEX(art_price,MATCH($E63,art_ref,0))),INDEX(art_price,MATCH($E63,art_ref,0)),""),"")))</f>
        <v/>
      </c>
      <c r="K63" s="71" t="n"/>
      <c r="L63" s="72" t="n"/>
      <c r="M63" s="72" t="str">
        <f>IF(E63="","",IF(L63&lt;&gt;"",L63,IFERROR(IF(ISNUMBER(INDEX(art_tva,MATCH($E63,art_ref,0))),INDEX(art_tva,MATCH($E63,art_ref,0)),""),"")))</f>
        <v/>
      </c>
      <c r="N63" s="70" t="str">
        <f>IF(OR(E63="",J63=""),"",ROUND(N(H63)*J63*(1-N(K63)),2))</f>
        <v/>
      </c>
      <c r="O63" s="70" t="str">
        <f>IF(OR(N63="",NOT(ISNUMBER(M63))),"",ROUND(N63*M63,2))</f>
        <v/>
      </c>
      <c r="P63" s="70" t="str">
        <f>IF(N63="","",N63+N(O63))</f>
        <v/>
      </c>
      <c r="Q63" s="64" t="n"/>
      <c r="R63" s="73" t="str">
        <f>IF(N(Q63)&gt;0,Q63,IF(OR(N(B63)=0,ISNA(MATCH($C63,sup_code,0))),"",IF(ISNUMBER(INDEX(sup_delay,MATCH($C63,sup_code,0))),B63+INDEX(sup_delay,MATCH($C63,sup_code,0)),"")))</f>
        <v/>
      </c>
      <c r="S63" s="64" t="n"/>
      <c r="T63" s="68" t="n"/>
      <c r="U63" s="64" t="n"/>
      <c r="V63" s="65" t="n"/>
      <c r="W63" s="74" t="str">
        <f>IF(AND(A63="",E63=""),"",IF(V63="Oui",0,MAX(0,ROUND(N(H63)-N(T63),6))))</f>
        <v/>
      </c>
      <c r="X63" s="67" t="str">
        <f>IF(AND(A63="",E63=""),"",IF(V63="Oui","Annulé",IF(AND(N(H63)&gt;0,N(T63)&gt;=N(H63)),"Reçu",IF(N(S63)=0,"Brouillon",IF(AND(ISNUMBER(R63),R63&lt;p_today),"En retard",IF(N(T63)&gt;0,"Partiel","Envoyé"))))))</f>
        <v/>
      </c>
      <c r="Y63" s="75" t="str">
        <f>IF(X63="En retard",p_today-R63,IF(AND(X63="Reçu",ISNUMBER(R63)),MAX(0,N(U63)-R63),""))</f>
        <v/>
      </c>
      <c r="Z63" s="67" t="str">
        <f>IF(AND(A63="",E63=""),"",IF(A63="","N° de bon manquant",IF(N(B63)=0,"Date de commande manquante",IF(C63="","Fournisseur manquant",IF(ISNA(MATCH($C63,sup_code,0)),"Fournisseur inconnu",IF(E63="","Article manquant",IF(ISNA(MATCH($E63,art_ref,0)),"Article inconnu",IF(N(H63)&lt;=0,"Quantité invalide",IF(J63="","Prix manquant",IF(OR(N(K63)&lt;0,N(K63)&gt;=1),"Remise invalide",IF(M63="","TVA manquante",IF(ISNA(MATCH(M63,p_tva,0)),"Taux de TVA inconnu",IF(COUNTIFS(po_num,A63,po_sup,"&lt;&gt;"&amp;C63)&gt;0,"Fournisseur différent sur ce bon",IF(COUNTIFS(po_num,A63,po_date,"&lt;&gt;"&amp;B63)&gt;0,"Date différente sur ce bon",IF(COUNTIF(po_num,A63)&gt;25,"Plus de 25 lignes sur ce bon",IF(R63="","Date de livraison manquante",IF(R63&lt;B63,"Livraison avant la commande",IF(AND(N(T63)&gt;0,N(S63)=0),"Date d'envoi manquante",IF(N(T63)&gt;N(H63),"Reçu plus que commandé",IF(AND(N(T63)&gt;0,N(U63)=0),"Date de réception manquante",IF(AND(N(U63)&gt;0,U63&lt;B63),"Réception avant la commande","OK")))))))))))))))))))))</f>
        <v/>
      </c>
      <c r="AA63" s="66" t="str">
        <f>IF(AND(X63="Reçu",ISNUMBER(R63)),IF(N(U63)&lt;=R63,1,0),"")</f>
        <v/>
      </c>
      <c r="AB63" s="76" t="str">
        <f>IF(OR(X63="Envoyé",X63="Partiel",X63="En retard"),IF(ISNUMBER(R63),R63,100000)+ROW()/100000,"")</f>
        <v/>
      </c>
      <c r="AC63" s="66" t="str">
        <f>IF(A63="","",IF(COUNTIF($A$6:A63,A63)=1,1,""))</f>
        <v/>
      </c>
      <c r="AD63" s="66" t="str">
        <f>IF(AC63=1,COUNT($AC$6:AC63),"")</f>
        <v/>
      </c>
      <c r="AE63" s="66" t="str">
        <f>IFERROR(INDEX(po_num,MATCH(58,po_seq,0))&amp;"","")</f>
        <v/>
      </c>
      <c r="AF63" s="66" t="str">
        <f>IF(OR(A63="",p_po=""),"",IF(A63&amp;""=p_po,COUNTIF($A$6:A63,A63),""))</f>
        <v/>
      </c>
      <c r="AG63" s="66" t="str">
        <f>IF(OR(AB63="",A63=""),"",IF(COUNTIFS($A$6:A63,A63,$AB$6:AB63,"&gt;0")=1,1,""))</f>
        <v/>
      </c>
      <c r="AH63" s="70" t="str">
        <f>IF(AB63="","",ROUND(N(W63)*N(J63)*(1-N(K63)),2))</f>
        <v/>
      </c>
      <c r="AI63" s="70" t="str">
        <f>IF(OR(J63="",N(T63)&lt;=0,V63="Oui"),"",ROUND(N(T63)*J63*(1-N(K63)),2))</f>
        <v/>
      </c>
    </row>
    <row r="64">
      <c r="A64" s="63" t="n"/>
      <c r="B64" s="64" t="n"/>
      <c r="C64" s="65" t="n"/>
      <c r="D64" s="66" t="str">
        <f>IF(C64="","",IFERROR(INDEX(sup_name,MATCH($C64,sup_code,0))&amp;"","Fournisseur inconnu"))</f>
        <v/>
      </c>
      <c r="E64" s="63" t="n"/>
      <c r="F64" s="66" t="str">
        <f>IF(E64="","",IFERROR(INDEX(art_des,MATCH($E64,art_ref,0))&amp;"","Article inconnu"))</f>
        <v/>
      </c>
      <c r="G64" s="67" t="str">
        <f>IF(E64="","",IFERROR(INDEX(art_unit,MATCH($E64,art_ref,0))&amp;"",""))</f>
        <v/>
      </c>
      <c r="H64" s="68" t="n"/>
      <c r="I64" s="69" t="n"/>
      <c r="J64" s="70" t="str">
        <f>IF(E64="","",IF(ISNUMBER(I64),I64,IFERROR(IF(ISNUMBER(INDEX(art_price,MATCH($E64,art_ref,0))),INDEX(art_price,MATCH($E64,art_ref,0)),""),"")))</f>
        <v/>
      </c>
      <c r="K64" s="71" t="n"/>
      <c r="L64" s="72" t="n"/>
      <c r="M64" s="72" t="str">
        <f>IF(E64="","",IF(L64&lt;&gt;"",L64,IFERROR(IF(ISNUMBER(INDEX(art_tva,MATCH($E64,art_ref,0))),INDEX(art_tva,MATCH($E64,art_ref,0)),""),"")))</f>
        <v/>
      </c>
      <c r="N64" s="70" t="str">
        <f>IF(OR(E64="",J64=""),"",ROUND(N(H64)*J64*(1-N(K64)),2))</f>
        <v/>
      </c>
      <c r="O64" s="70" t="str">
        <f>IF(OR(N64="",NOT(ISNUMBER(M64))),"",ROUND(N64*M64,2))</f>
        <v/>
      </c>
      <c r="P64" s="70" t="str">
        <f>IF(N64="","",N64+N(O64))</f>
        <v/>
      </c>
      <c r="Q64" s="64" t="n"/>
      <c r="R64" s="73" t="str">
        <f>IF(N(Q64)&gt;0,Q64,IF(OR(N(B64)=0,ISNA(MATCH($C64,sup_code,0))),"",IF(ISNUMBER(INDEX(sup_delay,MATCH($C64,sup_code,0))),B64+INDEX(sup_delay,MATCH($C64,sup_code,0)),"")))</f>
        <v/>
      </c>
      <c r="S64" s="64" t="n"/>
      <c r="T64" s="68" t="n"/>
      <c r="U64" s="64" t="n"/>
      <c r="V64" s="65" t="n"/>
      <c r="W64" s="74" t="str">
        <f>IF(AND(A64="",E64=""),"",IF(V64="Oui",0,MAX(0,ROUND(N(H64)-N(T64),6))))</f>
        <v/>
      </c>
      <c r="X64" s="67" t="str">
        <f>IF(AND(A64="",E64=""),"",IF(V64="Oui","Annulé",IF(AND(N(H64)&gt;0,N(T64)&gt;=N(H64)),"Reçu",IF(N(S64)=0,"Brouillon",IF(AND(ISNUMBER(R64),R64&lt;p_today),"En retard",IF(N(T64)&gt;0,"Partiel","Envoyé"))))))</f>
        <v/>
      </c>
      <c r="Y64" s="75" t="str">
        <f>IF(X64="En retard",p_today-R64,IF(AND(X64="Reçu",ISNUMBER(R64)),MAX(0,N(U64)-R64),""))</f>
        <v/>
      </c>
      <c r="Z64" s="67" t="str">
        <f>IF(AND(A64="",E64=""),"",IF(A64="","N° de bon manquant",IF(N(B64)=0,"Date de commande manquante",IF(C64="","Fournisseur manquant",IF(ISNA(MATCH($C64,sup_code,0)),"Fournisseur inconnu",IF(E64="","Article manquant",IF(ISNA(MATCH($E64,art_ref,0)),"Article inconnu",IF(N(H64)&lt;=0,"Quantité invalide",IF(J64="","Prix manquant",IF(OR(N(K64)&lt;0,N(K64)&gt;=1),"Remise invalide",IF(M64="","TVA manquante",IF(ISNA(MATCH(M64,p_tva,0)),"Taux de TVA inconnu",IF(COUNTIFS(po_num,A64,po_sup,"&lt;&gt;"&amp;C64)&gt;0,"Fournisseur différent sur ce bon",IF(COUNTIFS(po_num,A64,po_date,"&lt;&gt;"&amp;B64)&gt;0,"Date différente sur ce bon",IF(COUNTIF(po_num,A64)&gt;25,"Plus de 25 lignes sur ce bon",IF(R64="","Date de livraison manquante",IF(R64&lt;B64,"Livraison avant la commande",IF(AND(N(T64)&gt;0,N(S64)=0),"Date d'envoi manquante",IF(N(T64)&gt;N(H64),"Reçu plus que commandé",IF(AND(N(T64)&gt;0,N(U64)=0),"Date de réception manquante",IF(AND(N(U64)&gt;0,U64&lt;B64),"Réception avant la commande","OK")))))))))))))))))))))</f>
        <v/>
      </c>
      <c r="AA64" s="66" t="str">
        <f>IF(AND(X64="Reçu",ISNUMBER(R64)),IF(N(U64)&lt;=R64,1,0),"")</f>
        <v/>
      </c>
      <c r="AB64" s="76" t="str">
        <f>IF(OR(X64="Envoyé",X64="Partiel",X64="En retard"),IF(ISNUMBER(R64),R64,100000)+ROW()/100000,"")</f>
        <v/>
      </c>
      <c r="AC64" s="66" t="str">
        <f>IF(A64="","",IF(COUNTIF($A$6:A64,A64)=1,1,""))</f>
        <v/>
      </c>
      <c r="AD64" s="66" t="str">
        <f>IF(AC64=1,COUNT($AC$6:AC64),"")</f>
        <v/>
      </c>
      <c r="AE64" s="66" t="str">
        <f>IFERROR(INDEX(po_num,MATCH(59,po_seq,0))&amp;"","")</f>
        <v/>
      </c>
      <c r="AF64" s="66" t="str">
        <f>IF(OR(A64="",p_po=""),"",IF(A64&amp;""=p_po,COUNTIF($A$6:A64,A64),""))</f>
        <v/>
      </c>
      <c r="AG64" s="66" t="str">
        <f>IF(OR(AB64="",A64=""),"",IF(COUNTIFS($A$6:A64,A64,$AB$6:AB64,"&gt;0")=1,1,""))</f>
        <v/>
      </c>
      <c r="AH64" s="70" t="str">
        <f>IF(AB64="","",ROUND(N(W64)*N(J64)*(1-N(K64)),2))</f>
        <v/>
      </c>
      <c r="AI64" s="70" t="str">
        <f>IF(OR(J64="",N(T64)&lt;=0,V64="Oui"),"",ROUND(N(T64)*J64*(1-N(K64)),2))</f>
        <v/>
      </c>
    </row>
    <row r="65">
      <c r="A65" s="63" t="n"/>
      <c r="B65" s="64" t="n"/>
      <c r="C65" s="65" t="n"/>
      <c r="D65" s="66" t="str">
        <f>IF(C65="","",IFERROR(INDEX(sup_name,MATCH($C65,sup_code,0))&amp;"","Fournisseur inconnu"))</f>
        <v/>
      </c>
      <c r="E65" s="63" t="n"/>
      <c r="F65" s="66" t="str">
        <f>IF(E65="","",IFERROR(INDEX(art_des,MATCH($E65,art_ref,0))&amp;"","Article inconnu"))</f>
        <v/>
      </c>
      <c r="G65" s="67" t="str">
        <f>IF(E65="","",IFERROR(INDEX(art_unit,MATCH($E65,art_ref,0))&amp;"",""))</f>
        <v/>
      </c>
      <c r="H65" s="68" t="n"/>
      <c r="I65" s="69" t="n"/>
      <c r="J65" s="70" t="str">
        <f>IF(E65="","",IF(ISNUMBER(I65),I65,IFERROR(IF(ISNUMBER(INDEX(art_price,MATCH($E65,art_ref,0))),INDEX(art_price,MATCH($E65,art_ref,0)),""),"")))</f>
        <v/>
      </c>
      <c r="K65" s="71" t="n"/>
      <c r="L65" s="72" t="n"/>
      <c r="M65" s="72" t="str">
        <f>IF(E65="","",IF(L65&lt;&gt;"",L65,IFERROR(IF(ISNUMBER(INDEX(art_tva,MATCH($E65,art_ref,0))),INDEX(art_tva,MATCH($E65,art_ref,0)),""),"")))</f>
        <v/>
      </c>
      <c r="N65" s="70" t="str">
        <f>IF(OR(E65="",J65=""),"",ROUND(N(H65)*J65*(1-N(K65)),2))</f>
        <v/>
      </c>
      <c r="O65" s="70" t="str">
        <f>IF(OR(N65="",NOT(ISNUMBER(M65))),"",ROUND(N65*M65,2))</f>
        <v/>
      </c>
      <c r="P65" s="70" t="str">
        <f>IF(N65="","",N65+N(O65))</f>
        <v/>
      </c>
      <c r="Q65" s="64" t="n"/>
      <c r="R65" s="73" t="str">
        <f>IF(N(Q65)&gt;0,Q65,IF(OR(N(B65)=0,ISNA(MATCH($C65,sup_code,0))),"",IF(ISNUMBER(INDEX(sup_delay,MATCH($C65,sup_code,0))),B65+INDEX(sup_delay,MATCH($C65,sup_code,0)),"")))</f>
        <v/>
      </c>
      <c r="S65" s="64" t="n"/>
      <c r="T65" s="68" t="n"/>
      <c r="U65" s="64" t="n"/>
      <c r="V65" s="65" t="n"/>
      <c r="W65" s="74" t="str">
        <f>IF(AND(A65="",E65=""),"",IF(V65="Oui",0,MAX(0,ROUND(N(H65)-N(T65),6))))</f>
        <v/>
      </c>
      <c r="X65" s="67" t="str">
        <f>IF(AND(A65="",E65=""),"",IF(V65="Oui","Annulé",IF(AND(N(H65)&gt;0,N(T65)&gt;=N(H65)),"Reçu",IF(N(S65)=0,"Brouillon",IF(AND(ISNUMBER(R65),R65&lt;p_today),"En retard",IF(N(T65)&gt;0,"Partiel","Envoyé"))))))</f>
        <v/>
      </c>
      <c r="Y65" s="75" t="str">
        <f>IF(X65="En retard",p_today-R65,IF(AND(X65="Reçu",ISNUMBER(R65)),MAX(0,N(U65)-R65),""))</f>
        <v/>
      </c>
      <c r="Z65" s="67" t="str">
        <f>IF(AND(A65="",E65=""),"",IF(A65="","N° de bon manquant",IF(N(B65)=0,"Date de commande manquante",IF(C65="","Fournisseur manquant",IF(ISNA(MATCH($C65,sup_code,0)),"Fournisseur inconnu",IF(E65="","Article manquant",IF(ISNA(MATCH($E65,art_ref,0)),"Article inconnu",IF(N(H65)&lt;=0,"Quantité invalide",IF(J65="","Prix manquant",IF(OR(N(K65)&lt;0,N(K65)&gt;=1),"Remise invalide",IF(M65="","TVA manquante",IF(ISNA(MATCH(M65,p_tva,0)),"Taux de TVA inconnu",IF(COUNTIFS(po_num,A65,po_sup,"&lt;&gt;"&amp;C65)&gt;0,"Fournisseur différent sur ce bon",IF(COUNTIFS(po_num,A65,po_date,"&lt;&gt;"&amp;B65)&gt;0,"Date différente sur ce bon",IF(COUNTIF(po_num,A65)&gt;25,"Plus de 25 lignes sur ce bon",IF(R65="","Date de livraison manquante",IF(R65&lt;B65,"Livraison avant la commande",IF(AND(N(T65)&gt;0,N(S65)=0),"Date d'envoi manquante",IF(N(T65)&gt;N(H65),"Reçu plus que commandé",IF(AND(N(T65)&gt;0,N(U65)=0),"Date de réception manquante",IF(AND(N(U65)&gt;0,U65&lt;B65),"Réception avant la commande","OK")))))))))))))))))))))</f>
        <v/>
      </c>
      <c r="AA65" s="66" t="str">
        <f>IF(AND(X65="Reçu",ISNUMBER(R65)),IF(N(U65)&lt;=R65,1,0),"")</f>
        <v/>
      </c>
      <c r="AB65" s="76" t="str">
        <f>IF(OR(X65="Envoyé",X65="Partiel",X65="En retard"),IF(ISNUMBER(R65),R65,100000)+ROW()/100000,"")</f>
        <v/>
      </c>
      <c r="AC65" s="66" t="str">
        <f>IF(A65="","",IF(COUNTIF($A$6:A65,A65)=1,1,""))</f>
        <v/>
      </c>
      <c r="AD65" s="66" t="str">
        <f>IF(AC65=1,COUNT($AC$6:AC65),"")</f>
        <v/>
      </c>
      <c r="AE65" s="66" t="str">
        <f>IFERROR(INDEX(po_num,MATCH(60,po_seq,0))&amp;"","")</f>
        <v/>
      </c>
      <c r="AF65" s="66" t="str">
        <f>IF(OR(A65="",p_po=""),"",IF(A65&amp;""=p_po,COUNTIF($A$6:A65,A65),""))</f>
        <v/>
      </c>
      <c r="AG65" s="66" t="str">
        <f>IF(OR(AB65="",A65=""),"",IF(COUNTIFS($A$6:A65,A65,$AB$6:AB65,"&gt;0")=1,1,""))</f>
        <v/>
      </c>
      <c r="AH65" s="70" t="str">
        <f>IF(AB65="","",ROUND(N(W65)*N(J65)*(1-N(K65)),2))</f>
        <v/>
      </c>
      <c r="AI65" s="70" t="str">
        <f>IF(OR(J65="",N(T65)&lt;=0,V65="Oui"),"",ROUND(N(T65)*J65*(1-N(K65)),2))</f>
        <v/>
      </c>
    </row>
    <row r="66">
      <c r="A66" s="63" t="n"/>
      <c r="B66" s="64" t="n"/>
      <c r="C66" s="65" t="n"/>
      <c r="D66" s="66" t="str">
        <f>IF(C66="","",IFERROR(INDEX(sup_name,MATCH($C66,sup_code,0))&amp;"","Fournisseur inconnu"))</f>
        <v/>
      </c>
      <c r="E66" s="63" t="n"/>
      <c r="F66" s="66" t="str">
        <f>IF(E66="","",IFERROR(INDEX(art_des,MATCH($E66,art_ref,0))&amp;"","Article inconnu"))</f>
        <v/>
      </c>
      <c r="G66" s="67" t="str">
        <f>IF(E66="","",IFERROR(INDEX(art_unit,MATCH($E66,art_ref,0))&amp;"",""))</f>
        <v/>
      </c>
      <c r="H66" s="68" t="n"/>
      <c r="I66" s="69" t="n"/>
      <c r="J66" s="70" t="str">
        <f>IF(E66="","",IF(ISNUMBER(I66),I66,IFERROR(IF(ISNUMBER(INDEX(art_price,MATCH($E66,art_ref,0))),INDEX(art_price,MATCH($E66,art_ref,0)),""),"")))</f>
        <v/>
      </c>
      <c r="K66" s="71" t="n"/>
      <c r="L66" s="72" t="n"/>
      <c r="M66" s="72" t="str">
        <f>IF(E66="","",IF(L66&lt;&gt;"",L66,IFERROR(IF(ISNUMBER(INDEX(art_tva,MATCH($E66,art_ref,0))),INDEX(art_tva,MATCH($E66,art_ref,0)),""),"")))</f>
        <v/>
      </c>
      <c r="N66" s="70" t="str">
        <f>IF(OR(E66="",J66=""),"",ROUND(N(H66)*J66*(1-N(K66)),2))</f>
        <v/>
      </c>
      <c r="O66" s="70" t="str">
        <f>IF(OR(N66="",NOT(ISNUMBER(M66))),"",ROUND(N66*M66,2))</f>
        <v/>
      </c>
      <c r="P66" s="70" t="str">
        <f>IF(N66="","",N66+N(O66))</f>
        <v/>
      </c>
      <c r="Q66" s="64" t="n"/>
      <c r="R66" s="73" t="str">
        <f>IF(N(Q66)&gt;0,Q66,IF(OR(N(B66)=0,ISNA(MATCH($C66,sup_code,0))),"",IF(ISNUMBER(INDEX(sup_delay,MATCH($C66,sup_code,0))),B66+INDEX(sup_delay,MATCH($C66,sup_code,0)),"")))</f>
        <v/>
      </c>
      <c r="S66" s="64" t="n"/>
      <c r="T66" s="68" t="n"/>
      <c r="U66" s="64" t="n"/>
      <c r="V66" s="65" t="n"/>
      <c r="W66" s="74" t="str">
        <f>IF(AND(A66="",E66=""),"",IF(V66="Oui",0,MAX(0,ROUND(N(H66)-N(T66),6))))</f>
        <v/>
      </c>
      <c r="X66" s="67" t="str">
        <f>IF(AND(A66="",E66=""),"",IF(V66="Oui","Annulé",IF(AND(N(H66)&gt;0,N(T66)&gt;=N(H66)),"Reçu",IF(N(S66)=0,"Brouillon",IF(AND(ISNUMBER(R66),R66&lt;p_today),"En retard",IF(N(T66)&gt;0,"Partiel","Envoyé"))))))</f>
        <v/>
      </c>
      <c r="Y66" s="75" t="str">
        <f>IF(X66="En retard",p_today-R66,IF(AND(X66="Reçu",ISNUMBER(R66)),MAX(0,N(U66)-R66),""))</f>
        <v/>
      </c>
      <c r="Z66" s="67" t="str">
        <f>IF(AND(A66="",E66=""),"",IF(A66="","N° de bon manquant",IF(N(B66)=0,"Date de commande manquante",IF(C66="","Fournisseur manquant",IF(ISNA(MATCH($C66,sup_code,0)),"Fournisseur inconnu",IF(E66="","Article manquant",IF(ISNA(MATCH($E66,art_ref,0)),"Article inconnu",IF(N(H66)&lt;=0,"Quantité invalide",IF(J66="","Prix manquant",IF(OR(N(K66)&lt;0,N(K66)&gt;=1),"Remise invalide",IF(M66="","TVA manquante",IF(ISNA(MATCH(M66,p_tva,0)),"Taux de TVA inconnu",IF(COUNTIFS(po_num,A66,po_sup,"&lt;&gt;"&amp;C66)&gt;0,"Fournisseur différent sur ce bon",IF(COUNTIFS(po_num,A66,po_date,"&lt;&gt;"&amp;B66)&gt;0,"Date différente sur ce bon",IF(COUNTIF(po_num,A66)&gt;25,"Plus de 25 lignes sur ce bon",IF(R66="","Date de livraison manquante",IF(R66&lt;B66,"Livraison avant la commande",IF(AND(N(T66)&gt;0,N(S66)=0),"Date d'envoi manquante",IF(N(T66)&gt;N(H66),"Reçu plus que commandé",IF(AND(N(T66)&gt;0,N(U66)=0),"Date de réception manquante",IF(AND(N(U66)&gt;0,U66&lt;B66),"Réception avant la commande","OK")))))))))))))))))))))</f>
        <v/>
      </c>
      <c r="AA66" s="66" t="str">
        <f>IF(AND(X66="Reçu",ISNUMBER(R66)),IF(N(U66)&lt;=R66,1,0),"")</f>
        <v/>
      </c>
      <c r="AB66" s="76" t="str">
        <f>IF(OR(X66="Envoyé",X66="Partiel",X66="En retard"),IF(ISNUMBER(R66),R66,100000)+ROW()/100000,"")</f>
        <v/>
      </c>
      <c r="AC66" s="66" t="str">
        <f>IF(A66="","",IF(COUNTIF($A$6:A66,A66)=1,1,""))</f>
        <v/>
      </c>
      <c r="AD66" s="66" t="str">
        <f>IF(AC66=1,COUNT($AC$6:AC66),"")</f>
        <v/>
      </c>
      <c r="AE66" s="66" t="str">
        <f>IFERROR(INDEX(po_num,MATCH(61,po_seq,0))&amp;"","")</f>
        <v/>
      </c>
      <c r="AF66" s="66" t="str">
        <f>IF(OR(A66="",p_po=""),"",IF(A66&amp;""=p_po,COUNTIF($A$6:A66,A66),""))</f>
        <v/>
      </c>
      <c r="AG66" s="66" t="str">
        <f>IF(OR(AB66="",A66=""),"",IF(COUNTIFS($A$6:A66,A66,$AB$6:AB66,"&gt;0")=1,1,""))</f>
        <v/>
      </c>
      <c r="AH66" s="70" t="str">
        <f>IF(AB66="","",ROUND(N(W66)*N(J66)*(1-N(K66)),2))</f>
        <v/>
      </c>
      <c r="AI66" s="70" t="str">
        <f>IF(OR(J66="",N(T66)&lt;=0,V66="Oui"),"",ROUND(N(T66)*J66*(1-N(K66)),2))</f>
        <v/>
      </c>
    </row>
    <row r="67">
      <c r="A67" s="63" t="n"/>
      <c r="B67" s="64" t="n"/>
      <c r="C67" s="65" t="n"/>
      <c r="D67" s="66" t="str">
        <f>IF(C67="","",IFERROR(INDEX(sup_name,MATCH($C67,sup_code,0))&amp;"","Fournisseur inconnu"))</f>
        <v/>
      </c>
      <c r="E67" s="63" t="n"/>
      <c r="F67" s="66" t="str">
        <f>IF(E67="","",IFERROR(INDEX(art_des,MATCH($E67,art_ref,0))&amp;"","Article inconnu"))</f>
        <v/>
      </c>
      <c r="G67" s="67" t="str">
        <f>IF(E67="","",IFERROR(INDEX(art_unit,MATCH($E67,art_ref,0))&amp;"",""))</f>
        <v/>
      </c>
      <c r="H67" s="68" t="n"/>
      <c r="I67" s="69" t="n"/>
      <c r="J67" s="70" t="str">
        <f>IF(E67="","",IF(ISNUMBER(I67),I67,IFERROR(IF(ISNUMBER(INDEX(art_price,MATCH($E67,art_ref,0))),INDEX(art_price,MATCH($E67,art_ref,0)),""),"")))</f>
        <v/>
      </c>
      <c r="K67" s="71" t="n"/>
      <c r="L67" s="72" t="n"/>
      <c r="M67" s="72" t="str">
        <f>IF(E67="","",IF(L67&lt;&gt;"",L67,IFERROR(IF(ISNUMBER(INDEX(art_tva,MATCH($E67,art_ref,0))),INDEX(art_tva,MATCH($E67,art_ref,0)),""),"")))</f>
        <v/>
      </c>
      <c r="N67" s="70" t="str">
        <f>IF(OR(E67="",J67=""),"",ROUND(N(H67)*J67*(1-N(K67)),2))</f>
        <v/>
      </c>
      <c r="O67" s="70" t="str">
        <f>IF(OR(N67="",NOT(ISNUMBER(M67))),"",ROUND(N67*M67,2))</f>
        <v/>
      </c>
      <c r="P67" s="70" t="str">
        <f>IF(N67="","",N67+N(O67))</f>
        <v/>
      </c>
      <c r="Q67" s="64" t="n"/>
      <c r="R67" s="73" t="str">
        <f>IF(N(Q67)&gt;0,Q67,IF(OR(N(B67)=0,ISNA(MATCH($C67,sup_code,0))),"",IF(ISNUMBER(INDEX(sup_delay,MATCH($C67,sup_code,0))),B67+INDEX(sup_delay,MATCH($C67,sup_code,0)),"")))</f>
        <v/>
      </c>
      <c r="S67" s="64" t="n"/>
      <c r="T67" s="68" t="n"/>
      <c r="U67" s="64" t="n"/>
      <c r="V67" s="65" t="n"/>
      <c r="W67" s="74" t="str">
        <f>IF(AND(A67="",E67=""),"",IF(V67="Oui",0,MAX(0,ROUND(N(H67)-N(T67),6))))</f>
        <v/>
      </c>
      <c r="X67" s="67" t="str">
        <f>IF(AND(A67="",E67=""),"",IF(V67="Oui","Annulé",IF(AND(N(H67)&gt;0,N(T67)&gt;=N(H67)),"Reçu",IF(N(S67)=0,"Brouillon",IF(AND(ISNUMBER(R67),R67&lt;p_today),"En retard",IF(N(T67)&gt;0,"Partiel","Envoyé"))))))</f>
        <v/>
      </c>
      <c r="Y67" s="75" t="str">
        <f>IF(X67="En retard",p_today-R67,IF(AND(X67="Reçu",ISNUMBER(R67)),MAX(0,N(U67)-R67),""))</f>
        <v/>
      </c>
      <c r="Z67" s="67" t="str">
        <f>IF(AND(A67="",E67=""),"",IF(A67="","N° de bon manquant",IF(N(B67)=0,"Date de commande manquante",IF(C67="","Fournisseur manquant",IF(ISNA(MATCH($C67,sup_code,0)),"Fournisseur inconnu",IF(E67="","Article manquant",IF(ISNA(MATCH($E67,art_ref,0)),"Article inconnu",IF(N(H67)&lt;=0,"Quantité invalide",IF(J67="","Prix manquant",IF(OR(N(K67)&lt;0,N(K67)&gt;=1),"Remise invalide",IF(M67="","TVA manquante",IF(ISNA(MATCH(M67,p_tva,0)),"Taux de TVA inconnu",IF(COUNTIFS(po_num,A67,po_sup,"&lt;&gt;"&amp;C67)&gt;0,"Fournisseur différent sur ce bon",IF(COUNTIFS(po_num,A67,po_date,"&lt;&gt;"&amp;B67)&gt;0,"Date différente sur ce bon",IF(COUNTIF(po_num,A67)&gt;25,"Plus de 25 lignes sur ce bon",IF(R67="","Date de livraison manquante",IF(R67&lt;B67,"Livraison avant la commande",IF(AND(N(T67)&gt;0,N(S67)=0),"Date d'envoi manquante",IF(N(T67)&gt;N(H67),"Reçu plus que commandé",IF(AND(N(T67)&gt;0,N(U67)=0),"Date de réception manquante",IF(AND(N(U67)&gt;0,U67&lt;B67),"Réception avant la commande","OK")))))))))))))))))))))</f>
        <v/>
      </c>
      <c r="AA67" s="66" t="str">
        <f>IF(AND(X67="Reçu",ISNUMBER(R67)),IF(N(U67)&lt;=R67,1,0),"")</f>
        <v/>
      </c>
      <c r="AB67" s="76" t="str">
        <f>IF(OR(X67="Envoyé",X67="Partiel",X67="En retard"),IF(ISNUMBER(R67),R67,100000)+ROW()/100000,"")</f>
        <v/>
      </c>
      <c r="AC67" s="66" t="str">
        <f>IF(A67="","",IF(COUNTIF($A$6:A67,A67)=1,1,""))</f>
        <v/>
      </c>
      <c r="AD67" s="66" t="str">
        <f>IF(AC67=1,COUNT($AC$6:AC67),"")</f>
        <v/>
      </c>
      <c r="AE67" s="66" t="str">
        <f>IFERROR(INDEX(po_num,MATCH(62,po_seq,0))&amp;"","")</f>
        <v/>
      </c>
      <c r="AF67" s="66" t="str">
        <f>IF(OR(A67="",p_po=""),"",IF(A67&amp;""=p_po,COUNTIF($A$6:A67,A67),""))</f>
        <v/>
      </c>
      <c r="AG67" s="66" t="str">
        <f>IF(OR(AB67="",A67=""),"",IF(COUNTIFS($A$6:A67,A67,$AB$6:AB67,"&gt;0")=1,1,""))</f>
        <v/>
      </c>
      <c r="AH67" s="70" t="str">
        <f>IF(AB67="","",ROUND(N(W67)*N(J67)*(1-N(K67)),2))</f>
        <v/>
      </c>
      <c r="AI67" s="70" t="str">
        <f>IF(OR(J67="",N(T67)&lt;=0,V67="Oui"),"",ROUND(N(T67)*J67*(1-N(K67)),2))</f>
        <v/>
      </c>
    </row>
    <row r="68">
      <c r="A68" s="63" t="n"/>
      <c r="B68" s="64" t="n"/>
      <c r="C68" s="65" t="n"/>
      <c r="D68" s="66" t="str">
        <f>IF(C68="","",IFERROR(INDEX(sup_name,MATCH($C68,sup_code,0))&amp;"","Fournisseur inconnu"))</f>
        <v/>
      </c>
      <c r="E68" s="63" t="n"/>
      <c r="F68" s="66" t="str">
        <f>IF(E68="","",IFERROR(INDEX(art_des,MATCH($E68,art_ref,0))&amp;"","Article inconnu"))</f>
        <v/>
      </c>
      <c r="G68" s="67" t="str">
        <f>IF(E68="","",IFERROR(INDEX(art_unit,MATCH($E68,art_ref,0))&amp;"",""))</f>
        <v/>
      </c>
      <c r="H68" s="68" t="n"/>
      <c r="I68" s="69" t="n"/>
      <c r="J68" s="70" t="str">
        <f>IF(E68="","",IF(ISNUMBER(I68),I68,IFERROR(IF(ISNUMBER(INDEX(art_price,MATCH($E68,art_ref,0))),INDEX(art_price,MATCH($E68,art_ref,0)),""),"")))</f>
        <v/>
      </c>
      <c r="K68" s="71" t="n"/>
      <c r="L68" s="72" t="n"/>
      <c r="M68" s="72" t="str">
        <f>IF(E68="","",IF(L68&lt;&gt;"",L68,IFERROR(IF(ISNUMBER(INDEX(art_tva,MATCH($E68,art_ref,0))),INDEX(art_tva,MATCH($E68,art_ref,0)),""),"")))</f>
        <v/>
      </c>
      <c r="N68" s="70" t="str">
        <f>IF(OR(E68="",J68=""),"",ROUND(N(H68)*J68*(1-N(K68)),2))</f>
        <v/>
      </c>
      <c r="O68" s="70" t="str">
        <f>IF(OR(N68="",NOT(ISNUMBER(M68))),"",ROUND(N68*M68,2))</f>
        <v/>
      </c>
      <c r="P68" s="70" t="str">
        <f>IF(N68="","",N68+N(O68))</f>
        <v/>
      </c>
      <c r="Q68" s="64" t="n"/>
      <c r="R68" s="73" t="str">
        <f>IF(N(Q68)&gt;0,Q68,IF(OR(N(B68)=0,ISNA(MATCH($C68,sup_code,0))),"",IF(ISNUMBER(INDEX(sup_delay,MATCH($C68,sup_code,0))),B68+INDEX(sup_delay,MATCH($C68,sup_code,0)),"")))</f>
        <v/>
      </c>
      <c r="S68" s="64" t="n"/>
      <c r="T68" s="68" t="n"/>
      <c r="U68" s="64" t="n"/>
      <c r="V68" s="65" t="n"/>
      <c r="W68" s="74" t="str">
        <f>IF(AND(A68="",E68=""),"",IF(V68="Oui",0,MAX(0,ROUND(N(H68)-N(T68),6))))</f>
        <v/>
      </c>
      <c r="X68" s="67" t="str">
        <f>IF(AND(A68="",E68=""),"",IF(V68="Oui","Annulé",IF(AND(N(H68)&gt;0,N(T68)&gt;=N(H68)),"Reçu",IF(N(S68)=0,"Brouillon",IF(AND(ISNUMBER(R68),R68&lt;p_today),"En retard",IF(N(T68)&gt;0,"Partiel","Envoyé"))))))</f>
        <v/>
      </c>
      <c r="Y68" s="75" t="str">
        <f>IF(X68="En retard",p_today-R68,IF(AND(X68="Reçu",ISNUMBER(R68)),MAX(0,N(U68)-R68),""))</f>
        <v/>
      </c>
      <c r="Z68" s="67" t="str">
        <f>IF(AND(A68="",E68=""),"",IF(A68="","N° de bon manquant",IF(N(B68)=0,"Date de commande manquante",IF(C68="","Fournisseur manquant",IF(ISNA(MATCH($C68,sup_code,0)),"Fournisseur inconnu",IF(E68="","Article manquant",IF(ISNA(MATCH($E68,art_ref,0)),"Article inconnu",IF(N(H68)&lt;=0,"Quantité invalide",IF(J68="","Prix manquant",IF(OR(N(K68)&lt;0,N(K68)&gt;=1),"Remise invalide",IF(M68="","TVA manquante",IF(ISNA(MATCH(M68,p_tva,0)),"Taux de TVA inconnu",IF(COUNTIFS(po_num,A68,po_sup,"&lt;&gt;"&amp;C68)&gt;0,"Fournisseur différent sur ce bon",IF(COUNTIFS(po_num,A68,po_date,"&lt;&gt;"&amp;B68)&gt;0,"Date différente sur ce bon",IF(COUNTIF(po_num,A68)&gt;25,"Plus de 25 lignes sur ce bon",IF(R68="","Date de livraison manquante",IF(R68&lt;B68,"Livraison avant la commande",IF(AND(N(T68)&gt;0,N(S68)=0),"Date d'envoi manquante",IF(N(T68)&gt;N(H68),"Reçu plus que commandé",IF(AND(N(T68)&gt;0,N(U68)=0),"Date de réception manquante",IF(AND(N(U68)&gt;0,U68&lt;B68),"Réception avant la commande","OK")))))))))))))))))))))</f>
        <v/>
      </c>
      <c r="AA68" s="66" t="str">
        <f>IF(AND(X68="Reçu",ISNUMBER(R68)),IF(N(U68)&lt;=R68,1,0),"")</f>
        <v/>
      </c>
      <c r="AB68" s="76" t="str">
        <f>IF(OR(X68="Envoyé",X68="Partiel",X68="En retard"),IF(ISNUMBER(R68),R68,100000)+ROW()/100000,"")</f>
        <v/>
      </c>
      <c r="AC68" s="66" t="str">
        <f>IF(A68="","",IF(COUNTIF($A$6:A68,A68)=1,1,""))</f>
        <v/>
      </c>
      <c r="AD68" s="66" t="str">
        <f>IF(AC68=1,COUNT($AC$6:AC68),"")</f>
        <v/>
      </c>
      <c r="AE68" s="66" t="str">
        <f>IFERROR(INDEX(po_num,MATCH(63,po_seq,0))&amp;"","")</f>
        <v/>
      </c>
      <c r="AF68" s="66" t="str">
        <f>IF(OR(A68="",p_po=""),"",IF(A68&amp;""=p_po,COUNTIF($A$6:A68,A68),""))</f>
        <v/>
      </c>
      <c r="AG68" s="66" t="str">
        <f>IF(OR(AB68="",A68=""),"",IF(COUNTIFS($A$6:A68,A68,$AB$6:AB68,"&gt;0")=1,1,""))</f>
        <v/>
      </c>
      <c r="AH68" s="70" t="str">
        <f>IF(AB68="","",ROUND(N(W68)*N(J68)*(1-N(K68)),2))</f>
        <v/>
      </c>
      <c r="AI68" s="70" t="str">
        <f>IF(OR(J68="",N(T68)&lt;=0,V68="Oui"),"",ROUND(N(T68)*J68*(1-N(K68)),2))</f>
        <v/>
      </c>
    </row>
    <row r="69">
      <c r="A69" s="63" t="n"/>
      <c r="B69" s="64" t="n"/>
      <c r="C69" s="65" t="n"/>
      <c r="D69" s="66" t="str">
        <f>IF(C69="","",IFERROR(INDEX(sup_name,MATCH($C69,sup_code,0))&amp;"","Fournisseur inconnu"))</f>
        <v/>
      </c>
      <c r="E69" s="63" t="n"/>
      <c r="F69" s="66" t="str">
        <f>IF(E69="","",IFERROR(INDEX(art_des,MATCH($E69,art_ref,0))&amp;"","Article inconnu"))</f>
        <v/>
      </c>
      <c r="G69" s="67" t="str">
        <f>IF(E69="","",IFERROR(INDEX(art_unit,MATCH($E69,art_ref,0))&amp;"",""))</f>
        <v/>
      </c>
      <c r="H69" s="68" t="n"/>
      <c r="I69" s="69" t="n"/>
      <c r="J69" s="70" t="str">
        <f>IF(E69="","",IF(ISNUMBER(I69),I69,IFERROR(IF(ISNUMBER(INDEX(art_price,MATCH($E69,art_ref,0))),INDEX(art_price,MATCH($E69,art_ref,0)),""),"")))</f>
        <v/>
      </c>
      <c r="K69" s="71" t="n"/>
      <c r="L69" s="72" t="n"/>
      <c r="M69" s="72" t="str">
        <f>IF(E69="","",IF(L69&lt;&gt;"",L69,IFERROR(IF(ISNUMBER(INDEX(art_tva,MATCH($E69,art_ref,0))),INDEX(art_tva,MATCH($E69,art_ref,0)),""),"")))</f>
        <v/>
      </c>
      <c r="N69" s="70" t="str">
        <f>IF(OR(E69="",J69=""),"",ROUND(N(H69)*J69*(1-N(K69)),2))</f>
        <v/>
      </c>
      <c r="O69" s="70" t="str">
        <f>IF(OR(N69="",NOT(ISNUMBER(M69))),"",ROUND(N69*M69,2))</f>
        <v/>
      </c>
      <c r="P69" s="70" t="str">
        <f>IF(N69="","",N69+N(O69))</f>
        <v/>
      </c>
      <c r="Q69" s="64" t="n"/>
      <c r="R69" s="73" t="str">
        <f>IF(N(Q69)&gt;0,Q69,IF(OR(N(B69)=0,ISNA(MATCH($C69,sup_code,0))),"",IF(ISNUMBER(INDEX(sup_delay,MATCH($C69,sup_code,0))),B69+INDEX(sup_delay,MATCH($C69,sup_code,0)),"")))</f>
        <v/>
      </c>
      <c r="S69" s="64" t="n"/>
      <c r="T69" s="68" t="n"/>
      <c r="U69" s="64" t="n"/>
      <c r="V69" s="65" t="n"/>
      <c r="W69" s="74" t="str">
        <f>IF(AND(A69="",E69=""),"",IF(V69="Oui",0,MAX(0,ROUND(N(H69)-N(T69),6))))</f>
        <v/>
      </c>
      <c r="X69" s="67" t="str">
        <f>IF(AND(A69="",E69=""),"",IF(V69="Oui","Annulé",IF(AND(N(H69)&gt;0,N(T69)&gt;=N(H69)),"Reçu",IF(N(S69)=0,"Brouillon",IF(AND(ISNUMBER(R69),R69&lt;p_today),"En retard",IF(N(T69)&gt;0,"Partiel","Envoyé"))))))</f>
        <v/>
      </c>
      <c r="Y69" s="75" t="str">
        <f>IF(X69="En retard",p_today-R69,IF(AND(X69="Reçu",ISNUMBER(R69)),MAX(0,N(U69)-R69),""))</f>
        <v/>
      </c>
      <c r="Z69" s="67" t="str">
        <f>IF(AND(A69="",E69=""),"",IF(A69="","N° de bon manquant",IF(N(B69)=0,"Date de commande manquante",IF(C69="","Fournisseur manquant",IF(ISNA(MATCH($C69,sup_code,0)),"Fournisseur inconnu",IF(E69="","Article manquant",IF(ISNA(MATCH($E69,art_ref,0)),"Article inconnu",IF(N(H69)&lt;=0,"Quantité invalide",IF(J69="","Prix manquant",IF(OR(N(K69)&lt;0,N(K69)&gt;=1),"Remise invalide",IF(M69="","TVA manquante",IF(ISNA(MATCH(M69,p_tva,0)),"Taux de TVA inconnu",IF(COUNTIFS(po_num,A69,po_sup,"&lt;&gt;"&amp;C69)&gt;0,"Fournisseur différent sur ce bon",IF(COUNTIFS(po_num,A69,po_date,"&lt;&gt;"&amp;B69)&gt;0,"Date différente sur ce bon",IF(COUNTIF(po_num,A69)&gt;25,"Plus de 25 lignes sur ce bon",IF(R69="","Date de livraison manquante",IF(R69&lt;B69,"Livraison avant la commande",IF(AND(N(T69)&gt;0,N(S69)=0),"Date d'envoi manquante",IF(N(T69)&gt;N(H69),"Reçu plus que commandé",IF(AND(N(T69)&gt;0,N(U69)=0),"Date de réception manquante",IF(AND(N(U69)&gt;0,U69&lt;B69),"Réception avant la commande","OK")))))))))))))))))))))</f>
        <v/>
      </c>
      <c r="AA69" s="66" t="str">
        <f>IF(AND(X69="Reçu",ISNUMBER(R69)),IF(N(U69)&lt;=R69,1,0),"")</f>
        <v/>
      </c>
      <c r="AB69" s="76" t="str">
        <f>IF(OR(X69="Envoyé",X69="Partiel",X69="En retard"),IF(ISNUMBER(R69),R69,100000)+ROW()/100000,"")</f>
        <v/>
      </c>
      <c r="AC69" s="66" t="str">
        <f>IF(A69="","",IF(COUNTIF($A$6:A69,A69)=1,1,""))</f>
        <v/>
      </c>
      <c r="AD69" s="66" t="str">
        <f>IF(AC69=1,COUNT($AC$6:AC69),"")</f>
        <v/>
      </c>
      <c r="AE69" s="66" t="str">
        <f>IFERROR(INDEX(po_num,MATCH(64,po_seq,0))&amp;"","")</f>
        <v/>
      </c>
      <c r="AF69" s="66" t="str">
        <f>IF(OR(A69="",p_po=""),"",IF(A69&amp;""=p_po,COUNTIF($A$6:A69,A69),""))</f>
        <v/>
      </c>
      <c r="AG69" s="66" t="str">
        <f>IF(OR(AB69="",A69=""),"",IF(COUNTIFS($A$6:A69,A69,$AB$6:AB69,"&gt;0")=1,1,""))</f>
        <v/>
      </c>
      <c r="AH69" s="70" t="str">
        <f>IF(AB69="","",ROUND(N(W69)*N(J69)*(1-N(K69)),2))</f>
        <v/>
      </c>
      <c r="AI69" s="70" t="str">
        <f>IF(OR(J69="",N(T69)&lt;=0,V69="Oui"),"",ROUND(N(T69)*J69*(1-N(K69)),2))</f>
        <v/>
      </c>
    </row>
    <row r="70">
      <c r="A70" s="63" t="n"/>
      <c r="B70" s="64" t="n"/>
      <c r="C70" s="65" t="n"/>
      <c r="D70" s="66" t="str">
        <f>IF(C70="","",IFERROR(INDEX(sup_name,MATCH($C70,sup_code,0))&amp;"","Fournisseur inconnu"))</f>
        <v/>
      </c>
      <c r="E70" s="63" t="n"/>
      <c r="F70" s="66" t="str">
        <f>IF(E70="","",IFERROR(INDEX(art_des,MATCH($E70,art_ref,0))&amp;"","Article inconnu"))</f>
        <v/>
      </c>
      <c r="G70" s="67" t="str">
        <f>IF(E70="","",IFERROR(INDEX(art_unit,MATCH($E70,art_ref,0))&amp;"",""))</f>
        <v/>
      </c>
      <c r="H70" s="68" t="n"/>
      <c r="I70" s="69" t="n"/>
      <c r="J70" s="70" t="str">
        <f>IF(E70="","",IF(ISNUMBER(I70),I70,IFERROR(IF(ISNUMBER(INDEX(art_price,MATCH($E70,art_ref,0))),INDEX(art_price,MATCH($E70,art_ref,0)),""),"")))</f>
        <v/>
      </c>
      <c r="K70" s="71" t="n"/>
      <c r="L70" s="72" t="n"/>
      <c r="M70" s="72" t="str">
        <f>IF(E70="","",IF(L70&lt;&gt;"",L70,IFERROR(IF(ISNUMBER(INDEX(art_tva,MATCH($E70,art_ref,0))),INDEX(art_tva,MATCH($E70,art_ref,0)),""),"")))</f>
        <v/>
      </c>
      <c r="N70" s="70" t="str">
        <f>IF(OR(E70="",J70=""),"",ROUND(N(H70)*J70*(1-N(K70)),2))</f>
        <v/>
      </c>
      <c r="O70" s="70" t="str">
        <f>IF(OR(N70="",NOT(ISNUMBER(M70))),"",ROUND(N70*M70,2))</f>
        <v/>
      </c>
      <c r="P70" s="70" t="str">
        <f>IF(N70="","",N70+N(O70))</f>
        <v/>
      </c>
      <c r="Q70" s="64" t="n"/>
      <c r="R70" s="73" t="str">
        <f>IF(N(Q70)&gt;0,Q70,IF(OR(N(B70)=0,ISNA(MATCH($C70,sup_code,0))),"",IF(ISNUMBER(INDEX(sup_delay,MATCH($C70,sup_code,0))),B70+INDEX(sup_delay,MATCH($C70,sup_code,0)),"")))</f>
        <v/>
      </c>
      <c r="S70" s="64" t="n"/>
      <c r="T70" s="68" t="n"/>
      <c r="U70" s="64" t="n"/>
      <c r="V70" s="65" t="n"/>
      <c r="W70" s="74" t="str">
        <f>IF(AND(A70="",E70=""),"",IF(V70="Oui",0,MAX(0,ROUND(N(H70)-N(T70),6))))</f>
        <v/>
      </c>
      <c r="X70" s="67" t="str">
        <f>IF(AND(A70="",E70=""),"",IF(V70="Oui","Annulé",IF(AND(N(H70)&gt;0,N(T70)&gt;=N(H70)),"Reçu",IF(N(S70)=0,"Brouillon",IF(AND(ISNUMBER(R70),R70&lt;p_today),"En retard",IF(N(T70)&gt;0,"Partiel","Envoyé"))))))</f>
        <v/>
      </c>
      <c r="Y70" s="75" t="str">
        <f>IF(X70="En retard",p_today-R70,IF(AND(X70="Reçu",ISNUMBER(R70)),MAX(0,N(U70)-R70),""))</f>
        <v/>
      </c>
      <c r="Z70" s="67" t="str">
        <f>IF(AND(A70="",E70=""),"",IF(A70="","N° de bon manquant",IF(N(B70)=0,"Date de commande manquante",IF(C70="","Fournisseur manquant",IF(ISNA(MATCH($C70,sup_code,0)),"Fournisseur inconnu",IF(E70="","Article manquant",IF(ISNA(MATCH($E70,art_ref,0)),"Article inconnu",IF(N(H70)&lt;=0,"Quantité invalide",IF(J70="","Prix manquant",IF(OR(N(K70)&lt;0,N(K70)&gt;=1),"Remise invalide",IF(M70="","TVA manquante",IF(ISNA(MATCH(M70,p_tva,0)),"Taux de TVA inconnu",IF(COUNTIFS(po_num,A70,po_sup,"&lt;&gt;"&amp;C70)&gt;0,"Fournisseur différent sur ce bon",IF(COUNTIFS(po_num,A70,po_date,"&lt;&gt;"&amp;B70)&gt;0,"Date différente sur ce bon",IF(COUNTIF(po_num,A70)&gt;25,"Plus de 25 lignes sur ce bon",IF(R70="","Date de livraison manquante",IF(R70&lt;B70,"Livraison avant la commande",IF(AND(N(T70)&gt;0,N(S70)=0),"Date d'envoi manquante",IF(N(T70)&gt;N(H70),"Reçu plus que commandé",IF(AND(N(T70)&gt;0,N(U70)=0),"Date de réception manquante",IF(AND(N(U70)&gt;0,U70&lt;B70),"Réception avant la commande","OK")))))))))))))))))))))</f>
        <v/>
      </c>
      <c r="AA70" s="66" t="str">
        <f>IF(AND(X70="Reçu",ISNUMBER(R70)),IF(N(U70)&lt;=R70,1,0),"")</f>
        <v/>
      </c>
      <c r="AB70" s="76" t="str">
        <f>IF(OR(X70="Envoyé",X70="Partiel",X70="En retard"),IF(ISNUMBER(R70),R70,100000)+ROW()/100000,"")</f>
        <v/>
      </c>
      <c r="AC70" s="66" t="str">
        <f>IF(A70="","",IF(COUNTIF($A$6:A70,A70)=1,1,""))</f>
        <v/>
      </c>
      <c r="AD70" s="66" t="str">
        <f>IF(AC70=1,COUNT($AC$6:AC70),"")</f>
        <v/>
      </c>
      <c r="AE70" s="66" t="str">
        <f>IFERROR(INDEX(po_num,MATCH(65,po_seq,0))&amp;"","")</f>
        <v/>
      </c>
      <c r="AF70" s="66" t="str">
        <f>IF(OR(A70="",p_po=""),"",IF(A70&amp;""=p_po,COUNTIF($A$6:A70,A70),""))</f>
        <v/>
      </c>
      <c r="AG70" s="66" t="str">
        <f>IF(OR(AB70="",A70=""),"",IF(COUNTIFS($A$6:A70,A70,$AB$6:AB70,"&gt;0")=1,1,""))</f>
        <v/>
      </c>
      <c r="AH70" s="70" t="str">
        <f>IF(AB70="","",ROUND(N(W70)*N(J70)*(1-N(K70)),2))</f>
        <v/>
      </c>
      <c r="AI70" s="70" t="str">
        <f>IF(OR(J70="",N(T70)&lt;=0,V70="Oui"),"",ROUND(N(T70)*J70*(1-N(K70)),2))</f>
        <v/>
      </c>
    </row>
    <row r="71">
      <c r="A71" s="63" t="n"/>
      <c r="B71" s="64" t="n"/>
      <c r="C71" s="65" t="n"/>
      <c r="D71" s="66" t="str">
        <f>IF(C71="","",IFERROR(INDEX(sup_name,MATCH($C71,sup_code,0))&amp;"","Fournisseur inconnu"))</f>
        <v/>
      </c>
      <c r="E71" s="63" t="n"/>
      <c r="F71" s="66" t="str">
        <f>IF(E71="","",IFERROR(INDEX(art_des,MATCH($E71,art_ref,0))&amp;"","Article inconnu"))</f>
        <v/>
      </c>
      <c r="G71" s="67" t="str">
        <f>IF(E71="","",IFERROR(INDEX(art_unit,MATCH($E71,art_ref,0))&amp;"",""))</f>
        <v/>
      </c>
      <c r="H71" s="68" t="n"/>
      <c r="I71" s="69" t="n"/>
      <c r="J71" s="70" t="str">
        <f>IF(E71="","",IF(ISNUMBER(I71),I71,IFERROR(IF(ISNUMBER(INDEX(art_price,MATCH($E71,art_ref,0))),INDEX(art_price,MATCH($E71,art_ref,0)),""),"")))</f>
        <v/>
      </c>
      <c r="K71" s="71" t="n"/>
      <c r="L71" s="72" t="n"/>
      <c r="M71" s="72" t="str">
        <f>IF(E71="","",IF(L71&lt;&gt;"",L71,IFERROR(IF(ISNUMBER(INDEX(art_tva,MATCH($E71,art_ref,0))),INDEX(art_tva,MATCH($E71,art_ref,0)),""),"")))</f>
        <v/>
      </c>
      <c r="N71" s="70" t="str">
        <f>IF(OR(E71="",J71=""),"",ROUND(N(H71)*J71*(1-N(K71)),2))</f>
        <v/>
      </c>
      <c r="O71" s="70" t="str">
        <f>IF(OR(N71="",NOT(ISNUMBER(M71))),"",ROUND(N71*M71,2))</f>
        <v/>
      </c>
      <c r="P71" s="70" t="str">
        <f>IF(N71="","",N71+N(O71))</f>
        <v/>
      </c>
      <c r="Q71" s="64" t="n"/>
      <c r="R71" s="73" t="str">
        <f>IF(N(Q71)&gt;0,Q71,IF(OR(N(B71)=0,ISNA(MATCH($C71,sup_code,0))),"",IF(ISNUMBER(INDEX(sup_delay,MATCH($C71,sup_code,0))),B71+INDEX(sup_delay,MATCH($C71,sup_code,0)),"")))</f>
        <v/>
      </c>
      <c r="S71" s="64" t="n"/>
      <c r="T71" s="68" t="n"/>
      <c r="U71" s="64" t="n"/>
      <c r="V71" s="65" t="n"/>
      <c r="W71" s="74" t="str">
        <f>IF(AND(A71="",E71=""),"",IF(V71="Oui",0,MAX(0,ROUND(N(H71)-N(T71),6))))</f>
        <v/>
      </c>
      <c r="X71" s="67" t="str">
        <f>IF(AND(A71="",E71=""),"",IF(V71="Oui","Annulé",IF(AND(N(H71)&gt;0,N(T71)&gt;=N(H71)),"Reçu",IF(N(S71)=0,"Brouillon",IF(AND(ISNUMBER(R71),R71&lt;p_today),"En retard",IF(N(T71)&gt;0,"Partiel","Envoyé"))))))</f>
        <v/>
      </c>
      <c r="Y71" s="75" t="str">
        <f>IF(X71="En retard",p_today-R71,IF(AND(X71="Reçu",ISNUMBER(R71)),MAX(0,N(U71)-R71),""))</f>
        <v/>
      </c>
      <c r="Z71" s="67" t="str">
        <f>IF(AND(A71="",E71=""),"",IF(A71="","N° de bon manquant",IF(N(B71)=0,"Date de commande manquante",IF(C71="","Fournisseur manquant",IF(ISNA(MATCH($C71,sup_code,0)),"Fournisseur inconnu",IF(E71="","Article manquant",IF(ISNA(MATCH($E71,art_ref,0)),"Article inconnu",IF(N(H71)&lt;=0,"Quantité invalide",IF(J71="","Prix manquant",IF(OR(N(K71)&lt;0,N(K71)&gt;=1),"Remise invalide",IF(M71="","TVA manquante",IF(ISNA(MATCH(M71,p_tva,0)),"Taux de TVA inconnu",IF(COUNTIFS(po_num,A71,po_sup,"&lt;&gt;"&amp;C71)&gt;0,"Fournisseur différent sur ce bon",IF(COUNTIFS(po_num,A71,po_date,"&lt;&gt;"&amp;B71)&gt;0,"Date différente sur ce bon",IF(COUNTIF(po_num,A71)&gt;25,"Plus de 25 lignes sur ce bon",IF(R71="","Date de livraison manquante",IF(R71&lt;B71,"Livraison avant la commande",IF(AND(N(T71)&gt;0,N(S71)=0),"Date d'envoi manquante",IF(N(T71)&gt;N(H71),"Reçu plus que commandé",IF(AND(N(T71)&gt;0,N(U71)=0),"Date de réception manquante",IF(AND(N(U71)&gt;0,U71&lt;B71),"Réception avant la commande","OK")))))))))))))))))))))</f>
        <v/>
      </c>
      <c r="AA71" s="66" t="str">
        <f>IF(AND(X71="Reçu",ISNUMBER(R71)),IF(N(U71)&lt;=R71,1,0),"")</f>
        <v/>
      </c>
      <c r="AB71" s="76" t="str">
        <f>IF(OR(X71="Envoyé",X71="Partiel",X71="En retard"),IF(ISNUMBER(R71),R71,100000)+ROW()/100000,"")</f>
        <v/>
      </c>
      <c r="AC71" s="66" t="str">
        <f>IF(A71="","",IF(COUNTIF($A$6:A71,A71)=1,1,""))</f>
        <v/>
      </c>
      <c r="AD71" s="66" t="str">
        <f>IF(AC71=1,COUNT($AC$6:AC71),"")</f>
        <v/>
      </c>
      <c r="AE71" s="66" t="str">
        <f>IFERROR(INDEX(po_num,MATCH(66,po_seq,0))&amp;"","")</f>
        <v/>
      </c>
      <c r="AF71" s="66" t="str">
        <f>IF(OR(A71="",p_po=""),"",IF(A71&amp;""=p_po,COUNTIF($A$6:A71,A71),""))</f>
        <v/>
      </c>
      <c r="AG71" s="66" t="str">
        <f>IF(OR(AB71="",A71=""),"",IF(COUNTIFS($A$6:A71,A71,$AB$6:AB71,"&gt;0")=1,1,""))</f>
        <v/>
      </c>
      <c r="AH71" s="70" t="str">
        <f>IF(AB71="","",ROUND(N(W71)*N(J71)*(1-N(K71)),2))</f>
        <v/>
      </c>
      <c r="AI71" s="70" t="str">
        <f>IF(OR(J71="",N(T71)&lt;=0,V71="Oui"),"",ROUND(N(T71)*J71*(1-N(K71)),2))</f>
        <v/>
      </c>
    </row>
    <row r="72">
      <c r="A72" s="63" t="n"/>
      <c r="B72" s="64" t="n"/>
      <c r="C72" s="65" t="n"/>
      <c r="D72" s="66" t="str">
        <f>IF(C72="","",IFERROR(INDEX(sup_name,MATCH($C72,sup_code,0))&amp;"","Fournisseur inconnu"))</f>
        <v/>
      </c>
      <c r="E72" s="63" t="n"/>
      <c r="F72" s="66" t="str">
        <f>IF(E72="","",IFERROR(INDEX(art_des,MATCH($E72,art_ref,0))&amp;"","Article inconnu"))</f>
        <v/>
      </c>
      <c r="G72" s="67" t="str">
        <f>IF(E72="","",IFERROR(INDEX(art_unit,MATCH($E72,art_ref,0))&amp;"",""))</f>
        <v/>
      </c>
      <c r="H72" s="68" t="n"/>
      <c r="I72" s="69" t="n"/>
      <c r="J72" s="70" t="str">
        <f>IF(E72="","",IF(ISNUMBER(I72),I72,IFERROR(IF(ISNUMBER(INDEX(art_price,MATCH($E72,art_ref,0))),INDEX(art_price,MATCH($E72,art_ref,0)),""),"")))</f>
        <v/>
      </c>
      <c r="K72" s="71" t="n"/>
      <c r="L72" s="72" t="n"/>
      <c r="M72" s="72" t="str">
        <f>IF(E72="","",IF(L72&lt;&gt;"",L72,IFERROR(IF(ISNUMBER(INDEX(art_tva,MATCH($E72,art_ref,0))),INDEX(art_tva,MATCH($E72,art_ref,0)),""),"")))</f>
        <v/>
      </c>
      <c r="N72" s="70" t="str">
        <f>IF(OR(E72="",J72=""),"",ROUND(N(H72)*J72*(1-N(K72)),2))</f>
        <v/>
      </c>
      <c r="O72" s="70" t="str">
        <f>IF(OR(N72="",NOT(ISNUMBER(M72))),"",ROUND(N72*M72,2))</f>
        <v/>
      </c>
      <c r="P72" s="70" t="str">
        <f>IF(N72="","",N72+N(O72))</f>
        <v/>
      </c>
      <c r="Q72" s="64" t="n"/>
      <c r="R72" s="73" t="str">
        <f>IF(N(Q72)&gt;0,Q72,IF(OR(N(B72)=0,ISNA(MATCH($C72,sup_code,0))),"",IF(ISNUMBER(INDEX(sup_delay,MATCH($C72,sup_code,0))),B72+INDEX(sup_delay,MATCH($C72,sup_code,0)),"")))</f>
        <v/>
      </c>
      <c r="S72" s="64" t="n"/>
      <c r="T72" s="68" t="n"/>
      <c r="U72" s="64" t="n"/>
      <c r="V72" s="65" t="n"/>
      <c r="W72" s="74" t="str">
        <f>IF(AND(A72="",E72=""),"",IF(V72="Oui",0,MAX(0,ROUND(N(H72)-N(T72),6))))</f>
        <v/>
      </c>
      <c r="X72" s="67" t="str">
        <f>IF(AND(A72="",E72=""),"",IF(V72="Oui","Annulé",IF(AND(N(H72)&gt;0,N(T72)&gt;=N(H72)),"Reçu",IF(N(S72)=0,"Brouillon",IF(AND(ISNUMBER(R72),R72&lt;p_today),"En retard",IF(N(T72)&gt;0,"Partiel","Envoyé"))))))</f>
        <v/>
      </c>
      <c r="Y72" s="75" t="str">
        <f>IF(X72="En retard",p_today-R72,IF(AND(X72="Reçu",ISNUMBER(R72)),MAX(0,N(U72)-R72),""))</f>
        <v/>
      </c>
      <c r="Z72" s="67" t="str">
        <f>IF(AND(A72="",E72=""),"",IF(A72="","N° de bon manquant",IF(N(B72)=0,"Date de commande manquante",IF(C72="","Fournisseur manquant",IF(ISNA(MATCH($C72,sup_code,0)),"Fournisseur inconnu",IF(E72="","Article manquant",IF(ISNA(MATCH($E72,art_ref,0)),"Article inconnu",IF(N(H72)&lt;=0,"Quantité invalide",IF(J72="","Prix manquant",IF(OR(N(K72)&lt;0,N(K72)&gt;=1),"Remise invalide",IF(M72="","TVA manquante",IF(ISNA(MATCH(M72,p_tva,0)),"Taux de TVA inconnu",IF(COUNTIFS(po_num,A72,po_sup,"&lt;&gt;"&amp;C72)&gt;0,"Fournisseur différent sur ce bon",IF(COUNTIFS(po_num,A72,po_date,"&lt;&gt;"&amp;B72)&gt;0,"Date différente sur ce bon",IF(COUNTIF(po_num,A72)&gt;25,"Plus de 25 lignes sur ce bon",IF(R72="","Date de livraison manquante",IF(R72&lt;B72,"Livraison avant la commande",IF(AND(N(T72)&gt;0,N(S72)=0),"Date d'envoi manquante",IF(N(T72)&gt;N(H72),"Reçu plus que commandé",IF(AND(N(T72)&gt;0,N(U72)=0),"Date de réception manquante",IF(AND(N(U72)&gt;0,U72&lt;B72),"Réception avant la commande","OK")))))))))))))))))))))</f>
        <v/>
      </c>
      <c r="AA72" s="66" t="str">
        <f>IF(AND(X72="Reçu",ISNUMBER(R72)),IF(N(U72)&lt;=R72,1,0),"")</f>
        <v/>
      </c>
      <c r="AB72" s="76" t="str">
        <f>IF(OR(X72="Envoyé",X72="Partiel",X72="En retard"),IF(ISNUMBER(R72),R72,100000)+ROW()/100000,"")</f>
        <v/>
      </c>
      <c r="AC72" s="66" t="str">
        <f>IF(A72="","",IF(COUNTIF($A$6:A72,A72)=1,1,""))</f>
        <v/>
      </c>
      <c r="AD72" s="66" t="str">
        <f>IF(AC72=1,COUNT($AC$6:AC72),"")</f>
        <v/>
      </c>
      <c r="AE72" s="66" t="str">
        <f>IFERROR(INDEX(po_num,MATCH(67,po_seq,0))&amp;"","")</f>
        <v/>
      </c>
      <c r="AF72" s="66" t="str">
        <f>IF(OR(A72="",p_po=""),"",IF(A72&amp;""=p_po,COUNTIF($A$6:A72,A72),""))</f>
        <v/>
      </c>
      <c r="AG72" s="66" t="str">
        <f>IF(OR(AB72="",A72=""),"",IF(COUNTIFS($A$6:A72,A72,$AB$6:AB72,"&gt;0")=1,1,""))</f>
        <v/>
      </c>
      <c r="AH72" s="70" t="str">
        <f>IF(AB72="","",ROUND(N(W72)*N(J72)*(1-N(K72)),2))</f>
        <v/>
      </c>
      <c r="AI72" s="70" t="str">
        <f>IF(OR(J72="",N(T72)&lt;=0,V72="Oui"),"",ROUND(N(T72)*J72*(1-N(K72)),2))</f>
        <v/>
      </c>
    </row>
    <row r="73">
      <c r="A73" s="63" t="n"/>
      <c r="B73" s="64" t="n"/>
      <c r="C73" s="65" t="n"/>
      <c r="D73" s="66" t="str">
        <f>IF(C73="","",IFERROR(INDEX(sup_name,MATCH($C73,sup_code,0))&amp;"","Fournisseur inconnu"))</f>
        <v/>
      </c>
      <c r="E73" s="63" t="n"/>
      <c r="F73" s="66" t="str">
        <f>IF(E73="","",IFERROR(INDEX(art_des,MATCH($E73,art_ref,0))&amp;"","Article inconnu"))</f>
        <v/>
      </c>
      <c r="G73" s="67" t="str">
        <f>IF(E73="","",IFERROR(INDEX(art_unit,MATCH($E73,art_ref,0))&amp;"",""))</f>
        <v/>
      </c>
      <c r="H73" s="68" t="n"/>
      <c r="I73" s="69" t="n"/>
      <c r="J73" s="70" t="str">
        <f>IF(E73="","",IF(ISNUMBER(I73),I73,IFERROR(IF(ISNUMBER(INDEX(art_price,MATCH($E73,art_ref,0))),INDEX(art_price,MATCH($E73,art_ref,0)),""),"")))</f>
        <v/>
      </c>
      <c r="K73" s="71" t="n"/>
      <c r="L73" s="72" t="n"/>
      <c r="M73" s="72" t="str">
        <f>IF(E73="","",IF(L73&lt;&gt;"",L73,IFERROR(IF(ISNUMBER(INDEX(art_tva,MATCH($E73,art_ref,0))),INDEX(art_tva,MATCH($E73,art_ref,0)),""),"")))</f>
        <v/>
      </c>
      <c r="N73" s="70" t="str">
        <f>IF(OR(E73="",J73=""),"",ROUND(N(H73)*J73*(1-N(K73)),2))</f>
        <v/>
      </c>
      <c r="O73" s="70" t="str">
        <f>IF(OR(N73="",NOT(ISNUMBER(M73))),"",ROUND(N73*M73,2))</f>
        <v/>
      </c>
      <c r="P73" s="70" t="str">
        <f>IF(N73="","",N73+N(O73))</f>
        <v/>
      </c>
      <c r="Q73" s="64" t="n"/>
      <c r="R73" s="73" t="str">
        <f>IF(N(Q73)&gt;0,Q73,IF(OR(N(B73)=0,ISNA(MATCH($C73,sup_code,0))),"",IF(ISNUMBER(INDEX(sup_delay,MATCH($C73,sup_code,0))),B73+INDEX(sup_delay,MATCH($C73,sup_code,0)),"")))</f>
        <v/>
      </c>
      <c r="S73" s="64" t="n"/>
      <c r="T73" s="68" t="n"/>
      <c r="U73" s="64" t="n"/>
      <c r="V73" s="65" t="n"/>
      <c r="W73" s="74" t="str">
        <f>IF(AND(A73="",E73=""),"",IF(V73="Oui",0,MAX(0,ROUND(N(H73)-N(T73),6))))</f>
        <v/>
      </c>
      <c r="X73" s="67" t="str">
        <f>IF(AND(A73="",E73=""),"",IF(V73="Oui","Annulé",IF(AND(N(H73)&gt;0,N(T73)&gt;=N(H73)),"Reçu",IF(N(S73)=0,"Brouillon",IF(AND(ISNUMBER(R73),R73&lt;p_today),"En retard",IF(N(T73)&gt;0,"Partiel","Envoyé"))))))</f>
        <v/>
      </c>
      <c r="Y73" s="75" t="str">
        <f>IF(X73="En retard",p_today-R73,IF(AND(X73="Reçu",ISNUMBER(R73)),MAX(0,N(U73)-R73),""))</f>
        <v/>
      </c>
      <c r="Z73" s="67" t="str">
        <f>IF(AND(A73="",E73=""),"",IF(A73="","N° de bon manquant",IF(N(B73)=0,"Date de commande manquante",IF(C73="","Fournisseur manquant",IF(ISNA(MATCH($C73,sup_code,0)),"Fournisseur inconnu",IF(E73="","Article manquant",IF(ISNA(MATCH($E73,art_ref,0)),"Article inconnu",IF(N(H73)&lt;=0,"Quantité invalide",IF(J73="","Prix manquant",IF(OR(N(K73)&lt;0,N(K73)&gt;=1),"Remise invalide",IF(M73="","TVA manquante",IF(ISNA(MATCH(M73,p_tva,0)),"Taux de TVA inconnu",IF(COUNTIFS(po_num,A73,po_sup,"&lt;&gt;"&amp;C73)&gt;0,"Fournisseur différent sur ce bon",IF(COUNTIFS(po_num,A73,po_date,"&lt;&gt;"&amp;B73)&gt;0,"Date différente sur ce bon",IF(COUNTIF(po_num,A73)&gt;25,"Plus de 25 lignes sur ce bon",IF(R73="","Date de livraison manquante",IF(R73&lt;B73,"Livraison avant la commande",IF(AND(N(T73)&gt;0,N(S73)=0),"Date d'envoi manquante",IF(N(T73)&gt;N(H73),"Reçu plus que commandé",IF(AND(N(T73)&gt;0,N(U73)=0),"Date de réception manquante",IF(AND(N(U73)&gt;0,U73&lt;B73),"Réception avant la commande","OK")))))))))))))))))))))</f>
        <v/>
      </c>
      <c r="AA73" s="66" t="str">
        <f>IF(AND(X73="Reçu",ISNUMBER(R73)),IF(N(U73)&lt;=R73,1,0),"")</f>
        <v/>
      </c>
      <c r="AB73" s="76" t="str">
        <f>IF(OR(X73="Envoyé",X73="Partiel",X73="En retard"),IF(ISNUMBER(R73),R73,100000)+ROW()/100000,"")</f>
        <v/>
      </c>
      <c r="AC73" s="66" t="str">
        <f>IF(A73="","",IF(COUNTIF($A$6:A73,A73)=1,1,""))</f>
        <v/>
      </c>
      <c r="AD73" s="66" t="str">
        <f>IF(AC73=1,COUNT($AC$6:AC73),"")</f>
        <v/>
      </c>
      <c r="AE73" s="66" t="str">
        <f>IFERROR(INDEX(po_num,MATCH(68,po_seq,0))&amp;"","")</f>
        <v/>
      </c>
      <c r="AF73" s="66" t="str">
        <f>IF(OR(A73="",p_po=""),"",IF(A73&amp;""=p_po,COUNTIF($A$6:A73,A73),""))</f>
        <v/>
      </c>
      <c r="AG73" s="66" t="str">
        <f>IF(OR(AB73="",A73=""),"",IF(COUNTIFS($A$6:A73,A73,$AB$6:AB73,"&gt;0")=1,1,""))</f>
        <v/>
      </c>
      <c r="AH73" s="70" t="str">
        <f>IF(AB73="","",ROUND(N(W73)*N(J73)*(1-N(K73)),2))</f>
        <v/>
      </c>
      <c r="AI73" s="70" t="str">
        <f>IF(OR(J73="",N(T73)&lt;=0,V73="Oui"),"",ROUND(N(T73)*J73*(1-N(K73)),2))</f>
        <v/>
      </c>
    </row>
    <row r="74">
      <c r="A74" s="63" t="n"/>
      <c r="B74" s="64" t="n"/>
      <c r="C74" s="65" t="n"/>
      <c r="D74" s="66" t="str">
        <f>IF(C74="","",IFERROR(INDEX(sup_name,MATCH($C74,sup_code,0))&amp;"","Fournisseur inconnu"))</f>
        <v/>
      </c>
      <c r="E74" s="63" t="n"/>
      <c r="F74" s="66" t="str">
        <f>IF(E74="","",IFERROR(INDEX(art_des,MATCH($E74,art_ref,0))&amp;"","Article inconnu"))</f>
        <v/>
      </c>
      <c r="G74" s="67" t="str">
        <f>IF(E74="","",IFERROR(INDEX(art_unit,MATCH($E74,art_ref,0))&amp;"",""))</f>
        <v/>
      </c>
      <c r="H74" s="68" t="n"/>
      <c r="I74" s="69" t="n"/>
      <c r="J74" s="70" t="str">
        <f>IF(E74="","",IF(ISNUMBER(I74),I74,IFERROR(IF(ISNUMBER(INDEX(art_price,MATCH($E74,art_ref,0))),INDEX(art_price,MATCH($E74,art_ref,0)),""),"")))</f>
        <v/>
      </c>
      <c r="K74" s="71" t="n"/>
      <c r="L74" s="72" t="n"/>
      <c r="M74" s="72" t="str">
        <f>IF(E74="","",IF(L74&lt;&gt;"",L74,IFERROR(IF(ISNUMBER(INDEX(art_tva,MATCH($E74,art_ref,0))),INDEX(art_tva,MATCH($E74,art_ref,0)),""),"")))</f>
        <v/>
      </c>
      <c r="N74" s="70" t="str">
        <f>IF(OR(E74="",J74=""),"",ROUND(N(H74)*J74*(1-N(K74)),2))</f>
        <v/>
      </c>
      <c r="O74" s="70" t="str">
        <f>IF(OR(N74="",NOT(ISNUMBER(M74))),"",ROUND(N74*M74,2))</f>
        <v/>
      </c>
      <c r="P74" s="70" t="str">
        <f>IF(N74="","",N74+N(O74))</f>
        <v/>
      </c>
      <c r="Q74" s="64" t="n"/>
      <c r="R74" s="73" t="str">
        <f>IF(N(Q74)&gt;0,Q74,IF(OR(N(B74)=0,ISNA(MATCH($C74,sup_code,0))),"",IF(ISNUMBER(INDEX(sup_delay,MATCH($C74,sup_code,0))),B74+INDEX(sup_delay,MATCH($C74,sup_code,0)),"")))</f>
        <v/>
      </c>
      <c r="S74" s="64" t="n"/>
      <c r="T74" s="68" t="n"/>
      <c r="U74" s="64" t="n"/>
      <c r="V74" s="65" t="n"/>
      <c r="W74" s="74" t="str">
        <f>IF(AND(A74="",E74=""),"",IF(V74="Oui",0,MAX(0,ROUND(N(H74)-N(T74),6))))</f>
        <v/>
      </c>
      <c r="X74" s="67" t="str">
        <f>IF(AND(A74="",E74=""),"",IF(V74="Oui","Annulé",IF(AND(N(H74)&gt;0,N(T74)&gt;=N(H74)),"Reçu",IF(N(S74)=0,"Brouillon",IF(AND(ISNUMBER(R74),R74&lt;p_today),"En retard",IF(N(T74)&gt;0,"Partiel","Envoyé"))))))</f>
        <v/>
      </c>
      <c r="Y74" s="75" t="str">
        <f>IF(X74="En retard",p_today-R74,IF(AND(X74="Reçu",ISNUMBER(R74)),MAX(0,N(U74)-R74),""))</f>
        <v/>
      </c>
      <c r="Z74" s="67" t="str">
        <f>IF(AND(A74="",E74=""),"",IF(A74="","N° de bon manquant",IF(N(B74)=0,"Date de commande manquante",IF(C74="","Fournisseur manquant",IF(ISNA(MATCH($C74,sup_code,0)),"Fournisseur inconnu",IF(E74="","Article manquant",IF(ISNA(MATCH($E74,art_ref,0)),"Article inconnu",IF(N(H74)&lt;=0,"Quantité invalide",IF(J74="","Prix manquant",IF(OR(N(K74)&lt;0,N(K74)&gt;=1),"Remise invalide",IF(M74="","TVA manquante",IF(ISNA(MATCH(M74,p_tva,0)),"Taux de TVA inconnu",IF(COUNTIFS(po_num,A74,po_sup,"&lt;&gt;"&amp;C74)&gt;0,"Fournisseur différent sur ce bon",IF(COUNTIFS(po_num,A74,po_date,"&lt;&gt;"&amp;B74)&gt;0,"Date différente sur ce bon",IF(COUNTIF(po_num,A74)&gt;25,"Plus de 25 lignes sur ce bon",IF(R74="","Date de livraison manquante",IF(R74&lt;B74,"Livraison avant la commande",IF(AND(N(T74)&gt;0,N(S74)=0),"Date d'envoi manquante",IF(N(T74)&gt;N(H74),"Reçu plus que commandé",IF(AND(N(T74)&gt;0,N(U74)=0),"Date de réception manquante",IF(AND(N(U74)&gt;0,U74&lt;B74),"Réception avant la commande","OK")))))))))))))))))))))</f>
        <v/>
      </c>
      <c r="AA74" s="66" t="str">
        <f>IF(AND(X74="Reçu",ISNUMBER(R74)),IF(N(U74)&lt;=R74,1,0),"")</f>
        <v/>
      </c>
      <c r="AB74" s="76" t="str">
        <f>IF(OR(X74="Envoyé",X74="Partiel",X74="En retard"),IF(ISNUMBER(R74),R74,100000)+ROW()/100000,"")</f>
        <v/>
      </c>
      <c r="AC74" s="66" t="str">
        <f>IF(A74="","",IF(COUNTIF($A$6:A74,A74)=1,1,""))</f>
        <v/>
      </c>
      <c r="AD74" s="66" t="str">
        <f>IF(AC74=1,COUNT($AC$6:AC74),"")</f>
        <v/>
      </c>
      <c r="AE74" s="66" t="str">
        <f>IFERROR(INDEX(po_num,MATCH(69,po_seq,0))&amp;"","")</f>
        <v/>
      </c>
      <c r="AF74" s="66" t="str">
        <f>IF(OR(A74="",p_po=""),"",IF(A74&amp;""=p_po,COUNTIF($A$6:A74,A74),""))</f>
        <v/>
      </c>
      <c r="AG74" s="66" t="str">
        <f>IF(OR(AB74="",A74=""),"",IF(COUNTIFS($A$6:A74,A74,$AB$6:AB74,"&gt;0")=1,1,""))</f>
        <v/>
      </c>
      <c r="AH74" s="70" t="str">
        <f>IF(AB74="","",ROUND(N(W74)*N(J74)*(1-N(K74)),2))</f>
        <v/>
      </c>
      <c r="AI74" s="70" t="str">
        <f>IF(OR(J74="",N(T74)&lt;=0,V74="Oui"),"",ROUND(N(T74)*J74*(1-N(K74)),2))</f>
        <v/>
      </c>
    </row>
    <row r="75">
      <c r="A75" s="63" t="n"/>
      <c r="B75" s="64" t="n"/>
      <c r="C75" s="65" t="n"/>
      <c r="D75" s="66" t="str">
        <f>IF(C75="","",IFERROR(INDEX(sup_name,MATCH($C75,sup_code,0))&amp;"","Fournisseur inconnu"))</f>
        <v/>
      </c>
      <c r="E75" s="63" t="n"/>
      <c r="F75" s="66" t="str">
        <f>IF(E75="","",IFERROR(INDEX(art_des,MATCH($E75,art_ref,0))&amp;"","Article inconnu"))</f>
        <v/>
      </c>
      <c r="G75" s="67" t="str">
        <f>IF(E75="","",IFERROR(INDEX(art_unit,MATCH($E75,art_ref,0))&amp;"",""))</f>
        <v/>
      </c>
      <c r="H75" s="68" t="n"/>
      <c r="I75" s="69" t="n"/>
      <c r="J75" s="70" t="str">
        <f>IF(E75="","",IF(ISNUMBER(I75),I75,IFERROR(IF(ISNUMBER(INDEX(art_price,MATCH($E75,art_ref,0))),INDEX(art_price,MATCH($E75,art_ref,0)),""),"")))</f>
        <v/>
      </c>
      <c r="K75" s="71" t="n"/>
      <c r="L75" s="72" t="n"/>
      <c r="M75" s="72" t="str">
        <f>IF(E75="","",IF(L75&lt;&gt;"",L75,IFERROR(IF(ISNUMBER(INDEX(art_tva,MATCH($E75,art_ref,0))),INDEX(art_tva,MATCH($E75,art_ref,0)),""),"")))</f>
        <v/>
      </c>
      <c r="N75" s="70" t="str">
        <f>IF(OR(E75="",J75=""),"",ROUND(N(H75)*J75*(1-N(K75)),2))</f>
        <v/>
      </c>
      <c r="O75" s="70" t="str">
        <f>IF(OR(N75="",NOT(ISNUMBER(M75))),"",ROUND(N75*M75,2))</f>
        <v/>
      </c>
      <c r="P75" s="70" t="str">
        <f>IF(N75="","",N75+N(O75))</f>
        <v/>
      </c>
      <c r="Q75" s="64" t="n"/>
      <c r="R75" s="73" t="str">
        <f>IF(N(Q75)&gt;0,Q75,IF(OR(N(B75)=0,ISNA(MATCH($C75,sup_code,0))),"",IF(ISNUMBER(INDEX(sup_delay,MATCH($C75,sup_code,0))),B75+INDEX(sup_delay,MATCH($C75,sup_code,0)),"")))</f>
        <v/>
      </c>
      <c r="S75" s="64" t="n"/>
      <c r="T75" s="68" t="n"/>
      <c r="U75" s="64" t="n"/>
      <c r="V75" s="65" t="n"/>
      <c r="W75" s="74" t="str">
        <f>IF(AND(A75="",E75=""),"",IF(V75="Oui",0,MAX(0,ROUND(N(H75)-N(T75),6))))</f>
        <v/>
      </c>
      <c r="X75" s="67" t="str">
        <f>IF(AND(A75="",E75=""),"",IF(V75="Oui","Annulé",IF(AND(N(H75)&gt;0,N(T75)&gt;=N(H75)),"Reçu",IF(N(S75)=0,"Brouillon",IF(AND(ISNUMBER(R75),R75&lt;p_today),"En retard",IF(N(T75)&gt;0,"Partiel","Envoyé"))))))</f>
        <v/>
      </c>
      <c r="Y75" s="75" t="str">
        <f>IF(X75="En retard",p_today-R75,IF(AND(X75="Reçu",ISNUMBER(R75)),MAX(0,N(U75)-R75),""))</f>
        <v/>
      </c>
      <c r="Z75" s="67" t="str">
        <f>IF(AND(A75="",E75=""),"",IF(A75="","N° de bon manquant",IF(N(B75)=0,"Date de commande manquante",IF(C75="","Fournisseur manquant",IF(ISNA(MATCH($C75,sup_code,0)),"Fournisseur inconnu",IF(E75="","Article manquant",IF(ISNA(MATCH($E75,art_ref,0)),"Article inconnu",IF(N(H75)&lt;=0,"Quantité invalide",IF(J75="","Prix manquant",IF(OR(N(K75)&lt;0,N(K75)&gt;=1),"Remise invalide",IF(M75="","TVA manquante",IF(ISNA(MATCH(M75,p_tva,0)),"Taux de TVA inconnu",IF(COUNTIFS(po_num,A75,po_sup,"&lt;&gt;"&amp;C75)&gt;0,"Fournisseur différent sur ce bon",IF(COUNTIFS(po_num,A75,po_date,"&lt;&gt;"&amp;B75)&gt;0,"Date différente sur ce bon",IF(COUNTIF(po_num,A75)&gt;25,"Plus de 25 lignes sur ce bon",IF(R75="","Date de livraison manquante",IF(R75&lt;B75,"Livraison avant la commande",IF(AND(N(T75)&gt;0,N(S75)=0),"Date d'envoi manquante",IF(N(T75)&gt;N(H75),"Reçu plus que commandé",IF(AND(N(T75)&gt;0,N(U75)=0),"Date de réception manquante",IF(AND(N(U75)&gt;0,U75&lt;B75),"Réception avant la commande","OK")))))))))))))))))))))</f>
        <v/>
      </c>
      <c r="AA75" s="66" t="str">
        <f>IF(AND(X75="Reçu",ISNUMBER(R75)),IF(N(U75)&lt;=R75,1,0),"")</f>
        <v/>
      </c>
      <c r="AB75" s="76" t="str">
        <f>IF(OR(X75="Envoyé",X75="Partiel",X75="En retard"),IF(ISNUMBER(R75),R75,100000)+ROW()/100000,"")</f>
        <v/>
      </c>
      <c r="AC75" s="66" t="str">
        <f>IF(A75="","",IF(COUNTIF($A$6:A75,A75)=1,1,""))</f>
        <v/>
      </c>
      <c r="AD75" s="66" t="str">
        <f>IF(AC75=1,COUNT($AC$6:AC75),"")</f>
        <v/>
      </c>
      <c r="AE75" s="66" t="str">
        <f>IFERROR(INDEX(po_num,MATCH(70,po_seq,0))&amp;"","")</f>
        <v/>
      </c>
      <c r="AF75" s="66" t="str">
        <f>IF(OR(A75="",p_po=""),"",IF(A75&amp;""=p_po,COUNTIF($A$6:A75,A75),""))</f>
        <v/>
      </c>
      <c r="AG75" s="66" t="str">
        <f>IF(OR(AB75="",A75=""),"",IF(COUNTIFS($A$6:A75,A75,$AB$6:AB75,"&gt;0")=1,1,""))</f>
        <v/>
      </c>
      <c r="AH75" s="70" t="str">
        <f>IF(AB75="","",ROUND(N(W75)*N(J75)*(1-N(K75)),2))</f>
        <v/>
      </c>
      <c r="AI75" s="70" t="str">
        <f>IF(OR(J75="",N(T75)&lt;=0,V75="Oui"),"",ROUND(N(T75)*J75*(1-N(K75)),2))</f>
        <v/>
      </c>
    </row>
    <row r="76">
      <c r="A76" s="63" t="n"/>
      <c r="B76" s="64" t="n"/>
      <c r="C76" s="65" t="n"/>
      <c r="D76" s="66" t="str">
        <f>IF(C76="","",IFERROR(INDEX(sup_name,MATCH($C76,sup_code,0))&amp;"","Fournisseur inconnu"))</f>
        <v/>
      </c>
      <c r="E76" s="63" t="n"/>
      <c r="F76" s="66" t="str">
        <f>IF(E76="","",IFERROR(INDEX(art_des,MATCH($E76,art_ref,0))&amp;"","Article inconnu"))</f>
        <v/>
      </c>
      <c r="G76" s="67" t="str">
        <f>IF(E76="","",IFERROR(INDEX(art_unit,MATCH($E76,art_ref,0))&amp;"",""))</f>
        <v/>
      </c>
      <c r="H76" s="68" t="n"/>
      <c r="I76" s="69" t="n"/>
      <c r="J76" s="70" t="str">
        <f>IF(E76="","",IF(ISNUMBER(I76),I76,IFERROR(IF(ISNUMBER(INDEX(art_price,MATCH($E76,art_ref,0))),INDEX(art_price,MATCH($E76,art_ref,0)),""),"")))</f>
        <v/>
      </c>
      <c r="K76" s="71" t="n"/>
      <c r="L76" s="72" t="n"/>
      <c r="M76" s="72" t="str">
        <f>IF(E76="","",IF(L76&lt;&gt;"",L76,IFERROR(IF(ISNUMBER(INDEX(art_tva,MATCH($E76,art_ref,0))),INDEX(art_tva,MATCH($E76,art_ref,0)),""),"")))</f>
        <v/>
      </c>
      <c r="N76" s="70" t="str">
        <f>IF(OR(E76="",J76=""),"",ROUND(N(H76)*J76*(1-N(K76)),2))</f>
        <v/>
      </c>
      <c r="O76" s="70" t="str">
        <f>IF(OR(N76="",NOT(ISNUMBER(M76))),"",ROUND(N76*M76,2))</f>
        <v/>
      </c>
      <c r="P76" s="70" t="str">
        <f>IF(N76="","",N76+N(O76))</f>
        <v/>
      </c>
      <c r="Q76" s="64" t="n"/>
      <c r="R76" s="73" t="str">
        <f>IF(N(Q76)&gt;0,Q76,IF(OR(N(B76)=0,ISNA(MATCH($C76,sup_code,0))),"",IF(ISNUMBER(INDEX(sup_delay,MATCH($C76,sup_code,0))),B76+INDEX(sup_delay,MATCH($C76,sup_code,0)),"")))</f>
        <v/>
      </c>
      <c r="S76" s="64" t="n"/>
      <c r="T76" s="68" t="n"/>
      <c r="U76" s="64" t="n"/>
      <c r="V76" s="65" t="n"/>
      <c r="W76" s="74" t="str">
        <f>IF(AND(A76="",E76=""),"",IF(V76="Oui",0,MAX(0,ROUND(N(H76)-N(T76),6))))</f>
        <v/>
      </c>
      <c r="X76" s="67" t="str">
        <f>IF(AND(A76="",E76=""),"",IF(V76="Oui","Annulé",IF(AND(N(H76)&gt;0,N(T76)&gt;=N(H76)),"Reçu",IF(N(S76)=0,"Brouillon",IF(AND(ISNUMBER(R76),R76&lt;p_today),"En retard",IF(N(T76)&gt;0,"Partiel","Envoyé"))))))</f>
        <v/>
      </c>
      <c r="Y76" s="75" t="str">
        <f>IF(X76="En retard",p_today-R76,IF(AND(X76="Reçu",ISNUMBER(R76)),MAX(0,N(U76)-R76),""))</f>
        <v/>
      </c>
      <c r="Z76" s="67" t="str">
        <f>IF(AND(A76="",E76=""),"",IF(A76="","N° de bon manquant",IF(N(B76)=0,"Date de commande manquante",IF(C76="","Fournisseur manquant",IF(ISNA(MATCH($C76,sup_code,0)),"Fournisseur inconnu",IF(E76="","Article manquant",IF(ISNA(MATCH($E76,art_ref,0)),"Article inconnu",IF(N(H76)&lt;=0,"Quantité invalide",IF(J76="","Prix manquant",IF(OR(N(K76)&lt;0,N(K76)&gt;=1),"Remise invalide",IF(M76="","TVA manquante",IF(ISNA(MATCH(M76,p_tva,0)),"Taux de TVA inconnu",IF(COUNTIFS(po_num,A76,po_sup,"&lt;&gt;"&amp;C76)&gt;0,"Fournisseur différent sur ce bon",IF(COUNTIFS(po_num,A76,po_date,"&lt;&gt;"&amp;B76)&gt;0,"Date différente sur ce bon",IF(COUNTIF(po_num,A76)&gt;25,"Plus de 25 lignes sur ce bon",IF(R76="","Date de livraison manquante",IF(R76&lt;B76,"Livraison avant la commande",IF(AND(N(T76)&gt;0,N(S76)=0),"Date d'envoi manquante",IF(N(T76)&gt;N(H76),"Reçu plus que commandé",IF(AND(N(T76)&gt;0,N(U76)=0),"Date de réception manquante",IF(AND(N(U76)&gt;0,U76&lt;B76),"Réception avant la commande","OK")))))))))))))))))))))</f>
        <v/>
      </c>
      <c r="AA76" s="66" t="str">
        <f>IF(AND(X76="Reçu",ISNUMBER(R76)),IF(N(U76)&lt;=R76,1,0),"")</f>
        <v/>
      </c>
      <c r="AB76" s="76" t="str">
        <f>IF(OR(X76="Envoyé",X76="Partiel",X76="En retard"),IF(ISNUMBER(R76),R76,100000)+ROW()/100000,"")</f>
        <v/>
      </c>
      <c r="AC76" s="66" t="str">
        <f>IF(A76="","",IF(COUNTIF($A$6:A76,A76)=1,1,""))</f>
        <v/>
      </c>
      <c r="AD76" s="66" t="str">
        <f>IF(AC76=1,COUNT($AC$6:AC76),"")</f>
        <v/>
      </c>
      <c r="AE76" s="66" t="str">
        <f>IFERROR(INDEX(po_num,MATCH(71,po_seq,0))&amp;"","")</f>
        <v/>
      </c>
      <c r="AF76" s="66" t="str">
        <f>IF(OR(A76="",p_po=""),"",IF(A76&amp;""=p_po,COUNTIF($A$6:A76,A76),""))</f>
        <v/>
      </c>
      <c r="AG76" s="66" t="str">
        <f>IF(OR(AB76="",A76=""),"",IF(COUNTIFS($A$6:A76,A76,$AB$6:AB76,"&gt;0")=1,1,""))</f>
        <v/>
      </c>
      <c r="AH76" s="70" t="str">
        <f>IF(AB76="","",ROUND(N(W76)*N(J76)*(1-N(K76)),2))</f>
        <v/>
      </c>
      <c r="AI76" s="70" t="str">
        <f>IF(OR(J76="",N(T76)&lt;=0,V76="Oui"),"",ROUND(N(T76)*J76*(1-N(K76)),2))</f>
        <v/>
      </c>
    </row>
    <row r="77">
      <c r="A77" s="63" t="n"/>
      <c r="B77" s="64" t="n"/>
      <c r="C77" s="65" t="n"/>
      <c r="D77" s="66" t="str">
        <f>IF(C77="","",IFERROR(INDEX(sup_name,MATCH($C77,sup_code,0))&amp;"","Fournisseur inconnu"))</f>
        <v/>
      </c>
      <c r="E77" s="63" t="n"/>
      <c r="F77" s="66" t="str">
        <f>IF(E77="","",IFERROR(INDEX(art_des,MATCH($E77,art_ref,0))&amp;"","Article inconnu"))</f>
        <v/>
      </c>
      <c r="G77" s="67" t="str">
        <f>IF(E77="","",IFERROR(INDEX(art_unit,MATCH($E77,art_ref,0))&amp;"",""))</f>
        <v/>
      </c>
      <c r="H77" s="68" t="n"/>
      <c r="I77" s="69" t="n"/>
      <c r="J77" s="70" t="str">
        <f>IF(E77="","",IF(ISNUMBER(I77),I77,IFERROR(IF(ISNUMBER(INDEX(art_price,MATCH($E77,art_ref,0))),INDEX(art_price,MATCH($E77,art_ref,0)),""),"")))</f>
        <v/>
      </c>
      <c r="K77" s="71" t="n"/>
      <c r="L77" s="72" t="n"/>
      <c r="M77" s="72" t="str">
        <f>IF(E77="","",IF(L77&lt;&gt;"",L77,IFERROR(IF(ISNUMBER(INDEX(art_tva,MATCH($E77,art_ref,0))),INDEX(art_tva,MATCH($E77,art_ref,0)),""),"")))</f>
        <v/>
      </c>
      <c r="N77" s="70" t="str">
        <f>IF(OR(E77="",J77=""),"",ROUND(N(H77)*J77*(1-N(K77)),2))</f>
        <v/>
      </c>
      <c r="O77" s="70" t="str">
        <f>IF(OR(N77="",NOT(ISNUMBER(M77))),"",ROUND(N77*M77,2))</f>
        <v/>
      </c>
      <c r="P77" s="70" t="str">
        <f>IF(N77="","",N77+N(O77))</f>
        <v/>
      </c>
      <c r="Q77" s="64" t="n"/>
      <c r="R77" s="73" t="str">
        <f>IF(N(Q77)&gt;0,Q77,IF(OR(N(B77)=0,ISNA(MATCH($C77,sup_code,0))),"",IF(ISNUMBER(INDEX(sup_delay,MATCH($C77,sup_code,0))),B77+INDEX(sup_delay,MATCH($C77,sup_code,0)),"")))</f>
        <v/>
      </c>
      <c r="S77" s="64" t="n"/>
      <c r="T77" s="68" t="n"/>
      <c r="U77" s="64" t="n"/>
      <c r="V77" s="65" t="n"/>
      <c r="W77" s="74" t="str">
        <f>IF(AND(A77="",E77=""),"",IF(V77="Oui",0,MAX(0,ROUND(N(H77)-N(T77),6))))</f>
        <v/>
      </c>
      <c r="X77" s="67" t="str">
        <f>IF(AND(A77="",E77=""),"",IF(V77="Oui","Annulé",IF(AND(N(H77)&gt;0,N(T77)&gt;=N(H77)),"Reçu",IF(N(S77)=0,"Brouillon",IF(AND(ISNUMBER(R77),R77&lt;p_today),"En retard",IF(N(T77)&gt;0,"Partiel","Envoyé"))))))</f>
        <v/>
      </c>
      <c r="Y77" s="75" t="str">
        <f>IF(X77="En retard",p_today-R77,IF(AND(X77="Reçu",ISNUMBER(R77)),MAX(0,N(U77)-R77),""))</f>
        <v/>
      </c>
      <c r="Z77" s="67" t="str">
        <f>IF(AND(A77="",E77=""),"",IF(A77="","N° de bon manquant",IF(N(B77)=0,"Date de commande manquante",IF(C77="","Fournisseur manquant",IF(ISNA(MATCH($C77,sup_code,0)),"Fournisseur inconnu",IF(E77="","Article manquant",IF(ISNA(MATCH($E77,art_ref,0)),"Article inconnu",IF(N(H77)&lt;=0,"Quantité invalide",IF(J77="","Prix manquant",IF(OR(N(K77)&lt;0,N(K77)&gt;=1),"Remise invalide",IF(M77="","TVA manquante",IF(ISNA(MATCH(M77,p_tva,0)),"Taux de TVA inconnu",IF(COUNTIFS(po_num,A77,po_sup,"&lt;&gt;"&amp;C77)&gt;0,"Fournisseur différent sur ce bon",IF(COUNTIFS(po_num,A77,po_date,"&lt;&gt;"&amp;B77)&gt;0,"Date différente sur ce bon",IF(COUNTIF(po_num,A77)&gt;25,"Plus de 25 lignes sur ce bon",IF(R77="","Date de livraison manquante",IF(R77&lt;B77,"Livraison avant la commande",IF(AND(N(T77)&gt;0,N(S77)=0),"Date d'envoi manquante",IF(N(T77)&gt;N(H77),"Reçu plus que commandé",IF(AND(N(T77)&gt;0,N(U77)=0),"Date de réception manquante",IF(AND(N(U77)&gt;0,U77&lt;B77),"Réception avant la commande","OK")))))))))))))))))))))</f>
        <v/>
      </c>
      <c r="AA77" s="66" t="str">
        <f>IF(AND(X77="Reçu",ISNUMBER(R77)),IF(N(U77)&lt;=R77,1,0),"")</f>
        <v/>
      </c>
      <c r="AB77" s="76" t="str">
        <f>IF(OR(X77="Envoyé",X77="Partiel",X77="En retard"),IF(ISNUMBER(R77),R77,100000)+ROW()/100000,"")</f>
        <v/>
      </c>
      <c r="AC77" s="66" t="str">
        <f>IF(A77="","",IF(COUNTIF($A$6:A77,A77)=1,1,""))</f>
        <v/>
      </c>
      <c r="AD77" s="66" t="str">
        <f>IF(AC77=1,COUNT($AC$6:AC77),"")</f>
        <v/>
      </c>
      <c r="AE77" s="66" t="str">
        <f>IFERROR(INDEX(po_num,MATCH(72,po_seq,0))&amp;"","")</f>
        <v/>
      </c>
      <c r="AF77" s="66" t="str">
        <f>IF(OR(A77="",p_po=""),"",IF(A77&amp;""=p_po,COUNTIF($A$6:A77,A77),""))</f>
        <v/>
      </c>
      <c r="AG77" s="66" t="str">
        <f>IF(OR(AB77="",A77=""),"",IF(COUNTIFS($A$6:A77,A77,$AB$6:AB77,"&gt;0")=1,1,""))</f>
        <v/>
      </c>
      <c r="AH77" s="70" t="str">
        <f>IF(AB77="","",ROUND(N(W77)*N(J77)*(1-N(K77)),2))</f>
        <v/>
      </c>
      <c r="AI77" s="70" t="str">
        <f>IF(OR(J77="",N(T77)&lt;=0,V77="Oui"),"",ROUND(N(T77)*J77*(1-N(K77)),2))</f>
        <v/>
      </c>
    </row>
    <row r="78">
      <c r="A78" s="63" t="n"/>
      <c r="B78" s="64" t="n"/>
      <c r="C78" s="65" t="n"/>
      <c r="D78" s="66" t="str">
        <f>IF(C78="","",IFERROR(INDEX(sup_name,MATCH($C78,sup_code,0))&amp;"","Fournisseur inconnu"))</f>
        <v/>
      </c>
      <c r="E78" s="63" t="n"/>
      <c r="F78" s="66" t="str">
        <f>IF(E78="","",IFERROR(INDEX(art_des,MATCH($E78,art_ref,0))&amp;"","Article inconnu"))</f>
        <v/>
      </c>
      <c r="G78" s="67" t="str">
        <f>IF(E78="","",IFERROR(INDEX(art_unit,MATCH($E78,art_ref,0))&amp;"",""))</f>
        <v/>
      </c>
      <c r="H78" s="68" t="n"/>
      <c r="I78" s="69" t="n"/>
      <c r="J78" s="70" t="str">
        <f>IF(E78="","",IF(ISNUMBER(I78),I78,IFERROR(IF(ISNUMBER(INDEX(art_price,MATCH($E78,art_ref,0))),INDEX(art_price,MATCH($E78,art_ref,0)),""),"")))</f>
        <v/>
      </c>
      <c r="K78" s="71" t="n"/>
      <c r="L78" s="72" t="n"/>
      <c r="M78" s="72" t="str">
        <f>IF(E78="","",IF(L78&lt;&gt;"",L78,IFERROR(IF(ISNUMBER(INDEX(art_tva,MATCH($E78,art_ref,0))),INDEX(art_tva,MATCH($E78,art_ref,0)),""),"")))</f>
        <v/>
      </c>
      <c r="N78" s="70" t="str">
        <f>IF(OR(E78="",J78=""),"",ROUND(N(H78)*J78*(1-N(K78)),2))</f>
        <v/>
      </c>
      <c r="O78" s="70" t="str">
        <f>IF(OR(N78="",NOT(ISNUMBER(M78))),"",ROUND(N78*M78,2))</f>
        <v/>
      </c>
      <c r="P78" s="70" t="str">
        <f>IF(N78="","",N78+N(O78))</f>
        <v/>
      </c>
      <c r="Q78" s="64" t="n"/>
      <c r="R78" s="73" t="str">
        <f>IF(N(Q78)&gt;0,Q78,IF(OR(N(B78)=0,ISNA(MATCH($C78,sup_code,0))),"",IF(ISNUMBER(INDEX(sup_delay,MATCH($C78,sup_code,0))),B78+INDEX(sup_delay,MATCH($C78,sup_code,0)),"")))</f>
        <v/>
      </c>
      <c r="S78" s="64" t="n"/>
      <c r="T78" s="68" t="n"/>
      <c r="U78" s="64" t="n"/>
      <c r="V78" s="65" t="n"/>
      <c r="W78" s="74" t="str">
        <f>IF(AND(A78="",E78=""),"",IF(V78="Oui",0,MAX(0,ROUND(N(H78)-N(T78),6))))</f>
        <v/>
      </c>
      <c r="X78" s="67" t="str">
        <f>IF(AND(A78="",E78=""),"",IF(V78="Oui","Annulé",IF(AND(N(H78)&gt;0,N(T78)&gt;=N(H78)),"Reçu",IF(N(S78)=0,"Brouillon",IF(AND(ISNUMBER(R78),R78&lt;p_today),"En retard",IF(N(T78)&gt;0,"Partiel","Envoyé"))))))</f>
        <v/>
      </c>
      <c r="Y78" s="75" t="str">
        <f>IF(X78="En retard",p_today-R78,IF(AND(X78="Reçu",ISNUMBER(R78)),MAX(0,N(U78)-R78),""))</f>
        <v/>
      </c>
      <c r="Z78" s="67" t="str">
        <f>IF(AND(A78="",E78=""),"",IF(A78="","N° de bon manquant",IF(N(B78)=0,"Date de commande manquante",IF(C78="","Fournisseur manquant",IF(ISNA(MATCH($C78,sup_code,0)),"Fournisseur inconnu",IF(E78="","Article manquant",IF(ISNA(MATCH($E78,art_ref,0)),"Article inconnu",IF(N(H78)&lt;=0,"Quantité invalide",IF(J78="","Prix manquant",IF(OR(N(K78)&lt;0,N(K78)&gt;=1),"Remise invalide",IF(M78="","TVA manquante",IF(ISNA(MATCH(M78,p_tva,0)),"Taux de TVA inconnu",IF(COUNTIFS(po_num,A78,po_sup,"&lt;&gt;"&amp;C78)&gt;0,"Fournisseur différent sur ce bon",IF(COUNTIFS(po_num,A78,po_date,"&lt;&gt;"&amp;B78)&gt;0,"Date différente sur ce bon",IF(COUNTIF(po_num,A78)&gt;25,"Plus de 25 lignes sur ce bon",IF(R78="","Date de livraison manquante",IF(R78&lt;B78,"Livraison avant la commande",IF(AND(N(T78)&gt;0,N(S78)=0),"Date d'envoi manquante",IF(N(T78)&gt;N(H78),"Reçu plus que commandé",IF(AND(N(T78)&gt;0,N(U78)=0),"Date de réception manquante",IF(AND(N(U78)&gt;0,U78&lt;B78),"Réception avant la commande","OK")))))))))))))))))))))</f>
        <v/>
      </c>
      <c r="AA78" s="66" t="str">
        <f>IF(AND(X78="Reçu",ISNUMBER(R78)),IF(N(U78)&lt;=R78,1,0),"")</f>
        <v/>
      </c>
      <c r="AB78" s="76" t="str">
        <f>IF(OR(X78="Envoyé",X78="Partiel",X78="En retard"),IF(ISNUMBER(R78),R78,100000)+ROW()/100000,"")</f>
        <v/>
      </c>
      <c r="AC78" s="66" t="str">
        <f>IF(A78="","",IF(COUNTIF($A$6:A78,A78)=1,1,""))</f>
        <v/>
      </c>
      <c r="AD78" s="66" t="str">
        <f>IF(AC78=1,COUNT($AC$6:AC78),"")</f>
        <v/>
      </c>
      <c r="AE78" s="66" t="str">
        <f>IFERROR(INDEX(po_num,MATCH(73,po_seq,0))&amp;"","")</f>
        <v/>
      </c>
      <c r="AF78" s="66" t="str">
        <f>IF(OR(A78="",p_po=""),"",IF(A78&amp;""=p_po,COUNTIF($A$6:A78,A78),""))</f>
        <v/>
      </c>
      <c r="AG78" s="66" t="str">
        <f>IF(OR(AB78="",A78=""),"",IF(COUNTIFS($A$6:A78,A78,$AB$6:AB78,"&gt;0")=1,1,""))</f>
        <v/>
      </c>
      <c r="AH78" s="70" t="str">
        <f>IF(AB78="","",ROUND(N(W78)*N(J78)*(1-N(K78)),2))</f>
        <v/>
      </c>
      <c r="AI78" s="70" t="str">
        <f>IF(OR(J78="",N(T78)&lt;=0,V78="Oui"),"",ROUND(N(T78)*J78*(1-N(K78)),2))</f>
        <v/>
      </c>
    </row>
    <row r="79">
      <c r="A79" s="63" t="n"/>
      <c r="B79" s="64" t="n"/>
      <c r="C79" s="65" t="n"/>
      <c r="D79" s="66" t="str">
        <f>IF(C79="","",IFERROR(INDEX(sup_name,MATCH($C79,sup_code,0))&amp;"","Fournisseur inconnu"))</f>
        <v/>
      </c>
      <c r="E79" s="63" t="n"/>
      <c r="F79" s="66" t="str">
        <f>IF(E79="","",IFERROR(INDEX(art_des,MATCH($E79,art_ref,0))&amp;"","Article inconnu"))</f>
        <v/>
      </c>
      <c r="G79" s="67" t="str">
        <f>IF(E79="","",IFERROR(INDEX(art_unit,MATCH($E79,art_ref,0))&amp;"",""))</f>
        <v/>
      </c>
      <c r="H79" s="68" t="n"/>
      <c r="I79" s="69" t="n"/>
      <c r="J79" s="70" t="str">
        <f>IF(E79="","",IF(ISNUMBER(I79),I79,IFERROR(IF(ISNUMBER(INDEX(art_price,MATCH($E79,art_ref,0))),INDEX(art_price,MATCH($E79,art_ref,0)),""),"")))</f>
        <v/>
      </c>
      <c r="K79" s="71" t="n"/>
      <c r="L79" s="72" t="n"/>
      <c r="M79" s="72" t="str">
        <f>IF(E79="","",IF(L79&lt;&gt;"",L79,IFERROR(IF(ISNUMBER(INDEX(art_tva,MATCH($E79,art_ref,0))),INDEX(art_tva,MATCH($E79,art_ref,0)),""),"")))</f>
        <v/>
      </c>
      <c r="N79" s="70" t="str">
        <f>IF(OR(E79="",J79=""),"",ROUND(N(H79)*J79*(1-N(K79)),2))</f>
        <v/>
      </c>
      <c r="O79" s="70" t="str">
        <f>IF(OR(N79="",NOT(ISNUMBER(M79))),"",ROUND(N79*M79,2))</f>
        <v/>
      </c>
      <c r="P79" s="70" t="str">
        <f>IF(N79="","",N79+N(O79))</f>
        <v/>
      </c>
      <c r="Q79" s="64" t="n"/>
      <c r="R79" s="73" t="str">
        <f>IF(N(Q79)&gt;0,Q79,IF(OR(N(B79)=0,ISNA(MATCH($C79,sup_code,0))),"",IF(ISNUMBER(INDEX(sup_delay,MATCH($C79,sup_code,0))),B79+INDEX(sup_delay,MATCH($C79,sup_code,0)),"")))</f>
        <v/>
      </c>
      <c r="S79" s="64" t="n"/>
      <c r="T79" s="68" t="n"/>
      <c r="U79" s="64" t="n"/>
      <c r="V79" s="65" t="n"/>
      <c r="W79" s="74" t="str">
        <f>IF(AND(A79="",E79=""),"",IF(V79="Oui",0,MAX(0,ROUND(N(H79)-N(T79),6))))</f>
        <v/>
      </c>
      <c r="X79" s="67" t="str">
        <f>IF(AND(A79="",E79=""),"",IF(V79="Oui","Annulé",IF(AND(N(H79)&gt;0,N(T79)&gt;=N(H79)),"Reçu",IF(N(S79)=0,"Brouillon",IF(AND(ISNUMBER(R79),R79&lt;p_today),"En retard",IF(N(T79)&gt;0,"Partiel","Envoyé"))))))</f>
        <v/>
      </c>
      <c r="Y79" s="75" t="str">
        <f>IF(X79="En retard",p_today-R79,IF(AND(X79="Reçu",ISNUMBER(R79)),MAX(0,N(U79)-R79),""))</f>
        <v/>
      </c>
      <c r="Z79" s="67" t="str">
        <f>IF(AND(A79="",E79=""),"",IF(A79="","N° de bon manquant",IF(N(B79)=0,"Date de commande manquante",IF(C79="","Fournisseur manquant",IF(ISNA(MATCH($C79,sup_code,0)),"Fournisseur inconnu",IF(E79="","Article manquant",IF(ISNA(MATCH($E79,art_ref,0)),"Article inconnu",IF(N(H79)&lt;=0,"Quantité invalide",IF(J79="","Prix manquant",IF(OR(N(K79)&lt;0,N(K79)&gt;=1),"Remise invalide",IF(M79="","TVA manquante",IF(ISNA(MATCH(M79,p_tva,0)),"Taux de TVA inconnu",IF(COUNTIFS(po_num,A79,po_sup,"&lt;&gt;"&amp;C79)&gt;0,"Fournisseur différent sur ce bon",IF(COUNTIFS(po_num,A79,po_date,"&lt;&gt;"&amp;B79)&gt;0,"Date différente sur ce bon",IF(COUNTIF(po_num,A79)&gt;25,"Plus de 25 lignes sur ce bon",IF(R79="","Date de livraison manquante",IF(R79&lt;B79,"Livraison avant la commande",IF(AND(N(T79)&gt;0,N(S79)=0),"Date d'envoi manquante",IF(N(T79)&gt;N(H79),"Reçu plus que commandé",IF(AND(N(T79)&gt;0,N(U79)=0),"Date de réception manquante",IF(AND(N(U79)&gt;0,U79&lt;B79),"Réception avant la commande","OK")))))))))))))))))))))</f>
        <v/>
      </c>
      <c r="AA79" s="66" t="str">
        <f>IF(AND(X79="Reçu",ISNUMBER(R79)),IF(N(U79)&lt;=R79,1,0),"")</f>
        <v/>
      </c>
      <c r="AB79" s="76" t="str">
        <f>IF(OR(X79="Envoyé",X79="Partiel",X79="En retard"),IF(ISNUMBER(R79),R79,100000)+ROW()/100000,"")</f>
        <v/>
      </c>
      <c r="AC79" s="66" t="str">
        <f>IF(A79="","",IF(COUNTIF($A$6:A79,A79)=1,1,""))</f>
        <v/>
      </c>
      <c r="AD79" s="66" t="str">
        <f>IF(AC79=1,COUNT($AC$6:AC79),"")</f>
        <v/>
      </c>
      <c r="AE79" s="66" t="str">
        <f>IFERROR(INDEX(po_num,MATCH(74,po_seq,0))&amp;"","")</f>
        <v/>
      </c>
      <c r="AF79" s="66" t="str">
        <f>IF(OR(A79="",p_po=""),"",IF(A79&amp;""=p_po,COUNTIF($A$6:A79,A79),""))</f>
        <v/>
      </c>
      <c r="AG79" s="66" t="str">
        <f>IF(OR(AB79="",A79=""),"",IF(COUNTIFS($A$6:A79,A79,$AB$6:AB79,"&gt;0")=1,1,""))</f>
        <v/>
      </c>
      <c r="AH79" s="70" t="str">
        <f>IF(AB79="","",ROUND(N(W79)*N(J79)*(1-N(K79)),2))</f>
        <v/>
      </c>
      <c r="AI79" s="70" t="str">
        <f>IF(OR(J79="",N(T79)&lt;=0,V79="Oui"),"",ROUND(N(T79)*J79*(1-N(K79)),2))</f>
        <v/>
      </c>
    </row>
    <row r="80">
      <c r="A80" s="63" t="n"/>
      <c r="B80" s="64" t="n"/>
      <c r="C80" s="65" t="n"/>
      <c r="D80" s="66" t="str">
        <f>IF(C80="","",IFERROR(INDEX(sup_name,MATCH($C80,sup_code,0))&amp;"","Fournisseur inconnu"))</f>
        <v/>
      </c>
      <c r="E80" s="63" t="n"/>
      <c r="F80" s="66" t="str">
        <f>IF(E80="","",IFERROR(INDEX(art_des,MATCH($E80,art_ref,0))&amp;"","Article inconnu"))</f>
        <v/>
      </c>
      <c r="G80" s="67" t="str">
        <f>IF(E80="","",IFERROR(INDEX(art_unit,MATCH($E80,art_ref,0))&amp;"",""))</f>
        <v/>
      </c>
      <c r="H80" s="68" t="n"/>
      <c r="I80" s="69" t="n"/>
      <c r="J80" s="70" t="str">
        <f>IF(E80="","",IF(ISNUMBER(I80),I80,IFERROR(IF(ISNUMBER(INDEX(art_price,MATCH($E80,art_ref,0))),INDEX(art_price,MATCH($E80,art_ref,0)),""),"")))</f>
        <v/>
      </c>
      <c r="K80" s="71" t="n"/>
      <c r="L80" s="72" t="n"/>
      <c r="M80" s="72" t="str">
        <f>IF(E80="","",IF(L80&lt;&gt;"",L80,IFERROR(IF(ISNUMBER(INDEX(art_tva,MATCH($E80,art_ref,0))),INDEX(art_tva,MATCH($E80,art_ref,0)),""),"")))</f>
        <v/>
      </c>
      <c r="N80" s="70" t="str">
        <f>IF(OR(E80="",J80=""),"",ROUND(N(H80)*J80*(1-N(K80)),2))</f>
        <v/>
      </c>
      <c r="O80" s="70" t="str">
        <f>IF(OR(N80="",NOT(ISNUMBER(M80))),"",ROUND(N80*M80,2))</f>
        <v/>
      </c>
      <c r="P80" s="70" t="str">
        <f>IF(N80="","",N80+N(O80))</f>
        <v/>
      </c>
      <c r="Q80" s="64" t="n"/>
      <c r="R80" s="73" t="str">
        <f>IF(N(Q80)&gt;0,Q80,IF(OR(N(B80)=0,ISNA(MATCH($C80,sup_code,0))),"",IF(ISNUMBER(INDEX(sup_delay,MATCH($C80,sup_code,0))),B80+INDEX(sup_delay,MATCH($C80,sup_code,0)),"")))</f>
        <v/>
      </c>
      <c r="S80" s="64" t="n"/>
      <c r="T80" s="68" t="n"/>
      <c r="U80" s="64" t="n"/>
      <c r="V80" s="65" t="n"/>
      <c r="W80" s="74" t="str">
        <f>IF(AND(A80="",E80=""),"",IF(V80="Oui",0,MAX(0,ROUND(N(H80)-N(T80),6))))</f>
        <v/>
      </c>
      <c r="X80" s="67" t="str">
        <f>IF(AND(A80="",E80=""),"",IF(V80="Oui","Annulé",IF(AND(N(H80)&gt;0,N(T80)&gt;=N(H80)),"Reçu",IF(N(S80)=0,"Brouillon",IF(AND(ISNUMBER(R80),R80&lt;p_today),"En retard",IF(N(T80)&gt;0,"Partiel","Envoyé"))))))</f>
        <v/>
      </c>
      <c r="Y80" s="75" t="str">
        <f>IF(X80="En retard",p_today-R80,IF(AND(X80="Reçu",ISNUMBER(R80)),MAX(0,N(U80)-R80),""))</f>
        <v/>
      </c>
      <c r="Z80" s="67" t="str">
        <f>IF(AND(A80="",E80=""),"",IF(A80="","N° de bon manquant",IF(N(B80)=0,"Date de commande manquante",IF(C80="","Fournisseur manquant",IF(ISNA(MATCH($C80,sup_code,0)),"Fournisseur inconnu",IF(E80="","Article manquant",IF(ISNA(MATCH($E80,art_ref,0)),"Article inconnu",IF(N(H80)&lt;=0,"Quantité invalide",IF(J80="","Prix manquant",IF(OR(N(K80)&lt;0,N(K80)&gt;=1),"Remise invalide",IF(M80="","TVA manquante",IF(ISNA(MATCH(M80,p_tva,0)),"Taux de TVA inconnu",IF(COUNTIFS(po_num,A80,po_sup,"&lt;&gt;"&amp;C80)&gt;0,"Fournisseur différent sur ce bon",IF(COUNTIFS(po_num,A80,po_date,"&lt;&gt;"&amp;B80)&gt;0,"Date différente sur ce bon",IF(COUNTIF(po_num,A80)&gt;25,"Plus de 25 lignes sur ce bon",IF(R80="","Date de livraison manquante",IF(R80&lt;B80,"Livraison avant la commande",IF(AND(N(T80)&gt;0,N(S80)=0),"Date d'envoi manquante",IF(N(T80)&gt;N(H80),"Reçu plus que commandé",IF(AND(N(T80)&gt;0,N(U80)=0),"Date de réception manquante",IF(AND(N(U80)&gt;0,U80&lt;B80),"Réception avant la commande","OK")))))))))))))))))))))</f>
        <v/>
      </c>
      <c r="AA80" s="66" t="str">
        <f>IF(AND(X80="Reçu",ISNUMBER(R80)),IF(N(U80)&lt;=R80,1,0),"")</f>
        <v/>
      </c>
      <c r="AB80" s="76" t="str">
        <f>IF(OR(X80="Envoyé",X80="Partiel",X80="En retard"),IF(ISNUMBER(R80),R80,100000)+ROW()/100000,"")</f>
        <v/>
      </c>
      <c r="AC80" s="66" t="str">
        <f>IF(A80="","",IF(COUNTIF($A$6:A80,A80)=1,1,""))</f>
        <v/>
      </c>
      <c r="AD80" s="66" t="str">
        <f>IF(AC80=1,COUNT($AC$6:AC80),"")</f>
        <v/>
      </c>
      <c r="AE80" s="66" t="str">
        <f>IFERROR(INDEX(po_num,MATCH(75,po_seq,0))&amp;"","")</f>
        <v/>
      </c>
      <c r="AF80" s="66" t="str">
        <f>IF(OR(A80="",p_po=""),"",IF(A80&amp;""=p_po,COUNTIF($A$6:A80,A80),""))</f>
        <v/>
      </c>
      <c r="AG80" s="66" t="str">
        <f>IF(OR(AB80="",A80=""),"",IF(COUNTIFS($A$6:A80,A80,$AB$6:AB80,"&gt;0")=1,1,""))</f>
        <v/>
      </c>
      <c r="AH80" s="70" t="str">
        <f>IF(AB80="","",ROUND(N(W80)*N(J80)*(1-N(K80)),2))</f>
        <v/>
      </c>
      <c r="AI80" s="70" t="str">
        <f>IF(OR(J80="",N(T80)&lt;=0,V80="Oui"),"",ROUND(N(T80)*J80*(1-N(K80)),2))</f>
        <v/>
      </c>
    </row>
    <row r="81">
      <c r="A81" s="63" t="n"/>
      <c r="B81" s="64" t="n"/>
      <c r="C81" s="65" t="n"/>
      <c r="D81" s="66" t="str">
        <f>IF(C81="","",IFERROR(INDEX(sup_name,MATCH($C81,sup_code,0))&amp;"","Fournisseur inconnu"))</f>
        <v/>
      </c>
      <c r="E81" s="63" t="n"/>
      <c r="F81" s="66" t="str">
        <f>IF(E81="","",IFERROR(INDEX(art_des,MATCH($E81,art_ref,0))&amp;"","Article inconnu"))</f>
        <v/>
      </c>
      <c r="G81" s="67" t="str">
        <f>IF(E81="","",IFERROR(INDEX(art_unit,MATCH($E81,art_ref,0))&amp;"",""))</f>
        <v/>
      </c>
      <c r="H81" s="68" t="n"/>
      <c r="I81" s="69" t="n"/>
      <c r="J81" s="70" t="str">
        <f>IF(E81="","",IF(ISNUMBER(I81),I81,IFERROR(IF(ISNUMBER(INDEX(art_price,MATCH($E81,art_ref,0))),INDEX(art_price,MATCH($E81,art_ref,0)),""),"")))</f>
        <v/>
      </c>
      <c r="K81" s="71" t="n"/>
      <c r="L81" s="72" t="n"/>
      <c r="M81" s="72" t="str">
        <f>IF(E81="","",IF(L81&lt;&gt;"",L81,IFERROR(IF(ISNUMBER(INDEX(art_tva,MATCH($E81,art_ref,0))),INDEX(art_tva,MATCH($E81,art_ref,0)),""),"")))</f>
        <v/>
      </c>
      <c r="N81" s="70" t="str">
        <f>IF(OR(E81="",J81=""),"",ROUND(N(H81)*J81*(1-N(K81)),2))</f>
        <v/>
      </c>
      <c r="O81" s="70" t="str">
        <f>IF(OR(N81="",NOT(ISNUMBER(M81))),"",ROUND(N81*M81,2))</f>
        <v/>
      </c>
      <c r="P81" s="70" t="str">
        <f>IF(N81="","",N81+N(O81))</f>
        <v/>
      </c>
      <c r="Q81" s="64" t="n"/>
      <c r="R81" s="73" t="str">
        <f>IF(N(Q81)&gt;0,Q81,IF(OR(N(B81)=0,ISNA(MATCH($C81,sup_code,0))),"",IF(ISNUMBER(INDEX(sup_delay,MATCH($C81,sup_code,0))),B81+INDEX(sup_delay,MATCH($C81,sup_code,0)),"")))</f>
        <v/>
      </c>
      <c r="S81" s="64" t="n"/>
      <c r="T81" s="68" t="n"/>
      <c r="U81" s="64" t="n"/>
      <c r="V81" s="65" t="n"/>
      <c r="W81" s="74" t="str">
        <f>IF(AND(A81="",E81=""),"",IF(V81="Oui",0,MAX(0,ROUND(N(H81)-N(T81),6))))</f>
        <v/>
      </c>
      <c r="X81" s="67" t="str">
        <f>IF(AND(A81="",E81=""),"",IF(V81="Oui","Annulé",IF(AND(N(H81)&gt;0,N(T81)&gt;=N(H81)),"Reçu",IF(N(S81)=0,"Brouillon",IF(AND(ISNUMBER(R81),R81&lt;p_today),"En retard",IF(N(T81)&gt;0,"Partiel","Envoyé"))))))</f>
        <v/>
      </c>
      <c r="Y81" s="75" t="str">
        <f>IF(X81="En retard",p_today-R81,IF(AND(X81="Reçu",ISNUMBER(R81)),MAX(0,N(U81)-R81),""))</f>
        <v/>
      </c>
      <c r="Z81" s="67" t="str">
        <f>IF(AND(A81="",E81=""),"",IF(A81="","N° de bon manquant",IF(N(B81)=0,"Date de commande manquante",IF(C81="","Fournisseur manquant",IF(ISNA(MATCH($C81,sup_code,0)),"Fournisseur inconnu",IF(E81="","Article manquant",IF(ISNA(MATCH($E81,art_ref,0)),"Article inconnu",IF(N(H81)&lt;=0,"Quantité invalide",IF(J81="","Prix manquant",IF(OR(N(K81)&lt;0,N(K81)&gt;=1),"Remise invalide",IF(M81="","TVA manquante",IF(ISNA(MATCH(M81,p_tva,0)),"Taux de TVA inconnu",IF(COUNTIFS(po_num,A81,po_sup,"&lt;&gt;"&amp;C81)&gt;0,"Fournisseur différent sur ce bon",IF(COUNTIFS(po_num,A81,po_date,"&lt;&gt;"&amp;B81)&gt;0,"Date différente sur ce bon",IF(COUNTIF(po_num,A81)&gt;25,"Plus de 25 lignes sur ce bon",IF(R81="","Date de livraison manquante",IF(R81&lt;B81,"Livraison avant la commande",IF(AND(N(T81)&gt;0,N(S81)=0),"Date d'envoi manquante",IF(N(T81)&gt;N(H81),"Reçu plus que commandé",IF(AND(N(T81)&gt;0,N(U81)=0),"Date de réception manquante",IF(AND(N(U81)&gt;0,U81&lt;B81),"Réception avant la commande","OK")))))))))))))))))))))</f>
        <v/>
      </c>
      <c r="AA81" s="66" t="str">
        <f>IF(AND(X81="Reçu",ISNUMBER(R81)),IF(N(U81)&lt;=R81,1,0),"")</f>
        <v/>
      </c>
      <c r="AB81" s="76" t="str">
        <f>IF(OR(X81="Envoyé",X81="Partiel",X81="En retard"),IF(ISNUMBER(R81),R81,100000)+ROW()/100000,"")</f>
        <v/>
      </c>
      <c r="AC81" s="66" t="str">
        <f>IF(A81="","",IF(COUNTIF($A$6:A81,A81)=1,1,""))</f>
        <v/>
      </c>
      <c r="AD81" s="66" t="str">
        <f>IF(AC81=1,COUNT($AC$6:AC81),"")</f>
        <v/>
      </c>
      <c r="AE81" s="66" t="str">
        <f>IFERROR(INDEX(po_num,MATCH(76,po_seq,0))&amp;"","")</f>
        <v/>
      </c>
      <c r="AF81" s="66" t="str">
        <f>IF(OR(A81="",p_po=""),"",IF(A81&amp;""=p_po,COUNTIF($A$6:A81,A81),""))</f>
        <v/>
      </c>
      <c r="AG81" s="66" t="str">
        <f>IF(OR(AB81="",A81=""),"",IF(COUNTIFS($A$6:A81,A81,$AB$6:AB81,"&gt;0")=1,1,""))</f>
        <v/>
      </c>
      <c r="AH81" s="70" t="str">
        <f>IF(AB81="","",ROUND(N(W81)*N(J81)*(1-N(K81)),2))</f>
        <v/>
      </c>
      <c r="AI81" s="70" t="str">
        <f>IF(OR(J81="",N(T81)&lt;=0,V81="Oui"),"",ROUND(N(T81)*J81*(1-N(K81)),2))</f>
        <v/>
      </c>
    </row>
    <row r="82">
      <c r="A82" s="63" t="n"/>
      <c r="B82" s="64" t="n"/>
      <c r="C82" s="65" t="n"/>
      <c r="D82" s="66" t="str">
        <f>IF(C82="","",IFERROR(INDEX(sup_name,MATCH($C82,sup_code,0))&amp;"","Fournisseur inconnu"))</f>
        <v/>
      </c>
      <c r="E82" s="63" t="n"/>
      <c r="F82" s="66" t="str">
        <f>IF(E82="","",IFERROR(INDEX(art_des,MATCH($E82,art_ref,0))&amp;"","Article inconnu"))</f>
        <v/>
      </c>
      <c r="G82" s="67" t="str">
        <f>IF(E82="","",IFERROR(INDEX(art_unit,MATCH($E82,art_ref,0))&amp;"",""))</f>
        <v/>
      </c>
      <c r="H82" s="68" t="n"/>
      <c r="I82" s="69" t="n"/>
      <c r="J82" s="70" t="str">
        <f>IF(E82="","",IF(ISNUMBER(I82),I82,IFERROR(IF(ISNUMBER(INDEX(art_price,MATCH($E82,art_ref,0))),INDEX(art_price,MATCH($E82,art_ref,0)),""),"")))</f>
        <v/>
      </c>
      <c r="K82" s="71" t="n"/>
      <c r="L82" s="72" t="n"/>
      <c r="M82" s="72" t="str">
        <f>IF(E82="","",IF(L82&lt;&gt;"",L82,IFERROR(IF(ISNUMBER(INDEX(art_tva,MATCH($E82,art_ref,0))),INDEX(art_tva,MATCH($E82,art_ref,0)),""),"")))</f>
        <v/>
      </c>
      <c r="N82" s="70" t="str">
        <f>IF(OR(E82="",J82=""),"",ROUND(N(H82)*J82*(1-N(K82)),2))</f>
        <v/>
      </c>
      <c r="O82" s="70" t="str">
        <f>IF(OR(N82="",NOT(ISNUMBER(M82))),"",ROUND(N82*M82,2))</f>
        <v/>
      </c>
      <c r="P82" s="70" t="str">
        <f>IF(N82="","",N82+N(O82))</f>
        <v/>
      </c>
      <c r="Q82" s="64" t="n"/>
      <c r="R82" s="73" t="str">
        <f>IF(N(Q82)&gt;0,Q82,IF(OR(N(B82)=0,ISNA(MATCH($C82,sup_code,0))),"",IF(ISNUMBER(INDEX(sup_delay,MATCH($C82,sup_code,0))),B82+INDEX(sup_delay,MATCH($C82,sup_code,0)),"")))</f>
        <v/>
      </c>
      <c r="S82" s="64" t="n"/>
      <c r="T82" s="68" t="n"/>
      <c r="U82" s="64" t="n"/>
      <c r="V82" s="65" t="n"/>
      <c r="W82" s="74" t="str">
        <f>IF(AND(A82="",E82=""),"",IF(V82="Oui",0,MAX(0,ROUND(N(H82)-N(T82),6))))</f>
        <v/>
      </c>
      <c r="X82" s="67" t="str">
        <f>IF(AND(A82="",E82=""),"",IF(V82="Oui","Annulé",IF(AND(N(H82)&gt;0,N(T82)&gt;=N(H82)),"Reçu",IF(N(S82)=0,"Brouillon",IF(AND(ISNUMBER(R82),R82&lt;p_today),"En retard",IF(N(T82)&gt;0,"Partiel","Envoyé"))))))</f>
        <v/>
      </c>
      <c r="Y82" s="75" t="str">
        <f>IF(X82="En retard",p_today-R82,IF(AND(X82="Reçu",ISNUMBER(R82)),MAX(0,N(U82)-R82),""))</f>
        <v/>
      </c>
      <c r="Z82" s="67" t="str">
        <f>IF(AND(A82="",E82=""),"",IF(A82="","N° de bon manquant",IF(N(B82)=0,"Date de commande manquante",IF(C82="","Fournisseur manquant",IF(ISNA(MATCH($C82,sup_code,0)),"Fournisseur inconnu",IF(E82="","Article manquant",IF(ISNA(MATCH($E82,art_ref,0)),"Article inconnu",IF(N(H82)&lt;=0,"Quantité invalide",IF(J82="","Prix manquant",IF(OR(N(K82)&lt;0,N(K82)&gt;=1),"Remise invalide",IF(M82="","TVA manquante",IF(ISNA(MATCH(M82,p_tva,0)),"Taux de TVA inconnu",IF(COUNTIFS(po_num,A82,po_sup,"&lt;&gt;"&amp;C82)&gt;0,"Fournisseur différent sur ce bon",IF(COUNTIFS(po_num,A82,po_date,"&lt;&gt;"&amp;B82)&gt;0,"Date différente sur ce bon",IF(COUNTIF(po_num,A82)&gt;25,"Plus de 25 lignes sur ce bon",IF(R82="","Date de livraison manquante",IF(R82&lt;B82,"Livraison avant la commande",IF(AND(N(T82)&gt;0,N(S82)=0),"Date d'envoi manquante",IF(N(T82)&gt;N(H82),"Reçu plus que commandé",IF(AND(N(T82)&gt;0,N(U82)=0),"Date de réception manquante",IF(AND(N(U82)&gt;0,U82&lt;B82),"Réception avant la commande","OK")))))))))))))))))))))</f>
        <v/>
      </c>
      <c r="AA82" s="66" t="str">
        <f>IF(AND(X82="Reçu",ISNUMBER(R82)),IF(N(U82)&lt;=R82,1,0),"")</f>
        <v/>
      </c>
      <c r="AB82" s="76" t="str">
        <f>IF(OR(X82="Envoyé",X82="Partiel",X82="En retard"),IF(ISNUMBER(R82),R82,100000)+ROW()/100000,"")</f>
        <v/>
      </c>
      <c r="AC82" s="66" t="str">
        <f>IF(A82="","",IF(COUNTIF($A$6:A82,A82)=1,1,""))</f>
        <v/>
      </c>
      <c r="AD82" s="66" t="str">
        <f>IF(AC82=1,COUNT($AC$6:AC82),"")</f>
        <v/>
      </c>
      <c r="AE82" s="66" t="str">
        <f>IFERROR(INDEX(po_num,MATCH(77,po_seq,0))&amp;"","")</f>
        <v/>
      </c>
      <c r="AF82" s="66" t="str">
        <f>IF(OR(A82="",p_po=""),"",IF(A82&amp;""=p_po,COUNTIF($A$6:A82,A82),""))</f>
        <v/>
      </c>
      <c r="AG82" s="66" t="str">
        <f>IF(OR(AB82="",A82=""),"",IF(COUNTIFS($A$6:A82,A82,$AB$6:AB82,"&gt;0")=1,1,""))</f>
        <v/>
      </c>
      <c r="AH82" s="70" t="str">
        <f>IF(AB82="","",ROUND(N(W82)*N(J82)*(1-N(K82)),2))</f>
        <v/>
      </c>
      <c r="AI82" s="70" t="str">
        <f>IF(OR(J82="",N(T82)&lt;=0,V82="Oui"),"",ROUND(N(T82)*J82*(1-N(K82)),2))</f>
        <v/>
      </c>
    </row>
    <row r="83">
      <c r="A83" s="63" t="n"/>
      <c r="B83" s="64" t="n"/>
      <c r="C83" s="65" t="n"/>
      <c r="D83" s="66" t="str">
        <f>IF(C83="","",IFERROR(INDEX(sup_name,MATCH($C83,sup_code,0))&amp;"","Fournisseur inconnu"))</f>
        <v/>
      </c>
      <c r="E83" s="63" t="n"/>
      <c r="F83" s="66" t="str">
        <f>IF(E83="","",IFERROR(INDEX(art_des,MATCH($E83,art_ref,0))&amp;"","Article inconnu"))</f>
        <v/>
      </c>
      <c r="G83" s="67" t="str">
        <f>IF(E83="","",IFERROR(INDEX(art_unit,MATCH($E83,art_ref,0))&amp;"",""))</f>
        <v/>
      </c>
      <c r="H83" s="68" t="n"/>
      <c r="I83" s="69" t="n"/>
      <c r="J83" s="70" t="str">
        <f>IF(E83="","",IF(ISNUMBER(I83),I83,IFERROR(IF(ISNUMBER(INDEX(art_price,MATCH($E83,art_ref,0))),INDEX(art_price,MATCH($E83,art_ref,0)),""),"")))</f>
        <v/>
      </c>
      <c r="K83" s="71" t="n"/>
      <c r="L83" s="72" t="n"/>
      <c r="M83" s="72" t="str">
        <f>IF(E83="","",IF(L83&lt;&gt;"",L83,IFERROR(IF(ISNUMBER(INDEX(art_tva,MATCH($E83,art_ref,0))),INDEX(art_tva,MATCH($E83,art_ref,0)),""),"")))</f>
        <v/>
      </c>
      <c r="N83" s="70" t="str">
        <f>IF(OR(E83="",J83=""),"",ROUND(N(H83)*J83*(1-N(K83)),2))</f>
        <v/>
      </c>
      <c r="O83" s="70" t="str">
        <f>IF(OR(N83="",NOT(ISNUMBER(M83))),"",ROUND(N83*M83,2))</f>
        <v/>
      </c>
      <c r="P83" s="70" t="str">
        <f>IF(N83="","",N83+N(O83))</f>
        <v/>
      </c>
      <c r="Q83" s="64" t="n"/>
      <c r="R83" s="73" t="str">
        <f>IF(N(Q83)&gt;0,Q83,IF(OR(N(B83)=0,ISNA(MATCH($C83,sup_code,0))),"",IF(ISNUMBER(INDEX(sup_delay,MATCH($C83,sup_code,0))),B83+INDEX(sup_delay,MATCH($C83,sup_code,0)),"")))</f>
        <v/>
      </c>
      <c r="S83" s="64" t="n"/>
      <c r="T83" s="68" t="n"/>
      <c r="U83" s="64" t="n"/>
      <c r="V83" s="65" t="n"/>
      <c r="W83" s="74" t="str">
        <f>IF(AND(A83="",E83=""),"",IF(V83="Oui",0,MAX(0,ROUND(N(H83)-N(T83),6))))</f>
        <v/>
      </c>
      <c r="X83" s="67" t="str">
        <f>IF(AND(A83="",E83=""),"",IF(V83="Oui","Annulé",IF(AND(N(H83)&gt;0,N(T83)&gt;=N(H83)),"Reçu",IF(N(S83)=0,"Brouillon",IF(AND(ISNUMBER(R83),R83&lt;p_today),"En retard",IF(N(T83)&gt;0,"Partiel","Envoyé"))))))</f>
        <v/>
      </c>
      <c r="Y83" s="75" t="str">
        <f>IF(X83="En retard",p_today-R83,IF(AND(X83="Reçu",ISNUMBER(R83)),MAX(0,N(U83)-R83),""))</f>
        <v/>
      </c>
      <c r="Z83" s="67" t="str">
        <f>IF(AND(A83="",E83=""),"",IF(A83="","N° de bon manquant",IF(N(B83)=0,"Date de commande manquante",IF(C83="","Fournisseur manquant",IF(ISNA(MATCH($C83,sup_code,0)),"Fournisseur inconnu",IF(E83="","Article manquant",IF(ISNA(MATCH($E83,art_ref,0)),"Article inconnu",IF(N(H83)&lt;=0,"Quantité invalide",IF(J83="","Prix manquant",IF(OR(N(K83)&lt;0,N(K83)&gt;=1),"Remise invalide",IF(M83="","TVA manquante",IF(ISNA(MATCH(M83,p_tva,0)),"Taux de TVA inconnu",IF(COUNTIFS(po_num,A83,po_sup,"&lt;&gt;"&amp;C83)&gt;0,"Fournisseur différent sur ce bon",IF(COUNTIFS(po_num,A83,po_date,"&lt;&gt;"&amp;B83)&gt;0,"Date différente sur ce bon",IF(COUNTIF(po_num,A83)&gt;25,"Plus de 25 lignes sur ce bon",IF(R83="","Date de livraison manquante",IF(R83&lt;B83,"Livraison avant la commande",IF(AND(N(T83)&gt;0,N(S83)=0),"Date d'envoi manquante",IF(N(T83)&gt;N(H83),"Reçu plus que commandé",IF(AND(N(T83)&gt;0,N(U83)=0),"Date de réception manquante",IF(AND(N(U83)&gt;0,U83&lt;B83),"Réception avant la commande","OK")))))))))))))))))))))</f>
        <v/>
      </c>
      <c r="AA83" s="66" t="str">
        <f>IF(AND(X83="Reçu",ISNUMBER(R83)),IF(N(U83)&lt;=R83,1,0),"")</f>
        <v/>
      </c>
      <c r="AB83" s="76" t="str">
        <f>IF(OR(X83="Envoyé",X83="Partiel",X83="En retard"),IF(ISNUMBER(R83),R83,100000)+ROW()/100000,"")</f>
        <v/>
      </c>
      <c r="AC83" s="66" t="str">
        <f>IF(A83="","",IF(COUNTIF($A$6:A83,A83)=1,1,""))</f>
        <v/>
      </c>
      <c r="AD83" s="66" t="str">
        <f>IF(AC83=1,COUNT($AC$6:AC83),"")</f>
        <v/>
      </c>
      <c r="AE83" s="66" t="str">
        <f>IFERROR(INDEX(po_num,MATCH(78,po_seq,0))&amp;"","")</f>
        <v/>
      </c>
      <c r="AF83" s="66" t="str">
        <f>IF(OR(A83="",p_po=""),"",IF(A83&amp;""=p_po,COUNTIF($A$6:A83,A83),""))</f>
        <v/>
      </c>
      <c r="AG83" s="66" t="str">
        <f>IF(OR(AB83="",A83=""),"",IF(COUNTIFS($A$6:A83,A83,$AB$6:AB83,"&gt;0")=1,1,""))</f>
        <v/>
      </c>
      <c r="AH83" s="70" t="str">
        <f>IF(AB83="","",ROUND(N(W83)*N(J83)*(1-N(K83)),2))</f>
        <v/>
      </c>
      <c r="AI83" s="70" t="str">
        <f>IF(OR(J83="",N(T83)&lt;=0,V83="Oui"),"",ROUND(N(T83)*J83*(1-N(K83)),2))</f>
        <v/>
      </c>
    </row>
    <row r="84">
      <c r="A84" s="63" t="n"/>
      <c r="B84" s="64" t="n"/>
      <c r="C84" s="65" t="n"/>
      <c r="D84" s="66" t="str">
        <f>IF(C84="","",IFERROR(INDEX(sup_name,MATCH($C84,sup_code,0))&amp;"","Fournisseur inconnu"))</f>
        <v/>
      </c>
      <c r="E84" s="63" t="n"/>
      <c r="F84" s="66" t="str">
        <f>IF(E84="","",IFERROR(INDEX(art_des,MATCH($E84,art_ref,0))&amp;"","Article inconnu"))</f>
        <v/>
      </c>
      <c r="G84" s="67" t="str">
        <f>IF(E84="","",IFERROR(INDEX(art_unit,MATCH($E84,art_ref,0))&amp;"",""))</f>
        <v/>
      </c>
      <c r="H84" s="68" t="n"/>
      <c r="I84" s="69" t="n"/>
      <c r="J84" s="70" t="str">
        <f>IF(E84="","",IF(ISNUMBER(I84),I84,IFERROR(IF(ISNUMBER(INDEX(art_price,MATCH($E84,art_ref,0))),INDEX(art_price,MATCH($E84,art_ref,0)),""),"")))</f>
        <v/>
      </c>
      <c r="K84" s="71" t="n"/>
      <c r="L84" s="72" t="n"/>
      <c r="M84" s="72" t="str">
        <f>IF(E84="","",IF(L84&lt;&gt;"",L84,IFERROR(IF(ISNUMBER(INDEX(art_tva,MATCH($E84,art_ref,0))),INDEX(art_tva,MATCH($E84,art_ref,0)),""),"")))</f>
        <v/>
      </c>
      <c r="N84" s="70" t="str">
        <f>IF(OR(E84="",J84=""),"",ROUND(N(H84)*J84*(1-N(K84)),2))</f>
        <v/>
      </c>
      <c r="O84" s="70" t="str">
        <f>IF(OR(N84="",NOT(ISNUMBER(M84))),"",ROUND(N84*M84,2))</f>
        <v/>
      </c>
      <c r="P84" s="70" t="str">
        <f>IF(N84="","",N84+N(O84))</f>
        <v/>
      </c>
      <c r="Q84" s="64" t="n"/>
      <c r="R84" s="73" t="str">
        <f>IF(N(Q84)&gt;0,Q84,IF(OR(N(B84)=0,ISNA(MATCH($C84,sup_code,0))),"",IF(ISNUMBER(INDEX(sup_delay,MATCH($C84,sup_code,0))),B84+INDEX(sup_delay,MATCH($C84,sup_code,0)),"")))</f>
        <v/>
      </c>
      <c r="S84" s="64" t="n"/>
      <c r="T84" s="68" t="n"/>
      <c r="U84" s="64" t="n"/>
      <c r="V84" s="65" t="n"/>
      <c r="W84" s="74" t="str">
        <f>IF(AND(A84="",E84=""),"",IF(V84="Oui",0,MAX(0,ROUND(N(H84)-N(T84),6))))</f>
        <v/>
      </c>
      <c r="X84" s="67" t="str">
        <f>IF(AND(A84="",E84=""),"",IF(V84="Oui","Annulé",IF(AND(N(H84)&gt;0,N(T84)&gt;=N(H84)),"Reçu",IF(N(S84)=0,"Brouillon",IF(AND(ISNUMBER(R84),R84&lt;p_today),"En retard",IF(N(T84)&gt;0,"Partiel","Envoyé"))))))</f>
        <v/>
      </c>
      <c r="Y84" s="75" t="str">
        <f>IF(X84="En retard",p_today-R84,IF(AND(X84="Reçu",ISNUMBER(R84)),MAX(0,N(U84)-R84),""))</f>
        <v/>
      </c>
      <c r="Z84" s="67" t="str">
        <f>IF(AND(A84="",E84=""),"",IF(A84="","N° de bon manquant",IF(N(B84)=0,"Date de commande manquante",IF(C84="","Fournisseur manquant",IF(ISNA(MATCH($C84,sup_code,0)),"Fournisseur inconnu",IF(E84="","Article manquant",IF(ISNA(MATCH($E84,art_ref,0)),"Article inconnu",IF(N(H84)&lt;=0,"Quantité invalide",IF(J84="","Prix manquant",IF(OR(N(K84)&lt;0,N(K84)&gt;=1),"Remise invalide",IF(M84="","TVA manquante",IF(ISNA(MATCH(M84,p_tva,0)),"Taux de TVA inconnu",IF(COUNTIFS(po_num,A84,po_sup,"&lt;&gt;"&amp;C84)&gt;0,"Fournisseur différent sur ce bon",IF(COUNTIFS(po_num,A84,po_date,"&lt;&gt;"&amp;B84)&gt;0,"Date différente sur ce bon",IF(COUNTIF(po_num,A84)&gt;25,"Plus de 25 lignes sur ce bon",IF(R84="","Date de livraison manquante",IF(R84&lt;B84,"Livraison avant la commande",IF(AND(N(T84)&gt;0,N(S84)=0),"Date d'envoi manquante",IF(N(T84)&gt;N(H84),"Reçu plus que commandé",IF(AND(N(T84)&gt;0,N(U84)=0),"Date de réception manquante",IF(AND(N(U84)&gt;0,U84&lt;B84),"Réception avant la commande","OK")))))))))))))))))))))</f>
        <v/>
      </c>
      <c r="AA84" s="66" t="str">
        <f>IF(AND(X84="Reçu",ISNUMBER(R84)),IF(N(U84)&lt;=R84,1,0),"")</f>
        <v/>
      </c>
      <c r="AB84" s="76" t="str">
        <f>IF(OR(X84="Envoyé",X84="Partiel",X84="En retard"),IF(ISNUMBER(R84),R84,100000)+ROW()/100000,"")</f>
        <v/>
      </c>
      <c r="AC84" s="66" t="str">
        <f>IF(A84="","",IF(COUNTIF($A$6:A84,A84)=1,1,""))</f>
        <v/>
      </c>
      <c r="AD84" s="66" t="str">
        <f>IF(AC84=1,COUNT($AC$6:AC84),"")</f>
        <v/>
      </c>
      <c r="AE84" s="66" t="str">
        <f>IFERROR(INDEX(po_num,MATCH(79,po_seq,0))&amp;"","")</f>
        <v/>
      </c>
      <c r="AF84" s="66" t="str">
        <f>IF(OR(A84="",p_po=""),"",IF(A84&amp;""=p_po,COUNTIF($A$6:A84,A84),""))</f>
        <v/>
      </c>
      <c r="AG84" s="66" t="str">
        <f>IF(OR(AB84="",A84=""),"",IF(COUNTIFS($A$6:A84,A84,$AB$6:AB84,"&gt;0")=1,1,""))</f>
        <v/>
      </c>
      <c r="AH84" s="70" t="str">
        <f>IF(AB84="","",ROUND(N(W84)*N(J84)*(1-N(K84)),2))</f>
        <v/>
      </c>
      <c r="AI84" s="70" t="str">
        <f>IF(OR(J84="",N(T84)&lt;=0,V84="Oui"),"",ROUND(N(T84)*J84*(1-N(K84)),2))</f>
        <v/>
      </c>
    </row>
    <row r="85">
      <c r="A85" s="63" t="n"/>
      <c r="B85" s="64" t="n"/>
      <c r="C85" s="65" t="n"/>
      <c r="D85" s="66" t="str">
        <f>IF(C85="","",IFERROR(INDEX(sup_name,MATCH($C85,sup_code,0))&amp;"","Fournisseur inconnu"))</f>
        <v/>
      </c>
      <c r="E85" s="63" t="n"/>
      <c r="F85" s="66" t="str">
        <f>IF(E85="","",IFERROR(INDEX(art_des,MATCH($E85,art_ref,0))&amp;"","Article inconnu"))</f>
        <v/>
      </c>
      <c r="G85" s="67" t="str">
        <f>IF(E85="","",IFERROR(INDEX(art_unit,MATCH($E85,art_ref,0))&amp;"",""))</f>
        <v/>
      </c>
      <c r="H85" s="68" t="n"/>
      <c r="I85" s="69" t="n"/>
      <c r="J85" s="70" t="str">
        <f>IF(E85="","",IF(ISNUMBER(I85),I85,IFERROR(IF(ISNUMBER(INDEX(art_price,MATCH($E85,art_ref,0))),INDEX(art_price,MATCH($E85,art_ref,0)),""),"")))</f>
        <v/>
      </c>
      <c r="K85" s="71" t="n"/>
      <c r="L85" s="72" t="n"/>
      <c r="M85" s="72" t="str">
        <f>IF(E85="","",IF(L85&lt;&gt;"",L85,IFERROR(IF(ISNUMBER(INDEX(art_tva,MATCH($E85,art_ref,0))),INDEX(art_tva,MATCH($E85,art_ref,0)),""),"")))</f>
        <v/>
      </c>
      <c r="N85" s="70" t="str">
        <f>IF(OR(E85="",J85=""),"",ROUND(N(H85)*J85*(1-N(K85)),2))</f>
        <v/>
      </c>
      <c r="O85" s="70" t="str">
        <f>IF(OR(N85="",NOT(ISNUMBER(M85))),"",ROUND(N85*M85,2))</f>
        <v/>
      </c>
      <c r="P85" s="70" t="str">
        <f>IF(N85="","",N85+N(O85))</f>
        <v/>
      </c>
      <c r="Q85" s="64" t="n"/>
      <c r="R85" s="73" t="str">
        <f>IF(N(Q85)&gt;0,Q85,IF(OR(N(B85)=0,ISNA(MATCH($C85,sup_code,0))),"",IF(ISNUMBER(INDEX(sup_delay,MATCH($C85,sup_code,0))),B85+INDEX(sup_delay,MATCH($C85,sup_code,0)),"")))</f>
        <v/>
      </c>
      <c r="S85" s="64" t="n"/>
      <c r="T85" s="68" t="n"/>
      <c r="U85" s="64" t="n"/>
      <c r="V85" s="65" t="n"/>
      <c r="W85" s="74" t="str">
        <f>IF(AND(A85="",E85=""),"",IF(V85="Oui",0,MAX(0,ROUND(N(H85)-N(T85),6))))</f>
        <v/>
      </c>
      <c r="X85" s="67" t="str">
        <f>IF(AND(A85="",E85=""),"",IF(V85="Oui","Annulé",IF(AND(N(H85)&gt;0,N(T85)&gt;=N(H85)),"Reçu",IF(N(S85)=0,"Brouillon",IF(AND(ISNUMBER(R85),R85&lt;p_today),"En retard",IF(N(T85)&gt;0,"Partiel","Envoyé"))))))</f>
        <v/>
      </c>
      <c r="Y85" s="75" t="str">
        <f>IF(X85="En retard",p_today-R85,IF(AND(X85="Reçu",ISNUMBER(R85)),MAX(0,N(U85)-R85),""))</f>
        <v/>
      </c>
      <c r="Z85" s="67" t="str">
        <f>IF(AND(A85="",E85=""),"",IF(A85="","N° de bon manquant",IF(N(B85)=0,"Date de commande manquante",IF(C85="","Fournisseur manquant",IF(ISNA(MATCH($C85,sup_code,0)),"Fournisseur inconnu",IF(E85="","Article manquant",IF(ISNA(MATCH($E85,art_ref,0)),"Article inconnu",IF(N(H85)&lt;=0,"Quantité invalide",IF(J85="","Prix manquant",IF(OR(N(K85)&lt;0,N(K85)&gt;=1),"Remise invalide",IF(M85="","TVA manquante",IF(ISNA(MATCH(M85,p_tva,0)),"Taux de TVA inconnu",IF(COUNTIFS(po_num,A85,po_sup,"&lt;&gt;"&amp;C85)&gt;0,"Fournisseur différent sur ce bon",IF(COUNTIFS(po_num,A85,po_date,"&lt;&gt;"&amp;B85)&gt;0,"Date différente sur ce bon",IF(COUNTIF(po_num,A85)&gt;25,"Plus de 25 lignes sur ce bon",IF(R85="","Date de livraison manquante",IF(R85&lt;B85,"Livraison avant la commande",IF(AND(N(T85)&gt;0,N(S85)=0),"Date d'envoi manquante",IF(N(T85)&gt;N(H85),"Reçu plus que commandé",IF(AND(N(T85)&gt;0,N(U85)=0),"Date de réception manquante",IF(AND(N(U85)&gt;0,U85&lt;B85),"Réception avant la commande","OK")))))))))))))))))))))</f>
        <v/>
      </c>
      <c r="AA85" s="66" t="str">
        <f>IF(AND(X85="Reçu",ISNUMBER(R85)),IF(N(U85)&lt;=R85,1,0),"")</f>
        <v/>
      </c>
      <c r="AB85" s="76" t="str">
        <f>IF(OR(X85="Envoyé",X85="Partiel",X85="En retard"),IF(ISNUMBER(R85),R85,100000)+ROW()/100000,"")</f>
        <v/>
      </c>
      <c r="AC85" s="66" t="str">
        <f>IF(A85="","",IF(COUNTIF($A$6:A85,A85)=1,1,""))</f>
        <v/>
      </c>
      <c r="AD85" s="66" t="str">
        <f>IF(AC85=1,COUNT($AC$6:AC85),"")</f>
        <v/>
      </c>
      <c r="AE85" s="66" t="str">
        <f>IFERROR(INDEX(po_num,MATCH(80,po_seq,0))&amp;"","")</f>
        <v/>
      </c>
      <c r="AF85" s="66" t="str">
        <f>IF(OR(A85="",p_po=""),"",IF(A85&amp;""=p_po,COUNTIF($A$6:A85,A85),""))</f>
        <v/>
      </c>
      <c r="AG85" s="66" t="str">
        <f>IF(OR(AB85="",A85=""),"",IF(COUNTIFS($A$6:A85,A85,$AB$6:AB85,"&gt;0")=1,1,""))</f>
        <v/>
      </c>
      <c r="AH85" s="70" t="str">
        <f>IF(AB85="","",ROUND(N(W85)*N(J85)*(1-N(K85)),2))</f>
        <v/>
      </c>
      <c r="AI85" s="70" t="str">
        <f>IF(OR(J85="",N(T85)&lt;=0,V85="Oui"),"",ROUND(N(T85)*J85*(1-N(K85)),2))</f>
        <v/>
      </c>
    </row>
    <row r="86">
      <c r="A86" s="63" t="n"/>
      <c r="B86" s="64" t="n"/>
      <c r="C86" s="65" t="n"/>
      <c r="D86" s="66" t="str">
        <f>IF(C86="","",IFERROR(INDEX(sup_name,MATCH($C86,sup_code,0))&amp;"","Fournisseur inconnu"))</f>
        <v/>
      </c>
      <c r="E86" s="63" t="n"/>
      <c r="F86" s="66" t="str">
        <f>IF(E86="","",IFERROR(INDEX(art_des,MATCH($E86,art_ref,0))&amp;"","Article inconnu"))</f>
        <v/>
      </c>
      <c r="G86" s="67" t="str">
        <f>IF(E86="","",IFERROR(INDEX(art_unit,MATCH($E86,art_ref,0))&amp;"",""))</f>
        <v/>
      </c>
      <c r="H86" s="68" t="n"/>
      <c r="I86" s="69" t="n"/>
      <c r="J86" s="70" t="str">
        <f>IF(E86="","",IF(ISNUMBER(I86),I86,IFERROR(IF(ISNUMBER(INDEX(art_price,MATCH($E86,art_ref,0))),INDEX(art_price,MATCH($E86,art_ref,0)),""),"")))</f>
        <v/>
      </c>
      <c r="K86" s="71" t="n"/>
      <c r="L86" s="72" t="n"/>
      <c r="M86" s="72" t="str">
        <f>IF(E86="","",IF(L86&lt;&gt;"",L86,IFERROR(IF(ISNUMBER(INDEX(art_tva,MATCH($E86,art_ref,0))),INDEX(art_tva,MATCH($E86,art_ref,0)),""),"")))</f>
        <v/>
      </c>
      <c r="N86" s="70" t="str">
        <f>IF(OR(E86="",J86=""),"",ROUND(N(H86)*J86*(1-N(K86)),2))</f>
        <v/>
      </c>
      <c r="O86" s="70" t="str">
        <f>IF(OR(N86="",NOT(ISNUMBER(M86))),"",ROUND(N86*M86,2))</f>
        <v/>
      </c>
      <c r="P86" s="70" t="str">
        <f>IF(N86="","",N86+N(O86))</f>
        <v/>
      </c>
      <c r="Q86" s="64" t="n"/>
      <c r="R86" s="73" t="str">
        <f>IF(N(Q86)&gt;0,Q86,IF(OR(N(B86)=0,ISNA(MATCH($C86,sup_code,0))),"",IF(ISNUMBER(INDEX(sup_delay,MATCH($C86,sup_code,0))),B86+INDEX(sup_delay,MATCH($C86,sup_code,0)),"")))</f>
        <v/>
      </c>
      <c r="S86" s="64" t="n"/>
      <c r="T86" s="68" t="n"/>
      <c r="U86" s="64" t="n"/>
      <c r="V86" s="65" t="n"/>
      <c r="W86" s="74" t="str">
        <f>IF(AND(A86="",E86=""),"",IF(V86="Oui",0,MAX(0,ROUND(N(H86)-N(T86),6))))</f>
        <v/>
      </c>
      <c r="X86" s="67" t="str">
        <f>IF(AND(A86="",E86=""),"",IF(V86="Oui","Annulé",IF(AND(N(H86)&gt;0,N(T86)&gt;=N(H86)),"Reçu",IF(N(S86)=0,"Brouillon",IF(AND(ISNUMBER(R86),R86&lt;p_today),"En retard",IF(N(T86)&gt;0,"Partiel","Envoyé"))))))</f>
        <v/>
      </c>
      <c r="Y86" s="75" t="str">
        <f>IF(X86="En retard",p_today-R86,IF(AND(X86="Reçu",ISNUMBER(R86)),MAX(0,N(U86)-R86),""))</f>
        <v/>
      </c>
      <c r="Z86" s="67" t="str">
        <f>IF(AND(A86="",E86=""),"",IF(A86="","N° de bon manquant",IF(N(B86)=0,"Date de commande manquante",IF(C86="","Fournisseur manquant",IF(ISNA(MATCH($C86,sup_code,0)),"Fournisseur inconnu",IF(E86="","Article manquant",IF(ISNA(MATCH($E86,art_ref,0)),"Article inconnu",IF(N(H86)&lt;=0,"Quantité invalide",IF(J86="","Prix manquant",IF(OR(N(K86)&lt;0,N(K86)&gt;=1),"Remise invalide",IF(M86="","TVA manquante",IF(ISNA(MATCH(M86,p_tva,0)),"Taux de TVA inconnu",IF(COUNTIFS(po_num,A86,po_sup,"&lt;&gt;"&amp;C86)&gt;0,"Fournisseur différent sur ce bon",IF(COUNTIFS(po_num,A86,po_date,"&lt;&gt;"&amp;B86)&gt;0,"Date différente sur ce bon",IF(COUNTIF(po_num,A86)&gt;25,"Plus de 25 lignes sur ce bon",IF(R86="","Date de livraison manquante",IF(R86&lt;B86,"Livraison avant la commande",IF(AND(N(T86)&gt;0,N(S86)=0),"Date d'envoi manquante",IF(N(T86)&gt;N(H86),"Reçu plus que commandé",IF(AND(N(T86)&gt;0,N(U86)=0),"Date de réception manquante",IF(AND(N(U86)&gt;0,U86&lt;B86),"Réception avant la commande","OK")))))))))))))))))))))</f>
        <v/>
      </c>
      <c r="AA86" s="66" t="str">
        <f>IF(AND(X86="Reçu",ISNUMBER(R86)),IF(N(U86)&lt;=R86,1,0),"")</f>
        <v/>
      </c>
      <c r="AB86" s="76" t="str">
        <f>IF(OR(X86="Envoyé",X86="Partiel",X86="En retard"),IF(ISNUMBER(R86),R86,100000)+ROW()/100000,"")</f>
        <v/>
      </c>
      <c r="AC86" s="66" t="str">
        <f>IF(A86="","",IF(COUNTIF($A$6:A86,A86)=1,1,""))</f>
        <v/>
      </c>
      <c r="AD86" s="66" t="str">
        <f>IF(AC86=1,COUNT($AC$6:AC86),"")</f>
        <v/>
      </c>
      <c r="AE86" s="66" t="str">
        <f>IFERROR(INDEX(po_num,MATCH(81,po_seq,0))&amp;"","")</f>
        <v/>
      </c>
      <c r="AF86" s="66" t="str">
        <f>IF(OR(A86="",p_po=""),"",IF(A86&amp;""=p_po,COUNTIF($A$6:A86,A86),""))</f>
        <v/>
      </c>
      <c r="AG86" s="66" t="str">
        <f>IF(OR(AB86="",A86=""),"",IF(COUNTIFS($A$6:A86,A86,$AB$6:AB86,"&gt;0")=1,1,""))</f>
        <v/>
      </c>
      <c r="AH86" s="70" t="str">
        <f>IF(AB86="","",ROUND(N(W86)*N(J86)*(1-N(K86)),2))</f>
        <v/>
      </c>
      <c r="AI86" s="70" t="str">
        <f>IF(OR(J86="",N(T86)&lt;=0,V86="Oui"),"",ROUND(N(T86)*J86*(1-N(K86)),2))</f>
        <v/>
      </c>
    </row>
    <row r="87">
      <c r="A87" s="63" t="n"/>
      <c r="B87" s="64" t="n"/>
      <c r="C87" s="65" t="n"/>
      <c r="D87" s="66" t="str">
        <f>IF(C87="","",IFERROR(INDEX(sup_name,MATCH($C87,sup_code,0))&amp;"","Fournisseur inconnu"))</f>
        <v/>
      </c>
      <c r="E87" s="63" t="n"/>
      <c r="F87" s="66" t="str">
        <f>IF(E87="","",IFERROR(INDEX(art_des,MATCH($E87,art_ref,0))&amp;"","Article inconnu"))</f>
        <v/>
      </c>
      <c r="G87" s="67" t="str">
        <f>IF(E87="","",IFERROR(INDEX(art_unit,MATCH($E87,art_ref,0))&amp;"",""))</f>
        <v/>
      </c>
      <c r="H87" s="68" t="n"/>
      <c r="I87" s="69" t="n"/>
      <c r="J87" s="70" t="str">
        <f>IF(E87="","",IF(ISNUMBER(I87),I87,IFERROR(IF(ISNUMBER(INDEX(art_price,MATCH($E87,art_ref,0))),INDEX(art_price,MATCH($E87,art_ref,0)),""),"")))</f>
        <v/>
      </c>
      <c r="K87" s="71" t="n"/>
      <c r="L87" s="72" t="n"/>
      <c r="M87" s="72" t="str">
        <f>IF(E87="","",IF(L87&lt;&gt;"",L87,IFERROR(IF(ISNUMBER(INDEX(art_tva,MATCH($E87,art_ref,0))),INDEX(art_tva,MATCH($E87,art_ref,0)),""),"")))</f>
        <v/>
      </c>
      <c r="N87" s="70" t="str">
        <f>IF(OR(E87="",J87=""),"",ROUND(N(H87)*J87*(1-N(K87)),2))</f>
        <v/>
      </c>
      <c r="O87" s="70" t="str">
        <f>IF(OR(N87="",NOT(ISNUMBER(M87))),"",ROUND(N87*M87,2))</f>
        <v/>
      </c>
      <c r="P87" s="70" t="str">
        <f>IF(N87="","",N87+N(O87))</f>
        <v/>
      </c>
      <c r="Q87" s="64" t="n"/>
      <c r="R87" s="73" t="str">
        <f>IF(N(Q87)&gt;0,Q87,IF(OR(N(B87)=0,ISNA(MATCH($C87,sup_code,0))),"",IF(ISNUMBER(INDEX(sup_delay,MATCH($C87,sup_code,0))),B87+INDEX(sup_delay,MATCH($C87,sup_code,0)),"")))</f>
        <v/>
      </c>
      <c r="S87" s="64" t="n"/>
      <c r="T87" s="68" t="n"/>
      <c r="U87" s="64" t="n"/>
      <c r="V87" s="65" t="n"/>
      <c r="W87" s="74" t="str">
        <f>IF(AND(A87="",E87=""),"",IF(V87="Oui",0,MAX(0,ROUND(N(H87)-N(T87),6))))</f>
        <v/>
      </c>
      <c r="X87" s="67" t="str">
        <f>IF(AND(A87="",E87=""),"",IF(V87="Oui","Annulé",IF(AND(N(H87)&gt;0,N(T87)&gt;=N(H87)),"Reçu",IF(N(S87)=0,"Brouillon",IF(AND(ISNUMBER(R87),R87&lt;p_today),"En retard",IF(N(T87)&gt;0,"Partiel","Envoyé"))))))</f>
        <v/>
      </c>
      <c r="Y87" s="75" t="str">
        <f>IF(X87="En retard",p_today-R87,IF(AND(X87="Reçu",ISNUMBER(R87)),MAX(0,N(U87)-R87),""))</f>
        <v/>
      </c>
      <c r="Z87" s="67" t="str">
        <f>IF(AND(A87="",E87=""),"",IF(A87="","N° de bon manquant",IF(N(B87)=0,"Date de commande manquante",IF(C87="","Fournisseur manquant",IF(ISNA(MATCH($C87,sup_code,0)),"Fournisseur inconnu",IF(E87="","Article manquant",IF(ISNA(MATCH($E87,art_ref,0)),"Article inconnu",IF(N(H87)&lt;=0,"Quantité invalide",IF(J87="","Prix manquant",IF(OR(N(K87)&lt;0,N(K87)&gt;=1),"Remise invalide",IF(M87="","TVA manquante",IF(ISNA(MATCH(M87,p_tva,0)),"Taux de TVA inconnu",IF(COUNTIFS(po_num,A87,po_sup,"&lt;&gt;"&amp;C87)&gt;0,"Fournisseur différent sur ce bon",IF(COUNTIFS(po_num,A87,po_date,"&lt;&gt;"&amp;B87)&gt;0,"Date différente sur ce bon",IF(COUNTIF(po_num,A87)&gt;25,"Plus de 25 lignes sur ce bon",IF(R87="","Date de livraison manquante",IF(R87&lt;B87,"Livraison avant la commande",IF(AND(N(T87)&gt;0,N(S87)=0),"Date d'envoi manquante",IF(N(T87)&gt;N(H87),"Reçu plus que commandé",IF(AND(N(T87)&gt;0,N(U87)=0),"Date de réception manquante",IF(AND(N(U87)&gt;0,U87&lt;B87),"Réception avant la commande","OK")))))))))))))))))))))</f>
        <v/>
      </c>
      <c r="AA87" s="66" t="str">
        <f>IF(AND(X87="Reçu",ISNUMBER(R87)),IF(N(U87)&lt;=R87,1,0),"")</f>
        <v/>
      </c>
      <c r="AB87" s="76" t="str">
        <f>IF(OR(X87="Envoyé",X87="Partiel",X87="En retard"),IF(ISNUMBER(R87),R87,100000)+ROW()/100000,"")</f>
        <v/>
      </c>
      <c r="AC87" s="66" t="str">
        <f>IF(A87="","",IF(COUNTIF($A$6:A87,A87)=1,1,""))</f>
        <v/>
      </c>
      <c r="AD87" s="66" t="str">
        <f>IF(AC87=1,COUNT($AC$6:AC87),"")</f>
        <v/>
      </c>
      <c r="AE87" s="66" t="str">
        <f>IFERROR(INDEX(po_num,MATCH(82,po_seq,0))&amp;"","")</f>
        <v/>
      </c>
      <c r="AF87" s="66" t="str">
        <f>IF(OR(A87="",p_po=""),"",IF(A87&amp;""=p_po,COUNTIF($A$6:A87,A87),""))</f>
        <v/>
      </c>
      <c r="AG87" s="66" t="str">
        <f>IF(OR(AB87="",A87=""),"",IF(COUNTIFS($A$6:A87,A87,$AB$6:AB87,"&gt;0")=1,1,""))</f>
        <v/>
      </c>
      <c r="AH87" s="70" t="str">
        <f>IF(AB87="","",ROUND(N(W87)*N(J87)*(1-N(K87)),2))</f>
        <v/>
      </c>
      <c r="AI87" s="70" t="str">
        <f>IF(OR(J87="",N(T87)&lt;=0,V87="Oui"),"",ROUND(N(T87)*J87*(1-N(K87)),2))</f>
        <v/>
      </c>
    </row>
    <row r="88">
      <c r="A88" s="63" t="n"/>
      <c r="B88" s="64" t="n"/>
      <c r="C88" s="65" t="n"/>
      <c r="D88" s="66" t="str">
        <f>IF(C88="","",IFERROR(INDEX(sup_name,MATCH($C88,sup_code,0))&amp;"","Fournisseur inconnu"))</f>
        <v/>
      </c>
      <c r="E88" s="63" t="n"/>
      <c r="F88" s="66" t="str">
        <f>IF(E88="","",IFERROR(INDEX(art_des,MATCH($E88,art_ref,0))&amp;"","Article inconnu"))</f>
        <v/>
      </c>
      <c r="G88" s="67" t="str">
        <f>IF(E88="","",IFERROR(INDEX(art_unit,MATCH($E88,art_ref,0))&amp;"",""))</f>
        <v/>
      </c>
      <c r="H88" s="68" t="n"/>
      <c r="I88" s="69" t="n"/>
      <c r="J88" s="70" t="str">
        <f>IF(E88="","",IF(ISNUMBER(I88),I88,IFERROR(IF(ISNUMBER(INDEX(art_price,MATCH($E88,art_ref,0))),INDEX(art_price,MATCH($E88,art_ref,0)),""),"")))</f>
        <v/>
      </c>
      <c r="K88" s="71" t="n"/>
      <c r="L88" s="72" t="n"/>
      <c r="M88" s="72" t="str">
        <f>IF(E88="","",IF(L88&lt;&gt;"",L88,IFERROR(IF(ISNUMBER(INDEX(art_tva,MATCH($E88,art_ref,0))),INDEX(art_tva,MATCH($E88,art_ref,0)),""),"")))</f>
        <v/>
      </c>
      <c r="N88" s="70" t="str">
        <f>IF(OR(E88="",J88=""),"",ROUND(N(H88)*J88*(1-N(K88)),2))</f>
        <v/>
      </c>
      <c r="O88" s="70" t="str">
        <f>IF(OR(N88="",NOT(ISNUMBER(M88))),"",ROUND(N88*M88,2))</f>
        <v/>
      </c>
      <c r="P88" s="70" t="str">
        <f>IF(N88="","",N88+N(O88))</f>
        <v/>
      </c>
      <c r="Q88" s="64" t="n"/>
      <c r="R88" s="73" t="str">
        <f>IF(N(Q88)&gt;0,Q88,IF(OR(N(B88)=0,ISNA(MATCH($C88,sup_code,0))),"",IF(ISNUMBER(INDEX(sup_delay,MATCH($C88,sup_code,0))),B88+INDEX(sup_delay,MATCH($C88,sup_code,0)),"")))</f>
        <v/>
      </c>
      <c r="S88" s="64" t="n"/>
      <c r="T88" s="68" t="n"/>
      <c r="U88" s="64" t="n"/>
      <c r="V88" s="65" t="n"/>
      <c r="W88" s="74" t="str">
        <f>IF(AND(A88="",E88=""),"",IF(V88="Oui",0,MAX(0,ROUND(N(H88)-N(T88),6))))</f>
        <v/>
      </c>
      <c r="X88" s="67" t="str">
        <f>IF(AND(A88="",E88=""),"",IF(V88="Oui","Annulé",IF(AND(N(H88)&gt;0,N(T88)&gt;=N(H88)),"Reçu",IF(N(S88)=0,"Brouillon",IF(AND(ISNUMBER(R88),R88&lt;p_today),"En retard",IF(N(T88)&gt;0,"Partiel","Envoyé"))))))</f>
        <v/>
      </c>
      <c r="Y88" s="75" t="str">
        <f>IF(X88="En retard",p_today-R88,IF(AND(X88="Reçu",ISNUMBER(R88)),MAX(0,N(U88)-R88),""))</f>
        <v/>
      </c>
      <c r="Z88" s="67" t="str">
        <f>IF(AND(A88="",E88=""),"",IF(A88="","N° de bon manquant",IF(N(B88)=0,"Date de commande manquante",IF(C88="","Fournisseur manquant",IF(ISNA(MATCH($C88,sup_code,0)),"Fournisseur inconnu",IF(E88="","Article manquant",IF(ISNA(MATCH($E88,art_ref,0)),"Article inconnu",IF(N(H88)&lt;=0,"Quantité invalide",IF(J88="","Prix manquant",IF(OR(N(K88)&lt;0,N(K88)&gt;=1),"Remise invalide",IF(M88="","TVA manquante",IF(ISNA(MATCH(M88,p_tva,0)),"Taux de TVA inconnu",IF(COUNTIFS(po_num,A88,po_sup,"&lt;&gt;"&amp;C88)&gt;0,"Fournisseur différent sur ce bon",IF(COUNTIFS(po_num,A88,po_date,"&lt;&gt;"&amp;B88)&gt;0,"Date différente sur ce bon",IF(COUNTIF(po_num,A88)&gt;25,"Plus de 25 lignes sur ce bon",IF(R88="","Date de livraison manquante",IF(R88&lt;B88,"Livraison avant la commande",IF(AND(N(T88)&gt;0,N(S88)=0),"Date d'envoi manquante",IF(N(T88)&gt;N(H88),"Reçu plus que commandé",IF(AND(N(T88)&gt;0,N(U88)=0),"Date de réception manquante",IF(AND(N(U88)&gt;0,U88&lt;B88),"Réception avant la commande","OK")))))))))))))))))))))</f>
        <v/>
      </c>
      <c r="AA88" s="66" t="str">
        <f>IF(AND(X88="Reçu",ISNUMBER(R88)),IF(N(U88)&lt;=R88,1,0),"")</f>
        <v/>
      </c>
      <c r="AB88" s="76" t="str">
        <f>IF(OR(X88="Envoyé",X88="Partiel",X88="En retard"),IF(ISNUMBER(R88),R88,100000)+ROW()/100000,"")</f>
        <v/>
      </c>
      <c r="AC88" s="66" t="str">
        <f>IF(A88="","",IF(COUNTIF($A$6:A88,A88)=1,1,""))</f>
        <v/>
      </c>
      <c r="AD88" s="66" t="str">
        <f>IF(AC88=1,COUNT($AC$6:AC88),"")</f>
        <v/>
      </c>
      <c r="AE88" s="66" t="str">
        <f>IFERROR(INDEX(po_num,MATCH(83,po_seq,0))&amp;"","")</f>
        <v/>
      </c>
      <c r="AF88" s="66" t="str">
        <f>IF(OR(A88="",p_po=""),"",IF(A88&amp;""=p_po,COUNTIF($A$6:A88,A88),""))</f>
        <v/>
      </c>
      <c r="AG88" s="66" t="str">
        <f>IF(OR(AB88="",A88=""),"",IF(COUNTIFS($A$6:A88,A88,$AB$6:AB88,"&gt;0")=1,1,""))</f>
        <v/>
      </c>
      <c r="AH88" s="70" t="str">
        <f>IF(AB88="","",ROUND(N(W88)*N(J88)*(1-N(K88)),2))</f>
        <v/>
      </c>
      <c r="AI88" s="70" t="str">
        <f>IF(OR(J88="",N(T88)&lt;=0,V88="Oui"),"",ROUND(N(T88)*J88*(1-N(K88)),2))</f>
        <v/>
      </c>
    </row>
    <row r="89">
      <c r="A89" s="63" t="n"/>
      <c r="B89" s="64" t="n"/>
      <c r="C89" s="65" t="n"/>
      <c r="D89" s="66" t="str">
        <f>IF(C89="","",IFERROR(INDEX(sup_name,MATCH($C89,sup_code,0))&amp;"","Fournisseur inconnu"))</f>
        <v/>
      </c>
      <c r="E89" s="63" t="n"/>
      <c r="F89" s="66" t="str">
        <f>IF(E89="","",IFERROR(INDEX(art_des,MATCH($E89,art_ref,0))&amp;"","Article inconnu"))</f>
        <v/>
      </c>
      <c r="G89" s="67" t="str">
        <f>IF(E89="","",IFERROR(INDEX(art_unit,MATCH($E89,art_ref,0))&amp;"",""))</f>
        <v/>
      </c>
      <c r="H89" s="68" t="n"/>
      <c r="I89" s="69" t="n"/>
      <c r="J89" s="70" t="str">
        <f>IF(E89="","",IF(ISNUMBER(I89),I89,IFERROR(IF(ISNUMBER(INDEX(art_price,MATCH($E89,art_ref,0))),INDEX(art_price,MATCH($E89,art_ref,0)),""),"")))</f>
        <v/>
      </c>
      <c r="K89" s="71" t="n"/>
      <c r="L89" s="72" t="n"/>
      <c r="M89" s="72" t="str">
        <f>IF(E89="","",IF(L89&lt;&gt;"",L89,IFERROR(IF(ISNUMBER(INDEX(art_tva,MATCH($E89,art_ref,0))),INDEX(art_tva,MATCH($E89,art_ref,0)),""),"")))</f>
        <v/>
      </c>
      <c r="N89" s="70" t="str">
        <f>IF(OR(E89="",J89=""),"",ROUND(N(H89)*J89*(1-N(K89)),2))</f>
        <v/>
      </c>
      <c r="O89" s="70" t="str">
        <f>IF(OR(N89="",NOT(ISNUMBER(M89))),"",ROUND(N89*M89,2))</f>
        <v/>
      </c>
      <c r="P89" s="70" t="str">
        <f>IF(N89="","",N89+N(O89))</f>
        <v/>
      </c>
      <c r="Q89" s="64" t="n"/>
      <c r="R89" s="73" t="str">
        <f>IF(N(Q89)&gt;0,Q89,IF(OR(N(B89)=0,ISNA(MATCH($C89,sup_code,0))),"",IF(ISNUMBER(INDEX(sup_delay,MATCH($C89,sup_code,0))),B89+INDEX(sup_delay,MATCH($C89,sup_code,0)),"")))</f>
        <v/>
      </c>
      <c r="S89" s="64" t="n"/>
      <c r="T89" s="68" t="n"/>
      <c r="U89" s="64" t="n"/>
      <c r="V89" s="65" t="n"/>
      <c r="W89" s="74" t="str">
        <f>IF(AND(A89="",E89=""),"",IF(V89="Oui",0,MAX(0,ROUND(N(H89)-N(T89),6))))</f>
        <v/>
      </c>
      <c r="X89" s="67" t="str">
        <f>IF(AND(A89="",E89=""),"",IF(V89="Oui","Annulé",IF(AND(N(H89)&gt;0,N(T89)&gt;=N(H89)),"Reçu",IF(N(S89)=0,"Brouillon",IF(AND(ISNUMBER(R89),R89&lt;p_today),"En retard",IF(N(T89)&gt;0,"Partiel","Envoyé"))))))</f>
        <v/>
      </c>
      <c r="Y89" s="75" t="str">
        <f>IF(X89="En retard",p_today-R89,IF(AND(X89="Reçu",ISNUMBER(R89)),MAX(0,N(U89)-R89),""))</f>
        <v/>
      </c>
      <c r="Z89" s="67" t="str">
        <f>IF(AND(A89="",E89=""),"",IF(A89="","N° de bon manquant",IF(N(B89)=0,"Date de commande manquante",IF(C89="","Fournisseur manquant",IF(ISNA(MATCH($C89,sup_code,0)),"Fournisseur inconnu",IF(E89="","Article manquant",IF(ISNA(MATCH($E89,art_ref,0)),"Article inconnu",IF(N(H89)&lt;=0,"Quantité invalide",IF(J89="","Prix manquant",IF(OR(N(K89)&lt;0,N(K89)&gt;=1),"Remise invalide",IF(M89="","TVA manquante",IF(ISNA(MATCH(M89,p_tva,0)),"Taux de TVA inconnu",IF(COUNTIFS(po_num,A89,po_sup,"&lt;&gt;"&amp;C89)&gt;0,"Fournisseur différent sur ce bon",IF(COUNTIFS(po_num,A89,po_date,"&lt;&gt;"&amp;B89)&gt;0,"Date différente sur ce bon",IF(COUNTIF(po_num,A89)&gt;25,"Plus de 25 lignes sur ce bon",IF(R89="","Date de livraison manquante",IF(R89&lt;B89,"Livraison avant la commande",IF(AND(N(T89)&gt;0,N(S89)=0),"Date d'envoi manquante",IF(N(T89)&gt;N(H89),"Reçu plus que commandé",IF(AND(N(T89)&gt;0,N(U89)=0),"Date de réception manquante",IF(AND(N(U89)&gt;0,U89&lt;B89),"Réception avant la commande","OK")))))))))))))))))))))</f>
        <v/>
      </c>
      <c r="AA89" s="66" t="str">
        <f>IF(AND(X89="Reçu",ISNUMBER(R89)),IF(N(U89)&lt;=R89,1,0),"")</f>
        <v/>
      </c>
      <c r="AB89" s="76" t="str">
        <f>IF(OR(X89="Envoyé",X89="Partiel",X89="En retard"),IF(ISNUMBER(R89),R89,100000)+ROW()/100000,"")</f>
        <v/>
      </c>
      <c r="AC89" s="66" t="str">
        <f>IF(A89="","",IF(COUNTIF($A$6:A89,A89)=1,1,""))</f>
        <v/>
      </c>
      <c r="AD89" s="66" t="str">
        <f>IF(AC89=1,COUNT($AC$6:AC89),"")</f>
        <v/>
      </c>
      <c r="AE89" s="66" t="str">
        <f>IFERROR(INDEX(po_num,MATCH(84,po_seq,0))&amp;"","")</f>
        <v/>
      </c>
      <c r="AF89" s="66" t="str">
        <f>IF(OR(A89="",p_po=""),"",IF(A89&amp;""=p_po,COUNTIF($A$6:A89,A89),""))</f>
        <v/>
      </c>
      <c r="AG89" s="66" t="str">
        <f>IF(OR(AB89="",A89=""),"",IF(COUNTIFS($A$6:A89,A89,$AB$6:AB89,"&gt;0")=1,1,""))</f>
        <v/>
      </c>
      <c r="AH89" s="70" t="str">
        <f>IF(AB89="","",ROUND(N(W89)*N(J89)*(1-N(K89)),2))</f>
        <v/>
      </c>
      <c r="AI89" s="70" t="str">
        <f>IF(OR(J89="",N(T89)&lt;=0,V89="Oui"),"",ROUND(N(T89)*J89*(1-N(K89)),2))</f>
        <v/>
      </c>
    </row>
    <row r="90">
      <c r="A90" s="63" t="n"/>
      <c r="B90" s="64" t="n"/>
      <c r="C90" s="65" t="n"/>
      <c r="D90" s="66" t="str">
        <f>IF(C90="","",IFERROR(INDEX(sup_name,MATCH($C90,sup_code,0))&amp;"","Fournisseur inconnu"))</f>
        <v/>
      </c>
      <c r="E90" s="63" t="n"/>
      <c r="F90" s="66" t="str">
        <f>IF(E90="","",IFERROR(INDEX(art_des,MATCH($E90,art_ref,0))&amp;"","Article inconnu"))</f>
        <v/>
      </c>
      <c r="G90" s="67" t="str">
        <f>IF(E90="","",IFERROR(INDEX(art_unit,MATCH($E90,art_ref,0))&amp;"",""))</f>
        <v/>
      </c>
      <c r="H90" s="68" t="n"/>
      <c r="I90" s="69" t="n"/>
      <c r="J90" s="70" t="str">
        <f>IF(E90="","",IF(ISNUMBER(I90),I90,IFERROR(IF(ISNUMBER(INDEX(art_price,MATCH($E90,art_ref,0))),INDEX(art_price,MATCH($E90,art_ref,0)),""),"")))</f>
        <v/>
      </c>
      <c r="K90" s="71" t="n"/>
      <c r="L90" s="72" t="n"/>
      <c r="M90" s="72" t="str">
        <f>IF(E90="","",IF(L90&lt;&gt;"",L90,IFERROR(IF(ISNUMBER(INDEX(art_tva,MATCH($E90,art_ref,0))),INDEX(art_tva,MATCH($E90,art_ref,0)),""),"")))</f>
        <v/>
      </c>
      <c r="N90" s="70" t="str">
        <f>IF(OR(E90="",J90=""),"",ROUND(N(H90)*J90*(1-N(K90)),2))</f>
        <v/>
      </c>
      <c r="O90" s="70" t="str">
        <f>IF(OR(N90="",NOT(ISNUMBER(M90))),"",ROUND(N90*M90,2))</f>
        <v/>
      </c>
      <c r="P90" s="70" t="str">
        <f>IF(N90="","",N90+N(O90))</f>
        <v/>
      </c>
      <c r="Q90" s="64" t="n"/>
      <c r="R90" s="73" t="str">
        <f>IF(N(Q90)&gt;0,Q90,IF(OR(N(B90)=0,ISNA(MATCH($C90,sup_code,0))),"",IF(ISNUMBER(INDEX(sup_delay,MATCH($C90,sup_code,0))),B90+INDEX(sup_delay,MATCH($C90,sup_code,0)),"")))</f>
        <v/>
      </c>
      <c r="S90" s="64" t="n"/>
      <c r="T90" s="68" t="n"/>
      <c r="U90" s="64" t="n"/>
      <c r="V90" s="65" t="n"/>
      <c r="W90" s="74" t="str">
        <f>IF(AND(A90="",E90=""),"",IF(V90="Oui",0,MAX(0,ROUND(N(H90)-N(T90),6))))</f>
        <v/>
      </c>
      <c r="X90" s="67" t="str">
        <f>IF(AND(A90="",E90=""),"",IF(V90="Oui","Annulé",IF(AND(N(H90)&gt;0,N(T90)&gt;=N(H90)),"Reçu",IF(N(S90)=0,"Brouillon",IF(AND(ISNUMBER(R90),R90&lt;p_today),"En retard",IF(N(T90)&gt;0,"Partiel","Envoyé"))))))</f>
        <v/>
      </c>
      <c r="Y90" s="75" t="str">
        <f>IF(X90="En retard",p_today-R90,IF(AND(X90="Reçu",ISNUMBER(R90)),MAX(0,N(U90)-R90),""))</f>
        <v/>
      </c>
      <c r="Z90" s="67" t="str">
        <f>IF(AND(A90="",E90=""),"",IF(A90="","N° de bon manquant",IF(N(B90)=0,"Date de commande manquante",IF(C90="","Fournisseur manquant",IF(ISNA(MATCH($C90,sup_code,0)),"Fournisseur inconnu",IF(E90="","Article manquant",IF(ISNA(MATCH($E90,art_ref,0)),"Article inconnu",IF(N(H90)&lt;=0,"Quantité invalide",IF(J90="","Prix manquant",IF(OR(N(K90)&lt;0,N(K90)&gt;=1),"Remise invalide",IF(M90="","TVA manquante",IF(ISNA(MATCH(M90,p_tva,0)),"Taux de TVA inconnu",IF(COUNTIFS(po_num,A90,po_sup,"&lt;&gt;"&amp;C90)&gt;0,"Fournisseur différent sur ce bon",IF(COUNTIFS(po_num,A90,po_date,"&lt;&gt;"&amp;B90)&gt;0,"Date différente sur ce bon",IF(COUNTIF(po_num,A90)&gt;25,"Plus de 25 lignes sur ce bon",IF(R90="","Date de livraison manquante",IF(R90&lt;B90,"Livraison avant la commande",IF(AND(N(T90)&gt;0,N(S90)=0),"Date d'envoi manquante",IF(N(T90)&gt;N(H90),"Reçu plus que commandé",IF(AND(N(T90)&gt;0,N(U90)=0),"Date de réception manquante",IF(AND(N(U90)&gt;0,U90&lt;B90),"Réception avant la commande","OK")))))))))))))))))))))</f>
        <v/>
      </c>
      <c r="AA90" s="66" t="str">
        <f>IF(AND(X90="Reçu",ISNUMBER(R90)),IF(N(U90)&lt;=R90,1,0),"")</f>
        <v/>
      </c>
      <c r="AB90" s="76" t="str">
        <f>IF(OR(X90="Envoyé",X90="Partiel",X90="En retard"),IF(ISNUMBER(R90),R90,100000)+ROW()/100000,"")</f>
        <v/>
      </c>
      <c r="AC90" s="66" t="str">
        <f>IF(A90="","",IF(COUNTIF($A$6:A90,A90)=1,1,""))</f>
        <v/>
      </c>
      <c r="AD90" s="66" t="str">
        <f>IF(AC90=1,COUNT($AC$6:AC90),"")</f>
        <v/>
      </c>
      <c r="AE90" s="66" t="str">
        <f>IFERROR(INDEX(po_num,MATCH(85,po_seq,0))&amp;"","")</f>
        <v/>
      </c>
      <c r="AF90" s="66" t="str">
        <f>IF(OR(A90="",p_po=""),"",IF(A90&amp;""=p_po,COUNTIF($A$6:A90,A90),""))</f>
        <v/>
      </c>
      <c r="AG90" s="66" t="str">
        <f>IF(OR(AB90="",A90=""),"",IF(COUNTIFS($A$6:A90,A90,$AB$6:AB90,"&gt;0")=1,1,""))</f>
        <v/>
      </c>
      <c r="AH90" s="70" t="str">
        <f>IF(AB90="","",ROUND(N(W90)*N(J90)*(1-N(K90)),2))</f>
        <v/>
      </c>
      <c r="AI90" s="70" t="str">
        <f>IF(OR(J90="",N(T90)&lt;=0,V90="Oui"),"",ROUND(N(T90)*J90*(1-N(K90)),2))</f>
        <v/>
      </c>
    </row>
    <row r="91">
      <c r="A91" s="63" t="n"/>
      <c r="B91" s="64" t="n"/>
      <c r="C91" s="65" t="n"/>
      <c r="D91" s="66" t="str">
        <f>IF(C91="","",IFERROR(INDEX(sup_name,MATCH($C91,sup_code,0))&amp;"","Fournisseur inconnu"))</f>
        <v/>
      </c>
      <c r="E91" s="63" t="n"/>
      <c r="F91" s="66" t="str">
        <f>IF(E91="","",IFERROR(INDEX(art_des,MATCH($E91,art_ref,0))&amp;"","Article inconnu"))</f>
        <v/>
      </c>
      <c r="G91" s="67" t="str">
        <f>IF(E91="","",IFERROR(INDEX(art_unit,MATCH($E91,art_ref,0))&amp;"",""))</f>
        <v/>
      </c>
      <c r="H91" s="68" t="n"/>
      <c r="I91" s="69" t="n"/>
      <c r="J91" s="70" t="str">
        <f>IF(E91="","",IF(ISNUMBER(I91),I91,IFERROR(IF(ISNUMBER(INDEX(art_price,MATCH($E91,art_ref,0))),INDEX(art_price,MATCH($E91,art_ref,0)),""),"")))</f>
        <v/>
      </c>
      <c r="K91" s="71" t="n"/>
      <c r="L91" s="72" t="n"/>
      <c r="M91" s="72" t="str">
        <f>IF(E91="","",IF(L91&lt;&gt;"",L91,IFERROR(IF(ISNUMBER(INDEX(art_tva,MATCH($E91,art_ref,0))),INDEX(art_tva,MATCH($E91,art_ref,0)),""),"")))</f>
        <v/>
      </c>
      <c r="N91" s="70" t="str">
        <f>IF(OR(E91="",J91=""),"",ROUND(N(H91)*J91*(1-N(K91)),2))</f>
        <v/>
      </c>
      <c r="O91" s="70" t="str">
        <f>IF(OR(N91="",NOT(ISNUMBER(M91))),"",ROUND(N91*M91,2))</f>
        <v/>
      </c>
      <c r="P91" s="70" t="str">
        <f>IF(N91="","",N91+N(O91))</f>
        <v/>
      </c>
      <c r="Q91" s="64" t="n"/>
      <c r="R91" s="73" t="str">
        <f>IF(N(Q91)&gt;0,Q91,IF(OR(N(B91)=0,ISNA(MATCH($C91,sup_code,0))),"",IF(ISNUMBER(INDEX(sup_delay,MATCH($C91,sup_code,0))),B91+INDEX(sup_delay,MATCH($C91,sup_code,0)),"")))</f>
        <v/>
      </c>
      <c r="S91" s="64" t="n"/>
      <c r="T91" s="68" t="n"/>
      <c r="U91" s="64" t="n"/>
      <c r="V91" s="65" t="n"/>
      <c r="W91" s="74" t="str">
        <f>IF(AND(A91="",E91=""),"",IF(V91="Oui",0,MAX(0,ROUND(N(H91)-N(T91),6))))</f>
        <v/>
      </c>
      <c r="X91" s="67" t="str">
        <f>IF(AND(A91="",E91=""),"",IF(V91="Oui","Annulé",IF(AND(N(H91)&gt;0,N(T91)&gt;=N(H91)),"Reçu",IF(N(S91)=0,"Brouillon",IF(AND(ISNUMBER(R91),R91&lt;p_today),"En retard",IF(N(T91)&gt;0,"Partiel","Envoyé"))))))</f>
        <v/>
      </c>
      <c r="Y91" s="75" t="str">
        <f>IF(X91="En retard",p_today-R91,IF(AND(X91="Reçu",ISNUMBER(R91)),MAX(0,N(U91)-R91),""))</f>
        <v/>
      </c>
      <c r="Z91" s="67" t="str">
        <f>IF(AND(A91="",E91=""),"",IF(A91="","N° de bon manquant",IF(N(B91)=0,"Date de commande manquante",IF(C91="","Fournisseur manquant",IF(ISNA(MATCH($C91,sup_code,0)),"Fournisseur inconnu",IF(E91="","Article manquant",IF(ISNA(MATCH($E91,art_ref,0)),"Article inconnu",IF(N(H91)&lt;=0,"Quantité invalide",IF(J91="","Prix manquant",IF(OR(N(K91)&lt;0,N(K91)&gt;=1),"Remise invalide",IF(M91="","TVA manquante",IF(ISNA(MATCH(M91,p_tva,0)),"Taux de TVA inconnu",IF(COUNTIFS(po_num,A91,po_sup,"&lt;&gt;"&amp;C91)&gt;0,"Fournisseur différent sur ce bon",IF(COUNTIFS(po_num,A91,po_date,"&lt;&gt;"&amp;B91)&gt;0,"Date différente sur ce bon",IF(COUNTIF(po_num,A91)&gt;25,"Plus de 25 lignes sur ce bon",IF(R91="","Date de livraison manquante",IF(R91&lt;B91,"Livraison avant la commande",IF(AND(N(T91)&gt;0,N(S91)=0),"Date d'envoi manquante",IF(N(T91)&gt;N(H91),"Reçu plus que commandé",IF(AND(N(T91)&gt;0,N(U91)=0),"Date de réception manquante",IF(AND(N(U91)&gt;0,U91&lt;B91),"Réception avant la commande","OK")))))))))))))))))))))</f>
        <v/>
      </c>
      <c r="AA91" s="66" t="str">
        <f>IF(AND(X91="Reçu",ISNUMBER(R91)),IF(N(U91)&lt;=R91,1,0),"")</f>
        <v/>
      </c>
      <c r="AB91" s="76" t="str">
        <f>IF(OR(X91="Envoyé",X91="Partiel",X91="En retard"),IF(ISNUMBER(R91),R91,100000)+ROW()/100000,"")</f>
        <v/>
      </c>
      <c r="AC91" s="66" t="str">
        <f>IF(A91="","",IF(COUNTIF($A$6:A91,A91)=1,1,""))</f>
        <v/>
      </c>
      <c r="AD91" s="66" t="str">
        <f>IF(AC91=1,COUNT($AC$6:AC91),"")</f>
        <v/>
      </c>
      <c r="AE91" s="66" t="str">
        <f>IFERROR(INDEX(po_num,MATCH(86,po_seq,0))&amp;"","")</f>
        <v/>
      </c>
      <c r="AF91" s="66" t="str">
        <f>IF(OR(A91="",p_po=""),"",IF(A91&amp;""=p_po,COUNTIF($A$6:A91,A91),""))</f>
        <v/>
      </c>
      <c r="AG91" s="66" t="str">
        <f>IF(OR(AB91="",A91=""),"",IF(COUNTIFS($A$6:A91,A91,$AB$6:AB91,"&gt;0")=1,1,""))</f>
        <v/>
      </c>
      <c r="AH91" s="70" t="str">
        <f>IF(AB91="","",ROUND(N(W91)*N(J91)*(1-N(K91)),2))</f>
        <v/>
      </c>
      <c r="AI91" s="70" t="str">
        <f>IF(OR(J91="",N(T91)&lt;=0,V91="Oui"),"",ROUND(N(T91)*J91*(1-N(K91)),2))</f>
        <v/>
      </c>
    </row>
    <row r="92">
      <c r="A92" s="63" t="n"/>
      <c r="B92" s="64" t="n"/>
      <c r="C92" s="65" t="n"/>
      <c r="D92" s="66" t="str">
        <f>IF(C92="","",IFERROR(INDEX(sup_name,MATCH($C92,sup_code,0))&amp;"","Fournisseur inconnu"))</f>
        <v/>
      </c>
      <c r="E92" s="63" t="n"/>
      <c r="F92" s="66" t="str">
        <f>IF(E92="","",IFERROR(INDEX(art_des,MATCH($E92,art_ref,0))&amp;"","Article inconnu"))</f>
        <v/>
      </c>
      <c r="G92" s="67" t="str">
        <f>IF(E92="","",IFERROR(INDEX(art_unit,MATCH($E92,art_ref,0))&amp;"",""))</f>
        <v/>
      </c>
      <c r="H92" s="68" t="n"/>
      <c r="I92" s="69" t="n"/>
      <c r="J92" s="70" t="str">
        <f>IF(E92="","",IF(ISNUMBER(I92),I92,IFERROR(IF(ISNUMBER(INDEX(art_price,MATCH($E92,art_ref,0))),INDEX(art_price,MATCH($E92,art_ref,0)),""),"")))</f>
        <v/>
      </c>
      <c r="K92" s="71" t="n"/>
      <c r="L92" s="72" t="n"/>
      <c r="M92" s="72" t="str">
        <f>IF(E92="","",IF(L92&lt;&gt;"",L92,IFERROR(IF(ISNUMBER(INDEX(art_tva,MATCH($E92,art_ref,0))),INDEX(art_tva,MATCH($E92,art_ref,0)),""),"")))</f>
        <v/>
      </c>
      <c r="N92" s="70" t="str">
        <f>IF(OR(E92="",J92=""),"",ROUND(N(H92)*J92*(1-N(K92)),2))</f>
        <v/>
      </c>
      <c r="O92" s="70" t="str">
        <f>IF(OR(N92="",NOT(ISNUMBER(M92))),"",ROUND(N92*M92,2))</f>
        <v/>
      </c>
      <c r="P92" s="70" t="str">
        <f>IF(N92="","",N92+N(O92))</f>
        <v/>
      </c>
      <c r="Q92" s="64" t="n"/>
      <c r="R92" s="73" t="str">
        <f>IF(N(Q92)&gt;0,Q92,IF(OR(N(B92)=0,ISNA(MATCH($C92,sup_code,0))),"",IF(ISNUMBER(INDEX(sup_delay,MATCH($C92,sup_code,0))),B92+INDEX(sup_delay,MATCH($C92,sup_code,0)),"")))</f>
        <v/>
      </c>
      <c r="S92" s="64" t="n"/>
      <c r="T92" s="68" t="n"/>
      <c r="U92" s="64" t="n"/>
      <c r="V92" s="65" t="n"/>
      <c r="W92" s="74" t="str">
        <f>IF(AND(A92="",E92=""),"",IF(V92="Oui",0,MAX(0,ROUND(N(H92)-N(T92),6))))</f>
        <v/>
      </c>
      <c r="X92" s="67" t="str">
        <f>IF(AND(A92="",E92=""),"",IF(V92="Oui","Annulé",IF(AND(N(H92)&gt;0,N(T92)&gt;=N(H92)),"Reçu",IF(N(S92)=0,"Brouillon",IF(AND(ISNUMBER(R92),R92&lt;p_today),"En retard",IF(N(T92)&gt;0,"Partiel","Envoyé"))))))</f>
        <v/>
      </c>
      <c r="Y92" s="75" t="str">
        <f>IF(X92="En retard",p_today-R92,IF(AND(X92="Reçu",ISNUMBER(R92)),MAX(0,N(U92)-R92),""))</f>
        <v/>
      </c>
      <c r="Z92" s="67" t="str">
        <f>IF(AND(A92="",E92=""),"",IF(A92="","N° de bon manquant",IF(N(B92)=0,"Date de commande manquante",IF(C92="","Fournisseur manquant",IF(ISNA(MATCH($C92,sup_code,0)),"Fournisseur inconnu",IF(E92="","Article manquant",IF(ISNA(MATCH($E92,art_ref,0)),"Article inconnu",IF(N(H92)&lt;=0,"Quantité invalide",IF(J92="","Prix manquant",IF(OR(N(K92)&lt;0,N(K92)&gt;=1),"Remise invalide",IF(M92="","TVA manquante",IF(ISNA(MATCH(M92,p_tva,0)),"Taux de TVA inconnu",IF(COUNTIFS(po_num,A92,po_sup,"&lt;&gt;"&amp;C92)&gt;0,"Fournisseur différent sur ce bon",IF(COUNTIFS(po_num,A92,po_date,"&lt;&gt;"&amp;B92)&gt;0,"Date différente sur ce bon",IF(COUNTIF(po_num,A92)&gt;25,"Plus de 25 lignes sur ce bon",IF(R92="","Date de livraison manquante",IF(R92&lt;B92,"Livraison avant la commande",IF(AND(N(T92)&gt;0,N(S92)=0),"Date d'envoi manquante",IF(N(T92)&gt;N(H92),"Reçu plus que commandé",IF(AND(N(T92)&gt;0,N(U92)=0),"Date de réception manquante",IF(AND(N(U92)&gt;0,U92&lt;B92),"Réception avant la commande","OK")))))))))))))))))))))</f>
        <v/>
      </c>
      <c r="AA92" s="66" t="str">
        <f>IF(AND(X92="Reçu",ISNUMBER(R92)),IF(N(U92)&lt;=R92,1,0),"")</f>
        <v/>
      </c>
      <c r="AB92" s="76" t="str">
        <f>IF(OR(X92="Envoyé",X92="Partiel",X92="En retard"),IF(ISNUMBER(R92),R92,100000)+ROW()/100000,"")</f>
        <v/>
      </c>
      <c r="AC92" s="66" t="str">
        <f>IF(A92="","",IF(COUNTIF($A$6:A92,A92)=1,1,""))</f>
        <v/>
      </c>
      <c r="AD92" s="66" t="str">
        <f>IF(AC92=1,COUNT($AC$6:AC92),"")</f>
        <v/>
      </c>
      <c r="AE92" s="66" t="str">
        <f>IFERROR(INDEX(po_num,MATCH(87,po_seq,0))&amp;"","")</f>
        <v/>
      </c>
      <c r="AF92" s="66" t="str">
        <f>IF(OR(A92="",p_po=""),"",IF(A92&amp;""=p_po,COUNTIF($A$6:A92,A92),""))</f>
        <v/>
      </c>
      <c r="AG92" s="66" t="str">
        <f>IF(OR(AB92="",A92=""),"",IF(COUNTIFS($A$6:A92,A92,$AB$6:AB92,"&gt;0")=1,1,""))</f>
        <v/>
      </c>
      <c r="AH92" s="70" t="str">
        <f>IF(AB92="","",ROUND(N(W92)*N(J92)*(1-N(K92)),2))</f>
        <v/>
      </c>
      <c r="AI92" s="70" t="str">
        <f>IF(OR(J92="",N(T92)&lt;=0,V92="Oui"),"",ROUND(N(T92)*J92*(1-N(K92)),2))</f>
        <v/>
      </c>
    </row>
    <row r="93">
      <c r="A93" s="63" t="n"/>
      <c r="B93" s="64" t="n"/>
      <c r="C93" s="65" t="n"/>
      <c r="D93" s="66" t="str">
        <f>IF(C93="","",IFERROR(INDEX(sup_name,MATCH($C93,sup_code,0))&amp;"","Fournisseur inconnu"))</f>
        <v/>
      </c>
      <c r="E93" s="63" t="n"/>
      <c r="F93" s="66" t="str">
        <f>IF(E93="","",IFERROR(INDEX(art_des,MATCH($E93,art_ref,0))&amp;"","Article inconnu"))</f>
        <v/>
      </c>
      <c r="G93" s="67" t="str">
        <f>IF(E93="","",IFERROR(INDEX(art_unit,MATCH($E93,art_ref,0))&amp;"",""))</f>
        <v/>
      </c>
      <c r="H93" s="68" t="n"/>
      <c r="I93" s="69" t="n"/>
      <c r="J93" s="70" t="str">
        <f>IF(E93="","",IF(ISNUMBER(I93),I93,IFERROR(IF(ISNUMBER(INDEX(art_price,MATCH($E93,art_ref,0))),INDEX(art_price,MATCH($E93,art_ref,0)),""),"")))</f>
        <v/>
      </c>
      <c r="K93" s="71" t="n"/>
      <c r="L93" s="72" t="n"/>
      <c r="M93" s="72" t="str">
        <f>IF(E93="","",IF(L93&lt;&gt;"",L93,IFERROR(IF(ISNUMBER(INDEX(art_tva,MATCH($E93,art_ref,0))),INDEX(art_tva,MATCH($E93,art_ref,0)),""),"")))</f>
        <v/>
      </c>
      <c r="N93" s="70" t="str">
        <f>IF(OR(E93="",J93=""),"",ROUND(N(H93)*J93*(1-N(K93)),2))</f>
        <v/>
      </c>
      <c r="O93" s="70" t="str">
        <f>IF(OR(N93="",NOT(ISNUMBER(M93))),"",ROUND(N93*M93,2))</f>
        <v/>
      </c>
      <c r="P93" s="70" t="str">
        <f>IF(N93="","",N93+N(O93))</f>
        <v/>
      </c>
      <c r="Q93" s="64" t="n"/>
      <c r="R93" s="73" t="str">
        <f>IF(N(Q93)&gt;0,Q93,IF(OR(N(B93)=0,ISNA(MATCH($C93,sup_code,0))),"",IF(ISNUMBER(INDEX(sup_delay,MATCH($C93,sup_code,0))),B93+INDEX(sup_delay,MATCH($C93,sup_code,0)),"")))</f>
        <v/>
      </c>
      <c r="S93" s="64" t="n"/>
      <c r="T93" s="68" t="n"/>
      <c r="U93" s="64" t="n"/>
      <c r="V93" s="65" t="n"/>
      <c r="W93" s="74" t="str">
        <f>IF(AND(A93="",E93=""),"",IF(V93="Oui",0,MAX(0,ROUND(N(H93)-N(T93),6))))</f>
        <v/>
      </c>
      <c r="X93" s="67" t="str">
        <f>IF(AND(A93="",E93=""),"",IF(V93="Oui","Annulé",IF(AND(N(H93)&gt;0,N(T93)&gt;=N(H93)),"Reçu",IF(N(S93)=0,"Brouillon",IF(AND(ISNUMBER(R93),R93&lt;p_today),"En retard",IF(N(T93)&gt;0,"Partiel","Envoyé"))))))</f>
        <v/>
      </c>
      <c r="Y93" s="75" t="str">
        <f>IF(X93="En retard",p_today-R93,IF(AND(X93="Reçu",ISNUMBER(R93)),MAX(0,N(U93)-R93),""))</f>
        <v/>
      </c>
      <c r="Z93" s="67" t="str">
        <f>IF(AND(A93="",E93=""),"",IF(A93="","N° de bon manquant",IF(N(B93)=0,"Date de commande manquante",IF(C93="","Fournisseur manquant",IF(ISNA(MATCH($C93,sup_code,0)),"Fournisseur inconnu",IF(E93="","Article manquant",IF(ISNA(MATCH($E93,art_ref,0)),"Article inconnu",IF(N(H93)&lt;=0,"Quantité invalide",IF(J93="","Prix manquant",IF(OR(N(K93)&lt;0,N(K93)&gt;=1),"Remise invalide",IF(M93="","TVA manquante",IF(ISNA(MATCH(M93,p_tva,0)),"Taux de TVA inconnu",IF(COUNTIFS(po_num,A93,po_sup,"&lt;&gt;"&amp;C93)&gt;0,"Fournisseur différent sur ce bon",IF(COUNTIFS(po_num,A93,po_date,"&lt;&gt;"&amp;B93)&gt;0,"Date différente sur ce bon",IF(COUNTIF(po_num,A93)&gt;25,"Plus de 25 lignes sur ce bon",IF(R93="","Date de livraison manquante",IF(R93&lt;B93,"Livraison avant la commande",IF(AND(N(T93)&gt;0,N(S93)=0),"Date d'envoi manquante",IF(N(T93)&gt;N(H93),"Reçu plus que commandé",IF(AND(N(T93)&gt;0,N(U93)=0),"Date de réception manquante",IF(AND(N(U93)&gt;0,U93&lt;B93),"Réception avant la commande","OK")))))))))))))))))))))</f>
        <v/>
      </c>
      <c r="AA93" s="66" t="str">
        <f>IF(AND(X93="Reçu",ISNUMBER(R93)),IF(N(U93)&lt;=R93,1,0),"")</f>
        <v/>
      </c>
      <c r="AB93" s="76" t="str">
        <f>IF(OR(X93="Envoyé",X93="Partiel",X93="En retard"),IF(ISNUMBER(R93),R93,100000)+ROW()/100000,"")</f>
        <v/>
      </c>
      <c r="AC93" s="66" t="str">
        <f>IF(A93="","",IF(COUNTIF($A$6:A93,A93)=1,1,""))</f>
        <v/>
      </c>
      <c r="AD93" s="66" t="str">
        <f>IF(AC93=1,COUNT($AC$6:AC93),"")</f>
        <v/>
      </c>
      <c r="AE93" s="66" t="str">
        <f>IFERROR(INDEX(po_num,MATCH(88,po_seq,0))&amp;"","")</f>
        <v/>
      </c>
      <c r="AF93" s="66" t="str">
        <f>IF(OR(A93="",p_po=""),"",IF(A93&amp;""=p_po,COUNTIF($A$6:A93,A93),""))</f>
        <v/>
      </c>
      <c r="AG93" s="66" t="str">
        <f>IF(OR(AB93="",A93=""),"",IF(COUNTIFS($A$6:A93,A93,$AB$6:AB93,"&gt;0")=1,1,""))</f>
        <v/>
      </c>
      <c r="AH93" s="70" t="str">
        <f>IF(AB93="","",ROUND(N(W93)*N(J93)*(1-N(K93)),2))</f>
        <v/>
      </c>
      <c r="AI93" s="70" t="str">
        <f>IF(OR(J93="",N(T93)&lt;=0,V93="Oui"),"",ROUND(N(T93)*J93*(1-N(K93)),2))</f>
        <v/>
      </c>
    </row>
    <row r="94">
      <c r="A94" s="63" t="n"/>
      <c r="B94" s="64" t="n"/>
      <c r="C94" s="65" t="n"/>
      <c r="D94" s="66" t="str">
        <f>IF(C94="","",IFERROR(INDEX(sup_name,MATCH($C94,sup_code,0))&amp;"","Fournisseur inconnu"))</f>
        <v/>
      </c>
      <c r="E94" s="63" t="n"/>
      <c r="F94" s="66" t="str">
        <f>IF(E94="","",IFERROR(INDEX(art_des,MATCH($E94,art_ref,0))&amp;"","Article inconnu"))</f>
        <v/>
      </c>
      <c r="G94" s="67" t="str">
        <f>IF(E94="","",IFERROR(INDEX(art_unit,MATCH($E94,art_ref,0))&amp;"",""))</f>
        <v/>
      </c>
      <c r="H94" s="68" t="n"/>
      <c r="I94" s="69" t="n"/>
      <c r="J94" s="70" t="str">
        <f>IF(E94="","",IF(ISNUMBER(I94),I94,IFERROR(IF(ISNUMBER(INDEX(art_price,MATCH($E94,art_ref,0))),INDEX(art_price,MATCH($E94,art_ref,0)),""),"")))</f>
        <v/>
      </c>
      <c r="K94" s="71" t="n"/>
      <c r="L94" s="72" t="n"/>
      <c r="M94" s="72" t="str">
        <f>IF(E94="","",IF(L94&lt;&gt;"",L94,IFERROR(IF(ISNUMBER(INDEX(art_tva,MATCH($E94,art_ref,0))),INDEX(art_tva,MATCH($E94,art_ref,0)),""),"")))</f>
        <v/>
      </c>
      <c r="N94" s="70" t="str">
        <f>IF(OR(E94="",J94=""),"",ROUND(N(H94)*J94*(1-N(K94)),2))</f>
        <v/>
      </c>
      <c r="O94" s="70" t="str">
        <f>IF(OR(N94="",NOT(ISNUMBER(M94))),"",ROUND(N94*M94,2))</f>
        <v/>
      </c>
      <c r="P94" s="70" t="str">
        <f>IF(N94="","",N94+N(O94))</f>
        <v/>
      </c>
      <c r="Q94" s="64" t="n"/>
      <c r="R94" s="73" t="str">
        <f>IF(N(Q94)&gt;0,Q94,IF(OR(N(B94)=0,ISNA(MATCH($C94,sup_code,0))),"",IF(ISNUMBER(INDEX(sup_delay,MATCH($C94,sup_code,0))),B94+INDEX(sup_delay,MATCH($C94,sup_code,0)),"")))</f>
        <v/>
      </c>
      <c r="S94" s="64" t="n"/>
      <c r="T94" s="68" t="n"/>
      <c r="U94" s="64" t="n"/>
      <c r="V94" s="65" t="n"/>
      <c r="W94" s="74" t="str">
        <f>IF(AND(A94="",E94=""),"",IF(V94="Oui",0,MAX(0,ROUND(N(H94)-N(T94),6))))</f>
        <v/>
      </c>
      <c r="X94" s="67" t="str">
        <f>IF(AND(A94="",E94=""),"",IF(V94="Oui","Annulé",IF(AND(N(H94)&gt;0,N(T94)&gt;=N(H94)),"Reçu",IF(N(S94)=0,"Brouillon",IF(AND(ISNUMBER(R94),R94&lt;p_today),"En retard",IF(N(T94)&gt;0,"Partiel","Envoyé"))))))</f>
        <v/>
      </c>
      <c r="Y94" s="75" t="str">
        <f>IF(X94="En retard",p_today-R94,IF(AND(X94="Reçu",ISNUMBER(R94)),MAX(0,N(U94)-R94),""))</f>
        <v/>
      </c>
      <c r="Z94" s="67" t="str">
        <f>IF(AND(A94="",E94=""),"",IF(A94="","N° de bon manquant",IF(N(B94)=0,"Date de commande manquante",IF(C94="","Fournisseur manquant",IF(ISNA(MATCH($C94,sup_code,0)),"Fournisseur inconnu",IF(E94="","Article manquant",IF(ISNA(MATCH($E94,art_ref,0)),"Article inconnu",IF(N(H94)&lt;=0,"Quantité invalide",IF(J94="","Prix manquant",IF(OR(N(K94)&lt;0,N(K94)&gt;=1),"Remise invalide",IF(M94="","TVA manquante",IF(ISNA(MATCH(M94,p_tva,0)),"Taux de TVA inconnu",IF(COUNTIFS(po_num,A94,po_sup,"&lt;&gt;"&amp;C94)&gt;0,"Fournisseur différent sur ce bon",IF(COUNTIFS(po_num,A94,po_date,"&lt;&gt;"&amp;B94)&gt;0,"Date différente sur ce bon",IF(COUNTIF(po_num,A94)&gt;25,"Plus de 25 lignes sur ce bon",IF(R94="","Date de livraison manquante",IF(R94&lt;B94,"Livraison avant la commande",IF(AND(N(T94)&gt;0,N(S94)=0),"Date d'envoi manquante",IF(N(T94)&gt;N(H94),"Reçu plus que commandé",IF(AND(N(T94)&gt;0,N(U94)=0),"Date de réception manquante",IF(AND(N(U94)&gt;0,U94&lt;B94),"Réception avant la commande","OK")))))))))))))))))))))</f>
        <v/>
      </c>
      <c r="AA94" s="66" t="str">
        <f>IF(AND(X94="Reçu",ISNUMBER(R94)),IF(N(U94)&lt;=R94,1,0),"")</f>
        <v/>
      </c>
      <c r="AB94" s="76" t="str">
        <f>IF(OR(X94="Envoyé",X94="Partiel",X94="En retard"),IF(ISNUMBER(R94),R94,100000)+ROW()/100000,"")</f>
        <v/>
      </c>
      <c r="AC94" s="66" t="str">
        <f>IF(A94="","",IF(COUNTIF($A$6:A94,A94)=1,1,""))</f>
        <v/>
      </c>
      <c r="AD94" s="66" t="str">
        <f>IF(AC94=1,COUNT($AC$6:AC94),"")</f>
        <v/>
      </c>
      <c r="AE94" s="66" t="str">
        <f>IFERROR(INDEX(po_num,MATCH(89,po_seq,0))&amp;"","")</f>
        <v/>
      </c>
      <c r="AF94" s="66" t="str">
        <f>IF(OR(A94="",p_po=""),"",IF(A94&amp;""=p_po,COUNTIF($A$6:A94,A94),""))</f>
        <v/>
      </c>
      <c r="AG94" s="66" t="str">
        <f>IF(OR(AB94="",A94=""),"",IF(COUNTIFS($A$6:A94,A94,$AB$6:AB94,"&gt;0")=1,1,""))</f>
        <v/>
      </c>
      <c r="AH94" s="70" t="str">
        <f>IF(AB94="","",ROUND(N(W94)*N(J94)*(1-N(K94)),2))</f>
        <v/>
      </c>
      <c r="AI94" s="70" t="str">
        <f>IF(OR(J94="",N(T94)&lt;=0,V94="Oui"),"",ROUND(N(T94)*J94*(1-N(K94)),2))</f>
        <v/>
      </c>
    </row>
    <row r="95">
      <c r="A95" s="63" t="n"/>
      <c r="B95" s="64" t="n"/>
      <c r="C95" s="65" t="n"/>
      <c r="D95" s="66" t="str">
        <f>IF(C95="","",IFERROR(INDEX(sup_name,MATCH($C95,sup_code,0))&amp;"","Fournisseur inconnu"))</f>
        <v/>
      </c>
      <c r="E95" s="63" t="n"/>
      <c r="F95" s="66" t="str">
        <f>IF(E95="","",IFERROR(INDEX(art_des,MATCH($E95,art_ref,0))&amp;"","Article inconnu"))</f>
        <v/>
      </c>
      <c r="G95" s="67" t="str">
        <f>IF(E95="","",IFERROR(INDEX(art_unit,MATCH($E95,art_ref,0))&amp;"",""))</f>
        <v/>
      </c>
      <c r="H95" s="68" t="n"/>
      <c r="I95" s="69" t="n"/>
      <c r="J95" s="70" t="str">
        <f>IF(E95="","",IF(ISNUMBER(I95),I95,IFERROR(IF(ISNUMBER(INDEX(art_price,MATCH($E95,art_ref,0))),INDEX(art_price,MATCH($E95,art_ref,0)),""),"")))</f>
        <v/>
      </c>
      <c r="K95" s="71" t="n"/>
      <c r="L95" s="72" t="n"/>
      <c r="M95" s="72" t="str">
        <f>IF(E95="","",IF(L95&lt;&gt;"",L95,IFERROR(IF(ISNUMBER(INDEX(art_tva,MATCH($E95,art_ref,0))),INDEX(art_tva,MATCH($E95,art_ref,0)),""),"")))</f>
        <v/>
      </c>
      <c r="N95" s="70" t="str">
        <f>IF(OR(E95="",J95=""),"",ROUND(N(H95)*J95*(1-N(K95)),2))</f>
        <v/>
      </c>
      <c r="O95" s="70" t="str">
        <f>IF(OR(N95="",NOT(ISNUMBER(M95))),"",ROUND(N95*M95,2))</f>
        <v/>
      </c>
      <c r="P95" s="70" t="str">
        <f>IF(N95="","",N95+N(O95))</f>
        <v/>
      </c>
      <c r="Q95" s="64" t="n"/>
      <c r="R95" s="73" t="str">
        <f>IF(N(Q95)&gt;0,Q95,IF(OR(N(B95)=0,ISNA(MATCH($C95,sup_code,0))),"",IF(ISNUMBER(INDEX(sup_delay,MATCH($C95,sup_code,0))),B95+INDEX(sup_delay,MATCH($C95,sup_code,0)),"")))</f>
        <v/>
      </c>
      <c r="S95" s="64" t="n"/>
      <c r="T95" s="68" t="n"/>
      <c r="U95" s="64" t="n"/>
      <c r="V95" s="65" t="n"/>
      <c r="W95" s="74" t="str">
        <f>IF(AND(A95="",E95=""),"",IF(V95="Oui",0,MAX(0,ROUND(N(H95)-N(T95),6))))</f>
        <v/>
      </c>
      <c r="X95" s="67" t="str">
        <f>IF(AND(A95="",E95=""),"",IF(V95="Oui","Annulé",IF(AND(N(H95)&gt;0,N(T95)&gt;=N(H95)),"Reçu",IF(N(S95)=0,"Brouillon",IF(AND(ISNUMBER(R95),R95&lt;p_today),"En retard",IF(N(T95)&gt;0,"Partiel","Envoyé"))))))</f>
        <v/>
      </c>
      <c r="Y95" s="75" t="str">
        <f>IF(X95="En retard",p_today-R95,IF(AND(X95="Reçu",ISNUMBER(R95)),MAX(0,N(U95)-R95),""))</f>
        <v/>
      </c>
      <c r="Z95" s="67" t="str">
        <f>IF(AND(A95="",E95=""),"",IF(A95="","N° de bon manquant",IF(N(B95)=0,"Date de commande manquante",IF(C95="","Fournisseur manquant",IF(ISNA(MATCH($C95,sup_code,0)),"Fournisseur inconnu",IF(E95="","Article manquant",IF(ISNA(MATCH($E95,art_ref,0)),"Article inconnu",IF(N(H95)&lt;=0,"Quantité invalide",IF(J95="","Prix manquant",IF(OR(N(K95)&lt;0,N(K95)&gt;=1),"Remise invalide",IF(M95="","TVA manquante",IF(ISNA(MATCH(M95,p_tva,0)),"Taux de TVA inconnu",IF(COUNTIFS(po_num,A95,po_sup,"&lt;&gt;"&amp;C95)&gt;0,"Fournisseur différent sur ce bon",IF(COUNTIFS(po_num,A95,po_date,"&lt;&gt;"&amp;B95)&gt;0,"Date différente sur ce bon",IF(COUNTIF(po_num,A95)&gt;25,"Plus de 25 lignes sur ce bon",IF(R95="","Date de livraison manquante",IF(R95&lt;B95,"Livraison avant la commande",IF(AND(N(T95)&gt;0,N(S95)=0),"Date d'envoi manquante",IF(N(T95)&gt;N(H95),"Reçu plus que commandé",IF(AND(N(T95)&gt;0,N(U95)=0),"Date de réception manquante",IF(AND(N(U95)&gt;0,U95&lt;B95),"Réception avant la commande","OK")))))))))))))))))))))</f>
        <v/>
      </c>
      <c r="AA95" s="66" t="str">
        <f>IF(AND(X95="Reçu",ISNUMBER(R95)),IF(N(U95)&lt;=R95,1,0),"")</f>
        <v/>
      </c>
      <c r="AB95" s="76" t="str">
        <f>IF(OR(X95="Envoyé",X95="Partiel",X95="En retard"),IF(ISNUMBER(R95),R95,100000)+ROW()/100000,"")</f>
        <v/>
      </c>
      <c r="AC95" s="66" t="str">
        <f>IF(A95="","",IF(COUNTIF($A$6:A95,A95)=1,1,""))</f>
        <v/>
      </c>
      <c r="AD95" s="66" t="str">
        <f>IF(AC95=1,COUNT($AC$6:AC95),"")</f>
        <v/>
      </c>
      <c r="AE95" s="66" t="str">
        <f>IFERROR(INDEX(po_num,MATCH(90,po_seq,0))&amp;"","")</f>
        <v/>
      </c>
      <c r="AF95" s="66" t="str">
        <f>IF(OR(A95="",p_po=""),"",IF(A95&amp;""=p_po,COUNTIF($A$6:A95,A95),""))</f>
        <v/>
      </c>
      <c r="AG95" s="66" t="str">
        <f>IF(OR(AB95="",A95=""),"",IF(COUNTIFS($A$6:A95,A95,$AB$6:AB95,"&gt;0")=1,1,""))</f>
        <v/>
      </c>
      <c r="AH95" s="70" t="str">
        <f>IF(AB95="","",ROUND(N(W95)*N(J95)*(1-N(K95)),2))</f>
        <v/>
      </c>
      <c r="AI95" s="70" t="str">
        <f>IF(OR(J95="",N(T95)&lt;=0,V95="Oui"),"",ROUND(N(T95)*J95*(1-N(K95)),2))</f>
        <v/>
      </c>
    </row>
    <row r="96">
      <c r="A96" s="63" t="n"/>
      <c r="B96" s="64" t="n"/>
      <c r="C96" s="65" t="n"/>
      <c r="D96" s="66" t="str">
        <f>IF(C96="","",IFERROR(INDEX(sup_name,MATCH($C96,sup_code,0))&amp;"","Fournisseur inconnu"))</f>
        <v/>
      </c>
      <c r="E96" s="63" t="n"/>
      <c r="F96" s="66" t="str">
        <f>IF(E96="","",IFERROR(INDEX(art_des,MATCH($E96,art_ref,0))&amp;"","Article inconnu"))</f>
        <v/>
      </c>
      <c r="G96" s="67" t="str">
        <f>IF(E96="","",IFERROR(INDEX(art_unit,MATCH($E96,art_ref,0))&amp;"",""))</f>
        <v/>
      </c>
      <c r="H96" s="68" t="n"/>
      <c r="I96" s="69" t="n"/>
      <c r="J96" s="70" t="str">
        <f>IF(E96="","",IF(ISNUMBER(I96),I96,IFERROR(IF(ISNUMBER(INDEX(art_price,MATCH($E96,art_ref,0))),INDEX(art_price,MATCH($E96,art_ref,0)),""),"")))</f>
        <v/>
      </c>
      <c r="K96" s="71" t="n"/>
      <c r="L96" s="72" t="n"/>
      <c r="M96" s="72" t="str">
        <f>IF(E96="","",IF(L96&lt;&gt;"",L96,IFERROR(IF(ISNUMBER(INDEX(art_tva,MATCH($E96,art_ref,0))),INDEX(art_tva,MATCH($E96,art_ref,0)),""),"")))</f>
        <v/>
      </c>
      <c r="N96" s="70" t="str">
        <f>IF(OR(E96="",J96=""),"",ROUND(N(H96)*J96*(1-N(K96)),2))</f>
        <v/>
      </c>
      <c r="O96" s="70" t="str">
        <f>IF(OR(N96="",NOT(ISNUMBER(M96))),"",ROUND(N96*M96,2))</f>
        <v/>
      </c>
      <c r="P96" s="70" t="str">
        <f>IF(N96="","",N96+N(O96))</f>
        <v/>
      </c>
      <c r="Q96" s="64" t="n"/>
      <c r="R96" s="73" t="str">
        <f>IF(N(Q96)&gt;0,Q96,IF(OR(N(B96)=0,ISNA(MATCH($C96,sup_code,0))),"",IF(ISNUMBER(INDEX(sup_delay,MATCH($C96,sup_code,0))),B96+INDEX(sup_delay,MATCH($C96,sup_code,0)),"")))</f>
        <v/>
      </c>
      <c r="S96" s="64" t="n"/>
      <c r="T96" s="68" t="n"/>
      <c r="U96" s="64" t="n"/>
      <c r="V96" s="65" t="n"/>
      <c r="W96" s="74" t="str">
        <f>IF(AND(A96="",E96=""),"",IF(V96="Oui",0,MAX(0,ROUND(N(H96)-N(T96),6))))</f>
        <v/>
      </c>
      <c r="X96" s="67" t="str">
        <f>IF(AND(A96="",E96=""),"",IF(V96="Oui","Annulé",IF(AND(N(H96)&gt;0,N(T96)&gt;=N(H96)),"Reçu",IF(N(S96)=0,"Brouillon",IF(AND(ISNUMBER(R96),R96&lt;p_today),"En retard",IF(N(T96)&gt;0,"Partiel","Envoyé"))))))</f>
        <v/>
      </c>
      <c r="Y96" s="75" t="str">
        <f>IF(X96="En retard",p_today-R96,IF(AND(X96="Reçu",ISNUMBER(R96)),MAX(0,N(U96)-R96),""))</f>
        <v/>
      </c>
      <c r="Z96" s="67" t="str">
        <f>IF(AND(A96="",E96=""),"",IF(A96="","N° de bon manquant",IF(N(B96)=0,"Date de commande manquante",IF(C96="","Fournisseur manquant",IF(ISNA(MATCH($C96,sup_code,0)),"Fournisseur inconnu",IF(E96="","Article manquant",IF(ISNA(MATCH($E96,art_ref,0)),"Article inconnu",IF(N(H96)&lt;=0,"Quantité invalide",IF(J96="","Prix manquant",IF(OR(N(K96)&lt;0,N(K96)&gt;=1),"Remise invalide",IF(M96="","TVA manquante",IF(ISNA(MATCH(M96,p_tva,0)),"Taux de TVA inconnu",IF(COUNTIFS(po_num,A96,po_sup,"&lt;&gt;"&amp;C96)&gt;0,"Fournisseur différent sur ce bon",IF(COUNTIFS(po_num,A96,po_date,"&lt;&gt;"&amp;B96)&gt;0,"Date différente sur ce bon",IF(COUNTIF(po_num,A96)&gt;25,"Plus de 25 lignes sur ce bon",IF(R96="","Date de livraison manquante",IF(R96&lt;B96,"Livraison avant la commande",IF(AND(N(T96)&gt;0,N(S96)=0),"Date d'envoi manquante",IF(N(T96)&gt;N(H96),"Reçu plus que commandé",IF(AND(N(T96)&gt;0,N(U96)=0),"Date de réception manquante",IF(AND(N(U96)&gt;0,U96&lt;B96),"Réception avant la commande","OK")))))))))))))))))))))</f>
        <v/>
      </c>
      <c r="AA96" s="66" t="str">
        <f>IF(AND(X96="Reçu",ISNUMBER(R96)),IF(N(U96)&lt;=R96,1,0),"")</f>
        <v/>
      </c>
      <c r="AB96" s="76" t="str">
        <f>IF(OR(X96="Envoyé",X96="Partiel",X96="En retard"),IF(ISNUMBER(R96),R96,100000)+ROW()/100000,"")</f>
        <v/>
      </c>
      <c r="AC96" s="66" t="str">
        <f>IF(A96="","",IF(COUNTIF($A$6:A96,A96)=1,1,""))</f>
        <v/>
      </c>
      <c r="AD96" s="66" t="str">
        <f>IF(AC96=1,COUNT($AC$6:AC96),"")</f>
        <v/>
      </c>
      <c r="AE96" s="66" t="str">
        <f>IFERROR(INDEX(po_num,MATCH(91,po_seq,0))&amp;"","")</f>
        <v/>
      </c>
      <c r="AF96" s="66" t="str">
        <f>IF(OR(A96="",p_po=""),"",IF(A96&amp;""=p_po,COUNTIF($A$6:A96,A96),""))</f>
        <v/>
      </c>
      <c r="AG96" s="66" t="str">
        <f>IF(OR(AB96="",A96=""),"",IF(COUNTIFS($A$6:A96,A96,$AB$6:AB96,"&gt;0")=1,1,""))</f>
        <v/>
      </c>
      <c r="AH96" s="70" t="str">
        <f>IF(AB96="","",ROUND(N(W96)*N(J96)*(1-N(K96)),2))</f>
        <v/>
      </c>
      <c r="AI96" s="70" t="str">
        <f>IF(OR(J96="",N(T96)&lt;=0,V96="Oui"),"",ROUND(N(T96)*J96*(1-N(K96)),2))</f>
        <v/>
      </c>
    </row>
    <row r="97">
      <c r="A97" s="63" t="n"/>
      <c r="B97" s="64" t="n"/>
      <c r="C97" s="65" t="n"/>
      <c r="D97" s="66" t="str">
        <f>IF(C97="","",IFERROR(INDEX(sup_name,MATCH($C97,sup_code,0))&amp;"","Fournisseur inconnu"))</f>
        <v/>
      </c>
      <c r="E97" s="63" t="n"/>
      <c r="F97" s="66" t="str">
        <f>IF(E97="","",IFERROR(INDEX(art_des,MATCH($E97,art_ref,0))&amp;"","Article inconnu"))</f>
        <v/>
      </c>
      <c r="G97" s="67" t="str">
        <f>IF(E97="","",IFERROR(INDEX(art_unit,MATCH($E97,art_ref,0))&amp;"",""))</f>
        <v/>
      </c>
      <c r="H97" s="68" t="n"/>
      <c r="I97" s="69" t="n"/>
      <c r="J97" s="70" t="str">
        <f>IF(E97="","",IF(ISNUMBER(I97),I97,IFERROR(IF(ISNUMBER(INDEX(art_price,MATCH($E97,art_ref,0))),INDEX(art_price,MATCH($E97,art_ref,0)),""),"")))</f>
        <v/>
      </c>
      <c r="K97" s="71" t="n"/>
      <c r="L97" s="72" t="n"/>
      <c r="M97" s="72" t="str">
        <f>IF(E97="","",IF(L97&lt;&gt;"",L97,IFERROR(IF(ISNUMBER(INDEX(art_tva,MATCH($E97,art_ref,0))),INDEX(art_tva,MATCH($E97,art_ref,0)),""),"")))</f>
        <v/>
      </c>
      <c r="N97" s="70" t="str">
        <f>IF(OR(E97="",J97=""),"",ROUND(N(H97)*J97*(1-N(K97)),2))</f>
        <v/>
      </c>
      <c r="O97" s="70" t="str">
        <f>IF(OR(N97="",NOT(ISNUMBER(M97))),"",ROUND(N97*M97,2))</f>
        <v/>
      </c>
      <c r="P97" s="70" t="str">
        <f>IF(N97="","",N97+N(O97))</f>
        <v/>
      </c>
      <c r="Q97" s="64" t="n"/>
      <c r="R97" s="73" t="str">
        <f>IF(N(Q97)&gt;0,Q97,IF(OR(N(B97)=0,ISNA(MATCH($C97,sup_code,0))),"",IF(ISNUMBER(INDEX(sup_delay,MATCH($C97,sup_code,0))),B97+INDEX(sup_delay,MATCH($C97,sup_code,0)),"")))</f>
        <v/>
      </c>
      <c r="S97" s="64" t="n"/>
      <c r="T97" s="68" t="n"/>
      <c r="U97" s="64" t="n"/>
      <c r="V97" s="65" t="n"/>
      <c r="W97" s="74" t="str">
        <f>IF(AND(A97="",E97=""),"",IF(V97="Oui",0,MAX(0,ROUND(N(H97)-N(T97),6))))</f>
        <v/>
      </c>
      <c r="X97" s="67" t="str">
        <f>IF(AND(A97="",E97=""),"",IF(V97="Oui","Annulé",IF(AND(N(H97)&gt;0,N(T97)&gt;=N(H97)),"Reçu",IF(N(S97)=0,"Brouillon",IF(AND(ISNUMBER(R97),R97&lt;p_today),"En retard",IF(N(T97)&gt;0,"Partiel","Envoyé"))))))</f>
        <v/>
      </c>
      <c r="Y97" s="75" t="str">
        <f>IF(X97="En retard",p_today-R97,IF(AND(X97="Reçu",ISNUMBER(R97)),MAX(0,N(U97)-R97),""))</f>
        <v/>
      </c>
      <c r="Z97" s="67" t="str">
        <f>IF(AND(A97="",E97=""),"",IF(A97="","N° de bon manquant",IF(N(B97)=0,"Date de commande manquante",IF(C97="","Fournisseur manquant",IF(ISNA(MATCH($C97,sup_code,0)),"Fournisseur inconnu",IF(E97="","Article manquant",IF(ISNA(MATCH($E97,art_ref,0)),"Article inconnu",IF(N(H97)&lt;=0,"Quantité invalide",IF(J97="","Prix manquant",IF(OR(N(K97)&lt;0,N(K97)&gt;=1),"Remise invalide",IF(M97="","TVA manquante",IF(ISNA(MATCH(M97,p_tva,0)),"Taux de TVA inconnu",IF(COUNTIFS(po_num,A97,po_sup,"&lt;&gt;"&amp;C97)&gt;0,"Fournisseur différent sur ce bon",IF(COUNTIFS(po_num,A97,po_date,"&lt;&gt;"&amp;B97)&gt;0,"Date différente sur ce bon",IF(COUNTIF(po_num,A97)&gt;25,"Plus de 25 lignes sur ce bon",IF(R97="","Date de livraison manquante",IF(R97&lt;B97,"Livraison avant la commande",IF(AND(N(T97)&gt;0,N(S97)=0),"Date d'envoi manquante",IF(N(T97)&gt;N(H97),"Reçu plus que commandé",IF(AND(N(T97)&gt;0,N(U97)=0),"Date de réception manquante",IF(AND(N(U97)&gt;0,U97&lt;B97),"Réception avant la commande","OK")))))))))))))))))))))</f>
        <v/>
      </c>
      <c r="AA97" s="66" t="str">
        <f>IF(AND(X97="Reçu",ISNUMBER(R97)),IF(N(U97)&lt;=R97,1,0),"")</f>
        <v/>
      </c>
      <c r="AB97" s="76" t="str">
        <f>IF(OR(X97="Envoyé",X97="Partiel",X97="En retard"),IF(ISNUMBER(R97),R97,100000)+ROW()/100000,"")</f>
        <v/>
      </c>
      <c r="AC97" s="66" t="str">
        <f>IF(A97="","",IF(COUNTIF($A$6:A97,A97)=1,1,""))</f>
        <v/>
      </c>
      <c r="AD97" s="66" t="str">
        <f>IF(AC97=1,COUNT($AC$6:AC97),"")</f>
        <v/>
      </c>
      <c r="AE97" s="66" t="str">
        <f>IFERROR(INDEX(po_num,MATCH(92,po_seq,0))&amp;"","")</f>
        <v/>
      </c>
      <c r="AF97" s="66" t="str">
        <f>IF(OR(A97="",p_po=""),"",IF(A97&amp;""=p_po,COUNTIF($A$6:A97,A97),""))</f>
        <v/>
      </c>
      <c r="AG97" s="66" t="str">
        <f>IF(OR(AB97="",A97=""),"",IF(COUNTIFS($A$6:A97,A97,$AB$6:AB97,"&gt;0")=1,1,""))</f>
        <v/>
      </c>
      <c r="AH97" s="70" t="str">
        <f>IF(AB97="","",ROUND(N(W97)*N(J97)*(1-N(K97)),2))</f>
        <v/>
      </c>
      <c r="AI97" s="70" t="str">
        <f>IF(OR(J97="",N(T97)&lt;=0,V97="Oui"),"",ROUND(N(T97)*J97*(1-N(K97)),2))</f>
        <v/>
      </c>
    </row>
    <row r="98">
      <c r="A98" s="63" t="n"/>
      <c r="B98" s="64" t="n"/>
      <c r="C98" s="65" t="n"/>
      <c r="D98" s="66" t="str">
        <f>IF(C98="","",IFERROR(INDEX(sup_name,MATCH($C98,sup_code,0))&amp;"","Fournisseur inconnu"))</f>
        <v/>
      </c>
      <c r="E98" s="63" t="n"/>
      <c r="F98" s="66" t="str">
        <f>IF(E98="","",IFERROR(INDEX(art_des,MATCH($E98,art_ref,0))&amp;"","Article inconnu"))</f>
        <v/>
      </c>
      <c r="G98" s="67" t="str">
        <f>IF(E98="","",IFERROR(INDEX(art_unit,MATCH($E98,art_ref,0))&amp;"",""))</f>
        <v/>
      </c>
      <c r="H98" s="68" t="n"/>
      <c r="I98" s="69" t="n"/>
      <c r="J98" s="70" t="str">
        <f>IF(E98="","",IF(ISNUMBER(I98),I98,IFERROR(IF(ISNUMBER(INDEX(art_price,MATCH($E98,art_ref,0))),INDEX(art_price,MATCH($E98,art_ref,0)),""),"")))</f>
        <v/>
      </c>
      <c r="K98" s="71" t="n"/>
      <c r="L98" s="72" t="n"/>
      <c r="M98" s="72" t="str">
        <f>IF(E98="","",IF(L98&lt;&gt;"",L98,IFERROR(IF(ISNUMBER(INDEX(art_tva,MATCH($E98,art_ref,0))),INDEX(art_tva,MATCH($E98,art_ref,0)),""),"")))</f>
        <v/>
      </c>
      <c r="N98" s="70" t="str">
        <f>IF(OR(E98="",J98=""),"",ROUND(N(H98)*J98*(1-N(K98)),2))</f>
        <v/>
      </c>
      <c r="O98" s="70" t="str">
        <f>IF(OR(N98="",NOT(ISNUMBER(M98))),"",ROUND(N98*M98,2))</f>
        <v/>
      </c>
      <c r="P98" s="70" t="str">
        <f>IF(N98="","",N98+N(O98))</f>
        <v/>
      </c>
      <c r="Q98" s="64" t="n"/>
      <c r="R98" s="73" t="str">
        <f>IF(N(Q98)&gt;0,Q98,IF(OR(N(B98)=0,ISNA(MATCH($C98,sup_code,0))),"",IF(ISNUMBER(INDEX(sup_delay,MATCH($C98,sup_code,0))),B98+INDEX(sup_delay,MATCH($C98,sup_code,0)),"")))</f>
        <v/>
      </c>
      <c r="S98" s="64" t="n"/>
      <c r="T98" s="68" t="n"/>
      <c r="U98" s="64" t="n"/>
      <c r="V98" s="65" t="n"/>
      <c r="W98" s="74" t="str">
        <f>IF(AND(A98="",E98=""),"",IF(V98="Oui",0,MAX(0,ROUND(N(H98)-N(T98),6))))</f>
        <v/>
      </c>
      <c r="X98" s="67" t="str">
        <f>IF(AND(A98="",E98=""),"",IF(V98="Oui","Annulé",IF(AND(N(H98)&gt;0,N(T98)&gt;=N(H98)),"Reçu",IF(N(S98)=0,"Brouillon",IF(AND(ISNUMBER(R98),R98&lt;p_today),"En retard",IF(N(T98)&gt;0,"Partiel","Envoyé"))))))</f>
        <v/>
      </c>
      <c r="Y98" s="75" t="str">
        <f>IF(X98="En retard",p_today-R98,IF(AND(X98="Reçu",ISNUMBER(R98)),MAX(0,N(U98)-R98),""))</f>
        <v/>
      </c>
      <c r="Z98" s="67" t="str">
        <f>IF(AND(A98="",E98=""),"",IF(A98="","N° de bon manquant",IF(N(B98)=0,"Date de commande manquante",IF(C98="","Fournisseur manquant",IF(ISNA(MATCH($C98,sup_code,0)),"Fournisseur inconnu",IF(E98="","Article manquant",IF(ISNA(MATCH($E98,art_ref,0)),"Article inconnu",IF(N(H98)&lt;=0,"Quantité invalide",IF(J98="","Prix manquant",IF(OR(N(K98)&lt;0,N(K98)&gt;=1),"Remise invalide",IF(M98="","TVA manquante",IF(ISNA(MATCH(M98,p_tva,0)),"Taux de TVA inconnu",IF(COUNTIFS(po_num,A98,po_sup,"&lt;&gt;"&amp;C98)&gt;0,"Fournisseur différent sur ce bon",IF(COUNTIFS(po_num,A98,po_date,"&lt;&gt;"&amp;B98)&gt;0,"Date différente sur ce bon",IF(COUNTIF(po_num,A98)&gt;25,"Plus de 25 lignes sur ce bon",IF(R98="","Date de livraison manquante",IF(R98&lt;B98,"Livraison avant la commande",IF(AND(N(T98)&gt;0,N(S98)=0),"Date d'envoi manquante",IF(N(T98)&gt;N(H98),"Reçu plus que commandé",IF(AND(N(T98)&gt;0,N(U98)=0),"Date de réception manquante",IF(AND(N(U98)&gt;0,U98&lt;B98),"Réception avant la commande","OK")))))))))))))))))))))</f>
        <v/>
      </c>
      <c r="AA98" s="66" t="str">
        <f>IF(AND(X98="Reçu",ISNUMBER(R98)),IF(N(U98)&lt;=R98,1,0),"")</f>
        <v/>
      </c>
      <c r="AB98" s="76" t="str">
        <f>IF(OR(X98="Envoyé",X98="Partiel",X98="En retard"),IF(ISNUMBER(R98),R98,100000)+ROW()/100000,"")</f>
        <v/>
      </c>
      <c r="AC98" s="66" t="str">
        <f>IF(A98="","",IF(COUNTIF($A$6:A98,A98)=1,1,""))</f>
        <v/>
      </c>
      <c r="AD98" s="66" t="str">
        <f>IF(AC98=1,COUNT($AC$6:AC98),"")</f>
        <v/>
      </c>
      <c r="AE98" s="66" t="str">
        <f>IFERROR(INDEX(po_num,MATCH(93,po_seq,0))&amp;"","")</f>
        <v/>
      </c>
      <c r="AF98" s="66" t="str">
        <f>IF(OR(A98="",p_po=""),"",IF(A98&amp;""=p_po,COUNTIF($A$6:A98,A98),""))</f>
        <v/>
      </c>
      <c r="AG98" s="66" t="str">
        <f>IF(OR(AB98="",A98=""),"",IF(COUNTIFS($A$6:A98,A98,$AB$6:AB98,"&gt;0")=1,1,""))</f>
        <v/>
      </c>
      <c r="AH98" s="70" t="str">
        <f>IF(AB98="","",ROUND(N(W98)*N(J98)*(1-N(K98)),2))</f>
        <v/>
      </c>
      <c r="AI98" s="70" t="str">
        <f>IF(OR(J98="",N(T98)&lt;=0,V98="Oui"),"",ROUND(N(T98)*J98*(1-N(K98)),2))</f>
        <v/>
      </c>
    </row>
    <row r="99">
      <c r="A99" s="63" t="n"/>
      <c r="B99" s="64" t="n"/>
      <c r="C99" s="65" t="n"/>
      <c r="D99" s="66" t="str">
        <f>IF(C99="","",IFERROR(INDEX(sup_name,MATCH($C99,sup_code,0))&amp;"","Fournisseur inconnu"))</f>
        <v/>
      </c>
      <c r="E99" s="63" t="n"/>
      <c r="F99" s="66" t="str">
        <f>IF(E99="","",IFERROR(INDEX(art_des,MATCH($E99,art_ref,0))&amp;"","Article inconnu"))</f>
        <v/>
      </c>
      <c r="G99" s="67" t="str">
        <f>IF(E99="","",IFERROR(INDEX(art_unit,MATCH($E99,art_ref,0))&amp;"",""))</f>
        <v/>
      </c>
      <c r="H99" s="68" t="n"/>
      <c r="I99" s="69" t="n"/>
      <c r="J99" s="70" t="str">
        <f>IF(E99="","",IF(ISNUMBER(I99),I99,IFERROR(IF(ISNUMBER(INDEX(art_price,MATCH($E99,art_ref,0))),INDEX(art_price,MATCH($E99,art_ref,0)),""),"")))</f>
        <v/>
      </c>
      <c r="K99" s="71" t="n"/>
      <c r="L99" s="72" t="n"/>
      <c r="M99" s="72" t="str">
        <f>IF(E99="","",IF(L99&lt;&gt;"",L99,IFERROR(IF(ISNUMBER(INDEX(art_tva,MATCH($E99,art_ref,0))),INDEX(art_tva,MATCH($E99,art_ref,0)),""),"")))</f>
        <v/>
      </c>
      <c r="N99" s="70" t="str">
        <f>IF(OR(E99="",J99=""),"",ROUND(N(H99)*J99*(1-N(K99)),2))</f>
        <v/>
      </c>
      <c r="O99" s="70" t="str">
        <f>IF(OR(N99="",NOT(ISNUMBER(M99))),"",ROUND(N99*M99,2))</f>
        <v/>
      </c>
      <c r="P99" s="70" t="str">
        <f>IF(N99="","",N99+N(O99))</f>
        <v/>
      </c>
      <c r="Q99" s="64" t="n"/>
      <c r="R99" s="73" t="str">
        <f>IF(N(Q99)&gt;0,Q99,IF(OR(N(B99)=0,ISNA(MATCH($C99,sup_code,0))),"",IF(ISNUMBER(INDEX(sup_delay,MATCH($C99,sup_code,0))),B99+INDEX(sup_delay,MATCH($C99,sup_code,0)),"")))</f>
        <v/>
      </c>
      <c r="S99" s="64" t="n"/>
      <c r="T99" s="68" t="n"/>
      <c r="U99" s="64" t="n"/>
      <c r="V99" s="65" t="n"/>
      <c r="W99" s="74" t="str">
        <f>IF(AND(A99="",E99=""),"",IF(V99="Oui",0,MAX(0,ROUND(N(H99)-N(T99),6))))</f>
        <v/>
      </c>
      <c r="X99" s="67" t="str">
        <f>IF(AND(A99="",E99=""),"",IF(V99="Oui","Annulé",IF(AND(N(H99)&gt;0,N(T99)&gt;=N(H99)),"Reçu",IF(N(S99)=0,"Brouillon",IF(AND(ISNUMBER(R99),R99&lt;p_today),"En retard",IF(N(T99)&gt;0,"Partiel","Envoyé"))))))</f>
        <v/>
      </c>
      <c r="Y99" s="75" t="str">
        <f>IF(X99="En retard",p_today-R99,IF(AND(X99="Reçu",ISNUMBER(R99)),MAX(0,N(U99)-R99),""))</f>
        <v/>
      </c>
      <c r="Z99" s="67" t="str">
        <f>IF(AND(A99="",E99=""),"",IF(A99="","N° de bon manquant",IF(N(B99)=0,"Date de commande manquante",IF(C99="","Fournisseur manquant",IF(ISNA(MATCH($C99,sup_code,0)),"Fournisseur inconnu",IF(E99="","Article manquant",IF(ISNA(MATCH($E99,art_ref,0)),"Article inconnu",IF(N(H99)&lt;=0,"Quantité invalide",IF(J99="","Prix manquant",IF(OR(N(K99)&lt;0,N(K99)&gt;=1),"Remise invalide",IF(M99="","TVA manquante",IF(ISNA(MATCH(M99,p_tva,0)),"Taux de TVA inconnu",IF(COUNTIFS(po_num,A99,po_sup,"&lt;&gt;"&amp;C99)&gt;0,"Fournisseur différent sur ce bon",IF(COUNTIFS(po_num,A99,po_date,"&lt;&gt;"&amp;B99)&gt;0,"Date différente sur ce bon",IF(COUNTIF(po_num,A99)&gt;25,"Plus de 25 lignes sur ce bon",IF(R99="","Date de livraison manquante",IF(R99&lt;B99,"Livraison avant la commande",IF(AND(N(T99)&gt;0,N(S99)=0),"Date d'envoi manquante",IF(N(T99)&gt;N(H99),"Reçu plus que commandé",IF(AND(N(T99)&gt;0,N(U99)=0),"Date de réception manquante",IF(AND(N(U99)&gt;0,U99&lt;B99),"Réception avant la commande","OK")))))))))))))))))))))</f>
        <v/>
      </c>
      <c r="AA99" s="66" t="str">
        <f>IF(AND(X99="Reçu",ISNUMBER(R99)),IF(N(U99)&lt;=R99,1,0),"")</f>
        <v/>
      </c>
      <c r="AB99" s="76" t="str">
        <f>IF(OR(X99="Envoyé",X99="Partiel",X99="En retard"),IF(ISNUMBER(R99),R99,100000)+ROW()/100000,"")</f>
        <v/>
      </c>
      <c r="AC99" s="66" t="str">
        <f>IF(A99="","",IF(COUNTIF($A$6:A99,A99)=1,1,""))</f>
        <v/>
      </c>
      <c r="AD99" s="66" t="str">
        <f>IF(AC99=1,COUNT($AC$6:AC99),"")</f>
        <v/>
      </c>
      <c r="AE99" s="66" t="str">
        <f>IFERROR(INDEX(po_num,MATCH(94,po_seq,0))&amp;"","")</f>
        <v/>
      </c>
      <c r="AF99" s="66" t="str">
        <f>IF(OR(A99="",p_po=""),"",IF(A99&amp;""=p_po,COUNTIF($A$6:A99,A99),""))</f>
        <v/>
      </c>
      <c r="AG99" s="66" t="str">
        <f>IF(OR(AB99="",A99=""),"",IF(COUNTIFS($A$6:A99,A99,$AB$6:AB99,"&gt;0")=1,1,""))</f>
        <v/>
      </c>
      <c r="AH99" s="70" t="str">
        <f>IF(AB99="","",ROUND(N(W99)*N(J99)*(1-N(K99)),2))</f>
        <v/>
      </c>
      <c r="AI99" s="70" t="str">
        <f>IF(OR(J99="",N(T99)&lt;=0,V99="Oui"),"",ROUND(N(T99)*J99*(1-N(K99)),2))</f>
        <v/>
      </c>
    </row>
    <row r="100">
      <c r="A100" s="63" t="n"/>
      <c r="B100" s="64" t="n"/>
      <c r="C100" s="65" t="n"/>
      <c r="D100" s="66" t="str">
        <f>IF(C100="","",IFERROR(INDEX(sup_name,MATCH($C100,sup_code,0))&amp;"","Fournisseur inconnu"))</f>
        <v/>
      </c>
      <c r="E100" s="63" t="n"/>
      <c r="F100" s="66" t="str">
        <f>IF(E100="","",IFERROR(INDEX(art_des,MATCH($E100,art_ref,0))&amp;"","Article inconnu"))</f>
        <v/>
      </c>
      <c r="G100" s="67" t="str">
        <f>IF(E100="","",IFERROR(INDEX(art_unit,MATCH($E100,art_ref,0))&amp;"",""))</f>
        <v/>
      </c>
      <c r="H100" s="68" t="n"/>
      <c r="I100" s="69" t="n"/>
      <c r="J100" s="70" t="str">
        <f>IF(E100="","",IF(ISNUMBER(I100),I100,IFERROR(IF(ISNUMBER(INDEX(art_price,MATCH($E100,art_ref,0))),INDEX(art_price,MATCH($E100,art_ref,0)),""),"")))</f>
        <v/>
      </c>
      <c r="K100" s="71" t="n"/>
      <c r="L100" s="72" t="n"/>
      <c r="M100" s="72" t="str">
        <f>IF(E100="","",IF(L100&lt;&gt;"",L100,IFERROR(IF(ISNUMBER(INDEX(art_tva,MATCH($E100,art_ref,0))),INDEX(art_tva,MATCH($E100,art_ref,0)),""),"")))</f>
        <v/>
      </c>
      <c r="N100" s="70" t="str">
        <f>IF(OR(E100="",J100=""),"",ROUND(N(H100)*J100*(1-N(K100)),2))</f>
        <v/>
      </c>
      <c r="O100" s="70" t="str">
        <f>IF(OR(N100="",NOT(ISNUMBER(M100))),"",ROUND(N100*M100,2))</f>
        <v/>
      </c>
      <c r="P100" s="70" t="str">
        <f>IF(N100="","",N100+N(O100))</f>
        <v/>
      </c>
      <c r="Q100" s="64" t="n"/>
      <c r="R100" s="73" t="str">
        <f>IF(N(Q100)&gt;0,Q100,IF(OR(N(B100)=0,ISNA(MATCH($C100,sup_code,0))),"",IF(ISNUMBER(INDEX(sup_delay,MATCH($C100,sup_code,0))),B100+INDEX(sup_delay,MATCH($C100,sup_code,0)),"")))</f>
        <v/>
      </c>
      <c r="S100" s="64" t="n"/>
      <c r="T100" s="68" t="n"/>
      <c r="U100" s="64" t="n"/>
      <c r="V100" s="65" t="n"/>
      <c r="W100" s="74" t="str">
        <f>IF(AND(A100="",E100=""),"",IF(V100="Oui",0,MAX(0,ROUND(N(H100)-N(T100),6))))</f>
        <v/>
      </c>
      <c r="X100" s="67" t="str">
        <f>IF(AND(A100="",E100=""),"",IF(V100="Oui","Annulé",IF(AND(N(H100)&gt;0,N(T100)&gt;=N(H100)),"Reçu",IF(N(S100)=0,"Brouillon",IF(AND(ISNUMBER(R100),R100&lt;p_today),"En retard",IF(N(T100)&gt;0,"Partiel","Envoyé"))))))</f>
        <v/>
      </c>
      <c r="Y100" s="75" t="str">
        <f>IF(X100="En retard",p_today-R100,IF(AND(X100="Reçu",ISNUMBER(R100)),MAX(0,N(U100)-R100),""))</f>
        <v/>
      </c>
      <c r="Z100" s="67" t="str">
        <f>IF(AND(A100="",E100=""),"",IF(A100="","N° de bon manquant",IF(N(B100)=0,"Date de commande manquante",IF(C100="","Fournisseur manquant",IF(ISNA(MATCH($C100,sup_code,0)),"Fournisseur inconnu",IF(E100="","Article manquant",IF(ISNA(MATCH($E100,art_ref,0)),"Article inconnu",IF(N(H100)&lt;=0,"Quantité invalide",IF(J100="","Prix manquant",IF(OR(N(K100)&lt;0,N(K100)&gt;=1),"Remise invalide",IF(M100="","TVA manquante",IF(ISNA(MATCH(M100,p_tva,0)),"Taux de TVA inconnu",IF(COUNTIFS(po_num,A100,po_sup,"&lt;&gt;"&amp;C100)&gt;0,"Fournisseur différent sur ce bon",IF(COUNTIFS(po_num,A100,po_date,"&lt;&gt;"&amp;B100)&gt;0,"Date différente sur ce bon",IF(COUNTIF(po_num,A100)&gt;25,"Plus de 25 lignes sur ce bon",IF(R100="","Date de livraison manquante",IF(R100&lt;B100,"Livraison avant la commande",IF(AND(N(T100)&gt;0,N(S100)=0),"Date d'envoi manquante",IF(N(T100)&gt;N(H100),"Reçu plus que commandé",IF(AND(N(T100)&gt;0,N(U100)=0),"Date de réception manquante",IF(AND(N(U100)&gt;0,U100&lt;B100),"Réception avant la commande","OK")))))))))))))))))))))</f>
        <v/>
      </c>
      <c r="AA100" s="66" t="str">
        <f>IF(AND(X100="Reçu",ISNUMBER(R100)),IF(N(U100)&lt;=R100,1,0),"")</f>
        <v/>
      </c>
      <c r="AB100" s="76" t="str">
        <f>IF(OR(X100="Envoyé",X100="Partiel",X100="En retard"),IF(ISNUMBER(R100),R100,100000)+ROW()/100000,"")</f>
        <v/>
      </c>
      <c r="AC100" s="66" t="str">
        <f>IF(A100="","",IF(COUNTIF($A$6:A100,A100)=1,1,""))</f>
        <v/>
      </c>
      <c r="AD100" s="66" t="str">
        <f>IF(AC100=1,COUNT($AC$6:AC100),"")</f>
        <v/>
      </c>
      <c r="AE100" s="66" t="str">
        <f>IFERROR(INDEX(po_num,MATCH(95,po_seq,0))&amp;"","")</f>
        <v/>
      </c>
      <c r="AF100" s="66" t="str">
        <f>IF(OR(A100="",p_po=""),"",IF(A100&amp;""=p_po,COUNTIF($A$6:A100,A100),""))</f>
        <v/>
      </c>
      <c r="AG100" s="66" t="str">
        <f>IF(OR(AB100="",A100=""),"",IF(COUNTIFS($A$6:A100,A100,$AB$6:AB100,"&gt;0")=1,1,""))</f>
        <v/>
      </c>
      <c r="AH100" s="70" t="str">
        <f>IF(AB100="","",ROUND(N(W100)*N(J100)*(1-N(K100)),2))</f>
        <v/>
      </c>
      <c r="AI100" s="70" t="str">
        <f>IF(OR(J100="",N(T100)&lt;=0,V100="Oui"),"",ROUND(N(T100)*J100*(1-N(K100)),2))</f>
        <v/>
      </c>
    </row>
    <row r="101">
      <c r="A101" s="63" t="n"/>
      <c r="B101" s="64" t="n"/>
      <c r="C101" s="65" t="n"/>
      <c r="D101" s="66" t="str">
        <f>IF(C101="","",IFERROR(INDEX(sup_name,MATCH($C101,sup_code,0))&amp;"","Fournisseur inconnu"))</f>
        <v/>
      </c>
      <c r="E101" s="63" t="n"/>
      <c r="F101" s="66" t="str">
        <f>IF(E101="","",IFERROR(INDEX(art_des,MATCH($E101,art_ref,0))&amp;"","Article inconnu"))</f>
        <v/>
      </c>
      <c r="G101" s="67" t="str">
        <f>IF(E101="","",IFERROR(INDEX(art_unit,MATCH($E101,art_ref,0))&amp;"",""))</f>
        <v/>
      </c>
      <c r="H101" s="68" t="n"/>
      <c r="I101" s="69" t="n"/>
      <c r="J101" s="70" t="str">
        <f>IF(E101="","",IF(ISNUMBER(I101),I101,IFERROR(IF(ISNUMBER(INDEX(art_price,MATCH($E101,art_ref,0))),INDEX(art_price,MATCH($E101,art_ref,0)),""),"")))</f>
        <v/>
      </c>
      <c r="K101" s="71" t="n"/>
      <c r="L101" s="72" t="n"/>
      <c r="M101" s="72" t="str">
        <f>IF(E101="","",IF(L101&lt;&gt;"",L101,IFERROR(IF(ISNUMBER(INDEX(art_tva,MATCH($E101,art_ref,0))),INDEX(art_tva,MATCH($E101,art_ref,0)),""),"")))</f>
        <v/>
      </c>
      <c r="N101" s="70" t="str">
        <f>IF(OR(E101="",J101=""),"",ROUND(N(H101)*J101*(1-N(K101)),2))</f>
        <v/>
      </c>
      <c r="O101" s="70" t="str">
        <f>IF(OR(N101="",NOT(ISNUMBER(M101))),"",ROUND(N101*M101,2))</f>
        <v/>
      </c>
      <c r="P101" s="70" t="str">
        <f>IF(N101="","",N101+N(O101))</f>
        <v/>
      </c>
      <c r="Q101" s="64" t="n"/>
      <c r="R101" s="73" t="str">
        <f>IF(N(Q101)&gt;0,Q101,IF(OR(N(B101)=0,ISNA(MATCH($C101,sup_code,0))),"",IF(ISNUMBER(INDEX(sup_delay,MATCH($C101,sup_code,0))),B101+INDEX(sup_delay,MATCH($C101,sup_code,0)),"")))</f>
        <v/>
      </c>
      <c r="S101" s="64" t="n"/>
      <c r="T101" s="68" t="n"/>
      <c r="U101" s="64" t="n"/>
      <c r="V101" s="65" t="n"/>
      <c r="W101" s="74" t="str">
        <f>IF(AND(A101="",E101=""),"",IF(V101="Oui",0,MAX(0,ROUND(N(H101)-N(T101),6))))</f>
        <v/>
      </c>
      <c r="X101" s="67" t="str">
        <f>IF(AND(A101="",E101=""),"",IF(V101="Oui","Annulé",IF(AND(N(H101)&gt;0,N(T101)&gt;=N(H101)),"Reçu",IF(N(S101)=0,"Brouillon",IF(AND(ISNUMBER(R101),R101&lt;p_today),"En retard",IF(N(T101)&gt;0,"Partiel","Envoyé"))))))</f>
        <v/>
      </c>
      <c r="Y101" s="75" t="str">
        <f>IF(X101="En retard",p_today-R101,IF(AND(X101="Reçu",ISNUMBER(R101)),MAX(0,N(U101)-R101),""))</f>
        <v/>
      </c>
      <c r="Z101" s="67" t="str">
        <f>IF(AND(A101="",E101=""),"",IF(A101="","N° de bon manquant",IF(N(B101)=0,"Date de commande manquante",IF(C101="","Fournisseur manquant",IF(ISNA(MATCH($C101,sup_code,0)),"Fournisseur inconnu",IF(E101="","Article manquant",IF(ISNA(MATCH($E101,art_ref,0)),"Article inconnu",IF(N(H101)&lt;=0,"Quantité invalide",IF(J101="","Prix manquant",IF(OR(N(K101)&lt;0,N(K101)&gt;=1),"Remise invalide",IF(M101="","TVA manquante",IF(ISNA(MATCH(M101,p_tva,0)),"Taux de TVA inconnu",IF(COUNTIFS(po_num,A101,po_sup,"&lt;&gt;"&amp;C101)&gt;0,"Fournisseur différent sur ce bon",IF(COUNTIFS(po_num,A101,po_date,"&lt;&gt;"&amp;B101)&gt;0,"Date différente sur ce bon",IF(COUNTIF(po_num,A101)&gt;25,"Plus de 25 lignes sur ce bon",IF(R101="","Date de livraison manquante",IF(R101&lt;B101,"Livraison avant la commande",IF(AND(N(T101)&gt;0,N(S101)=0),"Date d'envoi manquante",IF(N(T101)&gt;N(H101),"Reçu plus que commandé",IF(AND(N(T101)&gt;0,N(U101)=0),"Date de réception manquante",IF(AND(N(U101)&gt;0,U101&lt;B101),"Réception avant la commande","OK")))))))))))))))))))))</f>
        <v/>
      </c>
      <c r="AA101" s="66" t="str">
        <f>IF(AND(X101="Reçu",ISNUMBER(R101)),IF(N(U101)&lt;=R101,1,0),"")</f>
        <v/>
      </c>
      <c r="AB101" s="76" t="str">
        <f>IF(OR(X101="Envoyé",X101="Partiel",X101="En retard"),IF(ISNUMBER(R101),R101,100000)+ROW()/100000,"")</f>
        <v/>
      </c>
      <c r="AC101" s="66" t="str">
        <f>IF(A101="","",IF(COUNTIF($A$6:A101,A101)=1,1,""))</f>
        <v/>
      </c>
      <c r="AD101" s="66" t="str">
        <f>IF(AC101=1,COUNT($AC$6:AC101),"")</f>
        <v/>
      </c>
      <c r="AE101" s="66" t="str">
        <f>IFERROR(INDEX(po_num,MATCH(96,po_seq,0))&amp;"","")</f>
        <v/>
      </c>
      <c r="AF101" s="66" t="str">
        <f>IF(OR(A101="",p_po=""),"",IF(A101&amp;""=p_po,COUNTIF($A$6:A101,A101),""))</f>
        <v/>
      </c>
      <c r="AG101" s="66" t="str">
        <f>IF(OR(AB101="",A101=""),"",IF(COUNTIFS($A$6:A101,A101,$AB$6:AB101,"&gt;0")=1,1,""))</f>
        <v/>
      </c>
      <c r="AH101" s="70" t="str">
        <f>IF(AB101="","",ROUND(N(W101)*N(J101)*(1-N(K101)),2))</f>
        <v/>
      </c>
      <c r="AI101" s="70" t="str">
        <f>IF(OR(J101="",N(T101)&lt;=0,V101="Oui"),"",ROUND(N(T101)*J101*(1-N(K101)),2))</f>
        <v/>
      </c>
    </row>
    <row r="102">
      <c r="A102" s="63" t="n"/>
      <c r="B102" s="64" t="n"/>
      <c r="C102" s="65" t="n"/>
      <c r="D102" s="66" t="str">
        <f>IF(C102="","",IFERROR(INDEX(sup_name,MATCH($C102,sup_code,0))&amp;"","Fournisseur inconnu"))</f>
        <v/>
      </c>
      <c r="E102" s="63" t="n"/>
      <c r="F102" s="66" t="str">
        <f>IF(E102="","",IFERROR(INDEX(art_des,MATCH($E102,art_ref,0))&amp;"","Article inconnu"))</f>
        <v/>
      </c>
      <c r="G102" s="67" t="str">
        <f>IF(E102="","",IFERROR(INDEX(art_unit,MATCH($E102,art_ref,0))&amp;"",""))</f>
        <v/>
      </c>
      <c r="H102" s="68" t="n"/>
      <c r="I102" s="69" t="n"/>
      <c r="J102" s="70" t="str">
        <f>IF(E102="","",IF(ISNUMBER(I102),I102,IFERROR(IF(ISNUMBER(INDEX(art_price,MATCH($E102,art_ref,0))),INDEX(art_price,MATCH($E102,art_ref,0)),""),"")))</f>
        <v/>
      </c>
      <c r="K102" s="71" t="n"/>
      <c r="L102" s="72" t="n"/>
      <c r="M102" s="72" t="str">
        <f>IF(E102="","",IF(L102&lt;&gt;"",L102,IFERROR(IF(ISNUMBER(INDEX(art_tva,MATCH($E102,art_ref,0))),INDEX(art_tva,MATCH($E102,art_ref,0)),""),"")))</f>
        <v/>
      </c>
      <c r="N102" s="70" t="str">
        <f>IF(OR(E102="",J102=""),"",ROUND(N(H102)*J102*(1-N(K102)),2))</f>
        <v/>
      </c>
      <c r="O102" s="70" t="str">
        <f>IF(OR(N102="",NOT(ISNUMBER(M102))),"",ROUND(N102*M102,2))</f>
        <v/>
      </c>
      <c r="P102" s="70" t="str">
        <f>IF(N102="","",N102+N(O102))</f>
        <v/>
      </c>
      <c r="Q102" s="64" t="n"/>
      <c r="R102" s="73" t="str">
        <f>IF(N(Q102)&gt;0,Q102,IF(OR(N(B102)=0,ISNA(MATCH($C102,sup_code,0))),"",IF(ISNUMBER(INDEX(sup_delay,MATCH($C102,sup_code,0))),B102+INDEX(sup_delay,MATCH($C102,sup_code,0)),"")))</f>
        <v/>
      </c>
      <c r="S102" s="64" t="n"/>
      <c r="T102" s="68" t="n"/>
      <c r="U102" s="64" t="n"/>
      <c r="V102" s="65" t="n"/>
      <c r="W102" s="74" t="str">
        <f>IF(AND(A102="",E102=""),"",IF(V102="Oui",0,MAX(0,ROUND(N(H102)-N(T102),6))))</f>
        <v/>
      </c>
      <c r="X102" s="67" t="str">
        <f>IF(AND(A102="",E102=""),"",IF(V102="Oui","Annulé",IF(AND(N(H102)&gt;0,N(T102)&gt;=N(H102)),"Reçu",IF(N(S102)=0,"Brouillon",IF(AND(ISNUMBER(R102),R102&lt;p_today),"En retard",IF(N(T102)&gt;0,"Partiel","Envoyé"))))))</f>
        <v/>
      </c>
      <c r="Y102" s="75" t="str">
        <f>IF(X102="En retard",p_today-R102,IF(AND(X102="Reçu",ISNUMBER(R102)),MAX(0,N(U102)-R102),""))</f>
        <v/>
      </c>
      <c r="Z102" s="67" t="str">
        <f>IF(AND(A102="",E102=""),"",IF(A102="","N° de bon manquant",IF(N(B102)=0,"Date de commande manquante",IF(C102="","Fournisseur manquant",IF(ISNA(MATCH($C102,sup_code,0)),"Fournisseur inconnu",IF(E102="","Article manquant",IF(ISNA(MATCH($E102,art_ref,0)),"Article inconnu",IF(N(H102)&lt;=0,"Quantité invalide",IF(J102="","Prix manquant",IF(OR(N(K102)&lt;0,N(K102)&gt;=1),"Remise invalide",IF(M102="","TVA manquante",IF(ISNA(MATCH(M102,p_tva,0)),"Taux de TVA inconnu",IF(COUNTIFS(po_num,A102,po_sup,"&lt;&gt;"&amp;C102)&gt;0,"Fournisseur différent sur ce bon",IF(COUNTIFS(po_num,A102,po_date,"&lt;&gt;"&amp;B102)&gt;0,"Date différente sur ce bon",IF(COUNTIF(po_num,A102)&gt;25,"Plus de 25 lignes sur ce bon",IF(R102="","Date de livraison manquante",IF(R102&lt;B102,"Livraison avant la commande",IF(AND(N(T102)&gt;0,N(S102)=0),"Date d'envoi manquante",IF(N(T102)&gt;N(H102),"Reçu plus que commandé",IF(AND(N(T102)&gt;0,N(U102)=0),"Date de réception manquante",IF(AND(N(U102)&gt;0,U102&lt;B102),"Réception avant la commande","OK")))))))))))))))))))))</f>
        <v/>
      </c>
      <c r="AA102" s="66" t="str">
        <f>IF(AND(X102="Reçu",ISNUMBER(R102)),IF(N(U102)&lt;=R102,1,0),"")</f>
        <v/>
      </c>
      <c r="AB102" s="76" t="str">
        <f>IF(OR(X102="Envoyé",X102="Partiel",X102="En retard"),IF(ISNUMBER(R102),R102,100000)+ROW()/100000,"")</f>
        <v/>
      </c>
      <c r="AC102" s="66" t="str">
        <f>IF(A102="","",IF(COUNTIF($A$6:A102,A102)=1,1,""))</f>
        <v/>
      </c>
      <c r="AD102" s="66" t="str">
        <f>IF(AC102=1,COUNT($AC$6:AC102),"")</f>
        <v/>
      </c>
      <c r="AE102" s="66" t="str">
        <f>IFERROR(INDEX(po_num,MATCH(97,po_seq,0))&amp;"","")</f>
        <v/>
      </c>
      <c r="AF102" s="66" t="str">
        <f>IF(OR(A102="",p_po=""),"",IF(A102&amp;""=p_po,COUNTIF($A$6:A102,A102),""))</f>
        <v/>
      </c>
      <c r="AG102" s="66" t="str">
        <f>IF(OR(AB102="",A102=""),"",IF(COUNTIFS($A$6:A102,A102,$AB$6:AB102,"&gt;0")=1,1,""))</f>
        <v/>
      </c>
      <c r="AH102" s="70" t="str">
        <f>IF(AB102="","",ROUND(N(W102)*N(J102)*(1-N(K102)),2))</f>
        <v/>
      </c>
      <c r="AI102" s="70" t="str">
        <f>IF(OR(J102="",N(T102)&lt;=0,V102="Oui"),"",ROUND(N(T102)*J102*(1-N(K102)),2))</f>
        <v/>
      </c>
    </row>
    <row r="103">
      <c r="A103" s="63" t="n"/>
      <c r="B103" s="64" t="n"/>
      <c r="C103" s="65" t="n"/>
      <c r="D103" s="66" t="str">
        <f>IF(C103="","",IFERROR(INDEX(sup_name,MATCH($C103,sup_code,0))&amp;"","Fournisseur inconnu"))</f>
        <v/>
      </c>
      <c r="E103" s="63" t="n"/>
      <c r="F103" s="66" t="str">
        <f>IF(E103="","",IFERROR(INDEX(art_des,MATCH($E103,art_ref,0))&amp;"","Article inconnu"))</f>
        <v/>
      </c>
      <c r="G103" s="67" t="str">
        <f>IF(E103="","",IFERROR(INDEX(art_unit,MATCH($E103,art_ref,0))&amp;"",""))</f>
        <v/>
      </c>
      <c r="H103" s="68" t="n"/>
      <c r="I103" s="69" t="n"/>
      <c r="J103" s="70" t="str">
        <f>IF(E103="","",IF(ISNUMBER(I103),I103,IFERROR(IF(ISNUMBER(INDEX(art_price,MATCH($E103,art_ref,0))),INDEX(art_price,MATCH($E103,art_ref,0)),""),"")))</f>
        <v/>
      </c>
      <c r="K103" s="71" t="n"/>
      <c r="L103" s="72" t="n"/>
      <c r="M103" s="72" t="str">
        <f>IF(E103="","",IF(L103&lt;&gt;"",L103,IFERROR(IF(ISNUMBER(INDEX(art_tva,MATCH($E103,art_ref,0))),INDEX(art_tva,MATCH($E103,art_ref,0)),""),"")))</f>
        <v/>
      </c>
      <c r="N103" s="70" t="str">
        <f>IF(OR(E103="",J103=""),"",ROUND(N(H103)*J103*(1-N(K103)),2))</f>
        <v/>
      </c>
      <c r="O103" s="70" t="str">
        <f>IF(OR(N103="",NOT(ISNUMBER(M103))),"",ROUND(N103*M103,2))</f>
        <v/>
      </c>
      <c r="P103" s="70" t="str">
        <f>IF(N103="","",N103+N(O103))</f>
        <v/>
      </c>
      <c r="Q103" s="64" t="n"/>
      <c r="R103" s="73" t="str">
        <f>IF(N(Q103)&gt;0,Q103,IF(OR(N(B103)=0,ISNA(MATCH($C103,sup_code,0))),"",IF(ISNUMBER(INDEX(sup_delay,MATCH($C103,sup_code,0))),B103+INDEX(sup_delay,MATCH($C103,sup_code,0)),"")))</f>
        <v/>
      </c>
      <c r="S103" s="64" t="n"/>
      <c r="T103" s="68" t="n"/>
      <c r="U103" s="64" t="n"/>
      <c r="V103" s="65" t="n"/>
      <c r="W103" s="74" t="str">
        <f>IF(AND(A103="",E103=""),"",IF(V103="Oui",0,MAX(0,ROUND(N(H103)-N(T103),6))))</f>
        <v/>
      </c>
      <c r="X103" s="67" t="str">
        <f>IF(AND(A103="",E103=""),"",IF(V103="Oui","Annulé",IF(AND(N(H103)&gt;0,N(T103)&gt;=N(H103)),"Reçu",IF(N(S103)=0,"Brouillon",IF(AND(ISNUMBER(R103),R103&lt;p_today),"En retard",IF(N(T103)&gt;0,"Partiel","Envoyé"))))))</f>
        <v/>
      </c>
      <c r="Y103" s="75" t="str">
        <f>IF(X103="En retard",p_today-R103,IF(AND(X103="Reçu",ISNUMBER(R103)),MAX(0,N(U103)-R103),""))</f>
        <v/>
      </c>
      <c r="Z103" s="67" t="str">
        <f>IF(AND(A103="",E103=""),"",IF(A103="","N° de bon manquant",IF(N(B103)=0,"Date de commande manquante",IF(C103="","Fournisseur manquant",IF(ISNA(MATCH($C103,sup_code,0)),"Fournisseur inconnu",IF(E103="","Article manquant",IF(ISNA(MATCH($E103,art_ref,0)),"Article inconnu",IF(N(H103)&lt;=0,"Quantité invalide",IF(J103="","Prix manquant",IF(OR(N(K103)&lt;0,N(K103)&gt;=1),"Remise invalide",IF(M103="","TVA manquante",IF(ISNA(MATCH(M103,p_tva,0)),"Taux de TVA inconnu",IF(COUNTIFS(po_num,A103,po_sup,"&lt;&gt;"&amp;C103)&gt;0,"Fournisseur différent sur ce bon",IF(COUNTIFS(po_num,A103,po_date,"&lt;&gt;"&amp;B103)&gt;0,"Date différente sur ce bon",IF(COUNTIF(po_num,A103)&gt;25,"Plus de 25 lignes sur ce bon",IF(R103="","Date de livraison manquante",IF(R103&lt;B103,"Livraison avant la commande",IF(AND(N(T103)&gt;0,N(S103)=0),"Date d'envoi manquante",IF(N(T103)&gt;N(H103),"Reçu plus que commandé",IF(AND(N(T103)&gt;0,N(U103)=0),"Date de réception manquante",IF(AND(N(U103)&gt;0,U103&lt;B103),"Réception avant la commande","OK")))))))))))))))))))))</f>
        <v/>
      </c>
      <c r="AA103" s="66" t="str">
        <f>IF(AND(X103="Reçu",ISNUMBER(R103)),IF(N(U103)&lt;=R103,1,0),"")</f>
        <v/>
      </c>
      <c r="AB103" s="76" t="str">
        <f>IF(OR(X103="Envoyé",X103="Partiel",X103="En retard"),IF(ISNUMBER(R103),R103,100000)+ROW()/100000,"")</f>
        <v/>
      </c>
      <c r="AC103" s="66" t="str">
        <f>IF(A103="","",IF(COUNTIF($A$6:A103,A103)=1,1,""))</f>
        <v/>
      </c>
      <c r="AD103" s="66" t="str">
        <f>IF(AC103=1,COUNT($AC$6:AC103),"")</f>
        <v/>
      </c>
      <c r="AE103" s="66" t="str">
        <f>IFERROR(INDEX(po_num,MATCH(98,po_seq,0))&amp;"","")</f>
        <v/>
      </c>
      <c r="AF103" s="66" t="str">
        <f>IF(OR(A103="",p_po=""),"",IF(A103&amp;""=p_po,COUNTIF($A$6:A103,A103),""))</f>
        <v/>
      </c>
      <c r="AG103" s="66" t="str">
        <f>IF(OR(AB103="",A103=""),"",IF(COUNTIFS($A$6:A103,A103,$AB$6:AB103,"&gt;0")=1,1,""))</f>
        <v/>
      </c>
      <c r="AH103" s="70" t="str">
        <f>IF(AB103="","",ROUND(N(W103)*N(J103)*(1-N(K103)),2))</f>
        <v/>
      </c>
      <c r="AI103" s="70" t="str">
        <f>IF(OR(J103="",N(T103)&lt;=0,V103="Oui"),"",ROUND(N(T103)*J103*(1-N(K103)),2))</f>
        <v/>
      </c>
    </row>
    <row r="104">
      <c r="A104" s="63" t="n"/>
      <c r="B104" s="64" t="n"/>
      <c r="C104" s="65" t="n"/>
      <c r="D104" s="66" t="str">
        <f>IF(C104="","",IFERROR(INDEX(sup_name,MATCH($C104,sup_code,0))&amp;"","Fournisseur inconnu"))</f>
        <v/>
      </c>
      <c r="E104" s="63" t="n"/>
      <c r="F104" s="66" t="str">
        <f>IF(E104="","",IFERROR(INDEX(art_des,MATCH($E104,art_ref,0))&amp;"","Article inconnu"))</f>
        <v/>
      </c>
      <c r="G104" s="67" t="str">
        <f>IF(E104="","",IFERROR(INDEX(art_unit,MATCH($E104,art_ref,0))&amp;"",""))</f>
        <v/>
      </c>
      <c r="H104" s="68" t="n"/>
      <c r="I104" s="69" t="n"/>
      <c r="J104" s="70" t="str">
        <f>IF(E104="","",IF(ISNUMBER(I104),I104,IFERROR(IF(ISNUMBER(INDEX(art_price,MATCH($E104,art_ref,0))),INDEX(art_price,MATCH($E104,art_ref,0)),""),"")))</f>
        <v/>
      </c>
      <c r="K104" s="71" t="n"/>
      <c r="L104" s="72" t="n"/>
      <c r="M104" s="72" t="str">
        <f>IF(E104="","",IF(L104&lt;&gt;"",L104,IFERROR(IF(ISNUMBER(INDEX(art_tva,MATCH($E104,art_ref,0))),INDEX(art_tva,MATCH($E104,art_ref,0)),""),"")))</f>
        <v/>
      </c>
      <c r="N104" s="70" t="str">
        <f>IF(OR(E104="",J104=""),"",ROUND(N(H104)*J104*(1-N(K104)),2))</f>
        <v/>
      </c>
      <c r="O104" s="70" t="str">
        <f>IF(OR(N104="",NOT(ISNUMBER(M104))),"",ROUND(N104*M104,2))</f>
        <v/>
      </c>
      <c r="P104" s="70" t="str">
        <f>IF(N104="","",N104+N(O104))</f>
        <v/>
      </c>
      <c r="Q104" s="64" t="n"/>
      <c r="R104" s="73" t="str">
        <f>IF(N(Q104)&gt;0,Q104,IF(OR(N(B104)=0,ISNA(MATCH($C104,sup_code,0))),"",IF(ISNUMBER(INDEX(sup_delay,MATCH($C104,sup_code,0))),B104+INDEX(sup_delay,MATCH($C104,sup_code,0)),"")))</f>
        <v/>
      </c>
      <c r="S104" s="64" t="n"/>
      <c r="T104" s="68" t="n"/>
      <c r="U104" s="64" t="n"/>
      <c r="V104" s="65" t="n"/>
      <c r="W104" s="74" t="str">
        <f>IF(AND(A104="",E104=""),"",IF(V104="Oui",0,MAX(0,ROUND(N(H104)-N(T104),6))))</f>
        <v/>
      </c>
      <c r="X104" s="67" t="str">
        <f>IF(AND(A104="",E104=""),"",IF(V104="Oui","Annulé",IF(AND(N(H104)&gt;0,N(T104)&gt;=N(H104)),"Reçu",IF(N(S104)=0,"Brouillon",IF(AND(ISNUMBER(R104),R104&lt;p_today),"En retard",IF(N(T104)&gt;0,"Partiel","Envoyé"))))))</f>
        <v/>
      </c>
      <c r="Y104" s="75" t="str">
        <f>IF(X104="En retard",p_today-R104,IF(AND(X104="Reçu",ISNUMBER(R104)),MAX(0,N(U104)-R104),""))</f>
        <v/>
      </c>
      <c r="Z104" s="67" t="str">
        <f>IF(AND(A104="",E104=""),"",IF(A104="","N° de bon manquant",IF(N(B104)=0,"Date de commande manquante",IF(C104="","Fournisseur manquant",IF(ISNA(MATCH($C104,sup_code,0)),"Fournisseur inconnu",IF(E104="","Article manquant",IF(ISNA(MATCH($E104,art_ref,0)),"Article inconnu",IF(N(H104)&lt;=0,"Quantité invalide",IF(J104="","Prix manquant",IF(OR(N(K104)&lt;0,N(K104)&gt;=1),"Remise invalide",IF(M104="","TVA manquante",IF(ISNA(MATCH(M104,p_tva,0)),"Taux de TVA inconnu",IF(COUNTIFS(po_num,A104,po_sup,"&lt;&gt;"&amp;C104)&gt;0,"Fournisseur différent sur ce bon",IF(COUNTIFS(po_num,A104,po_date,"&lt;&gt;"&amp;B104)&gt;0,"Date différente sur ce bon",IF(COUNTIF(po_num,A104)&gt;25,"Plus de 25 lignes sur ce bon",IF(R104="","Date de livraison manquante",IF(R104&lt;B104,"Livraison avant la commande",IF(AND(N(T104)&gt;0,N(S104)=0),"Date d'envoi manquante",IF(N(T104)&gt;N(H104),"Reçu plus que commandé",IF(AND(N(T104)&gt;0,N(U104)=0),"Date de réception manquante",IF(AND(N(U104)&gt;0,U104&lt;B104),"Réception avant la commande","OK")))))))))))))))))))))</f>
        <v/>
      </c>
      <c r="AA104" s="66" t="str">
        <f>IF(AND(X104="Reçu",ISNUMBER(R104)),IF(N(U104)&lt;=R104,1,0),"")</f>
        <v/>
      </c>
      <c r="AB104" s="76" t="str">
        <f>IF(OR(X104="Envoyé",X104="Partiel",X104="En retard"),IF(ISNUMBER(R104),R104,100000)+ROW()/100000,"")</f>
        <v/>
      </c>
      <c r="AC104" s="66" t="str">
        <f>IF(A104="","",IF(COUNTIF($A$6:A104,A104)=1,1,""))</f>
        <v/>
      </c>
      <c r="AD104" s="66" t="str">
        <f>IF(AC104=1,COUNT($AC$6:AC104),"")</f>
        <v/>
      </c>
      <c r="AE104" s="66" t="str">
        <f>IFERROR(INDEX(po_num,MATCH(99,po_seq,0))&amp;"","")</f>
        <v/>
      </c>
      <c r="AF104" s="66" t="str">
        <f>IF(OR(A104="",p_po=""),"",IF(A104&amp;""=p_po,COUNTIF($A$6:A104,A104),""))</f>
        <v/>
      </c>
      <c r="AG104" s="66" t="str">
        <f>IF(OR(AB104="",A104=""),"",IF(COUNTIFS($A$6:A104,A104,$AB$6:AB104,"&gt;0")=1,1,""))</f>
        <v/>
      </c>
      <c r="AH104" s="70" t="str">
        <f>IF(AB104="","",ROUND(N(W104)*N(J104)*(1-N(K104)),2))</f>
        <v/>
      </c>
      <c r="AI104" s="70" t="str">
        <f>IF(OR(J104="",N(T104)&lt;=0,V104="Oui"),"",ROUND(N(T104)*J104*(1-N(K104)),2))</f>
        <v/>
      </c>
    </row>
    <row r="105">
      <c r="A105" s="63" t="n"/>
      <c r="B105" s="64" t="n"/>
      <c r="C105" s="65" t="n"/>
      <c r="D105" s="66" t="str">
        <f>IF(C105="","",IFERROR(INDEX(sup_name,MATCH($C105,sup_code,0))&amp;"","Fournisseur inconnu"))</f>
        <v/>
      </c>
      <c r="E105" s="63" t="n"/>
      <c r="F105" s="66" t="str">
        <f>IF(E105="","",IFERROR(INDEX(art_des,MATCH($E105,art_ref,0))&amp;"","Article inconnu"))</f>
        <v/>
      </c>
      <c r="G105" s="67" t="str">
        <f>IF(E105="","",IFERROR(INDEX(art_unit,MATCH($E105,art_ref,0))&amp;"",""))</f>
        <v/>
      </c>
      <c r="H105" s="68" t="n"/>
      <c r="I105" s="69" t="n"/>
      <c r="J105" s="70" t="str">
        <f>IF(E105="","",IF(ISNUMBER(I105),I105,IFERROR(IF(ISNUMBER(INDEX(art_price,MATCH($E105,art_ref,0))),INDEX(art_price,MATCH($E105,art_ref,0)),""),"")))</f>
        <v/>
      </c>
      <c r="K105" s="71" t="n"/>
      <c r="L105" s="72" t="n"/>
      <c r="M105" s="72" t="str">
        <f>IF(E105="","",IF(L105&lt;&gt;"",L105,IFERROR(IF(ISNUMBER(INDEX(art_tva,MATCH($E105,art_ref,0))),INDEX(art_tva,MATCH($E105,art_ref,0)),""),"")))</f>
        <v/>
      </c>
      <c r="N105" s="70" t="str">
        <f>IF(OR(E105="",J105=""),"",ROUND(N(H105)*J105*(1-N(K105)),2))</f>
        <v/>
      </c>
      <c r="O105" s="70" t="str">
        <f>IF(OR(N105="",NOT(ISNUMBER(M105))),"",ROUND(N105*M105,2))</f>
        <v/>
      </c>
      <c r="P105" s="70" t="str">
        <f>IF(N105="","",N105+N(O105))</f>
        <v/>
      </c>
      <c r="Q105" s="64" t="n"/>
      <c r="R105" s="73" t="str">
        <f>IF(N(Q105)&gt;0,Q105,IF(OR(N(B105)=0,ISNA(MATCH($C105,sup_code,0))),"",IF(ISNUMBER(INDEX(sup_delay,MATCH($C105,sup_code,0))),B105+INDEX(sup_delay,MATCH($C105,sup_code,0)),"")))</f>
        <v/>
      </c>
      <c r="S105" s="64" t="n"/>
      <c r="T105" s="68" t="n"/>
      <c r="U105" s="64" t="n"/>
      <c r="V105" s="65" t="n"/>
      <c r="W105" s="74" t="str">
        <f>IF(AND(A105="",E105=""),"",IF(V105="Oui",0,MAX(0,ROUND(N(H105)-N(T105),6))))</f>
        <v/>
      </c>
      <c r="X105" s="67" t="str">
        <f>IF(AND(A105="",E105=""),"",IF(V105="Oui","Annulé",IF(AND(N(H105)&gt;0,N(T105)&gt;=N(H105)),"Reçu",IF(N(S105)=0,"Brouillon",IF(AND(ISNUMBER(R105),R105&lt;p_today),"En retard",IF(N(T105)&gt;0,"Partiel","Envoyé"))))))</f>
        <v/>
      </c>
      <c r="Y105" s="75" t="str">
        <f>IF(X105="En retard",p_today-R105,IF(AND(X105="Reçu",ISNUMBER(R105)),MAX(0,N(U105)-R105),""))</f>
        <v/>
      </c>
      <c r="Z105" s="67" t="str">
        <f>IF(AND(A105="",E105=""),"",IF(A105="","N° de bon manquant",IF(N(B105)=0,"Date de commande manquante",IF(C105="","Fournisseur manquant",IF(ISNA(MATCH($C105,sup_code,0)),"Fournisseur inconnu",IF(E105="","Article manquant",IF(ISNA(MATCH($E105,art_ref,0)),"Article inconnu",IF(N(H105)&lt;=0,"Quantité invalide",IF(J105="","Prix manquant",IF(OR(N(K105)&lt;0,N(K105)&gt;=1),"Remise invalide",IF(M105="","TVA manquante",IF(ISNA(MATCH(M105,p_tva,0)),"Taux de TVA inconnu",IF(COUNTIFS(po_num,A105,po_sup,"&lt;&gt;"&amp;C105)&gt;0,"Fournisseur différent sur ce bon",IF(COUNTIFS(po_num,A105,po_date,"&lt;&gt;"&amp;B105)&gt;0,"Date différente sur ce bon",IF(COUNTIF(po_num,A105)&gt;25,"Plus de 25 lignes sur ce bon",IF(R105="","Date de livraison manquante",IF(R105&lt;B105,"Livraison avant la commande",IF(AND(N(T105)&gt;0,N(S105)=0),"Date d'envoi manquante",IF(N(T105)&gt;N(H105),"Reçu plus que commandé",IF(AND(N(T105)&gt;0,N(U105)=0),"Date de réception manquante",IF(AND(N(U105)&gt;0,U105&lt;B105),"Réception avant la commande","OK")))))))))))))))))))))</f>
        <v/>
      </c>
      <c r="AA105" s="66" t="str">
        <f>IF(AND(X105="Reçu",ISNUMBER(R105)),IF(N(U105)&lt;=R105,1,0),"")</f>
        <v/>
      </c>
      <c r="AB105" s="76" t="str">
        <f>IF(OR(X105="Envoyé",X105="Partiel",X105="En retard"),IF(ISNUMBER(R105),R105,100000)+ROW()/100000,"")</f>
        <v/>
      </c>
      <c r="AC105" s="66" t="str">
        <f>IF(A105="","",IF(COUNTIF($A$6:A105,A105)=1,1,""))</f>
        <v/>
      </c>
      <c r="AD105" s="66" t="str">
        <f>IF(AC105=1,COUNT($AC$6:AC105),"")</f>
        <v/>
      </c>
      <c r="AE105" s="66" t="str">
        <f>IFERROR(INDEX(po_num,MATCH(100,po_seq,0))&amp;"","")</f>
        <v/>
      </c>
      <c r="AF105" s="66" t="str">
        <f>IF(OR(A105="",p_po=""),"",IF(A105&amp;""=p_po,COUNTIF($A$6:A105,A105),""))</f>
        <v/>
      </c>
      <c r="AG105" s="66" t="str">
        <f>IF(OR(AB105="",A105=""),"",IF(COUNTIFS($A$6:A105,A105,$AB$6:AB105,"&gt;0")=1,1,""))</f>
        <v/>
      </c>
      <c r="AH105" s="70" t="str">
        <f>IF(AB105="","",ROUND(N(W105)*N(J105)*(1-N(K105)),2))</f>
        <v/>
      </c>
      <c r="AI105" s="70" t="str">
        <f>IF(OR(J105="",N(T105)&lt;=0,V105="Oui"),"",ROUND(N(T105)*J105*(1-N(K105)),2))</f>
        <v/>
      </c>
    </row>
    <row r="106">
      <c r="A106" s="63" t="n"/>
      <c r="B106" s="64" t="n"/>
      <c r="C106" s="65" t="n"/>
      <c r="D106" s="66" t="str">
        <f>IF(C106="","",IFERROR(INDEX(sup_name,MATCH($C106,sup_code,0))&amp;"","Fournisseur inconnu"))</f>
        <v/>
      </c>
      <c r="E106" s="63" t="n"/>
      <c r="F106" s="66" t="str">
        <f>IF(E106="","",IFERROR(INDEX(art_des,MATCH($E106,art_ref,0))&amp;"","Article inconnu"))</f>
        <v/>
      </c>
      <c r="G106" s="67" t="str">
        <f>IF(E106="","",IFERROR(INDEX(art_unit,MATCH($E106,art_ref,0))&amp;"",""))</f>
        <v/>
      </c>
      <c r="H106" s="68" t="n"/>
      <c r="I106" s="69" t="n"/>
      <c r="J106" s="70" t="str">
        <f>IF(E106="","",IF(ISNUMBER(I106),I106,IFERROR(IF(ISNUMBER(INDEX(art_price,MATCH($E106,art_ref,0))),INDEX(art_price,MATCH($E106,art_ref,0)),""),"")))</f>
        <v/>
      </c>
      <c r="K106" s="71" t="n"/>
      <c r="L106" s="72" t="n"/>
      <c r="M106" s="72" t="str">
        <f>IF(E106="","",IF(L106&lt;&gt;"",L106,IFERROR(IF(ISNUMBER(INDEX(art_tva,MATCH($E106,art_ref,0))),INDEX(art_tva,MATCH($E106,art_ref,0)),""),"")))</f>
        <v/>
      </c>
      <c r="N106" s="70" t="str">
        <f>IF(OR(E106="",J106=""),"",ROUND(N(H106)*J106*(1-N(K106)),2))</f>
        <v/>
      </c>
      <c r="O106" s="70" t="str">
        <f>IF(OR(N106="",NOT(ISNUMBER(M106))),"",ROUND(N106*M106,2))</f>
        <v/>
      </c>
      <c r="P106" s="70" t="str">
        <f>IF(N106="","",N106+N(O106))</f>
        <v/>
      </c>
      <c r="Q106" s="64" t="n"/>
      <c r="R106" s="73" t="str">
        <f>IF(N(Q106)&gt;0,Q106,IF(OR(N(B106)=0,ISNA(MATCH($C106,sup_code,0))),"",IF(ISNUMBER(INDEX(sup_delay,MATCH($C106,sup_code,0))),B106+INDEX(sup_delay,MATCH($C106,sup_code,0)),"")))</f>
        <v/>
      </c>
      <c r="S106" s="64" t="n"/>
      <c r="T106" s="68" t="n"/>
      <c r="U106" s="64" t="n"/>
      <c r="V106" s="65" t="n"/>
      <c r="W106" s="74" t="str">
        <f>IF(AND(A106="",E106=""),"",IF(V106="Oui",0,MAX(0,ROUND(N(H106)-N(T106),6))))</f>
        <v/>
      </c>
      <c r="X106" s="67" t="str">
        <f>IF(AND(A106="",E106=""),"",IF(V106="Oui","Annulé",IF(AND(N(H106)&gt;0,N(T106)&gt;=N(H106)),"Reçu",IF(N(S106)=0,"Brouillon",IF(AND(ISNUMBER(R106),R106&lt;p_today),"En retard",IF(N(T106)&gt;0,"Partiel","Envoyé"))))))</f>
        <v/>
      </c>
      <c r="Y106" s="75" t="str">
        <f>IF(X106="En retard",p_today-R106,IF(AND(X106="Reçu",ISNUMBER(R106)),MAX(0,N(U106)-R106),""))</f>
        <v/>
      </c>
      <c r="Z106" s="67" t="str">
        <f>IF(AND(A106="",E106=""),"",IF(A106="","N° de bon manquant",IF(N(B106)=0,"Date de commande manquante",IF(C106="","Fournisseur manquant",IF(ISNA(MATCH($C106,sup_code,0)),"Fournisseur inconnu",IF(E106="","Article manquant",IF(ISNA(MATCH($E106,art_ref,0)),"Article inconnu",IF(N(H106)&lt;=0,"Quantité invalide",IF(J106="","Prix manquant",IF(OR(N(K106)&lt;0,N(K106)&gt;=1),"Remise invalide",IF(M106="","TVA manquante",IF(ISNA(MATCH(M106,p_tva,0)),"Taux de TVA inconnu",IF(COUNTIFS(po_num,A106,po_sup,"&lt;&gt;"&amp;C106)&gt;0,"Fournisseur différent sur ce bon",IF(COUNTIFS(po_num,A106,po_date,"&lt;&gt;"&amp;B106)&gt;0,"Date différente sur ce bon",IF(COUNTIF(po_num,A106)&gt;25,"Plus de 25 lignes sur ce bon",IF(R106="","Date de livraison manquante",IF(R106&lt;B106,"Livraison avant la commande",IF(AND(N(T106)&gt;0,N(S106)=0),"Date d'envoi manquante",IF(N(T106)&gt;N(H106),"Reçu plus que commandé",IF(AND(N(T106)&gt;0,N(U106)=0),"Date de réception manquante",IF(AND(N(U106)&gt;0,U106&lt;B106),"Réception avant la commande","OK")))))))))))))))))))))</f>
        <v/>
      </c>
      <c r="AA106" s="66" t="str">
        <f>IF(AND(X106="Reçu",ISNUMBER(R106)),IF(N(U106)&lt;=R106,1,0),"")</f>
        <v/>
      </c>
      <c r="AB106" s="76" t="str">
        <f>IF(OR(X106="Envoyé",X106="Partiel",X106="En retard"),IF(ISNUMBER(R106),R106,100000)+ROW()/100000,"")</f>
        <v/>
      </c>
      <c r="AC106" s="66" t="str">
        <f>IF(A106="","",IF(COUNTIF($A$6:A106,A106)=1,1,""))</f>
        <v/>
      </c>
      <c r="AD106" s="66" t="str">
        <f>IF(AC106=1,COUNT($AC$6:AC106),"")</f>
        <v/>
      </c>
      <c r="AE106" s="66" t="str">
        <f>IFERROR(INDEX(po_num,MATCH(101,po_seq,0))&amp;"","")</f>
        <v/>
      </c>
      <c r="AF106" s="66" t="str">
        <f>IF(OR(A106="",p_po=""),"",IF(A106&amp;""=p_po,COUNTIF($A$6:A106,A106),""))</f>
        <v/>
      </c>
      <c r="AG106" s="66" t="str">
        <f>IF(OR(AB106="",A106=""),"",IF(COUNTIFS($A$6:A106,A106,$AB$6:AB106,"&gt;0")=1,1,""))</f>
        <v/>
      </c>
      <c r="AH106" s="70" t="str">
        <f>IF(AB106="","",ROUND(N(W106)*N(J106)*(1-N(K106)),2))</f>
        <v/>
      </c>
      <c r="AI106" s="70" t="str">
        <f>IF(OR(J106="",N(T106)&lt;=0,V106="Oui"),"",ROUND(N(T106)*J106*(1-N(K106)),2))</f>
        <v/>
      </c>
    </row>
    <row r="107">
      <c r="A107" s="63" t="n"/>
      <c r="B107" s="64" t="n"/>
      <c r="C107" s="65" t="n"/>
      <c r="D107" s="66" t="str">
        <f>IF(C107="","",IFERROR(INDEX(sup_name,MATCH($C107,sup_code,0))&amp;"","Fournisseur inconnu"))</f>
        <v/>
      </c>
      <c r="E107" s="63" t="n"/>
      <c r="F107" s="66" t="str">
        <f>IF(E107="","",IFERROR(INDEX(art_des,MATCH($E107,art_ref,0))&amp;"","Article inconnu"))</f>
        <v/>
      </c>
      <c r="G107" s="67" t="str">
        <f>IF(E107="","",IFERROR(INDEX(art_unit,MATCH($E107,art_ref,0))&amp;"",""))</f>
        <v/>
      </c>
      <c r="H107" s="68" t="n"/>
      <c r="I107" s="69" t="n"/>
      <c r="J107" s="70" t="str">
        <f>IF(E107="","",IF(ISNUMBER(I107),I107,IFERROR(IF(ISNUMBER(INDEX(art_price,MATCH($E107,art_ref,0))),INDEX(art_price,MATCH($E107,art_ref,0)),""),"")))</f>
        <v/>
      </c>
      <c r="K107" s="71" t="n"/>
      <c r="L107" s="72" t="n"/>
      <c r="M107" s="72" t="str">
        <f>IF(E107="","",IF(L107&lt;&gt;"",L107,IFERROR(IF(ISNUMBER(INDEX(art_tva,MATCH($E107,art_ref,0))),INDEX(art_tva,MATCH($E107,art_ref,0)),""),"")))</f>
        <v/>
      </c>
      <c r="N107" s="70" t="str">
        <f>IF(OR(E107="",J107=""),"",ROUND(N(H107)*J107*(1-N(K107)),2))</f>
        <v/>
      </c>
      <c r="O107" s="70" t="str">
        <f>IF(OR(N107="",NOT(ISNUMBER(M107))),"",ROUND(N107*M107,2))</f>
        <v/>
      </c>
      <c r="P107" s="70" t="str">
        <f>IF(N107="","",N107+N(O107))</f>
        <v/>
      </c>
      <c r="Q107" s="64" t="n"/>
      <c r="R107" s="73" t="str">
        <f>IF(N(Q107)&gt;0,Q107,IF(OR(N(B107)=0,ISNA(MATCH($C107,sup_code,0))),"",IF(ISNUMBER(INDEX(sup_delay,MATCH($C107,sup_code,0))),B107+INDEX(sup_delay,MATCH($C107,sup_code,0)),"")))</f>
        <v/>
      </c>
      <c r="S107" s="64" t="n"/>
      <c r="T107" s="68" t="n"/>
      <c r="U107" s="64" t="n"/>
      <c r="V107" s="65" t="n"/>
      <c r="W107" s="74" t="str">
        <f>IF(AND(A107="",E107=""),"",IF(V107="Oui",0,MAX(0,ROUND(N(H107)-N(T107),6))))</f>
        <v/>
      </c>
      <c r="X107" s="67" t="str">
        <f>IF(AND(A107="",E107=""),"",IF(V107="Oui","Annulé",IF(AND(N(H107)&gt;0,N(T107)&gt;=N(H107)),"Reçu",IF(N(S107)=0,"Brouillon",IF(AND(ISNUMBER(R107),R107&lt;p_today),"En retard",IF(N(T107)&gt;0,"Partiel","Envoyé"))))))</f>
        <v/>
      </c>
      <c r="Y107" s="75" t="str">
        <f>IF(X107="En retard",p_today-R107,IF(AND(X107="Reçu",ISNUMBER(R107)),MAX(0,N(U107)-R107),""))</f>
        <v/>
      </c>
      <c r="Z107" s="67" t="str">
        <f>IF(AND(A107="",E107=""),"",IF(A107="","N° de bon manquant",IF(N(B107)=0,"Date de commande manquante",IF(C107="","Fournisseur manquant",IF(ISNA(MATCH($C107,sup_code,0)),"Fournisseur inconnu",IF(E107="","Article manquant",IF(ISNA(MATCH($E107,art_ref,0)),"Article inconnu",IF(N(H107)&lt;=0,"Quantité invalide",IF(J107="","Prix manquant",IF(OR(N(K107)&lt;0,N(K107)&gt;=1),"Remise invalide",IF(M107="","TVA manquante",IF(ISNA(MATCH(M107,p_tva,0)),"Taux de TVA inconnu",IF(COUNTIFS(po_num,A107,po_sup,"&lt;&gt;"&amp;C107)&gt;0,"Fournisseur différent sur ce bon",IF(COUNTIFS(po_num,A107,po_date,"&lt;&gt;"&amp;B107)&gt;0,"Date différente sur ce bon",IF(COUNTIF(po_num,A107)&gt;25,"Plus de 25 lignes sur ce bon",IF(R107="","Date de livraison manquante",IF(R107&lt;B107,"Livraison avant la commande",IF(AND(N(T107)&gt;0,N(S107)=0),"Date d'envoi manquante",IF(N(T107)&gt;N(H107),"Reçu plus que commandé",IF(AND(N(T107)&gt;0,N(U107)=0),"Date de réception manquante",IF(AND(N(U107)&gt;0,U107&lt;B107),"Réception avant la commande","OK")))))))))))))))))))))</f>
        <v/>
      </c>
      <c r="AA107" s="66" t="str">
        <f>IF(AND(X107="Reçu",ISNUMBER(R107)),IF(N(U107)&lt;=R107,1,0),"")</f>
        <v/>
      </c>
      <c r="AB107" s="76" t="str">
        <f>IF(OR(X107="Envoyé",X107="Partiel",X107="En retard"),IF(ISNUMBER(R107),R107,100000)+ROW()/100000,"")</f>
        <v/>
      </c>
      <c r="AC107" s="66" t="str">
        <f>IF(A107="","",IF(COUNTIF($A$6:A107,A107)=1,1,""))</f>
        <v/>
      </c>
      <c r="AD107" s="66" t="str">
        <f>IF(AC107=1,COUNT($AC$6:AC107),"")</f>
        <v/>
      </c>
      <c r="AE107" s="66" t="str">
        <f>IFERROR(INDEX(po_num,MATCH(102,po_seq,0))&amp;"","")</f>
        <v/>
      </c>
      <c r="AF107" s="66" t="str">
        <f>IF(OR(A107="",p_po=""),"",IF(A107&amp;""=p_po,COUNTIF($A$6:A107,A107),""))</f>
        <v/>
      </c>
      <c r="AG107" s="66" t="str">
        <f>IF(OR(AB107="",A107=""),"",IF(COUNTIFS($A$6:A107,A107,$AB$6:AB107,"&gt;0")=1,1,""))</f>
        <v/>
      </c>
      <c r="AH107" s="70" t="str">
        <f>IF(AB107="","",ROUND(N(W107)*N(J107)*(1-N(K107)),2))</f>
        <v/>
      </c>
      <c r="AI107" s="70" t="str">
        <f>IF(OR(J107="",N(T107)&lt;=0,V107="Oui"),"",ROUND(N(T107)*J107*(1-N(K107)),2))</f>
        <v/>
      </c>
    </row>
    <row r="108">
      <c r="A108" s="63" t="n"/>
      <c r="B108" s="64" t="n"/>
      <c r="C108" s="65" t="n"/>
      <c r="D108" s="66" t="str">
        <f>IF(C108="","",IFERROR(INDEX(sup_name,MATCH($C108,sup_code,0))&amp;"","Fournisseur inconnu"))</f>
        <v/>
      </c>
      <c r="E108" s="63" t="n"/>
      <c r="F108" s="66" t="str">
        <f>IF(E108="","",IFERROR(INDEX(art_des,MATCH($E108,art_ref,0))&amp;"","Article inconnu"))</f>
        <v/>
      </c>
      <c r="G108" s="67" t="str">
        <f>IF(E108="","",IFERROR(INDEX(art_unit,MATCH($E108,art_ref,0))&amp;"",""))</f>
        <v/>
      </c>
      <c r="H108" s="68" t="n"/>
      <c r="I108" s="69" t="n"/>
      <c r="J108" s="70" t="str">
        <f>IF(E108="","",IF(ISNUMBER(I108),I108,IFERROR(IF(ISNUMBER(INDEX(art_price,MATCH($E108,art_ref,0))),INDEX(art_price,MATCH($E108,art_ref,0)),""),"")))</f>
        <v/>
      </c>
      <c r="K108" s="71" t="n"/>
      <c r="L108" s="72" t="n"/>
      <c r="M108" s="72" t="str">
        <f>IF(E108="","",IF(L108&lt;&gt;"",L108,IFERROR(IF(ISNUMBER(INDEX(art_tva,MATCH($E108,art_ref,0))),INDEX(art_tva,MATCH($E108,art_ref,0)),""),"")))</f>
        <v/>
      </c>
      <c r="N108" s="70" t="str">
        <f>IF(OR(E108="",J108=""),"",ROUND(N(H108)*J108*(1-N(K108)),2))</f>
        <v/>
      </c>
      <c r="O108" s="70" t="str">
        <f>IF(OR(N108="",NOT(ISNUMBER(M108))),"",ROUND(N108*M108,2))</f>
        <v/>
      </c>
      <c r="P108" s="70" t="str">
        <f>IF(N108="","",N108+N(O108))</f>
        <v/>
      </c>
      <c r="Q108" s="64" t="n"/>
      <c r="R108" s="73" t="str">
        <f>IF(N(Q108)&gt;0,Q108,IF(OR(N(B108)=0,ISNA(MATCH($C108,sup_code,0))),"",IF(ISNUMBER(INDEX(sup_delay,MATCH($C108,sup_code,0))),B108+INDEX(sup_delay,MATCH($C108,sup_code,0)),"")))</f>
        <v/>
      </c>
      <c r="S108" s="64" t="n"/>
      <c r="T108" s="68" t="n"/>
      <c r="U108" s="64" t="n"/>
      <c r="V108" s="65" t="n"/>
      <c r="W108" s="74" t="str">
        <f>IF(AND(A108="",E108=""),"",IF(V108="Oui",0,MAX(0,ROUND(N(H108)-N(T108),6))))</f>
        <v/>
      </c>
      <c r="X108" s="67" t="str">
        <f>IF(AND(A108="",E108=""),"",IF(V108="Oui","Annulé",IF(AND(N(H108)&gt;0,N(T108)&gt;=N(H108)),"Reçu",IF(N(S108)=0,"Brouillon",IF(AND(ISNUMBER(R108),R108&lt;p_today),"En retard",IF(N(T108)&gt;0,"Partiel","Envoyé"))))))</f>
        <v/>
      </c>
      <c r="Y108" s="75" t="str">
        <f>IF(X108="En retard",p_today-R108,IF(AND(X108="Reçu",ISNUMBER(R108)),MAX(0,N(U108)-R108),""))</f>
        <v/>
      </c>
      <c r="Z108" s="67" t="str">
        <f>IF(AND(A108="",E108=""),"",IF(A108="","N° de bon manquant",IF(N(B108)=0,"Date de commande manquante",IF(C108="","Fournisseur manquant",IF(ISNA(MATCH($C108,sup_code,0)),"Fournisseur inconnu",IF(E108="","Article manquant",IF(ISNA(MATCH($E108,art_ref,0)),"Article inconnu",IF(N(H108)&lt;=0,"Quantité invalide",IF(J108="","Prix manquant",IF(OR(N(K108)&lt;0,N(K108)&gt;=1),"Remise invalide",IF(M108="","TVA manquante",IF(ISNA(MATCH(M108,p_tva,0)),"Taux de TVA inconnu",IF(COUNTIFS(po_num,A108,po_sup,"&lt;&gt;"&amp;C108)&gt;0,"Fournisseur différent sur ce bon",IF(COUNTIFS(po_num,A108,po_date,"&lt;&gt;"&amp;B108)&gt;0,"Date différente sur ce bon",IF(COUNTIF(po_num,A108)&gt;25,"Plus de 25 lignes sur ce bon",IF(R108="","Date de livraison manquante",IF(R108&lt;B108,"Livraison avant la commande",IF(AND(N(T108)&gt;0,N(S108)=0),"Date d'envoi manquante",IF(N(T108)&gt;N(H108),"Reçu plus que commandé",IF(AND(N(T108)&gt;0,N(U108)=0),"Date de réception manquante",IF(AND(N(U108)&gt;0,U108&lt;B108),"Réception avant la commande","OK")))))))))))))))))))))</f>
        <v/>
      </c>
      <c r="AA108" s="66" t="str">
        <f>IF(AND(X108="Reçu",ISNUMBER(R108)),IF(N(U108)&lt;=R108,1,0),"")</f>
        <v/>
      </c>
      <c r="AB108" s="76" t="str">
        <f>IF(OR(X108="Envoyé",X108="Partiel",X108="En retard"),IF(ISNUMBER(R108),R108,100000)+ROW()/100000,"")</f>
        <v/>
      </c>
      <c r="AC108" s="66" t="str">
        <f>IF(A108="","",IF(COUNTIF($A$6:A108,A108)=1,1,""))</f>
        <v/>
      </c>
      <c r="AD108" s="66" t="str">
        <f>IF(AC108=1,COUNT($AC$6:AC108),"")</f>
        <v/>
      </c>
      <c r="AE108" s="66" t="str">
        <f>IFERROR(INDEX(po_num,MATCH(103,po_seq,0))&amp;"","")</f>
        <v/>
      </c>
      <c r="AF108" s="66" t="str">
        <f>IF(OR(A108="",p_po=""),"",IF(A108&amp;""=p_po,COUNTIF($A$6:A108,A108),""))</f>
        <v/>
      </c>
      <c r="AG108" s="66" t="str">
        <f>IF(OR(AB108="",A108=""),"",IF(COUNTIFS($A$6:A108,A108,$AB$6:AB108,"&gt;0")=1,1,""))</f>
        <v/>
      </c>
      <c r="AH108" s="70" t="str">
        <f>IF(AB108="","",ROUND(N(W108)*N(J108)*(1-N(K108)),2))</f>
        <v/>
      </c>
      <c r="AI108" s="70" t="str">
        <f>IF(OR(J108="",N(T108)&lt;=0,V108="Oui"),"",ROUND(N(T108)*J108*(1-N(K108)),2))</f>
        <v/>
      </c>
    </row>
    <row r="109">
      <c r="A109" s="63" t="n"/>
      <c r="B109" s="64" t="n"/>
      <c r="C109" s="65" t="n"/>
      <c r="D109" s="66" t="str">
        <f>IF(C109="","",IFERROR(INDEX(sup_name,MATCH($C109,sup_code,0))&amp;"","Fournisseur inconnu"))</f>
        <v/>
      </c>
      <c r="E109" s="63" t="n"/>
      <c r="F109" s="66" t="str">
        <f>IF(E109="","",IFERROR(INDEX(art_des,MATCH($E109,art_ref,0))&amp;"","Article inconnu"))</f>
        <v/>
      </c>
      <c r="G109" s="67" t="str">
        <f>IF(E109="","",IFERROR(INDEX(art_unit,MATCH($E109,art_ref,0))&amp;"",""))</f>
        <v/>
      </c>
      <c r="H109" s="68" t="n"/>
      <c r="I109" s="69" t="n"/>
      <c r="J109" s="70" t="str">
        <f>IF(E109="","",IF(ISNUMBER(I109),I109,IFERROR(IF(ISNUMBER(INDEX(art_price,MATCH($E109,art_ref,0))),INDEX(art_price,MATCH($E109,art_ref,0)),""),"")))</f>
        <v/>
      </c>
      <c r="K109" s="71" t="n"/>
      <c r="L109" s="72" t="n"/>
      <c r="M109" s="72" t="str">
        <f>IF(E109="","",IF(L109&lt;&gt;"",L109,IFERROR(IF(ISNUMBER(INDEX(art_tva,MATCH($E109,art_ref,0))),INDEX(art_tva,MATCH($E109,art_ref,0)),""),"")))</f>
        <v/>
      </c>
      <c r="N109" s="70" t="str">
        <f>IF(OR(E109="",J109=""),"",ROUND(N(H109)*J109*(1-N(K109)),2))</f>
        <v/>
      </c>
      <c r="O109" s="70" t="str">
        <f>IF(OR(N109="",NOT(ISNUMBER(M109))),"",ROUND(N109*M109,2))</f>
        <v/>
      </c>
      <c r="P109" s="70" t="str">
        <f>IF(N109="","",N109+N(O109))</f>
        <v/>
      </c>
      <c r="Q109" s="64" t="n"/>
      <c r="R109" s="73" t="str">
        <f>IF(N(Q109)&gt;0,Q109,IF(OR(N(B109)=0,ISNA(MATCH($C109,sup_code,0))),"",IF(ISNUMBER(INDEX(sup_delay,MATCH($C109,sup_code,0))),B109+INDEX(sup_delay,MATCH($C109,sup_code,0)),"")))</f>
        <v/>
      </c>
      <c r="S109" s="64" t="n"/>
      <c r="T109" s="68" t="n"/>
      <c r="U109" s="64" t="n"/>
      <c r="V109" s="65" t="n"/>
      <c r="W109" s="74" t="str">
        <f>IF(AND(A109="",E109=""),"",IF(V109="Oui",0,MAX(0,ROUND(N(H109)-N(T109),6))))</f>
        <v/>
      </c>
      <c r="X109" s="67" t="str">
        <f>IF(AND(A109="",E109=""),"",IF(V109="Oui","Annulé",IF(AND(N(H109)&gt;0,N(T109)&gt;=N(H109)),"Reçu",IF(N(S109)=0,"Brouillon",IF(AND(ISNUMBER(R109),R109&lt;p_today),"En retard",IF(N(T109)&gt;0,"Partiel","Envoyé"))))))</f>
        <v/>
      </c>
      <c r="Y109" s="75" t="str">
        <f>IF(X109="En retard",p_today-R109,IF(AND(X109="Reçu",ISNUMBER(R109)),MAX(0,N(U109)-R109),""))</f>
        <v/>
      </c>
      <c r="Z109" s="67" t="str">
        <f>IF(AND(A109="",E109=""),"",IF(A109="","N° de bon manquant",IF(N(B109)=0,"Date de commande manquante",IF(C109="","Fournisseur manquant",IF(ISNA(MATCH($C109,sup_code,0)),"Fournisseur inconnu",IF(E109="","Article manquant",IF(ISNA(MATCH($E109,art_ref,0)),"Article inconnu",IF(N(H109)&lt;=0,"Quantité invalide",IF(J109="","Prix manquant",IF(OR(N(K109)&lt;0,N(K109)&gt;=1),"Remise invalide",IF(M109="","TVA manquante",IF(ISNA(MATCH(M109,p_tva,0)),"Taux de TVA inconnu",IF(COUNTIFS(po_num,A109,po_sup,"&lt;&gt;"&amp;C109)&gt;0,"Fournisseur différent sur ce bon",IF(COUNTIFS(po_num,A109,po_date,"&lt;&gt;"&amp;B109)&gt;0,"Date différente sur ce bon",IF(COUNTIF(po_num,A109)&gt;25,"Plus de 25 lignes sur ce bon",IF(R109="","Date de livraison manquante",IF(R109&lt;B109,"Livraison avant la commande",IF(AND(N(T109)&gt;0,N(S109)=0),"Date d'envoi manquante",IF(N(T109)&gt;N(H109),"Reçu plus que commandé",IF(AND(N(T109)&gt;0,N(U109)=0),"Date de réception manquante",IF(AND(N(U109)&gt;0,U109&lt;B109),"Réception avant la commande","OK")))))))))))))))))))))</f>
        <v/>
      </c>
      <c r="AA109" s="66" t="str">
        <f>IF(AND(X109="Reçu",ISNUMBER(R109)),IF(N(U109)&lt;=R109,1,0),"")</f>
        <v/>
      </c>
      <c r="AB109" s="76" t="str">
        <f>IF(OR(X109="Envoyé",X109="Partiel",X109="En retard"),IF(ISNUMBER(R109),R109,100000)+ROW()/100000,"")</f>
        <v/>
      </c>
      <c r="AC109" s="66" t="str">
        <f>IF(A109="","",IF(COUNTIF($A$6:A109,A109)=1,1,""))</f>
        <v/>
      </c>
      <c r="AD109" s="66" t="str">
        <f>IF(AC109=1,COUNT($AC$6:AC109),"")</f>
        <v/>
      </c>
      <c r="AE109" s="66" t="str">
        <f>IFERROR(INDEX(po_num,MATCH(104,po_seq,0))&amp;"","")</f>
        <v/>
      </c>
      <c r="AF109" s="66" t="str">
        <f>IF(OR(A109="",p_po=""),"",IF(A109&amp;""=p_po,COUNTIF($A$6:A109,A109),""))</f>
        <v/>
      </c>
      <c r="AG109" s="66" t="str">
        <f>IF(OR(AB109="",A109=""),"",IF(COUNTIFS($A$6:A109,A109,$AB$6:AB109,"&gt;0")=1,1,""))</f>
        <v/>
      </c>
      <c r="AH109" s="70" t="str">
        <f>IF(AB109="","",ROUND(N(W109)*N(J109)*(1-N(K109)),2))</f>
        <v/>
      </c>
      <c r="AI109" s="70" t="str">
        <f>IF(OR(J109="",N(T109)&lt;=0,V109="Oui"),"",ROUND(N(T109)*J109*(1-N(K109)),2))</f>
        <v/>
      </c>
    </row>
    <row r="110">
      <c r="A110" s="63" t="n"/>
      <c r="B110" s="64" t="n"/>
      <c r="C110" s="65" t="n"/>
      <c r="D110" s="66" t="str">
        <f>IF(C110="","",IFERROR(INDEX(sup_name,MATCH($C110,sup_code,0))&amp;"","Fournisseur inconnu"))</f>
        <v/>
      </c>
      <c r="E110" s="63" t="n"/>
      <c r="F110" s="66" t="str">
        <f>IF(E110="","",IFERROR(INDEX(art_des,MATCH($E110,art_ref,0))&amp;"","Article inconnu"))</f>
        <v/>
      </c>
      <c r="G110" s="67" t="str">
        <f>IF(E110="","",IFERROR(INDEX(art_unit,MATCH($E110,art_ref,0))&amp;"",""))</f>
        <v/>
      </c>
      <c r="H110" s="68" t="n"/>
      <c r="I110" s="69" t="n"/>
      <c r="J110" s="70" t="str">
        <f>IF(E110="","",IF(ISNUMBER(I110),I110,IFERROR(IF(ISNUMBER(INDEX(art_price,MATCH($E110,art_ref,0))),INDEX(art_price,MATCH($E110,art_ref,0)),""),"")))</f>
        <v/>
      </c>
      <c r="K110" s="71" t="n"/>
      <c r="L110" s="72" t="n"/>
      <c r="M110" s="72" t="str">
        <f>IF(E110="","",IF(L110&lt;&gt;"",L110,IFERROR(IF(ISNUMBER(INDEX(art_tva,MATCH($E110,art_ref,0))),INDEX(art_tva,MATCH($E110,art_ref,0)),""),"")))</f>
        <v/>
      </c>
      <c r="N110" s="70" t="str">
        <f>IF(OR(E110="",J110=""),"",ROUND(N(H110)*J110*(1-N(K110)),2))</f>
        <v/>
      </c>
      <c r="O110" s="70" t="str">
        <f>IF(OR(N110="",NOT(ISNUMBER(M110))),"",ROUND(N110*M110,2))</f>
        <v/>
      </c>
      <c r="P110" s="70" t="str">
        <f>IF(N110="","",N110+N(O110))</f>
        <v/>
      </c>
      <c r="Q110" s="64" t="n"/>
      <c r="R110" s="73" t="str">
        <f>IF(N(Q110)&gt;0,Q110,IF(OR(N(B110)=0,ISNA(MATCH($C110,sup_code,0))),"",IF(ISNUMBER(INDEX(sup_delay,MATCH($C110,sup_code,0))),B110+INDEX(sup_delay,MATCH($C110,sup_code,0)),"")))</f>
        <v/>
      </c>
      <c r="S110" s="64" t="n"/>
      <c r="T110" s="68" t="n"/>
      <c r="U110" s="64" t="n"/>
      <c r="V110" s="65" t="n"/>
      <c r="W110" s="74" t="str">
        <f>IF(AND(A110="",E110=""),"",IF(V110="Oui",0,MAX(0,ROUND(N(H110)-N(T110),6))))</f>
        <v/>
      </c>
      <c r="X110" s="67" t="str">
        <f>IF(AND(A110="",E110=""),"",IF(V110="Oui","Annulé",IF(AND(N(H110)&gt;0,N(T110)&gt;=N(H110)),"Reçu",IF(N(S110)=0,"Brouillon",IF(AND(ISNUMBER(R110),R110&lt;p_today),"En retard",IF(N(T110)&gt;0,"Partiel","Envoyé"))))))</f>
        <v/>
      </c>
      <c r="Y110" s="75" t="str">
        <f>IF(X110="En retard",p_today-R110,IF(AND(X110="Reçu",ISNUMBER(R110)),MAX(0,N(U110)-R110),""))</f>
        <v/>
      </c>
      <c r="Z110" s="67" t="str">
        <f>IF(AND(A110="",E110=""),"",IF(A110="","N° de bon manquant",IF(N(B110)=0,"Date de commande manquante",IF(C110="","Fournisseur manquant",IF(ISNA(MATCH($C110,sup_code,0)),"Fournisseur inconnu",IF(E110="","Article manquant",IF(ISNA(MATCH($E110,art_ref,0)),"Article inconnu",IF(N(H110)&lt;=0,"Quantité invalide",IF(J110="","Prix manquant",IF(OR(N(K110)&lt;0,N(K110)&gt;=1),"Remise invalide",IF(M110="","TVA manquante",IF(ISNA(MATCH(M110,p_tva,0)),"Taux de TVA inconnu",IF(COUNTIFS(po_num,A110,po_sup,"&lt;&gt;"&amp;C110)&gt;0,"Fournisseur différent sur ce bon",IF(COUNTIFS(po_num,A110,po_date,"&lt;&gt;"&amp;B110)&gt;0,"Date différente sur ce bon",IF(COUNTIF(po_num,A110)&gt;25,"Plus de 25 lignes sur ce bon",IF(R110="","Date de livraison manquante",IF(R110&lt;B110,"Livraison avant la commande",IF(AND(N(T110)&gt;0,N(S110)=0),"Date d'envoi manquante",IF(N(T110)&gt;N(H110),"Reçu plus que commandé",IF(AND(N(T110)&gt;0,N(U110)=0),"Date de réception manquante",IF(AND(N(U110)&gt;0,U110&lt;B110),"Réception avant la commande","OK")))))))))))))))))))))</f>
        <v/>
      </c>
      <c r="AA110" s="66" t="str">
        <f>IF(AND(X110="Reçu",ISNUMBER(R110)),IF(N(U110)&lt;=R110,1,0),"")</f>
        <v/>
      </c>
      <c r="AB110" s="76" t="str">
        <f>IF(OR(X110="Envoyé",X110="Partiel",X110="En retard"),IF(ISNUMBER(R110),R110,100000)+ROW()/100000,"")</f>
        <v/>
      </c>
      <c r="AC110" s="66" t="str">
        <f>IF(A110="","",IF(COUNTIF($A$6:A110,A110)=1,1,""))</f>
        <v/>
      </c>
      <c r="AD110" s="66" t="str">
        <f>IF(AC110=1,COUNT($AC$6:AC110),"")</f>
        <v/>
      </c>
      <c r="AE110" s="66" t="str">
        <f>IFERROR(INDEX(po_num,MATCH(105,po_seq,0))&amp;"","")</f>
        <v/>
      </c>
      <c r="AF110" s="66" t="str">
        <f>IF(OR(A110="",p_po=""),"",IF(A110&amp;""=p_po,COUNTIF($A$6:A110,A110),""))</f>
        <v/>
      </c>
      <c r="AG110" s="66" t="str">
        <f>IF(OR(AB110="",A110=""),"",IF(COUNTIFS($A$6:A110,A110,$AB$6:AB110,"&gt;0")=1,1,""))</f>
        <v/>
      </c>
      <c r="AH110" s="70" t="str">
        <f>IF(AB110="","",ROUND(N(W110)*N(J110)*(1-N(K110)),2))</f>
        <v/>
      </c>
      <c r="AI110" s="70" t="str">
        <f>IF(OR(J110="",N(T110)&lt;=0,V110="Oui"),"",ROUND(N(T110)*J110*(1-N(K110)),2))</f>
        <v/>
      </c>
    </row>
    <row r="111">
      <c r="A111" s="63" t="n"/>
      <c r="B111" s="64" t="n"/>
      <c r="C111" s="65" t="n"/>
      <c r="D111" s="66" t="str">
        <f>IF(C111="","",IFERROR(INDEX(sup_name,MATCH($C111,sup_code,0))&amp;"","Fournisseur inconnu"))</f>
        <v/>
      </c>
      <c r="E111" s="63" t="n"/>
      <c r="F111" s="66" t="str">
        <f>IF(E111="","",IFERROR(INDEX(art_des,MATCH($E111,art_ref,0))&amp;"","Article inconnu"))</f>
        <v/>
      </c>
      <c r="G111" s="67" t="str">
        <f>IF(E111="","",IFERROR(INDEX(art_unit,MATCH($E111,art_ref,0))&amp;"",""))</f>
        <v/>
      </c>
      <c r="H111" s="68" t="n"/>
      <c r="I111" s="69" t="n"/>
      <c r="J111" s="70" t="str">
        <f>IF(E111="","",IF(ISNUMBER(I111),I111,IFERROR(IF(ISNUMBER(INDEX(art_price,MATCH($E111,art_ref,0))),INDEX(art_price,MATCH($E111,art_ref,0)),""),"")))</f>
        <v/>
      </c>
      <c r="K111" s="71" t="n"/>
      <c r="L111" s="72" t="n"/>
      <c r="M111" s="72" t="str">
        <f>IF(E111="","",IF(L111&lt;&gt;"",L111,IFERROR(IF(ISNUMBER(INDEX(art_tva,MATCH($E111,art_ref,0))),INDEX(art_tva,MATCH($E111,art_ref,0)),""),"")))</f>
        <v/>
      </c>
      <c r="N111" s="70" t="str">
        <f>IF(OR(E111="",J111=""),"",ROUND(N(H111)*J111*(1-N(K111)),2))</f>
        <v/>
      </c>
      <c r="O111" s="70" t="str">
        <f>IF(OR(N111="",NOT(ISNUMBER(M111))),"",ROUND(N111*M111,2))</f>
        <v/>
      </c>
      <c r="P111" s="70" t="str">
        <f>IF(N111="","",N111+N(O111))</f>
        <v/>
      </c>
      <c r="Q111" s="64" t="n"/>
      <c r="R111" s="73" t="str">
        <f>IF(N(Q111)&gt;0,Q111,IF(OR(N(B111)=0,ISNA(MATCH($C111,sup_code,0))),"",IF(ISNUMBER(INDEX(sup_delay,MATCH($C111,sup_code,0))),B111+INDEX(sup_delay,MATCH($C111,sup_code,0)),"")))</f>
        <v/>
      </c>
      <c r="S111" s="64" t="n"/>
      <c r="T111" s="68" t="n"/>
      <c r="U111" s="64" t="n"/>
      <c r="V111" s="65" t="n"/>
      <c r="W111" s="74" t="str">
        <f>IF(AND(A111="",E111=""),"",IF(V111="Oui",0,MAX(0,ROUND(N(H111)-N(T111),6))))</f>
        <v/>
      </c>
      <c r="X111" s="67" t="str">
        <f>IF(AND(A111="",E111=""),"",IF(V111="Oui","Annulé",IF(AND(N(H111)&gt;0,N(T111)&gt;=N(H111)),"Reçu",IF(N(S111)=0,"Brouillon",IF(AND(ISNUMBER(R111),R111&lt;p_today),"En retard",IF(N(T111)&gt;0,"Partiel","Envoyé"))))))</f>
        <v/>
      </c>
      <c r="Y111" s="75" t="str">
        <f>IF(X111="En retard",p_today-R111,IF(AND(X111="Reçu",ISNUMBER(R111)),MAX(0,N(U111)-R111),""))</f>
        <v/>
      </c>
      <c r="Z111" s="67" t="str">
        <f>IF(AND(A111="",E111=""),"",IF(A111="","N° de bon manquant",IF(N(B111)=0,"Date de commande manquante",IF(C111="","Fournisseur manquant",IF(ISNA(MATCH($C111,sup_code,0)),"Fournisseur inconnu",IF(E111="","Article manquant",IF(ISNA(MATCH($E111,art_ref,0)),"Article inconnu",IF(N(H111)&lt;=0,"Quantité invalide",IF(J111="","Prix manquant",IF(OR(N(K111)&lt;0,N(K111)&gt;=1),"Remise invalide",IF(M111="","TVA manquante",IF(ISNA(MATCH(M111,p_tva,0)),"Taux de TVA inconnu",IF(COUNTIFS(po_num,A111,po_sup,"&lt;&gt;"&amp;C111)&gt;0,"Fournisseur différent sur ce bon",IF(COUNTIFS(po_num,A111,po_date,"&lt;&gt;"&amp;B111)&gt;0,"Date différente sur ce bon",IF(COUNTIF(po_num,A111)&gt;25,"Plus de 25 lignes sur ce bon",IF(R111="","Date de livraison manquante",IF(R111&lt;B111,"Livraison avant la commande",IF(AND(N(T111)&gt;0,N(S111)=0),"Date d'envoi manquante",IF(N(T111)&gt;N(H111),"Reçu plus que commandé",IF(AND(N(T111)&gt;0,N(U111)=0),"Date de réception manquante",IF(AND(N(U111)&gt;0,U111&lt;B111),"Réception avant la commande","OK")))))))))))))))))))))</f>
        <v/>
      </c>
      <c r="AA111" s="66" t="str">
        <f>IF(AND(X111="Reçu",ISNUMBER(R111)),IF(N(U111)&lt;=R111,1,0),"")</f>
        <v/>
      </c>
      <c r="AB111" s="76" t="str">
        <f>IF(OR(X111="Envoyé",X111="Partiel",X111="En retard"),IF(ISNUMBER(R111),R111,100000)+ROW()/100000,"")</f>
        <v/>
      </c>
      <c r="AC111" s="66" t="str">
        <f>IF(A111="","",IF(COUNTIF($A$6:A111,A111)=1,1,""))</f>
        <v/>
      </c>
      <c r="AD111" s="66" t="str">
        <f>IF(AC111=1,COUNT($AC$6:AC111),"")</f>
        <v/>
      </c>
      <c r="AE111" s="66" t="str">
        <f>IFERROR(INDEX(po_num,MATCH(106,po_seq,0))&amp;"","")</f>
        <v/>
      </c>
      <c r="AF111" s="66" t="str">
        <f>IF(OR(A111="",p_po=""),"",IF(A111&amp;""=p_po,COUNTIF($A$6:A111,A111),""))</f>
        <v/>
      </c>
      <c r="AG111" s="66" t="str">
        <f>IF(OR(AB111="",A111=""),"",IF(COUNTIFS($A$6:A111,A111,$AB$6:AB111,"&gt;0")=1,1,""))</f>
        <v/>
      </c>
      <c r="AH111" s="70" t="str">
        <f>IF(AB111="","",ROUND(N(W111)*N(J111)*(1-N(K111)),2))</f>
        <v/>
      </c>
      <c r="AI111" s="70" t="str">
        <f>IF(OR(J111="",N(T111)&lt;=0,V111="Oui"),"",ROUND(N(T111)*J111*(1-N(K111)),2))</f>
        <v/>
      </c>
    </row>
    <row r="112">
      <c r="A112" s="63" t="n"/>
      <c r="B112" s="64" t="n"/>
      <c r="C112" s="65" t="n"/>
      <c r="D112" s="66" t="str">
        <f>IF(C112="","",IFERROR(INDEX(sup_name,MATCH($C112,sup_code,0))&amp;"","Fournisseur inconnu"))</f>
        <v/>
      </c>
      <c r="E112" s="63" t="n"/>
      <c r="F112" s="66" t="str">
        <f>IF(E112="","",IFERROR(INDEX(art_des,MATCH($E112,art_ref,0))&amp;"","Article inconnu"))</f>
        <v/>
      </c>
      <c r="G112" s="67" t="str">
        <f>IF(E112="","",IFERROR(INDEX(art_unit,MATCH($E112,art_ref,0))&amp;"",""))</f>
        <v/>
      </c>
      <c r="H112" s="68" t="n"/>
      <c r="I112" s="69" t="n"/>
      <c r="J112" s="70" t="str">
        <f>IF(E112="","",IF(ISNUMBER(I112),I112,IFERROR(IF(ISNUMBER(INDEX(art_price,MATCH($E112,art_ref,0))),INDEX(art_price,MATCH($E112,art_ref,0)),""),"")))</f>
        <v/>
      </c>
      <c r="K112" s="71" t="n"/>
      <c r="L112" s="72" t="n"/>
      <c r="M112" s="72" t="str">
        <f>IF(E112="","",IF(L112&lt;&gt;"",L112,IFERROR(IF(ISNUMBER(INDEX(art_tva,MATCH($E112,art_ref,0))),INDEX(art_tva,MATCH($E112,art_ref,0)),""),"")))</f>
        <v/>
      </c>
      <c r="N112" s="70" t="str">
        <f>IF(OR(E112="",J112=""),"",ROUND(N(H112)*J112*(1-N(K112)),2))</f>
        <v/>
      </c>
      <c r="O112" s="70" t="str">
        <f>IF(OR(N112="",NOT(ISNUMBER(M112))),"",ROUND(N112*M112,2))</f>
        <v/>
      </c>
      <c r="P112" s="70" t="str">
        <f>IF(N112="","",N112+N(O112))</f>
        <v/>
      </c>
      <c r="Q112" s="64" t="n"/>
      <c r="R112" s="73" t="str">
        <f>IF(N(Q112)&gt;0,Q112,IF(OR(N(B112)=0,ISNA(MATCH($C112,sup_code,0))),"",IF(ISNUMBER(INDEX(sup_delay,MATCH($C112,sup_code,0))),B112+INDEX(sup_delay,MATCH($C112,sup_code,0)),"")))</f>
        <v/>
      </c>
      <c r="S112" s="64" t="n"/>
      <c r="T112" s="68" t="n"/>
      <c r="U112" s="64" t="n"/>
      <c r="V112" s="65" t="n"/>
      <c r="W112" s="74" t="str">
        <f>IF(AND(A112="",E112=""),"",IF(V112="Oui",0,MAX(0,ROUND(N(H112)-N(T112),6))))</f>
        <v/>
      </c>
      <c r="X112" s="67" t="str">
        <f>IF(AND(A112="",E112=""),"",IF(V112="Oui","Annulé",IF(AND(N(H112)&gt;0,N(T112)&gt;=N(H112)),"Reçu",IF(N(S112)=0,"Brouillon",IF(AND(ISNUMBER(R112),R112&lt;p_today),"En retard",IF(N(T112)&gt;0,"Partiel","Envoyé"))))))</f>
        <v/>
      </c>
      <c r="Y112" s="75" t="str">
        <f>IF(X112="En retard",p_today-R112,IF(AND(X112="Reçu",ISNUMBER(R112)),MAX(0,N(U112)-R112),""))</f>
        <v/>
      </c>
      <c r="Z112" s="67" t="str">
        <f>IF(AND(A112="",E112=""),"",IF(A112="","N° de bon manquant",IF(N(B112)=0,"Date de commande manquante",IF(C112="","Fournisseur manquant",IF(ISNA(MATCH($C112,sup_code,0)),"Fournisseur inconnu",IF(E112="","Article manquant",IF(ISNA(MATCH($E112,art_ref,0)),"Article inconnu",IF(N(H112)&lt;=0,"Quantité invalide",IF(J112="","Prix manquant",IF(OR(N(K112)&lt;0,N(K112)&gt;=1),"Remise invalide",IF(M112="","TVA manquante",IF(ISNA(MATCH(M112,p_tva,0)),"Taux de TVA inconnu",IF(COUNTIFS(po_num,A112,po_sup,"&lt;&gt;"&amp;C112)&gt;0,"Fournisseur différent sur ce bon",IF(COUNTIFS(po_num,A112,po_date,"&lt;&gt;"&amp;B112)&gt;0,"Date différente sur ce bon",IF(COUNTIF(po_num,A112)&gt;25,"Plus de 25 lignes sur ce bon",IF(R112="","Date de livraison manquante",IF(R112&lt;B112,"Livraison avant la commande",IF(AND(N(T112)&gt;0,N(S112)=0),"Date d'envoi manquante",IF(N(T112)&gt;N(H112),"Reçu plus que commandé",IF(AND(N(T112)&gt;0,N(U112)=0),"Date de réception manquante",IF(AND(N(U112)&gt;0,U112&lt;B112),"Réception avant la commande","OK")))))))))))))))))))))</f>
        <v/>
      </c>
      <c r="AA112" s="66" t="str">
        <f>IF(AND(X112="Reçu",ISNUMBER(R112)),IF(N(U112)&lt;=R112,1,0),"")</f>
        <v/>
      </c>
      <c r="AB112" s="76" t="str">
        <f>IF(OR(X112="Envoyé",X112="Partiel",X112="En retard"),IF(ISNUMBER(R112),R112,100000)+ROW()/100000,"")</f>
        <v/>
      </c>
      <c r="AC112" s="66" t="str">
        <f>IF(A112="","",IF(COUNTIF($A$6:A112,A112)=1,1,""))</f>
        <v/>
      </c>
      <c r="AD112" s="66" t="str">
        <f>IF(AC112=1,COUNT($AC$6:AC112),"")</f>
        <v/>
      </c>
      <c r="AE112" s="66" t="str">
        <f>IFERROR(INDEX(po_num,MATCH(107,po_seq,0))&amp;"","")</f>
        <v/>
      </c>
      <c r="AF112" s="66" t="str">
        <f>IF(OR(A112="",p_po=""),"",IF(A112&amp;""=p_po,COUNTIF($A$6:A112,A112),""))</f>
        <v/>
      </c>
      <c r="AG112" s="66" t="str">
        <f>IF(OR(AB112="",A112=""),"",IF(COUNTIFS($A$6:A112,A112,$AB$6:AB112,"&gt;0")=1,1,""))</f>
        <v/>
      </c>
      <c r="AH112" s="70" t="str">
        <f>IF(AB112="","",ROUND(N(W112)*N(J112)*(1-N(K112)),2))</f>
        <v/>
      </c>
      <c r="AI112" s="70" t="str">
        <f>IF(OR(J112="",N(T112)&lt;=0,V112="Oui"),"",ROUND(N(T112)*J112*(1-N(K112)),2))</f>
        <v/>
      </c>
    </row>
    <row r="113">
      <c r="A113" s="63" t="n"/>
      <c r="B113" s="64" t="n"/>
      <c r="C113" s="65" t="n"/>
      <c r="D113" s="66" t="str">
        <f>IF(C113="","",IFERROR(INDEX(sup_name,MATCH($C113,sup_code,0))&amp;"","Fournisseur inconnu"))</f>
        <v/>
      </c>
      <c r="E113" s="63" t="n"/>
      <c r="F113" s="66" t="str">
        <f>IF(E113="","",IFERROR(INDEX(art_des,MATCH($E113,art_ref,0))&amp;"","Article inconnu"))</f>
        <v/>
      </c>
      <c r="G113" s="67" t="str">
        <f>IF(E113="","",IFERROR(INDEX(art_unit,MATCH($E113,art_ref,0))&amp;"",""))</f>
        <v/>
      </c>
      <c r="H113" s="68" t="n"/>
      <c r="I113" s="69" t="n"/>
      <c r="J113" s="70" t="str">
        <f>IF(E113="","",IF(ISNUMBER(I113),I113,IFERROR(IF(ISNUMBER(INDEX(art_price,MATCH($E113,art_ref,0))),INDEX(art_price,MATCH($E113,art_ref,0)),""),"")))</f>
        <v/>
      </c>
      <c r="K113" s="71" t="n"/>
      <c r="L113" s="72" t="n"/>
      <c r="M113" s="72" t="str">
        <f>IF(E113="","",IF(L113&lt;&gt;"",L113,IFERROR(IF(ISNUMBER(INDEX(art_tva,MATCH($E113,art_ref,0))),INDEX(art_tva,MATCH($E113,art_ref,0)),""),"")))</f>
        <v/>
      </c>
      <c r="N113" s="70" t="str">
        <f>IF(OR(E113="",J113=""),"",ROUND(N(H113)*J113*(1-N(K113)),2))</f>
        <v/>
      </c>
      <c r="O113" s="70" t="str">
        <f>IF(OR(N113="",NOT(ISNUMBER(M113))),"",ROUND(N113*M113,2))</f>
        <v/>
      </c>
      <c r="P113" s="70" t="str">
        <f>IF(N113="","",N113+N(O113))</f>
        <v/>
      </c>
      <c r="Q113" s="64" t="n"/>
      <c r="R113" s="73" t="str">
        <f>IF(N(Q113)&gt;0,Q113,IF(OR(N(B113)=0,ISNA(MATCH($C113,sup_code,0))),"",IF(ISNUMBER(INDEX(sup_delay,MATCH($C113,sup_code,0))),B113+INDEX(sup_delay,MATCH($C113,sup_code,0)),"")))</f>
        <v/>
      </c>
      <c r="S113" s="64" t="n"/>
      <c r="T113" s="68" t="n"/>
      <c r="U113" s="64" t="n"/>
      <c r="V113" s="65" t="n"/>
      <c r="W113" s="74" t="str">
        <f>IF(AND(A113="",E113=""),"",IF(V113="Oui",0,MAX(0,ROUND(N(H113)-N(T113),6))))</f>
        <v/>
      </c>
      <c r="X113" s="67" t="str">
        <f>IF(AND(A113="",E113=""),"",IF(V113="Oui","Annulé",IF(AND(N(H113)&gt;0,N(T113)&gt;=N(H113)),"Reçu",IF(N(S113)=0,"Brouillon",IF(AND(ISNUMBER(R113),R113&lt;p_today),"En retard",IF(N(T113)&gt;0,"Partiel","Envoyé"))))))</f>
        <v/>
      </c>
      <c r="Y113" s="75" t="str">
        <f>IF(X113="En retard",p_today-R113,IF(AND(X113="Reçu",ISNUMBER(R113)),MAX(0,N(U113)-R113),""))</f>
        <v/>
      </c>
      <c r="Z113" s="67" t="str">
        <f>IF(AND(A113="",E113=""),"",IF(A113="","N° de bon manquant",IF(N(B113)=0,"Date de commande manquante",IF(C113="","Fournisseur manquant",IF(ISNA(MATCH($C113,sup_code,0)),"Fournisseur inconnu",IF(E113="","Article manquant",IF(ISNA(MATCH($E113,art_ref,0)),"Article inconnu",IF(N(H113)&lt;=0,"Quantité invalide",IF(J113="","Prix manquant",IF(OR(N(K113)&lt;0,N(K113)&gt;=1),"Remise invalide",IF(M113="","TVA manquante",IF(ISNA(MATCH(M113,p_tva,0)),"Taux de TVA inconnu",IF(COUNTIFS(po_num,A113,po_sup,"&lt;&gt;"&amp;C113)&gt;0,"Fournisseur différent sur ce bon",IF(COUNTIFS(po_num,A113,po_date,"&lt;&gt;"&amp;B113)&gt;0,"Date différente sur ce bon",IF(COUNTIF(po_num,A113)&gt;25,"Plus de 25 lignes sur ce bon",IF(R113="","Date de livraison manquante",IF(R113&lt;B113,"Livraison avant la commande",IF(AND(N(T113)&gt;0,N(S113)=0),"Date d'envoi manquante",IF(N(T113)&gt;N(H113),"Reçu plus que commandé",IF(AND(N(T113)&gt;0,N(U113)=0),"Date de réception manquante",IF(AND(N(U113)&gt;0,U113&lt;B113),"Réception avant la commande","OK")))))))))))))))))))))</f>
        <v/>
      </c>
      <c r="AA113" s="66" t="str">
        <f>IF(AND(X113="Reçu",ISNUMBER(R113)),IF(N(U113)&lt;=R113,1,0),"")</f>
        <v/>
      </c>
      <c r="AB113" s="76" t="str">
        <f>IF(OR(X113="Envoyé",X113="Partiel",X113="En retard"),IF(ISNUMBER(R113),R113,100000)+ROW()/100000,"")</f>
        <v/>
      </c>
      <c r="AC113" s="66" t="str">
        <f>IF(A113="","",IF(COUNTIF($A$6:A113,A113)=1,1,""))</f>
        <v/>
      </c>
      <c r="AD113" s="66" t="str">
        <f>IF(AC113=1,COUNT($AC$6:AC113),"")</f>
        <v/>
      </c>
      <c r="AE113" s="66" t="str">
        <f>IFERROR(INDEX(po_num,MATCH(108,po_seq,0))&amp;"","")</f>
        <v/>
      </c>
      <c r="AF113" s="66" t="str">
        <f>IF(OR(A113="",p_po=""),"",IF(A113&amp;""=p_po,COUNTIF($A$6:A113,A113),""))</f>
        <v/>
      </c>
      <c r="AG113" s="66" t="str">
        <f>IF(OR(AB113="",A113=""),"",IF(COUNTIFS($A$6:A113,A113,$AB$6:AB113,"&gt;0")=1,1,""))</f>
        <v/>
      </c>
      <c r="AH113" s="70" t="str">
        <f>IF(AB113="","",ROUND(N(W113)*N(J113)*(1-N(K113)),2))</f>
        <v/>
      </c>
      <c r="AI113" s="70" t="str">
        <f>IF(OR(J113="",N(T113)&lt;=0,V113="Oui"),"",ROUND(N(T113)*J113*(1-N(K113)),2))</f>
        <v/>
      </c>
    </row>
    <row r="114">
      <c r="A114" s="63" t="n"/>
      <c r="B114" s="64" t="n"/>
      <c r="C114" s="65" t="n"/>
      <c r="D114" s="66" t="str">
        <f>IF(C114="","",IFERROR(INDEX(sup_name,MATCH($C114,sup_code,0))&amp;"","Fournisseur inconnu"))</f>
        <v/>
      </c>
      <c r="E114" s="63" t="n"/>
      <c r="F114" s="66" t="str">
        <f>IF(E114="","",IFERROR(INDEX(art_des,MATCH($E114,art_ref,0))&amp;"","Article inconnu"))</f>
        <v/>
      </c>
      <c r="G114" s="67" t="str">
        <f>IF(E114="","",IFERROR(INDEX(art_unit,MATCH($E114,art_ref,0))&amp;"",""))</f>
        <v/>
      </c>
      <c r="H114" s="68" t="n"/>
      <c r="I114" s="69" t="n"/>
      <c r="J114" s="70" t="str">
        <f>IF(E114="","",IF(ISNUMBER(I114),I114,IFERROR(IF(ISNUMBER(INDEX(art_price,MATCH($E114,art_ref,0))),INDEX(art_price,MATCH($E114,art_ref,0)),""),"")))</f>
        <v/>
      </c>
      <c r="K114" s="71" t="n"/>
      <c r="L114" s="72" t="n"/>
      <c r="M114" s="72" t="str">
        <f>IF(E114="","",IF(L114&lt;&gt;"",L114,IFERROR(IF(ISNUMBER(INDEX(art_tva,MATCH($E114,art_ref,0))),INDEX(art_tva,MATCH($E114,art_ref,0)),""),"")))</f>
        <v/>
      </c>
      <c r="N114" s="70" t="str">
        <f>IF(OR(E114="",J114=""),"",ROUND(N(H114)*J114*(1-N(K114)),2))</f>
        <v/>
      </c>
      <c r="O114" s="70" t="str">
        <f>IF(OR(N114="",NOT(ISNUMBER(M114))),"",ROUND(N114*M114,2))</f>
        <v/>
      </c>
      <c r="P114" s="70" t="str">
        <f>IF(N114="","",N114+N(O114))</f>
        <v/>
      </c>
      <c r="Q114" s="64" t="n"/>
      <c r="R114" s="73" t="str">
        <f>IF(N(Q114)&gt;0,Q114,IF(OR(N(B114)=0,ISNA(MATCH($C114,sup_code,0))),"",IF(ISNUMBER(INDEX(sup_delay,MATCH($C114,sup_code,0))),B114+INDEX(sup_delay,MATCH($C114,sup_code,0)),"")))</f>
        <v/>
      </c>
      <c r="S114" s="64" t="n"/>
      <c r="T114" s="68" t="n"/>
      <c r="U114" s="64" t="n"/>
      <c r="V114" s="65" t="n"/>
      <c r="W114" s="74" t="str">
        <f>IF(AND(A114="",E114=""),"",IF(V114="Oui",0,MAX(0,ROUND(N(H114)-N(T114),6))))</f>
        <v/>
      </c>
      <c r="X114" s="67" t="str">
        <f>IF(AND(A114="",E114=""),"",IF(V114="Oui","Annulé",IF(AND(N(H114)&gt;0,N(T114)&gt;=N(H114)),"Reçu",IF(N(S114)=0,"Brouillon",IF(AND(ISNUMBER(R114),R114&lt;p_today),"En retard",IF(N(T114)&gt;0,"Partiel","Envoyé"))))))</f>
        <v/>
      </c>
      <c r="Y114" s="75" t="str">
        <f>IF(X114="En retard",p_today-R114,IF(AND(X114="Reçu",ISNUMBER(R114)),MAX(0,N(U114)-R114),""))</f>
        <v/>
      </c>
      <c r="Z114" s="67" t="str">
        <f>IF(AND(A114="",E114=""),"",IF(A114="","N° de bon manquant",IF(N(B114)=0,"Date de commande manquante",IF(C114="","Fournisseur manquant",IF(ISNA(MATCH($C114,sup_code,0)),"Fournisseur inconnu",IF(E114="","Article manquant",IF(ISNA(MATCH($E114,art_ref,0)),"Article inconnu",IF(N(H114)&lt;=0,"Quantité invalide",IF(J114="","Prix manquant",IF(OR(N(K114)&lt;0,N(K114)&gt;=1),"Remise invalide",IF(M114="","TVA manquante",IF(ISNA(MATCH(M114,p_tva,0)),"Taux de TVA inconnu",IF(COUNTIFS(po_num,A114,po_sup,"&lt;&gt;"&amp;C114)&gt;0,"Fournisseur différent sur ce bon",IF(COUNTIFS(po_num,A114,po_date,"&lt;&gt;"&amp;B114)&gt;0,"Date différente sur ce bon",IF(COUNTIF(po_num,A114)&gt;25,"Plus de 25 lignes sur ce bon",IF(R114="","Date de livraison manquante",IF(R114&lt;B114,"Livraison avant la commande",IF(AND(N(T114)&gt;0,N(S114)=0),"Date d'envoi manquante",IF(N(T114)&gt;N(H114),"Reçu plus que commandé",IF(AND(N(T114)&gt;0,N(U114)=0),"Date de réception manquante",IF(AND(N(U114)&gt;0,U114&lt;B114),"Réception avant la commande","OK")))))))))))))))))))))</f>
        <v/>
      </c>
      <c r="AA114" s="66" t="str">
        <f>IF(AND(X114="Reçu",ISNUMBER(R114)),IF(N(U114)&lt;=R114,1,0),"")</f>
        <v/>
      </c>
      <c r="AB114" s="76" t="str">
        <f>IF(OR(X114="Envoyé",X114="Partiel",X114="En retard"),IF(ISNUMBER(R114),R114,100000)+ROW()/100000,"")</f>
        <v/>
      </c>
      <c r="AC114" s="66" t="str">
        <f>IF(A114="","",IF(COUNTIF($A$6:A114,A114)=1,1,""))</f>
        <v/>
      </c>
      <c r="AD114" s="66" t="str">
        <f>IF(AC114=1,COUNT($AC$6:AC114),"")</f>
        <v/>
      </c>
      <c r="AE114" s="66" t="str">
        <f>IFERROR(INDEX(po_num,MATCH(109,po_seq,0))&amp;"","")</f>
        <v/>
      </c>
      <c r="AF114" s="66" t="str">
        <f>IF(OR(A114="",p_po=""),"",IF(A114&amp;""=p_po,COUNTIF($A$6:A114,A114),""))</f>
        <v/>
      </c>
      <c r="AG114" s="66" t="str">
        <f>IF(OR(AB114="",A114=""),"",IF(COUNTIFS($A$6:A114,A114,$AB$6:AB114,"&gt;0")=1,1,""))</f>
        <v/>
      </c>
      <c r="AH114" s="70" t="str">
        <f>IF(AB114="","",ROUND(N(W114)*N(J114)*(1-N(K114)),2))</f>
        <v/>
      </c>
      <c r="AI114" s="70" t="str">
        <f>IF(OR(J114="",N(T114)&lt;=0,V114="Oui"),"",ROUND(N(T114)*J114*(1-N(K114)),2))</f>
        <v/>
      </c>
    </row>
    <row r="115">
      <c r="A115" s="63" t="n"/>
      <c r="B115" s="64" t="n"/>
      <c r="C115" s="65" t="n"/>
      <c r="D115" s="66" t="str">
        <f>IF(C115="","",IFERROR(INDEX(sup_name,MATCH($C115,sup_code,0))&amp;"","Fournisseur inconnu"))</f>
        <v/>
      </c>
      <c r="E115" s="63" t="n"/>
      <c r="F115" s="66" t="str">
        <f>IF(E115="","",IFERROR(INDEX(art_des,MATCH($E115,art_ref,0))&amp;"","Article inconnu"))</f>
        <v/>
      </c>
      <c r="G115" s="67" t="str">
        <f>IF(E115="","",IFERROR(INDEX(art_unit,MATCH($E115,art_ref,0))&amp;"",""))</f>
        <v/>
      </c>
      <c r="H115" s="68" t="n"/>
      <c r="I115" s="69" t="n"/>
      <c r="J115" s="70" t="str">
        <f>IF(E115="","",IF(ISNUMBER(I115),I115,IFERROR(IF(ISNUMBER(INDEX(art_price,MATCH($E115,art_ref,0))),INDEX(art_price,MATCH($E115,art_ref,0)),""),"")))</f>
        <v/>
      </c>
      <c r="K115" s="71" t="n"/>
      <c r="L115" s="72" t="n"/>
      <c r="M115" s="72" t="str">
        <f>IF(E115="","",IF(L115&lt;&gt;"",L115,IFERROR(IF(ISNUMBER(INDEX(art_tva,MATCH($E115,art_ref,0))),INDEX(art_tva,MATCH($E115,art_ref,0)),""),"")))</f>
        <v/>
      </c>
      <c r="N115" s="70" t="str">
        <f>IF(OR(E115="",J115=""),"",ROUND(N(H115)*J115*(1-N(K115)),2))</f>
        <v/>
      </c>
      <c r="O115" s="70" t="str">
        <f>IF(OR(N115="",NOT(ISNUMBER(M115))),"",ROUND(N115*M115,2))</f>
        <v/>
      </c>
      <c r="P115" s="70" t="str">
        <f>IF(N115="","",N115+N(O115))</f>
        <v/>
      </c>
      <c r="Q115" s="64" t="n"/>
      <c r="R115" s="73" t="str">
        <f>IF(N(Q115)&gt;0,Q115,IF(OR(N(B115)=0,ISNA(MATCH($C115,sup_code,0))),"",IF(ISNUMBER(INDEX(sup_delay,MATCH($C115,sup_code,0))),B115+INDEX(sup_delay,MATCH($C115,sup_code,0)),"")))</f>
        <v/>
      </c>
      <c r="S115" s="64" t="n"/>
      <c r="T115" s="68" t="n"/>
      <c r="U115" s="64" t="n"/>
      <c r="V115" s="65" t="n"/>
      <c r="W115" s="74" t="str">
        <f>IF(AND(A115="",E115=""),"",IF(V115="Oui",0,MAX(0,ROUND(N(H115)-N(T115),6))))</f>
        <v/>
      </c>
      <c r="X115" s="67" t="str">
        <f>IF(AND(A115="",E115=""),"",IF(V115="Oui","Annulé",IF(AND(N(H115)&gt;0,N(T115)&gt;=N(H115)),"Reçu",IF(N(S115)=0,"Brouillon",IF(AND(ISNUMBER(R115),R115&lt;p_today),"En retard",IF(N(T115)&gt;0,"Partiel","Envoyé"))))))</f>
        <v/>
      </c>
      <c r="Y115" s="75" t="str">
        <f>IF(X115="En retard",p_today-R115,IF(AND(X115="Reçu",ISNUMBER(R115)),MAX(0,N(U115)-R115),""))</f>
        <v/>
      </c>
      <c r="Z115" s="67" t="str">
        <f>IF(AND(A115="",E115=""),"",IF(A115="","N° de bon manquant",IF(N(B115)=0,"Date de commande manquante",IF(C115="","Fournisseur manquant",IF(ISNA(MATCH($C115,sup_code,0)),"Fournisseur inconnu",IF(E115="","Article manquant",IF(ISNA(MATCH($E115,art_ref,0)),"Article inconnu",IF(N(H115)&lt;=0,"Quantité invalide",IF(J115="","Prix manquant",IF(OR(N(K115)&lt;0,N(K115)&gt;=1),"Remise invalide",IF(M115="","TVA manquante",IF(ISNA(MATCH(M115,p_tva,0)),"Taux de TVA inconnu",IF(COUNTIFS(po_num,A115,po_sup,"&lt;&gt;"&amp;C115)&gt;0,"Fournisseur différent sur ce bon",IF(COUNTIFS(po_num,A115,po_date,"&lt;&gt;"&amp;B115)&gt;0,"Date différente sur ce bon",IF(COUNTIF(po_num,A115)&gt;25,"Plus de 25 lignes sur ce bon",IF(R115="","Date de livraison manquante",IF(R115&lt;B115,"Livraison avant la commande",IF(AND(N(T115)&gt;0,N(S115)=0),"Date d'envoi manquante",IF(N(T115)&gt;N(H115),"Reçu plus que commandé",IF(AND(N(T115)&gt;0,N(U115)=0),"Date de réception manquante",IF(AND(N(U115)&gt;0,U115&lt;B115),"Réception avant la commande","OK")))))))))))))))))))))</f>
        <v/>
      </c>
      <c r="AA115" s="66" t="str">
        <f>IF(AND(X115="Reçu",ISNUMBER(R115)),IF(N(U115)&lt;=R115,1,0),"")</f>
        <v/>
      </c>
      <c r="AB115" s="76" t="str">
        <f>IF(OR(X115="Envoyé",X115="Partiel",X115="En retard"),IF(ISNUMBER(R115),R115,100000)+ROW()/100000,"")</f>
        <v/>
      </c>
      <c r="AC115" s="66" t="str">
        <f>IF(A115="","",IF(COUNTIF($A$6:A115,A115)=1,1,""))</f>
        <v/>
      </c>
      <c r="AD115" s="66" t="str">
        <f>IF(AC115=1,COUNT($AC$6:AC115),"")</f>
        <v/>
      </c>
      <c r="AE115" s="66" t="str">
        <f>IFERROR(INDEX(po_num,MATCH(110,po_seq,0))&amp;"","")</f>
        <v/>
      </c>
      <c r="AF115" s="66" t="str">
        <f>IF(OR(A115="",p_po=""),"",IF(A115&amp;""=p_po,COUNTIF($A$6:A115,A115),""))</f>
        <v/>
      </c>
      <c r="AG115" s="66" t="str">
        <f>IF(OR(AB115="",A115=""),"",IF(COUNTIFS($A$6:A115,A115,$AB$6:AB115,"&gt;0")=1,1,""))</f>
        <v/>
      </c>
      <c r="AH115" s="70" t="str">
        <f>IF(AB115="","",ROUND(N(W115)*N(J115)*(1-N(K115)),2))</f>
        <v/>
      </c>
      <c r="AI115" s="70" t="str">
        <f>IF(OR(J115="",N(T115)&lt;=0,V115="Oui"),"",ROUND(N(T115)*J115*(1-N(K115)),2))</f>
        <v/>
      </c>
    </row>
    <row r="116">
      <c r="A116" s="63" t="n"/>
      <c r="B116" s="64" t="n"/>
      <c r="C116" s="65" t="n"/>
      <c r="D116" s="66" t="str">
        <f>IF(C116="","",IFERROR(INDEX(sup_name,MATCH($C116,sup_code,0))&amp;"","Fournisseur inconnu"))</f>
        <v/>
      </c>
      <c r="E116" s="63" t="n"/>
      <c r="F116" s="66" t="str">
        <f>IF(E116="","",IFERROR(INDEX(art_des,MATCH($E116,art_ref,0))&amp;"","Article inconnu"))</f>
        <v/>
      </c>
      <c r="G116" s="67" t="str">
        <f>IF(E116="","",IFERROR(INDEX(art_unit,MATCH($E116,art_ref,0))&amp;"",""))</f>
        <v/>
      </c>
      <c r="H116" s="68" t="n"/>
      <c r="I116" s="69" t="n"/>
      <c r="J116" s="70" t="str">
        <f>IF(E116="","",IF(ISNUMBER(I116),I116,IFERROR(IF(ISNUMBER(INDEX(art_price,MATCH($E116,art_ref,0))),INDEX(art_price,MATCH($E116,art_ref,0)),""),"")))</f>
        <v/>
      </c>
      <c r="K116" s="71" t="n"/>
      <c r="L116" s="72" t="n"/>
      <c r="M116" s="72" t="str">
        <f>IF(E116="","",IF(L116&lt;&gt;"",L116,IFERROR(IF(ISNUMBER(INDEX(art_tva,MATCH($E116,art_ref,0))),INDEX(art_tva,MATCH($E116,art_ref,0)),""),"")))</f>
        <v/>
      </c>
      <c r="N116" s="70" t="str">
        <f>IF(OR(E116="",J116=""),"",ROUND(N(H116)*J116*(1-N(K116)),2))</f>
        <v/>
      </c>
      <c r="O116" s="70" t="str">
        <f>IF(OR(N116="",NOT(ISNUMBER(M116))),"",ROUND(N116*M116,2))</f>
        <v/>
      </c>
      <c r="P116" s="70" t="str">
        <f>IF(N116="","",N116+N(O116))</f>
        <v/>
      </c>
      <c r="Q116" s="64" t="n"/>
      <c r="R116" s="73" t="str">
        <f>IF(N(Q116)&gt;0,Q116,IF(OR(N(B116)=0,ISNA(MATCH($C116,sup_code,0))),"",IF(ISNUMBER(INDEX(sup_delay,MATCH($C116,sup_code,0))),B116+INDEX(sup_delay,MATCH($C116,sup_code,0)),"")))</f>
        <v/>
      </c>
      <c r="S116" s="64" t="n"/>
      <c r="T116" s="68" t="n"/>
      <c r="U116" s="64" t="n"/>
      <c r="V116" s="65" t="n"/>
      <c r="W116" s="74" t="str">
        <f>IF(AND(A116="",E116=""),"",IF(V116="Oui",0,MAX(0,ROUND(N(H116)-N(T116),6))))</f>
        <v/>
      </c>
      <c r="X116" s="67" t="str">
        <f>IF(AND(A116="",E116=""),"",IF(V116="Oui","Annulé",IF(AND(N(H116)&gt;0,N(T116)&gt;=N(H116)),"Reçu",IF(N(S116)=0,"Brouillon",IF(AND(ISNUMBER(R116),R116&lt;p_today),"En retard",IF(N(T116)&gt;0,"Partiel","Envoyé"))))))</f>
        <v/>
      </c>
      <c r="Y116" s="75" t="str">
        <f>IF(X116="En retard",p_today-R116,IF(AND(X116="Reçu",ISNUMBER(R116)),MAX(0,N(U116)-R116),""))</f>
        <v/>
      </c>
      <c r="Z116" s="67" t="str">
        <f>IF(AND(A116="",E116=""),"",IF(A116="","N° de bon manquant",IF(N(B116)=0,"Date de commande manquante",IF(C116="","Fournisseur manquant",IF(ISNA(MATCH($C116,sup_code,0)),"Fournisseur inconnu",IF(E116="","Article manquant",IF(ISNA(MATCH($E116,art_ref,0)),"Article inconnu",IF(N(H116)&lt;=0,"Quantité invalide",IF(J116="","Prix manquant",IF(OR(N(K116)&lt;0,N(K116)&gt;=1),"Remise invalide",IF(M116="","TVA manquante",IF(ISNA(MATCH(M116,p_tva,0)),"Taux de TVA inconnu",IF(COUNTIFS(po_num,A116,po_sup,"&lt;&gt;"&amp;C116)&gt;0,"Fournisseur différent sur ce bon",IF(COUNTIFS(po_num,A116,po_date,"&lt;&gt;"&amp;B116)&gt;0,"Date différente sur ce bon",IF(COUNTIF(po_num,A116)&gt;25,"Plus de 25 lignes sur ce bon",IF(R116="","Date de livraison manquante",IF(R116&lt;B116,"Livraison avant la commande",IF(AND(N(T116)&gt;0,N(S116)=0),"Date d'envoi manquante",IF(N(T116)&gt;N(H116),"Reçu plus que commandé",IF(AND(N(T116)&gt;0,N(U116)=0),"Date de réception manquante",IF(AND(N(U116)&gt;0,U116&lt;B116),"Réception avant la commande","OK")))))))))))))))))))))</f>
        <v/>
      </c>
      <c r="AA116" s="66" t="str">
        <f>IF(AND(X116="Reçu",ISNUMBER(R116)),IF(N(U116)&lt;=R116,1,0),"")</f>
        <v/>
      </c>
      <c r="AB116" s="76" t="str">
        <f>IF(OR(X116="Envoyé",X116="Partiel",X116="En retard"),IF(ISNUMBER(R116),R116,100000)+ROW()/100000,"")</f>
        <v/>
      </c>
      <c r="AC116" s="66" t="str">
        <f>IF(A116="","",IF(COUNTIF($A$6:A116,A116)=1,1,""))</f>
        <v/>
      </c>
      <c r="AD116" s="66" t="str">
        <f>IF(AC116=1,COUNT($AC$6:AC116),"")</f>
        <v/>
      </c>
      <c r="AE116" s="66" t="str">
        <f>IFERROR(INDEX(po_num,MATCH(111,po_seq,0))&amp;"","")</f>
        <v/>
      </c>
      <c r="AF116" s="66" t="str">
        <f>IF(OR(A116="",p_po=""),"",IF(A116&amp;""=p_po,COUNTIF($A$6:A116,A116),""))</f>
        <v/>
      </c>
      <c r="AG116" s="66" t="str">
        <f>IF(OR(AB116="",A116=""),"",IF(COUNTIFS($A$6:A116,A116,$AB$6:AB116,"&gt;0")=1,1,""))</f>
        <v/>
      </c>
      <c r="AH116" s="70" t="str">
        <f>IF(AB116="","",ROUND(N(W116)*N(J116)*(1-N(K116)),2))</f>
        <v/>
      </c>
      <c r="AI116" s="70" t="str">
        <f>IF(OR(J116="",N(T116)&lt;=0,V116="Oui"),"",ROUND(N(T116)*J116*(1-N(K116)),2))</f>
        <v/>
      </c>
    </row>
    <row r="117">
      <c r="A117" s="63" t="n"/>
      <c r="B117" s="64" t="n"/>
      <c r="C117" s="65" t="n"/>
      <c r="D117" s="66" t="str">
        <f>IF(C117="","",IFERROR(INDEX(sup_name,MATCH($C117,sup_code,0))&amp;"","Fournisseur inconnu"))</f>
        <v/>
      </c>
      <c r="E117" s="63" t="n"/>
      <c r="F117" s="66" t="str">
        <f>IF(E117="","",IFERROR(INDEX(art_des,MATCH($E117,art_ref,0))&amp;"","Article inconnu"))</f>
        <v/>
      </c>
      <c r="G117" s="67" t="str">
        <f>IF(E117="","",IFERROR(INDEX(art_unit,MATCH($E117,art_ref,0))&amp;"",""))</f>
        <v/>
      </c>
      <c r="H117" s="68" t="n"/>
      <c r="I117" s="69" t="n"/>
      <c r="J117" s="70" t="str">
        <f>IF(E117="","",IF(ISNUMBER(I117),I117,IFERROR(IF(ISNUMBER(INDEX(art_price,MATCH($E117,art_ref,0))),INDEX(art_price,MATCH($E117,art_ref,0)),""),"")))</f>
        <v/>
      </c>
      <c r="K117" s="71" t="n"/>
      <c r="L117" s="72" t="n"/>
      <c r="M117" s="72" t="str">
        <f>IF(E117="","",IF(L117&lt;&gt;"",L117,IFERROR(IF(ISNUMBER(INDEX(art_tva,MATCH($E117,art_ref,0))),INDEX(art_tva,MATCH($E117,art_ref,0)),""),"")))</f>
        <v/>
      </c>
      <c r="N117" s="70" t="str">
        <f>IF(OR(E117="",J117=""),"",ROUND(N(H117)*J117*(1-N(K117)),2))</f>
        <v/>
      </c>
      <c r="O117" s="70" t="str">
        <f>IF(OR(N117="",NOT(ISNUMBER(M117))),"",ROUND(N117*M117,2))</f>
        <v/>
      </c>
      <c r="P117" s="70" t="str">
        <f>IF(N117="","",N117+N(O117))</f>
        <v/>
      </c>
      <c r="Q117" s="64" t="n"/>
      <c r="R117" s="73" t="str">
        <f>IF(N(Q117)&gt;0,Q117,IF(OR(N(B117)=0,ISNA(MATCH($C117,sup_code,0))),"",IF(ISNUMBER(INDEX(sup_delay,MATCH($C117,sup_code,0))),B117+INDEX(sup_delay,MATCH($C117,sup_code,0)),"")))</f>
        <v/>
      </c>
      <c r="S117" s="64" t="n"/>
      <c r="T117" s="68" t="n"/>
      <c r="U117" s="64" t="n"/>
      <c r="V117" s="65" t="n"/>
      <c r="W117" s="74" t="str">
        <f>IF(AND(A117="",E117=""),"",IF(V117="Oui",0,MAX(0,ROUND(N(H117)-N(T117),6))))</f>
        <v/>
      </c>
      <c r="X117" s="67" t="str">
        <f>IF(AND(A117="",E117=""),"",IF(V117="Oui","Annulé",IF(AND(N(H117)&gt;0,N(T117)&gt;=N(H117)),"Reçu",IF(N(S117)=0,"Brouillon",IF(AND(ISNUMBER(R117),R117&lt;p_today),"En retard",IF(N(T117)&gt;0,"Partiel","Envoyé"))))))</f>
        <v/>
      </c>
      <c r="Y117" s="75" t="str">
        <f>IF(X117="En retard",p_today-R117,IF(AND(X117="Reçu",ISNUMBER(R117)),MAX(0,N(U117)-R117),""))</f>
        <v/>
      </c>
      <c r="Z117" s="67" t="str">
        <f>IF(AND(A117="",E117=""),"",IF(A117="","N° de bon manquant",IF(N(B117)=0,"Date de commande manquante",IF(C117="","Fournisseur manquant",IF(ISNA(MATCH($C117,sup_code,0)),"Fournisseur inconnu",IF(E117="","Article manquant",IF(ISNA(MATCH($E117,art_ref,0)),"Article inconnu",IF(N(H117)&lt;=0,"Quantité invalide",IF(J117="","Prix manquant",IF(OR(N(K117)&lt;0,N(K117)&gt;=1),"Remise invalide",IF(M117="","TVA manquante",IF(ISNA(MATCH(M117,p_tva,0)),"Taux de TVA inconnu",IF(COUNTIFS(po_num,A117,po_sup,"&lt;&gt;"&amp;C117)&gt;0,"Fournisseur différent sur ce bon",IF(COUNTIFS(po_num,A117,po_date,"&lt;&gt;"&amp;B117)&gt;0,"Date différente sur ce bon",IF(COUNTIF(po_num,A117)&gt;25,"Plus de 25 lignes sur ce bon",IF(R117="","Date de livraison manquante",IF(R117&lt;B117,"Livraison avant la commande",IF(AND(N(T117)&gt;0,N(S117)=0),"Date d'envoi manquante",IF(N(T117)&gt;N(H117),"Reçu plus que commandé",IF(AND(N(T117)&gt;0,N(U117)=0),"Date de réception manquante",IF(AND(N(U117)&gt;0,U117&lt;B117),"Réception avant la commande","OK")))))))))))))))))))))</f>
        <v/>
      </c>
      <c r="AA117" s="66" t="str">
        <f>IF(AND(X117="Reçu",ISNUMBER(R117)),IF(N(U117)&lt;=R117,1,0),"")</f>
        <v/>
      </c>
      <c r="AB117" s="76" t="str">
        <f>IF(OR(X117="Envoyé",X117="Partiel",X117="En retard"),IF(ISNUMBER(R117),R117,100000)+ROW()/100000,"")</f>
        <v/>
      </c>
      <c r="AC117" s="66" t="str">
        <f>IF(A117="","",IF(COUNTIF($A$6:A117,A117)=1,1,""))</f>
        <v/>
      </c>
      <c r="AD117" s="66" t="str">
        <f>IF(AC117=1,COUNT($AC$6:AC117),"")</f>
        <v/>
      </c>
      <c r="AE117" s="66" t="str">
        <f>IFERROR(INDEX(po_num,MATCH(112,po_seq,0))&amp;"","")</f>
        <v/>
      </c>
      <c r="AF117" s="66" t="str">
        <f>IF(OR(A117="",p_po=""),"",IF(A117&amp;""=p_po,COUNTIF($A$6:A117,A117),""))</f>
        <v/>
      </c>
      <c r="AG117" s="66" t="str">
        <f>IF(OR(AB117="",A117=""),"",IF(COUNTIFS($A$6:A117,A117,$AB$6:AB117,"&gt;0")=1,1,""))</f>
        <v/>
      </c>
      <c r="AH117" s="70" t="str">
        <f>IF(AB117="","",ROUND(N(W117)*N(J117)*(1-N(K117)),2))</f>
        <v/>
      </c>
      <c r="AI117" s="70" t="str">
        <f>IF(OR(J117="",N(T117)&lt;=0,V117="Oui"),"",ROUND(N(T117)*J117*(1-N(K117)),2))</f>
        <v/>
      </c>
    </row>
    <row r="118">
      <c r="A118" s="63" t="n"/>
      <c r="B118" s="64" t="n"/>
      <c r="C118" s="65" t="n"/>
      <c r="D118" s="66" t="str">
        <f>IF(C118="","",IFERROR(INDEX(sup_name,MATCH($C118,sup_code,0))&amp;"","Fournisseur inconnu"))</f>
        <v/>
      </c>
      <c r="E118" s="63" t="n"/>
      <c r="F118" s="66" t="str">
        <f>IF(E118="","",IFERROR(INDEX(art_des,MATCH($E118,art_ref,0))&amp;"","Article inconnu"))</f>
        <v/>
      </c>
      <c r="G118" s="67" t="str">
        <f>IF(E118="","",IFERROR(INDEX(art_unit,MATCH($E118,art_ref,0))&amp;"",""))</f>
        <v/>
      </c>
      <c r="H118" s="68" t="n"/>
      <c r="I118" s="69" t="n"/>
      <c r="J118" s="70" t="str">
        <f>IF(E118="","",IF(ISNUMBER(I118),I118,IFERROR(IF(ISNUMBER(INDEX(art_price,MATCH($E118,art_ref,0))),INDEX(art_price,MATCH($E118,art_ref,0)),""),"")))</f>
        <v/>
      </c>
      <c r="K118" s="71" t="n"/>
      <c r="L118" s="72" t="n"/>
      <c r="M118" s="72" t="str">
        <f>IF(E118="","",IF(L118&lt;&gt;"",L118,IFERROR(IF(ISNUMBER(INDEX(art_tva,MATCH($E118,art_ref,0))),INDEX(art_tva,MATCH($E118,art_ref,0)),""),"")))</f>
        <v/>
      </c>
      <c r="N118" s="70" t="str">
        <f>IF(OR(E118="",J118=""),"",ROUND(N(H118)*J118*(1-N(K118)),2))</f>
        <v/>
      </c>
      <c r="O118" s="70" t="str">
        <f>IF(OR(N118="",NOT(ISNUMBER(M118))),"",ROUND(N118*M118,2))</f>
        <v/>
      </c>
      <c r="P118" s="70" t="str">
        <f>IF(N118="","",N118+N(O118))</f>
        <v/>
      </c>
      <c r="Q118" s="64" t="n"/>
      <c r="R118" s="73" t="str">
        <f>IF(N(Q118)&gt;0,Q118,IF(OR(N(B118)=0,ISNA(MATCH($C118,sup_code,0))),"",IF(ISNUMBER(INDEX(sup_delay,MATCH($C118,sup_code,0))),B118+INDEX(sup_delay,MATCH($C118,sup_code,0)),"")))</f>
        <v/>
      </c>
      <c r="S118" s="64" t="n"/>
      <c r="T118" s="68" t="n"/>
      <c r="U118" s="64" t="n"/>
      <c r="V118" s="65" t="n"/>
      <c r="W118" s="74" t="str">
        <f>IF(AND(A118="",E118=""),"",IF(V118="Oui",0,MAX(0,ROUND(N(H118)-N(T118),6))))</f>
        <v/>
      </c>
      <c r="X118" s="67" t="str">
        <f>IF(AND(A118="",E118=""),"",IF(V118="Oui","Annulé",IF(AND(N(H118)&gt;0,N(T118)&gt;=N(H118)),"Reçu",IF(N(S118)=0,"Brouillon",IF(AND(ISNUMBER(R118),R118&lt;p_today),"En retard",IF(N(T118)&gt;0,"Partiel","Envoyé"))))))</f>
        <v/>
      </c>
      <c r="Y118" s="75" t="str">
        <f>IF(X118="En retard",p_today-R118,IF(AND(X118="Reçu",ISNUMBER(R118)),MAX(0,N(U118)-R118),""))</f>
        <v/>
      </c>
      <c r="Z118" s="67" t="str">
        <f>IF(AND(A118="",E118=""),"",IF(A118="","N° de bon manquant",IF(N(B118)=0,"Date de commande manquante",IF(C118="","Fournisseur manquant",IF(ISNA(MATCH($C118,sup_code,0)),"Fournisseur inconnu",IF(E118="","Article manquant",IF(ISNA(MATCH($E118,art_ref,0)),"Article inconnu",IF(N(H118)&lt;=0,"Quantité invalide",IF(J118="","Prix manquant",IF(OR(N(K118)&lt;0,N(K118)&gt;=1),"Remise invalide",IF(M118="","TVA manquante",IF(ISNA(MATCH(M118,p_tva,0)),"Taux de TVA inconnu",IF(COUNTIFS(po_num,A118,po_sup,"&lt;&gt;"&amp;C118)&gt;0,"Fournisseur différent sur ce bon",IF(COUNTIFS(po_num,A118,po_date,"&lt;&gt;"&amp;B118)&gt;0,"Date différente sur ce bon",IF(COUNTIF(po_num,A118)&gt;25,"Plus de 25 lignes sur ce bon",IF(R118="","Date de livraison manquante",IF(R118&lt;B118,"Livraison avant la commande",IF(AND(N(T118)&gt;0,N(S118)=0),"Date d'envoi manquante",IF(N(T118)&gt;N(H118),"Reçu plus que commandé",IF(AND(N(T118)&gt;0,N(U118)=0),"Date de réception manquante",IF(AND(N(U118)&gt;0,U118&lt;B118),"Réception avant la commande","OK")))))))))))))))))))))</f>
        <v/>
      </c>
      <c r="AA118" s="66" t="str">
        <f>IF(AND(X118="Reçu",ISNUMBER(R118)),IF(N(U118)&lt;=R118,1,0),"")</f>
        <v/>
      </c>
      <c r="AB118" s="76" t="str">
        <f>IF(OR(X118="Envoyé",X118="Partiel",X118="En retard"),IF(ISNUMBER(R118),R118,100000)+ROW()/100000,"")</f>
        <v/>
      </c>
      <c r="AC118" s="66" t="str">
        <f>IF(A118="","",IF(COUNTIF($A$6:A118,A118)=1,1,""))</f>
        <v/>
      </c>
      <c r="AD118" s="66" t="str">
        <f>IF(AC118=1,COUNT($AC$6:AC118),"")</f>
        <v/>
      </c>
      <c r="AE118" s="66" t="str">
        <f>IFERROR(INDEX(po_num,MATCH(113,po_seq,0))&amp;"","")</f>
        <v/>
      </c>
      <c r="AF118" s="66" t="str">
        <f>IF(OR(A118="",p_po=""),"",IF(A118&amp;""=p_po,COUNTIF($A$6:A118,A118),""))</f>
        <v/>
      </c>
      <c r="AG118" s="66" t="str">
        <f>IF(OR(AB118="",A118=""),"",IF(COUNTIFS($A$6:A118,A118,$AB$6:AB118,"&gt;0")=1,1,""))</f>
        <v/>
      </c>
      <c r="AH118" s="70" t="str">
        <f>IF(AB118="","",ROUND(N(W118)*N(J118)*(1-N(K118)),2))</f>
        <v/>
      </c>
      <c r="AI118" s="70" t="str">
        <f>IF(OR(J118="",N(T118)&lt;=0,V118="Oui"),"",ROUND(N(T118)*J118*(1-N(K118)),2))</f>
        <v/>
      </c>
    </row>
    <row r="119">
      <c r="A119" s="63" t="n"/>
      <c r="B119" s="64" t="n"/>
      <c r="C119" s="65" t="n"/>
      <c r="D119" s="66" t="str">
        <f>IF(C119="","",IFERROR(INDEX(sup_name,MATCH($C119,sup_code,0))&amp;"","Fournisseur inconnu"))</f>
        <v/>
      </c>
      <c r="E119" s="63" t="n"/>
      <c r="F119" s="66" t="str">
        <f>IF(E119="","",IFERROR(INDEX(art_des,MATCH($E119,art_ref,0))&amp;"","Article inconnu"))</f>
        <v/>
      </c>
      <c r="G119" s="67" t="str">
        <f>IF(E119="","",IFERROR(INDEX(art_unit,MATCH($E119,art_ref,0))&amp;"",""))</f>
        <v/>
      </c>
      <c r="H119" s="68" t="n"/>
      <c r="I119" s="69" t="n"/>
      <c r="J119" s="70" t="str">
        <f>IF(E119="","",IF(ISNUMBER(I119),I119,IFERROR(IF(ISNUMBER(INDEX(art_price,MATCH($E119,art_ref,0))),INDEX(art_price,MATCH($E119,art_ref,0)),""),"")))</f>
        <v/>
      </c>
      <c r="K119" s="71" t="n"/>
      <c r="L119" s="72" t="n"/>
      <c r="M119" s="72" t="str">
        <f>IF(E119="","",IF(L119&lt;&gt;"",L119,IFERROR(IF(ISNUMBER(INDEX(art_tva,MATCH($E119,art_ref,0))),INDEX(art_tva,MATCH($E119,art_ref,0)),""),"")))</f>
        <v/>
      </c>
      <c r="N119" s="70" t="str">
        <f>IF(OR(E119="",J119=""),"",ROUND(N(H119)*J119*(1-N(K119)),2))</f>
        <v/>
      </c>
      <c r="O119" s="70" t="str">
        <f>IF(OR(N119="",NOT(ISNUMBER(M119))),"",ROUND(N119*M119,2))</f>
        <v/>
      </c>
      <c r="P119" s="70" t="str">
        <f>IF(N119="","",N119+N(O119))</f>
        <v/>
      </c>
      <c r="Q119" s="64" t="n"/>
      <c r="R119" s="73" t="str">
        <f>IF(N(Q119)&gt;0,Q119,IF(OR(N(B119)=0,ISNA(MATCH($C119,sup_code,0))),"",IF(ISNUMBER(INDEX(sup_delay,MATCH($C119,sup_code,0))),B119+INDEX(sup_delay,MATCH($C119,sup_code,0)),"")))</f>
        <v/>
      </c>
      <c r="S119" s="64" t="n"/>
      <c r="T119" s="68" t="n"/>
      <c r="U119" s="64" t="n"/>
      <c r="V119" s="65" t="n"/>
      <c r="W119" s="74" t="str">
        <f>IF(AND(A119="",E119=""),"",IF(V119="Oui",0,MAX(0,ROUND(N(H119)-N(T119),6))))</f>
        <v/>
      </c>
      <c r="X119" s="67" t="str">
        <f>IF(AND(A119="",E119=""),"",IF(V119="Oui","Annulé",IF(AND(N(H119)&gt;0,N(T119)&gt;=N(H119)),"Reçu",IF(N(S119)=0,"Brouillon",IF(AND(ISNUMBER(R119),R119&lt;p_today),"En retard",IF(N(T119)&gt;0,"Partiel","Envoyé"))))))</f>
        <v/>
      </c>
      <c r="Y119" s="75" t="str">
        <f>IF(X119="En retard",p_today-R119,IF(AND(X119="Reçu",ISNUMBER(R119)),MAX(0,N(U119)-R119),""))</f>
        <v/>
      </c>
      <c r="Z119" s="67" t="str">
        <f>IF(AND(A119="",E119=""),"",IF(A119="","N° de bon manquant",IF(N(B119)=0,"Date de commande manquante",IF(C119="","Fournisseur manquant",IF(ISNA(MATCH($C119,sup_code,0)),"Fournisseur inconnu",IF(E119="","Article manquant",IF(ISNA(MATCH($E119,art_ref,0)),"Article inconnu",IF(N(H119)&lt;=0,"Quantité invalide",IF(J119="","Prix manquant",IF(OR(N(K119)&lt;0,N(K119)&gt;=1),"Remise invalide",IF(M119="","TVA manquante",IF(ISNA(MATCH(M119,p_tva,0)),"Taux de TVA inconnu",IF(COUNTIFS(po_num,A119,po_sup,"&lt;&gt;"&amp;C119)&gt;0,"Fournisseur différent sur ce bon",IF(COUNTIFS(po_num,A119,po_date,"&lt;&gt;"&amp;B119)&gt;0,"Date différente sur ce bon",IF(COUNTIF(po_num,A119)&gt;25,"Plus de 25 lignes sur ce bon",IF(R119="","Date de livraison manquante",IF(R119&lt;B119,"Livraison avant la commande",IF(AND(N(T119)&gt;0,N(S119)=0),"Date d'envoi manquante",IF(N(T119)&gt;N(H119),"Reçu plus que commandé",IF(AND(N(T119)&gt;0,N(U119)=0),"Date de réception manquante",IF(AND(N(U119)&gt;0,U119&lt;B119),"Réception avant la commande","OK")))))))))))))))))))))</f>
        <v/>
      </c>
      <c r="AA119" s="66" t="str">
        <f>IF(AND(X119="Reçu",ISNUMBER(R119)),IF(N(U119)&lt;=R119,1,0),"")</f>
        <v/>
      </c>
      <c r="AB119" s="76" t="str">
        <f>IF(OR(X119="Envoyé",X119="Partiel",X119="En retard"),IF(ISNUMBER(R119),R119,100000)+ROW()/100000,"")</f>
        <v/>
      </c>
      <c r="AC119" s="66" t="str">
        <f>IF(A119="","",IF(COUNTIF($A$6:A119,A119)=1,1,""))</f>
        <v/>
      </c>
      <c r="AD119" s="66" t="str">
        <f>IF(AC119=1,COUNT($AC$6:AC119),"")</f>
        <v/>
      </c>
      <c r="AE119" s="66" t="str">
        <f>IFERROR(INDEX(po_num,MATCH(114,po_seq,0))&amp;"","")</f>
        <v/>
      </c>
      <c r="AF119" s="66" t="str">
        <f>IF(OR(A119="",p_po=""),"",IF(A119&amp;""=p_po,COUNTIF($A$6:A119,A119),""))</f>
        <v/>
      </c>
      <c r="AG119" s="66" t="str">
        <f>IF(OR(AB119="",A119=""),"",IF(COUNTIFS($A$6:A119,A119,$AB$6:AB119,"&gt;0")=1,1,""))</f>
        <v/>
      </c>
      <c r="AH119" s="70" t="str">
        <f>IF(AB119="","",ROUND(N(W119)*N(J119)*(1-N(K119)),2))</f>
        <v/>
      </c>
      <c r="AI119" s="70" t="str">
        <f>IF(OR(J119="",N(T119)&lt;=0,V119="Oui"),"",ROUND(N(T119)*J119*(1-N(K119)),2))</f>
        <v/>
      </c>
    </row>
    <row r="120">
      <c r="A120" s="63" t="n"/>
      <c r="B120" s="64" t="n"/>
      <c r="C120" s="65" t="n"/>
      <c r="D120" s="66" t="str">
        <f>IF(C120="","",IFERROR(INDEX(sup_name,MATCH($C120,sup_code,0))&amp;"","Fournisseur inconnu"))</f>
        <v/>
      </c>
      <c r="E120" s="63" t="n"/>
      <c r="F120" s="66" t="str">
        <f>IF(E120="","",IFERROR(INDEX(art_des,MATCH($E120,art_ref,0))&amp;"","Article inconnu"))</f>
        <v/>
      </c>
      <c r="G120" s="67" t="str">
        <f>IF(E120="","",IFERROR(INDEX(art_unit,MATCH($E120,art_ref,0))&amp;"",""))</f>
        <v/>
      </c>
      <c r="H120" s="68" t="n"/>
      <c r="I120" s="69" t="n"/>
      <c r="J120" s="70" t="str">
        <f>IF(E120="","",IF(ISNUMBER(I120),I120,IFERROR(IF(ISNUMBER(INDEX(art_price,MATCH($E120,art_ref,0))),INDEX(art_price,MATCH($E120,art_ref,0)),""),"")))</f>
        <v/>
      </c>
      <c r="K120" s="71" t="n"/>
      <c r="L120" s="72" t="n"/>
      <c r="M120" s="72" t="str">
        <f>IF(E120="","",IF(L120&lt;&gt;"",L120,IFERROR(IF(ISNUMBER(INDEX(art_tva,MATCH($E120,art_ref,0))),INDEX(art_tva,MATCH($E120,art_ref,0)),""),"")))</f>
        <v/>
      </c>
      <c r="N120" s="70" t="str">
        <f>IF(OR(E120="",J120=""),"",ROUND(N(H120)*J120*(1-N(K120)),2))</f>
        <v/>
      </c>
      <c r="O120" s="70" t="str">
        <f>IF(OR(N120="",NOT(ISNUMBER(M120))),"",ROUND(N120*M120,2))</f>
        <v/>
      </c>
      <c r="P120" s="70" t="str">
        <f>IF(N120="","",N120+N(O120))</f>
        <v/>
      </c>
      <c r="Q120" s="64" t="n"/>
      <c r="R120" s="73" t="str">
        <f>IF(N(Q120)&gt;0,Q120,IF(OR(N(B120)=0,ISNA(MATCH($C120,sup_code,0))),"",IF(ISNUMBER(INDEX(sup_delay,MATCH($C120,sup_code,0))),B120+INDEX(sup_delay,MATCH($C120,sup_code,0)),"")))</f>
        <v/>
      </c>
      <c r="S120" s="64" t="n"/>
      <c r="T120" s="68" t="n"/>
      <c r="U120" s="64" t="n"/>
      <c r="V120" s="65" t="n"/>
      <c r="W120" s="74" t="str">
        <f>IF(AND(A120="",E120=""),"",IF(V120="Oui",0,MAX(0,ROUND(N(H120)-N(T120),6))))</f>
        <v/>
      </c>
      <c r="X120" s="67" t="str">
        <f>IF(AND(A120="",E120=""),"",IF(V120="Oui","Annulé",IF(AND(N(H120)&gt;0,N(T120)&gt;=N(H120)),"Reçu",IF(N(S120)=0,"Brouillon",IF(AND(ISNUMBER(R120),R120&lt;p_today),"En retard",IF(N(T120)&gt;0,"Partiel","Envoyé"))))))</f>
        <v/>
      </c>
      <c r="Y120" s="75" t="str">
        <f>IF(X120="En retard",p_today-R120,IF(AND(X120="Reçu",ISNUMBER(R120)),MAX(0,N(U120)-R120),""))</f>
        <v/>
      </c>
      <c r="Z120" s="67" t="str">
        <f>IF(AND(A120="",E120=""),"",IF(A120="","N° de bon manquant",IF(N(B120)=0,"Date de commande manquante",IF(C120="","Fournisseur manquant",IF(ISNA(MATCH($C120,sup_code,0)),"Fournisseur inconnu",IF(E120="","Article manquant",IF(ISNA(MATCH($E120,art_ref,0)),"Article inconnu",IF(N(H120)&lt;=0,"Quantité invalide",IF(J120="","Prix manquant",IF(OR(N(K120)&lt;0,N(K120)&gt;=1),"Remise invalide",IF(M120="","TVA manquante",IF(ISNA(MATCH(M120,p_tva,0)),"Taux de TVA inconnu",IF(COUNTIFS(po_num,A120,po_sup,"&lt;&gt;"&amp;C120)&gt;0,"Fournisseur différent sur ce bon",IF(COUNTIFS(po_num,A120,po_date,"&lt;&gt;"&amp;B120)&gt;0,"Date différente sur ce bon",IF(COUNTIF(po_num,A120)&gt;25,"Plus de 25 lignes sur ce bon",IF(R120="","Date de livraison manquante",IF(R120&lt;B120,"Livraison avant la commande",IF(AND(N(T120)&gt;0,N(S120)=0),"Date d'envoi manquante",IF(N(T120)&gt;N(H120),"Reçu plus que commandé",IF(AND(N(T120)&gt;0,N(U120)=0),"Date de réception manquante",IF(AND(N(U120)&gt;0,U120&lt;B120),"Réception avant la commande","OK")))))))))))))))))))))</f>
        <v/>
      </c>
      <c r="AA120" s="66" t="str">
        <f>IF(AND(X120="Reçu",ISNUMBER(R120)),IF(N(U120)&lt;=R120,1,0),"")</f>
        <v/>
      </c>
      <c r="AB120" s="76" t="str">
        <f>IF(OR(X120="Envoyé",X120="Partiel",X120="En retard"),IF(ISNUMBER(R120),R120,100000)+ROW()/100000,"")</f>
        <v/>
      </c>
      <c r="AC120" s="66" t="str">
        <f>IF(A120="","",IF(COUNTIF($A$6:A120,A120)=1,1,""))</f>
        <v/>
      </c>
      <c r="AD120" s="66" t="str">
        <f>IF(AC120=1,COUNT($AC$6:AC120),"")</f>
        <v/>
      </c>
      <c r="AE120" s="66" t="str">
        <f>IFERROR(INDEX(po_num,MATCH(115,po_seq,0))&amp;"","")</f>
        <v/>
      </c>
      <c r="AF120" s="66" t="str">
        <f>IF(OR(A120="",p_po=""),"",IF(A120&amp;""=p_po,COUNTIF($A$6:A120,A120),""))</f>
        <v/>
      </c>
      <c r="AG120" s="66" t="str">
        <f>IF(OR(AB120="",A120=""),"",IF(COUNTIFS($A$6:A120,A120,$AB$6:AB120,"&gt;0")=1,1,""))</f>
        <v/>
      </c>
      <c r="AH120" s="70" t="str">
        <f>IF(AB120="","",ROUND(N(W120)*N(J120)*(1-N(K120)),2))</f>
        <v/>
      </c>
      <c r="AI120" s="70" t="str">
        <f>IF(OR(J120="",N(T120)&lt;=0,V120="Oui"),"",ROUND(N(T120)*J120*(1-N(K120)),2))</f>
        <v/>
      </c>
    </row>
    <row r="121">
      <c r="A121" s="63" t="n"/>
      <c r="B121" s="64" t="n"/>
      <c r="C121" s="65" t="n"/>
      <c r="D121" s="66" t="str">
        <f>IF(C121="","",IFERROR(INDEX(sup_name,MATCH($C121,sup_code,0))&amp;"","Fournisseur inconnu"))</f>
        <v/>
      </c>
      <c r="E121" s="63" t="n"/>
      <c r="F121" s="66" t="str">
        <f>IF(E121="","",IFERROR(INDEX(art_des,MATCH($E121,art_ref,0))&amp;"","Article inconnu"))</f>
        <v/>
      </c>
      <c r="G121" s="67" t="str">
        <f>IF(E121="","",IFERROR(INDEX(art_unit,MATCH($E121,art_ref,0))&amp;"",""))</f>
        <v/>
      </c>
      <c r="H121" s="68" t="n"/>
      <c r="I121" s="69" t="n"/>
      <c r="J121" s="70" t="str">
        <f>IF(E121="","",IF(ISNUMBER(I121),I121,IFERROR(IF(ISNUMBER(INDEX(art_price,MATCH($E121,art_ref,0))),INDEX(art_price,MATCH($E121,art_ref,0)),""),"")))</f>
        <v/>
      </c>
      <c r="K121" s="71" t="n"/>
      <c r="L121" s="72" t="n"/>
      <c r="M121" s="72" t="str">
        <f>IF(E121="","",IF(L121&lt;&gt;"",L121,IFERROR(IF(ISNUMBER(INDEX(art_tva,MATCH($E121,art_ref,0))),INDEX(art_tva,MATCH($E121,art_ref,0)),""),"")))</f>
        <v/>
      </c>
      <c r="N121" s="70" t="str">
        <f>IF(OR(E121="",J121=""),"",ROUND(N(H121)*J121*(1-N(K121)),2))</f>
        <v/>
      </c>
      <c r="O121" s="70" t="str">
        <f>IF(OR(N121="",NOT(ISNUMBER(M121))),"",ROUND(N121*M121,2))</f>
        <v/>
      </c>
      <c r="P121" s="70" t="str">
        <f>IF(N121="","",N121+N(O121))</f>
        <v/>
      </c>
      <c r="Q121" s="64" t="n"/>
      <c r="R121" s="73" t="str">
        <f>IF(N(Q121)&gt;0,Q121,IF(OR(N(B121)=0,ISNA(MATCH($C121,sup_code,0))),"",IF(ISNUMBER(INDEX(sup_delay,MATCH($C121,sup_code,0))),B121+INDEX(sup_delay,MATCH($C121,sup_code,0)),"")))</f>
        <v/>
      </c>
      <c r="S121" s="64" t="n"/>
      <c r="T121" s="68" t="n"/>
      <c r="U121" s="64" t="n"/>
      <c r="V121" s="65" t="n"/>
      <c r="W121" s="74" t="str">
        <f>IF(AND(A121="",E121=""),"",IF(V121="Oui",0,MAX(0,ROUND(N(H121)-N(T121),6))))</f>
        <v/>
      </c>
      <c r="X121" s="67" t="str">
        <f>IF(AND(A121="",E121=""),"",IF(V121="Oui","Annulé",IF(AND(N(H121)&gt;0,N(T121)&gt;=N(H121)),"Reçu",IF(N(S121)=0,"Brouillon",IF(AND(ISNUMBER(R121),R121&lt;p_today),"En retard",IF(N(T121)&gt;0,"Partiel","Envoyé"))))))</f>
        <v/>
      </c>
      <c r="Y121" s="75" t="str">
        <f>IF(X121="En retard",p_today-R121,IF(AND(X121="Reçu",ISNUMBER(R121)),MAX(0,N(U121)-R121),""))</f>
        <v/>
      </c>
      <c r="Z121" s="67" t="str">
        <f>IF(AND(A121="",E121=""),"",IF(A121="","N° de bon manquant",IF(N(B121)=0,"Date de commande manquante",IF(C121="","Fournisseur manquant",IF(ISNA(MATCH($C121,sup_code,0)),"Fournisseur inconnu",IF(E121="","Article manquant",IF(ISNA(MATCH($E121,art_ref,0)),"Article inconnu",IF(N(H121)&lt;=0,"Quantité invalide",IF(J121="","Prix manquant",IF(OR(N(K121)&lt;0,N(K121)&gt;=1),"Remise invalide",IF(M121="","TVA manquante",IF(ISNA(MATCH(M121,p_tva,0)),"Taux de TVA inconnu",IF(COUNTIFS(po_num,A121,po_sup,"&lt;&gt;"&amp;C121)&gt;0,"Fournisseur différent sur ce bon",IF(COUNTIFS(po_num,A121,po_date,"&lt;&gt;"&amp;B121)&gt;0,"Date différente sur ce bon",IF(COUNTIF(po_num,A121)&gt;25,"Plus de 25 lignes sur ce bon",IF(R121="","Date de livraison manquante",IF(R121&lt;B121,"Livraison avant la commande",IF(AND(N(T121)&gt;0,N(S121)=0),"Date d'envoi manquante",IF(N(T121)&gt;N(H121),"Reçu plus que commandé",IF(AND(N(T121)&gt;0,N(U121)=0),"Date de réception manquante",IF(AND(N(U121)&gt;0,U121&lt;B121),"Réception avant la commande","OK")))))))))))))))))))))</f>
        <v/>
      </c>
      <c r="AA121" s="66" t="str">
        <f>IF(AND(X121="Reçu",ISNUMBER(R121)),IF(N(U121)&lt;=R121,1,0),"")</f>
        <v/>
      </c>
      <c r="AB121" s="76" t="str">
        <f>IF(OR(X121="Envoyé",X121="Partiel",X121="En retard"),IF(ISNUMBER(R121),R121,100000)+ROW()/100000,"")</f>
        <v/>
      </c>
      <c r="AC121" s="66" t="str">
        <f>IF(A121="","",IF(COUNTIF($A$6:A121,A121)=1,1,""))</f>
        <v/>
      </c>
      <c r="AD121" s="66" t="str">
        <f>IF(AC121=1,COUNT($AC$6:AC121),"")</f>
        <v/>
      </c>
      <c r="AE121" s="66" t="str">
        <f>IFERROR(INDEX(po_num,MATCH(116,po_seq,0))&amp;"","")</f>
        <v/>
      </c>
      <c r="AF121" s="66" t="str">
        <f>IF(OR(A121="",p_po=""),"",IF(A121&amp;""=p_po,COUNTIF($A$6:A121,A121),""))</f>
        <v/>
      </c>
      <c r="AG121" s="66" t="str">
        <f>IF(OR(AB121="",A121=""),"",IF(COUNTIFS($A$6:A121,A121,$AB$6:AB121,"&gt;0")=1,1,""))</f>
        <v/>
      </c>
      <c r="AH121" s="70" t="str">
        <f>IF(AB121="","",ROUND(N(W121)*N(J121)*(1-N(K121)),2))</f>
        <v/>
      </c>
      <c r="AI121" s="70" t="str">
        <f>IF(OR(J121="",N(T121)&lt;=0,V121="Oui"),"",ROUND(N(T121)*J121*(1-N(K121)),2))</f>
        <v/>
      </c>
    </row>
    <row r="122">
      <c r="A122" s="63" t="n"/>
      <c r="B122" s="64" t="n"/>
      <c r="C122" s="65" t="n"/>
      <c r="D122" s="66" t="str">
        <f>IF(C122="","",IFERROR(INDEX(sup_name,MATCH($C122,sup_code,0))&amp;"","Fournisseur inconnu"))</f>
        <v/>
      </c>
      <c r="E122" s="63" t="n"/>
      <c r="F122" s="66" t="str">
        <f>IF(E122="","",IFERROR(INDEX(art_des,MATCH($E122,art_ref,0))&amp;"","Article inconnu"))</f>
        <v/>
      </c>
      <c r="G122" s="67" t="str">
        <f>IF(E122="","",IFERROR(INDEX(art_unit,MATCH($E122,art_ref,0))&amp;"",""))</f>
        <v/>
      </c>
      <c r="H122" s="68" t="n"/>
      <c r="I122" s="69" t="n"/>
      <c r="J122" s="70" t="str">
        <f>IF(E122="","",IF(ISNUMBER(I122),I122,IFERROR(IF(ISNUMBER(INDEX(art_price,MATCH($E122,art_ref,0))),INDEX(art_price,MATCH($E122,art_ref,0)),""),"")))</f>
        <v/>
      </c>
      <c r="K122" s="71" t="n"/>
      <c r="L122" s="72" t="n"/>
      <c r="M122" s="72" t="str">
        <f>IF(E122="","",IF(L122&lt;&gt;"",L122,IFERROR(IF(ISNUMBER(INDEX(art_tva,MATCH($E122,art_ref,0))),INDEX(art_tva,MATCH($E122,art_ref,0)),""),"")))</f>
        <v/>
      </c>
      <c r="N122" s="70" t="str">
        <f>IF(OR(E122="",J122=""),"",ROUND(N(H122)*J122*(1-N(K122)),2))</f>
        <v/>
      </c>
      <c r="O122" s="70" t="str">
        <f>IF(OR(N122="",NOT(ISNUMBER(M122))),"",ROUND(N122*M122,2))</f>
        <v/>
      </c>
      <c r="P122" s="70" t="str">
        <f>IF(N122="","",N122+N(O122))</f>
        <v/>
      </c>
      <c r="Q122" s="64" t="n"/>
      <c r="R122" s="73" t="str">
        <f>IF(N(Q122)&gt;0,Q122,IF(OR(N(B122)=0,ISNA(MATCH($C122,sup_code,0))),"",IF(ISNUMBER(INDEX(sup_delay,MATCH($C122,sup_code,0))),B122+INDEX(sup_delay,MATCH($C122,sup_code,0)),"")))</f>
        <v/>
      </c>
      <c r="S122" s="64" t="n"/>
      <c r="T122" s="68" t="n"/>
      <c r="U122" s="64" t="n"/>
      <c r="V122" s="65" t="n"/>
      <c r="W122" s="74" t="str">
        <f>IF(AND(A122="",E122=""),"",IF(V122="Oui",0,MAX(0,ROUND(N(H122)-N(T122),6))))</f>
        <v/>
      </c>
      <c r="X122" s="67" t="str">
        <f>IF(AND(A122="",E122=""),"",IF(V122="Oui","Annulé",IF(AND(N(H122)&gt;0,N(T122)&gt;=N(H122)),"Reçu",IF(N(S122)=0,"Brouillon",IF(AND(ISNUMBER(R122),R122&lt;p_today),"En retard",IF(N(T122)&gt;0,"Partiel","Envoyé"))))))</f>
        <v/>
      </c>
      <c r="Y122" s="75" t="str">
        <f>IF(X122="En retard",p_today-R122,IF(AND(X122="Reçu",ISNUMBER(R122)),MAX(0,N(U122)-R122),""))</f>
        <v/>
      </c>
      <c r="Z122" s="67" t="str">
        <f>IF(AND(A122="",E122=""),"",IF(A122="","N° de bon manquant",IF(N(B122)=0,"Date de commande manquante",IF(C122="","Fournisseur manquant",IF(ISNA(MATCH($C122,sup_code,0)),"Fournisseur inconnu",IF(E122="","Article manquant",IF(ISNA(MATCH($E122,art_ref,0)),"Article inconnu",IF(N(H122)&lt;=0,"Quantité invalide",IF(J122="","Prix manquant",IF(OR(N(K122)&lt;0,N(K122)&gt;=1),"Remise invalide",IF(M122="","TVA manquante",IF(ISNA(MATCH(M122,p_tva,0)),"Taux de TVA inconnu",IF(COUNTIFS(po_num,A122,po_sup,"&lt;&gt;"&amp;C122)&gt;0,"Fournisseur différent sur ce bon",IF(COUNTIFS(po_num,A122,po_date,"&lt;&gt;"&amp;B122)&gt;0,"Date différente sur ce bon",IF(COUNTIF(po_num,A122)&gt;25,"Plus de 25 lignes sur ce bon",IF(R122="","Date de livraison manquante",IF(R122&lt;B122,"Livraison avant la commande",IF(AND(N(T122)&gt;0,N(S122)=0),"Date d'envoi manquante",IF(N(T122)&gt;N(H122),"Reçu plus que commandé",IF(AND(N(T122)&gt;0,N(U122)=0),"Date de réception manquante",IF(AND(N(U122)&gt;0,U122&lt;B122),"Réception avant la commande","OK")))))))))))))))))))))</f>
        <v/>
      </c>
      <c r="AA122" s="66" t="str">
        <f>IF(AND(X122="Reçu",ISNUMBER(R122)),IF(N(U122)&lt;=R122,1,0),"")</f>
        <v/>
      </c>
      <c r="AB122" s="76" t="str">
        <f>IF(OR(X122="Envoyé",X122="Partiel",X122="En retard"),IF(ISNUMBER(R122),R122,100000)+ROW()/100000,"")</f>
        <v/>
      </c>
      <c r="AC122" s="66" t="str">
        <f>IF(A122="","",IF(COUNTIF($A$6:A122,A122)=1,1,""))</f>
        <v/>
      </c>
      <c r="AD122" s="66" t="str">
        <f>IF(AC122=1,COUNT($AC$6:AC122),"")</f>
        <v/>
      </c>
      <c r="AE122" s="66" t="str">
        <f>IFERROR(INDEX(po_num,MATCH(117,po_seq,0))&amp;"","")</f>
        <v/>
      </c>
      <c r="AF122" s="66" t="str">
        <f>IF(OR(A122="",p_po=""),"",IF(A122&amp;""=p_po,COUNTIF($A$6:A122,A122),""))</f>
        <v/>
      </c>
      <c r="AG122" s="66" t="str">
        <f>IF(OR(AB122="",A122=""),"",IF(COUNTIFS($A$6:A122,A122,$AB$6:AB122,"&gt;0")=1,1,""))</f>
        <v/>
      </c>
      <c r="AH122" s="70" t="str">
        <f>IF(AB122="","",ROUND(N(W122)*N(J122)*(1-N(K122)),2))</f>
        <v/>
      </c>
      <c r="AI122" s="70" t="str">
        <f>IF(OR(J122="",N(T122)&lt;=0,V122="Oui"),"",ROUND(N(T122)*J122*(1-N(K122)),2))</f>
        <v/>
      </c>
    </row>
    <row r="123">
      <c r="A123" s="63" t="n"/>
      <c r="B123" s="64" t="n"/>
      <c r="C123" s="65" t="n"/>
      <c r="D123" s="66" t="str">
        <f>IF(C123="","",IFERROR(INDEX(sup_name,MATCH($C123,sup_code,0))&amp;"","Fournisseur inconnu"))</f>
        <v/>
      </c>
      <c r="E123" s="63" t="n"/>
      <c r="F123" s="66" t="str">
        <f>IF(E123="","",IFERROR(INDEX(art_des,MATCH($E123,art_ref,0))&amp;"","Article inconnu"))</f>
        <v/>
      </c>
      <c r="G123" s="67" t="str">
        <f>IF(E123="","",IFERROR(INDEX(art_unit,MATCH($E123,art_ref,0))&amp;"",""))</f>
        <v/>
      </c>
      <c r="H123" s="68" t="n"/>
      <c r="I123" s="69" t="n"/>
      <c r="J123" s="70" t="str">
        <f>IF(E123="","",IF(ISNUMBER(I123),I123,IFERROR(IF(ISNUMBER(INDEX(art_price,MATCH($E123,art_ref,0))),INDEX(art_price,MATCH($E123,art_ref,0)),""),"")))</f>
        <v/>
      </c>
      <c r="K123" s="71" t="n"/>
      <c r="L123" s="72" t="n"/>
      <c r="M123" s="72" t="str">
        <f>IF(E123="","",IF(L123&lt;&gt;"",L123,IFERROR(IF(ISNUMBER(INDEX(art_tva,MATCH($E123,art_ref,0))),INDEX(art_tva,MATCH($E123,art_ref,0)),""),"")))</f>
        <v/>
      </c>
      <c r="N123" s="70" t="str">
        <f>IF(OR(E123="",J123=""),"",ROUND(N(H123)*J123*(1-N(K123)),2))</f>
        <v/>
      </c>
      <c r="O123" s="70" t="str">
        <f>IF(OR(N123="",NOT(ISNUMBER(M123))),"",ROUND(N123*M123,2))</f>
        <v/>
      </c>
      <c r="P123" s="70" t="str">
        <f>IF(N123="","",N123+N(O123))</f>
        <v/>
      </c>
      <c r="Q123" s="64" t="n"/>
      <c r="R123" s="73" t="str">
        <f>IF(N(Q123)&gt;0,Q123,IF(OR(N(B123)=0,ISNA(MATCH($C123,sup_code,0))),"",IF(ISNUMBER(INDEX(sup_delay,MATCH($C123,sup_code,0))),B123+INDEX(sup_delay,MATCH($C123,sup_code,0)),"")))</f>
        <v/>
      </c>
      <c r="S123" s="64" t="n"/>
      <c r="T123" s="68" t="n"/>
      <c r="U123" s="64" t="n"/>
      <c r="V123" s="65" t="n"/>
      <c r="W123" s="74" t="str">
        <f>IF(AND(A123="",E123=""),"",IF(V123="Oui",0,MAX(0,ROUND(N(H123)-N(T123),6))))</f>
        <v/>
      </c>
      <c r="X123" s="67" t="str">
        <f>IF(AND(A123="",E123=""),"",IF(V123="Oui","Annulé",IF(AND(N(H123)&gt;0,N(T123)&gt;=N(H123)),"Reçu",IF(N(S123)=0,"Brouillon",IF(AND(ISNUMBER(R123),R123&lt;p_today),"En retard",IF(N(T123)&gt;0,"Partiel","Envoyé"))))))</f>
        <v/>
      </c>
      <c r="Y123" s="75" t="str">
        <f>IF(X123="En retard",p_today-R123,IF(AND(X123="Reçu",ISNUMBER(R123)),MAX(0,N(U123)-R123),""))</f>
        <v/>
      </c>
      <c r="Z123" s="67" t="str">
        <f>IF(AND(A123="",E123=""),"",IF(A123="","N° de bon manquant",IF(N(B123)=0,"Date de commande manquante",IF(C123="","Fournisseur manquant",IF(ISNA(MATCH($C123,sup_code,0)),"Fournisseur inconnu",IF(E123="","Article manquant",IF(ISNA(MATCH($E123,art_ref,0)),"Article inconnu",IF(N(H123)&lt;=0,"Quantité invalide",IF(J123="","Prix manquant",IF(OR(N(K123)&lt;0,N(K123)&gt;=1),"Remise invalide",IF(M123="","TVA manquante",IF(ISNA(MATCH(M123,p_tva,0)),"Taux de TVA inconnu",IF(COUNTIFS(po_num,A123,po_sup,"&lt;&gt;"&amp;C123)&gt;0,"Fournisseur différent sur ce bon",IF(COUNTIFS(po_num,A123,po_date,"&lt;&gt;"&amp;B123)&gt;0,"Date différente sur ce bon",IF(COUNTIF(po_num,A123)&gt;25,"Plus de 25 lignes sur ce bon",IF(R123="","Date de livraison manquante",IF(R123&lt;B123,"Livraison avant la commande",IF(AND(N(T123)&gt;0,N(S123)=0),"Date d'envoi manquante",IF(N(T123)&gt;N(H123),"Reçu plus que commandé",IF(AND(N(T123)&gt;0,N(U123)=0),"Date de réception manquante",IF(AND(N(U123)&gt;0,U123&lt;B123),"Réception avant la commande","OK")))))))))))))))))))))</f>
        <v/>
      </c>
      <c r="AA123" s="66" t="str">
        <f>IF(AND(X123="Reçu",ISNUMBER(R123)),IF(N(U123)&lt;=R123,1,0),"")</f>
        <v/>
      </c>
      <c r="AB123" s="76" t="str">
        <f>IF(OR(X123="Envoyé",X123="Partiel",X123="En retard"),IF(ISNUMBER(R123),R123,100000)+ROW()/100000,"")</f>
        <v/>
      </c>
      <c r="AC123" s="66" t="str">
        <f>IF(A123="","",IF(COUNTIF($A$6:A123,A123)=1,1,""))</f>
        <v/>
      </c>
      <c r="AD123" s="66" t="str">
        <f>IF(AC123=1,COUNT($AC$6:AC123),"")</f>
        <v/>
      </c>
      <c r="AE123" s="66" t="str">
        <f>IFERROR(INDEX(po_num,MATCH(118,po_seq,0))&amp;"","")</f>
        <v/>
      </c>
      <c r="AF123" s="66" t="str">
        <f>IF(OR(A123="",p_po=""),"",IF(A123&amp;""=p_po,COUNTIF($A$6:A123,A123),""))</f>
        <v/>
      </c>
      <c r="AG123" s="66" t="str">
        <f>IF(OR(AB123="",A123=""),"",IF(COUNTIFS($A$6:A123,A123,$AB$6:AB123,"&gt;0")=1,1,""))</f>
        <v/>
      </c>
      <c r="AH123" s="70" t="str">
        <f>IF(AB123="","",ROUND(N(W123)*N(J123)*(1-N(K123)),2))</f>
        <v/>
      </c>
      <c r="AI123" s="70" t="str">
        <f>IF(OR(J123="",N(T123)&lt;=0,V123="Oui"),"",ROUND(N(T123)*J123*(1-N(K123)),2))</f>
        <v/>
      </c>
    </row>
    <row r="124">
      <c r="A124" s="63" t="n"/>
      <c r="B124" s="64" t="n"/>
      <c r="C124" s="65" t="n"/>
      <c r="D124" s="66" t="str">
        <f>IF(C124="","",IFERROR(INDEX(sup_name,MATCH($C124,sup_code,0))&amp;"","Fournisseur inconnu"))</f>
        <v/>
      </c>
      <c r="E124" s="63" t="n"/>
      <c r="F124" s="66" t="str">
        <f>IF(E124="","",IFERROR(INDEX(art_des,MATCH($E124,art_ref,0))&amp;"","Article inconnu"))</f>
        <v/>
      </c>
      <c r="G124" s="67" t="str">
        <f>IF(E124="","",IFERROR(INDEX(art_unit,MATCH($E124,art_ref,0))&amp;"",""))</f>
        <v/>
      </c>
      <c r="H124" s="68" t="n"/>
      <c r="I124" s="69" t="n"/>
      <c r="J124" s="70" t="str">
        <f>IF(E124="","",IF(ISNUMBER(I124),I124,IFERROR(IF(ISNUMBER(INDEX(art_price,MATCH($E124,art_ref,0))),INDEX(art_price,MATCH($E124,art_ref,0)),""),"")))</f>
        <v/>
      </c>
      <c r="K124" s="71" t="n"/>
      <c r="L124" s="72" t="n"/>
      <c r="M124" s="72" t="str">
        <f>IF(E124="","",IF(L124&lt;&gt;"",L124,IFERROR(IF(ISNUMBER(INDEX(art_tva,MATCH($E124,art_ref,0))),INDEX(art_tva,MATCH($E124,art_ref,0)),""),"")))</f>
        <v/>
      </c>
      <c r="N124" s="70" t="str">
        <f>IF(OR(E124="",J124=""),"",ROUND(N(H124)*J124*(1-N(K124)),2))</f>
        <v/>
      </c>
      <c r="O124" s="70" t="str">
        <f>IF(OR(N124="",NOT(ISNUMBER(M124))),"",ROUND(N124*M124,2))</f>
        <v/>
      </c>
      <c r="P124" s="70" t="str">
        <f>IF(N124="","",N124+N(O124))</f>
        <v/>
      </c>
      <c r="Q124" s="64" t="n"/>
      <c r="R124" s="73" t="str">
        <f>IF(N(Q124)&gt;0,Q124,IF(OR(N(B124)=0,ISNA(MATCH($C124,sup_code,0))),"",IF(ISNUMBER(INDEX(sup_delay,MATCH($C124,sup_code,0))),B124+INDEX(sup_delay,MATCH($C124,sup_code,0)),"")))</f>
        <v/>
      </c>
      <c r="S124" s="64" t="n"/>
      <c r="T124" s="68" t="n"/>
      <c r="U124" s="64" t="n"/>
      <c r="V124" s="65" t="n"/>
      <c r="W124" s="74" t="str">
        <f>IF(AND(A124="",E124=""),"",IF(V124="Oui",0,MAX(0,ROUND(N(H124)-N(T124),6))))</f>
        <v/>
      </c>
      <c r="X124" s="67" t="str">
        <f>IF(AND(A124="",E124=""),"",IF(V124="Oui","Annulé",IF(AND(N(H124)&gt;0,N(T124)&gt;=N(H124)),"Reçu",IF(N(S124)=0,"Brouillon",IF(AND(ISNUMBER(R124),R124&lt;p_today),"En retard",IF(N(T124)&gt;0,"Partiel","Envoyé"))))))</f>
        <v/>
      </c>
      <c r="Y124" s="75" t="str">
        <f>IF(X124="En retard",p_today-R124,IF(AND(X124="Reçu",ISNUMBER(R124)),MAX(0,N(U124)-R124),""))</f>
        <v/>
      </c>
      <c r="Z124" s="67" t="str">
        <f>IF(AND(A124="",E124=""),"",IF(A124="","N° de bon manquant",IF(N(B124)=0,"Date de commande manquante",IF(C124="","Fournisseur manquant",IF(ISNA(MATCH($C124,sup_code,0)),"Fournisseur inconnu",IF(E124="","Article manquant",IF(ISNA(MATCH($E124,art_ref,0)),"Article inconnu",IF(N(H124)&lt;=0,"Quantité invalide",IF(J124="","Prix manquant",IF(OR(N(K124)&lt;0,N(K124)&gt;=1),"Remise invalide",IF(M124="","TVA manquante",IF(ISNA(MATCH(M124,p_tva,0)),"Taux de TVA inconnu",IF(COUNTIFS(po_num,A124,po_sup,"&lt;&gt;"&amp;C124)&gt;0,"Fournisseur différent sur ce bon",IF(COUNTIFS(po_num,A124,po_date,"&lt;&gt;"&amp;B124)&gt;0,"Date différente sur ce bon",IF(COUNTIF(po_num,A124)&gt;25,"Plus de 25 lignes sur ce bon",IF(R124="","Date de livraison manquante",IF(R124&lt;B124,"Livraison avant la commande",IF(AND(N(T124)&gt;0,N(S124)=0),"Date d'envoi manquante",IF(N(T124)&gt;N(H124),"Reçu plus que commandé",IF(AND(N(T124)&gt;0,N(U124)=0),"Date de réception manquante",IF(AND(N(U124)&gt;0,U124&lt;B124),"Réception avant la commande","OK")))))))))))))))))))))</f>
        <v/>
      </c>
      <c r="AA124" s="66" t="str">
        <f>IF(AND(X124="Reçu",ISNUMBER(R124)),IF(N(U124)&lt;=R124,1,0),"")</f>
        <v/>
      </c>
      <c r="AB124" s="76" t="str">
        <f>IF(OR(X124="Envoyé",X124="Partiel",X124="En retard"),IF(ISNUMBER(R124),R124,100000)+ROW()/100000,"")</f>
        <v/>
      </c>
      <c r="AC124" s="66" t="str">
        <f>IF(A124="","",IF(COUNTIF($A$6:A124,A124)=1,1,""))</f>
        <v/>
      </c>
      <c r="AD124" s="66" t="str">
        <f>IF(AC124=1,COUNT($AC$6:AC124),"")</f>
        <v/>
      </c>
      <c r="AE124" s="66" t="str">
        <f>IFERROR(INDEX(po_num,MATCH(119,po_seq,0))&amp;"","")</f>
        <v/>
      </c>
      <c r="AF124" s="66" t="str">
        <f>IF(OR(A124="",p_po=""),"",IF(A124&amp;""=p_po,COUNTIF($A$6:A124,A124),""))</f>
        <v/>
      </c>
      <c r="AG124" s="66" t="str">
        <f>IF(OR(AB124="",A124=""),"",IF(COUNTIFS($A$6:A124,A124,$AB$6:AB124,"&gt;0")=1,1,""))</f>
        <v/>
      </c>
      <c r="AH124" s="70" t="str">
        <f>IF(AB124="","",ROUND(N(W124)*N(J124)*(1-N(K124)),2))</f>
        <v/>
      </c>
      <c r="AI124" s="70" t="str">
        <f>IF(OR(J124="",N(T124)&lt;=0,V124="Oui"),"",ROUND(N(T124)*J124*(1-N(K124)),2))</f>
        <v/>
      </c>
    </row>
    <row r="125">
      <c r="A125" s="63" t="n"/>
      <c r="B125" s="64" t="n"/>
      <c r="C125" s="65" t="n"/>
      <c r="D125" s="66" t="str">
        <f>IF(C125="","",IFERROR(INDEX(sup_name,MATCH($C125,sup_code,0))&amp;"","Fournisseur inconnu"))</f>
        <v/>
      </c>
      <c r="E125" s="63" t="n"/>
      <c r="F125" s="66" t="str">
        <f>IF(E125="","",IFERROR(INDEX(art_des,MATCH($E125,art_ref,0))&amp;"","Article inconnu"))</f>
        <v/>
      </c>
      <c r="G125" s="67" t="str">
        <f>IF(E125="","",IFERROR(INDEX(art_unit,MATCH($E125,art_ref,0))&amp;"",""))</f>
        <v/>
      </c>
      <c r="H125" s="68" t="n"/>
      <c r="I125" s="69" t="n"/>
      <c r="J125" s="70" t="str">
        <f>IF(E125="","",IF(ISNUMBER(I125),I125,IFERROR(IF(ISNUMBER(INDEX(art_price,MATCH($E125,art_ref,0))),INDEX(art_price,MATCH($E125,art_ref,0)),""),"")))</f>
        <v/>
      </c>
      <c r="K125" s="71" t="n"/>
      <c r="L125" s="72" t="n"/>
      <c r="M125" s="72" t="str">
        <f>IF(E125="","",IF(L125&lt;&gt;"",L125,IFERROR(IF(ISNUMBER(INDEX(art_tva,MATCH($E125,art_ref,0))),INDEX(art_tva,MATCH($E125,art_ref,0)),""),"")))</f>
        <v/>
      </c>
      <c r="N125" s="70" t="str">
        <f>IF(OR(E125="",J125=""),"",ROUND(N(H125)*J125*(1-N(K125)),2))</f>
        <v/>
      </c>
      <c r="O125" s="70" t="str">
        <f>IF(OR(N125="",NOT(ISNUMBER(M125))),"",ROUND(N125*M125,2))</f>
        <v/>
      </c>
      <c r="P125" s="70" t="str">
        <f>IF(N125="","",N125+N(O125))</f>
        <v/>
      </c>
      <c r="Q125" s="64" t="n"/>
      <c r="R125" s="73" t="str">
        <f>IF(N(Q125)&gt;0,Q125,IF(OR(N(B125)=0,ISNA(MATCH($C125,sup_code,0))),"",IF(ISNUMBER(INDEX(sup_delay,MATCH($C125,sup_code,0))),B125+INDEX(sup_delay,MATCH($C125,sup_code,0)),"")))</f>
        <v/>
      </c>
      <c r="S125" s="64" t="n"/>
      <c r="T125" s="68" t="n"/>
      <c r="U125" s="64" t="n"/>
      <c r="V125" s="65" t="n"/>
      <c r="W125" s="74" t="str">
        <f>IF(AND(A125="",E125=""),"",IF(V125="Oui",0,MAX(0,ROUND(N(H125)-N(T125),6))))</f>
        <v/>
      </c>
      <c r="X125" s="67" t="str">
        <f>IF(AND(A125="",E125=""),"",IF(V125="Oui","Annulé",IF(AND(N(H125)&gt;0,N(T125)&gt;=N(H125)),"Reçu",IF(N(S125)=0,"Brouillon",IF(AND(ISNUMBER(R125),R125&lt;p_today),"En retard",IF(N(T125)&gt;0,"Partiel","Envoyé"))))))</f>
        <v/>
      </c>
      <c r="Y125" s="75" t="str">
        <f>IF(X125="En retard",p_today-R125,IF(AND(X125="Reçu",ISNUMBER(R125)),MAX(0,N(U125)-R125),""))</f>
        <v/>
      </c>
      <c r="Z125" s="67" t="str">
        <f>IF(AND(A125="",E125=""),"",IF(A125="","N° de bon manquant",IF(N(B125)=0,"Date de commande manquante",IF(C125="","Fournisseur manquant",IF(ISNA(MATCH($C125,sup_code,0)),"Fournisseur inconnu",IF(E125="","Article manquant",IF(ISNA(MATCH($E125,art_ref,0)),"Article inconnu",IF(N(H125)&lt;=0,"Quantité invalide",IF(J125="","Prix manquant",IF(OR(N(K125)&lt;0,N(K125)&gt;=1),"Remise invalide",IF(M125="","TVA manquante",IF(ISNA(MATCH(M125,p_tva,0)),"Taux de TVA inconnu",IF(COUNTIFS(po_num,A125,po_sup,"&lt;&gt;"&amp;C125)&gt;0,"Fournisseur différent sur ce bon",IF(COUNTIFS(po_num,A125,po_date,"&lt;&gt;"&amp;B125)&gt;0,"Date différente sur ce bon",IF(COUNTIF(po_num,A125)&gt;25,"Plus de 25 lignes sur ce bon",IF(R125="","Date de livraison manquante",IF(R125&lt;B125,"Livraison avant la commande",IF(AND(N(T125)&gt;0,N(S125)=0),"Date d'envoi manquante",IF(N(T125)&gt;N(H125),"Reçu plus que commandé",IF(AND(N(T125)&gt;0,N(U125)=0),"Date de réception manquante",IF(AND(N(U125)&gt;0,U125&lt;B125),"Réception avant la commande","OK")))))))))))))))))))))</f>
        <v/>
      </c>
      <c r="AA125" s="66" t="str">
        <f>IF(AND(X125="Reçu",ISNUMBER(R125)),IF(N(U125)&lt;=R125,1,0),"")</f>
        <v/>
      </c>
      <c r="AB125" s="76" t="str">
        <f>IF(OR(X125="Envoyé",X125="Partiel",X125="En retard"),IF(ISNUMBER(R125),R125,100000)+ROW()/100000,"")</f>
        <v/>
      </c>
      <c r="AC125" s="66" t="str">
        <f>IF(A125="","",IF(COUNTIF($A$6:A125,A125)=1,1,""))</f>
        <v/>
      </c>
      <c r="AD125" s="66" t="str">
        <f>IF(AC125=1,COUNT($AC$6:AC125),"")</f>
        <v/>
      </c>
      <c r="AE125" s="66" t="str">
        <f>IFERROR(INDEX(po_num,MATCH(120,po_seq,0))&amp;"","")</f>
        <v/>
      </c>
      <c r="AF125" s="66" t="str">
        <f>IF(OR(A125="",p_po=""),"",IF(A125&amp;""=p_po,COUNTIF($A$6:A125,A125),""))</f>
        <v/>
      </c>
      <c r="AG125" s="66" t="str">
        <f>IF(OR(AB125="",A125=""),"",IF(COUNTIFS($A$6:A125,A125,$AB$6:AB125,"&gt;0")=1,1,""))</f>
        <v/>
      </c>
      <c r="AH125" s="70" t="str">
        <f>IF(AB125="","",ROUND(N(W125)*N(J125)*(1-N(K125)),2))</f>
        <v/>
      </c>
      <c r="AI125" s="70" t="str">
        <f>IF(OR(J125="",N(T125)&lt;=0,V125="Oui"),"",ROUND(N(T125)*J125*(1-N(K125)),2))</f>
        <v/>
      </c>
    </row>
    <row r="126">
      <c r="A126" s="63" t="n"/>
      <c r="B126" s="64" t="n"/>
      <c r="C126" s="65" t="n"/>
      <c r="D126" s="66" t="str">
        <f>IF(C126="","",IFERROR(INDEX(sup_name,MATCH($C126,sup_code,0))&amp;"","Fournisseur inconnu"))</f>
        <v/>
      </c>
      <c r="E126" s="63" t="n"/>
      <c r="F126" s="66" t="str">
        <f>IF(E126="","",IFERROR(INDEX(art_des,MATCH($E126,art_ref,0))&amp;"","Article inconnu"))</f>
        <v/>
      </c>
      <c r="G126" s="67" t="str">
        <f>IF(E126="","",IFERROR(INDEX(art_unit,MATCH($E126,art_ref,0))&amp;"",""))</f>
        <v/>
      </c>
      <c r="H126" s="68" t="n"/>
      <c r="I126" s="69" t="n"/>
      <c r="J126" s="70" t="str">
        <f>IF(E126="","",IF(ISNUMBER(I126),I126,IFERROR(IF(ISNUMBER(INDEX(art_price,MATCH($E126,art_ref,0))),INDEX(art_price,MATCH($E126,art_ref,0)),""),"")))</f>
        <v/>
      </c>
      <c r="K126" s="71" t="n"/>
      <c r="L126" s="72" t="n"/>
      <c r="M126" s="72" t="str">
        <f>IF(E126="","",IF(L126&lt;&gt;"",L126,IFERROR(IF(ISNUMBER(INDEX(art_tva,MATCH($E126,art_ref,0))),INDEX(art_tva,MATCH($E126,art_ref,0)),""),"")))</f>
        <v/>
      </c>
      <c r="N126" s="70" t="str">
        <f>IF(OR(E126="",J126=""),"",ROUND(N(H126)*J126*(1-N(K126)),2))</f>
        <v/>
      </c>
      <c r="O126" s="70" t="str">
        <f>IF(OR(N126="",NOT(ISNUMBER(M126))),"",ROUND(N126*M126,2))</f>
        <v/>
      </c>
      <c r="P126" s="70" t="str">
        <f>IF(N126="","",N126+N(O126))</f>
        <v/>
      </c>
      <c r="Q126" s="64" t="n"/>
      <c r="R126" s="73" t="str">
        <f>IF(N(Q126)&gt;0,Q126,IF(OR(N(B126)=0,ISNA(MATCH($C126,sup_code,0))),"",IF(ISNUMBER(INDEX(sup_delay,MATCH($C126,sup_code,0))),B126+INDEX(sup_delay,MATCH($C126,sup_code,0)),"")))</f>
        <v/>
      </c>
      <c r="S126" s="64" t="n"/>
      <c r="T126" s="68" t="n"/>
      <c r="U126" s="64" t="n"/>
      <c r="V126" s="65" t="n"/>
      <c r="W126" s="74" t="str">
        <f>IF(AND(A126="",E126=""),"",IF(V126="Oui",0,MAX(0,ROUND(N(H126)-N(T126),6))))</f>
        <v/>
      </c>
      <c r="X126" s="67" t="str">
        <f>IF(AND(A126="",E126=""),"",IF(V126="Oui","Annulé",IF(AND(N(H126)&gt;0,N(T126)&gt;=N(H126)),"Reçu",IF(N(S126)=0,"Brouillon",IF(AND(ISNUMBER(R126),R126&lt;p_today),"En retard",IF(N(T126)&gt;0,"Partiel","Envoyé"))))))</f>
        <v/>
      </c>
      <c r="Y126" s="75" t="str">
        <f>IF(X126="En retard",p_today-R126,IF(AND(X126="Reçu",ISNUMBER(R126)),MAX(0,N(U126)-R126),""))</f>
        <v/>
      </c>
      <c r="Z126" s="67" t="str">
        <f>IF(AND(A126="",E126=""),"",IF(A126="","N° de bon manquant",IF(N(B126)=0,"Date de commande manquante",IF(C126="","Fournisseur manquant",IF(ISNA(MATCH($C126,sup_code,0)),"Fournisseur inconnu",IF(E126="","Article manquant",IF(ISNA(MATCH($E126,art_ref,0)),"Article inconnu",IF(N(H126)&lt;=0,"Quantité invalide",IF(J126="","Prix manquant",IF(OR(N(K126)&lt;0,N(K126)&gt;=1),"Remise invalide",IF(M126="","TVA manquante",IF(ISNA(MATCH(M126,p_tva,0)),"Taux de TVA inconnu",IF(COUNTIFS(po_num,A126,po_sup,"&lt;&gt;"&amp;C126)&gt;0,"Fournisseur différent sur ce bon",IF(COUNTIFS(po_num,A126,po_date,"&lt;&gt;"&amp;B126)&gt;0,"Date différente sur ce bon",IF(COUNTIF(po_num,A126)&gt;25,"Plus de 25 lignes sur ce bon",IF(R126="","Date de livraison manquante",IF(R126&lt;B126,"Livraison avant la commande",IF(AND(N(T126)&gt;0,N(S126)=0),"Date d'envoi manquante",IF(N(T126)&gt;N(H126),"Reçu plus que commandé",IF(AND(N(T126)&gt;0,N(U126)=0),"Date de réception manquante",IF(AND(N(U126)&gt;0,U126&lt;B126),"Réception avant la commande","OK")))))))))))))))))))))</f>
        <v/>
      </c>
      <c r="AA126" s="66" t="str">
        <f>IF(AND(X126="Reçu",ISNUMBER(R126)),IF(N(U126)&lt;=R126,1,0),"")</f>
        <v/>
      </c>
      <c r="AB126" s="76" t="str">
        <f>IF(OR(X126="Envoyé",X126="Partiel",X126="En retard"),IF(ISNUMBER(R126),R126,100000)+ROW()/100000,"")</f>
        <v/>
      </c>
      <c r="AC126" s="66" t="str">
        <f>IF(A126="","",IF(COUNTIF($A$6:A126,A126)=1,1,""))</f>
        <v/>
      </c>
      <c r="AD126" s="66" t="str">
        <f>IF(AC126=1,COUNT($AC$6:AC126),"")</f>
        <v/>
      </c>
      <c r="AE126" s="66" t="str">
        <f>IFERROR(INDEX(po_num,MATCH(121,po_seq,0))&amp;"","")</f>
        <v/>
      </c>
      <c r="AF126" s="66" t="str">
        <f>IF(OR(A126="",p_po=""),"",IF(A126&amp;""=p_po,COUNTIF($A$6:A126,A126),""))</f>
        <v/>
      </c>
      <c r="AG126" s="66" t="str">
        <f>IF(OR(AB126="",A126=""),"",IF(COUNTIFS($A$6:A126,A126,$AB$6:AB126,"&gt;0")=1,1,""))</f>
        <v/>
      </c>
      <c r="AH126" s="70" t="str">
        <f>IF(AB126="","",ROUND(N(W126)*N(J126)*(1-N(K126)),2))</f>
        <v/>
      </c>
      <c r="AI126" s="70" t="str">
        <f>IF(OR(J126="",N(T126)&lt;=0,V126="Oui"),"",ROUND(N(T126)*J126*(1-N(K126)),2))</f>
        <v/>
      </c>
    </row>
    <row r="127">
      <c r="A127" s="63" t="n"/>
      <c r="B127" s="64" t="n"/>
      <c r="C127" s="65" t="n"/>
      <c r="D127" s="66" t="str">
        <f>IF(C127="","",IFERROR(INDEX(sup_name,MATCH($C127,sup_code,0))&amp;"","Fournisseur inconnu"))</f>
        <v/>
      </c>
      <c r="E127" s="63" t="n"/>
      <c r="F127" s="66" t="str">
        <f>IF(E127="","",IFERROR(INDEX(art_des,MATCH($E127,art_ref,0))&amp;"","Article inconnu"))</f>
        <v/>
      </c>
      <c r="G127" s="67" t="str">
        <f>IF(E127="","",IFERROR(INDEX(art_unit,MATCH($E127,art_ref,0))&amp;"",""))</f>
        <v/>
      </c>
      <c r="H127" s="68" t="n"/>
      <c r="I127" s="69" t="n"/>
      <c r="J127" s="70" t="str">
        <f>IF(E127="","",IF(ISNUMBER(I127),I127,IFERROR(IF(ISNUMBER(INDEX(art_price,MATCH($E127,art_ref,0))),INDEX(art_price,MATCH($E127,art_ref,0)),""),"")))</f>
        <v/>
      </c>
      <c r="K127" s="71" t="n"/>
      <c r="L127" s="72" t="n"/>
      <c r="M127" s="72" t="str">
        <f>IF(E127="","",IF(L127&lt;&gt;"",L127,IFERROR(IF(ISNUMBER(INDEX(art_tva,MATCH($E127,art_ref,0))),INDEX(art_tva,MATCH($E127,art_ref,0)),""),"")))</f>
        <v/>
      </c>
      <c r="N127" s="70" t="str">
        <f>IF(OR(E127="",J127=""),"",ROUND(N(H127)*J127*(1-N(K127)),2))</f>
        <v/>
      </c>
      <c r="O127" s="70" t="str">
        <f>IF(OR(N127="",NOT(ISNUMBER(M127))),"",ROUND(N127*M127,2))</f>
        <v/>
      </c>
      <c r="P127" s="70" t="str">
        <f>IF(N127="","",N127+N(O127))</f>
        <v/>
      </c>
      <c r="Q127" s="64" t="n"/>
      <c r="R127" s="73" t="str">
        <f>IF(N(Q127)&gt;0,Q127,IF(OR(N(B127)=0,ISNA(MATCH($C127,sup_code,0))),"",IF(ISNUMBER(INDEX(sup_delay,MATCH($C127,sup_code,0))),B127+INDEX(sup_delay,MATCH($C127,sup_code,0)),"")))</f>
        <v/>
      </c>
      <c r="S127" s="64" t="n"/>
      <c r="T127" s="68" t="n"/>
      <c r="U127" s="64" t="n"/>
      <c r="V127" s="65" t="n"/>
      <c r="W127" s="74" t="str">
        <f>IF(AND(A127="",E127=""),"",IF(V127="Oui",0,MAX(0,ROUND(N(H127)-N(T127),6))))</f>
        <v/>
      </c>
      <c r="X127" s="67" t="str">
        <f>IF(AND(A127="",E127=""),"",IF(V127="Oui","Annulé",IF(AND(N(H127)&gt;0,N(T127)&gt;=N(H127)),"Reçu",IF(N(S127)=0,"Brouillon",IF(AND(ISNUMBER(R127),R127&lt;p_today),"En retard",IF(N(T127)&gt;0,"Partiel","Envoyé"))))))</f>
        <v/>
      </c>
      <c r="Y127" s="75" t="str">
        <f>IF(X127="En retard",p_today-R127,IF(AND(X127="Reçu",ISNUMBER(R127)),MAX(0,N(U127)-R127),""))</f>
        <v/>
      </c>
      <c r="Z127" s="67" t="str">
        <f>IF(AND(A127="",E127=""),"",IF(A127="","N° de bon manquant",IF(N(B127)=0,"Date de commande manquante",IF(C127="","Fournisseur manquant",IF(ISNA(MATCH($C127,sup_code,0)),"Fournisseur inconnu",IF(E127="","Article manquant",IF(ISNA(MATCH($E127,art_ref,0)),"Article inconnu",IF(N(H127)&lt;=0,"Quantité invalide",IF(J127="","Prix manquant",IF(OR(N(K127)&lt;0,N(K127)&gt;=1),"Remise invalide",IF(M127="","TVA manquante",IF(ISNA(MATCH(M127,p_tva,0)),"Taux de TVA inconnu",IF(COUNTIFS(po_num,A127,po_sup,"&lt;&gt;"&amp;C127)&gt;0,"Fournisseur différent sur ce bon",IF(COUNTIFS(po_num,A127,po_date,"&lt;&gt;"&amp;B127)&gt;0,"Date différente sur ce bon",IF(COUNTIF(po_num,A127)&gt;25,"Plus de 25 lignes sur ce bon",IF(R127="","Date de livraison manquante",IF(R127&lt;B127,"Livraison avant la commande",IF(AND(N(T127)&gt;0,N(S127)=0),"Date d'envoi manquante",IF(N(T127)&gt;N(H127),"Reçu plus que commandé",IF(AND(N(T127)&gt;0,N(U127)=0),"Date de réception manquante",IF(AND(N(U127)&gt;0,U127&lt;B127),"Réception avant la commande","OK")))))))))))))))))))))</f>
        <v/>
      </c>
      <c r="AA127" s="66" t="str">
        <f>IF(AND(X127="Reçu",ISNUMBER(R127)),IF(N(U127)&lt;=R127,1,0),"")</f>
        <v/>
      </c>
      <c r="AB127" s="76" t="str">
        <f>IF(OR(X127="Envoyé",X127="Partiel",X127="En retard"),IF(ISNUMBER(R127),R127,100000)+ROW()/100000,"")</f>
        <v/>
      </c>
      <c r="AC127" s="66" t="str">
        <f>IF(A127="","",IF(COUNTIF($A$6:A127,A127)=1,1,""))</f>
        <v/>
      </c>
      <c r="AD127" s="66" t="str">
        <f>IF(AC127=1,COUNT($AC$6:AC127),"")</f>
        <v/>
      </c>
      <c r="AE127" s="66" t="str">
        <f>IFERROR(INDEX(po_num,MATCH(122,po_seq,0))&amp;"","")</f>
        <v/>
      </c>
      <c r="AF127" s="66" t="str">
        <f>IF(OR(A127="",p_po=""),"",IF(A127&amp;""=p_po,COUNTIF($A$6:A127,A127),""))</f>
        <v/>
      </c>
      <c r="AG127" s="66" t="str">
        <f>IF(OR(AB127="",A127=""),"",IF(COUNTIFS($A$6:A127,A127,$AB$6:AB127,"&gt;0")=1,1,""))</f>
        <v/>
      </c>
      <c r="AH127" s="70" t="str">
        <f>IF(AB127="","",ROUND(N(W127)*N(J127)*(1-N(K127)),2))</f>
        <v/>
      </c>
      <c r="AI127" s="70" t="str">
        <f>IF(OR(J127="",N(T127)&lt;=0,V127="Oui"),"",ROUND(N(T127)*J127*(1-N(K127)),2))</f>
        <v/>
      </c>
    </row>
    <row r="128">
      <c r="A128" s="63" t="n"/>
      <c r="B128" s="64" t="n"/>
      <c r="C128" s="65" t="n"/>
      <c r="D128" s="66" t="str">
        <f>IF(C128="","",IFERROR(INDEX(sup_name,MATCH($C128,sup_code,0))&amp;"","Fournisseur inconnu"))</f>
        <v/>
      </c>
      <c r="E128" s="63" t="n"/>
      <c r="F128" s="66" t="str">
        <f>IF(E128="","",IFERROR(INDEX(art_des,MATCH($E128,art_ref,0))&amp;"","Article inconnu"))</f>
        <v/>
      </c>
      <c r="G128" s="67" t="str">
        <f>IF(E128="","",IFERROR(INDEX(art_unit,MATCH($E128,art_ref,0))&amp;"",""))</f>
        <v/>
      </c>
      <c r="H128" s="68" t="n"/>
      <c r="I128" s="69" t="n"/>
      <c r="J128" s="70" t="str">
        <f>IF(E128="","",IF(ISNUMBER(I128),I128,IFERROR(IF(ISNUMBER(INDEX(art_price,MATCH($E128,art_ref,0))),INDEX(art_price,MATCH($E128,art_ref,0)),""),"")))</f>
        <v/>
      </c>
      <c r="K128" s="71" t="n"/>
      <c r="L128" s="72" t="n"/>
      <c r="M128" s="72" t="str">
        <f>IF(E128="","",IF(L128&lt;&gt;"",L128,IFERROR(IF(ISNUMBER(INDEX(art_tva,MATCH($E128,art_ref,0))),INDEX(art_tva,MATCH($E128,art_ref,0)),""),"")))</f>
        <v/>
      </c>
      <c r="N128" s="70" t="str">
        <f>IF(OR(E128="",J128=""),"",ROUND(N(H128)*J128*(1-N(K128)),2))</f>
        <v/>
      </c>
      <c r="O128" s="70" t="str">
        <f>IF(OR(N128="",NOT(ISNUMBER(M128))),"",ROUND(N128*M128,2))</f>
        <v/>
      </c>
      <c r="P128" s="70" t="str">
        <f>IF(N128="","",N128+N(O128))</f>
        <v/>
      </c>
      <c r="Q128" s="64" t="n"/>
      <c r="R128" s="73" t="str">
        <f>IF(N(Q128)&gt;0,Q128,IF(OR(N(B128)=0,ISNA(MATCH($C128,sup_code,0))),"",IF(ISNUMBER(INDEX(sup_delay,MATCH($C128,sup_code,0))),B128+INDEX(sup_delay,MATCH($C128,sup_code,0)),"")))</f>
        <v/>
      </c>
      <c r="S128" s="64" t="n"/>
      <c r="T128" s="68" t="n"/>
      <c r="U128" s="64" t="n"/>
      <c r="V128" s="65" t="n"/>
      <c r="W128" s="74" t="str">
        <f>IF(AND(A128="",E128=""),"",IF(V128="Oui",0,MAX(0,ROUND(N(H128)-N(T128),6))))</f>
        <v/>
      </c>
      <c r="X128" s="67" t="str">
        <f>IF(AND(A128="",E128=""),"",IF(V128="Oui","Annulé",IF(AND(N(H128)&gt;0,N(T128)&gt;=N(H128)),"Reçu",IF(N(S128)=0,"Brouillon",IF(AND(ISNUMBER(R128),R128&lt;p_today),"En retard",IF(N(T128)&gt;0,"Partiel","Envoyé"))))))</f>
        <v/>
      </c>
      <c r="Y128" s="75" t="str">
        <f>IF(X128="En retard",p_today-R128,IF(AND(X128="Reçu",ISNUMBER(R128)),MAX(0,N(U128)-R128),""))</f>
        <v/>
      </c>
      <c r="Z128" s="67" t="str">
        <f>IF(AND(A128="",E128=""),"",IF(A128="","N° de bon manquant",IF(N(B128)=0,"Date de commande manquante",IF(C128="","Fournisseur manquant",IF(ISNA(MATCH($C128,sup_code,0)),"Fournisseur inconnu",IF(E128="","Article manquant",IF(ISNA(MATCH($E128,art_ref,0)),"Article inconnu",IF(N(H128)&lt;=0,"Quantité invalide",IF(J128="","Prix manquant",IF(OR(N(K128)&lt;0,N(K128)&gt;=1),"Remise invalide",IF(M128="","TVA manquante",IF(ISNA(MATCH(M128,p_tva,0)),"Taux de TVA inconnu",IF(COUNTIFS(po_num,A128,po_sup,"&lt;&gt;"&amp;C128)&gt;0,"Fournisseur différent sur ce bon",IF(COUNTIFS(po_num,A128,po_date,"&lt;&gt;"&amp;B128)&gt;0,"Date différente sur ce bon",IF(COUNTIF(po_num,A128)&gt;25,"Plus de 25 lignes sur ce bon",IF(R128="","Date de livraison manquante",IF(R128&lt;B128,"Livraison avant la commande",IF(AND(N(T128)&gt;0,N(S128)=0),"Date d'envoi manquante",IF(N(T128)&gt;N(H128),"Reçu plus que commandé",IF(AND(N(T128)&gt;0,N(U128)=0),"Date de réception manquante",IF(AND(N(U128)&gt;0,U128&lt;B128),"Réception avant la commande","OK")))))))))))))))))))))</f>
        <v/>
      </c>
      <c r="AA128" s="66" t="str">
        <f>IF(AND(X128="Reçu",ISNUMBER(R128)),IF(N(U128)&lt;=R128,1,0),"")</f>
        <v/>
      </c>
      <c r="AB128" s="76" t="str">
        <f>IF(OR(X128="Envoyé",X128="Partiel",X128="En retard"),IF(ISNUMBER(R128),R128,100000)+ROW()/100000,"")</f>
        <v/>
      </c>
      <c r="AC128" s="66" t="str">
        <f>IF(A128="","",IF(COUNTIF($A$6:A128,A128)=1,1,""))</f>
        <v/>
      </c>
      <c r="AD128" s="66" t="str">
        <f>IF(AC128=1,COUNT($AC$6:AC128),"")</f>
        <v/>
      </c>
      <c r="AE128" s="66" t="str">
        <f>IFERROR(INDEX(po_num,MATCH(123,po_seq,0))&amp;"","")</f>
        <v/>
      </c>
      <c r="AF128" s="66" t="str">
        <f>IF(OR(A128="",p_po=""),"",IF(A128&amp;""=p_po,COUNTIF($A$6:A128,A128),""))</f>
        <v/>
      </c>
      <c r="AG128" s="66" t="str">
        <f>IF(OR(AB128="",A128=""),"",IF(COUNTIFS($A$6:A128,A128,$AB$6:AB128,"&gt;0")=1,1,""))</f>
        <v/>
      </c>
      <c r="AH128" s="70" t="str">
        <f>IF(AB128="","",ROUND(N(W128)*N(J128)*(1-N(K128)),2))</f>
        <v/>
      </c>
      <c r="AI128" s="70" t="str">
        <f>IF(OR(J128="",N(T128)&lt;=0,V128="Oui"),"",ROUND(N(T128)*J128*(1-N(K128)),2))</f>
        <v/>
      </c>
    </row>
    <row r="129">
      <c r="A129" s="63" t="n"/>
      <c r="B129" s="64" t="n"/>
      <c r="C129" s="65" t="n"/>
      <c r="D129" s="66" t="str">
        <f>IF(C129="","",IFERROR(INDEX(sup_name,MATCH($C129,sup_code,0))&amp;"","Fournisseur inconnu"))</f>
        <v/>
      </c>
      <c r="E129" s="63" t="n"/>
      <c r="F129" s="66" t="str">
        <f>IF(E129="","",IFERROR(INDEX(art_des,MATCH($E129,art_ref,0))&amp;"","Article inconnu"))</f>
        <v/>
      </c>
      <c r="G129" s="67" t="str">
        <f>IF(E129="","",IFERROR(INDEX(art_unit,MATCH($E129,art_ref,0))&amp;"",""))</f>
        <v/>
      </c>
      <c r="H129" s="68" t="n"/>
      <c r="I129" s="69" t="n"/>
      <c r="J129" s="70" t="str">
        <f>IF(E129="","",IF(ISNUMBER(I129),I129,IFERROR(IF(ISNUMBER(INDEX(art_price,MATCH($E129,art_ref,0))),INDEX(art_price,MATCH($E129,art_ref,0)),""),"")))</f>
        <v/>
      </c>
      <c r="K129" s="71" t="n"/>
      <c r="L129" s="72" t="n"/>
      <c r="M129" s="72" t="str">
        <f>IF(E129="","",IF(L129&lt;&gt;"",L129,IFERROR(IF(ISNUMBER(INDEX(art_tva,MATCH($E129,art_ref,0))),INDEX(art_tva,MATCH($E129,art_ref,0)),""),"")))</f>
        <v/>
      </c>
      <c r="N129" s="70" t="str">
        <f>IF(OR(E129="",J129=""),"",ROUND(N(H129)*J129*(1-N(K129)),2))</f>
        <v/>
      </c>
      <c r="O129" s="70" t="str">
        <f>IF(OR(N129="",NOT(ISNUMBER(M129))),"",ROUND(N129*M129,2))</f>
        <v/>
      </c>
      <c r="P129" s="70" t="str">
        <f>IF(N129="","",N129+N(O129))</f>
        <v/>
      </c>
      <c r="Q129" s="64" t="n"/>
      <c r="R129" s="73" t="str">
        <f>IF(N(Q129)&gt;0,Q129,IF(OR(N(B129)=0,ISNA(MATCH($C129,sup_code,0))),"",IF(ISNUMBER(INDEX(sup_delay,MATCH($C129,sup_code,0))),B129+INDEX(sup_delay,MATCH($C129,sup_code,0)),"")))</f>
        <v/>
      </c>
      <c r="S129" s="64" t="n"/>
      <c r="T129" s="68" t="n"/>
      <c r="U129" s="64" t="n"/>
      <c r="V129" s="65" t="n"/>
      <c r="W129" s="74" t="str">
        <f>IF(AND(A129="",E129=""),"",IF(V129="Oui",0,MAX(0,ROUND(N(H129)-N(T129),6))))</f>
        <v/>
      </c>
      <c r="X129" s="67" t="str">
        <f>IF(AND(A129="",E129=""),"",IF(V129="Oui","Annulé",IF(AND(N(H129)&gt;0,N(T129)&gt;=N(H129)),"Reçu",IF(N(S129)=0,"Brouillon",IF(AND(ISNUMBER(R129),R129&lt;p_today),"En retard",IF(N(T129)&gt;0,"Partiel","Envoyé"))))))</f>
        <v/>
      </c>
      <c r="Y129" s="75" t="str">
        <f>IF(X129="En retard",p_today-R129,IF(AND(X129="Reçu",ISNUMBER(R129)),MAX(0,N(U129)-R129),""))</f>
        <v/>
      </c>
      <c r="Z129" s="67" t="str">
        <f>IF(AND(A129="",E129=""),"",IF(A129="","N° de bon manquant",IF(N(B129)=0,"Date de commande manquante",IF(C129="","Fournisseur manquant",IF(ISNA(MATCH($C129,sup_code,0)),"Fournisseur inconnu",IF(E129="","Article manquant",IF(ISNA(MATCH($E129,art_ref,0)),"Article inconnu",IF(N(H129)&lt;=0,"Quantité invalide",IF(J129="","Prix manquant",IF(OR(N(K129)&lt;0,N(K129)&gt;=1),"Remise invalide",IF(M129="","TVA manquante",IF(ISNA(MATCH(M129,p_tva,0)),"Taux de TVA inconnu",IF(COUNTIFS(po_num,A129,po_sup,"&lt;&gt;"&amp;C129)&gt;0,"Fournisseur différent sur ce bon",IF(COUNTIFS(po_num,A129,po_date,"&lt;&gt;"&amp;B129)&gt;0,"Date différente sur ce bon",IF(COUNTIF(po_num,A129)&gt;25,"Plus de 25 lignes sur ce bon",IF(R129="","Date de livraison manquante",IF(R129&lt;B129,"Livraison avant la commande",IF(AND(N(T129)&gt;0,N(S129)=0),"Date d'envoi manquante",IF(N(T129)&gt;N(H129),"Reçu plus que commandé",IF(AND(N(T129)&gt;0,N(U129)=0),"Date de réception manquante",IF(AND(N(U129)&gt;0,U129&lt;B129),"Réception avant la commande","OK")))))))))))))))))))))</f>
        <v/>
      </c>
      <c r="AA129" s="66" t="str">
        <f>IF(AND(X129="Reçu",ISNUMBER(R129)),IF(N(U129)&lt;=R129,1,0),"")</f>
        <v/>
      </c>
      <c r="AB129" s="76" t="str">
        <f>IF(OR(X129="Envoyé",X129="Partiel",X129="En retard"),IF(ISNUMBER(R129),R129,100000)+ROW()/100000,"")</f>
        <v/>
      </c>
      <c r="AC129" s="66" t="str">
        <f>IF(A129="","",IF(COUNTIF($A$6:A129,A129)=1,1,""))</f>
        <v/>
      </c>
      <c r="AD129" s="66" t="str">
        <f>IF(AC129=1,COUNT($AC$6:AC129),"")</f>
        <v/>
      </c>
      <c r="AE129" s="66" t="str">
        <f>IFERROR(INDEX(po_num,MATCH(124,po_seq,0))&amp;"","")</f>
        <v/>
      </c>
      <c r="AF129" s="66" t="str">
        <f>IF(OR(A129="",p_po=""),"",IF(A129&amp;""=p_po,COUNTIF($A$6:A129,A129),""))</f>
        <v/>
      </c>
      <c r="AG129" s="66" t="str">
        <f>IF(OR(AB129="",A129=""),"",IF(COUNTIFS($A$6:A129,A129,$AB$6:AB129,"&gt;0")=1,1,""))</f>
        <v/>
      </c>
      <c r="AH129" s="70" t="str">
        <f>IF(AB129="","",ROUND(N(W129)*N(J129)*(1-N(K129)),2))</f>
        <v/>
      </c>
      <c r="AI129" s="70" t="str">
        <f>IF(OR(J129="",N(T129)&lt;=0,V129="Oui"),"",ROUND(N(T129)*J129*(1-N(K129)),2))</f>
        <v/>
      </c>
    </row>
    <row r="130">
      <c r="A130" s="63" t="n"/>
      <c r="B130" s="64" t="n"/>
      <c r="C130" s="65" t="n"/>
      <c r="D130" s="66" t="str">
        <f>IF(C130="","",IFERROR(INDEX(sup_name,MATCH($C130,sup_code,0))&amp;"","Fournisseur inconnu"))</f>
        <v/>
      </c>
      <c r="E130" s="63" t="n"/>
      <c r="F130" s="66" t="str">
        <f>IF(E130="","",IFERROR(INDEX(art_des,MATCH($E130,art_ref,0))&amp;"","Article inconnu"))</f>
        <v/>
      </c>
      <c r="G130" s="67" t="str">
        <f>IF(E130="","",IFERROR(INDEX(art_unit,MATCH($E130,art_ref,0))&amp;"",""))</f>
        <v/>
      </c>
      <c r="H130" s="68" t="n"/>
      <c r="I130" s="69" t="n"/>
      <c r="J130" s="70" t="str">
        <f>IF(E130="","",IF(ISNUMBER(I130),I130,IFERROR(IF(ISNUMBER(INDEX(art_price,MATCH($E130,art_ref,0))),INDEX(art_price,MATCH($E130,art_ref,0)),""),"")))</f>
        <v/>
      </c>
      <c r="K130" s="71" t="n"/>
      <c r="L130" s="72" t="n"/>
      <c r="M130" s="72" t="str">
        <f>IF(E130="","",IF(L130&lt;&gt;"",L130,IFERROR(IF(ISNUMBER(INDEX(art_tva,MATCH($E130,art_ref,0))),INDEX(art_tva,MATCH($E130,art_ref,0)),""),"")))</f>
        <v/>
      </c>
      <c r="N130" s="70" t="str">
        <f>IF(OR(E130="",J130=""),"",ROUND(N(H130)*J130*(1-N(K130)),2))</f>
        <v/>
      </c>
      <c r="O130" s="70" t="str">
        <f>IF(OR(N130="",NOT(ISNUMBER(M130))),"",ROUND(N130*M130,2))</f>
        <v/>
      </c>
      <c r="P130" s="70" t="str">
        <f>IF(N130="","",N130+N(O130))</f>
        <v/>
      </c>
      <c r="Q130" s="64" t="n"/>
      <c r="R130" s="73" t="str">
        <f>IF(N(Q130)&gt;0,Q130,IF(OR(N(B130)=0,ISNA(MATCH($C130,sup_code,0))),"",IF(ISNUMBER(INDEX(sup_delay,MATCH($C130,sup_code,0))),B130+INDEX(sup_delay,MATCH($C130,sup_code,0)),"")))</f>
        <v/>
      </c>
      <c r="S130" s="64" t="n"/>
      <c r="T130" s="68" t="n"/>
      <c r="U130" s="64" t="n"/>
      <c r="V130" s="65" t="n"/>
      <c r="W130" s="74" t="str">
        <f>IF(AND(A130="",E130=""),"",IF(V130="Oui",0,MAX(0,ROUND(N(H130)-N(T130),6))))</f>
        <v/>
      </c>
      <c r="X130" s="67" t="str">
        <f>IF(AND(A130="",E130=""),"",IF(V130="Oui","Annulé",IF(AND(N(H130)&gt;0,N(T130)&gt;=N(H130)),"Reçu",IF(N(S130)=0,"Brouillon",IF(AND(ISNUMBER(R130),R130&lt;p_today),"En retard",IF(N(T130)&gt;0,"Partiel","Envoyé"))))))</f>
        <v/>
      </c>
      <c r="Y130" s="75" t="str">
        <f>IF(X130="En retard",p_today-R130,IF(AND(X130="Reçu",ISNUMBER(R130)),MAX(0,N(U130)-R130),""))</f>
        <v/>
      </c>
      <c r="Z130" s="67" t="str">
        <f>IF(AND(A130="",E130=""),"",IF(A130="","N° de bon manquant",IF(N(B130)=0,"Date de commande manquante",IF(C130="","Fournisseur manquant",IF(ISNA(MATCH($C130,sup_code,0)),"Fournisseur inconnu",IF(E130="","Article manquant",IF(ISNA(MATCH($E130,art_ref,0)),"Article inconnu",IF(N(H130)&lt;=0,"Quantité invalide",IF(J130="","Prix manquant",IF(OR(N(K130)&lt;0,N(K130)&gt;=1),"Remise invalide",IF(M130="","TVA manquante",IF(ISNA(MATCH(M130,p_tva,0)),"Taux de TVA inconnu",IF(COUNTIFS(po_num,A130,po_sup,"&lt;&gt;"&amp;C130)&gt;0,"Fournisseur différent sur ce bon",IF(COUNTIFS(po_num,A130,po_date,"&lt;&gt;"&amp;B130)&gt;0,"Date différente sur ce bon",IF(COUNTIF(po_num,A130)&gt;25,"Plus de 25 lignes sur ce bon",IF(R130="","Date de livraison manquante",IF(R130&lt;B130,"Livraison avant la commande",IF(AND(N(T130)&gt;0,N(S130)=0),"Date d'envoi manquante",IF(N(T130)&gt;N(H130),"Reçu plus que commandé",IF(AND(N(T130)&gt;0,N(U130)=0),"Date de réception manquante",IF(AND(N(U130)&gt;0,U130&lt;B130),"Réception avant la commande","OK")))))))))))))))))))))</f>
        <v/>
      </c>
      <c r="AA130" s="66" t="str">
        <f>IF(AND(X130="Reçu",ISNUMBER(R130)),IF(N(U130)&lt;=R130,1,0),"")</f>
        <v/>
      </c>
      <c r="AB130" s="76" t="str">
        <f>IF(OR(X130="Envoyé",X130="Partiel",X130="En retard"),IF(ISNUMBER(R130),R130,100000)+ROW()/100000,"")</f>
        <v/>
      </c>
      <c r="AC130" s="66" t="str">
        <f>IF(A130="","",IF(COUNTIF($A$6:A130,A130)=1,1,""))</f>
        <v/>
      </c>
      <c r="AD130" s="66" t="str">
        <f>IF(AC130=1,COUNT($AC$6:AC130),"")</f>
        <v/>
      </c>
      <c r="AE130" s="66" t="str">
        <f>IFERROR(INDEX(po_num,MATCH(125,po_seq,0))&amp;"","")</f>
        <v/>
      </c>
      <c r="AF130" s="66" t="str">
        <f>IF(OR(A130="",p_po=""),"",IF(A130&amp;""=p_po,COUNTIF($A$6:A130,A130),""))</f>
        <v/>
      </c>
      <c r="AG130" s="66" t="str">
        <f>IF(OR(AB130="",A130=""),"",IF(COUNTIFS($A$6:A130,A130,$AB$6:AB130,"&gt;0")=1,1,""))</f>
        <v/>
      </c>
      <c r="AH130" s="70" t="str">
        <f>IF(AB130="","",ROUND(N(W130)*N(J130)*(1-N(K130)),2))</f>
        <v/>
      </c>
      <c r="AI130" s="70" t="str">
        <f>IF(OR(J130="",N(T130)&lt;=0,V130="Oui"),"",ROUND(N(T130)*J130*(1-N(K130)),2))</f>
        <v/>
      </c>
    </row>
    <row r="131">
      <c r="A131" s="63" t="n"/>
      <c r="B131" s="64" t="n"/>
      <c r="C131" s="65" t="n"/>
      <c r="D131" s="66" t="str">
        <f>IF(C131="","",IFERROR(INDEX(sup_name,MATCH($C131,sup_code,0))&amp;"","Fournisseur inconnu"))</f>
        <v/>
      </c>
      <c r="E131" s="63" t="n"/>
      <c r="F131" s="66" t="str">
        <f>IF(E131="","",IFERROR(INDEX(art_des,MATCH($E131,art_ref,0))&amp;"","Article inconnu"))</f>
        <v/>
      </c>
      <c r="G131" s="67" t="str">
        <f>IF(E131="","",IFERROR(INDEX(art_unit,MATCH($E131,art_ref,0))&amp;"",""))</f>
        <v/>
      </c>
      <c r="H131" s="68" t="n"/>
      <c r="I131" s="69" t="n"/>
      <c r="J131" s="70" t="str">
        <f>IF(E131="","",IF(ISNUMBER(I131),I131,IFERROR(IF(ISNUMBER(INDEX(art_price,MATCH($E131,art_ref,0))),INDEX(art_price,MATCH($E131,art_ref,0)),""),"")))</f>
        <v/>
      </c>
      <c r="K131" s="71" t="n"/>
      <c r="L131" s="72" t="n"/>
      <c r="M131" s="72" t="str">
        <f>IF(E131="","",IF(L131&lt;&gt;"",L131,IFERROR(IF(ISNUMBER(INDEX(art_tva,MATCH($E131,art_ref,0))),INDEX(art_tva,MATCH($E131,art_ref,0)),""),"")))</f>
        <v/>
      </c>
      <c r="N131" s="70" t="str">
        <f>IF(OR(E131="",J131=""),"",ROUND(N(H131)*J131*(1-N(K131)),2))</f>
        <v/>
      </c>
      <c r="O131" s="70" t="str">
        <f>IF(OR(N131="",NOT(ISNUMBER(M131))),"",ROUND(N131*M131,2))</f>
        <v/>
      </c>
      <c r="P131" s="70" t="str">
        <f>IF(N131="","",N131+N(O131))</f>
        <v/>
      </c>
      <c r="Q131" s="64" t="n"/>
      <c r="R131" s="73" t="str">
        <f>IF(N(Q131)&gt;0,Q131,IF(OR(N(B131)=0,ISNA(MATCH($C131,sup_code,0))),"",IF(ISNUMBER(INDEX(sup_delay,MATCH($C131,sup_code,0))),B131+INDEX(sup_delay,MATCH($C131,sup_code,0)),"")))</f>
        <v/>
      </c>
      <c r="S131" s="64" t="n"/>
      <c r="T131" s="68" t="n"/>
      <c r="U131" s="64" t="n"/>
      <c r="V131" s="65" t="n"/>
      <c r="W131" s="74" t="str">
        <f>IF(AND(A131="",E131=""),"",IF(V131="Oui",0,MAX(0,ROUND(N(H131)-N(T131),6))))</f>
        <v/>
      </c>
      <c r="X131" s="67" t="str">
        <f>IF(AND(A131="",E131=""),"",IF(V131="Oui","Annulé",IF(AND(N(H131)&gt;0,N(T131)&gt;=N(H131)),"Reçu",IF(N(S131)=0,"Brouillon",IF(AND(ISNUMBER(R131),R131&lt;p_today),"En retard",IF(N(T131)&gt;0,"Partiel","Envoyé"))))))</f>
        <v/>
      </c>
      <c r="Y131" s="75" t="str">
        <f>IF(X131="En retard",p_today-R131,IF(AND(X131="Reçu",ISNUMBER(R131)),MAX(0,N(U131)-R131),""))</f>
        <v/>
      </c>
      <c r="Z131" s="67" t="str">
        <f>IF(AND(A131="",E131=""),"",IF(A131="","N° de bon manquant",IF(N(B131)=0,"Date de commande manquante",IF(C131="","Fournisseur manquant",IF(ISNA(MATCH($C131,sup_code,0)),"Fournisseur inconnu",IF(E131="","Article manquant",IF(ISNA(MATCH($E131,art_ref,0)),"Article inconnu",IF(N(H131)&lt;=0,"Quantité invalide",IF(J131="","Prix manquant",IF(OR(N(K131)&lt;0,N(K131)&gt;=1),"Remise invalide",IF(M131="","TVA manquante",IF(ISNA(MATCH(M131,p_tva,0)),"Taux de TVA inconnu",IF(COUNTIFS(po_num,A131,po_sup,"&lt;&gt;"&amp;C131)&gt;0,"Fournisseur différent sur ce bon",IF(COUNTIFS(po_num,A131,po_date,"&lt;&gt;"&amp;B131)&gt;0,"Date différente sur ce bon",IF(COUNTIF(po_num,A131)&gt;25,"Plus de 25 lignes sur ce bon",IF(R131="","Date de livraison manquante",IF(R131&lt;B131,"Livraison avant la commande",IF(AND(N(T131)&gt;0,N(S131)=0),"Date d'envoi manquante",IF(N(T131)&gt;N(H131),"Reçu plus que commandé",IF(AND(N(T131)&gt;0,N(U131)=0),"Date de réception manquante",IF(AND(N(U131)&gt;0,U131&lt;B131),"Réception avant la commande","OK")))))))))))))))))))))</f>
        <v/>
      </c>
      <c r="AA131" s="66" t="str">
        <f>IF(AND(X131="Reçu",ISNUMBER(R131)),IF(N(U131)&lt;=R131,1,0),"")</f>
        <v/>
      </c>
      <c r="AB131" s="76" t="str">
        <f>IF(OR(X131="Envoyé",X131="Partiel",X131="En retard"),IF(ISNUMBER(R131),R131,100000)+ROW()/100000,"")</f>
        <v/>
      </c>
      <c r="AC131" s="66" t="str">
        <f>IF(A131="","",IF(COUNTIF($A$6:A131,A131)=1,1,""))</f>
        <v/>
      </c>
      <c r="AD131" s="66" t="str">
        <f>IF(AC131=1,COUNT($AC$6:AC131),"")</f>
        <v/>
      </c>
      <c r="AE131" s="66" t="str">
        <f>IFERROR(INDEX(po_num,MATCH(126,po_seq,0))&amp;"","")</f>
        <v/>
      </c>
      <c r="AF131" s="66" t="str">
        <f>IF(OR(A131="",p_po=""),"",IF(A131&amp;""=p_po,COUNTIF($A$6:A131,A131),""))</f>
        <v/>
      </c>
      <c r="AG131" s="66" t="str">
        <f>IF(OR(AB131="",A131=""),"",IF(COUNTIFS($A$6:A131,A131,$AB$6:AB131,"&gt;0")=1,1,""))</f>
        <v/>
      </c>
      <c r="AH131" s="70" t="str">
        <f>IF(AB131="","",ROUND(N(W131)*N(J131)*(1-N(K131)),2))</f>
        <v/>
      </c>
      <c r="AI131" s="70" t="str">
        <f>IF(OR(J131="",N(T131)&lt;=0,V131="Oui"),"",ROUND(N(T131)*J131*(1-N(K131)),2))</f>
        <v/>
      </c>
    </row>
    <row r="132">
      <c r="A132" s="63" t="n"/>
      <c r="B132" s="64" t="n"/>
      <c r="C132" s="65" t="n"/>
      <c r="D132" s="66" t="str">
        <f>IF(C132="","",IFERROR(INDEX(sup_name,MATCH($C132,sup_code,0))&amp;"","Fournisseur inconnu"))</f>
        <v/>
      </c>
      <c r="E132" s="63" t="n"/>
      <c r="F132" s="66" t="str">
        <f>IF(E132="","",IFERROR(INDEX(art_des,MATCH($E132,art_ref,0))&amp;"","Article inconnu"))</f>
        <v/>
      </c>
      <c r="G132" s="67" t="str">
        <f>IF(E132="","",IFERROR(INDEX(art_unit,MATCH($E132,art_ref,0))&amp;"",""))</f>
        <v/>
      </c>
      <c r="H132" s="68" t="n"/>
      <c r="I132" s="69" t="n"/>
      <c r="J132" s="70" t="str">
        <f>IF(E132="","",IF(ISNUMBER(I132),I132,IFERROR(IF(ISNUMBER(INDEX(art_price,MATCH($E132,art_ref,0))),INDEX(art_price,MATCH($E132,art_ref,0)),""),"")))</f>
        <v/>
      </c>
      <c r="K132" s="71" t="n"/>
      <c r="L132" s="72" t="n"/>
      <c r="M132" s="72" t="str">
        <f>IF(E132="","",IF(L132&lt;&gt;"",L132,IFERROR(IF(ISNUMBER(INDEX(art_tva,MATCH($E132,art_ref,0))),INDEX(art_tva,MATCH($E132,art_ref,0)),""),"")))</f>
        <v/>
      </c>
      <c r="N132" s="70" t="str">
        <f>IF(OR(E132="",J132=""),"",ROUND(N(H132)*J132*(1-N(K132)),2))</f>
        <v/>
      </c>
      <c r="O132" s="70" t="str">
        <f>IF(OR(N132="",NOT(ISNUMBER(M132))),"",ROUND(N132*M132,2))</f>
        <v/>
      </c>
      <c r="P132" s="70" t="str">
        <f>IF(N132="","",N132+N(O132))</f>
        <v/>
      </c>
      <c r="Q132" s="64" t="n"/>
      <c r="R132" s="73" t="str">
        <f>IF(N(Q132)&gt;0,Q132,IF(OR(N(B132)=0,ISNA(MATCH($C132,sup_code,0))),"",IF(ISNUMBER(INDEX(sup_delay,MATCH($C132,sup_code,0))),B132+INDEX(sup_delay,MATCH($C132,sup_code,0)),"")))</f>
        <v/>
      </c>
      <c r="S132" s="64" t="n"/>
      <c r="T132" s="68" t="n"/>
      <c r="U132" s="64" t="n"/>
      <c r="V132" s="65" t="n"/>
      <c r="W132" s="74" t="str">
        <f>IF(AND(A132="",E132=""),"",IF(V132="Oui",0,MAX(0,ROUND(N(H132)-N(T132),6))))</f>
        <v/>
      </c>
      <c r="X132" s="67" t="str">
        <f>IF(AND(A132="",E132=""),"",IF(V132="Oui","Annulé",IF(AND(N(H132)&gt;0,N(T132)&gt;=N(H132)),"Reçu",IF(N(S132)=0,"Brouillon",IF(AND(ISNUMBER(R132),R132&lt;p_today),"En retard",IF(N(T132)&gt;0,"Partiel","Envoyé"))))))</f>
        <v/>
      </c>
      <c r="Y132" s="75" t="str">
        <f>IF(X132="En retard",p_today-R132,IF(AND(X132="Reçu",ISNUMBER(R132)),MAX(0,N(U132)-R132),""))</f>
        <v/>
      </c>
      <c r="Z132" s="67" t="str">
        <f>IF(AND(A132="",E132=""),"",IF(A132="","N° de bon manquant",IF(N(B132)=0,"Date de commande manquante",IF(C132="","Fournisseur manquant",IF(ISNA(MATCH($C132,sup_code,0)),"Fournisseur inconnu",IF(E132="","Article manquant",IF(ISNA(MATCH($E132,art_ref,0)),"Article inconnu",IF(N(H132)&lt;=0,"Quantité invalide",IF(J132="","Prix manquant",IF(OR(N(K132)&lt;0,N(K132)&gt;=1),"Remise invalide",IF(M132="","TVA manquante",IF(ISNA(MATCH(M132,p_tva,0)),"Taux de TVA inconnu",IF(COUNTIFS(po_num,A132,po_sup,"&lt;&gt;"&amp;C132)&gt;0,"Fournisseur différent sur ce bon",IF(COUNTIFS(po_num,A132,po_date,"&lt;&gt;"&amp;B132)&gt;0,"Date différente sur ce bon",IF(COUNTIF(po_num,A132)&gt;25,"Plus de 25 lignes sur ce bon",IF(R132="","Date de livraison manquante",IF(R132&lt;B132,"Livraison avant la commande",IF(AND(N(T132)&gt;0,N(S132)=0),"Date d'envoi manquante",IF(N(T132)&gt;N(H132),"Reçu plus que commandé",IF(AND(N(T132)&gt;0,N(U132)=0),"Date de réception manquante",IF(AND(N(U132)&gt;0,U132&lt;B132),"Réception avant la commande","OK")))))))))))))))))))))</f>
        <v/>
      </c>
      <c r="AA132" s="66" t="str">
        <f>IF(AND(X132="Reçu",ISNUMBER(R132)),IF(N(U132)&lt;=R132,1,0),"")</f>
        <v/>
      </c>
      <c r="AB132" s="76" t="str">
        <f>IF(OR(X132="Envoyé",X132="Partiel",X132="En retard"),IF(ISNUMBER(R132),R132,100000)+ROW()/100000,"")</f>
        <v/>
      </c>
      <c r="AC132" s="66" t="str">
        <f>IF(A132="","",IF(COUNTIF($A$6:A132,A132)=1,1,""))</f>
        <v/>
      </c>
      <c r="AD132" s="66" t="str">
        <f>IF(AC132=1,COUNT($AC$6:AC132),"")</f>
        <v/>
      </c>
      <c r="AE132" s="66" t="str">
        <f>IFERROR(INDEX(po_num,MATCH(127,po_seq,0))&amp;"","")</f>
        <v/>
      </c>
      <c r="AF132" s="66" t="str">
        <f>IF(OR(A132="",p_po=""),"",IF(A132&amp;""=p_po,COUNTIF($A$6:A132,A132),""))</f>
        <v/>
      </c>
      <c r="AG132" s="66" t="str">
        <f>IF(OR(AB132="",A132=""),"",IF(COUNTIFS($A$6:A132,A132,$AB$6:AB132,"&gt;0")=1,1,""))</f>
        <v/>
      </c>
      <c r="AH132" s="70" t="str">
        <f>IF(AB132="","",ROUND(N(W132)*N(J132)*(1-N(K132)),2))</f>
        <v/>
      </c>
      <c r="AI132" s="70" t="str">
        <f>IF(OR(J132="",N(T132)&lt;=0,V132="Oui"),"",ROUND(N(T132)*J132*(1-N(K132)),2))</f>
        <v/>
      </c>
    </row>
    <row r="133">
      <c r="A133" s="63" t="n"/>
      <c r="B133" s="64" t="n"/>
      <c r="C133" s="65" t="n"/>
      <c r="D133" s="66" t="str">
        <f>IF(C133="","",IFERROR(INDEX(sup_name,MATCH($C133,sup_code,0))&amp;"","Fournisseur inconnu"))</f>
        <v/>
      </c>
      <c r="E133" s="63" t="n"/>
      <c r="F133" s="66" t="str">
        <f>IF(E133="","",IFERROR(INDEX(art_des,MATCH($E133,art_ref,0))&amp;"","Article inconnu"))</f>
        <v/>
      </c>
      <c r="G133" s="67" t="str">
        <f>IF(E133="","",IFERROR(INDEX(art_unit,MATCH($E133,art_ref,0))&amp;"",""))</f>
        <v/>
      </c>
      <c r="H133" s="68" t="n"/>
      <c r="I133" s="69" t="n"/>
      <c r="J133" s="70" t="str">
        <f>IF(E133="","",IF(ISNUMBER(I133),I133,IFERROR(IF(ISNUMBER(INDEX(art_price,MATCH($E133,art_ref,0))),INDEX(art_price,MATCH($E133,art_ref,0)),""),"")))</f>
        <v/>
      </c>
      <c r="K133" s="71" t="n"/>
      <c r="L133" s="72" t="n"/>
      <c r="M133" s="72" t="str">
        <f>IF(E133="","",IF(L133&lt;&gt;"",L133,IFERROR(IF(ISNUMBER(INDEX(art_tva,MATCH($E133,art_ref,0))),INDEX(art_tva,MATCH($E133,art_ref,0)),""),"")))</f>
        <v/>
      </c>
      <c r="N133" s="70" t="str">
        <f>IF(OR(E133="",J133=""),"",ROUND(N(H133)*J133*(1-N(K133)),2))</f>
        <v/>
      </c>
      <c r="O133" s="70" t="str">
        <f>IF(OR(N133="",NOT(ISNUMBER(M133))),"",ROUND(N133*M133,2))</f>
        <v/>
      </c>
      <c r="P133" s="70" t="str">
        <f>IF(N133="","",N133+N(O133))</f>
        <v/>
      </c>
      <c r="Q133" s="64" t="n"/>
      <c r="R133" s="73" t="str">
        <f>IF(N(Q133)&gt;0,Q133,IF(OR(N(B133)=0,ISNA(MATCH($C133,sup_code,0))),"",IF(ISNUMBER(INDEX(sup_delay,MATCH($C133,sup_code,0))),B133+INDEX(sup_delay,MATCH($C133,sup_code,0)),"")))</f>
        <v/>
      </c>
      <c r="S133" s="64" t="n"/>
      <c r="T133" s="68" t="n"/>
      <c r="U133" s="64" t="n"/>
      <c r="V133" s="65" t="n"/>
      <c r="W133" s="74" t="str">
        <f>IF(AND(A133="",E133=""),"",IF(V133="Oui",0,MAX(0,ROUND(N(H133)-N(T133),6))))</f>
        <v/>
      </c>
      <c r="X133" s="67" t="str">
        <f>IF(AND(A133="",E133=""),"",IF(V133="Oui","Annulé",IF(AND(N(H133)&gt;0,N(T133)&gt;=N(H133)),"Reçu",IF(N(S133)=0,"Brouillon",IF(AND(ISNUMBER(R133),R133&lt;p_today),"En retard",IF(N(T133)&gt;0,"Partiel","Envoyé"))))))</f>
        <v/>
      </c>
      <c r="Y133" s="75" t="str">
        <f>IF(X133="En retard",p_today-R133,IF(AND(X133="Reçu",ISNUMBER(R133)),MAX(0,N(U133)-R133),""))</f>
        <v/>
      </c>
      <c r="Z133" s="67" t="str">
        <f>IF(AND(A133="",E133=""),"",IF(A133="","N° de bon manquant",IF(N(B133)=0,"Date de commande manquante",IF(C133="","Fournisseur manquant",IF(ISNA(MATCH($C133,sup_code,0)),"Fournisseur inconnu",IF(E133="","Article manquant",IF(ISNA(MATCH($E133,art_ref,0)),"Article inconnu",IF(N(H133)&lt;=0,"Quantité invalide",IF(J133="","Prix manquant",IF(OR(N(K133)&lt;0,N(K133)&gt;=1),"Remise invalide",IF(M133="","TVA manquante",IF(ISNA(MATCH(M133,p_tva,0)),"Taux de TVA inconnu",IF(COUNTIFS(po_num,A133,po_sup,"&lt;&gt;"&amp;C133)&gt;0,"Fournisseur différent sur ce bon",IF(COUNTIFS(po_num,A133,po_date,"&lt;&gt;"&amp;B133)&gt;0,"Date différente sur ce bon",IF(COUNTIF(po_num,A133)&gt;25,"Plus de 25 lignes sur ce bon",IF(R133="","Date de livraison manquante",IF(R133&lt;B133,"Livraison avant la commande",IF(AND(N(T133)&gt;0,N(S133)=0),"Date d'envoi manquante",IF(N(T133)&gt;N(H133),"Reçu plus que commandé",IF(AND(N(T133)&gt;0,N(U133)=0),"Date de réception manquante",IF(AND(N(U133)&gt;0,U133&lt;B133),"Réception avant la commande","OK")))))))))))))))))))))</f>
        <v/>
      </c>
      <c r="AA133" s="66" t="str">
        <f>IF(AND(X133="Reçu",ISNUMBER(R133)),IF(N(U133)&lt;=R133,1,0),"")</f>
        <v/>
      </c>
      <c r="AB133" s="76" t="str">
        <f>IF(OR(X133="Envoyé",X133="Partiel",X133="En retard"),IF(ISNUMBER(R133),R133,100000)+ROW()/100000,"")</f>
        <v/>
      </c>
      <c r="AC133" s="66" t="str">
        <f>IF(A133="","",IF(COUNTIF($A$6:A133,A133)=1,1,""))</f>
        <v/>
      </c>
      <c r="AD133" s="66" t="str">
        <f>IF(AC133=1,COUNT($AC$6:AC133),"")</f>
        <v/>
      </c>
      <c r="AE133" s="66" t="str">
        <f>IFERROR(INDEX(po_num,MATCH(128,po_seq,0))&amp;"","")</f>
        <v/>
      </c>
      <c r="AF133" s="66" t="str">
        <f>IF(OR(A133="",p_po=""),"",IF(A133&amp;""=p_po,COUNTIF($A$6:A133,A133),""))</f>
        <v/>
      </c>
      <c r="AG133" s="66" t="str">
        <f>IF(OR(AB133="",A133=""),"",IF(COUNTIFS($A$6:A133,A133,$AB$6:AB133,"&gt;0")=1,1,""))</f>
        <v/>
      </c>
      <c r="AH133" s="70" t="str">
        <f>IF(AB133="","",ROUND(N(W133)*N(J133)*(1-N(K133)),2))</f>
        <v/>
      </c>
      <c r="AI133" s="70" t="str">
        <f>IF(OR(J133="",N(T133)&lt;=0,V133="Oui"),"",ROUND(N(T133)*J133*(1-N(K133)),2))</f>
        <v/>
      </c>
    </row>
    <row r="134">
      <c r="A134" s="63" t="n"/>
      <c r="B134" s="64" t="n"/>
      <c r="C134" s="65" t="n"/>
      <c r="D134" s="66" t="str">
        <f>IF(C134="","",IFERROR(INDEX(sup_name,MATCH($C134,sup_code,0))&amp;"","Fournisseur inconnu"))</f>
        <v/>
      </c>
      <c r="E134" s="63" t="n"/>
      <c r="F134" s="66" t="str">
        <f>IF(E134="","",IFERROR(INDEX(art_des,MATCH($E134,art_ref,0))&amp;"","Article inconnu"))</f>
        <v/>
      </c>
      <c r="G134" s="67" t="str">
        <f>IF(E134="","",IFERROR(INDEX(art_unit,MATCH($E134,art_ref,0))&amp;"",""))</f>
        <v/>
      </c>
      <c r="H134" s="68" t="n"/>
      <c r="I134" s="69" t="n"/>
      <c r="J134" s="70" t="str">
        <f>IF(E134="","",IF(ISNUMBER(I134),I134,IFERROR(IF(ISNUMBER(INDEX(art_price,MATCH($E134,art_ref,0))),INDEX(art_price,MATCH($E134,art_ref,0)),""),"")))</f>
        <v/>
      </c>
      <c r="K134" s="71" t="n"/>
      <c r="L134" s="72" t="n"/>
      <c r="M134" s="72" t="str">
        <f>IF(E134="","",IF(L134&lt;&gt;"",L134,IFERROR(IF(ISNUMBER(INDEX(art_tva,MATCH($E134,art_ref,0))),INDEX(art_tva,MATCH($E134,art_ref,0)),""),"")))</f>
        <v/>
      </c>
      <c r="N134" s="70" t="str">
        <f>IF(OR(E134="",J134=""),"",ROUND(N(H134)*J134*(1-N(K134)),2))</f>
        <v/>
      </c>
      <c r="O134" s="70" t="str">
        <f>IF(OR(N134="",NOT(ISNUMBER(M134))),"",ROUND(N134*M134,2))</f>
        <v/>
      </c>
      <c r="P134" s="70" t="str">
        <f>IF(N134="","",N134+N(O134))</f>
        <v/>
      </c>
      <c r="Q134" s="64" t="n"/>
      <c r="R134" s="73" t="str">
        <f>IF(N(Q134)&gt;0,Q134,IF(OR(N(B134)=0,ISNA(MATCH($C134,sup_code,0))),"",IF(ISNUMBER(INDEX(sup_delay,MATCH($C134,sup_code,0))),B134+INDEX(sup_delay,MATCH($C134,sup_code,0)),"")))</f>
        <v/>
      </c>
      <c r="S134" s="64" t="n"/>
      <c r="T134" s="68" t="n"/>
      <c r="U134" s="64" t="n"/>
      <c r="V134" s="65" t="n"/>
      <c r="W134" s="74" t="str">
        <f>IF(AND(A134="",E134=""),"",IF(V134="Oui",0,MAX(0,ROUND(N(H134)-N(T134),6))))</f>
        <v/>
      </c>
      <c r="X134" s="67" t="str">
        <f>IF(AND(A134="",E134=""),"",IF(V134="Oui","Annulé",IF(AND(N(H134)&gt;0,N(T134)&gt;=N(H134)),"Reçu",IF(N(S134)=0,"Brouillon",IF(AND(ISNUMBER(R134),R134&lt;p_today),"En retard",IF(N(T134)&gt;0,"Partiel","Envoyé"))))))</f>
        <v/>
      </c>
      <c r="Y134" s="75" t="str">
        <f>IF(X134="En retard",p_today-R134,IF(AND(X134="Reçu",ISNUMBER(R134)),MAX(0,N(U134)-R134),""))</f>
        <v/>
      </c>
      <c r="Z134" s="67" t="str">
        <f>IF(AND(A134="",E134=""),"",IF(A134="","N° de bon manquant",IF(N(B134)=0,"Date de commande manquante",IF(C134="","Fournisseur manquant",IF(ISNA(MATCH($C134,sup_code,0)),"Fournisseur inconnu",IF(E134="","Article manquant",IF(ISNA(MATCH($E134,art_ref,0)),"Article inconnu",IF(N(H134)&lt;=0,"Quantité invalide",IF(J134="","Prix manquant",IF(OR(N(K134)&lt;0,N(K134)&gt;=1),"Remise invalide",IF(M134="","TVA manquante",IF(ISNA(MATCH(M134,p_tva,0)),"Taux de TVA inconnu",IF(COUNTIFS(po_num,A134,po_sup,"&lt;&gt;"&amp;C134)&gt;0,"Fournisseur différent sur ce bon",IF(COUNTIFS(po_num,A134,po_date,"&lt;&gt;"&amp;B134)&gt;0,"Date différente sur ce bon",IF(COUNTIF(po_num,A134)&gt;25,"Plus de 25 lignes sur ce bon",IF(R134="","Date de livraison manquante",IF(R134&lt;B134,"Livraison avant la commande",IF(AND(N(T134)&gt;0,N(S134)=0),"Date d'envoi manquante",IF(N(T134)&gt;N(H134),"Reçu plus que commandé",IF(AND(N(T134)&gt;0,N(U134)=0),"Date de réception manquante",IF(AND(N(U134)&gt;0,U134&lt;B134),"Réception avant la commande","OK")))))))))))))))))))))</f>
        <v/>
      </c>
      <c r="AA134" s="66" t="str">
        <f>IF(AND(X134="Reçu",ISNUMBER(R134)),IF(N(U134)&lt;=R134,1,0),"")</f>
        <v/>
      </c>
      <c r="AB134" s="76" t="str">
        <f>IF(OR(X134="Envoyé",X134="Partiel",X134="En retard"),IF(ISNUMBER(R134),R134,100000)+ROW()/100000,"")</f>
        <v/>
      </c>
      <c r="AC134" s="66" t="str">
        <f>IF(A134="","",IF(COUNTIF($A$6:A134,A134)=1,1,""))</f>
        <v/>
      </c>
      <c r="AD134" s="66" t="str">
        <f>IF(AC134=1,COUNT($AC$6:AC134),"")</f>
        <v/>
      </c>
      <c r="AE134" s="66" t="str">
        <f>IFERROR(INDEX(po_num,MATCH(129,po_seq,0))&amp;"","")</f>
        <v/>
      </c>
      <c r="AF134" s="66" t="str">
        <f>IF(OR(A134="",p_po=""),"",IF(A134&amp;""=p_po,COUNTIF($A$6:A134,A134),""))</f>
        <v/>
      </c>
      <c r="AG134" s="66" t="str">
        <f>IF(OR(AB134="",A134=""),"",IF(COUNTIFS($A$6:A134,A134,$AB$6:AB134,"&gt;0")=1,1,""))</f>
        <v/>
      </c>
      <c r="AH134" s="70" t="str">
        <f>IF(AB134="","",ROUND(N(W134)*N(J134)*(1-N(K134)),2))</f>
        <v/>
      </c>
      <c r="AI134" s="70" t="str">
        <f>IF(OR(J134="",N(T134)&lt;=0,V134="Oui"),"",ROUND(N(T134)*J134*(1-N(K134)),2))</f>
        <v/>
      </c>
    </row>
    <row r="135">
      <c r="A135" s="63" t="n"/>
      <c r="B135" s="64" t="n"/>
      <c r="C135" s="65" t="n"/>
      <c r="D135" s="66" t="str">
        <f>IF(C135="","",IFERROR(INDEX(sup_name,MATCH($C135,sup_code,0))&amp;"","Fournisseur inconnu"))</f>
        <v/>
      </c>
      <c r="E135" s="63" t="n"/>
      <c r="F135" s="66" t="str">
        <f>IF(E135="","",IFERROR(INDEX(art_des,MATCH($E135,art_ref,0))&amp;"","Article inconnu"))</f>
        <v/>
      </c>
      <c r="G135" s="67" t="str">
        <f>IF(E135="","",IFERROR(INDEX(art_unit,MATCH($E135,art_ref,0))&amp;"",""))</f>
        <v/>
      </c>
      <c r="H135" s="68" t="n"/>
      <c r="I135" s="69" t="n"/>
      <c r="J135" s="70" t="str">
        <f>IF(E135="","",IF(ISNUMBER(I135),I135,IFERROR(IF(ISNUMBER(INDEX(art_price,MATCH($E135,art_ref,0))),INDEX(art_price,MATCH($E135,art_ref,0)),""),"")))</f>
        <v/>
      </c>
      <c r="K135" s="71" t="n"/>
      <c r="L135" s="72" t="n"/>
      <c r="M135" s="72" t="str">
        <f>IF(E135="","",IF(L135&lt;&gt;"",L135,IFERROR(IF(ISNUMBER(INDEX(art_tva,MATCH($E135,art_ref,0))),INDEX(art_tva,MATCH($E135,art_ref,0)),""),"")))</f>
        <v/>
      </c>
      <c r="N135" s="70" t="str">
        <f>IF(OR(E135="",J135=""),"",ROUND(N(H135)*J135*(1-N(K135)),2))</f>
        <v/>
      </c>
      <c r="O135" s="70" t="str">
        <f>IF(OR(N135="",NOT(ISNUMBER(M135))),"",ROUND(N135*M135,2))</f>
        <v/>
      </c>
      <c r="P135" s="70" t="str">
        <f>IF(N135="","",N135+N(O135))</f>
        <v/>
      </c>
      <c r="Q135" s="64" t="n"/>
      <c r="R135" s="73" t="str">
        <f>IF(N(Q135)&gt;0,Q135,IF(OR(N(B135)=0,ISNA(MATCH($C135,sup_code,0))),"",IF(ISNUMBER(INDEX(sup_delay,MATCH($C135,sup_code,0))),B135+INDEX(sup_delay,MATCH($C135,sup_code,0)),"")))</f>
        <v/>
      </c>
      <c r="S135" s="64" t="n"/>
      <c r="T135" s="68" t="n"/>
      <c r="U135" s="64" t="n"/>
      <c r="V135" s="65" t="n"/>
      <c r="W135" s="74" t="str">
        <f>IF(AND(A135="",E135=""),"",IF(V135="Oui",0,MAX(0,ROUND(N(H135)-N(T135),6))))</f>
        <v/>
      </c>
      <c r="X135" s="67" t="str">
        <f>IF(AND(A135="",E135=""),"",IF(V135="Oui","Annulé",IF(AND(N(H135)&gt;0,N(T135)&gt;=N(H135)),"Reçu",IF(N(S135)=0,"Brouillon",IF(AND(ISNUMBER(R135),R135&lt;p_today),"En retard",IF(N(T135)&gt;0,"Partiel","Envoyé"))))))</f>
        <v/>
      </c>
      <c r="Y135" s="75" t="str">
        <f>IF(X135="En retard",p_today-R135,IF(AND(X135="Reçu",ISNUMBER(R135)),MAX(0,N(U135)-R135),""))</f>
        <v/>
      </c>
      <c r="Z135" s="67" t="str">
        <f>IF(AND(A135="",E135=""),"",IF(A135="","N° de bon manquant",IF(N(B135)=0,"Date de commande manquante",IF(C135="","Fournisseur manquant",IF(ISNA(MATCH($C135,sup_code,0)),"Fournisseur inconnu",IF(E135="","Article manquant",IF(ISNA(MATCH($E135,art_ref,0)),"Article inconnu",IF(N(H135)&lt;=0,"Quantité invalide",IF(J135="","Prix manquant",IF(OR(N(K135)&lt;0,N(K135)&gt;=1),"Remise invalide",IF(M135="","TVA manquante",IF(ISNA(MATCH(M135,p_tva,0)),"Taux de TVA inconnu",IF(COUNTIFS(po_num,A135,po_sup,"&lt;&gt;"&amp;C135)&gt;0,"Fournisseur différent sur ce bon",IF(COUNTIFS(po_num,A135,po_date,"&lt;&gt;"&amp;B135)&gt;0,"Date différente sur ce bon",IF(COUNTIF(po_num,A135)&gt;25,"Plus de 25 lignes sur ce bon",IF(R135="","Date de livraison manquante",IF(R135&lt;B135,"Livraison avant la commande",IF(AND(N(T135)&gt;0,N(S135)=0),"Date d'envoi manquante",IF(N(T135)&gt;N(H135),"Reçu plus que commandé",IF(AND(N(T135)&gt;0,N(U135)=0),"Date de réception manquante",IF(AND(N(U135)&gt;0,U135&lt;B135),"Réception avant la commande","OK")))))))))))))))))))))</f>
        <v/>
      </c>
      <c r="AA135" s="66" t="str">
        <f>IF(AND(X135="Reçu",ISNUMBER(R135)),IF(N(U135)&lt;=R135,1,0),"")</f>
        <v/>
      </c>
      <c r="AB135" s="76" t="str">
        <f>IF(OR(X135="Envoyé",X135="Partiel",X135="En retard"),IF(ISNUMBER(R135),R135,100000)+ROW()/100000,"")</f>
        <v/>
      </c>
      <c r="AC135" s="66" t="str">
        <f>IF(A135="","",IF(COUNTIF($A$6:A135,A135)=1,1,""))</f>
        <v/>
      </c>
      <c r="AD135" s="66" t="str">
        <f>IF(AC135=1,COUNT($AC$6:AC135),"")</f>
        <v/>
      </c>
      <c r="AE135" s="66" t="str">
        <f>IFERROR(INDEX(po_num,MATCH(130,po_seq,0))&amp;"","")</f>
        <v/>
      </c>
      <c r="AF135" s="66" t="str">
        <f>IF(OR(A135="",p_po=""),"",IF(A135&amp;""=p_po,COUNTIF($A$6:A135,A135),""))</f>
        <v/>
      </c>
      <c r="AG135" s="66" t="str">
        <f>IF(OR(AB135="",A135=""),"",IF(COUNTIFS($A$6:A135,A135,$AB$6:AB135,"&gt;0")=1,1,""))</f>
        <v/>
      </c>
      <c r="AH135" s="70" t="str">
        <f>IF(AB135="","",ROUND(N(W135)*N(J135)*(1-N(K135)),2))</f>
        <v/>
      </c>
      <c r="AI135" s="70" t="str">
        <f>IF(OR(J135="",N(T135)&lt;=0,V135="Oui"),"",ROUND(N(T135)*J135*(1-N(K135)),2))</f>
        <v/>
      </c>
    </row>
    <row r="136">
      <c r="A136" s="63" t="n"/>
      <c r="B136" s="64" t="n"/>
      <c r="C136" s="65" t="n"/>
      <c r="D136" s="66" t="str">
        <f>IF(C136="","",IFERROR(INDEX(sup_name,MATCH($C136,sup_code,0))&amp;"","Fournisseur inconnu"))</f>
        <v/>
      </c>
      <c r="E136" s="63" t="n"/>
      <c r="F136" s="66" t="str">
        <f>IF(E136="","",IFERROR(INDEX(art_des,MATCH($E136,art_ref,0))&amp;"","Article inconnu"))</f>
        <v/>
      </c>
      <c r="G136" s="67" t="str">
        <f>IF(E136="","",IFERROR(INDEX(art_unit,MATCH($E136,art_ref,0))&amp;"",""))</f>
        <v/>
      </c>
      <c r="H136" s="68" t="n"/>
      <c r="I136" s="69" t="n"/>
      <c r="J136" s="70" t="str">
        <f>IF(E136="","",IF(ISNUMBER(I136),I136,IFERROR(IF(ISNUMBER(INDEX(art_price,MATCH($E136,art_ref,0))),INDEX(art_price,MATCH($E136,art_ref,0)),""),"")))</f>
        <v/>
      </c>
      <c r="K136" s="71" t="n"/>
      <c r="L136" s="72" t="n"/>
      <c r="M136" s="72" t="str">
        <f>IF(E136="","",IF(L136&lt;&gt;"",L136,IFERROR(IF(ISNUMBER(INDEX(art_tva,MATCH($E136,art_ref,0))),INDEX(art_tva,MATCH($E136,art_ref,0)),""),"")))</f>
        <v/>
      </c>
      <c r="N136" s="70" t="str">
        <f>IF(OR(E136="",J136=""),"",ROUND(N(H136)*J136*(1-N(K136)),2))</f>
        <v/>
      </c>
      <c r="O136" s="70" t="str">
        <f>IF(OR(N136="",NOT(ISNUMBER(M136))),"",ROUND(N136*M136,2))</f>
        <v/>
      </c>
      <c r="P136" s="70" t="str">
        <f>IF(N136="","",N136+N(O136))</f>
        <v/>
      </c>
      <c r="Q136" s="64" t="n"/>
      <c r="R136" s="73" t="str">
        <f>IF(N(Q136)&gt;0,Q136,IF(OR(N(B136)=0,ISNA(MATCH($C136,sup_code,0))),"",IF(ISNUMBER(INDEX(sup_delay,MATCH($C136,sup_code,0))),B136+INDEX(sup_delay,MATCH($C136,sup_code,0)),"")))</f>
        <v/>
      </c>
      <c r="S136" s="64" t="n"/>
      <c r="T136" s="68" t="n"/>
      <c r="U136" s="64" t="n"/>
      <c r="V136" s="65" t="n"/>
      <c r="W136" s="74" t="str">
        <f>IF(AND(A136="",E136=""),"",IF(V136="Oui",0,MAX(0,ROUND(N(H136)-N(T136),6))))</f>
        <v/>
      </c>
      <c r="X136" s="67" t="str">
        <f>IF(AND(A136="",E136=""),"",IF(V136="Oui","Annulé",IF(AND(N(H136)&gt;0,N(T136)&gt;=N(H136)),"Reçu",IF(N(S136)=0,"Brouillon",IF(AND(ISNUMBER(R136),R136&lt;p_today),"En retard",IF(N(T136)&gt;0,"Partiel","Envoyé"))))))</f>
        <v/>
      </c>
      <c r="Y136" s="75" t="str">
        <f>IF(X136="En retard",p_today-R136,IF(AND(X136="Reçu",ISNUMBER(R136)),MAX(0,N(U136)-R136),""))</f>
        <v/>
      </c>
      <c r="Z136" s="67" t="str">
        <f>IF(AND(A136="",E136=""),"",IF(A136="","N° de bon manquant",IF(N(B136)=0,"Date de commande manquante",IF(C136="","Fournisseur manquant",IF(ISNA(MATCH($C136,sup_code,0)),"Fournisseur inconnu",IF(E136="","Article manquant",IF(ISNA(MATCH($E136,art_ref,0)),"Article inconnu",IF(N(H136)&lt;=0,"Quantité invalide",IF(J136="","Prix manquant",IF(OR(N(K136)&lt;0,N(K136)&gt;=1),"Remise invalide",IF(M136="","TVA manquante",IF(ISNA(MATCH(M136,p_tva,0)),"Taux de TVA inconnu",IF(COUNTIFS(po_num,A136,po_sup,"&lt;&gt;"&amp;C136)&gt;0,"Fournisseur différent sur ce bon",IF(COUNTIFS(po_num,A136,po_date,"&lt;&gt;"&amp;B136)&gt;0,"Date différente sur ce bon",IF(COUNTIF(po_num,A136)&gt;25,"Plus de 25 lignes sur ce bon",IF(R136="","Date de livraison manquante",IF(R136&lt;B136,"Livraison avant la commande",IF(AND(N(T136)&gt;0,N(S136)=0),"Date d'envoi manquante",IF(N(T136)&gt;N(H136),"Reçu plus que commandé",IF(AND(N(T136)&gt;0,N(U136)=0),"Date de réception manquante",IF(AND(N(U136)&gt;0,U136&lt;B136),"Réception avant la commande","OK")))))))))))))))))))))</f>
        <v/>
      </c>
      <c r="AA136" s="66" t="str">
        <f>IF(AND(X136="Reçu",ISNUMBER(R136)),IF(N(U136)&lt;=R136,1,0),"")</f>
        <v/>
      </c>
      <c r="AB136" s="76" t="str">
        <f>IF(OR(X136="Envoyé",X136="Partiel",X136="En retard"),IF(ISNUMBER(R136),R136,100000)+ROW()/100000,"")</f>
        <v/>
      </c>
      <c r="AC136" s="66" t="str">
        <f>IF(A136="","",IF(COUNTIF($A$6:A136,A136)=1,1,""))</f>
        <v/>
      </c>
      <c r="AD136" s="66" t="str">
        <f>IF(AC136=1,COUNT($AC$6:AC136),"")</f>
        <v/>
      </c>
      <c r="AE136" s="66" t="str">
        <f>IFERROR(INDEX(po_num,MATCH(131,po_seq,0))&amp;"","")</f>
        <v/>
      </c>
      <c r="AF136" s="66" t="str">
        <f>IF(OR(A136="",p_po=""),"",IF(A136&amp;""=p_po,COUNTIF($A$6:A136,A136),""))</f>
        <v/>
      </c>
      <c r="AG136" s="66" t="str">
        <f>IF(OR(AB136="",A136=""),"",IF(COUNTIFS($A$6:A136,A136,$AB$6:AB136,"&gt;0")=1,1,""))</f>
        <v/>
      </c>
      <c r="AH136" s="70" t="str">
        <f>IF(AB136="","",ROUND(N(W136)*N(J136)*(1-N(K136)),2))</f>
        <v/>
      </c>
      <c r="AI136" s="70" t="str">
        <f>IF(OR(J136="",N(T136)&lt;=0,V136="Oui"),"",ROUND(N(T136)*J136*(1-N(K136)),2))</f>
        <v/>
      </c>
    </row>
    <row r="137">
      <c r="A137" s="63" t="n"/>
      <c r="B137" s="64" t="n"/>
      <c r="C137" s="65" t="n"/>
      <c r="D137" s="66" t="str">
        <f>IF(C137="","",IFERROR(INDEX(sup_name,MATCH($C137,sup_code,0))&amp;"","Fournisseur inconnu"))</f>
        <v/>
      </c>
      <c r="E137" s="63" t="n"/>
      <c r="F137" s="66" t="str">
        <f>IF(E137="","",IFERROR(INDEX(art_des,MATCH($E137,art_ref,0))&amp;"","Article inconnu"))</f>
        <v/>
      </c>
      <c r="G137" s="67" t="str">
        <f>IF(E137="","",IFERROR(INDEX(art_unit,MATCH($E137,art_ref,0))&amp;"",""))</f>
        <v/>
      </c>
      <c r="H137" s="68" t="n"/>
      <c r="I137" s="69" t="n"/>
      <c r="J137" s="70" t="str">
        <f>IF(E137="","",IF(ISNUMBER(I137),I137,IFERROR(IF(ISNUMBER(INDEX(art_price,MATCH($E137,art_ref,0))),INDEX(art_price,MATCH($E137,art_ref,0)),""),"")))</f>
        <v/>
      </c>
      <c r="K137" s="71" t="n"/>
      <c r="L137" s="72" t="n"/>
      <c r="M137" s="72" t="str">
        <f>IF(E137="","",IF(L137&lt;&gt;"",L137,IFERROR(IF(ISNUMBER(INDEX(art_tva,MATCH($E137,art_ref,0))),INDEX(art_tva,MATCH($E137,art_ref,0)),""),"")))</f>
        <v/>
      </c>
      <c r="N137" s="70" t="str">
        <f>IF(OR(E137="",J137=""),"",ROUND(N(H137)*J137*(1-N(K137)),2))</f>
        <v/>
      </c>
      <c r="O137" s="70" t="str">
        <f>IF(OR(N137="",NOT(ISNUMBER(M137))),"",ROUND(N137*M137,2))</f>
        <v/>
      </c>
      <c r="P137" s="70" t="str">
        <f>IF(N137="","",N137+N(O137))</f>
        <v/>
      </c>
      <c r="Q137" s="64" t="n"/>
      <c r="R137" s="73" t="str">
        <f>IF(N(Q137)&gt;0,Q137,IF(OR(N(B137)=0,ISNA(MATCH($C137,sup_code,0))),"",IF(ISNUMBER(INDEX(sup_delay,MATCH($C137,sup_code,0))),B137+INDEX(sup_delay,MATCH($C137,sup_code,0)),"")))</f>
        <v/>
      </c>
      <c r="S137" s="64" t="n"/>
      <c r="T137" s="68" t="n"/>
      <c r="U137" s="64" t="n"/>
      <c r="V137" s="65" t="n"/>
      <c r="W137" s="74" t="str">
        <f>IF(AND(A137="",E137=""),"",IF(V137="Oui",0,MAX(0,ROUND(N(H137)-N(T137),6))))</f>
        <v/>
      </c>
      <c r="X137" s="67" t="str">
        <f>IF(AND(A137="",E137=""),"",IF(V137="Oui","Annulé",IF(AND(N(H137)&gt;0,N(T137)&gt;=N(H137)),"Reçu",IF(N(S137)=0,"Brouillon",IF(AND(ISNUMBER(R137),R137&lt;p_today),"En retard",IF(N(T137)&gt;0,"Partiel","Envoyé"))))))</f>
        <v/>
      </c>
      <c r="Y137" s="75" t="str">
        <f>IF(X137="En retard",p_today-R137,IF(AND(X137="Reçu",ISNUMBER(R137)),MAX(0,N(U137)-R137),""))</f>
        <v/>
      </c>
      <c r="Z137" s="67" t="str">
        <f>IF(AND(A137="",E137=""),"",IF(A137="","N° de bon manquant",IF(N(B137)=0,"Date de commande manquante",IF(C137="","Fournisseur manquant",IF(ISNA(MATCH($C137,sup_code,0)),"Fournisseur inconnu",IF(E137="","Article manquant",IF(ISNA(MATCH($E137,art_ref,0)),"Article inconnu",IF(N(H137)&lt;=0,"Quantité invalide",IF(J137="","Prix manquant",IF(OR(N(K137)&lt;0,N(K137)&gt;=1),"Remise invalide",IF(M137="","TVA manquante",IF(ISNA(MATCH(M137,p_tva,0)),"Taux de TVA inconnu",IF(COUNTIFS(po_num,A137,po_sup,"&lt;&gt;"&amp;C137)&gt;0,"Fournisseur différent sur ce bon",IF(COUNTIFS(po_num,A137,po_date,"&lt;&gt;"&amp;B137)&gt;0,"Date différente sur ce bon",IF(COUNTIF(po_num,A137)&gt;25,"Plus de 25 lignes sur ce bon",IF(R137="","Date de livraison manquante",IF(R137&lt;B137,"Livraison avant la commande",IF(AND(N(T137)&gt;0,N(S137)=0),"Date d'envoi manquante",IF(N(T137)&gt;N(H137),"Reçu plus que commandé",IF(AND(N(T137)&gt;0,N(U137)=0),"Date de réception manquante",IF(AND(N(U137)&gt;0,U137&lt;B137),"Réception avant la commande","OK")))))))))))))))))))))</f>
        <v/>
      </c>
      <c r="AA137" s="66" t="str">
        <f>IF(AND(X137="Reçu",ISNUMBER(R137)),IF(N(U137)&lt;=R137,1,0),"")</f>
        <v/>
      </c>
      <c r="AB137" s="76" t="str">
        <f>IF(OR(X137="Envoyé",X137="Partiel",X137="En retard"),IF(ISNUMBER(R137),R137,100000)+ROW()/100000,"")</f>
        <v/>
      </c>
      <c r="AC137" s="66" t="str">
        <f>IF(A137="","",IF(COUNTIF($A$6:A137,A137)=1,1,""))</f>
        <v/>
      </c>
      <c r="AD137" s="66" t="str">
        <f>IF(AC137=1,COUNT($AC$6:AC137),"")</f>
        <v/>
      </c>
      <c r="AE137" s="66" t="str">
        <f>IFERROR(INDEX(po_num,MATCH(132,po_seq,0))&amp;"","")</f>
        <v/>
      </c>
      <c r="AF137" s="66" t="str">
        <f>IF(OR(A137="",p_po=""),"",IF(A137&amp;""=p_po,COUNTIF($A$6:A137,A137),""))</f>
        <v/>
      </c>
      <c r="AG137" s="66" t="str">
        <f>IF(OR(AB137="",A137=""),"",IF(COUNTIFS($A$6:A137,A137,$AB$6:AB137,"&gt;0")=1,1,""))</f>
        <v/>
      </c>
      <c r="AH137" s="70" t="str">
        <f>IF(AB137="","",ROUND(N(W137)*N(J137)*(1-N(K137)),2))</f>
        <v/>
      </c>
      <c r="AI137" s="70" t="str">
        <f>IF(OR(J137="",N(T137)&lt;=0,V137="Oui"),"",ROUND(N(T137)*J137*(1-N(K137)),2))</f>
        <v/>
      </c>
    </row>
    <row r="138">
      <c r="A138" s="63" t="n"/>
      <c r="B138" s="64" t="n"/>
      <c r="C138" s="65" t="n"/>
      <c r="D138" s="66" t="str">
        <f>IF(C138="","",IFERROR(INDEX(sup_name,MATCH($C138,sup_code,0))&amp;"","Fournisseur inconnu"))</f>
        <v/>
      </c>
      <c r="E138" s="63" t="n"/>
      <c r="F138" s="66" t="str">
        <f>IF(E138="","",IFERROR(INDEX(art_des,MATCH($E138,art_ref,0))&amp;"","Article inconnu"))</f>
        <v/>
      </c>
      <c r="G138" s="67" t="str">
        <f>IF(E138="","",IFERROR(INDEX(art_unit,MATCH($E138,art_ref,0))&amp;"",""))</f>
        <v/>
      </c>
      <c r="H138" s="68" t="n"/>
      <c r="I138" s="69" t="n"/>
      <c r="J138" s="70" t="str">
        <f>IF(E138="","",IF(ISNUMBER(I138),I138,IFERROR(IF(ISNUMBER(INDEX(art_price,MATCH($E138,art_ref,0))),INDEX(art_price,MATCH($E138,art_ref,0)),""),"")))</f>
        <v/>
      </c>
      <c r="K138" s="71" t="n"/>
      <c r="L138" s="72" t="n"/>
      <c r="M138" s="72" t="str">
        <f>IF(E138="","",IF(L138&lt;&gt;"",L138,IFERROR(IF(ISNUMBER(INDEX(art_tva,MATCH($E138,art_ref,0))),INDEX(art_tva,MATCH($E138,art_ref,0)),""),"")))</f>
        <v/>
      </c>
      <c r="N138" s="70" t="str">
        <f>IF(OR(E138="",J138=""),"",ROUND(N(H138)*J138*(1-N(K138)),2))</f>
        <v/>
      </c>
      <c r="O138" s="70" t="str">
        <f>IF(OR(N138="",NOT(ISNUMBER(M138))),"",ROUND(N138*M138,2))</f>
        <v/>
      </c>
      <c r="P138" s="70" t="str">
        <f>IF(N138="","",N138+N(O138))</f>
        <v/>
      </c>
      <c r="Q138" s="64" t="n"/>
      <c r="R138" s="73" t="str">
        <f>IF(N(Q138)&gt;0,Q138,IF(OR(N(B138)=0,ISNA(MATCH($C138,sup_code,0))),"",IF(ISNUMBER(INDEX(sup_delay,MATCH($C138,sup_code,0))),B138+INDEX(sup_delay,MATCH($C138,sup_code,0)),"")))</f>
        <v/>
      </c>
      <c r="S138" s="64" t="n"/>
      <c r="T138" s="68" t="n"/>
      <c r="U138" s="64" t="n"/>
      <c r="V138" s="65" t="n"/>
      <c r="W138" s="74" t="str">
        <f>IF(AND(A138="",E138=""),"",IF(V138="Oui",0,MAX(0,ROUND(N(H138)-N(T138),6))))</f>
        <v/>
      </c>
      <c r="X138" s="67" t="str">
        <f>IF(AND(A138="",E138=""),"",IF(V138="Oui","Annulé",IF(AND(N(H138)&gt;0,N(T138)&gt;=N(H138)),"Reçu",IF(N(S138)=0,"Brouillon",IF(AND(ISNUMBER(R138),R138&lt;p_today),"En retard",IF(N(T138)&gt;0,"Partiel","Envoyé"))))))</f>
        <v/>
      </c>
      <c r="Y138" s="75" t="str">
        <f>IF(X138="En retard",p_today-R138,IF(AND(X138="Reçu",ISNUMBER(R138)),MAX(0,N(U138)-R138),""))</f>
        <v/>
      </c>
      <c r="Z138" s="67" t="str">
        <f>IF(AND(A138="",E138=""),"",IF(A138="","N° de bon manquant",IF(N(B138)=0,"Date de commande manquante",IF(C138="","Fournisseur manquant",IF(ISNA(MATCH($C138,sup_code,0)),"Fournisseur inconnu",IF(E138="","Article manquant",IF(ISNA(MATCH($E138,art_ref,0)),"Article inconnu",IF(N(H138)&lt;=0,"Quantité invalide",IF(J138="","Prix manquant",IF(OR(N(K138)&lt;0,N(K138)&gt;=1),"Remise invalide",IF(M138="","TVA manquante",IF(ISNA(MATCH(M138,p_tva,0)),"Taux de TVA inconnu",IF(COUNTIFS(po_num,A138,po_sup,"&lt;&gt;"&amp;C138)&gt;0,"Fournisseur différent sur ce bon",IF(COUNTIFS(po_num,A138,po_date,"&lt;&gt;"&amp;B138)&gt;0,"Date différente sur ce bon",IF(COUNTIF(po_num,A138)&gt;25,"Plus de 25 lignes sur ce bon",IF(R138="","Date de livraison manquante",IF(R138&lt;B138,"Livraison avant la commande",IF(AND(N(T138)&gt;0,N(S138)=0),"Date d'envoi manquante",IF(N(T138)&gt;N(H138),"Reçu plus que commandé",IF(AND(N(T138)&gt;0,N(U138)=0),"Date de réception manquante",IF(AND(N(U138)&gt;0,U138&lt;B138),"Réception avant la commande","OK")))))))))))))))))))))</f>
        <v/>
      </c>
      <c r="AA138" s="66" t="str">
        <f>IF(AND(X138="Reçu",ISNUMBER(R138)),IF(N(U138)&lt;=R138,1,0),"")</f>
        <v/>
      </c>
      <c r="AB138" s="76" t="str">
        <f>IF(OR(X138="Envoyé",X138="Partiel",X138="En retard"),IF(ISNUMBER(R138),R138,100000)+ROW()/100000,"")</f>
        <v/>
      </c>
      <c r="AC138" s="66" t="str">
        <f>IF(A138="","",IF(COUNTIF($A$6:A138,A138)=1,1,""))</f>
        <v/>
      </c>
      <c r="AD138" s="66" t="str">
        <f>IF(AC138=1,COUNT($AC$6:AC138),"")</f>
        <v/>
      </c>
      <c r="AE138" s="66" t="str">
        <f>IFERROR(INDEX(po_num,MATCH(133,po_seq,0))&amp;"","")</f>
        <v/>
      </c>
      <c r="AF138" s="66" t="str">
        <f>IF(OR(A138="",p_po=""),"",IF(A138&amp;""=p_po,COUNTIF($A$6:A138,A138),""))</f>
        <v/>
      </c>
      <c r="AG138" s="66" t="str">
        <f>IF(OR(AB138="",A138=""),"",IF(COUNTIFS($A$6:A138,A138,$AB$6:AB138,"&gt;0")=1,1,""))</f>
        <v/>
      </c>
      <c r="AH138" s="70" t="str">
        <f>IF(AB138="","",ROUND(N(W138)*N(J138)*(1-N(K138)),2))</f>
        <v/>
      </c>
      <c r="AI138" s="70" t="str">
        <f>IF(OR(J138="",N(T138)&lt;=0,V138="Oui"),"",ROUND(N(T138)*J138*(1-N(K138)),2))</f>
        <v/>
      </c>
    </row>
    <row r="139">
      <c r="A139" s="63" t="n"/>
      <c r="B139" s="64" t="n"/>
      <c r="C139" s="65" t="n"/>
      <c r="D139" s="66" t="str">
        <f>IF(C139="","",IFERROR(INDEX(sup_name,MATCH($C139,sup_code,0))&amp;"","Fournisseur inconnu"))</f>
        <v/>
      </c>
      <c r="E139" s="63" t="n"/>
      <c r="F139" s="66" t="str">
        <f>IF(E139="","",IFERROR(INDEX(art_des,MATCH($E139,art_ref,0))&amp;"","Article inconnu"))</f>
        <v/>
      </c>
      <c r="G139" s="67" t="str">
        <f>IF(E139="","",IFERROR(INDEX(art_unit,MATCH($E139,art_ref,0))&amp;"",""))</f>
        <v/>
      </c>
      <c r="H139" s="68" t="n"/>
      <c r="I139" s="69" t="n"/>
      <c r="J139" s="70" t="str">
        <f>IF(E139="","",IF(ISNUMBER(I139),I139,IFERROR(IF(ISNUMBER(INDEX(art_price,MATCH($E139,art_ref,0))),INDEX(art_price,MATCH($E139,art_ref,0)),""),"")))</f>
        <v/>
      </c>
      <c r="K139" s="71" t="n"/>
      <c r="L139" s="72" t="n"/>
      <c r="M139" s="72" t="str">
        <f>IF(E139="","",IF(L139&lt;&gt;"",L139,IFERROR(IF(ISNUMBER(INDEX(art_tva,MATCH($E139,art_ref,0))),INDEX(art_tva,MATCH($E139,art_ref,0)),""),"")))</f>
        <v/>
      </c>
      <c r="N139" s="70" t="str">
        <f>IF(OR(E139="",J139=""),"",ROUND(N(H139)*J139*(1-N(K139)),2))</f>
        <v/>
      </c>
      <c r="O139" s="70" t="str">
        <f>IF(OR(N139="",NOT(ISNUMBER(M139))),"",ROUND(N139*M139,2))</f>
        <v/>
      </c>
      <c r="P139" s="70" t="str">
        <f>IF(N139="","",N139+N(O139))</f>
        <v/>
      </c>
      <c r="Q139" s="64" t="n"/>
      <c r="R139" s="73" t="str">
        <f>IF(N(Q139)&gt;0,Q139,IF(OR(N(B139)=0,ISNA(MATCH($C139,sup_code,0))),"",IF(ISNUMBER(INDEX(sup_delay,MATCH($C139,sup_code,0))),B139+INDEX(sup_delay,MATCH($C139,sup_code,0)),"")))</f>
        <v/>
      </c>
      <c r="S139" s="64" t="n"/>
      <c r="T139" s="68" t="n"/>
      <c r="U139" s="64" t="n"/>
      <c r="V139" s="65" t="n"/>
      <c r="W139" s="74" t="str">
        <f>IF(AND(A139="",E139=""),"",IF(V139="Oui",0,MAX(0,ROUND(N(H139)-N(T139),6))))</f>
        <v/>
      </c>
      <c r="X139" s="67" t="str">
        <f>IF(AND(A139="",E139=""),"",IF(V139="Oui","Annulé",IF(AND(N(H139)&gt;0,N(T139)&gt;=N(H139)),"Reçu",IF(N(S139)=0,"Brouillon",IF(AND(ISNUMBER(R139),R139&lt;p_today),"En retard",IF(N(T139)&gt;0,"Partiel","Envoyé"))))))</f>
        <v/>
      </c>
      <c r="Y139" s="75" t="str">
        <f>IF(X139="En retard",p_today-R139,IF(AND(X139="Reçu",ISNUMBER(R139)),MAX(0,N(U139)-R139),""))</f>
        <v/>
      </c>
      <c r="Z139" s="67" t="str">
        <f>IF(AND(A139="",E139=""),"",IF(A139="","N° de bon manquant",IF(N(B139)=0,"Date de commande manquante",IF(C139="","Fournisseur manquant",IF(ISNA(MATCH($C139,sup_code,0)),"Fournisseur inconnu",IF(E139="","Article manquant",IF(ISNA(MATCH($E139,art_ref,0)),"Article inconnu",IF(N(H139)&lt;=0,"Quantité invalide",IF(J139="","Prix manquant",IF(OR(N(K139)&lt;0,N(K139)&gt;=1),"Remise invalide",IF(M139="","TVA manquante",IF(ISNA(MATCH(M139,p_tva,0)),"Taux de TVA inconnu",IF(COUNTIFS(po_num,A139,po_sup,"&lt;&gt;"&amp;C139)&gt;0,"Fournisseur différent sur ce bon",IF(COUNTIFS(po_num,A139,po_date,"&lt;&gt;"&amp;B139)&gt;0,"Date différente sur ce bon",IF(COUNTIF(po_num,A139)&gt;25,"Plus de 25 lignes sur ce bon",IF(R139="","Date de livraison manquante",IF(R139&lt;B139,"Livraison avant la commande",IF(AND(N(T139)&gt;0,N(S139)=0),"Date d'envoi manquante",IF(N(T139)&gt;N(H139),"Reçu plus que commandé",IF(AND(N(T139)&gt;0,N(U139)=0),"Date de réception manquante",IF(AND(N(U139)&gt;0,U139&lt;B139),"Réception avant la commande","OK")))))))))))))))))))))</f>
        <v/>
      </c>
      <c r="AA139" s="66" t="str">
        <f>IF(AND(X139="Reçu",ISNUMBER(R139)),IF(N(U139)&lt;=R139,1,0),"")</f>
        <v/>
      </c>
      <c r="AB139" s="76" t="str">
        <f>IF(OR(X139="Envoyé",X139="Partiel",X139="En retard"),IF(ISNUMBER(R139),R139,100000)+ROW()/100000,"")</f>
        <v/>
      </c>
      <c r="AC139" s="66" t="str">
        <f>IF(A139="","",IF(COUNTIF($A$6:A139,A139)=1,1,""))</f>
        <v/>
      </c>
      <c r="AD139" s="66" t="str">
        <f>IF(AC139=1,COUNT($AC$6:AC139),"")</f>
        <v/>
      </c>
      <c r="AE139" s="66" t="str">
        <f>IFERROR(INDEX(po_num,MATCH(134,po_seq,0))&amp;"","")</f>
        <v/>
      </c>
      <c r="AF139" s="66" t="str">
        <f>IF(OR(A139="",p_po=""),"",IF(A139&amp;""=p_po,COUNTIF($A$6:A139,A139),""))</f>
        <v/>
      </c>
      <c r="AG139" s="66" t="str">
        <f>IF(OR(AB139="",A139=""),"",IF(COUNTIFS($A$6:A139,A139,$AB$6:AB139,"&gt;0")=1,1,""))</f>
        <v/>
      </c>
      <c r="AH139" s="70" t="str">
        <f>IF(AB139="","",ROUND(N(W139)*N(J139)*(1-N(K139)),2))</f>
        <v/>
      </c>
      <c r="AI139" s="70" t="str">
        <f>IF(OR(J139="",N(T139)&lt;=0,V139="Oui"),"",ROUND(N(T139)*J139*(1-N(K139)),2))</f>
        <v/>
      </c>
    </row>
    <row r="140">
      <c r="A140" s="63" t="n"/>
      <c r="B140" s="64" t="n"/>
      <c r="C140" s="65" t="n"/>
      <c r="D140" s="66" t="str">
        <f>IF(C140="","",IFERROR(INDEX(sup_name,MATCH($C140,sup_code,0))&amp;"","Fournisseur inconnu"))</f>
        <v/>
      </c>
      <c r="E140" s="63" t="n"/>
      <c r="F140" s="66" t="str">
        <f>IF(E140="","",IFERROR(INDEX(art_des,MATCH($E140,art_ref,0))&amp;"","Article inconnu"))</f>
        <v/>
      </c>
      <c r="G140" s="67" t="str">
        <f>IF(E140="","",IFERROR(INDEX(art_unit,MATCH($E140,art_ref,0))&amp;"",""))</f>
        <v/>
      </c>
      <c r="H140" s="68" t="n"/>
      <c r="I140" s="69" t="n"/>
      <c r="J140" s="70" t="str">
        <f>IF(E140="","",IF(ISNUMBER(I140),I140,IFERROR(IF(ISNUMBER(INDEX(art_price,MATCH($E140,art_ref,0))),INDEX(art_price,MATCH($E140,art_ref,0)),""),"")))</f>
        <v/>
      </c>
      <c r="K140" s="71" t="n"/>
      <c r="L140" s="72" t="n"/>
      <c r="M140" s="72" t="str">
        <f>IF(E140="","",IF(L140&lt;&gt;"",L140,IFERROR(IF(ISNUMBER(INDEX(art_tva,MATCH($E140,art_ref,0))),INDEX(art_tva,MATCH($E140,art_ref,0)),""),"")))</f>
        <v/>
      </c>
      <c r="N140" s="70" t="str">
        <f>IF(OR(E140="",J140=""),"",ROUND(N(H140)*J140*(1-N(K140)),2))</f>
        <v/>
      </c>
      <c r="O140" s="70" t="str">
        <f>IF(OR(N140="",NOT(ISNUMBER(M140))),"",ROUND(N140*M140,2))</f>
        <v/>
      </c>
      <c r="P140" s="70" t="str">
        <f>IF(N140="","",N140+N(O140))</f>
        <v/>
      </c>
      <c r="Q140" s="64" t="n"/>
      <c r="R140" s="73" t="str">
        <f>IF(N(Q140)&gt;0,Q140,IF(OR(N(B140)=0,ISNA(MATCH($C140,sup_code,0))),"",IF(ISNUMBER(INDEX(sup_delay,MATCH($C140,sup_code,0))),B140+INDEX(sup_delay,MATCH($C140,sup_code,0)),"")))</f>
        <v/>
      </c>
      <c r="S140" s="64" t="n"/>
      <c r="T140" s="68" t="n"/>
      <c r="U140" s="64" t="n"/>
      <c r="V140" s="65" t="n"/>
      <c r="W140" s="74" t="str">
        <f>IF(AND(A140="",E140=""),"",IF(V140="Oui",0,MAX(0,ROUND(N(H140)-N(T140),6))))</f>
        <v/>
      </c>
      <c r="X140" s="67" t="str">
        <f>IF(AND(A140="",E140=""),"",IF(V140="Oui","Annulé",IF(AND(N(H140)&gt;0,N(T140)&gt;=N(H140)),"Reçu",IF(N(S140)=0,"Brouillon",IF(AND(ISNUMBER(R140),R140&lt;p_today),"En retard",IF(N(T140)&gt;0,"Partiel","Envoyé"))))))</f>
        <v/>
      </c>
      <c r="Y140" s="75" t="str">
        <f>IF(X140="En retard",p_today-R140,IF(AND(X140="Reçu",ISNUMBER(R140)),MAX(0,N(U140)-R140),""))</f>
        <v/>
      </c>
      <c r="Z140" s="67" t="str">
        <f>IF(AND(A140="",E140=""),"",IF(A140="","N° de bon manquant",IF(N(B140)=0,"Date de commande manquante",IF(C140="","Fournisseur manquant",IF(ISNA(MATCH($C140,sup_code,0)),"Fournisseur inconnu",IF(E140="","Article manquant",IF(ISNA(MATCH($E140,art_ref,0)),"Article inconnu",IF(N(H140)&lt;=0,"Quantité invalide",IF(J140="","Prix manquant",IF(OR(N(K140)&lt;0,N(K140)&gt;=1),"Remise invalide",IF(M140="","TVA manquante",IF(ISNA(MATCH(M140,p_tva,0)),"Taux de TVA inconnu",IF(COUNTIFS(po_num,A140,po_sup,"&lt;&gt;"&amp;C140)&gt;0,"Fournisseur différent sur ce bon",IF(COUNTIFS(po_num,A140,po_date,"&lt;&gt;"&amp;B140)&gt;0,"Date différente sur ce bon",IF(COUNTIF(po_num,A140)&gt;25,"Plus de 25 lignes sur ce bon",IF(R140="","Date de livraison manquante",IF(R140&lt;B140,"Livraison avant la commande",IF(AND(N(T140)&gt;0,N(S140)=0),"Date d'envoi manquante",IF(N(T140)&gt;N(H140),"Reçu plus que commandé",IF(AND(N(T140)&gt;0,N(U140)=0),"Date de réception manquante",IF(AND(N(U140)&gt;0,U140&lt;B140),"Réception avant la commande","OK")))))))))))))))))))))</f>
        <v/>
      </c>
      <c r="AA140" s="66" t="str">
        <f>IF(AND(X140="Reçu",ISNUMBER(R140)),IF(N(U140)&lt;=R140,1,0),"")</f>
        <v/>
      </c>
      <c r="AB140" s="76" t="str">
        <f>IF(OR(X140="Envoyé",X140="Partiel",X140="En retard"),IF(ISNUMBER(R140),R140,100000)+ROW()/100000,"")</f>
        <v/>
      </c>
      <c r="AC140" s="66" t="str">
        <f>IF(A140="","",IF(COUNTIF($A$6:A140,A140)=1,1,""))</f>
        <v/>
      </c>
      <c r="AD140" s="66" t="str">
        <f>IF(AC140=1,COUNT($AC$6:AC140),"")</f>
        <v/>
      </c>
      <c r="AE140" s="66" t="str">
        <f>IFERROR(INDEX(po_num,MATCH(135,po_seq,0))&amp;"","")</f>
        <v/>
      </c>
      <c r="AF140" s="66" t="str">
        <f>IF(OR(A140="",p_po=""),"",IF(A140&amp;""=p_po,COUNTIF($A$6:A140,A140),""))</f>
        <v/>
      </c>
      <c r="AG140" s="66" t="str">
        <f>IF(OR(AB140="",A140=""),"",IF(COUNTIFS($A$6:A140,A140,$AB$6:AB140,"&gt;0")=1,1,""))</f>
        <v/>
      </c>
      <c r="AH140" s="70" t="str">
        <f>IF(AB140="","",ROUND(N(W140)*N(J140)*(1-N(K140)),2))</f>
        <v/>
      </c>
      <c r="AI140" s="70" t="str">
        <f>IF(OR(J140="",N(T140)&lt;=0,V140="Oui"),"",ROUND(N(T140)*J140*(1-N(K140)),2))</f>
        <v/>
      </c>
    </row>
    <row r="141">
      <c r="A141" s="63" t="n"/>
      <c r="B141" s="64" t="n"/>
      <c r="C141" s="65" t="n"/>
      <c r="D141" s="66" t="str">
        <f>IF(C141="","",IFERROR(INDEX(sup_name,MATCH($C141,sup_code,0))&amp;"","Fournisseur inconnu"))</f>
        <v/>
      </c>
      <c r="E141" s="63" t="n"/>
      <c r="F141" s="66" t="str">
        <f>IF(E141="","",IFERROR(INDEX(art_des,MATCH($E141,art_ref,0))&amp;"","Article inconnu"))</f>
        <v/>
      </c>
      <c r="G141" s="67" t="str">
        <f>IF(E141="","",IFERROR(INDEX(art_unit,MATCH($E141,art_ref,0))&amp;"",""))</f>
        <v/>
      </c>
      <c r="H141" s="68" t="n"/>
      <c r="I141" s="69" t="n"/>
      <c r="J141" s="70" t="str">
        <f>IF(E141="","",IF(ISNUMBER(I141),I141,IFERROR(IF(ISNUMBER(INDEX(art_price,MATCH($E141,art_ref,0))),INDEX(art_price,MATCH($E141,art_ref,0)),""),"")))</f>
        <v/>
      </c>
      <c r="K141" s="71" t="n"/>
      <c r="L141" s="72" t="n"/>
      <c r="M141" s="72" t="str">
        <f>IF(E141="","",IF(L141&lt;&gt;"",L141,IFERROR(IF(ISNUMBER(INDEX(art_tva,MATCH($E141,art_ref,0))),INDEX(art_tva,MATCH($E141,art_ref,0)),""),"")))</f>
        <v/>
      </c>
      <c r="N141" s="70" t="str">
        <f>IF(OR(E141="",J141=""),"",ROUND(N(H141)*J141*(1-N(K141)),2))</f>
        <v/>
      </c>
      <c r="O141" s="70" t="str">
        <f>IF(OR(N141="",NOT(ISNUMBER(M141))),"",ROUND(N141*M141,2))</f>
        <v/>
      </c>
      <c r="P141" s="70" t="str">
        <f>IF(N141="","",N141+N(O141))</f>
        <v/>
      </c>
      <c r="Q141" s="64" t="n"/>
      <c r="R141" s="73" t="str">
        <f>IF(N(Q141)&gt;0,Q141,IF(OR(N(B141)=0,ISNA(MATCH($C141,sup_code,0))),"",IF(ISNUMBER(INDEX(sup_delay,MATCH($C141,sup_code,0))),B141+INDEX(sup_delay,MATCH($C141,sup_code,0)),"")))</f>
        <v/>
      </c>
      <c r="S141" s="64" t="n"/>
      <c r="T141" s="68" t="n"/>
      <c r="U141" s="64" t="n"/>
      <c r="V141" s="65" t="n"/>
      <c r="W141" s="74" t="str">
        <f>IF(AND(A141="",E141=""),"",IF(V141="Oui",0,MAX(0,ROUND(N(H141)-N(T141),6))))</f>
        <v/>
      </c>
      <c r="X141" s="67" t="str">
        <f>IF(AND(A141="",E141=""),"",IF(V141="Oui","Annulé",IF(AND(N(H141)&gt;0,N(T141)&gt;=N(H141)),"Reçu",IF(N(S141)=0,"Brouillon",IF(AND(ISNUMBER(R141),R141&lt;p_today),"En retard",IF(N(T141)&gt;0,"Partiel","Envoyé"))))))</f>
        <v/>
      </c>
      <c r="Y141" s="75" t="str">
        <f>IF(X141="En retard",p_today-R141,IF(AND(X141="Reçu",ISNUMBER(R141)),MAX(0,N(U141)-R141),""))</f>
        <v/>
      </c>
      <c r="Z141" s="67" t="str">
        <f>IF(AND(A141="",E141=""),"",IF(A141="","N° de bon manquant",IF(N(B141)=0,"Date de commande manquante",IF(C141="","Fournisseur manquant",IF(ISNA(MATCH($C141,sup_code,0)),"Fournisseur inconnu",IF(E141="","Article manquant",IF(ISNA(MATCH($E141,art_ref,0)),"Article inconnu",IF(N(H141)&lt;=0,"Quantité invalide",IF(J141="","Prix manquant",IF(OR(N(K141)&lt;0,N(K141)&gt;=1),"Remise invalide",IF(M141="","TVA manquante",IF(ISNA(MATCH(M141,p_tva,0)),"Taux de TVA inconnu",IF(COUNTIFS(po_num,A141,po_sup,"&lt;&gt;"&amp;C141)&gt;0,"Fournisseur différent sur ce bon",IF(COUNTIFS(po_num,A141,po_date,"&lt;&gt;"&amp;B141)&gt;0,"Date différente sur ce bon",IF(COUNTIF(po_num,A141)&gt;25,"Plus de 25 lignes sur ce bon",IF(R141="","Date de livraison manquante",IF(R141&lt;B141,"Livraison avant la commande",IF(AND(N(T141)&gt;0,N(S141)=0),"Date d'envoi manquante",IF(N(T141)&gt;N(H141),"Reçu plus que commandé",IF(AND(N(T141)&gt;0,N(U141)=0),"Date de réception manquante",IF(AND(N(U141)&gt;0,U141&lt;B141),"Réception avant la commande","OK")))))))))))))))))))))</f>
        <v/>
      </c>
      <c r="AA141" s="66" t="str">
        <f>IF(AND(X141="Reçu",ISNUMBER(R141)),IF(N(U141)&lt;=R141,1,0),"")</f>
        <v/>
      </c>
      <c r="AB141" s="76" t="str">
        <f>IF(OR(X141="Envoyé",X141="Partiel",X141="En retard"),IF(ISNUMBER(R141),R141,100000)+ROW()/100000,"")</f>
        <v/>
      </c>
      <c r="AC141" s="66" t="str">
        <f>IF(A141="","",IF(COUNTIF($A$6:A141,A141)=1,1,""))</f>
        <v/>
      </c>
      <c r="AD141" s="66" t="str">
        <f>IF(AC141=1,COUNT($AC$6:AC141),"")</f>
        <v/>
      </c>
      <c r="AE141" s="66" t="str">
        <f>IFERROR(INDEX(po_num,MATCH(136,po_seq,0))&amp;"","")</f>
        <v/>
      </c>
      <c r="AF141" s="66" t="str">
        <f>IF(OR(A141="",p_po=""),"",IF(A141&amp;""=p_po,COUNTIF($A$6:A141,A141),""))</f>
        <v/>
      </c>
      <c r="AG141" s="66" t="str">
        <f>IF(OR(AB141="",A141=""),"",IF(COUNTIFS($A$6:A141,A141,$AB$6:AB141,"&gt;0")=1,1,""))</f>
        <v/>
      </c>
      <c r="AH141" s="70" t="str">
        <f>IF(AB141="","",ROUND(N(W141)*N(J141)*(1-N(K141)),2))</f>
        <v/>
      </c>
      <c r="AI141" s="70" t="str">
        <f>IF(OR(J141="",N(T141)&lt;=0,V141="Oui"),"",ROUND(N(T141)*J141*(1-N(K141)),2))</f>
        <v/>
      </c>
    </row>
    <row r="142">
      <c r="A142" s="63" t="n"/>
      <c r="B142" s="64" t="n"/>
      <c r="C142" s="65" t="n"/>
      <c r="D142" s="66" t="str">
        <f>IF(C142="","",IFERROR(INDEX(sup_name,MATCH($C142,sup_code,0))&amp;"","Fournisseur inconnu"))</f>
        <v/>
      </c>
      <c r="E142" s="63" t="n"/>
      <c r="F142" s="66" t="str">
        <f>IF(E142="","",IFERROR(INDEX(art_des,MATCH($E142,art_ref,0))&amp;"","Article inconnu"))</f>
        <v/>
      </c>
      <c r="G142" s="67" t="str">
        <f>IF(E142="","",IFERROR(INDEX(art_unit,MATCH($E142,art_ref,0))&amp;"",""))</f>
        <v/>
      </c>
      <c r="H142" s="68" t="n"/>
      <c r="I142" s="69" t="n"/>
      <c r="J142" s="70" t="str">
        <f>IF(E142="","",IF(ISNUMBER(I142),I142,IFERROR(IF(ISNUMBER(INDEX(art_price,MATCH($E142,art_ref,0))),INDEX(art_price,MATCH($E142,art_ref,0)),""),"")))</f>
        <v/>
      </c>
      <c r="K142" s="71" t="n"/>
      <c r="L142" s="72" t="n"/>
      <c r="M142" s="72" t="str">
        <f>IF(E142="","",IF(L142&lt;&gt;"",L142,IFERROR(IF(ISNUMBER(INDEX(art_tva,MATCH($E142,art_ref,0))),INDEX(art_tva,MATCH($E142,art_ref,0)),""),"")))</f>
        <v/>
      </c>
      <c r="N142" s="70" t="str">
        <f>IF(OR(E142="",J142=""),"",ROUND(N(H142)*J142*(1-N(K142)),2))</f>
        <v/>
      </c>
      <c r="O142" s="70" t="str">
        <f>IF(OR(N142="",NOT(ISNUMBER(M142))),"",ROUND(N142*M142,2))</f>
        <v/>
      </c>
      <c r="P142" s="70" t="str">
        <f>IF(N142="","",N142+N(O142))</f>
        <v/>
      </c>
      <c r="Q142" s="64" t="n"/>
      <c r="R142" s="73" t="str">
        <f>IF(N(Q142)&gt;0,Q142,IF(OR(N(B142)=0,ISNA(MATCH($C142,sup_code,0))),"",IF(ISNUMBER(INDEX(sup_delay,MATCH($C142,sup_code,0))),B142+INDEX(sup_delay,MATCH($C142,sup_code,0)),"")))</f>
        <v/>
      </c>
      <c r="S142" s="64" t="n"/>
      <c r="T142" s="68" t="n"/>
      <c r="U142" s="64" t="n"/>
      <c r="V142" s="65" t="n"/>
      <c r="W142" s="74" t="str">
        <f>IF(AND(A142="",E142=""),"",IF(V142="Oui",0,MAX(0,ROUND(N(H142)-N(T142),6))))</f>
        <v/>
      </c>
      <c r="X142" s="67" t="str">
        <f>IF(AND(A142="",E142=""),"",IF(V142="Oui","Annulé",IF(AND(N(H142)&gt;0,N(T142)&gt;=N(H142)),"Reçu",IF(N(S142)=0,"Brouillon",IF(AND(ISNUMBER(R142),R142&lt;p_today),"En retard",IF(N(T142)&gt;0,"Partiel","Envoyé"))))))</f>
        <v/>
      </c>
      <c r="Y142" s="75" t="str">
        <f>IF(X142="En retard",p_today-R142,IF(AND(X142="Reçu",ISNUMBER(R142)),MAX(0,N(U142)-R142),""))</f>
        <v/>
      </c>
      <c r="Z142" s="67" t="str">
        <f>IF(AND(A142="",E142=""),"",IF(A142="","N° de bon manquant",IF(N(B142)=0,"Date de commande manquante",IF(C142="","Fournisseur manquant",IF(ISNA(MATCH($C142,sup_code,0)),"Fournisseur inconnu",IF(E142="","Article manquant",IF(ISNA(MATCH($E142,art_ref,0)),"Article inconnu",IF(N(H142)&lt;=0,"Quantité invalide",IF(J142="","Prix manquant",IF(OR(N(K142)&lt;0,N(K142)&gt;=1),"Remise invalide",IF(M142="","TVA manquante",IF(ISNA(MATCH(M142,p_tva,0)),"Taux de TVA inconnu",IF(COUNTIFS(po_num,A142,po_sup,"&lt;&gt;"&amp;C142)&gt;0,"Fournisseur différent sur ce bon",IF(COUNTIFS(po_num,A142,po_date,"&lt;&gt;"&amp;B142)&gt;0,"Date différente sur ce bon",IF(COUNTIF(po_num,A142)&gt;25,"Plus de 25 lignes sur ce bon",IF(R142="","Date de livraison manquante",IF(R142&lt;B142,"Livraison avant la commande",IF(AND(N(T142)&gt;0,N(S142)=0),"Date d'envoi manquante",IF(N(T142)&gt;N(H142),"Reçu plus que commandé",IF(AND(N(T142)&gt;0,N(U142)=0),"Date de réception manquante",IF(AND(N(U142)&gt;0,U142&lt;B142),"Réception avant la commande","OK")))))))))))))))))))))</f>
        <v/>
      </c>
      <c r="AA142" s="66" t="str">
        <f>IF(AND(X142="Reçu",ISNUMBER(R142)),IF(N(U142)&lt;=R142,1,0),"")</f>
        <v/>
      </c>
      <c r="AB142" s="76" t="str">
        <f>IF(OR(X142="Envoyé",X142="Partiel",X142="En retard"),IF(ISNUMBER(R142),R142,100000)+ROW()/100000,"")</f>
        <v/>
      </c>
      <c r="AC142" s="66" t="str">
        <f>IF(A142="","",IF(COUNTIF($A$6:A142,A142)=1,1,""))</f>
        <v/>
      </c>
      <c r="AD142" s="66" t="str">
        <f>IF(AC142=1,COUNT($AC$6:AC142),"")</f>
        <v/>
      </c>
      <c r="AE142" s="66" t="str">
        <f>IFERROR(INDEX(po_num,MATCH(137,po_seq,0))&amp;"","")</f>
        <v/>
      </c>
      <c r="AF142" s="66" t="str">
        <f>IF(OR(A142="",p_po=""),"",IF(A142&amp;""=p_po,COUNTIF($A$6:A142,A142),""))</f>
        <v/>
      </c>
      <c r="AG142" s="66" t="str">
        <f>IF(OR(AB142="",A142=""),"",IF(COUNTIFS($A$6:A142,A142,$AB$6:AB142,"&gt;0")=1,1,""))</f>
        <v/>
      </c>
      <c r="AH142" s="70" t="str">
        <f>IF(AB142="","",ROUND(N(W142)*N(J142)*(1-N(K142)),2))</f>
        <v/>
      </c>
      <c r="AI142" s="70" t="str">
        <f>IF(OR(J142="",N(T142)&lt;=0,V142="Oui"),"",ROUND(N(T142)*J142*(1-N(K142)),2))</f>
        <v/>
      </c>
    </row>
    <row r="143">
      <c r="A143" s="63" t="n"/>
      <c r="B143" s="64" t="n"/>
      <c r="C143" s="65" t="n"/>
      <c r="D143" s="66" t="str">
        <f>IF(C143="","",IFERROR(INDEX(sup_name,MATCH($C143,sup_code,0))&amp;"","Fournisseur inconnu"))</f>
        <v/>
      </c>
      <c r="E143" s="63" t="n"/>
      <c r="F143" s="66" t="str">
        <f>IF(E143="","",IFERROR(INDEX(art_des,MATCH($E143,art_ref,0))&amp;"","Article inconnu"))</f>
        <v/>
      </c>
      <c r="G143" s="67" t="str">
        <f>IF(E143="","",IFERROR(INDEX(art_unit,MATCH($E143,art_ref,0))&amp;"",""))</f>
        <v/>
      </c>
      <c r="H143" s="68" t="n"/>
      <c r="I143" s="69" t="n"/>
      <c r="J143" s="70" t="str">
        <f>IF(E143="","",IF(ISNUMBER(I143),I143,IFERROR(IF(ISNUMBER(INDEX(art_price,MATCH($E143,art_ref,0))),INDEX(art_price,MATCH($E143,art_ref,0)),""),"")))</f>
        <v/>
      </c>
      <c r="K143" s="71" t="n"/>
      <c r="L143" s="72" t="n"/>
      <c r="M143" s="72" t="str">
        <f>IF(E143="","",IF(L143&lt;&gt;"",L143,IFERROR(IF(ISNUMBER(INDEX(art_tva,MATCH($E143,art_ref,0))),INDEX(art_tva,MATCH($E143,art_ref,0)),""),"")))</f>
        <v/>
      </c>
      <c r="N143" s="70" t="str">
        <f>IF(OR(E143="",J143=""),"",ROUND(N(H143)*J143*(1-N(K143)),2))</f>
        <v/>
      </c>
      <c r="O143" s="70" t="str">
        <f>IF(OR(N143="",NOT(ISNUMBER(M143))),"",ROUND(N143*M143,2))</f>
        <v/>
      </c>
      <c r="P143" s="70" t="str">
        <f>IF(N143="","",N143+N(O143))</f>
        <v/>
      </c>
      <c r="Q143" s="64" t="n"/>
      <c r="R143" s="73" t="str">
        <f>IF(N(Q143)&gt;0,Q143,IF(OR(N(B143)=0,ISNA(MATCH($C143,sup_code,0))),"",IF(ISNUMBER(INDEX(sup_delay,MATCH($C143,sup_code,0))),B143+INDEX(sup_delay,MATCH($C143,sup_code,0)),"")))</f>
        <v/>
      </c>
      <c r="S143" s="64" t="n"/>
      <c r="T143" s="68" t="n"/>
      <c r="U143" s="64" t="n"/>
      <c r="V143" s="65" t="n"/>
      <c r="W143" s="74" t="str">
        <f>IF(AND(A143="",E143=""),"",IF(V143="Oui",0,MAX(0,ROUND(N(H143)-N(T143),6))))</f>
        <v/>
      </c>
      <c r="X143" s="67" t="str">
        <f>IF(AND(A143="",E143=""),"",IF(V143="Oui","Annulé",IF(AND(N(H143)&gt;0,N(T143)&gt;=N(H143)),"Reçu",IF(N(S143)=0,"Brouillon",IF(AND(ISNUMBER(R143),R143&lt;p_today),"En retard",IF(N(T143)&gt;0,"Partiel","Envoyé"))))))</f>
        <v/>
      </c>
      <c r="Y143" s="75" t="str">
        <f>IF(X143="En retard",p_today-R143,IF(AND(X143="Reçu",ISNUMBER(R143)),MAX(0,N(U143)-R143),""))</f>
        <v/>
      </c>
      <c r="Z143" s="67" t="str">
        <f>IF(AND(A143="",E143=""),"",IF(A143="","N° de bon manquant",IF(N(B143)=0,"Date de commande manquante",IF(C143="","Fournisseur manquant",IF(ISNA(MATCH($C143,sup_code,0)),"Fournisseur inconnu",IF(E143="","Article manquant",IF(ISNA(MATCH($E143,art_ref,0)),"Article inconnu",IF(N(H143)&lt;=0,"Quantité invalide",IF(J143="","Prix manquant",IF(OR(N(K143)&lt;0,N(K143)&gt;=1),"Remise invalide",IF(M143="","TVA manquante",IF(ISNA(MATCH(M143,p_tva,0)),"Taux de TVA inconnu",IF(COUNTIFS(po_num,A143,po_sup,"&lt;&gt;"&amp;C143)&gt;0,"Fournisseur différent sur ce bon",IF(COUNTIFS(po_num,A143,po_date,"&lt;&gt;"&amp;B143)&gt;0,"Date différente sur ce bon",IF(COUNTIF(po_num,A143)&gt;25,"Plus de 25 lignes sur ce bon",IF(R143="","Date de livraison manquante",IF(R143&lt;B143,"Livraison avant la commande",IF(AND(N(T143)&gt;0,N(S143)=0),"Date d'envoi manquante",IF(N(T143)&gt;N(H143),"Reçu plus que commandé",IF(AND(N(T143)&gt;0,N(U143)=0),"Date de réception manquante",IF(AND(N(U143)&gt;0,U143&lt;B143),"Réception avant la commande","OK")))))))))))))))))))))</f>
        <v/>
      </c>
      <c r="AA143" s="66" t="str">
        <f>IF(AND(X143="Reçu",ISNUMBER(R143)),IF(N(U143)&lt;=R143,1,0),"")</f>
        <v/>
      </c>
      <c r="AB143" s="76" t="str">
        <f>IF(OR(X143="Envoyé",X143="Partiel",X143="En retard"),IF(ISNUMBER(R143),R143,100000)+ROW()/100000,"")</f>
        <v/>
      </c>
      <c r="AC143" s="66" t="str">
        <f>IF(A143="","",IF(COUNTIF($A$6:A143,A143)=1,1,""))</f>
        <v/>
      </c>
      <c r="AD143" s="66" t="str">
        <f>IF(AC143=1,COUNT($AC$6:AC143),"")</f>
        <v/>
      </c>
      <c r="AE143" s="66" t="str">
        <f>IFERROR(INDEX(po_num,MATCH(138,po_seq,0))&amp;"","")</f>
        <v/>
      </c>
      <c r="AF143" s="66" t="str">
        <f>IF(OR(A143="",p_po=""),"",IF(A143&amp;""=p_po,COUNTIF($A$6:A143,A143),""))</f>
        <v/>
      </c>
      <c r="AG143" s="66" t="str">
        <f>IF(OR(AB143="",A143=""),"",IF(COUNTIFS($A$6:A143,A143,$AB$6:AB143,"&gt;0")=1,1,""))</f>
        <v/>
      </c>
      <c r="AH143" s="70" t="str">
        <f>IF(AB143="","",ROUND(N(W143)*N(J143)*(1-N(K143)),2))</f>
        <v/>
      </c>
      <c r="AI143" s="70" t="str">
        <f>IF(OR(J143="",N(T143)&lt;=0,V143="Oui"),"",ROUND(N(T143)*J143*(1-N(K143)),2))</f>
        <v/>
      </c>
    </row>
    <row r="144">
      <c r="A144" s="63" t="n"/>
      <c r="B144" s="64" t="n"/>
      <c r="C144" s="65" t="n"/>
      <c r="D144" s="66" t="str">
        <f>IF(C144="","",IFERROR(INDEX(sup_name,MATCH($C144,sup_code,0))&amp;"","Fournisseur inconnu"))</f>
        <v/>
      </c>
      <c r="E144" s="63" t="n"/>
      <c r="F144" s="66" t="str">
        <f>IF(E144="","",IFERROR(INDEX(art_des,MATCH($E144,art_ref,0))&amp;"","Article inconnu"))</f>
        <v/>
      </c>
      <c r="G144" s="67" t="str">
        <f>IF(E144="","",IFERROR(INDEX(art_unit,MATCH($E144,art_ref,0))&amp;"",""))</f>
        <v/>
      </c>
      <c r="H144" s="68" t="n"/>
      <c r="I144" s="69" t="n"/>
      <c r="J144" s="70" t="str">
        <f>IF(E144="","",IF(ISNUMBER(I144),I144,IFERROR(IF(ISNUMBER(INDEX(art_price,MATCH($E144,art_ref,0))),INDEX(art_price,MATCH($E144,art_ref,0)),""),"")))</f>
        <v/>
      </c>
      <c r="K144" s="71" t="n"/>
      <c r="L144" s="72" t="n"/>
      <c r="M144" s="72" t="str">
        <f>IF(E144="","",IF(L144&lt;&gt;"",L144,IFERROR(IF(ISNUMBER(INDEX(art_tva,MATCH($E144,art_ref,0))),INDEX(art_tva,MATCH($E144,art_ref,0)),""),"")))</f>
        <v/>
      </c>
      <c r="N144" s="70" t="str">
        <f>IF(OR(E144="",J144=""),"",ROUND(N(H144)*J144*(1-N(K144)),2))</f>
        <v/>
      </c>
      <c r="O144" s="70" t="str">
        <f>IF(OR(N144="",NOT(ISNUMBER(M144))),"",ROUND(N144*M144,2))</f>
        <v/>
      </c>
      <c r="P144" s="70" t="str">
        <f>IF(N144="","",N144+N(O144))</f>
        <v/>
      </c>
      <c r="Q144" s="64" t="n"/>
      <c r="R144" s="73" t="str">
        <f>IF(N(Q144)&gt;0,Q144,IF(OR(N(B144)=0,ISNA(MATCH($C144,sup_code,0))),"",IF(ISNUMBER(INDEX(sup_delay,MATCH($C144,sup_code,0))),B144+INDEX(sup_delay,MATCH($C144,sup_code,0)),"")))</f>
        <v/>
      </c>
      <c r="S144" s="64" t="n"/>
      <c r="T144" s="68" t="n"/>
      <c r="U144" s="64" t="n"/>
      <c r="V144" s="65" t="n"/>
      <c r="W144" s="74" t="str">
        <f>IF(AND(A144="",E144=""),"",IF(V144="Oui",0,MAX(0,ROUND(N(H144)-N(T144),6))))</f>
        <v/>
      </c>
      <c r="X144" s="67" t="str">
        <f>IF(AND(A144="",E144=""),"",IF(V144="Oui","Annulé",IF(AND(N(H144)&gt;0,N(T144)&gt;=N(H144)),"Reçu",IF(N(S144)=0,"Brouillon",IF(AND(ISNUMBER(R144),R144&lt;p_today),"En retard",IF(N(T144)&gt;0,"Partiel","Envoyé"))))))</f>
        <v/>
      </c>
      <c r="Y144" s="75" t="str">
        <f>IF(X144="En retard",p_today-R144,IF(AND(X144="Reçu",ISNUMBER(R144)),MAX(0,N(U144)-R144),""))</f>
        <v/>
      </c>
      <c r="Z144" s="67" t="str">
        <f>IF(AND(A144="",E144=""),"",IF(A144="","N° de bon manquant",IF(N(B144)=0,"Date de commande manquante",IF(C144="","Fournisseur manquant",IF(ISNA(MATCH($C144,sup_code,0)),"Fournisseur inconnu",IF(E144="","Article manquant",IF(ISNA(MATCH($E144,art_ref,0)),"Article inconnu",IF(N(H144)&lt;=0,"Quantité invalide",IF(J144="","Prix manquant",IF(OR(N(K144)&lt;0,N(K144)&gt;=1),"Remise invalide",IF(M144="","TVA manquante",IF(ISNA(MATCH(M144,p_tva,0)),"Taux de TVA inconnu",IF(COUNTIFS(po_num,A144,po_sup,"&lt;&gt;"&amp;C144)&gt;0,"Fournisseur différent sur ce bon",IF(COUNTIFS(po_num,A144,po_date,"&lt;&gt;"&amp;B144)&gt;0,"Date différente sur ce bon",IF(COUNTIF(po_num,A144)&gt;25,"Plus de 25 lignes sur ce bon",IF(R144="","Date de livraison manquante",IF(R144&lt;B144,"Livraison avant la commande",IF(AND(N(T144)&gt;0,N(S144)=0),"Date d'envoi manquante",IF(N(T144)&gt;N(H144),"Reçu plus que commandé",IF(AND(N(T144)&gt;0,N(U144)=0),"Date de réception manquante",IF(AND(N(U144)&gt;0,U144&lt;B144),"Réception avant la commande","OK")))))))))))))))))))))</f>
        <v/>
      </c>
      <c r="AA144" s="66" t="str">
        <f>IF(AND(X144="Reçu",ISNUMBER(R144)),IF(N(U144)&lt;=R144,1,0),"")</f>
        <v/>
      </c>
      <c r="AB144" s="76" t="str">
        <f>IF(OR(X144="Envoyé",X144="Partiel",X144="En retard"),IF(ISNUMBER(R144),R144,100000)+ROW()/100000,"")</f>
        <v/>
      </c>
      <c r="AC144" s="66" t="str">
        <f>IF(A144="","",IF(COUNTIF($A$6:A144,A144)=1,1,""))</f>
        <v/>
      </c>
      <c r="AD144" s="66" t="str">
        <f>IF(AC144=1,COUNT($AC$6:AC144),"")</f>
        <v/>
      </c>
      <c r="AE144" s="66" t="str">
        <f>IFERROR(INDEX(po_num,MATCH(139,po_seq,0))&amp;"","")</f>
        <v/>
      </c>
      <c r="AF144" s="66" t="str">
        <f>IF(OR(A144="",p_po=""),"",IF(A144&amp;""=p_po,COUNTIF($A$6:A144,A144),""))</f>
        <v/>
      </c>
      <c r="AG144" s="66" t="str">
        <f>IF(OR(AB144="",A144=""),"",IF(COUNTIFS($A$6:A144,A144,$AB$6:AB144,"&gt;0")=1,1,""))</f>
        <v/>
      </c>
      <c r="AH144" s="70" t="str">
        <f>IF(AB144="","",ROUND(N(W144)*N(J144)*(1-N(K144)),2))</f>
        <v/>
      </c>
      <c r="AI144" s="70" t="str">
        <f>IF(OR(J144="",N(T144)&lt;=0,V144="Oui"),"",ROUND(N(T144)*J144*(1-N(K144)),2))</f>
        <v/>
      </c>
    </row>
    <row r="145">
      <c r="A145" s="63" t="n"/>
      <c r="B145" s="64" t="n"/>
      <c r="C145" s="65" t="n"/>
      <c r="D145" s="66" t="str">
        <f>IF(C145="","",IFERROR(INDEX(sup_name,MATCH($C145,sup_code,0))&amp;"","Fournisseur inconnu"))</f>
        <v/>
      </c>
      <c r="E145" s="63" t="n"/>
      <c r="F145" s="66" t="str">
        <f>IF(E145="","",IFERROR(INDEX(art_des,MATCH($E145,art_ref,0))&amp;"","Article inconnu"))</f>
        <v/>
      </c>
      <c r="G145" s="67" t="str">
        <f>IF(E145="","",IFERROR(INDEX(art_unit,MATCH($E145,art_ref,0))&amp;"",""))</f>
        <v/>
      </c>
      <c r="H145" s="68" t="n"/>
      <c r="I145" s="69" t="n"/>
      <c r="J145" s="70" t="str">
        <f>IF(E145="","",IF(ISNUMBER(I145),I145,IFERROR(IF(ISNUMBER(INDEX(art_price,MATCH($E145,art_ref,0))),INDEX(art_price,MATCH($E145,art_ref,0)),""),"")))</f>
        <v/>
      </c>
      <c r="K145" s="71" t="n"/>
      <c r="L145" s="72" t="n"/>
      <c r="M145" s="72" t="str">
        <f>IF(E145="","",IF(L145&lt;&gt;"",L145,IFERROR(IF(ISNUMBER(INDEX(art_tva,MATCH($E145,art_ref,0))),INDEX(art_tva,MATCH($E145,art_ref,0)),""),"")))</f>
        <v/>
      </c>
      <c r="N145" s="70" t="str">
        <f>IF(OR(E145="",J145=""),"",ROUND(N(H145)*J145*(1-N(K145)),2))</f>
        <v/>
      </c>
      <c r="O145" s="70" t="str">
        <f>IF(OR(N145="",NOT(ISNUMBER(M145))),"",ROUND(N145*M145,2))</f>
        <v/>
      </c>
      <c r="P145" s="70" t="str">
        <f>IF(N145="","",N145+N(O145))</f>
        <v/>
      </c>
      <c r="Q145" s="64" t="n"/>
      <c r="R145" s="73" t="str">
        <f>IF(N(Q145)&gt;0,Q145,IF(OR(N(B145)=0,ISNA(MATCH($C145,sup_code,0))),"",IF(ISNUMBER(INDEX(sup_delay,MATCH($C145,sup_code,0))),B145+INDEX(sup_delay,MATCH($C145,sup_code,0)),"")))</f>
        <v/>
      </c>
      <c r="S145" s="64" t="n"/>
      <c r="T145" s="68" t="n"/>
      <c r="U145" s="64" t="n"/>
      <c r="V145" s="65" t="n"/>
      <c r="W145" s="74" t="str">
        <f>IF(AND(A145="",E145=""),"",IF(V145="Oui",0,MAX(0,ROUND(N(H145)-N(T145),6))))</f>
        <v/>
      </c>
      <c r="X145" s="67" t="str">
        <f>IF(AND(A145="",E145=""),"",IF(V145="Oui","Annulé",IF(AND(N(H145)&gt;0,N(T145)&gt;=N(H145)),"Reçu",IF(N(S145)=0,"Brouillon",IF(AND(ISNUMBER(R145),R145&lt;p_today),"En retard",IF(N(T145)&gt;0,"Partiel","Envoyé"))))))</f>
        <v/>
      </c>
      <c r="Y145" s="75" t="str">
        <f>IF(X145="En retard",p_today-R145,IF(AND(X145="Reçu",ISNUMBER(R145)),MAX(0,N(U145)-R145),""))</f>
        <v/>
      </c>
      <c r="Z145" s="67" t="str">
        <f>IF(AND(A145="",E145=""),"",IF(A145="","N° de bon manquant",IF(N(B145)=0,"Date de commande manquante",IF(C145="","Fournisseur manquant",IF(ISNA(MATCH($C145,sup_code,0)),"Fournisseur inconnu",IF(E145="","Article manquant",IF(ISNA(MATCH($E145,art_ref,0)),"Article inconnu",IF(N(H145)&lt;=0,"Quantité invalide",IF(J145="","Prix manquant",IF(OR(N(K145)&lt;0,N(K145)&gt;=1),"Remise invalide",IF(M145="","TVA manquante",IF(ISNA(MATCH(M145,p_tva,0)),"Taux de TVA inconnu",IF(COUNTIFS(po_num,A145,po_sup,"&lt;&gt;"&amp;C145)&gt;0,"Fournisseur différent sur ce bon",IF(COUNTIFS(po_num,A145,po_date,"&lt;&gt;"&amp;B145)&gt;0,"Date différente sur ce bon",IF(COUNTIF(po_num,A145)&gt;25,"Plus de 25 lignes sur ce bon",IF(R145="","Date de livraison manquante",IF(R145&lt;B145,"Livraison avant la commande",IF(AND(N(T145)&gt;0,N(S145)=0),"Date d'envoi manquante",IF(N(T145)&gt;N(H145),"Reçu plus que commandé",IF(AND(N(T145)&gt;0,N(U145)=0),"Date de réception manquante",IF(AND(N(U145)&gt;0,U145&lt;B145),"Réception avant la commande","OK")))))))))))))))))))))</f>
        <v/>
      </c>
      <c r="AA145" s="66" t="str">
        <f>IF(AND(X145="Reçu",ISNUMBER(R145)),IF(N(U145)&lt;=R145,1,0),"")</f>
        <v/>
      </c>
      <c r="AB145" s="76" t="str">
        <f>IF(OR(X145="Envoyé",X145="Partiel",X145="En retard"),IF(ISNUMBER(R145),R145,100000)+ROW()/100000,"")</f>
        <v/>
      </c>
      <c r="AC145" s="66" t="str">
        <f>IF(A145="","",IF(COUNTIF($A$6:A145,A145)=1,1,""))</f>
        <v/>
      </c>
      <c r="AD145" s="66" t="str">
        <f>IF(AC145=1,COUNT($AC$6:AC145),"")</f>
        <v/>
      </c>
      <c r="AE145" s="66" t="str">
        <f>IFERROR(INDEX(po_num,MATCH(140,po_seq,0))&amp;"","")</f>
        <v/>
      </c>
      <c r="AF145" s="66" t="str">
        <f>IF(OR(A145="",p_po=""),"",IF(A145&amp;""=p_po,COUNTIF($A$6:A145,A145),""))</f>
        <v/>
      </c>
      <c r="AG145" s="66" t="str">
        <f>IF(OR(AB145="",A145=""),"",IF(COUNTIFS($A$6:A145,A145,$AB$6:AB145,"&gt;0")=1,1,""))</f>
        <v/>
      </c>
      <c r="AH145" s="70" t="str">
        <f>IF(AB145="","",ROUND(N(W145)*N(J145)*(1-N(K145)),2))</f>
        <v/>
      </c>
      <c r="AI145" s="70" t="str">
        <f>IF(OR(J145="",N(T145)&lt;=0,V145="Oui"),"",ROUND(N(T145)*J145*(1-N(K145)),2))</f>
        <v/>
      </c>
    </row>
    <row r="146">
      <c r="A146" s="63" t="n"/>
      <c r="B146" s="64" t="n"/>
      <c r="C146" s="65" t="n"/>
      <c r="D146" s="66" t="str">
        <f>IF(C146="","",IFERROR(INDEX(sup_name,MATCH($C146,sup_code,0))&amp;"","Fournisseur inconnu"))</f>
        <v/>
      </c>
      <c r="E146" s="63" t="n"/>
      <c r="F146" s="66" t="str">
        <f>IF(E146="","",IFERROR(INDEX(art_des,MATCH($E146,art_ref,0))&amp;"","Article inconnu"))</f>
        <v/>
      </c>
      <c r="G146" s="67" t="str">
        <f>IF(E146="","",IFERROR(INDEX(art_unit,MATCH($E146,art_ref,0))&amp;"",""))</f>
        <v/>
      </c>
      <c r="H146" s="68" t="n"/>
      <c r="I146" s="69" t="n"/>
      <c r="J146" s="70" t="str">
        <f>IF(E146="","",IF(ISNUMBER(I146),I146,IFERROR(IF(ISNUMBER(INDEX(art_price,MATCH($E146,art_ref,0))),INDEX(art_price,MATCH($E146,art_ref,0)),""),"")))</f>
        <v/>
      </c>
      <c r="K146" s="71" t="n"/>
      <c r="L146" s="72" t="n"/>
      <c r="M146" s="72" t="str">
        <f>IF(E146="","",IF(L146&lt;&gt;"",L146,IFERROR(IF(ISNUMBER(INDEX(art_tva,MATCH($E146,art_ref,0))),INDEX(art_tva,MATCH($E146,art_ref,0)),""),"")))</f>
        <v/>
      </c>
      <c r="N146" s="70" t="str">
        <f>IF(OR(E146="",J146=""),"",ROUND(N(H146)*J146*(1-N(K146)),2))</f>
        <v/>
      </c>
      <c r="O146" s="70" t="str">
        <f>IF(OR(N146="",NOT(ISNUMBER(M146))),"",ROUND(N146*M146,2))</f>
        <v/>
      </c>
      <c r="P146" s="70" t="str">
        <f>IF(N146="","",N146+N(O146))</f>
        <v/>
      </c>
      <c r="Q146" s="64" t="n"/>
      <c r="R146" s="73" t="str">
        <f>IF(N(Q146)&gt;0,Q146,IF(OR(N(B146)=0,ISNA(MATCH($C146,sup_code,0))),"",IF(ISNUMBER(INDEX(sup_delay,MATCH($C146,sup_code,0))),B146+INDEX(sup_delay,MATCH($C146,sup_code,0)),"")))</f>
        <v/>
      </c>
      <c r="S146" s="64" t="n"/>
      <c r="T146" s="68" t="n"/>
      <c r="U146" s="64" t="n"/>
      <c r="V146" s="65" t="n"/>
      <c r="W146" s="74" t="str">
        <f>IF(AND(A146="",E146=""),"",IF(V146="Oui",0,MAX(0,ROUND(N(H146)-N(T146),6))))</f>
        <v/>
      </c>
      <c r="X146" s="67" t="str">
        <f>IF(AND(A146="",E146=""),"",IF(V146="Oui","Annulé",IF(AND(N(H146)&gt;0,N(T146)&gt;=N(H146)),"Reçu",IF(N(S146)=0,"Brouillon",IF(AND(ISNUMBER(R146),R146&lt;p_today),"En retard",IF(N(T146)&gt;0,"Partiel","Envoyé"))))))</f>
        <v/>
      </c>
      <c r="Y146" s="75" t="str">
        <f>IF(X146="En retard",p_today-R146,IF(AND(X146="Reçu",ISNUMBER(R146)),MAX(0,N(U146)-R146),""))</f>
        <v/>
      </c>
      <c r="Z146" s="67" t="str">
        <f>IF(AND(A146="",E146=""),"",IF(A146="","N° de bon manquant",IF(N(B146)=0,"Date de commande manquante",IF(C146="","Fournisseur manquant",IF(ISNA(MATCH($C146,sup_code,0)),"Fournisseur inconnu",IF(E146="","Article manquant",IF(ISNA(MATCH($E146,art_ref,0)),"Article inconnu",IF(N(H146)&lt;=0,"Quantité invalide",IF(J146="","Prix manquant",IF(OR(N(K146)&lt;0,N(K146)&gt;=1),"Remise invalide",IF(M146="","TVA manquante",IF(ISNA(MATCH(M146,p_tva,0)),"Taux de TVA inconnu",IF(COUNTIFS(po_num,A146,po_sup,"&lt;&gt;"&amp;C146)&gt;0,"Fournisseur différent sur ce bon",IF(COUNTIFS(po_num,A146,po_date,"&lt;&gt;"&amp;B146)&gt;0,"Date différente sur ce bon",IF(COUNTIF(po_num,A146)&gt;25,"Plus de 25 lignes sur ce bon",IF(R146="","Date de livraison manquante",IF(R146&lt;B146,"Livraison avant la commande",IF(AND(N(T146)&gt;0,N(S146)=0),"Date d'envoi manquante",IF(N(T146)&gt;N(H146),"Reçu plus que commandé",IF(AND(N(T146)&gt;0,N(U146)=0),"Date de réception manquante",IF(AND(N(U146)&gt;0,U146&lt;B146),"Réception avant la commande","OK")))))))))))))))))))))</f>
        <v/>
      </c>
      <c r="AA146" s="66" t="str">
        <f>IF(AND(X146="Reçu",ISNUMBER(R146)),IF(N(U146)&lt;=R146,1,0),"")</f>
        <v/>
      </c>
      <c r="AB146" s="76" t="str">
        <f>IF(OR(X146="Envoyé",X146="Partiel",X146="En retard"),IF(ISNUMBER(R146),R146,100000)+ROW()/100000,"")</f>
        <v/>
      </c>
      <c r="AC146" s="66" t="str">
        <f>IF(A146="","",IF(COUNTIF($A$6:A146,A146)=1,1,""))</f>
        <v/>
      </c>
      <c r="AD146" s="66" t="str">
        <f>IF(AC146=1,COUNT($AC$6:AC146),"")</f>
        <v/>
      </c>
      <c r="AE146" s="66" t="str">
        <f>IFERROR(INDEX(po_num,MATCH(141,po_seq,0))&amp;"","")</f>
        <v/>
      </c>
      <c r="AF146" s="66" t="str">
        <f>IF(OR(A146="",p_po=""),"",IF(A146&amp;""=p_po,COUNTIF($A$6:A146,A146),""))</f>
        <v/>
      </c>
      <c r="AG146" s="66" t="str">
        <f>IF(OR(AB146="",A146=""),"",IF(COUNTIFS($A$6:A146,A146,$AB$6:AB146,"&gt;0")=1,1,""))</f>
        <v/>
      </c>
      <c r="AH146" s="70" t="str">
        <f>IF(AB146="","",ROUND(N(W146)*N(J146)*(1-N(K146)),2))</f>
        <v/>
      </c>
      <c r="AI146" s="70" t="str">
        <f>IF(OR(J146="",N(T146)&lt;=0,V146="Oui"),"",ROUND(N(T146)*J146*(1-N(K146)),2))</f>
        <v/>
      </c>
    </row>
    <row r="147">
      <c r="A147" s="63" t="n"/>
      <c r="B147" s="64" t="n"/>
      <c r="C147" s="65" t="n"/>
      <c r="D147" s="66" t="str">
        <f>IF(C147="","",IFERROR(INDEX(sup_name,MATCH($C147,sup_code,0))&amp;"","Fournisseur inconnu"))</f>
        <v/>
      </c>
      <c r="E147" s="63" t="n"/>
      <c r="F147" s="66" t="str">
        <f>IF(E147="","",IFERROR(INDEX(art_des,MATCH($E147,art_ref,0))&amp;"","Article inconnu"))</f>
        <v/>
      </c>
      <c r="G147" s="67" t="str">
        <f>IF(E147="","",IFERROR(INDEX(art_unit,MATCH($E147,art_ref,0))&amp;"",""))</f>
        <v/>
      </c>
      <c r="H147" s="68" t="n"/>
      <c r="I147" s="69" t="n"/>
      <c r="J147" s="70" t="str">
        <f>IF(E147="","",IF(ISNUMBER(I147),I147,IFERROR(IF(ISNUMBER(INDEX(art_price,MATCH($E147,art_ref,0))),INDEX(art_price,MATCH($E147,art_ref,0)),""),"")))</f>
        <v/>
      </c>
      <c r="K147" s="71" t="n"/>
      <c r="L147" s="72" t="n"/>
      <c r="M147" s="72" t="str">
        <f>IF(E147="","",IF(L147&lt;&gt;"",L147,IFERROR(IF(ISNUMBER(INDEX(art_tva,MATCH($E147,art_ref,0))),INDEX(art_tva,MATCH($E147,art_ref,0)),""),"")))</f>
        <v/>
      </c>
      <c r="N147" s="70" t="str">
        <f>IF(OR(E147="",J147=""),"",ROUND(N(H147)*J147*(1-N(K147)),2))</f>
        <v/>
      </c>
      <c r="O147" s="70" t="str">
        <f>IF(OR(N147="",NOT(ISNUMBER(M147))),"",ROUND(N147*M147,2))</f>
        <v/>
      </c>
      <c r="P147" s="70" t="str">
        <f>IF(N147="","",N147+N(O147))</f>
        <v/>
      </c>
      <c r="Q147" s="64" t="n"/>
      <c r="R147" s="73" t="str">
        <f>IF(N(Q147)&gt;0,Q147,IF(OR(N(B147)=0,ISNA(MATCH($C147,sup_code,0))),"",IF(ISNUMBER(INDEX(sup_delay,MATCH($C147,sup_code,0))),B147+INDEX(sup_delay,MATCH($C147,sup_code,0)),"")))</f>
        <v/>
      </c>
      <c r="S147" s="64" t="n"/>
      <c r="T147" s="68" t="n"/>
      <c r="U147" s="64" t="n"/>
      <c r="V147" s="65" t="n"/>
      <c r="W147" s="74" t="str">
        <f>IF(AND(A147="",E147=""),"",IF(V147="Oui",0,MAX(0,ROUND(N(H147)-N(T147),6))))</f>
        <v/>
      </c>
      <c r="X147" s="67" t="str">
        <f>IF(AND(A147="",E147=""),"",IF(V147="Oui","Annulé",IF(AND(N(H147)&gt;0,N(T147)&gt;=N(H147)),"Reçu",IF(N(S147)=0,"Brouillon",IF(AND(ISNUMBER(R147),R147&lt;p_today),"En retard",IF(N(T147)&gt;0,"Partiel","Envoyé"))))))</f>
        <v/>
      </c>
      <c r="Y147" s="75" t="str">
        <f>IF(X147="En retard",p_today-R147,IF(AND(X147="Reçu",ISNUMBER(R147)),MAX(0,N(U147)-R147),""))</f>
        <v/>
      </c>
      <c r="Z147" s="67" t="str">
        <f>IF(AND(A147="",E147=""),"",IF(A147="","N° de bon manquant",IF(N(B147)=0,"Date de commande manquante",IF(C147="","Fournisseur manquant",IF(ISNA(MATCH($C147,sup_code,0)),"Fournisseur inconnu",IF(E147="","Article manquant",IF(ISNA(MATCH($E147,art_ref,0)),"Article inconnu",IF(N(H147)&lt;=0,"Quantité invalide",IF(J147="","Prix manquant",IF(OR(N(K147)&lt;0,N(K147)&gt;=1),"Remise invalide",IF(M147="","TVA manquante",IF(ISNA(MATCH(M147,p_tva,0)),"Taux de TVA inconnu",IF(COUNTIFS(po_num,A147,po_sup,"&lt;&gt;"&amp;C147)&gt;0,"Fournisseur différent sur ce bon",IF(COUNTIFS(po_num,A147,po_date,"&lt;&gt;"&amp;B147)&gt;0,"Date différente sur ce bon",IF(COUNTIF(po_num,A147)&gt;25,"Plus de 25 lignes sur ce bon",IF(R147="","Date de livraison manquante",IF(R147&lt;B147,"Livraison avant la commande",IF(AND(N(T147)&gt;0,N(S147)=0),"Date d'envoi manquante",IF(N(T147)&gt;N(H147),"Reçu plus que commandé",IF(AND(N(T147)&gt;0,N(U147)=0),"Date de réception manquante",IF(AND(N(U147)&gt;0,U147&lt;B147),"Réception avant la commande","OK")))))))))))))))))))))</f>
        <v/>
      </c>
      <c r="AA147" s="66" t="str">
        <f>IF(AND(X147="Reçu",ISNUMBER(R147)),IF(N(U147)&lt;=R147,1,0),"")</f>
        <v/>
      </c>
      <c r="AB147" s="76" t="str">
        <f>IF(OR(X147="Envoyé",X147="Partiel",X147="En retard"),IF(ISNUMBER(R147),R147,100000)+ROW()/100000,"")</f>
        <v/>
      </c>
      <c r="AC147" s="66" t="str">
        <f>IF(A147="","",IF(COUNTIF($A$6:A147,A147)=1,1,""))</f>
        <v/>
      </c>
      <c r="AD147" s="66" t="str">
        <f>IF(AC147=1,COUNT($AC$6:AC147),"")</f>
        <v/>
      </c>
      <c r="AE147" s="66" t="str">
        <f>IFERROR(INDEX(po_num,MATCH(142,po_seq,0))&amp;"","")</f>
        <v/>
      </c>
      <c r="AF147" s="66" t="str">
        <f>IF(OR(A147="",p_po=""),"",IF(A147&amp;""=p_po,COUNTIF($A$6:A147,A147),""))</f>
        <v/>
      </c>
      <c r="AG147" s="66" t="str">
        <f>IF(OR(AB147="",A147=""),"",IF(COUNTIFS($A$6:A147,A147,$AB$6:AB147,"&gt;0")=1,1,""))</f>
        <v/>
      </c>
      <c r="AH147" s="70" t="str">
        <f>IF(AB147="","",ROUND(N(W147)*N(J147)*(1-N(K147)),2))</f>
        <v/>
      </c>
      <c r="AI147" s="70" t="str">
        <f>IF(OR(J147="",N(T147)&lt;=0,V147="Oui"),"",ROUND(N(T147)*J147*(1-N(K147)),2))</f>
        <v/>
      </c>
    </row>
    <row r="148">
      <c r="A148" s="63" t="n"/>
      <c r="B148" s="64" t="n"/>
      <c r="C148" s="65" t="n"/>
      <c r="D148" s="66" t="str">
        <f>IF(C148="","",IFERROR(INDEX(sup_name,MATCH($C148,sup_code,0))&amp;"","Fournisseur inconnu"))</f>
        <v/>
      </c>
      <c r="E148" s="63" t="n"/>
      <c r="F148" s="66" t="str">
        <f>IF(E148="","",IFERROR(INDEX(art_des,MATCH($E148,art_ref,0))&amp;"","Article inconnu"))</f>
        <v/>
      </c>
      <c r="G148" s="67" t="str">
        <f>IF(E148="","",IFERROR(INDEX(art_unit,MATCH($E148,art_ref,0))&amp;"",""))</f>
        <v/>
      </c>
      <c r="H148" s="68" t="n"/>
      <c r="I148" s="69" t="n"/>
      <c r="J148" s="70" t="str">
        <f>IF(E148="","",IF(ISNUMBER(I148),I148,IFERROR(IF(ISNUMBER(INDEX(art_price,MATCH($E148,art_ref,0))),INDEX(art_price,MATCH($E148,art_ref,0)),""),"")))</f>
        <v/>
      </c>
      <c r="K148" s="71" t="n"/>
      <c r="L148" s="72" t="n"/>
      <c r="M148" s="72" t="str">
        <f>IF(E148="","",IF(L148&lt;&gt;"",L148,IFERROR(IF(ISNUMBER(INDEX(art_tva,MATCH($E148,art_ref,0))),INDEX(art_tva,MATCH($E148,art_ref,0)),""),"")))</f>
        <v/>
      </c>
      <c r="N148" s="70" t="str">
        <f>IF(OR(E148="",J148=""),"",ROUND(N(H148)*J148*(1-N(K148)),2))</f>
        <v/>
      </c>
      <c r="O148" s="70" t="str">
        <f>IF(OR(N148="",NOT(ISNUMBER(M148))),"",ROUND(N148*M148,2))</f>
        <v/>
      </c>
      <c r="P148" s="70" t="str">
        <f>IF(N148="","",N148+N(O148))</f>
        <v/>
      </c>
      <c r="Q148" s="64" t="n"/>
      <c r="R148" s="73" t="str">
        <f>IF(N(Q148)&gt;0,Q148,IF(OR(N(B148)=0,ISNA(MATCH($C148,sup_code,0))),"",IF(ISNUMBER(INDEX(sup_delay,MATCH($C148,sup_code,0))),B148+INDEX(sup_delay,MATCH($C148,sup_code,0)),"")))</f>
        <v/>
      </c>
      <c r="S148" s="64" t="n"/>
      <c r="T148" s="68" t="n"/>
      <c r="U148" s="64" t="n"/>
      <c r="V148" s="65" t="n"/>
      <c r="W148" s="74" t="str">
        <f>IF(AND(A148="",E148=""),"",IF(V148="Oui",0,MAX(0,ROUND(N(H148)-N(T148),6))))</f>
        <v/>
      </c>
      <c r="X148" s="67" t="str">
        <f>IF(AND(A148="",E148=""),"",IF(V148="Oui","Annulé",IF(AND(N(H148)&gt;0,N(T148)&gt;=N(H148)),"Reçu",IF(N(S148)=0,"Brouillon",IF(AND(ISNUMBER(R148),R148&lt;p_today),"En retard",IF(N(T148)&gt;0,"Partiel","Envoyé"))))))</f>
        <v/>
      </c>
      <c r="Y148" s="75" t="str">
        <f>IF(X148="En retard",p_today-R148,IF(AND(X148="Reçu",ISNUMBER(R148)),MAX(0,N(U148)-R148),""))</f>
        <v/>
      </c>
      <c r="Z148" s="67" t="str">
        <f>IF(AND(A148="",E148=""),"",IF(A148="","N° de bon manquant",IF(N(B148)=0,"Date de commande manquante",IF(C148="","Fournisseur manquant",IF(ISNA(MATCH($C148,sup_code,0)),"Fournisseur inconnu",IF(E148="","Article manquant",IF(ISNA(MATCH($E148,art_ref,0)),"Article inconnu",IF(N(H148)&lt;=0,"Quantité invalide",IF(J148="","Prix manquant",IF(OR(N(K148)&lt;0,N(K148)&gt;=1),"Remise invalide",IF(M148="","TVA manquante",IF(ISNA(MATCH(M148,p_tva,0)),"Taux de TVA inconnu",IF(COUNTIFS(po_num,A148,po_sup,"&lt;&gt;"&amp;C148)&gt;0,"Fournisseur différent sur ce bon",IF(COUNTIFS(po_num,A148,po_date,"&lt;&gt;"&amp;B148)&gt;0,"Date différente sur ce bon",IF(COUNTIF(po_num,A148)&gt;25,"Plus de 25 lignes sur ce bon",IF(R148="","Date de livraison manquante",IF(R148&lt;B148,"Livraison avant la commande",IF(AND(N(T148)&gt;0,N(S148)=0),"Date d'envoi manquante",IF(N(T148)&gt;N(H148),"Reçu plus que commandé",IF(AND(N(T148)&gt;0,N(U148)=0),"Date de réception manquante",IF(AND(N(U148)&gt;0,U148&lt;B148),"Réception avant la commande","OK")))))))))))))))))))))</f>
        <v/>
      </c>
      <c r="AA148" s="66" t="str">
        <f>IF(AND(X148="Reçu",ISNUMBER(R148)),IF(N(U148)&lt;=R148,1,0),"")</f>
        <v/>
      </c>
      <c r="AB148" s="76" t="str">
        <f>IF(OR(X148="Envoyé",X148="Partiel",X148="En retard"),IF(ISNUMBER(R148),R148,100000)+ROW()/100000,"")</f>
        <v/>
      </c>
      <c r="AC148" s="66" t="str">
        <f>IF(A148="","",IF(COUNTIF($A$6:A148,A148)=1,1,""))</f>
        <v/>
      </c>
      <c r="AD148" s="66" t="str">
        <f>IF(AC148=1,COUNT($AC$6:AC148),"")</f>
        <v/>
      </c>
      <c r="AE148" s="66" t="str">
        <f>IFERROR(INDEX(po_num,MATCH(143,po_seq,0))&amp;"","")</f>
        <v/>
      </c>
      <c r="AF148" s="66" t="str">
        <f>IF(OR(A148="",p_po=""),"",IF(A148&amp;""=p_po,COUNTIF($A$6:A148,A148),""))</f>
        <v/>
      </c>
      <c r="AG148" s="66" t="str">
        <f>IF(OR(AB148="",A148=""),"",IF(COUNTIFS($A$6:A148,A148,$AB$6:AB148,"&gt;0")=1,1,""))</f>
        <v/>
      </c>
      <c r="AH148" s="70" t="str">
        <f>IF(AB148="","",ROUND(N(W148)*N(J148)*(1-N(K148)),2))</f>
        <v/>
      </c>
      <c r="AI148" s="70" t="str">
        <f>IF(OR(J148="",N(T148)&lt;=0,V148="Oui"),"",ROUND(N(T148)*J148*(1-N(K148)),2))</f>
        <v/>
      </c>
    </row>
    <row r="149">
      <c r="A149" s="63" t="n"/>
      <c r="B149" s="64" t="n"/>
      <c r="C149" s="65" t="n"/>
      <c r="D149" s="66" t="str">
        <f>IF(C149="","",IFERROR(INDEX(sup_name,MATCH($C149,sup_code,0))&amp;"","Fournisseur inconnu"))</f>
        <v/>
      </c>
      <c r="E149" s="63" t="n"/>
      <c r="F149" s="66" t="str">
        <f>IF(E149="","",IFERROR(INDEX(art_des,MATCH($E149,art_ref,0))&amp;"","Article inconnu"))</f>
        <v/>
      </c>
      <c r="G149" s="67" t="str">
        <f>IF(E149="","",IFERROR(INDEX(art_unit,MATCH($E149,art_ref,0))&amp;"",""))</f>
        <v/>
      </c>
      <c r="H149" s="68" t="n"/>
      <c r="I149" s="69" t="n"/>
      <c r="J149" s="70" t="str">
        <f>IF(E149="","",IF(ISNUMBER(I149),I149,IFERROR(IF(ISNUMBER(INDEX(art_price,MATCH($E149,art_ref,0))),INDEX(art_price,MATCH($E149,art_ref,0)),""),"")))</f>
        <v/>
      </c>
      <c r="K149" s="71" t="n"/>
      <c r="L149" s="72" t="n"/>
      <c r="M149" s="72" t="str">
        <f>IF(E149="","",IF(L149&lt;&gt;"",L149,IFERROR(IF(ISNUMBER(INDEX(art_tva,MATCH($E149,art_ref,0))),INDEX(art_tva,MATCH($E149,art_ref,0)),""),"")))</f>
        <v/>
      </c>
      <c r="N149" s="70" t="str">
        <f>IF(OR(E149="",J149=""),"",ROUND(N(H149)*J149*(1-N(K149)),2))</f>
        <v/>
      </c>
      <c r="O149" s="70" t="str">
        <f>IF(OR(N149="",NOT(ISNUMBER(M149))),"",ROUND(N149*M149,2))</f>
        <v/>
      </c>
      <c r="P149" s="70" t="str">
        <f>IF(N149="","",N149+N(O149))</f>
        <v/>
      </c>
      <c r="Q149" s="64" t="n"/>
      <c r="R149" s="73" t="str">
        <f>IF(N(Q149)&gt;0,Q149,IF(OR(N(B149)=0,ISNA(MATCH($C149,sup_code,0))),"",IF(ISNUMBER(INDEX(sup_delay,MATCH($C149,sup_code,0))),B149+INDEX(sup_delay,MATCH($C149,sup_code,0)),"")))</f>
        <v/>
      </c>
      <c r="S149" s="64" t="n"/>
      <c r="T149" s="68" t="n"/>
      <c r="U149" s="64" t="n"/>
      <c r="V149" s="65" t="n"/>
      <c r="W149" s="74" t="str">
        <f>IF(AND(A149="",E149=""),"",IF(V149="Oui",0,MAX(0,ROUND(N(H149)-N(T149),6))))</f>
        <v/>
      </c>
      <c r="X149" s="67" t="str">
        <f>IF(AND(A149="",E149=""),"",IF(V149="Oui","Annulé",IF(AND(N(H149)&gt;0,N(T149)&gt;=N(H149)),"Reçu",IF(N(S149)=0,"Brouillon",IF(AND(ISNUMBER(R149),R149&lt;p_today),"En retard",IF(N(T149)&gt;0,"Partiel","Envoyé"))))))</f>
        <v/>
      </c>
      <c r="Y149" s="75" t="str">
        <f>IF(X149="En retard",p_today-R149,IF(AND(X149="Reçu",ISNUMBER(R149)),MAX(0,N(U149)-R149),""))</f>
        <v/>
      </c>
      <c r="Z149" s="67" t="str">
        <f>IF(AND(A149="",E149=""),"",IF(A149="","N° de bon manquant",IF(N(B149)=0,"Date de commande manquante",IF(C149="","Fournisseur manquant",IF(ISNA(MATCH($C149,sup_code,0)),"Fournisseur inconnu",IF(E149="","Article manquant",IF(ISNA(MATCH($E149,art_ref,0)),"Article inconnu",IF(N(H149)&lt;=0,"Quantité invalide",IF(J149="","Prix manquant",IF(OR(N(K149)&lt;0,N(K149)&gt;=1),"Remise invalide",IF(M149="","TVA manquante",IF(ISNA(MATCH(M149,p_tva,0)),"Taux de TVA inconnu",IF(COUNTIFS(po_num,A149,po_sup,"&lt;&gt;"&amp;C149)&gt;0,"Fournisseur différent sur ce bon",IF(COUNTIFS(po_num,A149,po_date,"&lt;&gt;"&amp;B149)&gt;0,"Date différente sur ce bon",IF(COUNTIF(po_num,A149)&gt;25,"Plus de 25 lignes sur ce bon",IF(R149="","Date de livraison manquante",IF(R149&lt;B149,"Livraison avant la commande",IF(AND(N(T149)&gt;0,N(S149)=0),"Date d'envoi manquante",IF(N(T149)&gt;N(H149),"Reçu plus que commandé",IF(AND(N(T149)&gt;0,N(U149)=0),"Date de réception manquante",IF(AND(N(U149)&gt;0,U149&lt;B149),"Réception avant la commande","OK")))))))))))))))))))))</f>
        <v/>
      </c>
      <c r="AA149" s="66" t="str">
        <f>IF(AND(X149="Reçu",ISNUMBER(R149)),IF(N(U149)&lt;=R149,1,0),"")</f>
        <v/>
      </c>
      <c r="AB149" s="76" t="str">
        <f>IF(OR(X149="Envoyé",X149="Partiel",X149="En retard"),IF(ISNUMBER(R149),R149,100000)+ROW()/100000,"")</f>
        <v/>
      </c>
      <c r="AC149" s="66" t="str">
        <f>IF(A149="","",IF(COUNTIF($A$6:A149,A149)=1,1,""))</f>
        <v/>
      </c>
      <c r="AD149" s="66" t="str">
        <f>IF(AC149=1,COUNT($AC$6:AC149),"")</f>
        <v/>
      </c>
      <c r="AE149" s="66" t="str">
        <f>IFERROR(INDEX(po_num,MATCH(144,po_seq,0))&amp;"","")</f>
        <v/>
      </c>
      <c r="AF149" s="66" t="str">
        <f>IF(OR(A149="",p_po=""),"",IF(A149&amp;""=p_po,COUNTIF($A$6:A149,A149),""))</f>
        <v/>
      </c>
      <c r="AG149" s="66" t="str">
        <f>IF(OR(AB149="",A149=""),"",IF(COUNTIFS($A$6:A149,A149,$AB$6:AB149,"&gt;0")=1,1,""))</f>
        <v/>
      </c>
      <c r="AH149" s="70" t="str">
        <f>IF(AB149="","",ROUND(N(W149)*N(J149)*(1-N(K149)),2))</f>
        <v/>
      </c>
      <c r="AI149" s="70" t="str">
        <f>IF(OR(J149="",N(T149)&lt;=0,V149="Oui"),"",ROUND(N(T149)*J149*(1-N(K149)),2))</f>
        <v/>
      </c>
    </row>
    <row r="150">
      <c r="A150" s="63" t="n"/>
      <c r="B150" s="64" t="n"/>
      <c r="C150" s="65" t="n"/>
      <c r="D150" s="66" t="str">
        <f>IF(C150="","",IFERROR(INDEX(sup_name,MATCH($C150,sup_code,0))&amp;"","Fournisseur inconnu"))</f>
        <v/>
      </c>
      <c r="E150" s="63" t="n"/>
      <c r="F150" s="66" t="str">
        <f>IF(E150="","",IFERROR(INDEX(art_des,MATCH($E150,art_ref,0))&amp;"","Article inconnu"))</f>
        <v/>
      </c>
      <c r="G150" s="67" t="str">
        <f>IF(E150="","",IFERROR(INDEX(art_unit,MATCH($E150,art_ref,0))&amp;"",""))</f>
        <v/>
      </c>
      <c r="H150" s="68" t="n"/>
      <c r="I150" s="69" t="n"/>
      <c r="J150" s="70" t="str">
        <f>IF(E150="","",IF(ISNUMBER(I150),I150,IFERROR(IF(ISNUMBER(INDEX(art_price,MATCH($E150,art_ref,0))),INDEX(art_price,MATCH($E150,art_ref,0)),""),"")))</f>
        <v/>
      </c>
      <c r="K150" s="71" t="n"/>
      <c r="L150" s="72" t="n"/>
      <c r="M150" s="72" t="str">
        <f>IF(E150="","",IF(L150&lt;&gt;"",L150,IFERROR(IF(ISNUMBER(INDEX(art_tva,MATCH($E150,art_ref,0))),INDEX(art_tva,MATCH($E150,art_ref,0)),""),"")))</f>
        <v/>
      </c>
      <c r="N150" s="70" t="str">
        <f>IF(OR(E150="",J150=""),"",ROUND(N(H150)*J150*(1-N(K150)),2))</f>
        <v/>
      </c>
      <c r="O150" s="70" t="str">
        <f>IF(OR(N150="",NOT(ISNUMBER(M150))),"",ROUND(N150*M150,2))</f>
        <v/>
      </c>
      <c r="P150" s="70" t="str">
        <f>IF(N150="","",N150+N(O150))</f>
        <v/>
      </c>
      <c r="Q150" s="64" t="n"/>
      <c r="R150" s="73" t="str">
        <f>IF(N(Q150)&gt;0,Q150,IF(OR(N(B150)=0,ISNA(MATCH($C150,sup_code,0))),"",IF(ISNUMBER(INDEX(sup_delay,MATCH($C150,sup_code,0))),B150+INDEX(sup_delay,MATCH($C150,sup_code,0)),"")))</f>
        <v/>
      </c>
      <c r="S150" s="64" t="n"/>
      <c r="T150" s="68" t="n"/>
      <c r="U150" s="64" t="n"/>
      <c r="V150" s="65" t="n"/>
      <c r="W150" s="74" t="str">
        <f>IF(AND(A150="",E150=""),"",IF(V150="Oui",0,MAX(0,ROUND(N(H150)-N(T150),6))))</f>
        <v/>
      </c>
      <c r="X150" s="67" t="str">
        <f>IF(AND(A150="",E150=""),"",IF(V150="Oui","Annulé",IF(AND(N(H150)&gt;0,N(T150)&gt;=N(H150)),"Reçu",IF(N(S150)=0,"Brouillon",IF(AND(ISNUMBER(R150),R150&lt;p_today),"En retard",IF(N(T150)&gt;0,"Partiel","Envoyé"))))))</f>
        <v/>
      </c>
      <c r="Y150" s="75" t="str">
        <f>IF(X150="En retard",p_today-R150,IF(AND(X150="Reçu",ISNUMBER(R150)),MAX(0,N(U150)-R150),""))</f>
        <v/>
      </c>
      <c r="Z150" s="67" t="str">
        <f>IF(AND(A150="",E150=""),"",IF(A150="","N° de bon manquant",IF(N(B150)=0,"Date de commande manquante",IF(C150="","Fournisseur manquant",IF(ISNA(MATCH($C150,sup_code,0)),"Fournisseur inconnu",IF(E150="","Article manquant",IF(ISNA(MATCH($E150,art_ref,0)),"Article inconnu",IF(N(H150)&lt;=0,"Quantité invalide",IF(J150="","Prix manquant",IF(OR(N(K150)&lt;0,N(K150)&gt;=1),"Remise invalide",IF(M150="","TVA manquante",IF(ISNA(MATCH(M150,p_tva,0)),"Taux de TVA inconnu",IF(COUNTIFS(po_num,A150,po_sup,"&lt;&gt;"&amp;C150)&gt;0,"Fournisseur différent sur ce bon",IF(COUNTIFS(po_num,A150,po_date,"&lt;&gt;"&amp;B150)&gt;0,"Date différente sur ce bon",IF(COUNTIF(po_num,A150)&gt;25,"Plus de 25 lignes sur ce bon",IF(R150="","Date de livraison manquante",IF(R150&lt;B150,"Livraison avant la commande",IF(AND(N(T150)&gt;0,N(S150)=0),"Date d'envoi manquante",IF(N(T150)&gt;N(H150),"Reçu plus que commandé",IF(AND(N(T150)&gt;0,N(U150)=0),"Date de réception manquante",IF(AND(N(U150)&gt;0,U150&lt;B150),"Réception avant la commande","OK")))))))))))))))))))))</f>
        <v/>
      </c>
      <c r="AA150" s="66" t="str">
        <f>IF(AND(X150="Reçu",ISNUMBER(R150)),IF(N(U150)&lt;=R150,1,0),"")</f>
        <v/>
      </c>
      <c r="AB150" s="76" t="str">
        <f>IF(OR(X150="Envoyé",X150="Partiel",X150="En retard"),IF(ISNUMBER(R150),R150,100000)+ROW()/100000,"")</f>
        <v/>
      </c>
      <c r="AC150" s="66" t="str">
        <f>IF(A150="","",IF(COUNTIF($A$6:A150,A150)=1,1,""))</f>
        <v/>
      </c>
      <c r="AD150" s="66" t="str">
        <f>IF(AC150=1,COUNT($AC$6:AC150),"")</f>
        <v/>
      </c>
      <c r="AE150" s="66" t="str">
        <f>IFERROR(INDEX(po_num,MATCH(145,po_seq,0))&amp;"","")</f>
        <v/>
      </c>
      <c r="AF150" s="66" t="str">
        <f>IF(OR(A150="",p_po=""),"",IF(A150&amp;""=p_po,COUNTIF($A$6:A150,A150),""))</f>
        <v/>
      </c>
      <c r="AG150" s="66" t="str">
        <f>IF(OR(AB150="",A150=""),"",IF(COUNTIFS($A$6:A150,A150,$AB$6:AB150,"&gt;0")=1,1,""))</f>
        <v/>
      </c>
      <c r="AH150" s="70" t="str">
        <f>IF(AB150="","",ROUND(N(W150)*N(J150)*(1-N(K150)),2))</f>
        <v/>
      </c>
      <c r="AI150" s="70" t="str">
        <f>IF(OR(J150="",N(T150)&lt;=0,V150="Oui"),"",ROUND(N(T150)*J150*(1-N(K150)),2))</f>
        <v/>
      </c>
    </row>
    <row r="151">
      <c r="A151" s="63" t="n"/>
      <c r="B151" s="64" t="n"/>
      <c r="C151" s="65" t="n"/>
      <c r="D151" s="66" t="str">
        <f>IF(C151="","",IFERROR(INDEX(sup_name,MATCH($C151,sup_code,0))&amp;"","Fournisseur inconnu"))</f>
        <v/>
      </c>
      <c r="E151" s="63" t="n"/>
      <c r="F151" s="66" t="str">
        <f>IF(E151="","",IFERROR(INDEX(art_des,MATCH($E151,art_ref,0))&amp;"","Article inconnu"))</f>
        <v/>
      </c>
      <c r="G151" s="67" t="str">
        <f>IF(E151="","",IFERROR(INDEX(art_unit,MATCH($E151,art_ref,0))&amp;"",""))</f>
        <v/>
      </c>
      <c r="H151" s="68" t="n"/>
      <c r="I151" s="69" t="n"/>
      <c r="J151" s="70" t="str">
        <f>IF(E151="","",IF(ISNUMBER(I151),I151,IFERROR(IF(ISNUMBER(INDEX(art_price,MATCH($E151,art_ref,0))),INDEX(art_price,MATCH($E151,art_ref,0)),""),"")))</f>
        <v/>
      </c>
      <c r="K151" s="71" t="n"/>
      <c r="L151" s="72" t="n"/>
      <c r="M151" s="72" t="str">
        <f>IF(E151="","",IF(L151&lt;&gt;"",L151,IFERROR(IF(ISNUMBER(INDEX(art_tva,MATCH($E151,art_ref,0))),INDEX(art_tva,MATCH($E151,art_ref,0)),""),"")))</f>
        <v/>
      </c>
      <c r="N151" s="70" t="str">
        <f>IF(OR(E151="",J151=""),"",ROUND(N(H151)*J151*(1-N(K151)),2))</f>
        <v/>
      </c>
      <c r="O151" s="70" t="str">
        <f>IF(OR(N151="",NOT(ISNUMBER(M151))),"",ROUND(N151*M151,2))</f>
        <v/>
      </c>
      <c r="P151" s="70" t="str">
        <f>IF(N151="","",N151+N(O151))</f>
        <v/>
      </c>
      <c r="Q151" s="64" t="n"/>
      <c r="R151" s="73" t="str">
        <f>IF(N(Q151)&gt;0,Q151,IF(OR(N(B151)=0,ISNA(MATCH($C151,sup_code,0))),"",IF(ISNUMBER(INDEX(sup_delay,MATCH($C151,sup_code,0))),B151+INDEX(sup_delay,MATCH($C151,sup_code,0)),"")))</f>
        <v/>
      </c>
      <c r="S151" s="64" t="n"/>
      <c r="T151" s="68" t="n"/>
      <c r="U151" s="64" t="n"/>
      <c r="V151" s="65" t="n"/>
      <c r="W151" s="74" t="str">
        <f>IF(AND(A151="",E151=""),"",IF(V151="Oui",0,MAX(0,ROUND(N(H151)-N(T151),6))))</f>
        <v/>
      </c>
      <c r="X151" s="67" t="str">
        <f>IF(AND(A151="",E151=""),"",IF(V151="Oui","Annulé",IF(AND(N(H151)&gt;0,N(T151)&gt;=N(H151)),"Reçu",IF(N(S151)=0,"Brouillon",IF(AND(ISNUMBER(R151),R151&lt;p_today),"En retard",IF(N(T151)&gt;0,"Partiel","Envoyé"))))))</f>
        <v/>
      </c>
      <c r="Y151" s="75" t="str">
        <f>IF(X151="En retard",p_today-R151,IF(AND(X151="Reçu",ISNUMBER(R151)),MAX(0,N(U151)-R151),""))</f>
        <v/>
      </c>
      <c r="Z151" s="67" t="str">
        <f>IF(AND(A151="",E151=""),"",IF(A151="","N° de bon manquant",IF(N(B151)=0,"Date de commande manquante",IF(C151="","Fournisseur manquant",IF(ISNA(MATCH($C151,sup_code,0)),"Fournisseur inconnu",IF(E151="","Article manquant",IF(ISNA(MATCH($E151,art_ref,0)),"Article inconnu",IF(N(H151)&lt;=0,"Quantité invalide",IF(J151="","Prix manquant",IF(OR(N(K151)&lt;0,N(K151)&gt;=1),"Remise invalide",IF(M151="","TVA manquante",IF(ISNA(MATCH(M151,p_tva,0)),"Taux de TVA inconnu",IF(COUNTIFS(po_num,A151,po_sup,"&lt;&gt;"&amp;C151)&gt;0,"Fournisseur différent sur ce bon",IF(COUNTIFS(po_num,A151,po_date,"&lt;&gt;"&amp;B151)&gt;0,"Date différente sur ce bon",IF(COUNTIF(po_num,A151)&gt;25,"Plus de 25 lignes sur ce bon",IF(R151="","Date de livraison manquante",IF(R151&lt;B151,"Livraison avant la commande",IF(AND(N(T151)&gt;0,N(S151)=0),"Date d'envoi manquante",IF(N(T151)&gt;N(H151),"Reçu plus que commandé",IF(AND(N(T151)&gt;0,N(U151)=0),"Date de réception manquante",IF(AND(N(U151)&gt;0,U151&lt;B151),"Réception avant la commande","OK")))))))))))))))))))))</f>
        <v/>
      </c>
      <c r="AA151" s="66" t="str">
        <f>IF(AND(X151="Reçu",ISNUMBER(R151)),IF(N(U151)&lt;=R151,1,0),"")</f>
        <v/>
      </c>
      <c r="AB151" s="76" t="str">
        <f>IF(OR(X151="Envoyé",X151="Partiel",X151="En retard"),IF(ISNUMBER(R151),R151,100000)+ROW()/100000,"")</f>
        <v/>
      </c>
      <c r="AC151" s="66" t="str">
        <f>IF(A151="","",IF(COUNTIF($A$6:A151,A151)=1,1,""))</f>
        <v/>
      </c>
      <c r="AD151" s="66" t="str">
        <f>IF(AC151=1,COUNT($AC$6:AC151),"")</f>
        <v/>
      </c>
      <c r="AE151" s="66" t="str">
        <f>IFERROR(INDEX(po_num,MATCH(146,po_seq,0))&amp;"","")</f>
        <v/>
      </c>
      <c r="AF151" s="66" t="str">
        <f>IF(OR(A151="",p_po=""),"",IF(A151&amp;""=p_po,COUNTIF($A$6:A151,A151),""))</f>
        <v/>
      </c>
      <c r="AG151" s="66" t="str">
        <f>IF(OR(AB151="",A151=""),"",IF(COUNTIFS($A$6:A151,A151,$AB$6:AB151,"&gt;0")=1,1,""))</f>
        <v/>
      </c>
      <c r="AH151" s="70" t="str">
        <f>IF(AB151="","",ROUND(N(W151)*N(J151)*(1-N(K151)),2))</f>
        <v/>
      </c>
      <c r="AI151" s="70" t="str">
        <f>IF(OR(J151="",N(T151)&lt;=0,V151="Oui"),"",ROUND(N(T151)*J151*(1-N(K151)),2))</f>
        <v/>
      </c>
    </row>
    <row r="152">
      <c r="A152" s="63" t="n"/>
      <c r="B152" s="64" t="n"/>
      <c r="C152" s="65" t="n"/>
      <c r="D152" s="66" t="str">
        <f>IF(C152="","",IFERROR(INDEX(sup_name,MATCH($C152,sup_code,0))&amp;"","Fournisseur inconnu"))</f>
        <v/>
      </c>
      <c r="E152" s="63" t="n"/>
      <c r="F152" s="66" t="str">
        <f>IF(E152="","",IFERROR(INDEX(art_des,MATCH($E152,art_ref,0))&amp;"","Article inconnu"))</f>
        <v/>
      </c>
      <c r="G152" s="67" t="str">
        <f>IF(E152="","",IFERROR(INDEX(art_unit,MATCH($E152,art_ref,0))&amp;"",""))</f>
        <v/>
      </c>
      <c r="H152" s="68" t="n"/>
      <c r="I152" s="69" t="n"/>
      <c r="J152" s="70" t="str">
        <f>IF(E152="","",IF(ISNUMBER(I152),I152,IFERROR(IF(ISNUMBER(INDEX(art_price,MATCH($E152,art_ref,0))),INDEX(art_price,MATCH($E152,art_ref,0)),""),"")))</f>
        <v/>
      </c>
      <c r="K152" s="71" t="n"/>
      <c r="L152" s="72" t="n"/>
      <c r="M152" s="72" t="str">
        <f>IF(E152="","",IF(L152&lt;&gt;"",L152,IFERROR(IF(ISNUMBER(INDEX(art_tva,MATCH($E152,art_ref,0))),INDEX(art_tva,MATCH($E152,art_ref,0)),""),"")))</f>
        <v/>
      </c>
      <c r="N152" s="70" t="str">
        <f>IF(OR(E152="",J152=""),"",ROUND(N(H152)*J152*(1-N(K152)),2))</f>
        <v/>
      </c>
      <c r="O152" s="70" t="str">
        <f>IF(OR(N152="",NOT(ISNUMBER(M152))),"",ROUND(N152*M152,2))</f>
        <v/>
      </c>
      <c r="P152" s="70" t="str">
        <f>IF(N152="","",N152+N(O152))</f>
        <v/>
      </c>
      <c r="Q152" s="64" t="n"/>
      <c r="R152" s="73" t="str">
        <f>IF(N(Q152)&gt;0,Q152,IF(OR(N(B152)=0,ISNA(MATCH($C152,sup_code,0))),"",IF(ISNUMBER(INDEX(sup_delay,MATCH($C152,sup_code,0))),B152+INDEX(sup_delay,MATCH($C152,sup_code,0)),"")))</f>
        <v/>
      </c>
      <c r="S152" s="64" t="n"/>
      <c r="T152" s="68" t="n"/>
      <c r="U152" s="64" t="n"/>
      <c r="V152" s="65" t="n"/>
      <c r="W152" s="74" t="str">
        <f>IF(AND(A152="",E152=""),"",IF(V152="Oui",0,MAX(0,ROUND(N(H152)-N(T152),6))))</f>
        <v/>
      </c>
      <c r="X152" s="67" t="str">
        <f>IF(AND(A152="",E152=""),"",IF(V152="Oui","Annulé",IF(AND(N(H152)&gt;0,N(T152)&gt;=N(H152)),"Reçu",IF(N(S152)=0,"Brouillon",IF(AND(ISNUMBER(R152),R152&lt;p_today),"En retard",IF(N(T152)&gt;0,"Partiel","Envoyé"))))))</f>
        <v/>
      </c>
      <c r="Y152" s="75" t="str">
        <f>IF(X152="En retard",p_today-R152,IF(AND(X152="Reçu",ISNUMBER(R152)),MAX(0,N(U152)-R152),""))</f>
        <v/>
      </c>
      <c r="Z152" s="67" t="str">
        <f>IF(AND(A152="",E152=""),"",IF(A152="","N° de bon manquant",IF(N(B152)=0,"Date de commande manquante",IF(C152="","Fournisseur manquant",IF(ISNA(MATCH($C152,sup_code,0)),"Fournisseur inconnu",IF(E152="","Article manquant",IF(ISNA(MATCH($E152,art_ref,0)),"Article inconnu",IF(N(H152)&lt;=0,"Quantité invalide",IF(J152="","Prix manquant",IF(OR(N(K152)&lt;0,N(K152)&gt;=1),"Remise invalide",IF(M152="","TVA manquante",IF(ISNA(MATCH(M152,p_tva,0)),"Taux de TVA inconnu",IF(COUNTIFS(po_num,A152,po_sup,"&lt;&gt;"&amp;C152)&gt;0,"Fournisseur différent sur ce bon",IF(COUNTIFS(po_num,A152,po_date,"&lt;&gt;"&amp;B152)&gt;0,"Date différente sur ce bon",IF(COUNTIF(po_num,A152)&gt;25,"Plus de 25 lignes sur ce bon",IF(R152="","Date de livraison manquante",IF(R152&lt;B152,"Livraison avant la commande",IF(AND(N(T152)&gt;0,N(S152)=0),"Date d'envoi manquante",IF(N(T152)&gt;N(H152),"Reçu plus que commandé",IF(AND(N(T152)&gt;0,N(U152)=0),"Date de réception manquante",IF(AND(N(U152)&gt;0,U152&lt;B152),"Réception avant la commande","OK")))))))))))))))))))))</f>
        <v/>
      </c>
      <c r="AA152" s="66" t="str">
        <f>IF(AND(X152="Reçu",ISNUMBER(R152)),IF(N(U152)&lt;=R152,1,0),"")</f>
        <v/>
      </c>
      <c r="AB152" s="76" t="str">
        <f>IF(OR(X152="Envoyé",X152="Partiel",X152="En retard"),IF(ISNUMBER(R152),R152,100000)+ROW()/100000,"")</f>
        <v/>
      </c>
      <c r="AC152" s="66" t="str">
        <f>IF(A152="","",IF(COUNTIF($A$6:A152,A152)=1,1,""))</f>
        <v/>
      </c>
      <c r="AD152" s="66" t="str">
        <f>IF(AC152=1,COUNT($AC$6:AC152),"")</f>
        <v/>
      </c>
      <c r="AE152" s="66" t="str">
        <f>IFERROR(INDEX(po_num,MATCH(147,po_seq,0))&amp;"","")</f>
        <v/>
      </c>
      <c r="AF152" s="66" t="str">
        <f>IF(OR(A152="",p_po=""),"",IF(A152&amp;""=p_po,COUNTIF($A$6:A152,A152),""))</f>
        <v/>
      </c>
      <c r="AG152" s="66" t="str">
        <f>IF(OR(AB152="",A152=""),"",IF(COUNTIFS($A$6:A152,A152,$AB$6:AB152,"&gt;0")=1,1,""))</f>
        <v/>
      </c>
      <c r="AH152" s="70" t="str">
        <f>IF(AB152="","",ROUND(N(W152)*N(J152)*(1-N(K152)),2))</f>
        <v/>
      </c>
      <c r="AI152" s="70" t="str">
        <f>IF(OR(J152="",N(T152)&lt;=0,V152="Oui"),"",ROUND(N(T152)*J152*(1-N(K152)),2))</f>
        <v/>
      </c>
    </row>
    <row r="153">
      <c r="A153" s="63" t="n"/>
      <c r="B153" s="64" t="n"/>
      <c r="C153" s="65" t="n"/>
      <c r="D153" s="66" t="str">
        <f>IF(C153="","",IFERROR(INDEX(sup_name,MATCH($C153,sup_code,0))&amp;"","Fournisseur inconnu"))</f>
        <v/>
      </c>
      <c r="E153" s="63" t="n"/>
      <c r="F153" s="66" t="str">
        <f>IF(E153="","",IFERROR(INDEX(art_des,MATCH($E153,art_ref,0))&amp;"","Article inconnu"))</f>
        <v/>
      </c>
      <c r="G153" s="67" t="str">
        <f>IF(E153="","",IFERROR(INDEX(art_unit,MATCH($E153,art_ref,0))&amp;"",""))</f>
        <v/>
      </c>
      <c r="H153" s="68" t="n"/>
      <c r="I153" s="69" t="n"/>
      <c r="J153" s="70" t="str">
        <f>IF(E153="","",IF(ISNUMBER(I153),I153,IFERROR(IF(ISNUMBER(INDEX(art_price,MATCH($E153,art_ref,0))),INDEX(art_price,MATCH($E153,art_ref,0)),""),"")))</f>
        <v/>
      </c>
      <c r="K153" s="71" t="n"/>
      <c r="L153" s="72" t="n"/>
      <c r="M153" s="72" t="str">
        <f>IF(E153="","",IF(L153&lt;&gt;"",L153,IFERROR(IF(ISNUMBER(INDEX(art_tva,MATCH($E153,art_ref,0))),INDEX(art_tva,MATCH($E153,art_ref,0)),""),"")))</f>
        <v/>
      </c>
      <c r="N153" s="70" t="str">
        <f>IF(OR(E153="",J153=""),"",ROUND(N(H153)*J153*(1-N(K153)),2))</f>
        <v/>
      </c>
      <c r="O153" s="70" t="str">
        <f>IF(OR(N153="",NOT(ISNUMBER(M153))),"",ROUND(N153*M153,2))</f>
        <v/>
      </c>
      <c r="P153" s="70" t="str">
        <f>IF(N153="","",N153+N(O153))</f>
        <v/>
      </c>
      <c r="Q153" s="64" t="n"/>
      <c r="R153" s="73" t="str">
        <f>IF(N(Q153)&gt;0,Q153,IF(OR(N(B153)=0,ISNA(MATCH($C153,sup_code,0))),"",IF(ISNUMBER(INDEX(sup_delay,MATCH($C153,sup_code,0))),B153+INDEX(sup_delay,MATCH($C153,sup_code,0)),"")))</f>
        <v/>
      </c>
      <c r="S153" s="64" t="n"/>
      <c r="T153" s="68" t="n"/>
      <c r="U153" s="64" t="n"/>
      <c r="V153" s="65" t="n"/>
      <c r="W153" s="74" t="str">
        <f>IF(AND(A153="",E153=""),"",IF(V153="Oui",0,MAX(0,ROUND(N(H153)-N(T153),6))))</f>
        <v/>
      </c>
      <c r="X153" s="67" t="str">
        <f>IF(AND(A153="",E153=""),"",IF(V153="Oui","Annulé",IF(AND(N(H153)&gt;0,N(T153)&gt;=N(H153)),"Reçu",IF(N(S153)=0,"Brouillon",IF(AND(ISNUMBER(R153),R153&lt;p_today),"En retard",IF(N(T153)&gt;0,"Partiel","Envoyé"))))))</f>
        <v/>
      </c>
      <c r="Y153" s="75" t="str">
        <f>IF(X153="En retard",p_today-R153,IF(AND(X153="Reçu",ISNUMBER(R153)),MAX(0,N(U153)-R153),""))</f>
        <v/>
      </c>
      <c r="Z153" s="67" t="str">
        <f>IF(AND(A153="",E153=""),"",IF(A153="","N° de bon manquant",IF(N(B153)=0,"Date de commande manquante",IF(C153="","Fournisseur manquant",IF(ISNA(MATCH($C153,sup_code,0)),"Fournisseur inconnu",IF(E153="","Article manquant",IF(ISNA(MATCH($E153,art_ref,0)),"Article inconnu",IF(N(H153)&lt;=0,"Quantité invalide",IF(J153="","Prix manquant",IF(OR(N(K153)&lt;0,N(K153)&gt;=1),"Remise invalide",IF(M153="","TVA manquante",IF(ISNA(MATCH(M153,p_tva,0)),"Taux de TVA inconnu",IF(COUNTIFS(po_num,A153,po_sup,"&lt;&gt;"&amp;C153)&gt;0,"Fournisseur différent sur ce bon",IF(COUNTIFS(po_num,A153,po_date,"&lt;&gt;"&amp;B153)&gt;0,"Date différente sur ce bon",IF(COUNTIF(po_num,A153)&gt;25,"Plus de 25 lignes sur ce bon",IF(R153="","Date de livraison manquante",IF(R153&lt;B153,"Livraison avant la commande",IF(AND(N(T153)&gt;0,N(S153)=0),"Date d'envoi manquante",IF(N(T153)&gt;N(H153),"Reçu plus que commandé",IF(AND(N(T153)&gt;0,N(U153)=0),"Date de réception manquante",IF(AND(N(U153)&gt;0,U153&lt;B153),"Réception avant la commande","OK")))))))))))))))))))))</f>
        <v/>
      </c>
      <c r="AA153" s="66" t="str">
        <f>IF(AND(X153="Reçu",ISNUMBER(R153)),IF(N(U153)&lt;=R153,1,0),"")</f>
        <v/>
      </c>
      <c r="AB153" s="76" t="str">
        <f>IF(OR(X153="Envoyé",X153="Partiel",X153="En retard"),IF(ISNUMBER(R153),R153,100000)+ROW()/100000,"")</f>
        <v/>
      </c>
      <c r="AC153" s="66" t="str">
        <f>IF(A153="","",IF(COUNTIF($A$6:A153,A153)=1,1,""))</f>
        <v/>
      </c>
      <c r="AD153" s="66" t="str">
        <f>IF(AC153=1,COUNT($AC$6:AC153),"")</f>
        <v/>
      </c>
      <c r="AE153" s="66" t="str">
        <f>IFERROR(INDEX(po_num,MATCH(148,po_seq,0))&amp;"","")</f>
        <v/>
      </c>
      <c r="AF153" s="66" t="str">
        <f>IF(OR(A153="",p_po=""),"",IF(A153&amp;""=p_po,COUNTIF($A$6:A153,A153),""))</f>
        <v/>
      </c>
      <c r="AG153" s="66" t="str">
        <f>IF(OR(AB153="",A153=""),"",IF(COUNTIFS($A$6:A153,A153,$AB$6:AB153,"&gt;0")=1,1,""))</f>
        <v/>
      </c>
      <c r="AH153" s="70" t="str">
        <f>IF(AB153="","",ROUND(N(W153)*N(J153)*(1-N(K153)),2))</f>
        <v/>
      </c>
      <c r="AI153" s="70" t="str">
        <f>IF(OR(J153="",N(T153)&lt;=0,V153="Oui"),"",ROUND(N(T153)*J153*(1-N(K153)),2))</f>
        <v/>
      </c>
    </row>
    <row r="154">
      <c r="A154" s="63" t="n"/>
      <c r="B154" s="64" t="n"/>
      <c r="C154" s="65" t="n"/>
      <c r="D154" s="66" t="str">
        <f>IF(C154="","",IFERROR(INDEX(sup_name,MATCH($C154,sup_code,0))&amp;"","Fournisseur inconnu"))</f>
        <v/>
      </c>
      <c r="E154" s="63" t="n"/>
      <c r="F154" s="66" t="str">
        <f>IF(E154="","",IFERROR(INDEX(art_des,MATCH($E154,art_ref,0))&amp;"","Article inconnu"))</f>
        <v/>
      </c>
      <c r="G154" s="67" t="str">
        <f>IF(E154="","",IFERROR(INDEX(art_unit,MATCH($E154,art_ref,0))&amp;"",""))</f>
        <v/>
      </c>
      <c r="H154" s="68" t="n"/>
      <c r="I154" s="69" t="n"/>
      <c r="J154" s="70" t="str">
        <f>IF(E154="","",IF(ISNUMBER(I154),I154,IFERROR(IF(ISNUMBER(INDEX(art_price,MATCH($E154,art_ref,0))),INDEX(art_price,MATCH($E154,art_ref,0)),""),"")))</f>
        <v/>
      </c>
      <c r="K154" s="71" t="n"/>
      <c r="L154" s="72" t="n"/>
      <c r="M154" s="72" t="str">
        <f>IF(E154="","",IF(L154&lt;&gt;"",L154,IFERROR(IF(ISNUMBER(INDEX(art_tva,MATCH($E154,art_ref,0))),INDEX(art_tva,MATCH($E154,art_ref,0)),""),"")))</f>
        <v/>
      </c>
      <c r="N154" s="70" t="str">
        <f>IF(OR(E154="",J154=""),"",ROUND(N(H154)*J154*(1-N(K154)),2))</f>
        <v/>
      </c>
      <c r="O154" s="70" t="str">
        <f>IF(OR(N154="",NOT(ISNUMBER(M154))),"",ROUND(N154*M154,2))</f>
        <v/>
      </c>
      <c r="P154" s="70" t="str">
        <f>IF(N154="","",N154+N(O154))</f>
        <v/>
      </c>
      <c r="Q154" s="64" t="n"/>
      <c r="R154" s="73" t="str">
        <f>IF(N(Q154)&gt;0,Q154,IF(OR(N(B154)=0,ISNA(MATCH($C154,sup_code,0))),"",IF(ISNUMBER(INDEX(sup_delay,MATCH($C154,sup_code,0))),B154+INDEX(sup_delay,MATCH($C154,sup_code,0)),"")))</f>
        <v/>
      </c>
      <c r="S154" s="64" t="n"/>
      <c r="T154" s="68" t="n"/>
      <c r="U154" s="64" t="n"/>
      <c r="V154" s="65" t="n"/>
      <c r="W154" s="74" t="str">
        <f>IF(AND(A154="",E154=""),"",IF(V154="Oui",0,MAX(0,ROUND(N(H154)-N(T154),6))))</f>
        <v/>
      </c>
      <c r="X154" s="67" t="str">
        <f>IF(AND(A154="",E154=""),"",IF(V154="Oui","Annulé",IF(AND(N(H154)&gt;0,N(T154)&gt;=N(H154)),"Reçu",IF(N(S154)=0,"Brouillon",IF(AND(ISNUMBER(R154),R154&lt;p_today),"En retard",IF(N(T154)&gt;0,"Partiel","Envoyé"))))))</f>
        <v/>
      </c>
      <c r="Y154" s="75" t="str">
        <f>IF(X154="En retard",p_today-R154,IF(AND(X154="Reçu",ISNUMBER(R154)),MAX(0,N(U154)-R154),""))</f>
        <v/>
      </c>
      <c r="Z154" s="67" t="str">
        <f>IF(AND(A154="",E154=""),"",IF(A154="","N° de bon manquant",IF(N(B154)=0,"Date de commande manquante",IF(C154="","Fournisseur manquant",IF(ISNA(MATCH($C154,sup_code,0)),"Fournisseur inconnu",IF(E154="","Article manquant",IF(ISNA(MATCH($E154,art_ref,0)),"Article inconnu",IF(N(H154)&lt;=0,"Quantité invalide",IF(J154="","Prix manquant",IF(OR(N(K154)&lt;0,N(K154)&gt;=1),"Remise invalide",IF(M154="","TVA manquante",IF(ISNA(MATCH(M154,p_tva,0)),"Taux de TVA inconnu",IF(COUNTIFS(po_num,A154,po_sup,"&lt;&gt;"&amp;C154)&gt;0,"Fournisseur différent sur ce bon",IF(COUNTIFS(po_num,A154,po_date,"&lt;&gt;"&amp;B154)&gt;0,"Date différente sur ce bon",IF(COUNTIF(po_num,A154)&gt;25,"Plus de 25 lignes sur ce bon",IF(R154="","Date de livraison manquante",IF(R154&lt;B154,"Livraison avant la commande",IF(AND(N(T154)&gt;0,N(S154)=0),"Date d'envoi manquante",IF(N(T154)&gt;N(H154),"Reçu plus que commandé",IF(AND(N(T154)&gt;0,N(U154)=0),"Date de réception manquante",IF(AND(N(U154)&gt;0,U154&lt;B154),"Réception avant la commande","OK")))))))))))))))))))))</f>
        <v/>
      </c>
      <c r="AA154" s="66" t="str">
        <f>IF(AND(X154="Reçu",ISNUMBER(R154)),IF(N(U154)&lt;=R154,1,0),"")</f>
        <v/>
      </c>
      <c r="AB154" s="76" t="str">
        <f>IF(OR(X154="Envoyé",X154="Partiel",X154="En retard"),IF(ISNUMBER(R154),R154,100000)+ROW()/100000,"")</f>
        <v/>
      </c>
      <c r="AC154" s="66" t="str">
        <f>IF(A154="","",IF(COUNTIF($A$6:A154,A154)=1,1,""))</f>
        <v/>
      </c>
      <c r="AD154" s="66" t="str">
        <f>IF(AC154=1,COUNT($AC$6:AC154),"")</f>
        <v/>
      </c>
      <c r="AE154" s="66" t="str">
        <f>IFERROR(INDEX(po_num,MATCH(149,po_seq,0))&amp;"","")</f>
        <v/>
      </c>
      <c r="AF154" s="66" t="str">
        <f>IF(OR(A154="",p_po=""),"",IF(A154&amp;""=p_po,COUNTIF($A$6:A154,A154),""))</f>
        <v/>
      </c>
      <c r="AG154" s="66" t="str">
        <f>IF(OR(AB154="",A154=""),"",IF(COUNTIFS($A$6:A154,A154,$AB$6:AB154,"&gt;0")=1,1,""))</f>
        <v/>
      </c>
      <c r="AH154" s="70" t="str">
        <f>IF(AB154="","",ROUND(N(W154)*N(J154)*(1-N(K154)),2))</f>
        <v/>
      </c>
      <c r="AI154" s="70" t="str">
        <f>IF(OR(J154="",N(T154)&lt;=0,V154="Oui"),"",ROUND(N(T154)*J154*(1-N(K154)),2))</f>
        <v/>
      </c>
    </row>
    <row r="155">
      <c r="A155" s="63" t="n"/>
      <c r="B155" s="64" t="n"/>
      <c r="C155" s="65" t="n"/>
      <c r="D155" s="66" t="str">
        <f>IF(C155="","",IFERROR(INDEX(sup_name,MATCH($C155,sup_code,0))&amp;"","Fournisseur inconnu"))</f>
        <v/>
      </c>
      <c r="E155" s="63" t="n"/>
      <c r="F155" s="66" t="str">
        <f>IF(E155="","",IFERROR(INDEX(art_des,MATCH($E155,art_ref,0))&amp;"","Article inconnu"))</f>
        <v/>
      </c>
      <c r="G155" s="67" t="str">
        <f>IF(E155="","",IFERROR(INDEX(art_unit,MATCH($E155,art_ref,0))&amp;"",""))</f>
        <v/>
      </c>
      <c r="H155" s="68" t="n"/>
      <c r="I155" s="69" t="n"/>
      <c r="J155" s="70" t="str">
        <f>IF(E155="","",IF(ISNUMBER(I155),I155,IFERROR(IF(ISNUMBER(INDEX(art_price,MATCH($E155,art_ref,0))),INDEX(art_price,MATCH($E155,art_ref,0)),""),"")))</f>
        <v/>
      </c>
      <c r="K155" s="71" t="n"/>
      <c r="L155" s="72" t="n"/>
      <c r="M155" s="72" t="str">
        <f>IF(E155="","",IF(L155&lt;&gt;"",L155,IFERROR(IF(ISNUMBER(INDEX(art_tva,MATCH($E155,art_ref,0))),INDEX(art_tva,MATCH($E155,art_ref,0)),""),"")))</f>
        <v/>
      </c>
      <c r="N155" s="70" t="str">
        <f>IF(OR(E155="",J155=""),"",ROUND(N(H155)*J155*(1-N(K155)),2))</f>
        <v/>
      </c>
      <c r="O155" s="70" t="str">
        <f>IF(OR(N155="",NOT(ISNUMBER(M155))),"",ROUND(N155*M155,2))</f>
        <v/>
      </c>
      <c r="P155" s="70" t="str">
        <f>IF(N155="","",N155+N(O155))</f>
        <v/>
      </c>
      <c r="Q155" s="64" t="n"/>
      <c r="R155" s="73" t="str">
        <f>IF(N(Q155)&gt;0,Q155,IF(OR(N(B155)=0,ISNA(MATCH($C155,sup_code,0))),"",IF(ISNUMBER(INDEX(sup_delay,MATCH($C155,sup_code,0))),B155+INDEX(sup_delay,MATCH($C155,sup_code,0)),"")))</f>
        <v/>
      </c>
      <c r="S155" s="64" t="n"/>
      <c r="T155" s="68" t="n"/>
      <c r="U155" s="64" t="n"/>
      <c r="V155" s="65" t="n"/>
      <c r="W155" s="74" t="str">
        <f>IF(AND(A155="",E155=""),"",IF(V155="Oui",0,MAX(0,ROUND(N(H155)-N(T155),6))))</f>
        <v/>
      </c>
      <c r="X155" s="67" t="str">
        <f>IF(AND(A155="",E155=""),"",IF(V155="Oui","Annulé",IF(AND(N(H155)&gt;0,N(T155)&gt;=N(H155)),"Reçu",IF(N(S155)=0,"Brouillon",IF(AND(ISNUMBER(R155),R155&lt;p_today),"En retard",IF(N(T155)&gt;0,"Partiel","Envoyé"))))))</f>
        <v/>
      </c>
      <c r="Y155" s="75" t="str">
        <f>IF(X155="En retard",p_today-R155,IF(AND(X155="Reçu",ISNUMBER(R155)),MAX(0,N(U155)-R155),""))</f>
        <v/>
      </c>
      <c r="Z155" s="67" t="str">
        <f>IF(AND(A155="",E155=""),"",IF(A155="","N° de bon manquant",IF(N(B155)=0,"Date de commande manquante",IF(C155="","Fournisseur manquant",IF(ISNA(MATCH($C155,sup_code,0)),"Fournisseur inconnu",IF(E155="","Article manquant",IF(ISNA(MATCH($E155,art_ref,0)),"Article inconnu",IF(N(H155)&lt;=0,"Quantité invalide",IF(J155="","Prix manquant",IF(OR(N(K155)&lt;0,N(K155)&gt;=1),"Remise invalide",IF(M155="","TVA manquante",IF(ISNA(MATCH(M155,p_tva,0)),"Taux de TVA inconnu",IF(COUNTIFS(po_num,A155,po_sup,"&lt;&gt;"&amp;C155)&gt;0,"Fournisseur différent sur ce bon",IF(COUNTIFS(po_num,A155,po_date,"&lt;&gt;"&amp;B155)&gt;0,"Date différente sur ce bon",IF(COUNTIF(po_num,A155)&gt;25,"Plus de 25 lignes sur ce bon",IF(R155="","Date de livraison manquante",IF(R155&lt;B155,"Livraison avant la commande",IF(AND(N(T155)&gt;0,N(S155)=0),"Date d'envoi manquante",IF(N(T155)&gt;N(H155),"Reçu plus que commandé",IF(AND(N(T155)&gt;0,N(U155)=0),"Date de réception manquante",IF(AND(N(U155)&gt;0,U155&lt;B155),"Réception avant la commande","OK")))))))))))))))))))))</f>
        <v/>
      </c>
      <c r="AA155" s="66" t="str">
        <f>IF(AND(X155="Reçu",ISNUMBER(R155)),IF(N(U155)&lt;=R155,1,0),"")</f>
        <v/>
      </c>
      <c r="AB155" s="76" t="str">
        <f>IF(OR(X155="Envoyé",X155="Partiel",X155="En retard"),IF(ISNUMBER(R155),R155,100000)+ROW()/100000,"")</f>
        <v/>
      </c>
      <c r="AC155" s="66" t="str">
        <f>IF(A155="","",IF(COUNTIF($A$6:A155,A155)=1,1,""))</f>
        <v/>
      </c>
      <c r="AD155" s="66" t="str">
        <f>IF(AC155=1,COUNT($AC$6:AC155),"")</f>
        <v/>
      </c>
      <c r="AE155" s="66" t="str">
        <f>IFERROR(INDEX(po_num,MATCH(150,po_seq,0))&amp;"","")</f>
        <v/>
      </c>
      <c r="AF155" s="66" t="str">
        <f>IF(OR(A155="",p_po=""),"",IF(A155&amp;""=p_po,COUNTIF($A$6:A155,A155),""))</f>
        <v/>
      </c>
      <c r="AG155" s="66" t="str">
        <f>IF(OR(AB155="",A155=""),"",IF(COUNTIFS($A$6:A155,A155,$AB$6:AB155,"&gt;0")=1,1,""))</f>
        <v/>
      </c>
      <c r="AH155" s="70" t="str">
        <f>IF(AB155="","",ROUND(N(W155)*N(J155)*(1-N(K155)),2))</f>
        <v/>
      </c>
      <c r="AI155" s="70" t="str">
        <f>IF(OR(J155="",N(T155)&lt;=0,V155="Oui"),"",ROUND(N(T155)*J155*(1-N(K155)),2))</f>
        <v/>
      </c>
    </row>
    <row r="156">
      <c r="A156" s="63" t="n"/>
      <c r="B156" s="64" t="n"/>
      <c r="C156" s="65" t="n"/>
      <c r="D156" s="66" t="str">
        <f>IF(C156="","",IFERROR(INDEX(sup_name,MATCH($C156,sup_code,0))&amp;"","Fournisseur inconnu"))</f>
        <v/>
      </c>
      <c r="E156" s="63" t="n"/>
      <c r="F156" s="66" t="str">
        <f>IF(E156="","",IFERROR(INDEX(art_des,MATCH($E156,art_ref,0))&amp;"","Article inconnu"))</f>
        <v/>
      </c>
      <c r="G156" s="67" t="str">
        <f>IF(E156="","",IFERROR(INDEX(art_unit,MATCH($E156,art_ref,0))&amp;"",""))</f>
        <v/>
      </c>
      <c r="H156" s="68" t="n"/>
      <c r="I156" s="69" t="n"/>
      <c r="J156" s="70" t="str">
        <f>IF(E156="","",IF(ISNUMBER(I156),I156,IFERROR(IF(ISNUMBER(INDEX(art_price,MATCH($E156,art_ref,0))),INDEX(art_price,MATCH($E156,art_ref,0)),""),"")))</f>
        <v/>
      </c>
      <c r="K156" s="71" t="n"/>
      <c r="L156" s="72" t="n"/>
      <c r="M156" s="72" t="str">
        <f>IF(E156="","",IF(L156&lt;&gt;"",L156,IFERROR(IF(ISNUMBER(INDEX(art_tva,MATCH($E156,art_ref,0))),INDEX(art_tva,MATCH($E156,art_ref,0)),""),"")))</f>
        <v/>
      </c>
      <c r="N156" s="70" t="str">
        <f>IF(OR(E156="",J156=""),"",ROUND(N(H156)*J156*(1-N(K156)),2))</f>
        <v/>
      </c>
      <c r="O156" s="70" t="str">
        <f>IF(OR(N156="",NOT(ISNUMBER(M156))),"",ROUND(N156*M156,2))</f>
        <v/>
      </c>
      <c r="P156" s="70" t="str">
        <f>IF(N156="","",N156+N(O156))</f>
        <v/>
      </c>
      <c r="Q156" s="64" t="n"/>
      <c r="R156" s="73" t="str">
        <f>IF(N(Q156)&gt;0,Q156,IF(OR(N(B156)=0,ISNA(MATCH($C156,sup_code,0))),"",IF(ISNUMBER(INDEX(sup_delay,MATCH($C156,sup_code,0))),B156+INDEX(sup_delay,MATCH($C156,sup_code,0)),"")))</f>
        <v/>
      </c>
      <c r="S156" s="64" t="n"/>
      <c r="T156" s="68" t="n"/>
      <c r="U156" s="64" t="n"/>
      <c r="V156" s="65" t="n"/>
      <c r="W156" s="74" t="str">
        <f>IF(AND(A156="",E156=""),"",IF(V156="Oui",0,MAX(0,ROUND(N(H156)-N(T156),6))))</f>
        <v/>
      </c>
      <c r="X156" s="67" t="str">
        <f>IF(AND(A156="",E156=""),"",IF(V156="Oui","Annulé",IF(AND(N(H156)&gt;0,N(T156)&gt;=N(H156)),"Reçu",IF(N(S156)=0,"Brouillon",IF(AND(ISNUMBER(R156),R156&lt;p_today),"En retard",IF(N(T156)&gt;0,"Partiel","Envoyé"))))))</f>
        <v/>
      </c>
      <c r="Y156" s="75" t="str">
        <f>IF(X156="En retard",p_today-R156,IF(AND(X156="Reçu",ISNUMBER(R156)),MAX(0,N(U156)-R156),""))</f>
        <v/>
      </c>
      <c r="Z156" s="67" t="str">
        <f>IF(AND(A156="",E156=""),"",IF(A156="","N° de bon manquant",IF(N(B156)=0,"Date de commande manquante",IF(C156="","Fournisseur manquant",IF(ISNA(MATCH($C156,sup_code,0)),"Fournisseur inconnu",IF(E156="","Article manquant",IF(ISNA(MATCH($E156,art_ref,0)),"Article inconnu",IF(N(H156)&lt;=0,"Quantité invalide",IF(J156="","Prix manquant",IF(OR(N(K156)&lt;0,N(K156)&gt;=1),"Remise invalide",IF(M156="","TVA manquante",IF(ISNA(MATCH(M156,p_tva,0)),"Taux de TVA inconnu",IF(COUNTIFS(po_num,A156,po_sup,"&lt;&gt;"&amp;C156)&gt;0,"Fournisseur différent sur ce bon",IF(COUNTIFS(po_num,A156,po_date,"&lt;&gt;"&amp;B156)&gt;0,"Date différente sur ce bon",IF(COUNTIF(po_num,A156)&gt;25,"Plus de 25 lignes sur ce bon",IF(R156="","Date de livraison manquante",IF(R156&lt;B156,"Livraison avant la commande",IF(AND(N(T156)&gt;0,N(S156)=0),"Date d'envoi manquante",IF(N(T156)&gt;N(H156),"Reçu plus que commandé",IF(AND(N(T156)&gt;0,N(U156)=0),"Date de réception manquante",IF(AND(N(U156)&gt;0,U156&lt;B156),"Réception avant la commande","OK")))))))))))))))))))))</f>
        <v/>
      </c>
      <c r="AA156" s="66" t="str">
        <f>IF(AND(X156="Reçu",ISNUMBER(R156)),IF(N(U156)&lt;=R156,1,0),"")</f>
        <v/>
      </c>
      <c r="AB156" s="76" t="str">
        <f>IF(OR(X156="Envoyé",X156="Partiel",X156="En retard"),IF(ISNUMBER(R156),R156,100000)+ROW()/100000,"")</f>
        <v/>
      </c>
      <c r="AC156" s="66" t="str">
        <f>IF(A156="","",IF(COUNTIF($A$6:A156,A156)=1,1,""))</f>
        <v/>
      </c>
      <c r="AD156" s="66" t="str">
        <f>IF(AC156=1,COUNT($AC$6:AC156),"")</f>
        <v/>
      </c>
      <c r="AE156" s="66" t="str">
        <f>IFERROR(INDEX(po_num,MATCH(151,po_seq,0))&amp;"","")</f>
        <v/>
      </c>
      <c r="AF156" s="66" t="str">
        <f>IF(OR(A156="",p_po=""),"",IF(A156&amp;""=p_po,COUNTIF($A$6:A156,A156),""))</f>
        <v/>
      </c>
      <c r="AG156" s="66" t="str">
        <f>IF(OR(AB156="",A156=""),"",IF(COUNTIFS($A$6:A156,A156,$AB$6:AB156,"&gt;0")=1,1,""))</f>
        <v/>
      </c>
      <c r="AH156" s="70" t="str">
        <f>IF(AB156="","",ROUND(N(W156)*N(J156)*(1-N(K156)),2))</f>
        <v/>
      </c>
      <c r="AI156" s="70" t="str">
        <f>IF(OR(J156="",N(T156)&lt;=0,V156="Oui"),"",ROUND(N(T156)*J156*(1-N(K156)),2))</f>
        <v/>
      </c>
    </row>
    <row r="157">
      <c r="A157" s="63" t="n"/>
      <c r="B157" s="64" t="n"/>
      <c r="C157" s="65" t="n"/>
      <c r="D157" s="66" t="str">
        <f>IF(C157="","",IFERROR(INDEX(sup_name,MATCH($C157,sup_code,0))&amp;"","Fournisseur inconnu"))</f>
        <v/>
      </c>
      <c r="E157" s="63" t="n"/>
      <c r="F157" s="66" t="str">
        <f>IF(E157="","",IFERROR(INDEX(art_des,MATCH($E157,art_ref,0))&amp;"","Article inconnu"))</f>
        <v/>
      </c>
      <c r="G157" s="67" t="str">
        <f>IF(E157="","",IFERROR(INDEX(art_unit,MATCH($E157,art_ref,0))&amp;"",""))</f>
        <v/>
      </c>
      <c r="H157" s="68" t="n"/>
      <c r="I157" s="69" t="n"/>
      <c r="J157" s="70" t="str">
        <f>IF(E157="","",IF(ISNUMBER(I157),I157,IFERROR(IF(ISNUMBER(INDEX(art_price,MATCH($E157,art_ref,0))),INDEX(art_price,MATCH($E157,art_ref,0)),""),"")))</f>
        <v/>
      </c>
      <c r="K157" s="71" t="n"/>
      <c r="L157" s="72" t="n"/>
      <c r="M157" s="72" t="str">
        <f>IF(E157="","",IF(L157&lt;&gt;"",L157,IFERROR(IF(ISNUMBER(INDEX(art_tva,MATCH($E157,art_ref,0))),INDEX(art_tva,MATCH($E157,art_ref,0)),""),"")))</f>
        <v/>
      </c>
      <c r="N157" s="70" t="str">
        <f>IF(OR(E157="",J157=""),"",ROUND(N(H157)*J157*(1-N(K157)),2))</f>
        <v/>
      </c>
      <c r="O157" s="70" t="str">
        <f>IF(OR(N157="",NOT(ISNUMBER(M157))),"",ROUND(N157*M157,2))</f>
        <v/>
      </c>
      <c r="P157" s="70" t="str">
        <f>IF(N157="","",N157+N(O157))</f>
        <v/>
      </c>
      <c r="Q157" s="64" t="n"/>
      <c r="R157" s="73" t="str">
        <f>IF(N(Q157)&gt;0,Q157,IF(OR(N(B157)=0,ISNA(MATCH($C157,sup_code,0))),"",IF(ISNUMBER(INDEX(sup_delay,MATCH($C157,sup_code,0))),B157+INDEX(sup_delay,MATCH($C157,sup_code,0)),"")))</f>
        <v/>
      </c>
      <c r="S157" s="64" t="n"/>
      <c r="T157" s="68" t="n"/>
      <c r="U157" s="64" t="n"/>
      <c r="V157" s="65" t="n"/>
      <c r="W157" s="74" t="str">
        <f>IF(AND(A157="",E157=""),"",IF(V157="Oui",0,MAX(0,ROUND(N(H157)-N(T157),6))))</f>
        <v/>
      </c>
      <c r="X157" s="67" t="str">
        <f>IF(AND(A157="",E157=""),"",IF(V157="Oui","Annulé",IF(AND(N(H157)&gt;0,N(T157)&gt;=N(H157)),"Reçu",IF(N(S157)=0,"Brouillon",IF(AND(ISNUMBER(R157),R157&lt;p_today),"En retard",IF(N(T157)&gt;0,"Partiel","Envoyé"))))))</f>
        <v/>
      </c>
      <c r="Y157" s="75" t="str">
        <f>IF(X157="En retard",p_today-R157,IF(AND(X157="Reçu",ISNUMBER(R157)),MAX(0,N(U157)-R157),""))</f>
        <v/>
      </c>
      <c r="Z157" s="67" t="str">
        <f>IF(AND(A157="",E157=""),"",IF(A157="","N° de bon manquant",IF(N(B157)=0,"Date de commande manquante",IF(C157="","Fournisseur manquant",IF(ISNA(MATCH($C157,sup_code,0)),"Fournisseur inconnu",IF(E157="","Article manquant",IF(ISNA(MATCH($E157,art_ref,0)),"Article inconnu",IF(N(H157)&lt;=0,"Quantité invalide",IF(J157="","Prix manquant",IF(OR(N(K157)&lt;0,N(K157)&gt;=1),"Remise invalide",IF(M157="","TVA manquante",IF(ISNA(MATCH(M157,p_tva,0)),"Taux de TVA inconnu",IF(COUNTIFS(po_num,A157,po_sup,"&lt;&gt;"&amp;C157)&gt;0,"Fournisseur différent sur ce bon",IF(COUNTIFS(po_num,A157,po_date,"&lt;&gt;"&amp;B157)&gt;0,"Date différente sur ce bon",IF(COUNTIF(po_num,A157)&gt;25,"Plus de 25 lignes sur ce bon",IF(R157="","Date de livraison manquante",IF(R157&lt;B157,"Livraison avant la commande",IF(AND(N(T157)&gt;0,N(S157)=0),"Date d'envoi manquante",IF(N(T157)&gt;N(H157),"Reçu plus que commandé",IF(AND(N(T157)&gt;0,N(U157)=0),"Date de réception manquante",IF(AND(N(U157)&gt;0,U157&lt;B157),"Réception avant la commande","OK")))))))))))))))))))))</f>
        <v/>
      </c>
      <c r="AA157" s="66" t="str">
        <f>IF(AND(X157="Reçu",ISNUMBER(R157)),IF(N(U157)&lt;=R157,1,0),"")</f>
        <v/>
      </c>
      <c r="AB157" s="76" t="str">
        <f>IF(OR(X157="Envoyé",X157="Partiel",X157="En retard"),IF(ISNUMBER(R157),R157,100000)+ROW()/100000,"")</f>
        <v/>
      </c>
      <c r="AC157" s="66" t="str">
        <f>IF(A157="","",IF(COUNTIF($A$6:A157,A157)=1,1,""))</f>
        <v/>
      </c>
      <c r="AD157" s="66" t="str">
        <f>IF(AC157=1,COUNT($AC$6:AC157),"")</f>
        <v/>
      </c>
      <c r="AE157" s="66" t="str">
        <f>IFERROR(INDEX(po_num,MATCH(152,po_seq,0))&amp;"","")</f>
        <v/>
      </c>
      <c r="AF157" s="66" t="str">
        <f>IF(OR(A157="",p_po=""),"",IF(A157&amp;""=p_po,COUNTIF($A$6:A157,A157),""))</f>
        <v/>
      </c>
      <c r="AG157" s="66" t="str">
        <f>IF(OR(AB157="",A157=""),"",IF(COUNTIFS($A$6:A157,A157,$AB$6:AB157,"&gt;0")=1,1,""))</f>
        <v/>
      </c>
      <c r="AH157" s="70" t="str">
        <f>IF(AB157="","",ROUND(N(W157)*N(J157)*(1-N(K157)),2))</f>
        <v/>
      </c>
      <c r="AI157" s="70" t="str">
        <f>IF(OR(J157="",N(T157)&lt;=0,V157="Oui"),"",ROUND(N(T157)*J157*(1-N(K157)),2))</f>
        <v/>
      </c>
    </row>
    <row r="158">
      <c r="A158" s="63" t="n"/>
      <c r="B158" s="64" t="n"/>
      <c r="C158" s="65" t="n"/>
      <c r="D158" s="66" t="str">
        <f>IF(C158="","",IFERROR(INDEX(sup_name,MATCH($C158,sup_code,0))&amp;"","Fournisseur inconnu"))</f>
        <v/>
      </c>
      <c r="E158" s="63" t="n"/>
      <c r="F158" s="66" t="str">
        <f>IF(E158="","",IFERROR(INDEX(art_des,MATCH($E158,art_ref,0))&amp;"","Article inconnu"))</f>
        <v/>
      </c>
      <c r="G158" s="67" t="str">
        <f>IF(E158="","",IFERROR(INDEX(art_unit,MATCH($E158,art_ref,0))&amp;"",""))</f>
        <v/>
      </c>
      <c r="H158" s="68" t="n"/>
      <c r="I158" s="69" t="n"/>
      <c r="J158" s="70" t="str">
        <f>IF(E158="","",IF(ISNUMBER(I158),I158,IFERROR(IF(ISNUMBER(INDEX(art_price,MATCH($E158,art_ref,0))),INDEX(art_price,MATCH($E158,art_ref,0)),""),"")))</f>
        <v/>
      </c>
      <c r="K158" s="71" t="n"/>
      <c r="L158" s="72" t="n"/>
      <c r="M158" s="72" t="str">
        <f>IF(E158="","",IF(L158&lt;&gt;"",L158,IFERROR(IF(ISNUMBER(INDEX(art_tva,MATCH($E158,art_ref,0))),INDEX(art_tva,MATCH($E158,art_ref,0)),""),"")))</f>
        <v/>
      </c>
      <c r="N158" s="70" t="str">
        <f>IF(OR(E158="",J158=""),"",ROUND(N(H158)*J158*(1-N(K158)),2))</f>
        <v/>
      </c>
      <c r="O158" s="70" t="str">
        <f>IF(OR(N158="",NOT(ISNUMBER(M158))),"",ROUND(N158*M158,2))</f>
        <v/>
      </c>
      <c r="P158" s="70" t="str">
        <f>IF(N158="","",N158+N(O158))</f>
        <v/>
      </c>
      <c r="Q158" s="64" t="n"/>
      <c r="R158" s="73" t="str">
        <f>IF(N(Q158)&gt;0,Q158,IF(OR(N(B158)=0,ISNA(MATCH($C158,sup_code,0))),"",IF(ISNUMBER(INDEX(sup_delay,MATCH($C158,sup_code,0))),B158+INDEX(sup_delay,MATCH($C158,sup_code,0)),"")))</f>
        <v/>
      </c>
      <c r="S158" s="64" t="n"/>
      <c r="T158" s="68" t="n"/>
      <c r="U158" s="64" t="n"/>
      <c r="V158" s="65" t="n"/>
      <c r="W158" s="74" t="str">
        <f>IF(AND(A158="",E158=""),"",IF(V158="Oui",0,MAX(0,ROUND(N(H158)-N(T158),6))))</f>
        <v/>
      </c>
      <c r="X158" s="67" t="str">
        <f>IF(AND(A158="",E158=""),"",IF(V158="Oui","Annulé",IF(AND(N(H158)&gt;0,N(T158)&gt;=N(H158)),"Reçu",IF(N(S158)=0,"Brouillon",IF(AND(ISNUMBER(R158),R158&lt;p_today),"En retard",IF(N(T158)&gt;0,"Partiel","Envoyé"))))))</f>
        <v/>
      </c>
      <c r="Y158" s="75" t="str">
        <f>IF(X158="En retard",p_today-R158,IF(AND(X158="Reçu",ISNUMBER(R158)),MAX(0,N(U158)-R158),""))</f>
        <v/>
      </c>
      <c r="Z158" s="67" t="str">
        <f>IF(AND(A158="",E158=""),"",IF(A158="","N° de bon manquant",IF(N(B158)=0,"Date de commande manquante",IF(C158="","Fournisseur manquant",IF(ISNA(MATCH($C158,sup_code,0)),"Fournisseur inconnu",IF(E158="","Article manquant",IF(ISNA(MATCH($E158,art_ref,0)),"Article inconnu",IF(N(H158)&lt;=0,"Quantité invalide",IF(J158="","Prix manquant",IF(OR(N(K158)&lt;0,N(K158)&gt;=1),"Remise invalide",IF(M158="","TVA manquante",IF(ISNA(MATCH(M158,p_tva,0)),"Taux de TVA inconnu",IF(COUNTIFS(po_num,A158,po_sup,"&lt;&gt;"&amp;C158)&gt;0,"Fournisseur différent sur ce bon",IF(COUNTIFS(po_num,A158,po_date,"&lt;&gt;"&amp;B158)&gt;0,"Date différente sur ce bon",IF(COUNTIF(po_num,A158)&gt;25,"Plus de 25 lignes sur ce bon",IF(R158="","Date de livraison manquante",IF(R158&lt;B158,"Livraison avant la commande",IF(AND(N(T158)&gt;0,N(S158)=0),"Date d'envoi manquante",IF(N(T158)&gt;N(H158),"Reçu plus que commandé",IF(AND(N(T158)&gt;0,N(U158)=0),"Date de réception manquante",IF(AND(N(U158)&gt;0,U158&lt;B158),"Réception avant la commande","OK")))))))))))))))))))))</f>
        <v/>
      </c>
      <c r="AA158" s="66" t="str">
        <f>IF(AND(X158="Reçu",ISNUMBER(R158)),IF(N(U158)&lt;=R158,1,0),"")</f>
        <v/>
      </c>
      <c r="AB158" s="76" t="str">
        <f>IF(OR(X158="Envoyé",X158="Partiel",X158="En retard"),IF(ISNUMBER(R158),R158,100000)+ROW()/100000,"")</f>
        <v/>
      </c>
      <c r="AC158" s="66" t="str">
        <f>IF(A158="","",IF(COUNTIF($A$6:A158,A158)=1,1,""))</f>
        <v/>
      </c>
      <c r="AD158" s="66" t="str">
        <f>IF(AC158=1,COUNT($AC$6:AC158),"")</f>
        <v/>
      </c>
      <c r="AE158" s="66" t="str">
        <f>IFERROR(INDEX(po_num,MATCH(153,po_seq,0))&amp;"","")</f>
        <v/>
      </c>
      <c r="AF158" s="66" t="str">
        <f>IF(OR(A158="",p_po=""),"",IF(A158&amp;""=p_po,COUNTIF($A$6:A158,A158),""))</f>
        <v/>
      </c>
      <c r="AG158" s="66" t="str">
        <f>IF(OR(AB158="",A158=""),"",IF(COUNTIFS($A$6:A158,A158,$AB$6:AB158,"&gt;0")=1,1,""))</f>
        <v/>
      </c>
      <c r="AH158" s="70" t="str">
        <f>IF(AB158="","",ROUND(N(W158)*N(J158)*(1-N(K158)),2))</f>
        <v/>
      </c>
      <c r="AI158" s="70" t="str">
        <f>IF(OR(J158="",N(T158)&lt;=0,V158="Oui"),"",ROUND(N(T158)*J158*(1-N(K158)),2))</f>
        <v/>
      </c>
    </row>
    <row r="159">
      <c r="A159" s="63" t="n"/>
      <c r="B159" s="64" t="n"/>
      <c r="C159" s="65" t="n"/>
      <c r="D159" s="66" t="str">
        <f>IF(C159="","",IFERROR(INDEX(sup_name,MATCH($C159,sup_code,0))&amp;"","Fournisseur inconnu"))</f>
        <v/>
      </c>
      <c r="E159" s="63" t="n"/>
      <c r="F159" s="66" t="str">
        <f>IF(E159="","",IFERROR(INDEX(art_des,MATCH($E159,art_ref,0))&amp;"","Article inconnu"))</f>
        <v/>
      </c>
      <c r="G159" s="67" t="str">
        <f>IF(E159="","",IFERROR(INDEX(art_unit,MATCH($E159,art_ref,0))&amp;"",""))</f>
        <v/>
      </c>
      <c r="H159" s="68" t="n"/>
      <c r="I159" s="69" t="n"/>
      <c r="J159" s="70" t="str">
        <f>IF(E159="","",IF(ISNUMBER(I159),I159,IFERROR(IF(ISNUMBER(INDEX(art_price,MATCH($E159,art_ref,0))),INDEX(art_price,MATCH($E159,art_ref,0)),""),"")))</f>
        <v/>
      </c>
      <c r="K159" s="71" t="n"/>
      <c r="L159" s="72" t="n"/>
      <c r="M159" s="72" t="str">
        <f>IF(E159="","",IF(L159&lt;&gt;"",L159,IFERROR(IF(ISNUMBER(INDEX(art_tva,MATCH($E159,art_ref,0))),INDEX(art_tva,MATCH($E159,art_ref,0)),""),"")))</f>
        <v/>
      </c>
      <c r="N159" s="70" t="str">
        <f>IF(OR(E159="",J159=""),"",ROUND(N(H159)*J159*(1-N(K159)),2))</f>
        <v/>
      </c>
      <c r="O159" s="70" t="str">
        <f>IF(OR(N159="",NOT(ISNUMBER(M159))),"",ROUND(N159*M159,2))</f>
        <v/>
      </c>
      <c r="P159" s="70" t="str">
        <f>IF(N159="","",N159+N(O159))</f>
        <v/>
      </c>
      <c r="Q159" s="64" t="n"/>
      <c r="R159" s="73" t="str">
        <f>IF(N(Q159)&gt;0,Q159,IF(OR(N(B159)=0,ISNA(MATCH($C159,sup_code,0))),"",IF(ISNUMBER(INDEX(sup_delay,MATCH($C159,sup_code,0))),B159+INDEX(sup_delay,MATCH($C159,sup_code,0)),"")))</f>
        <v/>
      </c>
      <c r="S159" s="64" t="n"/>
      <c r="T159" s="68" t="n"/>
      <c r="U159" s="64" t="n"/>
      <c r="V159" s="65" t="n"/>
      <c r="W159" s="74" t="str">
        <f>IF(AND(A159="",E159=""),"",IF(V159="Oui",0,MAX(0,ROUND(N(H159)-N(T159),6))))</f>
        <v/>
      </c>
      <c r="X159" s="67" t="str">
        <f>IF(AND(A159="",E159=""),"",IF(V159="Oui","Annulé",IF(AND(N(H159)&gt;0,N(T159)&gt;=N(H159)),"Reçu",IF(N(S159)=0,"Brouillon",IF(AND(ISNUMBER(R159),R159&lt;p_today),"En retard",IF(N(T159)&gt;0,"Partiel","Envoyé"))))))</f>
        <v/>
      </c>
      <c r="Y159" s="75" t="str">
        <f>IF(X159="En retard",p_today-R159,IF(AND(X159="Reçu",ISNUMBER(R159)),MAX(0,N(U159)-R159),""))</f>
        <v/>
      </c>
      <c r="Z159" s="67" t="str">
        <f>IF(AND(A159="",E159=""),"",IF(A159="","N° de bon manquant",IF(N(B159)=0,"Date de commande manquante",IF(C159="","Fournisseur manquant",IF(ISNA(MATCH($C159,sup_code,0)),"Fournisseur inconnu",IF(E159="","Article manquant",IF(ISNA(MATCH($E159,art_ref,0)),"Article inconnu",IF(N(H159)&lt;=0,"Quantité invalide",IF(J159="","Prix manquant",IF(OR(N(K159)&lt;0,N(K159)&gt;=1),"Remise invalide",IF(M159="","TVA manquante",IF(ISNA(MATCH(M159,p_tva,0)),"Taux de TVA inconnu",IF(COUNTIFS(po_num,A159,po_sup,"&lt;&gt;"&amp;C159)&gt;0,"Fournisseur différent sur ce bon",IF(COUNTIFS(po_num,A159,po_date,"&lt;&gt;"&amp;B159)&gt;0,"Date différente sur ce bon",IF(COUNTIF(po_num,A159)&gt;25,"Plus de 25 lignes sur ce bon",IF(R159="","Date de livraison manquante",IF(R159&lt;B159,"Livraison avant la commande",IF(AND(N(T159)&gt;0,N(S159)=0),"Date d'envoi manquante",IF(N(T159)&gt;N(H159),"Reçu plus que commandé",IF(AND(N(T159)&gt;0,N(U159)=0),"Date de réception manquante",IF(AND(N(U159)&gt;0,U159&lt;B159),"Réception avant la commande","OK")))))))))))))))))))))</f>
        <v/>
      </c>
      <c r="AA159" s="66" t="str">
        <f>IF(AND(X159="Reçu",ISNUMBER(R159)),IF(N(U159)&lt;=R159,1,0),"")</f>
        <v/>
      </c>
      <c r="AB159" s="76" t="str">
        <f>IF(OR(X159="Envoyé",X159="Partiel",X159="En retard"),IF(ISNUMBER(R159),R159,100000)+ROW()/100000,"")</f>
        <v/>
      </c>
      <c r="AC159" s="66" t="str">
        <f>IF(A159="","",IF(COUNTIF($A$6:A159,A159)=1,1,""))</f>
        <v/>
      </c>
      <c r="AD159" s="66" t="str">
        <f>IF(AC159=1,COUNT($AC$6:AC159),"")</f>
        <v/>
      </c>
      <c r="AE159" s="66" t="str">
        <f>IFERROR(INDEX(po_num,MATCH(154,po_seq,0))&amp;"","")</f>
        <v/>
      </c>
      <c r="AF159" s="66" t="str">
        <f>IF(OR(A159="",p_po=""),"",IF(A159&amp;""=p_po,COUNTIF($A$6:A159,A159),""))</f>
        <v/>
      </c>
      <c r="AG159" s="66" t="str">
        <f>IF(OR(AB159="",A159=""),"",IF(COUNTIFS($A$6:A159,A159,$AB$6:AB159,"&gt;0")=1,1,""))</f>
        <v/>
      </c>
      <c r="AH159" s="70" t="str">
        <f>IF(AB159="","",ROUND(N(W159)*N(J159)*(1-N(K159)),2))</f>
        <v/>
      </c>
      <c r="AI159" s="70" t="str">
        <f>IF(OR(J159="",N(T159)&lt;=0,V159="Oui"),"",ROUND(N(T159)*J159*(1-N(K159)),2))</f>
        <v/>
      </c>
    </row>
    <row r="160">
      <c r="A160" s="63" t="n"/>
      <c r="B160" s="64" t="n"/>
      <c r="C160" s="65" t="n"/>
      <c r="D160" s="66" t="str">
        <f>IF(C160="","",IFERROR(INDEX(sup_name,MATCH($C160,sup_code,0))&amp;"","Fournisseur inconnu"))</f>
        <v/>
      </c>
      <c r="E160" s="63" t="n"/>
      <c r="F160" s="66" t="str">
        <f>IF(E160="","",IFERROR(INDEX(art_des,MATCH($E160,art_ref,0))&amp;"","Article inconnu"))</f>
        <v/>
      </c>
      <c r="G160" s="67" t="str">
        <f>IF(E160="","",IFERROR(INDEX(art_unit,MATCH($E160,art_ref,0))&amp;"",""))</f>
        <v/>
      </c>
      <c r="H160" s="68" t="n"/>
      <c r="I160" s="69" t="n"/>
      <c r="J160" s="70" t="str">
        <f>IF(E160="","",IF(ISNUMBER(I160),I160,IFERROR(IF(ISNUMBER(INDEX(art_price,MATCH($E160,art_ref,0))),INDEX(art_price,MATCH($E160,art_ref,0)),""),"")))</f>
        <v/>
      </c>
      <c r="K160" s="71" t="n"/>
      <c r="L160" s="72" t="n"/>
      <c r="M160" s="72" t="str">
        <f>IF(E160="","",IF(L160&lt;&gt;"",L160,IFERROR(IF(ISNUMBER(INDEX(art_tva,MATCH($E160,art_ref,0))),INDEX(art_tva,MATCH($E160,art_ref,0)),""),"")))</f>
        <v/>
      </c>
      <c r="N160" s="70" t="str">
        <f>IF(OR(E160="",J160=""),"",ROUND(N(H160)*J160*(1-N(K160)),2))</f>
        <v/>
      </c>
      <c r="O160" s="70" t="str">
        <f>IF(OR(N160="",NOT(ISNUMBER(M160))),"",ROUND(N160*M160,2))</f>
        <v/>
      </c>
      <c r="P160" s="70" t="str">
        <f>IF(N160="","",N160+N(O160))</f>
        <v/>
      </c>
      <c r="Q160" s="64" t="n"/>
      <c r="R160" s="73" t="str">
        <f>IF(N(Q160)&gt;0,Q160,IF(OR(N(B160)=0,ISNA(MATCH($C160,sup_code,0))),"",IF(ISNUMBER(INDEX(sup_delay,MATCH($C160,sup_code,0))),B160+INDEX(sup_delay,MATCH($C160,sup_code,0)),"")))</f>
        <v/>
      </c>
      <c r="S160" s="64" t="n"/>
      <c r="T160" s="68" t="n"/>
      <c r="U160" s="64" t="n"/>
      <c r="V160" s="65" t="n"/>
      <c r="W160" s="74" t="str">
        <f>IF(AND(A160="",E160=""),"",IF(V160="Oui",0,MAX(0,ROUND(N(H160)-N(T160),6))))</f>
        <v/>
      </c>
      <c r="X160" s="67" t="str">
        <f>IF(AND(A160="",E160=""),"",IF(V160="Oui","Annulé",IF(AND(N(H160)&gt;0,N(T160)&gt;=N(H160)),"Reçu",IF(N(S160)=0,"Brouillon",IF(AND(ISNUMBER(R160),R160&lt;p_today),"En retard",IF(N(T160)&gt;0,"Partiel","Envoyé"))))))</f>
        <v/>
      </c>
      <c r="Y160" s="75" t="str">
        <f>IF(X160="En retard",p_today-R160,IF(AND(X160="Reçu",ISNUMBER(R160)),MAX(0,N(U160)-R160),""))</f>
        <v/>
      </c>
      <c r="Z160" s="67" t="str">
        <f>IF(AND(A160="",E160=""),"",IF(A160="","N° de bon manquant",IF(N(B160)=0,"Date de commande manquante",IF(C160="","Fournisseur manquant",IF(ISNA(MATCH($C160,sup_code,0)),"Fournisseur inconnu",IF(E160="","Article manquant",IF(ISNA(MATCH($E160,art_ref,0)),"Article inconnu",IF(N(H160)&lt;=0,"Quantité invalide",IF(J160="","Prix manquant",IF(OR(N(K160)&lt;0,N(K160)&gt;=1),"Remise invalide",IF(M160="","TVA manquante",IF(ISNA(MATCH(M160,p_tva,0)),"Taux de TVA inconnu",IF(COUNTIFS(po_num,A160,po_sup,"&lt;&gt;"&amp;C160)&gt;0,"Fournisseur différent sur ce bon",IF(COUNTIFS(po_num,A160,po_date,"&lt;&gt;"&amp;B160)&gt;0,"Date différente sur ce bon",IF(COUNTIF(po_num,A160)&gt;25,"Plus de 25 lignes sur ce bon",IF(R160="","Date de livraison manquante",IF(R160&lt;B160,"Livraison avant la commande",IF(AND(N(T160)&gt;0,N(S160)=0),"Date d'envoi manquante",IF(N(T160)&gt;N(H160),"Reçu plus que commandé",IF(AND(N(T160)&gt;0,N(U160)=0),"Date de réception manquante",IF(AND(N(U160)&gt;0,U160&lt;B160),"Réception avant la commande","OK")))))))))))))))))))))</f>
        <v/>
      </c>
      <c r="AA160" s="66" t="str">
        <f>IF(AND(X160="Reçu",ISNUMBER(R160)),IF(N(U160)&lt;=R160,1,0),"")</f>
        <v/>
      </c>
      <c r="AB160" s="76" t="str">
        <f>IF(OR(X160="Envoyé",X160="Partiel",X160="En retard"),IF(ISNUMBER(R160),R160,100000)+ROW()/100000,"")</f>
        <v/>
      </c>
      <c r="AC160" s="66" t="str">
        <f>IF(A160="","",IF(COUNTIF($A$6:A160,A160)=1,1,""))</f>
        <v/>
      </c>
      <c r="AD160" s="66" t="str">
        <f>IF(AC160=1,COUNT($AC$6:AC160),"")</f>
        <v/>
      </c>
      <c r="AE160" s="66" t="str">
        <f>IFERROR(INDEX(po_num,MATCH(155,po_seq,0))&amp;"","")</f>
        <v/>
      </c>
      <c r="AF160" s="66" t="str">
        <f>IF(OR(A160="",p_po=""),"",IF(A160&amp;""=p_po,COUNTIF($A$6:A160,A160),""))</f>
        <v/>
      </c>
      <c r="AG160" s="66" t="str">
        <f>IF(OR(AB160="",A160=""),"",IF(COUNTIFS($A$6:A160,A160,$AB$6:AB160,"&gt;0")=1,1,""))</f>
        <v/>
      </c>
      <c r="AH160" s="70" t="str">
        <f>IF(AB160="","",ROUND(N(W160)*N(J160)*(1-N(K160)),2))</f>
        <v/>
      </c>
      <c r="AI160" s="70" t="str">
        <f>IF(OR(J160="",N(T160)&lt;=0,V160="Oui"),"",ROUND(N(T160)*J160*(1-N(K160)),2))</f>
        <v/>
      </c>
    </row>
    <row r="161">
      <c r="A161" s="63" t="n"/>
      <c r="B161" s="64" t="n"/>
      <c r="C161" s="65" t="n"/>
      <c r="D161" s="66" t="str">
        <f>IF(C161="","",IFERROR(INDEX(sup_name,MATCH($C161,sup_code,0))&amp;"","Fournisseur inconnu"))</f>
        <v/>
      </c>
      <c r="E161" s="63" t="n"/>
      <c r="F161" s="66" t="str">
        <f>IF(E161="","",IFERROR(INDEX(art_des,MATCH($E161,art_ref,0))&amp;"","Article inconnu"))</f>
        <v/>
      </c>
      <c r="G161" s="67" t="str">
        <f>IF(E161="","",IFERROR(INDEX(art_unit,MATCH($E161,art_ref,0))&amp;"",""))</f>
        <v/>
      </c>
      <c r="H161" s="68" t="n"/>
      <c r="I161" s="69" t="n"/>
      <c r="J161" s="70" t="str">
        <f>IF(E161="","",IF(ISNUMBER(I161),I161,IFERROR(IF(ISNUMBER(INDEX(art_price,MATCH($E161,art_ref,0))),INDEX(art_price,MATCH($E161,art_ref,0)),""),"")))</f>
        <v/>
      </c>
      <c r="K161" s="71" t="n"/>
      <c r="L161" s="72" t="n"/>
      <c r="M161" s="72" t="str">
        <f>IF(E161="","",IF(L161&lt;&gt;"",L161,IFERROR(IF(ISNUMBER(INDEX(art_tva,MATCH($E161,art_ref,0))),INDEX(art_tva,MATCH($E161,art_ref,0)),""),"")))</f>
        <v/>
      </c>
      <c r="N161" s="70" t="str">
        <f>IF(OR(E161="",J161=""),"",ROUND(N(H161)*J161*(1-N(K161)),2))</f>
        <v/>
      </c>
      <c r="O161" s="70" t="str">
        <f>IF(OR(N161="",NOT(ISNUMBER(M161))),"",ROUND(N161*M161,2))</f>
        <v/>
      </c>
      <c r="P161" s="70" t="str">
        <f>IF(N161="","",N161+N(O161))</f>
        <v/>
      </c>
      <c r="Q161" s="64" t="n"/>
      <c r="R161" s="73" t="str">
        <f>IF(N(Q161)&gt;0,Q161,IF(OR(N(B161)=0,ISNA(MATCH($C161,sup_code,0))),"",IF(ISNUMBER(INDEX(sup_delay,MATCH($C161,sup_code,0))),B161+INDEX(sup_delay,MATCH($C161,sup_code,0)),"")))</f>
        <v/>
      </c>
      <c r="S161" s="64" t="n"/>
      <c r="T161" s="68" t="n"/>
      <c r="U161" s="64" t="n"/>
      <c r="V161" s="65" t="n"/>
      <c r="W161" s="74" t="str">
        <f>IF(AND(A161="",E161=""),"",IF(V161="Oui",0,MAX(0,ROUND(N(H161)-N(T161),6))))</f>
        <v/>
      </c>
      <c r="X161" s="67" t="str">
        <f>IF(AND(A161="",E161=""),"",IF(V161="Oui","Annulé",IF(AND(N(H161)&gt;0,N(T161)&gt;=N(H161)),"Reçu",IF(N(S161)=0,"Brouillon",IF(AND(ISNUMBER(R161),R161&lt;p_today),"En retard",IF(N(T161)&gt;0,"Partiel","Envoyé"))))))</f>
        <v/>
      </c>
      <c r="Y161" s="75" t="str">
        <f>IF(X161="En retard",p_today-R161,IF(AND(X161="Reçu",ISNUMBER(R161)),MAX(0,N(U161)-R161),""))</f>
        <v/>
      </c>
      <c r="Z161" s="67" t="str">
        <f>IF(AND(A161="",E161=""),"",IF(A161="","N° de bon manquant",IF(N(B161)=0,"Date de commande manquante",IF(C161="","Fournisseur manquant",IF(ISNA(MATCH($C161,sup_code,0)),"Fournisseur inconnu",IF(E161="","Article manquant",IF(ISNA(MATCH($E161,art_ref,0)),"Article inconnu",IF(N(H161)&lt;=0,"Quantité invalide",IF(J161="","Prix manquant",IF(OR(N(K161)&lt;0,N(K161)&gt;=1),"Remise invalide",IF(M161="","TVA manquante",IF(ISNA(MATCH(M161,p_tva,0)),"Taux de TVA inconnu",IF(COUNTIFS(po_num,A161,po_sup,"&lt;&gt;"&amp;C161)&gt;0,"Fournisseur différent sur ce bon",IF(COUNTIFS(po_num,A161,po_date,"&lt;&gt;"&amp;B161)&gt;0,"Date différente sur ce bon",IF(COUNTIF(po_num,A161)&gt;25,"Plus de 25 lignes sur ce bon",IF(R161="","Date de livraison manquante",IF(R161&lt;B161,"Livraison avant la commande",IF(AND(N(T161)&gt;0,N(S161)=0),"Date d'envoi manquante",IF(N(T161)&gt;N(H161),"Reçu plus que commandé",IF(AND(N(T161)&gt;0,N(U161)=0),"Date de réception manquante",IF(AND(N(U161)&gt;0,U161&lt;B161),"Réception avant la commande","OK")))))))))))))))))))))</f>
        <v/>
      </c>
      <c r="AA161" s="66" t="str">
        <f>IF(AND(X161="Reçu",ISNUMBER(R161)),IF(N(U161)&lt;=R161,1,0),"")</f>
        <v/>
      </c>
      <c r="AB161" s="76" t="str">
        <f>IF(OR(X161="Envoyé",X161="Partiel",X161="En retard"),IF(ISNUMBER(R161),R161,100000)+ROW()/100000,"")</f>
        <v/>
      </c>
      <c r="AC161" s="66" t="str">
        <f>IF(A161="","",IF(COUNTIF($A$6:A161,A161)=1,1,""))</f>
        <v/>
      </c>
      <c r="AD161" s="66" t="str">
        <f>IF(AC161=1,COUNT($AC$6:AC161),"")</f>
        <v/>
      </c>
      <c r="AE161" s="66" t="str">
        <f>IFERROR(INDEX(po_num,MATCH(156,po_seq,0))&amp;"","")</f>
        <v/>
      </c>
      <c r="AF161" s="66" t="str">
        <f>IF(OR(A161="",p_po=""),"",IF(A161&amp;""=p_po,COUNTIF($A$6:A161,A161),""))</f>
        <v/>
      </c>
      <c r="AG161" s="66" t="str">
        <f>IF(OR(AB161="",A161=""),"",IF(COUNTIFS($A$6:A161,A161,$AB$6:AB161,"&gt;0")=1,1,""))</f>
        <v/>
      </c>
      <c r="AH161" s="70" t="str">
        <f>IF(AB161="","",ROUND(N(W161)*N(J161)*(1-N(K161)),2))</f>
        <v/>
      </c>
      <c r="AI161" s="70" t="str">
        <f>IF(OR(J161="",N(T161)&lt;=0,V161="Oui"),"",ROUND(N(T161)*J161*(1-N(K161)),2))</f>
        <v/>
      </c>
    </row>
    <row r="162">
      <c r="A162" s="63" t="n"/>
      <c r="B162" s="64" t="n"/>
      <c r="C162" s="65" t="n"/>
      <c r="D162" s="66" t="str">
        <f>IF(C162="","",IFERROR(INDEX(sup_name,MATCH($C162,sup_code,0))&amp;"","Fournisseur inconnu"))</f>
        <v/>
      </c>
      <c r="E162" s="63" t="n"/>
      <c r="F162" s="66" t="str">
        <f>IF(E162="","",IFERROR(INDEX(art_des,MATCH($E162,art_ref,0))&amp;"","Article inconnu"))</f>
        <v/>
      </c>
      <c r="G162" s="67" t="str">
        <f>IF(E162="","",IFERROR(INDEX(art_unit,MATCH($E162,art_ref,0))&amp;"",""))</f>
        <v/>
      </c>
      <c r="H162" s="68" t="n"/>
      <c r="I162" s="69" t="n"/>
      <c r="J162" s="70" t="str">
        <f>IF(E162="","",IF(ISNUMBER(I162),I162,IFERROR(IF(ISNUMBER(INDEX(art_price,MATCH($E162,art_ref,0))),INDEX(art_price,MATCH($E162,art_ref,0)),""),"")))</f>
        <v/>
      </c>
      <c r="K162" s="71" t="n"/>
      <c r="L162" s="72" t="n"/>
      <c r="M162" s="72" t="str">
        <f>IF(E162="","",IF(L162&lt;&gt;"",L162,IFERROR(IF(ISNUMBER(INDEX(art_tva,MATCH($E162,art_ref,0))),INDEX(art_tva,MATCH($E162,art_ref,0)),""),"")))</f>
        <v/>
      </c>
      <c r="N162" s="70" t="str">
        <f>IF(OR(E162="",J162=""),"",ROUND(N(H162)*J162*(1-N(K162)),2))</f>
        <v/>
      </c>
      <c r="O162" s="70" t="str">
        <f>IF(OR(N162="",NOT(ISNUMBER(M162))),"",ROUND(N162*M162,2))</f>
        <v/>
      </c>
      <c r="P162" s="70" t="str">
        <f>IF(N162="","",N162+N(O162))</f>
        <v/>
      </c>
      <c r="Q162" s="64" t="n"/>
      <c r="R162" s="73" t="str">
        <f>IF(N(Q162)&gt;0,Q162,IF(OR(N(B162)=0,ISNA(MATCH($C162,sup_code,0))),"",IF(ISNUMBER(INDEX(sup_delay,MATCH($C162,sup_code,0))),B162+INDEX(sup_delay,MATCH($C162,sup_code,0)),"")))</f>
        <v/>
      </c>
      <c r="S162" s="64" t="n"/>
      <c r="T162" s="68" t="n"/>
      <c r="U162" s="64" t="n"/>
      <c r="V162" s="65" t="n"/>
      <c r="W162" s="74" t="str">
        <f>IF(AND(A162="",E162=""),"",IF(V162="Oui",0,MAX(0,ROUND(N(H162)-N(T162),6))))</f>
        <v/>
      </c>
      <c r="X162" s="67" t="str">
        <f>IF(AND(A162="",E162=""),"",IF(V162="Oui","Annulé",IF(AND(N(H162)&gt;0,N(T162)&gt;=N(H162)),"Reçu",IF(N(S162)=0,"Brouillon",IF(AND(ISNUMBER(R162),R162&lt;p_today),"En retard",IF(N(T162)&gt;0,"Partiel","Envoyé"))))))</f>
        <v/>
      </c>
      <c r="Y162" s="75" t="str">
        <f>IF(X162="En retard",p_today-R162,IF(AND(X162="Reçu",ISNUMBER(R162)),MAX(0,N(U162)-R162),""))</f>
        <v/>
      </c>
      <c r="Z162" s="67" t="str">
        <f>IF(AND(A162="",E162=""),"",IF(A162="","N° de bon manquant",IF(N(B162)=0,"Date de commande manquante",IF(C162="","Fournisseur manquant",IF(ISNA(MATCH($C162,sup_code,0)),"Fournisseur inconnu",IF(E162="","Article manquant",IF(ISNA(MATCH($E162,art_ref,0)),"Article inconnu",IF(N(H162)&lt;=0,"Quantité invalide",IF(J162="","Prix manquant",IF(OR(N(K162)&lt;0,N(K162)&gt;=1),"Remise invalide",IF(M162="","TVA manquante",IF(ISNA(MATCH(M162,p_tva,0)),"Taux de TVA inconnu",IF(COUNTIFS(po_num,A162,po_sup,"&lt;&gt;"&amp;C162)&gt;0,"Fournisseur différent sur ce bon",IF(COUNTIFS(po_num,A162,po_date,"&lt;&gt;"&amp;B162)&gt;0,"Date différente sur ce bon",IF(COUNTIF(po_num,A162)&gt;25,"Plus de 25 lignes sur ce bon",IF(R162="","Date de livraison manquante",IF(R162&lt;B162,"Livraison avant la commande",IF(AND(N(T162)&gt;0,N(S162)=0),"Date d'envoi manquante",IF(N(T162)&gt;N(H162),"Reçu plus que commandé",IF(AND(N(T162)&gt;0,N(U162)=0),"Date de réception manquante",IF(AND(N(U162)&gt;0,U162&lt;B162),"Réception avant la commande","OK")))))))))))))))))))))</f>
        <v/>
      </c>
      <c r="AA162" s="66" t="str">
        <f>IF(AND(X162="Reçu",ISNUMBER(R162)),IF(N(U162)&lt;=R162,1,0),"")</f>
        <v/>
      </c>
      <c r="AB162" s="76" t="str">
        <f>IF(OR(X162="Envoyé",X162="Partiel",X162="En retard"),IF(ISNUMBER(R162),R162,100000)+ROW()/100000,"")</f>
        <v/>
      </c>
      <c r="AC162" s="66" t="str">
        <f>IF(A162="","",IF(COUNTIF($A$6:A162,A162)=1,1,""))</f>
        <v/>
      </c>
      <c r="AD162" s="66" t="str">
        <f>IF(AC162=1,COUNT($AC$6:AC162),"")</f>
        <v/>
      </c>
      <c r="AE162" s="66" t="str">
        <f>IFERROR(INDEX(po_num,MATCH(157,po_seq,0))&amp;"","")</f>
        <v/>
      </c>
      <c r="AF162" s="66" t="str">
        <f>IF(OR(A162="",p_po=""),"",IF(A162&amp;""=p_po,COUNTIF($A$6:A162,A162),""))</f>
        <v/>
      </c>
      <c r="AG162" s="66" t="str">
        <f>IF(OR(AB162="",A162=""),"",IF(COUNTIFS($A$6:A162,A162,$AB$6:AB162,"&gt;0")=1,1,""))</f>
        <v/>
      </c>
      <c r="AH162" s="70" t="str">
        <f>IF(AB162="","",ROUND(N(W162)*N(J162)*(1-N(K162)),2))</f>
        <v/>
      </c>
      <c r="AI162" s="70" t="str">
        <f>IF(OR(J162="",N(T162)&lt;=0,V162="Oui"),"",ROUND(N(T162)*J162*(1-N(K162)),2))</f>
        <v/>
      </c>
    </row>
    <row r="163">
      <c r="A163" s="63" t="n"/>
      <c r="B163" s="64" t="n"/>
      <c r="C163" s="65" t="n"/>
      <c r="D163" s="66" t="str">
        <f>IF(C163="","",IFERROR(INDEX(sup_name,MATCH($C163,sup_code,0))&amp;"","Fournisseur inconnu"))</f>
        <v/>
      </c>
      <c r="E163" s="63" t="n"/>
      <c r="F163" s="66" t="str">
        <f>IF(E163="","",IFERROR(INDEX(art_des,MATCH($E163,art_ref,0))&amp;"","Article inconnu"))</f>
        <v/>
      </c>
      <c r="G163" s="67" t="str">
        <f>IF(E163="","",IFERROR(INDEX(art_unit,MATCH($E163,art_ref,0))&amp;"",""))</f>
        <v/>
      </c>
      <c r="H163" s="68" t="n"/>
      <c r="I163" s="69" t="n"/>
      <c r="J163" s="70" t="str">
        <f>IF(E163="","",IF(ISNUMBER(I163),I163,IFERROR(IF(ISNUMBER(INDEX(art_price,MATCH($E163,art_ref,0))),INDEX(art_price,MATCH($E163,art_ref,0)),""),"")))</f>
        <v/>
      </c>
      <c r="K163" s="71" t="n"/>
      <c r="L163" s="72" t="n"/>
      <c r="M163" s="72" t="str">
        <f>IF(E163="","",IF(L163&lt;&gt;"",L163,IFERROR(IF(ISNUMBER(INDEX(art_tva,MATCH($E163,art_ref,0))),INDEX(art_tva,MATCH($E163,art_ref,0)),""),"")))</f>
        <v/>
      </c>
      <c r="N163" s="70" t="str">
        <f>IF(OR(E163="",J163=""),"",ROUND(N(H163)*J163*(1-N(K163)),2))</f>
        <v/>
      </c>
      <c r="O163" s="70" t="str">
        <f>IF(OR(N163="",NOT(ISNUMBER(M163))),"",ROUND(N163*M163,2))</f>
        <v/>
      </c>
      <c r="P163" s="70" t="str">
        <f>IF(N163="","",N163+N(O163))</f>
        <v/>
      </c>
      <c r="Q163" s="64" t="n"/>
      <c r="R163" s="73" t="str">
        <f>IF(N(Q163)&gt;0,Q163,IF(OR(N(B163)=0,ISNA(MATCH($C163,sup_code,0))),"",IF(ISNUMBER(INDEX(sup_delay,MATCH($C163,sup_code,0))),B163+INDEX(sup_delay,MATCH($C163,sup_code,0)),"")))</f>
        <v/>
      </c>
      <c r="S163" s="64" t="n"/>
      <c r="T163" s="68" t="n"/>
      <c r="U163" s="64" t="n"/>
      <c r="V163" s="65" t="n"/>
      <c r="W163" s="74" t="str">
        <f>IF(AND(A163="",E163=""),"",IF(V163="Oui",0,MAX(0,ROUND(N(H163)-N(T163),6))))</f>
        <v/>
      </c>
      <c r="X163" s="67" t="str">
        <f>IF(AND(A163="",E163=""),"",IF(V163="Oui","Annulé",IF(AND(N(H163)&gt;0,N(T163)&gt;=N(H163)),"Reçu",IF(N(S163)=0,"Brouillon",IF(AND(ISNUMBER(R163),R163&lt;p_today),"En retard",IF(N(T163)&gt;0,"Partiel","Envoyé"))))))</f>
        <v/>
      </c>
      <c r="Y163" s="75" t="str">
        <f>IF(X163="En retard",p_today-R163,IF(AND(X163="Reçu",ISNUMBER(R163)),MAX(0,N(U163)-R163),""))</f>
        <v/>
      </c>
      <c r="Z163" s="67" t="str">
        <f>IF(AND(A163="",E163=""),"",IF(A163="","N° de bon manquant",IF(N(B163)=0,"Date de commande manquante",IF(C163="","Fournisseur manquant",IF(ISNA(MATCH($C163,sup_code,0)),"Fournisseur inconnu",IF(E163="","Article manquant",IF(ISNA(MATCH($E163,art_ref,0)),"Article inconnu",IF(N(H163)&lt;=0,"Quantité invalide",IF(J163="","Prix manquant",IF(OR(N(K163)&lt;0,N(K163)&gt;=1),"Remise invalide",IF(M163="","TVA manquante",IF(ISNA(MATCH(M163,p_tva,0)),"Taux de TVA inconnu",IF(COUNTIFS(po_num,A163,po_sup,"&lt;&gt;"&amp;C163)&gt;0,"Fournisseur différent sur ce bon",IF(COUNTIFS(po_num,A163,po_date,"&lt;&gt;"&amp;B163)&gt;0,"Date différente sur ce bon",IF(COUNTIF(po_num,A163)&gt;25,"Plus de 25 lignes sur ce bon",IF(R163="","Date de livraison manquante",IF(R163&lt;B163,"Livraison avant la commande",IF(AND(N(T163)&gt;0,N(S163)=0),"Date d'envoi manquante",IF(N(T163)&gt;N(H163),"Reçu plus que commandé",IF(AND(N(T163)&gt;0,N(U163)=0),"Date de réception manquante",IF(AND(N(U163)&gt;0,U163&lt;B163),"Réception avant la commande","OK")))))))))))))))))))))</f>
        <v/>
      </c>
      <c r="AA163" s="66" t="str">
        <f>IF(AND(X163="Reçu",ISNUMBER(R163)),IF(N(U163)&lt;=R163,1,0),"")</f>
        <v/>
      </c>
      <c r="AB163" s="76" t="str">
        <f>IF(OR(X163="Envoyé",X163="Partiel",X163="En retard"),IF(ISNUMBER(R163),R163,100000)+ROW()/100000,"")</f>
        <v/>
      </c>
      <c r="AC163" s="66" t="str">
        <f>IF(A163="","",IF(COUNTIF($A$6:A163,A163)=1,1,""))</f>
        <v/>
      </c>
      <c r="AD163" s="66" t="str">
        <f>IF(AC163=1,COUNT($AC$6:AC163),"")</f>
        <v/>
      </c>
      <c r="AE163" s="66" t="str">
        <f>IFERROR(INDEX(po_num,MATCH(158,po_seq,0))&amp;"","")</f>
        <v/>
      </c>
      <c r="AF163" s="66" t="str">
        <f>IF(OR(A163="",p_po=""),"",IF(A163&amp;""=p_po,COUNTIF($A$6:A163,A163),""))</f>
        <v/>
      </c>
      <c r="AG163" s="66" t="str">
        <f>IF(OR(AB163="",A163=""),"",IF(COUNTIFS($A$6:A163,A163,$AB$6:AB163,"&gt;0")=1,1,""))</f>
        <v/>
      </c>
      <c r="AH163" s="70" t="str">
        <f>IF(AB163="","",ROUND(N(W163)*N(J163)*(1-N(K163)),2))</f>
        <v/>
      </c>
      <c r="AI163" s="70" t="str">
        <f>IF(OR(J163="",N(T163)&lt;=0,V163="Oui"),"",ROUND(N(T163)*J163*(1-N(K163)),2))</f>
        <v/>
      </c>
    </row>
    <row r="164">
      <c r="A164" s="63" t="n"/>
      <c r="B164" s="64" t="n"/>
      <c r="C164" s="65" t="n"/>
      <c r="D164" s="66" t="str">
        <f>IF(C164="","",IFERROR(INDEX(sup_name,MATCH($C164,sup_code,0))&amp;"","Fournisseur inconnu"))</f>
        <v/>
      </c>
      <c r="E164" s="63" t="n"/>
      <c r="F164" s="66" t="str">
        <f>IF(E164="","",IFERROR(INDEX(art_des,MATCH($E164,art_ref,0))&amp;"","Article inconnu"))</f>
        <v/>
      </c>
      <c r="G164" s="67" t="str">
        <f>IF(E164="","",IFERROR(INDEX(art_unit,MATCH($E164,art_ref,0))&amp;"",""))</f>
        <v/>
      </c>
      <c r="H164" s="68" t="n"/>
      <c r="I164" s="69" t="n"/>
      <c r="J164" s="70" t="str">
        <f>IF(E164="","",IF(ISNUMBER(I164),I164,IFERROR(IF(ISNUMBER(INDEX(art_price,MATCH($E164,art_ref,0))),INDEX(art_price,MATCH($E164,art_ref,0)),""),"")))</f>
        <v/>
      </c>
      <c r="K164" s="71" t="n"/>
      <c r="L164" s="72" t="n"/>
      <c r="M164" s="72" t="str">
        <f>IF(E164="","",IF(L164&lt;&gt;"",L164,IFERROR(IF(ISNUMBER(INDEX(art_tva,MATCH($E164,art_ref,0))),INDEX(art_tva,MATCH($E164,art_ref,0)),""),"")))</f>
        <v/>
      </c>
      <c r="N164" s="70" t="str">
        <f>IF(OR(E164="",J164=""),"",ROUND(N(H164)*J164*(1-N(K164)),2))</f>
        <v/>
      </c>
      <c r="O164" s="70" t="str">
        <f>IF(OR(N164="",NOT(ISNUMBER(M164))),"",ROUND(N164*M164,2))</f>
        <v/>
      </c>
      <c r="P164" s="70" t="str">
        <f>IF(N164="","",N164+N(O164))</f>
        <v/>
      </c>
      <c r="Q164" s="64" t="n"/>
      <c r="R164" s="73" t="str">
        <f>IF(N(Q164)&gt;0,Q164,IF(OR(N(B164)=0,ISNA(MATCH($C164,sup_code,0))),"",IF(ISNUMBER(INDEX(sup_delay,MATCH($C164,sup_code,0))),B164+INDEX(sup_delay,MATCH($C164,sup_code,0)),"")))</f>
        <v/>
      </c>
      <c r="S164" s="64" t="n"/>
      <c r="T164" s="68" t="n"/>
      <c r="U164" s="64" t="n"/>
      <c r="V164" s="65" t="n"/>
      <c r="W164" s="74" t="str">
        <f>IF(AND(A164="",E164=""),"",IF(V164="Oui",0,MAX(0,ROUND(N(H164)-N(T164),6))))</f>
        <v/>
      </c>
      <c r="X164" s="67" t="str">
        <f>IF(AND(A164="",E164=""),"",IF(V164="Oui","Annulé",IF(AND(N(H164)&gt;0,N(T164)&gt;=N(H164)),"Reçu",IF(N(S164)=0,"Brouillon",IF(AND(ISNUMBER(R164),R164&lt;p_today),"En retard",IF(N(T164)&gt;0,"Partiel","Envoyé"))))))</f>
        <v/>
      </c>
      <c r="Y164" s="75" t="str">
        <f>IF(X164="En retard",p_today-R164,IF(AND(X164="Reçu",ISNUMBER(R164)),MAX(0,N(U164)-R164),""))</f>
        <v/>
      </c>
      <c r="Z164" s="67" t="str">
        <f>IF(AND(A164="",E164=""),"",IF(A164="","N° de bon manquant",IF(N(B164)=0,"Date de commande manquante",IF(C164="","Fournisseur manquant",IF(ISNA(MATCH($C164,sup_code,0)),"Fournisseur inconnu",IF(E164="","Article manquant",IF(ISNA(MATCH($E164,art_ref,0)),"Article inconnu",IF(N(H164)&lt;=0,"Quantité invalide",IF(J164="","Prix manquant",IF(OR(N(K164)&lt;0,N(K164)&gt;=1),"Remise invalide",IF(M164="","TVA manquante",IF(ISNA(MATCH(M164,p_tva,0)),"Taux de TVA inconnu",IF(COUNTIFS(po_num,A164,po_sup,"&lt;&gt;"&amp;C164)&gt;0,"Fournisseur différent sur ce bon",IF(COUNTIFS(po_num,A164,po_date,"&lt;&gt;"&amp;B164)&gt;0,"Date différente sur ce bon",IF(COUNTIF(po_num,A164)&gt;25,"Plus de 25 lignes sur ce bon",IF(R164="","Date de livraison manquante",IF(R164&lt;B164,"Livraison avant la commande",IF(AND(N(T164)&gt;0,N(S164)=0),"Date d'envoi manquante",IF(N(T164)&gt;N(H164),"Reçu plus que commandé",IF(AND(N(T164)&gt;0,N(U164)=0),"Date de réception manquante",IF(AND(N(U164)&gt;0,U164&lt;B164),"Réception avant la commande","OK")))))))))))))))))))))</f>
        <v/>
      </c>
      <c r="AA164" s="66" t="str">
        <f>IF(AND(X164="Reçu",ISNUMBER(R164)),IF(N(U164)&lt;=R164,1,0),"")</f>
        <v/>
      </c>
      <c r="AB164" s="76" t="str">
        <f>IF(OR(X164="Envoyé",X164="Partiel",X164="En retard"),IF(ISNUMBER(R164),R164,100000)+ROW()/100000,"")</f>
        <v/>
      </c>
      <c r="AC164" s="66" t="str">
        <f>IF(A164="","",IF(COUNTIF($A$6:A164,A164)=1,1,""))</f>
        <v/>
      </c>
      <c r="AD164" s="66" t="str">
        <f>IF(AC164=1,COUNT($AC$6:AC164),"")</f>
        <v/>
      </c>
      <c r="AE164" s="66" t="str">
        <f>IFERROR(INDEX(po_num,MATCH(159,po_seq,0))&amp;"","")</f>
        <v/>
      </c>
      <c r="AF164" s="66" t="str">
        <f>IF(OR(A164="",p_po=""),"",IF(A164&amp;""=p_po,COUNTIF($A$6:A164,A164),""))</f>
        <v/>
      </c>
      <c r="AG164" s="66" t="str">
        <f>IF(OR(AB164="",A164=""),"",IF(COUNTIFS($A$6:A164,A164,$AB$6:AB164,"&gt;0")=1,1,""))</f>
        <v/>
      </c>
      <c r="AH164" s="70" t="str">
        <f>IF(AB164="","",ROUND(N(W164)*N(J164)*(1-N(K164)),2))</f>
        <v/>
      </c>
      <c r="AI164" s="70" t="str">
        <f>IF(OR(J164="",N(T164)&lt;=0,V164="Oui"),"",ROUND(N(T164)*J164*(1-N(K164)),2))</f>
        <v/>
      </c>
    </row>
    <row r="165">
      <c r="A165" s="63" t="n"/>
      <c r="B165" s="64" t="n"/>
      <c r="C165" s="65" t="n"/>
      <c r="D165" s="66" t="str">
        <f>IF(C165="","",IFERROR(INDEX(sup_name,MATCH($C165,sup_code,0))&amp;"","Fournisseur inconnu"))</f>
        <v/>
      </c>
      <c r="E165" s="63" t="n"/>
      <c r="F165" s="66" t="str">
        <f>IF(E165="","",IFERROR(INDEX(art_des,MATCH($E165,art_ref,0))&amp;"","Article inconnu"))</f>
        <v/>
      </c>
      <c r="G165" s="67" t="str">
        <f>IF(E165="","",IFERROR(INDEX(art_unit,MATCH($E165,art_ref,0))&amp;"",""))</f>
        <v/>
      </c>
      <c r="H165" s="68" t="n"/>
      <c r="I165" s="69" t="n"/>
      <c r="J165" s="70" t="str">
        <f>IF(E165="","",IF(ISNUMBER(I165),I165,IFERROR(IF(ISNUMBER(INDEX(art_price,MATCH($E165,art_ref,0))),INDEX(art_price,MATCH($E165,art_ref,0)),""),"")))</f>
        <v/>
      </c>
      <c r="K165" s="71" t="n"/>
      <c r="L165" s="72" t="n"/>
      <c r="M165" s="72" t="str">
        <f>IF(E165="","",IF(L165&lt;&gt;"",L165,IFERROR(IF(ISNUMBER(INDEX(art_tva,MATCH($E165,art_ref,0))),INDEX(art_tva,MATCH($E165,art_ref,0)),""),"")))</f>
        <v/>
      </c>
      <c r="N165" s="70" t="str">
        <f>IF(OR(E165="",J165=""),"",ROUND(N(H165)*J165*(1-N(K165)),2))</f>
        <v/>
      </c>
      <c r="O165" s="70" t="str">
        <f>IF(OR(N165="",NOT(ISNUMBER(M165))),"",ROUND(N165*M165,2))</f>
        <v/>
      </c>
      <c r="P165" s="70" t="str">
        <f>IF(N165="","",N165+N(O165))</f>
        <v/>
      </c>
      <c r="Q165" s="64" t="n"/>
      <c r="R165" s="73" t="str">
        <f>IF(N(Q165)&gt;0,Q165,IF(OR(N(B165)=0,ISNA(MATCH($C165,sup_code,0))),"",IF(ISNUMBER(INDEX(sup_delay,MATCH($C165,sup_code,0))),B165+INDEX(sup_delay,MATCH($C165,sup_code,0)),"")))</f>
        <v/>
      </c>
      <c r="S165" s="64" t="n"/>
      <c r="T165" s="68" t="n"/>
      <c r="U165" s="64" t="n"/>
      <c r="V165" s="65" t="n"/>
      <c r="W165" s="74" t="str">
        <f>IF(AND(A165="",E165=""),"",IF(V165="Oui",0,MAX(0,ROUND(N(H165)-N(T165),6))))</f>
        <v/>
      </c>
      <c r="X165" s="67" t="str">
        <f>IF(AND(A165="",E165=""),"",IF(V165="Oui","Annulé",IF(AND(N(H165)&gt;0,N(T165)&gt;=N(H165)),"Reçu",IF(N(S165)=0,"Brouillon",IF(AND(ISNUMBER(R165),R165&lt;p_today),"En retard",IF(N(T165)&gt;0,"Partiel","Envoyé"))))))</f>
        <v/>
      </c>
      <c r="Y165" s="75" t="str">
        <f>IF(X165="En retard",p_today-R165,IF(AND(X165="Reçu",ISNUMBER(R165)),MAX(0,N(U165)-R165),""))</f>
        <v/>
      </c>
      <c r="Z165" s="67" t="str">
        <f>IF(AND(A165="",E165=""),"",IF(A165="","N° de bon manquant",IF(N(B165)=0,"Date de commande manquante",IF(C165="","Fournisseur manquant",IF(ISNA(MATCH($C165,sup_code,0)),"Fournisseur inconnu",IF(E165="","Article manquant",IF(ISNA(MATCH($E165,art_ref,0)),"Article inconnu",IF(N(H165)&lt;=0,"Quantité invalide",IF(J165="","Prix manquant",IF(OR(N(K165)&lt;0,N(K165)&gt;=1),"Remise invalide",IF(M165="","TVA manquante",IF(ISNA(MATCH(M165,p_tva,0)),"Taux de TVA inconnu",IF(COUNTIFS(po_num,A165,po_sup,"&lt;&gt;"&amp;C165)&gt;0,"Fournisseur différent sur ce bon",IF(COUNTIFS(po_num,A165,po_date,"&lt;&gt;"&amp;B165)&gt;0,"Date différente sur ce bon",IF(COUNTIF(po_num,A165)&gt;25,"Plus de 25 lignes sur ce bon",IF(R165="","Date de livraison manquante",IF(R165&lt;B165,"Livraison avant la commande",IF(AND(N(T165)&gt;0,N(S165)=0),"Date d'envoi manquante",IF(N(T165)&gt;N(H165),"Reçu plus que commandé",IF(AND(N(T165)&gt;0,N(U165)=0),"Date de réception manquante",IF(AND(N(U165)&gt;0,U165&lt;B165),"Réception avant la commande","OK")))))))))))))))))))))</f>
        <v/>
      </c>
      <c r="AA165" s="66" t="str">
        <f>IF(AND(X165="Reçu",ISNUMBER(R165)),IF(N(U165)&lt;=R165,1,0),"")</f>
        <v/>
      </c>
      <c r="AB165" s="76" t="str">
        <f>IF(OR(X165="Envoyé",X165="Partiel",X165="En retard"),IF(ISNUMBER(R165),R165,100000)+ROW()/100000,"")</f>
        <v/>
      </c>
      <c r="AC165" s="66" t="str">
        <f>IF(A165="","",IF(COUNTIF($A$6:A165,A165)=1,1,""))</f>
        <v/>
      </c>
      <c r="AD165" s="66" t="str">
        <f>IF(AC165=1,COUNT($AC$6:AC165),"")</f>
        <v/>
      </c>
      <c r="AE165" s="66" t="str">
        <f>IFERROR(INDEX(po_num,MATCH(160,po_seq,0))&amp;"","")</f>
        <v/>
      </c>
      <c r="AF165" s="66" t="str">
        <f>IF(OR(A165="",p_po=""),"",IF(A165&amp;""=p_po,COUNTIF($A$6:A165,A165),""))</f>
        <v/>
      </c>
      <c r="AG165" s="66" t="str">
        <f>IF(OR(AB165="",A165=""),"",IF(COUNTIFS($A$6:A165,A165,$AB$6:AB165,"&gt;0")=1,1,""))</f>
        <v/>
      </c>
      <c r="AH165" s="70" t="str">
        <f>IF(AB165="","",ROUND(N(W165)*N(J165)*(1-N(K165)),2))</f>
        <v/>
      </c>
      <c r="AI165" s="70" t="str">
        <f>IF(OR(J165="",N(T165)&lt;=0,V165="Oui"),"",ROUND(N(T165)*J165*(1-N(K165)),2))</f>
        <v/>
      </c>
    </row>
    <row r="166">
      <c r="A166" s="63" t="n"/>
      <c r="B166" s="64" t="n"/>
      <c r="C166" s="65" t="n"/>
      <c r="D166" s="66" t="str">
        <f>IF(C166="","",IFERROR(INDEX(sup_name,MATCH($C166,sup_code,0))&amp;"","Fournisseur inconnu"))</f>
        <v/>
      </c>
      <c r="E166" s="63" t="n"/>
      <c r="F166" s="66" t="str">
        <f>IF(E166="","",IFERROR(INDEX(art_des,MATCH($E166,art_ref,0))&amp;"","Article inconnu"))</f>
        <v/>
      </c>
      <c r="G166" s="67" t="str">
        <f>IF(E166="","",IFERROR(INDEX(art_unit,MATCH($E166,art_ref,0))&amp;"",""))</f>
        <v/>
      </c>
      <c r="H166" s="68" t="n"/>
      <c r="I166" s="69" t="n"/>
      <c r="J166" s="70" t="str">
        <f>IF(E166="","",IF(ISNUMBER(I166),I166,IFERROR(IF(ISNUMBER(INDEX(art_price,MATCH($E166,art_ref,0))),INDEX(art_price,MATCH($E166,art_ref,0)),""),"")))</f>
        <v/>
      </c>
      <c r="K166" s="71" t="n"/>
      <c r="L166" s="72" t="n"/>
      <c r="M166" s="72" t="str">
        <f>IF(E166="","",IF(L166&lt;&gt;"",L166,IFERROR(IF(ISNUMBER(INDEX(art_tva,MATCH($E166,art_ref,0))),INDEX(art_tva,MATCH($E166,art_ref,0)),""),"")))</f>
        <v/>
      </c>
      <c r="N166" s="70" t="str">
        <f>IF(OR(E166="",J166=""),"",ROUND(N(H166)*J166*(1-N(K166)),2))</f>
        <v/>
      </c>
      <c r="O166" s="70" t="str">
        <f>IF(OR(N166="",NOT(ISNUMBER(M166))),"",ROUND(N166*M166,2))</f>
        <v/>
      </c>
      <c r="P166" s="70" t="str">
        <f>IF(N166="","",N166+N(O166))</f>
        <v/>
      </c>
      <c r="Q166" s="64" t="n"/>
      <c r="R166" s="73" t="str">
        <f>IF(N(Q166)&gt;0,Q166,IF(OR(N(B166)=0,ISNA(MATCH($C166,sup_code,0))),"",IF(ISNUMBER(INDEX(sup_delay,MATCH($C166,sup_code,0))),B166+INDEX(sup_delay,MATCH($C166,sup_code,0)),"")))</f>
        <v/>
      </c>
      <c r="S166" s="64" t="n"/>
      <c r="T166" s="68" t="n"/>
      <c r="U166" s="64" t="n"/>
      <c r="V166" s="65" t="n"/>
      <c r="W166" s="74" t="str">
        <f>IF(AND(A166="",E166=""),"",IF(V166="Oui",0,MAX(0,ROUND(N(H166)-N(T166),6))))</f>
        <v/>
      </c>
      <c r="X166" s="67" t="str">
        <f>IF(AND(A166="",E166=""),"",IF(V166="Oui","Annulé",IF(AND(N(H166)&gt;0,N(T166)&gt;=N(H166)),"Reçu",IF(N(S166)=0,"Brouillon",IF(AND(ISNUMBER(R166),R166&lt;p_today),"En retard",IF(N(T166)&gt;0,"Partiel","Envoyé"))))))</f>
        <v/>
      </c>
      <c r="Y166" s="75" t="str">
        <f>IF(X166="En retard",p_today-R166,IF(AND(X166="Reçu",ISNUMBER(R166)),MAX(0,N(U166)-R166),""))</f>
        <v/>
      </c>
      <c r="Z166" s="67" t="str">
        <f>IF(AND(A166="",E166=""),"",IF(A166="","N° de bon manquant",IF(N(B166)=0,"Date de commande manquante",IF(C166="","Fournisseur manquant",IF(ISNA(MATCH($C166,sup_code,0)),"Fournisseur inconnu",IF(E166="","Article manquant",IF(ISNA(MATCH($E166,art_ref,0)),"Article inconnu",IF(N(H166)&lt;=0,"Quantité invalide",IF(J166="","Prix manquant",IF(OR(N(K166)&lt;0,N(K166)&gt;=1),"Remise invalide",IF(M166="","TVA manquante",IF(ISNA(MATCH(M166,p_tva,0)),"Taux de TVA inconnu",IF(COUNTIFS(po_num,A166,po_sup,"&lt;&gt;"&amp;C166)&gt;0,"Fournisseur différent sur ce bon",IF(COUNTIFS(po_num,A166,po_date,"&lt;&gt;"&amp;B166)&gt;0,"Date différente sur ce bon",IF(COUNTIF(po_num,A166)&gt;25,"Plus de 25 lignes sur ce bon",IF(R166="","Date de livraison manquante",IF(R166&lt;B166,"Livraison avant la commande",IF(AND(N(T166)&gt;0,N(S166)=0),"Date d'envoi manquante",IF(N(T166)&gt;N(H166),"Reçu plus que commandé",IF(AND(N(T166)&gt;0,N(U166)=0),"Date de réception manquante",IF(AND(N(U166)&gt;0,U166&lt;B166),"Réception avant la commande","OK")))))))))))))))))))))</f>
        <v/>
      </c>
      <c r="AA166" s="66" t="str">
        <f>IF(AND(X166="Reçu",ISNUMBER(R166)),IF(N(U166)&lt;=R166,1,0),"")</f>
        <v/>
      </c>
      <c r="AB166" s="76" t="str">
        <f>IF(OR(X166="Envoyé",X166="Partiel",X166="En retard"),IF(ISNUMBER(R166),R166,100000)+ROW()/100000,"")</f>
        <v/>
      </c>
      <c r="AC166" s="66" t="str">
        <f>IF(A166="","",IF(COUNTIF($A$6:A166,A166)=1,1,""))</f>
        <v/>
      </c>
      <c r="AD166" s="66" t="str">
        <f>IF(AC166=1,COUNT($AC$6:AC166),"")</f>
        <v/>
      </c>
      <c r="AE166" s="66" t="str">
        <f>IFERROR(INDEX(po_num,MATCH(161,po_seq,0))&amp;"","")</f>
        <v/>
      </c>
      <c r="AF166" s="66" t="str">
        <f>IF(OR(A166="",p_po=""),"",IF(A166&amp;""=p_po,COUNTIF($A$6:A166,A166),""))</f>
        <v/>
      </c>
      <c r="AG166" s="66" t="str">
        <f>IF(OR(AB166="",A166=""),"",IF(COUNTIFS($A$6:A166,A166,$AB$6:AB166,"&gt;0")=1,1,""))</f>
        <v/>
      </c>
      <c r="AH166" s="70" t="str">
        <f>IF(AB166="","",ROUND(N(W166)*N(J166)*(1-N(K166)),2))</f>
        <v/>
      </c>
      <c r="AI166" s="70" t="str">
        <f>IF(OR(J166="",N(T166)&lt;=0,V166="Oui"),"",ROUND(N(T166)*J166*(1-N(K166)),2))</f>
        <v/>
      </c>
    </row>
    <row r="167">
      <c r="A167" s="63" t="n"/>
      <c r="B167" s="64" t="n"/>
      <c r="C167" s="65" t="n"/>
      <c r="D167" s="66" t="str">
        <f>IF(C167="","",IFERROR(INDEX(sup_name,MATCH($C167,sup_code,0))&amp;"","Fournisseur inconnu"))</f>
        <v/>
      </c>
      <c r="E167" s="63" t="n"/>
      <c r="F167" s="66" t="str">
        <f>IF(E167="","",IFERROR(INDEX(art_des,MATCH($E167,art_ref,0))&amp;"","Article inconnu"))</f>
        <v/>
      </c>
      <c r="G167" s="67" t="str">
        <f>IF(E167="","",IFERROR(INDEX(art_unit,MATCH($E167,art_ref,0))&amp;"",""))</f>
        <v/>
      </c>
      <c r="H167" s="68" t="n"/>
      <c r="I167" s="69" t="n"/>
      <c r="J167" s="70" t="str">
        <f>IF(E167="","",IF(ISNUMBER(I167),I167,IFERROR(IF(ISNUMBER(INDEX(art_price,MATCH($E167,art_ref,0))),INDEX(art_price,MATCH($E167,art_ref,0)),""),"")))</f>
        <v/>
      </c>
      <c r="K167" s="71" t="n"/>
      <c r="L167" s="72" t="n"/>
      <c r="M167" s="72" t="str">
        <f>IF(E167="","",IF(L167&lt;&gt;"",L167,IFERROR(IF(ISNUMBER(INDEX(art_tva,MATCH($E167,art_ref,0))),INDEX(art_tva,MATCH($E167,art_ref,0)),""),"")))</f>
        <v/>
      </c>
      <c r="N167" s="70" t="str">
        <f>IF(OR(E167="",J167=""),"",ROUND(N(H167)*J167*(1-N(K167)),2))</f>
        <v/>
      </c>
      <c r="O167" s="70" t="str">
        <f>IF(OR(N167="",NOT(ISNUMBER(M167))),"",ROUND(N167*M167,2))</f>
        <v/>
      </c>
      <c r="P167" s="70" t="str">
        <f>IF(N167="","",N167+N(O167))</f>
        <v/>
      </c>
      <c r="Q167" s="64" t="n"/>
      <c r="R167" s="73" t="str">
        <f>IF(N(Q167)&gt;0,Q167,IF(OR(N(B167)=0,ISNA(MATCH($C167,sup_code,0))),"",IF(ISNUMBER(INDEX(sup_delay,MATCH($C167,sup_code,0))),B167+INDEX(sup_delay,MATCH($C167,sup_code,0)),"")))</f>
        <v/>
      </c>
      <c r="S167" s="64" t="n"/>
      <c r="T167" s="68" t="n"/>
      <c r="U167" s="64" t="n"/>
      <c r="V167" s="65" t="n"/>
      <c r="W167" s="74" t="str">
        <f>IF(AND(A167="",E167=""),"",IF(V167="Oui",0,MAX(0,ROUND(N(H167)-N(T167),6))))</f>
        <v/>
      </c>
      <c r="X167" s="67" t="str">
        <f>IF(AND(A167="",E167=""),"",IF(V167="Oui","Annulé",IF(AND(N(H167)&gt;0,N(T167)&gt;=N(H167)),"Reçu",IF(N(S167)=0,"Brouillon",IF(AND(ISNUMBER(R167),R167&lt;p_today),"En retard",IF(N(T167)&gt;0,"Partiel","Envoyé"))))))</f>
        <v/>
      </c>
      <c r="Y167" s="75" t="str">
        <f>IF(X167="En retard",p_today-R167,IF(AND(X167="Reçu",ISNUMBER(R167)),MAX(0,N(U167)-R167),""))</f>
        <v/>
      </c>
      <c r="Z167" s="67" t="str">
        <f>IF(AND(A167="",E167=""),"",IF(A167="","N° de bon manquant",IF(N(B167)=0,"Date de commande manquante",IF(C167="","Fournisseur manquant",IF(ISNA(MATCH($C167,sup_code,0)),"Fournisseur inconnu",IF(E167="","Article manquant",IF(ISNA(MATCH($E167,art_ref,0)),"Article inconnu",IF(N(H167)&lt;=0,"Quantité invalide",IF(J167="","Prix manquant",IF(OR(N(K167)&lt;0,N(K167)&gt;=1),"Remise invalide",IF(M167="","TVA manquante",IF(ISNA(MATCH(M167,p_tva,0)),"Taux de TVA inconnu",IF(COUNTIFS(po_num,A167,po_sup,"&lt;&gt;"&amp;C167)&gt;0,"Fournisseur différent sur ce bon",IF(COUNTIFS(po_num,A167,po_date,"&lt;&gt;"&amp;B167)&gt;0,"Date différente sur ce bon",IF(COUNTIF(po_num,A167)&gt;25,"Plus de 25 lignes sur ce bon",IF(R167="","Date de livraison manquante",IF(R167&lt;B167,"Livraison avant la commande",IF(AND(N(T167)&gt;0,N(S167)=0),"Date d'envoi manquante",IF(N(T167)&gt;N(H167),"Reçu plus que commandé",IF(AND(N(T167)&gt;0,N(U167)=0),"Date de réception manquante",IF(AND(N(U167)&gt;0,U167&lt;B167),"Réception avant la commande","OK")))))))))))))))))))))</f>
        <v/>
      </c>
      <c r="AA167" s="66" t="str">
        <f>IF(AND(X167="Reçu",ISNUMBER(R167)),IF(N(U167)&lt;=R167,1,0),"")</f>
        <v/>
      </c>
      <c r="AB167" s="76" t="str">
        <f>IF(OR(X167="Envoyé",X167="Partiel",X167="En retard"),IF(ISNUMBER(R167),R167,100000)+ROW()/100000,"")</f>
        <v/>
      </c>
      <c r="AC167" s="66" t="str">
        <f>IF(A167="","",IF(COUNTIF($A$6:A167,A167)=1,1,""))</f>
        <v/>
      </c>
      <c r="AD167" s="66" t="str">
        <f>IF(AC167=1,COUNT($AC$6:AC167),"")</f>
        <v/>
      </c>
      <c r="AE167" s="66" t="str">
        <f>IFERROR(INDEX(po_num,MATCH(162,po_seq,0))&amp;"","")</f>
        <v/>
      </c>
      <c r="AF167" s="66" t="str">
        <f>IF(OR(A167="",p_po=""),"",IF(A167&amp;""=p_po,COUNTIF($A$6:A167,A167),""))</f>
        <v/>
      </c>
      <c r="AG167" s="66" t="str">
        <f>IF(OR(AB167="",A167=""),"",IF(COUNTIFS($A$6:A167,A167,$AB$6:AB167,"&gt;0")=1,1,""))</f>
        <v/>
      </c>
      <c r="AH167" s="70" t="str">
        <f>IF(AB167="","",ROUND(N(W167)*N(J167)*(1-N(K167)),2))</f>
        <v/>
      </c>
      <c r="AI167" s="70" t="str">
        <f>IF(OR(J167="",N(T167)&lt;=0,V167="Oui"),"",ROUND(N(T167)*J167*(1-N(K167)),2))</f>
        <v/>
      </c>
    </row>
    <row r="168">
      <c r="A168" s="63" t="n"/>
      <c r="B168" s="64" t="n"/>
      <c r="C168" s="65" t="n"/>
      <c r="D168" s="66" t="str">
        <f>IF(C168="","",IFERROR(INDEX(sup_name,MATCH($C168,sup_code,0))&amp;"","Fournisseur inconnu"))</f>
        <v/>
      </c>
      <c r="E168" s="63" t="n"/>
      <c r="F168" s="66" t="str">
        <f>IF(E168="","",IFERROR(INDEX(art_des,MATCH($E168,art_ref,0))&amp;"","Article inconnu"))</f>
        <v/>
      </c>
      <c r="G168" s="67" t="str">
        <f>IF(E168="","",IFERROR(INDEX(art_unit,MATCH($E168,art_ref,0))&amp;"",""))</f>
        <v/>
      </c>
      <c r="H168" s="68" t="n"/>
      <c r="I168" s="69" t="n"/>
      <c r="J168" s="70" t="str">
        <f>IF(E168="","",IF(ISNUMBER(I168),I168,IFERROR(IF(ISNUMBER(INDEX(art_price,MATCH($E168,art_ref,0))),INDEX(art_price,MATCH($E168,art_ref,0)),""),"")))</f>
        <v/>
      </c>
      <c r="K168" s="71" t="n"/>
      <c r="L168" s="72" t="n"/>
      <c r="M168" s="72" t="str">
        <f>IF(E168="","",IF(L168&lt;&gt;"",L168,IFERROR(IF(ISNUMBER(INDEX(art_tva,MATCH($E168,art_ref,0))),INDEX(art_tva,MATCH($E168,art_ref,0)),""),"")))</f>
        <v/>
      </c>
      <c r="N168" s="70" t="str">
        <f>IF(OR(E168="",J168=""),"",ROUND(N(H168)*J168*(1-N(K168)),2))</f>
        <v/>
      </c>
      <c r="O168" s="70" t="str">
        <f>IF(OR(N168="",NOT(ISNUMBER(M168))),"",ROUND(N168*M168,2))</f>
        <v/>
      </c>
      <c r="P168" s="70" t="str">
        <f>IF(N168="","",N168+N(O168))</f>
        <v/>
      </c>
      <c r="Q168" s="64" t="n"/>
      <c r="R168" s="73" t="str">
        <f>IF(N(Q168)&gt;0,Q168,IF(OR(N(B168)=0,ISNA(MATCH($C168,sup_code,0))),"",IF(ISNUMBER(INDEX(sup_delay,MATCH($C168,sup_code,0))),B168+INDEX(sup_delay,MATCH($C168,sup_code,0)),"")))</f>
        <v/>
      </c>
      <c r="S168" s="64" t="n"/>
      <c r="T168" s="68" t="n"/>
      <c r="U168" s="64" t="n"/>
      <c r="V168" s="65" t="n"/>
      <c r="W168" s="74" t="str">
        <f>IF(AND(A168="",E168=""),"",IF(V168="Oui",0,MAX(0,ROUND(N(H168)-N(T168),6))))</f>
        <v/>
      </c>
      <c r="X168" s="67" t="str">
        <f>IF(AND(A168="",E168=""),"",IF(V168="Oui","Annulé",IF(AND(N(H168)&gt;0,N(T168)&gt;=N(H168)),"Reçu",IF(N(S168)=0,"Brouillon",IF(AND(ISNUMBER(R168),R168&lt;p_today),"En retard",IF(N(T168)&gt;0,"Partiel","Envoyé"))))))</f>
        <v/>
      </c>
      <c r="Y168" s="75" t="str">
        <f>IF(X168="En retard",p_today-R168,IF(AND(X168="Reçu",ISNUMBER(R168)),MAX(0,N(U168)-R168),""))</f>
        <v/>
      </c>
      <c r="Z168" s="67" t="str">
        <f>IF(AND(A168="",E168=""),"",IF(A168="","N° de bon manquant",IF(N(B168)=0,"Date de commande manquante",IF(C168="","Fournisseur manquant",IF(ISNA(MATCH($C168,sup_code,0)),"Fournisseur inconnu",IF(E168="","Article manquant",IF(ISNA(MATCH($E168,art_ref,0)),"Article inconnu",IF(N(H168)&lt;=0,"Quantité invalide",IF(J168="","Prix manquant",IF(OR(N(K168)&lt;0,N(K168)&gt;=1),"Remise invalide",IF(M168="","TVA manquante",IF(ISNA(MATCH(M168,p_tva,0)),"Taux de TVA inconnu",IF(COUNTIFS(po_num,A168,po_sup,"&lt;&gt;"&amp;C168)&gt;0,"Fournisseur différent sur ce bon",IF(COUNTIFS(po_num,A168,po_date,"&lt;&gt;"&amp;B168)&gt;0,"Date différente sur ce bon",IF(COUNTIF(po_num,A168)&gt;25,"Plus de 25 lignes sur ce bon",IF(R168="","Date de livraison manquante",IF(R168&lt;B168,"Livraison avant la commande",IF(AND(N(T168)&gt;0,N(S168)=0),"Date d'envoi manquante",IF(N(T168)&gt;N(H168),"Reçu plus que commandé",IF(AND(N(T168)&gt;0,N(U168)=0),"Date de réception manquante",IF(AND(N(U168)&gt;0,U168&lt;B168),"Réception avant la commande","OK")))))))))))))))))))))</f>
        <v/>
      </c>
      <c r="AA168" s="66" t="str">
        <f>IF(AND(X168="Reçu",ISNUMBER(R168)),IF(N(U168)&lt;=R168,1,0),"")</f>
        <v/>
      </c>
      <c r="AB168" s="76" t="str">
        <f>IF(OR(X168="Envoyé",X168="Partiel",X168="En retard"),IF(ISNUMBER(R168),R168,100000)+ROW()/100000,"")</f>
        <v/>
      </c>
      <c r="AC168" s="66" t="str">
        <f>IF(A168="","",IF(COUNTIF($A$6:A168,A168)=1,1,""))</f>
        <v/>
      </c>
      <c r="AD168" s="66" t="str">
        <f>IF(AC168=1,COUNT($AC$6:AC168),"")</f>
        <v/>
      </c>
      <c r="AE168" s="66" t="str">
        <f>IFERROR(INDEX(po_num,MATCH(163,po_seq,0))&amp;"","")</f>
        <v/>
      </c>
      <c r="AF168" s="66" t="str">
        <f>IF(OR(A168="",p_po=""),"",IF(A168&amp;""=p_po,COUNTIF($A$6:A168,A168),""))</f>
        <v/>
      </c>
      <c r="AG168" s="66" t="str">
        <f>IF(OR(AB168="",A168=""),"",IF(COUNTIFS($A$6:A168,A168,$AB$6:AB168,"&gt;0")=1,1,""))</f>
        <v/>
      </c>
      <c r="AH168" s="70" t="str">
        <f>IF(AB168="","",ROUND(N(W168)*N(J168)*(1-N(K168)),2))</f>
        <v/>
      </c>
      <c r="AI168" s="70" t="str">
        <f>IF(OR(J168="",N(T168)&lt;=0,V168="Oui"),"",ROUND(N(T168)*J168*(1-N(K168)),2))</f>
        <v/>
      </c>
    </row>
    <row r="169">
      <c r="A169" s="63" t="n"/>
      <c r="B169" s="64" t="n"/>
      <c r="C169" s="65" t="n"/>
      <c r="D169" s="66" t="str">
        <f>IF(C169="","",IFERROR(INDEX(sup_name,MATCH($C169,sup_code,0))&amp;"","Fournisseur inconnu"))</f>
        <v/>
      </c>
      <c r="E169" s="63" t="n"/>
      <c r="F169" s="66" t="str">
        <f>IF(E169="","",IFERROR(INDEX(art_des,MATCH($E169,art_ref,0))&amp;"","Article inconnu"))</f>
        <v/>
      </c>
      <c r="G169" s="67" t="str">
        <f>IF(E169="","",IFERROR(INDEX(art_unit,MATCH($E169,art_ref,0))&amp;"",""))</f>
        <v/>
      </c>
      <c r="H169" s="68" t="n"/>
      <c r="I169" s="69" t="n"/>
      <c r="J169" s="70" t="str">
        <f>IF(E169="","",IF(ISNUMBER(I169),I169,IFERROR(IF(ISNUMBER(INDEX(art_price,MATCH($E169,art_ref,0))),INDEX(art_price,MATCH($E169,art_ref,0)),""),"")))</f>
        <v/>
      </c>
      <c r="K169" s="71" t="n"/>
      <c r="L169" s="72" t="n"/>
      <c r="M169" s="72" t="str">
        <f>IF(E169="","",IF(L169&lt;&gt;"",L169,IFERROR(IF(ISNUMBER(INDEX(art_tva,MATCH($E169,art_ref,0))),INDEX(art_tva,MATCH($E169,art_ref,0)),""),"")))</f>
        <v/>
      </c>
      <c r="N169" s="70" t="str">
        <f>IF(OR(E169="",J169=""),"",ROUND(N(H169)*J169*(1-N(K169)),2))</f>
        <v/>
      </c>
      <c r="O169" s="70" t="str">
        <f>IF(OR(N169="",NOT(ISNUMBER(M169))),"",ROUND(N169*M169,2))</f>
        <v/>
      </c>
      <c r="P169" s="70" t="str">
        <f>IF(N169="","",N169+N(O169))</f>
        <v/>
      </c>
      <c r="Q169" s="64" t="n"/>
      <c r="R169" s="73" t="str">
        <f>IF(N(Q169)&gt;0,Q169,IF(OR(N(B169)=0,ISNA(MATCH($C169,sup_code,0))),"",IF(ISNUMBER(INDEX(sup_delay,MATCH($C169,sup_code,0))),B169+INDEX(sup_delay,MATCH($C169,sup_code,0)),"")))</f>
        <v/>
      </c>
      <c r="S169" s="64" t="n"/>
      <c r="T169" s="68" t="n"/>
      <c r="U169" s="64" t="n"/>
      <c r="V169" s="65" t="n"/>
      <c r="W169" s="74" t="str">
        <f>IF(AND(A169="",E169=""),"",IF(V169="Oui",0,MAX(0,ROUND(N(H169)-N(T169),6))))</f>
        <v/>
      </c>
      <c r="X169" s="67" t="str">
        <f>IF(AND(A169="",E169=""),"",IF(V169="Oui","Annulé",IF(AND(N(H169)&gt;0,N(T169)&gt;=N(H169)),"Reçu",IF(N(S169)=0,"Brouillon",IF(AND(ISNUMBER(R169),R169&lt;p_today),"En retard",IF(N(T169)&gt;0,"Partiel","Envoyé"))))))</f>
        <v/>
      </c>
      <c r="Y169" s="75" t="str">
        <f>IF(X169="En retard",p_today-R169,IF(AND(X169="Reçu",ISNUMBER(R169)),MAX(0,N(U169)-R169),""))</f>
        <v/>
      </c>
      <c r="Z169" s="67" t="str">
        <f>IF(AND(A169="",E169=""),"",IF(A169="","N° de bon manquant",IF(N(B169)=0,"Date de commande manquante",IF(C169="","Fournisseur manquant",IF(ISNA(MATCH($C169,sup_code,0)),"Fournisseur inconnu",IF(E169="","Article manquant",IF(ISNA(MATCH($E169,art_ref,0)),"Article inconnu",IF(N(H169)&lt;=0,"Quantité invalide",IF(J169="","Prix manquant",IF(OR(N(K169)&lt;0,N(K169)&gt;=1),"Remise invalide",IF(M169="","TVA manquante",IF(ISNA(MATCH(M169,p_tva,0)),"Taux de TVA inconnu",IF(COUNTIFS(po_num,A169,po_sup,"&lt;&gt;"&amp;C169)&gt;0,"Fournisseur différent sur ce bon",IF(COUNTIFS(po_num,A169,po_date,"&lt;&gt;"&amp;B169)&gt;0,"Date différente sur ce bon",IF(COUNTIF(po_num,A169)&gt;25,"Plus de 25 lignes sur ce bon",IF(R169="","Date de livraison manquante",IF(R169&lt;B169,"Livraison avant la commande",IF(AND(N(T169)&gt;0,N(S169)=0),"Date d'envoi manquante",IF(N(T169)&gt;N(H169),"Reçu plus que commandé",IF(AND(N(T169)&gt;0,N(U169)=0),"Date de réception manquante",IF(AND(N(U169)&gt;0,U169&lt;B169),"Réception avant la commande","OK")))))))))))))))))))))</f>
        <v/>
      </c>
      <c r="AA169" s="66" t="str">
        <f>IF(AND(X169="Reçu",ISNUMBER(R169)),IF(N(U169)&lt;=R169,1,0),"")</f>
        <v/>
      </c>
      <c r="AB169" s="76" t="str">
        <f>IF(OR(X169="Envoyé",X169="Partiel",X169="En retard"),IF(ISNUMBER(R169),R169,100000)+ROW()/100000,"")</f>
        <v/>
      </c>
      <c r="AC169" s="66" t="str">
        <f>IF(A169="","",IF(COUNTIF($A$6:A169,A169)=1,1,""))</f>
        <v/>
      </c>
      <c r="AD169" s="66" t="str">
        <f>IF(AC169=1,COUNT($AC$6:AC169),"")</f>
        <v/>
      </c>
      <c r="AE169" s="66" t="str">
        <f>IFERROR(INDEX(po_num,MATCH(164,po_seq,0))&amp;"","")</f>
        <v/>
      </c>
      <c r="AF169" s="66" t="str">
        <f>IF(OR(A169="",p_po=""),"",IF(A169&amp;""=p_po,COUNTIF($A$6:A169,A169),""))</f>
        <v/>
      </c>
      <c r="AG169" s="66" t="str">
        <f>IF(OR(AB169="",A169=""),"",IF(COUNTIFS($A$6:A169,A169,$AB$6:AB169,"&gt;0")=1,1,""))</f>
        <v/>
      </c>
      <c r="AH169" s="70" t="str">
        <f>IF(AB169="","",ROUND(N(W169)*N(J169)*(1-N(K169)),2))</f>
        <v/>
      </c>
      <c r="AI169" s="70" t="str">
        <f>IF(OR(J169="",N(T169)&lt;=0,V169="Oui"),"",ROUND(N(T169)*J169*(1-N(K169)),2))</f>
        <v/>
      </c>
    </row>
    <row r="170">
      <c r="A170" s="63" t="n"/>
      <c r="B170" s="64" t="n"/>
      <c r="C170" s="65" t="n"/>
      <c r="D170" s="66" t="str">
        <f>IF(C170="","",IFERROR(INDEX(sup_name,MATCH($C170,sup_code,0))&amp;"","Fournisseur inconnu"))</f>
        <v/>
      </c>
      <c r="E170" s="63" t="n"/>
      <c r="F170" s="66" t="str">
        <f>IF(E170="","",IFERROR(INDEX(art_des,MATCH($E170,art_ref,0))&amp;"","Article inconnu"))</f>
        <v/>
      </c>
      <c r="G170" s="67" t="str">
        <f>IF(E170="","",IFERROR(INDEX(art_unit,MATCH($E170,art_ref,0))&amp;"",""))</f>
        <v/>
      </c>
      <c r="H170" s="68" t="n"/>
      <c r="I170" s="69" t="n"/>
      <c r="J170" s="70" t="str">
        <f>IF(E170="","",IF(ISNUMBER(I170),I170,IFERROR(IF(ISNUMBER(INDEX(art_price,MATCH($E170,art_ref,0))),INDEX(art_price,MATCH($E170,art_ref,0)),""),"")))</f>
        <v/>
      </c>
      <c r="K170" s="71" t="n"/>
      <c r="L170" s="72" t="n"/>
      <c r="M170" s="72" t="str">
        <f>IF(E170="","",IF(L170&lt;&gt;"",L170,IFERROR(IF(ISNUMBER(INDEX(art_tva,MATCH($E170,art_ref,0))),INDEX(art_tva,MATCH($E170,art_ref,0)),""),"")))</f>
        <v/>
      </c>
      <c r="N170" s="70" t="str">
        <f>IF(OR(E170="",J170=""),"",ROUND(N(H170)*J170*(1-N(K170)),2))</f>
        <v/>
      </c>
      <c r="O170" s="70" t="str">
        <f>IF(OR(N170="",NOT(ISNUMBER(M170))),"",ROUND(N170*M170,2))</f>
        <v/>
      </c>
      <c r="P170" s="70" t="str">
        <f>IF(N170="","",N170+N(O170))</f>
        <v/>
      </c>
      <c r="Q170" s="64" t="n"/>
      <c r="R170" s="73" t="str">
        <f>IF(N(Q170)&gt;0,Q170,IF(OR(N(B170)=0,ISNA(MATCH($C170,sup_code,0))),"",IF(ISNUMBER(INDEX(sup_delay,MATCH($C170,sup_code,0))),B170+INDEX(sup_delay,MATCH($C170,sup_code,0)),"")))</f>
        <v/>
      </c>
      <c r="S170" s="64" t="n"/>
      <c r="T170" s="68" t="n"/>
      <c r="U170" s="64" t="n"/>
      <c r="V170" s="65" t="n"/>
      <c r="W170" s="74" t="str">
        <f>IF(AND(A170="",E170=""),"",IF(V170="Oui",0,MAX(0,ROUND(N(H170)-N(T170),6))))</f>
        <v/>
      </c>
      <c r="X170" s="67" t="str">
        <f>IF(AND(A170="",E170=""),"",IF(V170="Oui","Annulé",IF(AND(N(H170)&gt;0,N(T170)&gt;=N(H170)),"Reçu",IF(N(S170)=0,"Brouillon",IF(AND(ISNUMBER(R170),R170&lt;p_today),"En retard",IF(N(T170)&gt;0,"Partiel","Envoyé"))))))</f>
        <v/>
      </c>
      <c r="Y170" s="75" t="str">
        <f>IF(X170="En retard",p_today-R170,IF(AND(X170="Reçu",ISNUMBER(R170)),MAX(0,N(U170)-R170),""))</f>
        <v/>
      </c>
      <c r="Z170" s="67" t="str">
        <f>IF(AND(A170="",E170=""),"",IF(A170="","N° de bon manquant",IF(N(B170)=0,"Date de commande manquante",IF(C170="","Fournisseur manquant",IF(ISNA(MATCH($C170,sup_code,0)),"Fournisseur inconnu",IF(E170="","Article manquant",IF(ISNA(MATCH($E170,art_ref,0)),"Article inconnu",IF(N(H170)&lt;=0,"Quantité invalide",IF(J170="","Prix manquant",IF(OR(N(K170)&lt;0,N(K170)&gt;=1),"Remise invalide",IF(M170="","TVA manquante",IF(ISNA(MATCH(M170,p_tva,0)),"Taux de TVA inconnu",IF(COUNTIFS(po_num,A170,po_sup,"&lt;&gt;"&amp;C170)&gt;0,"Fournisseur différent sur ce bon",IF(COUNTIFS(po_num,A170,po_date,"&lt;&gt;"&amp;B170)&gt;0,"Date différente sur ce bon",IF(COUNTIF(po_num,A170)&gt;25,"Plus de 25 lignes sur ce bon",IF(R170="","Date de livraison manquante",IF(R170&lt;B170,"Livraison avant la commande",IF(AND(N(T170)&gt;0,N(S170)=0),"Date d'envoi manquante",IF(N(T170)&gt;N(H170),"Reçu plus que commandé",IF(AND(N(T170)&gt;0,N(U170)=0),"Date de réception manquante",IF(AND(N(U170)&gt;0,U170&lt;B170),"Réception avant la commande","OK")))))))))))))))))))))</f>
        <v/>
      </c>
      <c r="AA170" s="66" t="str">
        <f>IF(AND(X170="Reçu",ISNUMBER(R170)),IF(N(U170)&lt;=R170,1,0),"")</f>
        <v/>
      </c>
      <c r="AB170" s="76" t="str">
        <f>IF(OR(X170="Envoyé",X170="Partiel",X170="En retard"),IF(ISNUMBER(R170),R170,100000)+ROW()/100000,"")</f>
        <v/>
      </c>
      <c r="AC170" s="66" t="str">
        <f>IF(A170="","",IF(COUNTIF($A$6:A170,A170)=1,1,""))</f>
        <v/>
      </c>
      <c r="AD170" s="66" t="str">
        <f>IF(AC170=1,COUNT($AC$6:AC170),"")</f>
        <v/>
      </c>
      <c r="AE170" s="66" t="str">
        <f>IFERROR(INDEX(po_num,MATCH(165,po_seq,0))&amp;"","")</f>
        <v/>
      </c>
      <c r="AF170" s="66" t="str">
        <f>IF(OR(A170="",p_po=""),"",IF(A170&amp;""=p_po,COUNTIF($A$6:A170,A170),""))</f>
        <v/>
      </c>
      <c r="AG170" s="66" t="str">
        <f>IF(OR(AB170="",A170=""),"",IF(COUNTIFS($A$6:A170,A170,$AB$6:AB170,"&gt;0")=1,1,""))</f>
        <v/>
      </c>
      <c r="AH170" s="70" t="str">
        <f>IF(AB170="","",ROUND(N(W170)*N(J170)*(1-N(K170)),2))</f>
        <v/>
      </c>
      <c r="AI170" s="70" t="str">
        <f>IF(OR(J170="",N(T170)&lt;=0,V170="Oui"),"",ROUND(N(T170)*J170*(1-N(K170)),2))</f>
        <v/>
      </c>
    </row>
    <row r="171">
      <c r="A171" s="63" t="n"/>
      <c r="B171" s="64" t="n"/>
      <c r="C171" s="65" t="n"/>
      <c r="D171" s="66" t="str">
        <f>IF(C171="","",IFERROR(INDEX(sup_name,MATCH($C171,sup_code,0))&amp;"","Fournisseur inconnu"))</f>
        <v/>
      </c>
      <c r="E171" s="63" t="n"/>
      <c r="F171" s="66" t="str">
        <f>IF(E171="","",IFERROR(INDEX(art_des,MATCH($E171,art_ref,0))&amp;"","Article inconnu"))</f>
        <v/>
      </c>
      <c r="G171" s="67" t="str">
        <f>IF(E171="","",IFERROR(INDEX(art_unit,MATCH($E171,art_ref,0))&amp;"",""))</f>
        <v/>
      </c>
      <c r="H171" s="68" t="n"/>
      <c r="I171" s="69" t="n"/>
      <c r="J171" s="70" t="str">
        <f>IF(E171="","",IF(ISNUMBER(I171),I171,IFERROR(IF(ISNUMBER(INDEX(art_price,MATCH($E171,art_ref,0))),INDEX(art_price,MATCH($E171,art_ref,0)),""),"")))</f>
        <v/>
      </c>
      <c r="K171" s="71" t="n"/>
      <c r="L171" s="72" t="n"/>
      <c r="M171" s="72" t="str">
        <f>IF(E171="","",IF(L171&lt;&gt;"",L171,IFERROR(IF(ISNUMBER(INDEX(art_tva,MATCH($E171,art_ref,0))),INDEX(art_tva,MATCH($E171,art_ref,0)),""),"")))</f>
        <v/>
      </c>
      <c r="N171" s="70" t="str">
        <f>IF(OR(E171="",J171=""),"",ROUND(N(H171)*J171*(1-N(K171)),2))</f>
        <v/>
      </c>
      <c r="O171" s="70" t="str">
        <f>IF(OR(N171="",NOT(ISNUMBER(M171))),"",ROUND(N171*M171,2))</f>
        <v/>
      </c>
      <c r="P171" s="70" t="str">
        <f>IF(N171="","",N171+N(O171))</f>
        <v/>
      </c>
      <c r="Q171" s="64" t="n"/>
      <c r="R171" s="73" t="str">
        <f>IF(N(Q171)&gt;0,Q171,IF(OR(N(B171)=0,ISNA(MATCH($C171,sup_code,0))),"",IF(ISNUMBER(INDEX(sup_delay,MATCH($C171,sup_code,0))),B171+INDEX(sup_delay,MATCH($C171,sup_code,0)),"")))</f>
        <v/>
      </c>
      <c r="S171" s="64" t="n"/>
      <c r="T171" s="68" t="n"/>
      <c r="U171" s="64" t="n"/>
      <c r="V171" s="65" t="n"/>
      <c r="W171" s="74" t="str">
        <f>IF(AND(A171="",E171=""),"",IF(V171="Oui",0,MAX(0,ROUND(N(H171)-N(T171),6))))</f>
        <v/>
      </c>
      <c r="X171" s="67" t="str">
        <f>IF(AND(A171="",E171=""),"",IF(V171="Oui","Annulé",IF(AND(N(H171)&gt;0,N(T171)&gt;=N(H171)),"Reçu",IF(N(S171)=0,"Brouillon",IF(AND(ISNUMBER(R171),R171&lt;p_today),"En retard",IF(N(T171)&gt;0,"Partiel","Envoyé"))))))</f>
        <v/>
      </c>
      <c r="Y171" s="75" t="str">
        <f>IF(X171="En retard",p_today-R171,IF(AND(X171="Reçu",ISNUMBER(R171)),MAX(0,N(U171)-R171),""))</f>
        <v/>
      </c>
      <c r="Z171" s="67" t="str">
        <f>IF(AND(A171="",E171=""),"",IF(A171="","N° de bon manquant",IF(N(B171)=0,"Date de commande manquante",IF(C171="","Fournisseur manquant",IF(ISNA(MATCH($C171,sup_code,0)),"Fournisseur inconnu",IF(E171="","Article manquant",IF(ISNA(MATCH($E171,art_ref,0)),"Article inconnu",IF(N(H171)&lt;=0,"Quantité invalide",IF(J171="","Prix manquant",IF(OR(N(K171)&lt;0,N(K171)&gt;=1),"Remise invalide",IF(M171="","TVA manquante",IF(ISNA(MATCH(M171,p_tva,0)),"Taux de TVA inconnu",IF(COUNTIFS(po_num,A171,po_sup,"&lt;&gt;"&amp;C171)&gt;0,"Fournisseur différent sur ce bon",IF(COUNTIFS(po_num,A171,po_date,"&lt;&gt;"&amp;B171)&gt;0,"Date différente sur ce bon",IF(COUNTIF(po_num,A171)&gt;25,"Plus de 25 lignes sur ce bon",IF(R171="","Date de livraison manquante",IF(R171&lt;B171,"Livraison avant la commande",IF(AND(N(T171)&gt;0,N(S171)=0),"Date d'envoi manquante",IF(N(T171)&gt;N(H171),"Reçu plus que commandé",IF(AND(N(T171)&gt;0,N(U171)=0),"Date de réception manquante",IF(AND(N(U171)&gt;0,U171&lt;B171),"Réception avant la commande","OK")))))))))))))))))))))</f>
        <v/>
      </c>
      <c r="AA171" s="66" t="str">
        <f>IF(AND(X171="Reçu",ISNUMBER(R171)),IF(N(U171)&lt;=R171,1,0),"")</f>
        <v/>
      </c>
      <c r="AB171" s="76" t="str">
        <f>IF(OR(X171="Envoyé",X171="Partiel",X171="En retard"),IF(ISNUMBER(R171),R171,100000)+ROW()/100000,"")</f>
        <v/>
      </c>
      <c r="AC171" s="66" t="str">
        <f>IF(A171="","",IF(COUNTIF($A$6:A171,A171)=1,1,""))</f>
        <v/>
      </c>
      <c r="AD171" s="66" t="str">
        <f>IF(AC171=1,COUNT($AC$6:AC171),"")</f>
        <v/>
      </c>
      <c r="AE171" s="66" t="str">
        <f>IFERROR(INDEX(po_num,MATCH(166,po_seq,0))&amp;"","")</f>
        <v/>
      </c>
      <c r="AF171" s="66" t="str">
        <f>IF(OR(A171="",p_po=""),"",IF(A171&amp;""=p_po,COUNTIF($A$6:A171,A171),""))</f>
        <v/>
      </c>
      <c r="AG171" s="66" t="str">
        <f>IF(OR(AB171="",A171=""),"",IF(COUNTIFS($A$6:A171,A171,$AB$6:AB171,"&gt;0")=1,1,""))</f>
        <v/>
      </c>
      <c r="AH171" s="70" t="str">
        <f>IF(AB171="","",ROUND(N(W171)*N(J171)*(1-N(K171)),2))</f>
        <v/>
      </c>
      <c r="AI171" s="70" t="str">
        <f>IF(OR(J171="",N(T171)&lt;=0,V171="Oui"),"",ROUND(N(T171)*J171*(1-N(K171)),2))</f>
        <v/>
      </c>
    </row>
    <row r="172">
      <c r="A172" s="63" t="n"/>
      <c r="B172" s="64" t="n"/>
      <c r="C172" s="65" t="n"/>
      <c r="D172" s="66" t="str">
        <f>IF(C172="","",IFERROR(INDEX(sup_name,MATCH($C172,sup_code,0))&amp;"","Fournisseur inconnu"))</f>
        <v/>
      </c>
      <c r="E172" s="63" t="n"/>
      <c r="F172" s="66" t="str">
        <f>IF(E172="","",IFERROR(INDEX(art_des,MATCH($E172,art_ref,0))&amp;"","Article inconnu"))</f>
        <v/>
      </c>
      <c r="G172" s="67" t="str">
        <f>IF(E172="","",IFERROR(INDEX(art_unit,MATCH($E172,art_ref,0))&amp;"",""))</f>
        <v/>
      </c>
      <c r="H172" s="68" t="n"/>
      <c r="I172" s="69" t="n"/>
      <c r="J172" s="70" t="str">
        <f>IF(E172="","",IF(ISNUMBER(I172),I172,IFERROR(IF(ISNUMBER(INDEX(art_price,MATCH($E172,art_ref,0))),INDEX(art_price,MATCH($E172,art_ref,0)),""),"")))</f>
        <v/>
      </c>
      <c r="K172" s="71" t="n"/>
      <c r="L172" s="72" t="n"/>
      <c r="M172" s="72" t="str">
        <f>IF(E172="","",IF(L172&lt;&gt;"",L172,IFERROR(IF(ISNUMBER(INDEX(art_tva,MATCH($E172,art_ref,0))),INDEX(art_tva,MATCH($E172,art_ref,0)),""),"")))</f>
        <v/>
      </c>
      <c r="N172" s="70" t="str">
        <f>IF(OR(E172="",J172=""),"",ROUND(N(H172)*J172*(1-N(K172)),2))</f>
        <v/>
      </c>
      <c r="O172" s="70" t="str">
        <f>IF(OR(N172="",NOT(ISNUMBER(M172))),"",ROUND(N172*M172,2))</f>
        <v/>
      </c>
      <c r="P172" s="70" t="str">
        <f>IF(N172="","",N172+N(O172))</f>
        <v/>
      </c>
      <c r="Q172" s="64" t="n"/>
      <c r="R172" s="73" t="str">
        <f>IF(N(Q172)&gt;0,Q172,IF(OR(N(B172)=0,ISNA(MATCH($C172,sup_code,0))),"",IF(ISNUMBER(INDEX(sup_delay,MATCH($C172,sup_code,0))),B172+INDEX(sup_delay,MATCH($C172,sup_code,0)),"")))</f>
        <v/>
      </c>
      <c r="S172" s="64" t="n"/>
      <c r="T172" s="68" t="n"/>
      <c r="U172" s="64" t="n"/>
      <c r="V172" s="65" t="n"/>
      <c r="W172" s="74" t="str">
        <f>IF(AND(A172="",E172=""),"",IF(V172="Oui",0,MAX(0,ROUND(N(H172)-N(T172),6))))</f>
        <v/>
      </c>
      <c r="X172" s="67" t="str">
        <f>IF(AND(A172="",E172=""),"",IF(V172="Oui","Annulé",IF(AND(N(H172)&gt;0,N(T172)&gt;=N(H172)),"Reçu",IF(N(S172)=0,"Brouillon",IF(AND(ISNUMBER(R172),R172&lt;p_today),"En retard",IF(N(T172)&gt;0,"Partiel","Envoyé"))))))</f>
        <v/>
      </c>
      <c r="Y172" s="75" t="str">
        <f>IF(X172="En retard",p_today-R172,IF(AND(X172="Reçu",ISNUMBER(R172)),MAX(0,N(U172)-R172),""))</f>
        <v/>
      </c>
      <c r="Z172" s="67" t="str">
        <f>IF(AND(A172="",E172=""),"",IF(A172="","N° de bon manquant",IF(N(B172)=0,"Date de commande manquante",IF(C172="","Fournisseur manquant",IF(ISNA(MATCH($C172,sup_code,0)),"Fournisseur inconnu",IF(E172="","Article manquant",IF(ISNA(MATCH($E172,art_ref,0)),"Article inconnu",IF(N(H172)&lt;=0,"Quantité invalide",IF(J172="","Prix manquant",IF(OR(N(K172)&lt;0,N(K172)&gt;=1),"Remise invalide",IF(M172="","TVA manquante",IF(ISNA(MATCH(M172,p_tva,0)),"Taux de TVA inconnu",IF(COUNTIFS(po_num,A172,po_sup,"&lt;&gt;"&amp;C172)&gt;0,"Fournisseur différent sur ce bon",IF(COUNTIFS(po_num,A172,po_date,"&lt;&gt;"&amp;B172)&gt;0,"Date différente sur ce bon",IF(COUNTIF(po_num,A172)&gt;25,"Plus de 25 lignes sur ce bon",IF(R172="","Date de livraison manquante",IF(R172&lt;B172,"Livraison avant la commande",IF(AND(N(T172)&gt;0,N(S172)=0),"Date d'envoi manquante",IF(N(T172)&gt;N(H172),"Reçu plus que commandé",IF(AND(N(T172)&gt;0,N(U172)=0),"Date de réception manquante",IF(AND(N(U172)&gt;0,U172&lt;B172),"Réception avant la commande","OK")))))))))))))))))))))</f>
        <v/>
      </c>
      <c r="AA172" s="66" t="str">
        <f>IF(AND(X172="Reçu",ISNUMBER(R172)),IF(N(U172)&lt;=R172,1,0),"")</f>
        <v/>
      </c>
      <c r="AB172" s="76" t="str">
        <f>IF(OR(X172="Envoyé",X172="Partiel",X172="En retard"),IF(ISNUMBER(R172),R172,100000)+ROW()/100000,"")</f>
        <v/>
      </c>
      <c r="AC172" s="66" t="str">
        <f>IF(A172="","",IF(COUNTIF($A$6:A172,A172)=1,1,""))</f>
        <v/>
      </c>
      <c r="AD172" s="66" t="str">
        <f>IF(AC172=1,COUNT($AC$6:AC172),"")</f>
        <v/>
      </c>
      <c r="AE172" s="66" t="str">
        <f>IFERROR(INDEX(po_num,MATCH(167,po_seq,0))&amp;"","")</f>
        <v/>
      </c>
      <c r="AF172" s="66" t="str">
        <f>IF(OR(A172="",p_po=""),"",IF(A172&amp;""=p_po,COUNTIF($A$6:A172,A172),""))</f>
        <v/>
      </c>
      <c r="AG172" s="66" t="str">
        <f>IF(OR(AB172="",A172=""),"",IF(COUNTIFS($A$6:A172,A172,$AB$6:AB172,"&gt;0")=1,1,""))</f>
        <v/>
      </c>
      <c r="AH172" s="70" t="str">
        <f>IF(AB172="","",ROUND(N(W172)*N(J172)*(1-N(K172)),2))</f>
        <v/>
      </c>
      <c r="AI172" s="70" t="str">
        <f>IF(OR(J172="",N(T172)&lt;=0,V172="Oui"),"",ROUND(N(T172)*J172*(1-N(K172)),2))</f>
        <v/>
      </c>
    </row>
    <row r="173">
      <c r="A173" s="63" t="n"/>
      <c r="B173" s="64" t="n"/>
      <c r="C173" s="65" t="n"/>
      <c r="D173" s="66" t="str">
        <f>IF(C173="","",IFERROR(INDEX(sup_name,MATCH($C173,sup_code,0))&amp;"","Fournisseur inconnu"))</f>
        <v/>
      </c>
      <c r="E173" s="63" t="n"/>
      <c r="F173" s="66" t="str">
        <f>IF(E173="","",IFERROR(INDEX(art_des,MATCH($E173,art_ref,0))&amp;"","Article inconnu"))</f>
        <v/>
      </c>
      <c r="G173" s="67" t="str">
        <f>IF(E173="","",IFERROR(INDEX(art_unit,MATCH($E173,art_ref,0))&amp;"",""))</f>
        <v/>
      </c>
      <c r="H173" s="68" t="n"/>
      <c r="I173" s="69" t="n"/>
      <c r="J173" s="70" t="str">
        <f>IF(E173="","",IF(ISNUMBER(I173),I173,IFERROR(IF(ISNUMBER(INDEX(art_price,MATCH($E173,art_ref,0))),INDEX(art_price,MATCH($E173,art_ref,0)),""),"")))</f>
        <v/>
      </c>
      <c r="K173" s="71" t="n"/>
      <c r="L173" s="72" t="n"/>
      <c r="M173" s="72" t="str">
        <f>IF(E173="","",IF(L173&lt;&gt;"",L173,IFERROR(IF(ISNUMBER(INDEX(art_tva,MATCH($E173,art_ref,0))),INDEX(art_tva,MATCH($E173,art_ref,0)),""),"")))</f>
        <v/>
      </c>
      <c r="N173" s="70" t="str">
        <f>IF(OR(E173="",J173=""),"",ROUND(N(H173)*J173*(1-N(K173)),2))</f>
        <v/>
      </c>
      <c r="O173" s="70" t="str">
        <f>IF(OR(N173="",NOT(ISNUMBER(M173))),"",ROUND(N173*M173,2))</f>
        <v/>
      </c>
      <c r="P173" s="70" t="str">
        <f>IF(N173="","",N173+N(O173))</f>
        <v/>
      </c>
      <c r="Q173" s="64" t="n"/>
      <c r="R173" s="73" t="str">
        <f>IF(N(Q173)&gt;0,Q173,IF(OR(N(B173)=0,ISNA(MATCH($C173,sup_code,0))),"",IF(ISNUMBER(INDEX(sup_delay,MATCH($C173,sup_code,0))),B173+INDEX(sup_delay,MATCH($C173,sup_code,0)),"")))</f>
        <v/>
      </c>
      <c r="S173" s="64" t="n"/>
      <c r="T173" s="68" t="n"/>
      <c r="U173" s="64" t="n"/>
      <c r="V173" s="65" t="n"/>
      <c r="W173" s="74" t="str">
        <f>IF(AND(A173="",E173=""),"",IF(V173="Oui",0,MAX(0,ROUND(N(H173)-N(T173),6))))</f>
        <v/>
      </c>
      <c r="X173" s="67" t="str">
        <f>IF(AND(A173="",E173=""),"",IF(V173="Oui","Annulé",IF(AND(N(H173)&gt;0,N(T173)&gt;=N(H173)),"Reçu",IF(N(S173)=0,"Brouillon",IF(AND(ISNUMBER(R173),R173&lt;p_today),"En retard",IF(N(T173)&gt;0,"Partiel","Envoyé"))))))</f>
        <v/>
      </c>
      <c r="Y173" s="75" t="str">
        <f>IF(X173="En retard",p_today-R173,IF(AND(X173="Reçu",ISNUMBER(R173)),MAX(0,N(U173)-R173),""))</f>
        <v/>
      </c>
      <c r="Z173" s="67" t="str">
        <f>IF(AND(A173="",E173=""),"",IF(A173="","N° de bon manquant",IF(N(B173)=0,"Date de commande manquante",IF(C173="","Fournisseur manquant",IF(ISNA(MATCH($C173,sup_code,0)),"Fournisseur inconnu",IF(E173="","Article manquant",IF(ISNA(MATCH($E173,art_ref,0)),"Article inconnu",IF(N(H173)&lt;=0,"Quantité invalide",IF(J173="","Prix manquant",IF(OR(N(K173)&lt;0,N(K173)&gt;=1),"Remise invalide",IF(M173="","TVA manquante",IF(ISNA(MATCH(M173,p_tva,0)),"Taux de TVA inconnu",IF(COUNTIFS(po_num,A173,po_sup,"&lt;&gt;"&amp;C173)&gt;0,"Fournisseur différent sur ce bon",IF(COUNTIFS(po_num,A173,po_date,"&lt;&gt;"&amp;B173)&gt;0,"Date différente sur ce bon",IF(COUNTIF(po_num,A173)&gt;25,"Plus de 25 lignes sur ce bon",IF(R173="","Date de livraison manquante",IF(R173&lt;B173,"Livraison avant la commande",IF(AND(N(T173)&gt;0,N(S173)=0),"Date d'envoi manquante",IF(N(T173)&gt;N(H173),"Reçu plus que commandé",IF(AND(N(T173)&gt;0,N(U173)=0),"Date de réception manquante",IF(AND(N(U173)&gt;0,U173&lt;B173),"Réception avant la commande","OK")))))))))))))))))))))</f>
        <v/>
      </c>
      <c r="AA173" s="66" t="str">
        <f>IF(AND(X173="Reçu",ISNUMBER(R173)),IF(N(U173)&lt;=R173,1,0),"")</f>
        <v/>
      </c>
      <c r="AB173" s="76" t="str">
        <f>IF(OR(X173="Envoyé",X173="Partiel",X173="En retard"),IF(ISNUMBER(R173),R173,100000)+ROW()/100000,"")</f>
        <v/>
      </c>
      <c r="AC173" s="66" t="str">
        <f>IF(A173="","",IF(COUNTIF($A$6:A173,A173)=1,1,""))</f>
        <v/>
      </c>
      <c r="AD173" s="66" t="str">
        <f>IF(AC173=1,COUNT($AC$6:AC173),"")</f>
        <v/>
      </c>
      <c r="AE173" s="66" t="str">
        <f>IFERROR(INDEX(po_num,MATCH(168,po_seq,0))&amp;"","")</f>
        <v/>
      </c>
      <c r="AF173" s="66" t="str">
        <f>IF(OR(A173="",p_po=""),"",IF(A173&amp;""=p_po,COUNTIF($A$6:A173,A173),""))</f>
        <v/>
      </c>
      <c r="AG173" s="66" t="str">
        <f>IF(OR(AB173="",A173=""),"",IF(COUNTIFS($A$6:A173,A173,$AB$6:AB173,"&gt;0")=1,1,""))</f>
        <v/>
      </c>
      <c r="AH173" s="70" t="str">
        <f>IF(AB173="","",ROUND(N(W173)*N(J173)*(1-N(K173)),2))</f>
        <v/>
      </c>
      <c r="AI173" s="70" t="str">
        <f>IF(OR(J173="",N(T173)&lt;=0,V173="Oui"),"",ROUND(N(T173)*J173*(1-N(K173)),2))</f>
        <v/>
      </c>
    </row>
    <row r="174">
      <c r="A174" s="63" t="n"/>
      <c r="B174" s="64" t="n"/>
      <c r="C174" s="65" t="n"/>
      <c r="D174" s="66" t="str">
        <f>IF(C174="","",IFERROR(INDEX(sup_name,MATCH($C174,sup_code,0))&amp;"","Fournisseur inconnu"))</f>
        <v/>
      </c>
      <c r="E174" s="63" t="n"/>
      <c r="F174" s="66" t="str">
        <f>IF(E174="","",IFERROR(INDEX(art_des,MATCH($E174,art_ref,0))&amp;"","Article inconnu"))</f>
        <v/>
      </c>
      <c r="G174" s="67" t="str">
        <f>IF(E174="","",IFERROR(INDEX(art_unit,MATCH($E174,art_ref,0))&amp;"",""))</f>
        <v/>
      </c>
      <c r="H174" s="68" t="n"/>
      <c r="I174" s="69" t="n"/>
      <c r="J174" s="70" t="str">
        <f>IF(E174="","",IF(ISNUMBER(I174),I174,IFERROR(IF(ISNUMBER(INDEX(art_price,MATCH($E174,art_ref,0))),INDEX(art_price,MATCH($E174,art_ref,0)),""),"")))</f>
        <v/>
      </c>
      <c r="K174" s="71" t="n"/>
      <c r="L174" s="72" t="n"/>
      <c r="M174" s="72" t="str">
        <f>IF(E174="","",IF(L174&lt;&gt;"",L174,IFERROR(IF(ISNUMBER(INDEX(art_tva,MATCH($E174,art_ref,0))),INDEX(art_tva,MATCH($E174,art_ref,0)),""),"")))</f>
        <v/>
      </c>
      <c r="N174" s="70" t="str">
        <f>IF(OR(E174="",J174=""),"",ROUND(N(H174)*J174*(1-N(K174)),2))</f>
        <v/>
      </c>
      <c r="O174" s="70" t="str">
        <f>IF(OR(N174="",NOT(ISNUMBER(M174))),"",ROUND(N174*M174,2))</f>
        <v/>
      </c>
      <c r="P174" s="70" t="str">
        <f>IF(N174="","",N174+N(O174))</f>
        <v/>
      </c>
      <c r="Q174" s="64" t="n"/>
      <c r="R174" s="73" t="str">
        <f>IF(N(Q174)&gt;0,Q174,IF(OR(N(B174)=0,ISNA(MATCH($C174,sup_code,0))),"",IF(ISNUMBER(INDEX(sup_delay,MATCH($C174,sup_code,0))),B174+INDEX(sup_delay,MATCH($C174,sup_code,0)),"")))</f>
        <v/>
      </c>
      <c r="S174" s="64" t="n"/>
      <c r="T174" s="68" t="n"/>
      <c r="U174" s="64" t="n"/>
      <c r="V174" s="65" t="n"/>
      <c r="W174" s="74" t="str">
        <f>IF(AND(A174="",E174=""),"",IF(V174="Oui",0,MAX(0,ROUND(N(H174)-N(T174),6))))</f>
        <v/>
      </c>
      <c r="X174" s="67" t="str">
        <f>IF(AND(A174="",E174=""),"",IF(V174="Oui","Annulé",IF(AND(N(H174)&gt;0,N(T174)&gt;=N(H174)),"Reçu",IF(N(S174)=0,"Brouillon",IF(AND(ISNUMBER(R174),R174&lt;p_today),"En retard",IF(N(T174)&gt;0,"Partiel","Envoyé"))))))</f>
        <v/>
      </c>
      <c r="Y174" s="75" t="str">
        <f>IF(X174="En retard",p_today-R174,IF(AND(X174="Reçu",ISNUMBER(R174)),MAX(0,N(U174)-R174),""))</f>
        <v/>
      </c>
      <c r="Z174" s="67" t="str">
        <f>IF(AND(A174="",E174=""),"",IF(A174="","N° de bon manquant",IF(N(B174)=0,"Date de commande manquante",IF(C174="","Fournisseur manquant",IF(ISNA(MATCH($C174,sup_code,0)),"Fournisseur inconnu",IF(E174="","Article manquant",IF(ISNA(MATCH($E174,art_ref,0)),"Article inconnu",IF(N(H174)&lt;=0,"Quantité invalide",IF(J174="","Prix manquant",IF(OR(N(K174)&lt;0,N(K174)&gt;=1),"Remise invalide",IF(M174="","TVA manquante",IF(ISNA(MATCH(M174,p_tva,0)),"Taux de TVA inconnu",IF(COUNTIFS(po_num,A174,po_sup,"&lt;&gt;"&amp;C174)&gt;0,"Fournisseur différent sur ce bon",IF(COUNTIFS(po_num,A174,po_date,"&lt;&gt;"&amp;B174)&gt;0,"Date différente sur ce bon",IF(COUNTIF(po_num,A174)&gt;25,"Plus de 25 lignes sur ce bon",IF(R174="","Date de livraison manquante",IF(R174&lt;B174,"Livraison avant la commande",IF(AND(N(T174)&gt;0,N(S174)=0),"Date d'envoi manquante",IF(N(T174)&gt;N(H174),"Reçu plus que commandé",IF(AND(N(T174)&gt;0,N(U174)=0),"Date de réception manquante",IF(AND(N(U174)&gt;0,U174&lt;B174),"Réception avant la commande","OK")))))))))))))))))))))</f>
        <v/>
      </c>
      <c r="AA174" s="66" t="str">
        <f>IF(AND(X174="Reçu",ISNUMBER(R174)),IF(N(U174)&lt;=R174,1,0),"")</f>
        <v/>
      </c>
      <c r="AB174" s="76" t="str">
        <f>IF(OR(X174="Envoyé",X174="Partiel",X174="En retard"),IF(ISNUMBER(R174),R174,100000)+ROW()/100000,"")</f>
        <v/>
      </c>
      <c r="AC174" s="66" t="str">
        <f>IF(A174="","",IF(COUNTIF($A$6:A174,A174)=1,1,""))</f>
        <v/>
      </c>
      <c r="AD174" s="66" t="str">
        <f>IF(AC174=1,COUNT($AC$6:AC174),"")</f>
        <v/>
      </c>
      <c r="AE174" s="66" t="str">
        <f>IFERROR(INDEX(po_num,MATCH(169,po_seq,0))&amp;"","")</f>
        <v/>
      </c>
      <c r="AF174" s="66" t="str">
        <f>IF(OR(A174="",p_po=""),"",IF(A174&amp;""=p_po,COUNTIF($A$6:A174,A174),""))</f>
        <v/>
      </c>
      <c r="AG174" s="66" t="str">
        <f>IF(OR(AB174="",A174=""),"",IF(COUNTIFS($A$6:A174,A174,$AB$6:AB174,"&gt;0")=1,1,""))</f>
        <v/>
      </c>
      <c r="AH174" s="70" t="str">
        <f>IF(AB174="","",ROUND(N(W174)*N(J174)*(1-N(K174)),2))</f>
        <v/>
      </c>
      <c r="AI174" s="70" t="str">
        <f>IF(OR(J174="",N(T174)&lt;=0,V174="Oui"),"",ROUND(N(T174)*J174*(1-N(K174)),2))</f>
        <v/>
      </c>
    </row>
    <row r="175">
      <c r="A175" s="63" t="n"/>
      <c r="B175" s="64" t="n"/>
      <c r="C175" s="65" t="n"/>
      <c r="D175" s="66" t="str">
        <f>IF(C175="","",IFERROR(INDEX(sup_name,MATCH($C175,sup_code,0))&amp;"","Fournisseur inconnu"))</f>
        <v/>
      </c>
      <c r="E175" s="63" t="n"/>
      <c r="F175" s="66" t="str">
        <f>IF(E175="","",IFERROR(INDEX(art_des,MATCH($E175,art_ref,0))&amp;"","Article inconnu"))</f>
        <v/>
      </c>
      <c r="G175" s="67" t="str">
        <f>IF(E175="","",IFERROR(INDEX(art_unit,MATCH($E175,art_ref,0))&amp;"",""))</f>
        <v/>
      </c>
      <c r="H175" s="68" t="n"/>
      <c r="I175" s="69" t="n"/>
      <c r="J175" s="70" t="str">
        <f>IF(E175="","",IF(ISNUMBER(I175),I175,IFERROR(IF(ISNUMBER(INDEX(art_price,MATCH($E175,art_ref,0))),INDEX(art_price,MATCH($E175,art_ref,0)),""),"")))</f>
        <v/>
      </c>
      <c r="K175" s="71" t="n"/>
      <c r="L175" s="72" t="n"/>
      <c r="M175" s="72" t="str">
        <f>IF(E175="","",IF(L175&lt;&gt;"",L175,IFERROR(IF(ISNUMBER(INDEX(art_tva,MATCH($E175,art_ref,0))),INDEX(art_tva,MATCH($E175,art_ref,0)),""),"")))</f>
        <v/>
      </c>
      <c r="N175" s="70" t="str">
        <f>IF(OR(E175="",J175=""),"",ROUND(N(H175)*J175*(1-N(K175)),2))</f>
        <v/>
      </c>
      <c r="O175" s="70" t="str">
        <f>IF(OR(N175="",NOT(ISNUMBER(M175))),"",ROUND(N175*M175,2))</f>
        <v/>
      </c>
      <c r="P175" s="70" t="str">
        <f>IF(N175="","",N175+N(O175))</f>
        <v/>
      </c>
      <c r="Q175" s="64" t="n"/>
      <c r="R175" s="73" t="str">
        <f>IF(N(Q175)&gt;0,Q175,IF(OR(N(B175)=0,ISNA(MATCH($C175,sup_code,0))),"",IF(ISNUMBER(INDEX(sup_delay,MATCH($C175,sup_code,0))),B175+INDEX(sup_delay,MATCH($C175,sup_code,0)),"")))</f>
        <v/>
      </c>
      <c r="S175" s="64" t="n"/>
      <c r="T175" s="68" t="n"/>
      <c r="U175" s="64" t="n"/>
      <c r="V175" s="65" t="n"/>
      <c r="W175" s="74" t="str">
        <f>IF(AND(A175="",E175=""),"",IF(V175="Oui",0,MAX(0,ROUND(N(H175)-N(T175),6))))</f>
        <v/>
      </c>
      <c r="X175" s="67" t="str">
        <f>IF(AND(A175="",E175=""),"",IF(V175="Oui","Annulé",IF(AND(N(H175)&gt;0,N(T175)&gt;=N(H175)),"Reçu",IF(N(S175)=0,"Brouillon",IF(AND(ISNUMBER(R175),R175&lt;p_today),"En retard",IF(N(T175)&gt;0,"Partiel","Envoyé"))))))</f>
        <v/>
      </c>
      <c r="Y175" s="75" t="str">
        <f>IF(X175="En retard",p_today-R175,IF(AND(X175="Reçu",ISNUMBER(R175)),MAX(0,N(U175)-R175),""))</f>
        <v/>
      </c>
      <c r="Z175" s="67" t="str">
        <f>IF(AND(A175="",E175=""),"",IF(A175="","N° de bon manquant",IF(N(B175)=0,"Date de commande manquante",IF(C175="","Fournisseur manquant",IF(ISNA(MATCH($C175,sup_code,0)),"Fournisseur inconnu",IF(E175="","Article manquant",IF(ISNA(MATCH($E175,art_ref,0)),"Article inconnu",IF(N(H175)&lt;=0,"Quantité invalide",IF(J175="","Prix manquant",IF(OR(N(K175)&lt;0,N(K175)&gt;=1),"Remise invalide",IF(M175="","TVA manquante",IF(ISNA(MATCH(M175,p_tva,0)),"Taux de TVA inconnu",IF(COUNTIFS(po_num,A175,po_sup,"&lt;&gt;"&amp;C175)&gt;0,"Fournisseur différent sur ce bon",IF(COUNTIFS(po_num,A175,po_date,"&lt;&gt;"&amp;B175)&gt;0,"Date différente sur ce bon",IF(COUNTIF(po_num,A175)&gt;25,"Plus de 25 lignes sur ce bon",IF(R175="","Date de livraison manquante",IF(R175&lt;B175,"Livraison avant la commande",IF(AND(N(T175)&gt;0,N(S175)=0),"Date d'envoi manquante",IF(N(T175)&gt;N(H175),"Reçu plus que commandé",IF(AND(N(T175)&gt;0,N(U175)=0),"Date de réception manquante",IF(AND(N(U175)&gt;0,U175&lt;B175),"Réception avant la commande","OK")))))))))))))))))))))</f>
        <v/>
      </c>
      <c r="AA175" s="66" t="str">
        <f>IF(AND(X175="Reçu",ISNUMBER(R175)),IF(N(U175)&lt;=R175,1,0),"")</f>
        <v/>
      </c>
      <c r="AB175" s="76" t="str">
        <f>IF(OR(X175="Envoyé",X175="Partiel",X175="En retard"),IF(ISNUMBER(R175),R175,100000)+ROW()/100000,"")</f>
        <v/>
      </c>
      <c r="AC175" s="66" t="str">
        <f>IF(A175="","",IF(COUNTIF($A$6:A175,A175)=1,1,""))</f>
        <v/>
      </c>
      <c r="AD175" s="66" t="str">
        <f>IF(AC175=1,COUNT($AC$6:AC175),"")</f>
        <v/>
      </c>
      <c r="AE175" s="66" t="str">
        <f>IFERROR(INDEX(po_num,MATCH(170,po_seq,0))&amp;"","")</f>
        <v/>
      </c>
      <c r="AF175" s="66" t="str">
        <f>IF(OR(A175="",p_po=""),"",IF(A175&amp;""=p_po,COUNTIF($A$6:A175,A175),""))</f>
        <v/>
      </c>
      <c r="AG175" s="66" t="str">
        <f>IF(OR(AB175="",A175=""),"",IF(COUNTIFS($A$6:A175,A175,$AB$6:AB175,"&gt;0")=1,1,""))</f>
        <v/>
      </c>
      <c r="AH175" s="70" t="str">
        <f>IF(AB175="","",ROUND(N(W175)*N(J175)*(1-N(K175)),2))</f>
        <v/>
      </c>
      <c r="AI175" s="70" t="str">
        <f>IF(OR(J175="",N(T175)&lt;=0,V175="Oui"),"",ROUND(N(T175)*J175*(1-N(K175)),2))</f>
        <v/>
      </c>
    </row>
    <row r="176">
      <c r="A176" s="63" t="n"/>
      <c r="B176" s="64" t="n"/>
      <c r="C176" s="65" t="n"/>
      <c r="D176" s="66" t="str">
        <f>IF(C176="","",IFERROR(INDEX(sup_name,MATCH($C176,sup_code,0))&amp;"","Fournisseur inconnu"))</f>
        <v/>
      </c>
      <c r="E176" s="63" t="n"/>
      <c r="F176" s="66" t="str">
        <f>IF(E176="","",IFERROR(INDEX(art_des,MATCH($E176,art_ref,0))&amp;"","Article inconnu"))</f>
        <v/>
      </c>
      <c r="G176" s="67" t="str">
        <f>IF(E176="","",IFERROR(INDEX(art_unit,MATCH($E176,art_ref,0))&amp;"",""))</f>
        <v/>
      </c>
      <c r="H176" s="68" t="n"/>
      <c r="I176" s="69" t="n"/>
      <c r="J176" s="70" t="str">
        <f>IF(E176="","",IF(ISNUMBER(I176),I176,IFERROR(IF(ISNUMBER(INDEX(art_price,MATCH($E176,art_ref,0))),INDEX(art_price,MATCH($E176,art_ref,0)),""),"")))</f>
        <v/>
      </c>
      <c r="K176" s="71" t="n"/>
      <c r="L176" s="72" t="n"/>
      <c r="M176" s="72" t="str">
        <f>IF(E176="","",IF(L176&lt;&gt;"",L176,IFERROR(IF(ISNUMBER(INDEX(art_tva,MATCH($E176,art_ref,0))),INDEX(art_tva,MATCH($E176,art_ref,0)),""),"")))</f>
        <v/>
      </c>
      <c r="N176" s="70" t="str">
        <f>IF(OR(E176="",J176=""),"",ROUND(N(H176)*J176*(1-N(K176)),2))</f>
        <v/>
      </c>
      <c r="O176" s="70" t="str">
        <f>IF(OR(N176="",NOT(ISNUMBER(M176))),"",ROUND(N176*M176,2))</f>
        <v/>
      </c>
      <c r="P176" s="70" t="str">
        <f>IF(N176="","",N176+N(O176))</f>
        <v/>
      </c>
      <c r="Q176" s="64" t="n"/>
      <c r="R176" s="73" t="str">
        <f>IF(N(Q176)&gt;0,Q176,IF(OR(N(B176)=0,ISNA(MATCH($C176,sup_code,0))),"",IF(ISNUMBER(INDEX(sup_delay,MATCH($C176,sup_code,0))),B176+INDEX(sup_delay,MATCH($C176,sup_code,0)),"")))</f>
        <v/>
      </c>
      <c r="S176" s="64" t="n"/>
      <c r="T176" s="68" t="n"/>
      <c r="U176" s="64" t="n"/>
      <c r="V176" s="65" t="n"/>
      <c r="W176" s="74" t="str">
        <f>IF(AND(A176="",E176=""),"",IF(V176="Oui",0,MAX(0,ROUND(N(H176)-N(T176),6))))</f>
        <v/>
      </c>
      <c r="X176" s="67" t="str">
        <f>IF(AND(A176="",E176=""),"",IF(V176="Oui","Annulé",IF(AND(N(H176)&gt;0,N(T176)&gt;=N(H176)),"Reçu",IF(N(S176)=0,"Brouillon",IF(AND(ISNUMBER(R176),R176&lt;p_today),"En retard",IF(N(T176)&gt;0,"Partiel","Envoyé"))))))</f>
        <v/>
      </c>
      <c r="Y176" s="75" t="str">
        <f>IF(X176="En retard",p_today-R176,IF(AND(X176="Reçu",ISNUMBER(R176)),MAX(0,N(U176)-R176),""))</f>
        <v/>
      </c>
      <c r="Z176" s="67" t="str">
        <f>IF(AND(A176="",E176=""),"",IF(A176="","N° de bon manquant",IF(N(B176)=0,"Date de commande manquante",IF(C176="","Fournisseur manquant",IF(ISNA(MATCH($C176,sup_code,0)),"Fournisseur inconnu",IF(E176="","Article manquant",IF(ISNA(MATCH($E176,art_ref,0)),"Article inconnu",IF(N(H176)&lt;=0,"Quantité invalide",IF(J176="","Prix manquant",IF(OR(N(K176)&lt;0,N(K176)&gt;=1),"Remise invalide",IF(M176="","TVA manquante",IF(ISNA(MATCH(M176,p_tva,0)),"Taux de TVA inconnu",IF(COUNTIFS(po_num,A176,po_sup,"&lt;&gt;"&amp;C176)&gt;0,"Fournisseur différent sur ce bon",IF(COUNTIFS(po_num,A176,po_date,"&lt;&gt;"&amp;B176)&gt;0,"Date différente sur ce bon",IF(COUNTIF(po_num,A176)&gt;25,"Plus de 25 lignes sur ce bon",IF(R176="","Date de livraison manquante",IF(R176&lt;B176,"Livraison avant la commande",IF(AND(N(T176)&gt;0,N(S176)=0),"Date d'envoi manquante",IF(N(T176)&gt;N(H176),"Reçu plus que commandé",IF(AND(N(T176)&gt;0,N(U176)=0),"Date de réception manquante",IF(AND(N(U176)&gt;0,U176&lt;B176),"Réception avant la commande","OK")))))))))))))))))))))</f>
        <v/>
      </c>
      <c r="AA176" s="66" t="str">
        <f>IF(AND(X176="Reçu",ISNUMBER(R176)),IF(N(U176)&lt;=R176,1,0),"")</f>
        <v/>
      </c>
      <c r="AB176" s="76" t="str">
        <f>IF(OR(X176="Envoyé",X176="Partiel",X176="En retard"),IF(ISNUMBER(R176),R176,100000)+ROW()/100000,"")</f>
        <v/>
      </c>
      <c r="AC176" s="66" t="str">
        <f>IF(A176="","",IF(COUNTIF($A$6:A176,A176)=1,1,""))</f>
        <v/>
      </c>
      <c r="AD176" s="66" t="str">
        <f>IF(AC176=1,COUNT($AC$6:AC176),"")</f>
        <v/>
      </c>
      <c r="AE176" s="66" t="str">
        <f>IFERROR(INDEX(po_num,MATCH(171,po_seq,0))&amp;"","")</f>
        <v/>
      </c>
      <c r="AF176" s="66" t="str">
        <f>IF(OR(A176="",p_po=""),"",IF(A176&amp;""=p_po,COUNTIF($A$6:A176,A176),""))</f>
        <v/>
      </c>
      <c r="AG176" s="66" t="str">
        <f>IF(OR(AB176="",A176=""),"",IF(COUNTIFS($A$6:A176,A176,$AB$6:AB176,"&gt;0")=1,1,""))</f>
        <v/>
      </c>
      <c r="AH176" s="70" t="str">
        <f>IF(AB176="","",ROUND(N(W176)*N(J176)*(1-N(K176)),2))</f>
        <v/>
      </c>
      <c r="AI176" s="70" t="str">
        <f>IF(OR(J176="",N(T176)&lt;=0,V176="Oui"),"",ROUND(N(T176)*J176*(1-N(K176)),2))</f>
        <v/>
      </c>
    </row>
    <row r="177">
      <c r="A177" s="63" t="n"/>
      <c r="B177" s="64" t="n"/>
      <c r="C177" s="65" t="n"/>
      <c r="D177" s="66" t="str">
        <f>IF(C177="","",IFERROR(INDEX(sup_name,MATCH($C177,sup_code,0))&amp;"","Fournisseur inconnu"))</f>
        <v/>
      </c>
      <c r="E177" s="63" t="n"/>
      <c r="F177" s="66" t="str">
        <f>IF(E177="","",IFERROR(INDEX(art_des,MATCH($E177,art_ref,0))&amp;"","Article inconnu"))</f>
        <v/>
      </c>
      <c r="G177" s="67" t="str">
        <f>IF(E177="","",IFERROR(INDEX(art_unit,MATCH($E177,art_ref,0))&amp;"",""))</f>
        <v/>
      </c>
      <c r="H177" s="68" t="n"/>
      <c r="I177" s="69" t="n"/>
      <c r="J177" s="70" t="str">
        <f>IF(E177="","",IF(ISNUMBER(I177),I177,IFERROR(IF(ISNUMBER(INDEX(art_price,MATCH($E177,art_ref,0))),INDEX(art_price,MATCH($E177,art_ref,0)),""),"")))</f>
        <v/>
      </c>
      <c r="K177" s="71" t="n"/>
      <c r="L177" s="72" t="n"/>
      <c r="M177" s="72" t="str">
        <f>IF(E177="","",IF(L177&lt;&gt;"",L177,IFERROR(IF(ISNUMBER(INDEX(art_tva,MATCH($E177,art_ref,0))),INDEX(art_tva,MATCH($E177,art_ref,0)),""),"")))</f>
        <v/>
      </c>
      <c r="N177" s="70" t="str">
        <f>IF(OR(E177="",J177=""),"",ROUND(N(H177)*J177*(1-N(K177)),2))</f>
        <v/>
      </c>
      <c r="O177" s="70" t="str">
        <f>IF(OR(N177="",NOT(ISNUMBER(M177))),"",ROUND(N177*M177,2))</f>
        <v/>
      </c>
      <c r="P177" s="70" t="str">
        <f>IF(N177="","",N177+N(O177))</f>
        <v/>
      </c>
      <c r="Q177" s="64" t="n"/>
      <c r="R177" s="73" t="str">
        <f>IF(N(Q177)&gt;0,Q177,IF(OR(N(B177)=0,ISNA(MATCH($C177,sup_code,0))),"",IF(ISNUMBER(INDEX(sup_delay,MATCH($C177,sup_code,0))),B177+INDEX(sup_delay,MATCH($C177,sup_code,0)),"")))</f>
        <v/>
      </c>
      <c r="S177" s="64" t="n"/>
      <c r="T177" s="68" t="n"/>
      <c r="U177" s="64" t="n"/>
      <c r="V177" s="65" t="n"/>
      <c r="W177" s="74" t="str">
        <f>IF(AND(A177="",E177=""),"",IF(V177="Oui",0,MAX(0,ROUND(N(H177)-N(T177),6))))</f>
        <v/>
      </c>
      <c r="X177" s="67" t="str">
        <f>IF(AND(A177="",E177=""),"",IF(V177="Oui","Annulé",IF(AND(N(H177)&gt;0,N(T177)&gt;=N(H177)),"Reçu",IF(N(S177)=0,"Brouillon",IF(AND(ISNUMBER(R177),R177&lt;p_today),"En retard",IF(N(T177)&gt;0,"Partiel","Envoyé"))))))</f>
        <v/>
      </c>
      <c r="Y177" s="75" t="str">
        <f>IF(X177="En retard",p_today-R177,IF(AND(X177="Reçu",ISNUMBER(R177)),MAX(0,N(U177)-R177),""))</f>
        <v/>
      </c>
      <c r="Z177" s="67" t="str">
        <f>IF(AND(A177="",E177=""),"",IF(A177="","N° de bon manquant",IF(N(B177)=0,"Date de commande manquante",IF(C177="","Fournisseur manquant",IF(ISNA(MATCH($C177,sup_code,0)),"Fournisseur inconnu",IF(E177="","Article manquant",IF(ISNA(MATCH($E177,art_ref,0)),"Article inconnu",IF(N(H177)&lt;=0,"Quantité invalide",IF(J177="","Prix manquant",IF(OR(N(K177)&lt;0,N(K177)&gt;=1),"Remise invalide",IF(M177="","TVA manquante",IF(ISNA(MATCH(M177,p_tva,0)),"Taux de TVA inconnu",IF(COUNTIFS(po_num,A177,po_sup,"&lt;&gt;"&amp;C177)&gt;0,"Fournisseur différent sur ce bon",IF(COUNTIFS(po_num,A177,po_date,"&lt;&gt;"&amp;B177)&gt;0,"Date différente sur ce bon",IF(COUNTIF(po_num,A177)&gt;25,"Plus de 25 lignes sur ce bon",IF(R177="","Date de livraison manquante",IF(R177&lt;B177,"Livraison avant la commande",IF(AND(N(T177)&gt;0,N(S177)=0),"Date d'envoi manquante",IF(N(T177)&gt;N(H177),"Reçu plus que commandé",IF(AND(N(T177)&gt;0,N(U177)=0),"Date de réception manquante",IF(AND(N(U177)&gt;0,U177&lt;B177),"Réception avant la commande","OK")))))))))))))))))))))</f>
        <v/>
      </c>
      <c r="AA177" s="66" t="str">
        <f>IF(AND(X177="Reçu",ISNUMBER(R177)),IF(N(U177)&lt;=R177,1,0),"")</f>
        <v/>
      </c>
      <c r="AB177" s="76" t="str">
        <f>IF(OR(X177="Envoyé",X177="Partiel",X177="En retard"),IF(ISNUMBER(R177),R177,100000)+ROW()/100000,"")</f>
        <v/>
      </c>
      <c r="AC177" s="66" t="str">
        <f>IF(A177="","",IF(COUNTIF($A$6:A177,A177)=1,1,""))</f>
        <v/>
      </c>
      <c r="AD177" s="66" t="str">
        <f>IF(AC177=1,COUNT($AC$6:AC177),"")</f>
        <v/>
      </c>
      <c r="AE177" s="66" t="str">
        <f>IFERROR(INDEX(po_num,MATCH(172,po_seq,0))&amp;"","")</f>
        <v/>
      </c>
      <c r="AF177" s="66" t="str">
        <f>IF(OR(A177="",p_po=""),"",IF(A177&amp;""=p_po,COUNTIF($A$6:A177,A177),""))</f>
        <v/>
      </c>
      <c r="AG177" s="66" t="str">
        <f>IF(OR(AB177="",A177=""),"",IF(COUNTIFS($A$6:A177,A177,$AB$6:AB177,"&gt;0")=1,1,""))</f>
        <v/>
      </c>
      <c r="AH177" s="70" t="str">
        <f>IF(AB177="","",ROUND(N(W177)*N(J177)*(1-N(K177)),2))</f>
        <v/>
      </c>
      <c r="AI177" s="70" t="str">
        <f>IF(OR(J177="",N(T177)&lt;=0,V177="Oui"),"",ROUND(N(T177)*J177*(1-N(K177)),2))</f>
        <v/>
      </c>
    </row>
    <row r="178">
      <c r="A178" s="63" t="n"/>
      <c r="B178" s="64" t="n"/>
      <c r="C178" s="65" t="n"/>
      <c r="D178" s="66" t="str">
        <f>IF(C178="","",IFERROR(INDEX(sup_name,MATCH($C178,sup_code,0))&amp;"","Fournisseur inconnu"))</f>
        <v/>
      </c>
      <c r="E178" s="63" t="n"/>
      <c r="F178" s="66" t="str">
        <f>IF(E178="","",IFERROR(INDEX(art_des,MATCH($E178,art_ref,0))&amp;"","Article inconnu"))</f>
        <v/>
      </c>
      <c r="G178" s="67" t="str">
        <f>IF(E178="","",IFERROR(INDEX(art_unit,MATCH($E178,art_ref,0))&amp;"",""))</f>
        <v/>
      </c>
      <c r="H178" s="68" t="n"/>
      <c r="I178" s="69" t="n"/>
      <c r="J178" s="70" t="str">
        <f>IF(E178="","",IF(ISNUMBER(I178),I178,IFERROR(IF(ISNUMBER(INDEX(art_price,MATCH($E178,art_ref,0))),INDEX(art_price,MATCH($E178,art_ref,0)),""),"")))</f>
        <v/>
      </c>
      <c r="K178" s="71" t="n"/>
      <c r="L178" s="72" t="n"/>
      <c r="M178" s="72" t="str">
        <f>IF(E178="","",IF(L178&lt;&gt;"",L178,IFERROR(IF(ISNUMBER(INDEX(art_tva,MATCH($E178,art_ref,0))),INDEX(art_tva,MATCH($E178,art_ref,0)),""),"")))</f>
        <v/>
      </c>
      <c r="N178" s="70" t="str">
        <f>IF(OR(E178="",J178=""),"",ROUND(N(H178)*J178*(1-N(K178)),2))</f>
        <v/>
      </c>
      <c r="O178" s="70" t="str">
        <f>IF(OR(N178="",NOT(ISNUMBER(M178))),"",ROUND(N178*M178,2))</f>
        <v/>
      </c>
      <c r="P178" s="70" t="str">
        <f>IF(N178="","",N178+N(O178))</f>
        <v/>
      </c>
      <c r="Q178" s="64" t="n"/>
      <c r="R178" s="73" t="str">
        <f>IF(N(Q178)&gt;0,Q178,IF(OR(N(B178)=0,ISNA(MATCH($C178,sup_code,0))),"",IF(ISNUMBER(INDEX(sup_delay,MATCH($C178,sup_code,0))),B178+INDEX(sup_delay,MATCH($C178,sup_code,0)),"")))</f>
        <v/>
      </c>
      <c r="S178" s="64" t="n"/>
      <c r="T178" s="68" t="n"/>
      <c r="U178" s="64" t="n"/>
      <c r="V178" s="65" t="n"/>
      <c r="W178" s="74" t="str">
        <f>IF(AND(A178="",E178=""),"",IF(V178="Oui",0,MAX(0,ROUND(N(H178)-N(T178),6))))</f>
        <v/>
      </c>
      <c r="X178" s="67" t="str">
        <f>IF(AND(A178="",E178=""),"",IF(V178="Oui","Annulé",IF(AND(N(H178)&gt;0,N(T178)&gt;=N(H178)),"Reçu",IF(N(S178)=0,"Brouillon",IF(AND(ISNUMBER(R178),R178&lt;p_today),"En retard",IF(N(T178)&gt;0,"Partiel","Envoyé"))))))</f>
        <v/>
      </c>
      <c r="Y178" s="75" t="str">
        <f>IF(X178="En retard",p_today-R178,IF(AND(X178="Reçu",ISNUMBER(R178)),MAX(0,N(U178)-R178),""))</f>
        <v/>
      </c>
      <c r="Z178" s="67" t="str">
        <f>IF(AND(A178="",E178=""),"",IF(A178="","N° de bon manquant",IF(N(B178)=0,"Date de commande manquante",IF(C178="","Fournisseur manquant",IF(ISNA(MATCH($C178,sup_code,0)),"Fournisseur inconnu",IF(E178="","Article manquant",IF(ISNA(MATCH($E178,art_ref,0)),"Article inconnu",IF(N(H178)&lt;=0,"Quantité invalide",IF(J178="","Prix manquant",IF(OR(N(K178)&lt;0,N(K178)&gt;=1),"Remise invalide",IF(M178="","TVA manquante",IF(ISNA(MATCH(M178,p_tva,0)),"Taux de TVA inconnu",IF(COUNTIFS(po_num,A178,po_sup,"&lt;&gt;"&amp;C178)&gt;0,"Fournisseur différent sur ce bon",IF(COUNTIFS(po_num,A178,po_date,"&lt;&gt;"&amp;B178)&gt;0,"Date différente sur ce bon",IF(COUNTIF(po_num,A178)&gt;25,"Plus de 25 lignes sur ce bon",IF(R178="","Date de livraison manquante",IF(R178&lt;B178,"Livraison avant la commande",IF(AND(N(T178)&gt;0,N(S178)=0),"Date d'envoi manquante",IF(N(T178)&gt;N(H178),"Reçu plus que commandé",IF(AND(N(T178)&gt;0,N(U178)=0),"Date de réception manquante",IF(AND(N(U178)&gt;0,U178&lt;B178),"Réception avant la commande","OK")))))))))))))))))))))</f>
        <v/>
      </c>
      <c r="AA178" s="66" t="str">
        <f>IF(AND(X178="Reçu",ISNUMBER(R178)),IF(N(U178)&lt;=R178,1,0),"")</f>
        <v/>
      </c>
      <c r="AB178" s="76" t="str">
        <f>IF(OR(X178="Envoyé",X178="Partiel",X178="En retard"),IF(ISNUMBER(R178),R178,100000)+ROW()/100000,"")</f>
        <v/>
      </c>
      <c r="AC178" s="66" t="str">
        <f>IF(A178="","",IF(COUNTIF($A$6:A178,A178)=1,1,""))</f>
        <v/>
      </c>
      <c r="AD178" s="66" t="str">
        <f>IF(AC178=1,COUNT($AC$6:AC178),"")</f>
        <v/>
      </c>
      <c r="AE178" s="66" t="str">
        <f>IFERROR(INDEX(po_num,MATCH(173,po_seq,0))&amp;"","")</f>
        <v/>
      </c>
      <c r="AF178" s="66" t="str">
        <f>IF(OR(A178="",p_po=""),"",IF(A178&amp;""=p_po,COUNTIF($A$6:A178,A178),""))</f>
        <v/>
      </c>
      <c r="AG178" s="66" t="str">
        <f>IF(OR(AB178="",A178=""),"",IF(COUNTIFS($A$6:A178,A178,$AB$6:AB178,"&gt;0")=1,1,""))</f>
        <v/>
      </c>
      <c r="AH178" s="70" t="str">
        <f>IF(AB178="","",ROUND(N(W178)*N(J178)*(1-N(K178)),2))</f>
        <v/>
      </c>
      <c r="AI178" s="70" t="str">
        <f>IF(OR(J178="",N(T178)&lt;=0,V178="Oui"),"",ROUND(N(T178)*J178*(1-N(K178)),2))</f>
        <v/>
      </c>
    </row>
    <row r="179">
      <c r="A179" s="63" t="n"/>
      <c r="B179" s="64" t="n"/>
      <c r="C179" s="65" t="n"/>
      <c r="D179" s="66" t="str">
        <f>IF(C179="","",IFERROR(INDEX(sup_name,MATCH($C179,sup_code,0))&amp;"","Fournisseur inconnu"))</f>
        <v/>
      </c>
      <c r="E179" s="63" t="n"/>
      <c r="F179" s="66" t="str">
        <f>IF(E179="","",IFERROR(INDEX(art_des,MATCH($E179,art_ref,0))&amp;"","Article inconnu"))</f>
        <v/>
      </c>
      <c r="G179" s="67" t="str">
        <f>IF(E179="","",IFERROR(INDEX(art_unit,MATCH($E179,art_ref,0))&amp;"",""))</f>
        <v/>
      </c>
      <c r="H179" s="68" t="n"/>
      <c r="I179" s="69" t="n"/>
      <c r="J179" s="70" t="str">
        <f>IF(E179="","",IF(ISNUMBER(I179),I179,IFERROR(IF(ISNUMBER(INDEX(art_price,MATCH($E179,art_ref,0))),INDEX(art_price,MATCH($E179,art_ref,0)),""),"")))</f>
        <v/>
      </c>
      <c r="K179" s="71" t="n"/>
      <c r="L179" s="72" t="n"/>
      <c r="M179" s="72" t="str">
        <f>IF(E179="","",IF(L179&lt;&gt;"",L179,IFERROR(IF(ISNUMBER(INDEX(art_tva,MATCH($E179,art_ref,0))),INDEX(art_tva,MATCH($E179,art_ref,0)),""),"")))</f>
        <v/>
      </c>
      <c r="N179" s="70" t="str">
        <f>IF(OR(E179="",J179=""),"",ROUND(N(H179)*J179*(1-N(K179)),2))</f>
        <v/>
      </c>
      <c r="O179" s="70" t="str">
        <f>IF(OR(N179="",NOT(ISNUMBER(M179))),"",ROUND(N179*M179,2))</f>
        <v/>
      </c>
      <c r="P179" s="70" t="str">
        <f>IF(N179="","",N179+N(O179))</f>
        <v/>
      </c>
      <c r="Q179" s="64" t="n"/>
      <c r="R179" s="73" t="str">
        <f>IF(N(Q179)&gt;0,Q179,IF(OR(N(B179)=0,ISNA(MATCH($C179,sup_code,0))),"",IF(ISNUMBER(INDEX(sup_delay,MATCH($C179,sup_code,0))),B179+INDEX(sup_delay,MATCH($C179,sup_code,0)),"")))</f>
        <v/>
      </c>
      <c r="S179" s="64" t="n"/>
      <c r="T179" s="68" t="n"/>
      <c r="U179" s="64" t="n"/>
      <c r="V179" s="65" t="n"/>
      <c r="W179" s="74" t="str">
        <f>IF(AND(A179="",E179=""),"",IF(V179="Oui",0,MAX(0,ROUND(N(H179)-N(T179),6))))</f>
        <v/>
      </c>
      <c r="X179" s="67" t="str">
        <f>IF(AND(A179="",E179=""),"",IF(V179="Oui","Annulé",IF(AND(N(H179)&gt;0,N(T179)&gt;=N(H179)),"Reçu",IF(N(S179)=0,"Brouillon",IF(AND(ISNUMBER(R179),R179&lt;p_today),"En retard",IF(N(T179)&gt;0,"Partiel","Envoyé"))))))</f>
        <v/>
      </c>
      <c r="Y179" s="75" t="str">
        <f>IF(X179="En retard",p_today-R179,IF(AND(X179="Reçu",ISNUMBER(R179)),MAX(0,N(U179)-R179),""))</f>
        <v/>
      </c>
      <c r="Z179" s="67" t="str">
        <f>IF(AND(A179="",E179=""),"",IF(A179="","N° de bon manquant",IF(N(B179)=0,"Date de commande manquante",IF(C179="","Fournisseur manquant",IF(ISNA(MATCH($C179,sup_code,0)),"Fournisseur inconnu",IF(E179="","Article manquant",IF(ISNA(MATCH($E179,art_ref,0)),"Article inconnu",IF(N(H179)&lt;=0,"Quantité invalide",IF(J179="","Prix manquant",IF(OR(N(K179)&lt;0,N(K179)&gt;=1),"Remise invalide",IF(M179="","TVA manquante",IF(ISNA(MATCH(M179,p_tva,0)),"Taux de TVA inconnu",IF(COUNTIFS(po_num,A179,po_sup,"&lt;&gt;"&amp;C179)&gt;0,"Fournisseur différent sur ce bon",IF(COUNTIFS(po_num,A179,po_date,"&lt;&gt;"&amp;B179)&gt;0,"Date différente sur ce bon",IF(COUNTIF(po_num,A179)&gt;25,"Plus de 25 lignes sur ce bon",IF(R179="","Date de livraison manquante",IF(R179&lt;B179,"Livraison avant la commande",IF(AND(N(T179)&gt;0,N(S179)=0),"Date d'envoi manquante",IF(N(T179)&gt;N(H179),"Reçu plus que commandé",IF(AND(N(T179)&gt;0,N(U179)=0),"Date de réception manquante",IF(AND(N(U179)&gt;0,U179&lt;B179),"Réception avant la commande","OK")))))))))))))))))))))</f>
        <v/>
      </c>
      <c r="AA179" s="66" t="str">
        <f>IF(AND(X179="Reçu",ISNUMBER(R179)),IF(N(U179)&lt;=R179,1,0),"")</f>
        <v/>
      </c>
      <c r="AB179" s="76" t="str">
        <f>IF(OR(X179="Envoyé",X179="Partiel",X179="En retard"),IF(ISNUMBER(R179),R179,100000)+ROW()/100000,"")</f>
        <v/>
      </c>
      <c r="AC179" s="66" t="str">
        <f>IF(A179="","",IF(COUNTIF($A$6:A179,A179)=1,1,""))</f>
        <v/>
      </c>
      <c r="AD179" s="66" t="str">
        <f>IF(AC179=1,COUNT($AC$6:AC179),"")</f>
        <v/>
      </c>
      <c r="AE179" s="66" t="str">
        <f>IFERROR(INDEX(po_num,MATCH(174,po_seq,0))&amp;"","")</f>
        <v/>
      </c>
      <c r="AF179" s="66" t="str">
        <f>IF(OR(A179="",p_po=""),"",IF(A179&amp;""=p_po,COUNTIF($A$6:A179,A179),""))</f>
        <v/>
      </c>
      <c r="AG179" s="66" t="str">
        <f>IF(OR(AB179="",A179=""),"",IF(COUNTIFS($A$6:A179,A179,$AB$6:AB179,"&gt;0")=1,1,""))</f>
        <v/>
      </c>
      <c r="AH179" s="70" t="str">
        <f>IF(AB179="","",ROUND(N(W179)*N(J179)*(1-N(K179)),2))</f>
        <v/>
      </c>
      <c r="AI179" s="70" t="str">
        <f>IF(OR(J179="",N(T179)&lt;=0,V179="Oui"),"",ROUND(N(T179)*J179*(1-N(K179)),2))</f>
        <v/>
      </c>
    </row>
    <row r="180">
      <c r="A180" s="63" t="n"/>
      <c r="B180" s="64" t="n"/>
      <c r="C180" s="65" t="n"/>
      <c r="D180" s="66" t="str">
        <f>IF(C180="","",IFERROR(INDEX(sup_name,MATCH($C180,sup_code,0))&amp;"","Fournisseur inconnu"))</f>
        <v/>
      </c>
      <c r="E180" s="63" t="n"/>
      <c r="F180" s="66" t="str">
        <f>IF(E180="","",IFERROR(INDEX(art_des,MATCH($E180,art_ref,0))&amp;"","Article inconnu"))</f>
        <v/>
      </c>
      <c r="G180" s="67" t="str">
        <f>IF(E180="","",IFERROR(INDEX(art_unit,MATCH($E180,art_ref,0))&amp;"",""))</f>
        <v/>
      </c>
      <c r="H180" s="68" t="n"/>
      <c r="I180" s="69" t="n"/>
      <c r="J180" s="70" t="str">
        <f>IF(E180="","",IF(ISNUMBER(I180),I180,IFERROR(IF(ISNUMBER(INDEX(art_price,MATCH($E180,art_ref,0))),INDEX(art_price,MATCH($E180,art_ref,0)),""),"")))</f>
        <v/>
      </c>
      <c r="K180" s="71" t="n"/>
      <c r="L180" s="72" t="n"/>
      <c r="M180" s="72" t="str">
        <f>IF(E180="","",IF(L180&lt;&gt;"",L180,IFERROR(IF(ISNUMBER(INDEX(art_tva,MATCH($E180,art_ref,0))),INDEX(art_tva,MATCH($E180,art_ref,0)),""),"")))</f>
        <v/>
      </c>
      <c r="N180" s="70" t="str">
        <f>IF(OR(E180="",J180=""),"",ROUND(N(H180)*J180*(1-N(K180)),2))</f>
        <v/>
      </c>
      <c r="O180" s="70" t="str">
        <f>IF(OR(N180="",NOT(ISNUMBER(M180))),"",ROUND(N180*M180,2))</f>
        <v/>
      </c>
      <c r="P180" s="70" t="str">
        <f>IF(N180="","",N180+N(O180))</f>
        <v/>
      </c>
      <c r="Q180" s="64" t="n"/>
      <c r="R180" s="73" t="str">
        <f>IF(N(Q180)&gt;0,Q180,IF(OR(N(B180)=0,ISNA(MATCH($C180,sup_code,0))),"",IF(ISNUMBER(INDEX(sup_delay,MATCH($C180,sup_code,0))),B180+INDEX(sup_delay,MATCH($C180,sup_code,0)),"")))</f>
        <v/>
      </c>
      <c r="S180" s="64" t="n"/>
      <c r="T180" s="68" t="n"/>
      <c r="U180" s="64" t="n"/>
      <c r="V180" s="65" t="n"/>
      <c r="W180" s="74" t="str">
        <f>IF(AND(A180="",E180=""),"",IF(V180="Oui",0,MAX(0,ROUND(N(H180)-N(T180),6))))</f>
        <v/>
      </c>
      <c r="X180" s="67" t="str">
        <f>IF(AND(A180="",E180=""),"",IF(V180="Oui","Annulé",IF(AND(N(H180)&gt;0,N(T180)&gt;=N(H180)),"Reçu",IF(N(S180)=0,"Brouillon",IF(AND(ISNUMBER(R180),R180&lt;p_today),"En retard",IF(N(T180)&gt;0,"Partiel","Envoyé"))))))</f>
        <v/>
      </c>
      <c r="Y180" s="75" t="str">
        <f>IF(X180="En retard",p_today-R180,IF(AND(X180="Reçu",ISNUMBER(R180)),MAX(0,N(U180)-R180),""))</f>
        <v/>
      </c>
      <c r="Z180" s="67" t="str">
        <f>IF(AND(A180="",E180=""),"",IF(A180="","N° de bon manquant",IF(N(B180)=0,"Date de commande manquante",IF(C180="","Fournisseur manquant",IF(ISNA(MATCH($C180,sup_code,0)),"Fournisseur inconnu",IF(E180="","Article manquant",IF(ISNA(MATCH($E180,art_ref,0)),"Article inconnu",IF(N(H180)&lt;=0,"Quantité invalide",IF(J180="","Prix manquant",IF(OR(N(K180)&lt;0,N(K180)&gt;=1),"Remise invalide",IF(M180="","TVA manquante",IF(ISNA(MATCH(M180,p_tva,0)),"Taux de TVA inconnu",IF(COUNTIFS(po_num,A180,po_sup,"&lt;&gt;"&amp;C180)&gt;0,"Fournisseur différent sur ce bon",IF(COUNTIFS(po_num,A180,po_date,"&lt;&gt;"&amp;B180)&gt;0,"Date différente sur ce bon",IF(COUNTIF(po_num,A180)&gt;25,"Plus de 25 lignes sur ce bon",IF(R180="","Date de livraison manquante",IF(R180&lt;B180,"Livraison avant la commande",IF(AND(N(T180)&gt;0,N(S180)=0),"Date d'envoi manquante",IF(N(T180)&gt;N(H180),"Reçu plus que commandé",IF(AND(N(T180)&gt;0,N(U180)=0),"Date de réception manquante",IF(AND(N(U180)&gt;0,U180&lt;B180),"Réception avant la commande","OK")))))))))))))))))))))</f>
        <v/>
      </c>
      <c r="AA180" s="66" t="str">
        <f>IF(AND(X180="Reçu",ISNUMBER(R180)),IF(N(U180)&lt;=R180,1,0),"")</f>
        <v/>
      </c>
      <c r="AB180" s="76" t="str">
        <f>IF(OR(X180="Envoyé",X180="Partiel",X180="En retard"),IF(ISNUMBER(R180),R180,100000)+ROW()/100000,"")</f>
        <v/>
      </c>
      <c r="AC180" s="66" t="str">
        <f>IF(A180="","",IF(COUNTIF($A$6:A180,A180)=1,1,""))</f>
        <v/>
      </c>
      <c r="AD180" s="66" t="str">
        <f>IF(AC180=1,COUNT($AC$6:AC180),"")</f>
        <v/>
      </c>
      <c r="AE180" s="66" t="str">
        <f>IFERROR(INDEX(po_num,MATCH(175,po_seq,0))&amp;"","")</f>
        <v/>
      </c>
      <c r="AF180" s="66" t="str">
        <f>IF(OR(A180="",p_po=""),"",IF(A180&amp;""=p_po,COUNTIF($A$6:A180,A180),""))</f>
        <v/>
      </c>
      <c r="AG180" s="66" t="str">
        <f>IF(OR(AB180="",A180=""),"",IF(COUNTIFS($A$6:A180,A180,$AB$6:AB180,"&gt;0")=1,1,""))</f>
        <v/>
      </c>
      <c r="AH180" s="70" t="str">
        <f>IF(AB180="","",ROUND(N(W180)*N(J180)*(1-N(K180)),2))</f>
        <v/>
      </c>
      <c r="AI180" s="70" t="str">
        <f>IF(OR(J180="",N(T180)&lt;=0,V180="Oui"),"",ROUND(N(T180)*J180*(1-N(K180)),2))</f>
        <v/>
      </c>
    </row>
    <row r="181">
      <c r="A181" s="63" t="n"/>
      <c r="B181" s="64" t="n"/>
      <c r="C181" s="65" t="n"/>
      <c r="D181" s="66" t="str">
        <f>IF(C181="","",IFERROR(INDEX(sup_name,MATCH($C181,sup_code,0))&amp;"","Fournisseur inconnu"))</f>
        <v/>
      </c>
      <c r="E181" s="63" t="n"/>
      <c r="F181" s="66" t="str">
        <f>IF(E181="","",IFERROR(INDEX(art_des,MATCH($E181,art_ref,0))&amp;"","Article inconnu"))</f>
        <v/>
      </c>
      <c r="G181" s="67" t="str">
        <f>IF(E181="","",IFERROR(INDEX(art_unit,MATCH($E181,art_ref,0))&amp;"",""))</f>
        <v/>
      </c>
      <c r="H181" s="68" t="n"/>
      <c r="I181" s="69" t="n"/>
      <c r="J181" s="70" t="str">
        <f>IF(E181="","",IF(ISNUMBER(I181),I181,IFERROR(IF(ISNUMBER(INDEX(art_price,MATCH($E181,art_ref,0))),INDEX(art_price,MATCH($E181,art_ref,0)),""),"")))</f>
        <v/>
      </c>
      <c r="K181" s="71" t="n"/>
      <c r="L181" s="72" t="n"/>
      <c r="M181" s="72" t="str">
        <f>IF(E181="","",IF(L181&lt;&gt;"",L181,IFERROR(IF(ISNUMBER(INDEX(art_tva,MATCH($E181,art_ref,0))),INDEX(art_tva,MATCH($E181,art_ref,0)),""),"")))</f>
        <v/>
      </c>
      <c r="N181" s="70" t="str">
        <f>IF(OR(E181="",J181=""),"",ROUND(N(H181)*J181*(1-N(K181)),2))</f>
        <v/>
      </c>
      <c r="O181" s="70" t="str">
        <f>IF(OR(N181="",NOT(ISNUMBER(M181))),"",ROUND(N181*M181,2))</f>
        <v/>
      </c>
      <c r="P181" s="70" t="str">
        <f>IF(N181="","",N181+N(O181))</f>
        <v/>
      </c>
      <c r="Q181" s="64" t="n"/>
      <c r="R181" s="73" t="str">
        <f>IF(N(Q181)&gt;0,Q181,IF(OR(N(B181)=0,ISNA(MATCH($C181,sup_code,0))),"",IF(ISNUMBER(INDEX(sup_delay,MATCH($C181,sup_code,0))),B181+INDEX(sup_delay,MATCH($C181,sup_code,0)),"")))</f>
        <v/>
      </c>
      <c r="S181" s="64" t="n"/>
      <c r="T181" s="68" t="n"/>
      <c r="U181" s="64" t="n"/>
      <c r="V181" s="65" t="n"/>
      <c r="W181" s="74" t="str">
        <f>IF(AND(A181="",E181=""),"",IF(V181="Oui",0,MAX(0,ROUND(N(H181)-N(T181),6))))</f>
        <v/>
      </c>
      <c r="X181" s="67" t="str">
        <f>IF(AND(A181="",E181=""),"",IF(V181="Oui","Annulé",IF(AND(N(H181)&gt;0,N(T181)&gt;=N(H181)),"Reçu",IF(N(S181)=0,"Brouillon",IF(AND(ISNUMBER(R181),R181&lt;p_today),"En retard",IF(N(T181)&gt;0,"Partiel","Envoyé"))))))</f>
        <v/>
      </c>
      <c r="Y181" s="75" t="str">
        <f>IF(X181="En retard",p_today-R181,IF(AND(X181="Reçu",ISNUMBER(R181)),MAX(0,N(U181)-R181),""))</f>
        <v/>
      </c>
      <c r="Z181" s="67" t="str">
        <f>IF(AND(A181="",E181=""),"",IF(A181="","N° de bon manquant",IF(N(B181)=0,"Date de commande manquante",IF(C181="","Fournisseur manquant",IF(ISNA(MATCH($C181,sup_code,0)),"Fournisseur inconnu",IF(E181="","Article manquant",IF(ISNA(MATCH($E181,art_ref,0)),"Article inconnu",IF(N(H181)&lt;=0,"Quantité invalide",IF(J181="","Prix manquant",IF(OR(N(K181)&lt;0,N(K181)&gt;=1),"Remise invalide",IF(M181="","TVA manquante",IF(ISNA(MATCH(M181,p_tva,0)),"Taux de TVA inconnu",IF(COUNTIFS(po_num,A181,po_sup,"&lt;&gt;"&amp;C181)&gt;0,"Fournisseur différent sur ce bon",IF(COUNTIFS(po_num,A181,po_date,"&lt;&gt;"&amp;B181)&gt;0,"Date différente sur ce bon",IF(COUNTIF(po_num,A181)&gt;25,"Plus de 25 lignes sur ce bon",IF(R181="","Date de livraison manquante",IF(R181&lt;B181,"Livraison avant la commande",IF(AND(N(T181)&gt;0,N(S181)=0),"Date d'envoi manquante",IF(N(T181)&gt;N(H181),"Reçu plus que commandé",IF(AND(N(T181)&gt;0,N(U181)=0),"Date de réception manquante",IF(AND(N(U181)&gt;0,U181&lt;B181),"Réception avant la commande","OK")))))))))))))))))))))</f>
        <v/>
      </c>
      <c r="AA181" s="66" t="str">
        <f>IF(AND(X181="Reçu",ISNUMBER(R181)),IF(N(U181)&lt;=R181,1,0),"")</f>
        <v/>
      </c>
      <c r="AB181" s="76" t="str">
        <f>IF(OR(X181="Envoyé",X181="Partiel",X181="En retard"),IF(ISNUMBER(R181),R181,100000)+ROW()/100000,"")</f>
        <v/>
      </c>
      <c r="AC181" s="66" t="str">
        <f>IF(A181="","",IF(COUNTIF($A$6:A181,A181)=1,1,""))</f>
        <v/>
      </c>
      <c r="AD181" s="66" t="str">
        <f>IF(AC181=1,COUNT($AC$6:AC181),"")</f>
        <v/>
      </c>
      <c r="AE181" s="66" t="str">
        <f>IFERROR(INDEX(po_num,MATCH(176,po_seq,0))&amp;"","")</f>
        <v/>
      </c>
      <c r="AF181" s="66" t="str">
        <f>IF(OR(A181="",p_po=""),"",IF(A181&amp;""=p_po,COUNTIF($A$6:A181,A181),""))</f>
        <v/>
      </c>
      <c r="AG181" s="66" t="str">
        <f>IF(OR(AB181="",A181=""),"",IF(COUNTIFS($A$6:A181,A181,$AB$6:AB181,"&gt;0")=1,1,""))</f>
        <v/>
      </c>
      <c r="AH181" s="70" t="str">
        <f>IF(AB181="","",ROUND(N(W181)*N(J181)*(1-N(K181)),2))</f>
        <v/>
      </c>
      <c r="AI181" s="70" t="str">
        <f>IF(OR(J181="",N(T181)&lt;=0,V181="Oui"),"",ROUND(N(T181)*J181*(1-N(K181)),2))</f>
        <v/>
      </c>
    </row>
    <row r="182">
      <c r="A182" s="63" t="n"/>
      <c r="B182" s="64" t="n"/>
      <c r="C182" s="65" t="n"/>
      <c r="D182" s="66" t="str">
        <f>IF(C182="","",IFERROR(INDEX(sup_name,MATCH($C182,sup_code,0))&amp;"","Fournisseur inconnu"))</f>
        <v/>
      </c>
      <c r="E182" s="63" t="n"/>
      <c r="F182" s="66" t="str">
        <f>IF(E182="","",IFERROR(INDEX(art_des,MATCH($E182,art_ref,0))&amp;"","Article inconnu"))</f>
        <v/>
      </c>
      <c r="G182" s="67" t="str">
        <f>IF(E182="","",IFERROR(INDEX(art_unit,MATCH($E182,art_ref,0))&amp;"",""))</f>
        <v/>
      </c>
      <c r="H182" s="68" t="n"/>
      <c r="I182" s="69" t="n"/>
      <c r="J182" s="70" t="str">
        <f>IF(E182="","",IF(ISNUMBER(I182),I182,IFERROR(IF(ISNUMBER(INDEX(art_price,MATCH($E182,art_ref,0))),INDEX(art_price,MATCH($E182,art_ref,0)),""),"")))</f>
        <v/>
      </c>
      <c r="K182" s="71" t="n"/>
      <c r="L182" s="72" t="n"/>
      <c r="M182" s="72" t="str">
        <f>IF(E182="","",IF(L182&lt;&gt;"",L182,IFERROR(IF(ISNUMBER(INDEX(art_tva,MATCH($E182,art_ref,0))),INDEX(art_tva,MATCH($E182,art_ref,0)),""),"")))</f>
        <v/>
      </c>
      <c r="N182" s="70" t="str">
        <f>IF(OR(E182="",J182=""),"",ROUND(N(H182)*J182*(1-N(K182)),2))</f>
        <v/>
      </c>
      <c r="O182" s="70" t="str">
        <f>IF(OR(N182="",NOT(ISNUMBER(M182))),"",ROUND(N182*M182,2))</f>
        <v/>
      </c>
      <c r="P182" s="70" t="str">
        <f>IF(N182="","",N182+N(O182))</f>
        <v/>
      </c>
      <c r="Q182" s="64" t="n"/>
      <c r="R182" s="73" t="str">
        <f>IF(N(Q182)&gt;0,Q182,IF(OR(N(B182)=0,ISNA(MATCH($C182,sup_code,0))),"",IF(ISNUMBER(INDEX(sup_delay,MATCH($C182,sup_code,0))),B182+INDEX(sup_delay,MATCH($C182,sup_code,0)),"")))</f>
        <v/>
      </c>
      <c r="S182" s="64" t="n"/>
      <c r="T182" s="68" t="n"/>
      <c r="U182" s="64" t="n"/>
      <c r="V182" s="65" t="n"/>
      <c r="W182" s="74" t="str">
        <f>IF(AND(A182="",E182=""),"",IF(V182="Oui",0,MAX(0,ROUND(N(H182)-N(T182),6))))</f>
        <v/>
      </c>
      <c r="X182" s="67" t="str">
        <f>IF(AND(A182="",E182=""),"",IF(V182="Oui","Annulé",IF(AND(N(H182)&gt;0,N(T182)&gt;=N(H182)),"Reçu",IF(N(S182)=0,"Brouillon",IF(AND(ISNUMBER(R182),R182&lt;p_today),"En retard",IF(N(T182)&gt;0,"Partiel","Envoyé"))))))</f>
        <v/>
      </c>
      <c r="Y182" s="75" t="str">
        <f>IF(X182="En retard",p_today-R182,IF(AND(X182="Reçu",ISNUMBER(R182)),MAX(0,N(U182)-R182),""))</f>
        <v/>
      </c>
      <c r="Z182" s="67" t="str">
        <f>IF(AND(A182="",E182=""),"",IF(A182="","N° de bon manquant",IF(N(B182)=0,"Date de commande manquante",IF(C182="","Fournisseur manquant",IF(ISNA(MATCH($C182,sup_code,0)),"Fournisseur inconnu",IF(E182="","Article manquant",IF(ISNA(MATCH($E182,art_ref,0)),"Article inconnu",IF(N(H182)&lt;=0,"Quantité invalide",IF(J182="","Prix manquant",IF(OR(N(K182)&lt;0,N(K182)&gt;=1),"Remise invalide",IF(M182="","TVA manquante",IF(ISNA(MATCH(M182,p_tva,0)),"Taux de TVA inconnu",IF(COUNTIFS(po_num,A182,po_sup,"&lt;&gt;"&amp;C182)&gt;0,"Fournisseur différent sur ce bon",IF(COUNTIFS(po_num,A182,po_date,"&lt;&gt;"&amp;B182)&gt;0,"Date différente sur ce bon",IF(COUNTIF(po_num,A182)&gt;25,"Plus de 25 lignes sur ce bon",IF(R182="","Date de livraison manquante",IF(R182&lt;B182,"Livraison avant la commande",IF(AND(N(T182)&gt;0,N(S182)=0),"Date d'envoi manquante",IF(N(T182)&gt;N(H182),"Reçu plus que commandé",IF(AND(N(T182)&gt;0,N(U182)=0),"Date de réception manquante",IF(AND(N(U182)&gt;0,U182&lt;B182),"Réception avant la commande","OK")))))))))))))))))))))</f>
        <v/>
      </c>
      <c r="AA182" s="66" t="str">
        <f>IF(AND(X182="Reçu",ISNUMBER(R182)),IF(N(U182)&lt;=R182,1,0),"")</f>
        <v/>
      </c>
      <c r="AB182" s="76" t="str">
        <f>IF(OR(X182="Envoyé",X182="Partiel",X182="En retard"),IF(ISNUMBER(R182),R182,100000)+ROW()/100000,"")</f>
        <v/>
      </c>
      <c r="AC182" s="66" t="str">
        <f>IF(A182="","",IF(COUNTIF($A$6:A182,A182)=1,1,""))</f>
        <v/>
      </c>
      <c r="AD182" s="66" t="str">
        <f>IF(AC182=1,COUNT($AC$6:AC182),"")</f>
        <v/>
      </c>
      <c r="AE182" s="66" t="str">
        <f>IFERROR(INDEX(po_num,MATCH(177,po_seq,0))&amp;"","")</f>
        <v/>
      </c>
      <c r="AF182" s="66" t="str">
        <f>IF(OR(A182="",p_po=""),"",IF(A182&amp;""=p_po,COUNTIF($A$6:A182,A182),""))</f>
        <v/>
      </c>
      <c r="AG182" s="66" t="str">
        <f>IF(OR(AB182="",A182=""),"",IF(COUNTIFS($A$6:A182,A182,$AB$6:AB182,"&gt;0")=1,1,""))</f>
        <v/>
      </c>
      <c r="AH182" s="70" t="str">
        <f>IF(AB182="","",ROUND(N(W182)*N(J182)*(1-N(K182)),2))</f>
        <v/>
      </c>
      <c r="AI182" s="70" t="str">
        <f>IF(OR(J182="",N(T182)&lt;=0,V182="Oui"),"",ROUND(N(T182)*J182*(1-N(K182)),2))</f>
        <v/>
      </c>
    </row>
    <row r="183">
      <c r="A183" s="63" t="n"/>
      <c r="B183" s="64" t="n"/>
      <c r="C183" s="65" t="n"/>
      <c r="D183" s="66" t="str">
        <f>IF(C183="","",IFERROR(INDEX(sup_name,MATCH($C183,sup_code,0))&amp;"","Fournisseur inconnu"))</f>
        <v/>
      </c>
      <c r="E183" s="63" t="n"/>
      <c r="F183" s="66" t="str">
        <f>IF(E183="","",IFERROR(INDEX(art_des,MATCH($E183,art_ref,0))&amp;"","Article inconnu"))</f>
        <v/>
      </c>
      <c r="G183" s="67" t="str">
        <f>IF(E183="","",IFERROR(INDEX(art_unit,MATCH($E183,art_ref,0))&amp;"",""))</f>
        <v/>
      </c>
      <c r="H183" s="68" t="n"/>
      <c r="I183" s="69" t="n"/>
      <c r="J183" s="70" t="str">
        <f>IF(E183="","",IF(ISNUMBER(I183),I183,IFERROR(IF(ISNUMBER(INDEX(art_price,MATCH($E183,art_ref,0))),INDEX(art_price,MATCH($E183,art_ref,0)),""),"")))</f>
        <v/>
      </c>
      <c r="K183" s="71" t="n"/>
      <c r="L183" s="72" t="n"/>
      <c r="M183" s="72" t="str">
        <f>IF(E183="","",IF(L183&lt;&gt;"",L183,IFERROR(IF(ISNUMBER(INDEX(art_tva,MATCH($E183,art_ref,0))),INDEX(art_tva,MATCH($E183,art_ref,0)),""),"")))</f>
        <v/>
      </c>
      <c r="N183" s="70" t="str">
        <f>IF(OR(E183="",J183=""),"",ROUND(N(H183)*J183*(1-N(K183)),2))</f>
        <v/>
      </c>
      <c r="O183" s="70" t="str">
        <f>IF(OR(N183="",NOT(ISNUMBER(M183))),"",ROUND(N183*M183,2))</f>
        <v/>
      </c>
      <c r="P183" s="70" t="str">
        <f>IF(N183="","",N183+N(O183))</f>
        <v/>
      </c>
      <c r="Q183" s="64" t="n"/>
      <c r="R183" s="73" t="str">
        <f>IF(N(Q183)&gt;0,Q183,IF(OR(N(B183)=0,ISNA(MATCH($C183,sup_code,0))),"",IF(ISNUMBER(INDEX(sup_delay,MATCH($C183,sup_code,0))),B183+INDEX(sup_delay,MATCH($C183,sup_code,0)),"")))</f>
        <v/>
      </c>
      <c r="S183" s="64" t="n"/>
      <c r="T183" s="68" t="n"/>
      <c r="U183" s="64" t="n"/>
      <c r="V183" s="65" t="n"/>
      <c r="W183" s="74" t="str">
        <f>IF(AND(A183="",E183=""),"",IF(V183="Oui",0,MAX(0,ROUND(N(H183)-N(T183),6))))</f>
        <v/>
      </c>
      <c r="X183" s="67" t="str">
        <f>IF(AND(A183="",E183=""),"",IF(V183="Oui","Annulé",IF(AND(N(H183)&gt;0,N(T183)&gt;=N(H183)),"Reçu",IF(N(S183)=0,"Brouillon",IF(AND(ISNUMBER(R183),R183&lt;p_today),"En retard",IF(N(T183)&gt;0,"Partiel","Envoyé"))))))</f>
        <v/>
      </c>
      <c r="Y183" s="75" t="str">
        <f>IF(X183="En retard",p_today-R183,IF(AND(X183="Reçu",ISNUMBER(R183)),MAX(0,N(U183)-R183),""))</f>
        <v/>
      </c>
      <c r="Z183" s="67" t="str">
        <f>IF(AND(A183="",E183=""),"",IF(A183="","N° de bon manquant",IF(N(B183)=0,"Date de commande manquante",IF(C183="","Fournisseur manquant",IF(ISNA(MATCH($C183,sup_code,0)),"Fournisseur inconnu",IF(E183="","Article manquant",IF(ISNA(MATCH($E183,art_ref,0)),"Article inconnu",IF(N(H183)&lt;=0,"Quantité invalide",IF(J183="","Prix manquant",IF(OR(N(K183)&lt;0,N(K183)&gt;=1),"Remise invalide",IF(M183="","TVA manquante",IF(ISNA(MATCH(M183,p_tva,0)),"Taux de TVA inconnu",IF(COUNTIFS(po_num,A183,po_sup,"&lt;&gt;"&amp;C183)&gt;0,"Fournisseur différent sur ce bon",IF(COUNTIFS(po_num,A183,po_date,"&lt;&gt;"&amp;B183)&gt;0,"Date différente sur ce bon",IF(COUNTIF(po_num,A183)&gt;25,"Plus de 25 lignes sur ce bon",IF(R183="","Date de livraison manquante",IF(R183&lt;B183,"Livraison avant la commande",IF(AND(N(T183)&gt;0,N(S183)=0),"Date d'envoi manquante",IF(N(T183)&gt;N(H183),"Reçu plus que commandé",IF(AND(N(T183)&gt;0,N(U183)=0),"Date de réception manquante",IF(AND(N(U183)&gt;0,U183&lt;B183),"Réception avant la commande","OK")))))))))))))))))))))</f>
        <v/>
      </c>
      <c r="AA183" s="66" t="str">
        <f>IF(AND(X183="Reçu",ISNUMBER(R183)),IF(N(U183)&lt;=R183,1,0),"")</f>
        <v/>
      </c>
      <c r="AB183" s="76" t="str">
        <f>IF(OR(X183="Envoyé",X183="Partiel",X183="En retard"),IF(ISNUMBER(R183),R183,100000)+ROW()/100000,"")</f>
        <v/>
      </c>
      <c r="AC183" s="66" t="str">
        <f>IF(A183="","",IF(COUNTIF($A$6:A183,A183)=1,1,""))</f>
        <v/>
      </c>
      <c r="AD183" s="66" t="str">
        <f>IF(AC183=1,COUNT($AC$6:AC183),"")</f>
        <v/>
      </c>
      <c r="AE183" s="66" t="str">
        <f>IFERROR(INDEX(po_num,MATCH(178,po_seq,0))&amp;"","")</f>
        <v/>
      </c>
      <c r="AF183" s="66" t="str">
        <f>IF(OR(A183="",p_po=""),"",IF(A183&amp;""=p_po,COUNTIF($A$6:A183,A183),""))</f>
        <v/>
      </c>
      <c r="AG183" s="66" t="str">
        <f>IF(OR(AB183="",A183=""),"",IF(COUNTIFS($A$6:A183,A183,$AB$6:AB183,"&gt;0")=1,1,""))</f>
        <v/>
      </c>
      <c r="AH183" s="70" t="str">
        <f>IF(AB183="","",ROUND(N(W183)*N(J183)*(1-N(K183)),2))</f>
        <v/>
      </c>
      <c r="AI183" s="70" t="str">
        <f>IF(OR(J183="",N(T183)&lt;=0,V183="Oui"),"",ROUND(N(T183)*J183*(1-N(K183)),2))</f>
        <v/>
      </c>
    </row>
    <row r="184">
      <c r="A184" s="63" t="n"/>
      <c r="B184" s="64" t="n"/>
      <c r="C184" s="65" t="n"/>
      <c r="D184" s="66" t="str">
        <f>IF(C184="","",IFERROR(INDEX(sup_name,MATCH($C184,sup_code,0))&amp;"","Fournisseur inconnu"))</f>
        <v/>
      </c>
      <c r="E184" s="63" t="n"/>
      <c r="F184" s="66" t="str">
        <f>IF(E184="","",IFERROR(INDEX(art_des,MATCH($E184,art_ref,0))&amp;"","Article inconnu"))</f>
        <v/>
      </c>
      <c r="G184" s="67" t="str">
        <f>IF(E184="","",IFERROR(INDEX(art_unit,MATCH($E184,art_ref,0))&amp;"",""))</f>
        <v/>
      </c>
      <c r="H184" s="68" t="n"/>
      <c r="I184" s="69" t="n"/>
      <c r="J184" s="70" t="str">
        <f>IF(E184="","",IF(ISNUMBER(I184),I184,IFERROR(IF(ISNUMBER(INDEX(art_price,MATCH($E184,art_ref,0))),INDEX(art_price,MATCH($E184,art_ref,0)),""),"")))</f>
        <v/>
      </c>
      <c r="K184" s="71" t="n"/>
      <c r="L184" s="72" t="n"/>
      <c r="M184" s="72" t="str">
        <f>IF(E184="","",IF(L184&lt;&gt;"",L184,IFERROR(IF(ISNUMBER(INDEX(art_tva,MATCH($E184,art_ref,0))),INDEX(art_tva,MATCH($E184,art_ref,0)),""),"")))</f>
        <v/>
      </c>
      <c r="N184" s="70" t="str">
        <f>IF(OR(E184="",J184=""),"",ROUND(N(H184)*J184*(1-N(K184)),2))</f>
        <v/>
      </c>
      <c r="O184" s="70" t="str">
        <f>IF(OR(N184="",NOT(ISNUMBER(M184))),"",ROUND(N184*M184,2))</f>
        <v/>
      </c>
      <c r="P184" s="70" t="str">
        <f>IF(N184="","",N184+N(O184))</f>
        <v/>
      </c>
      <c r="Q184" s="64" t="n"/>
      <c r="R184" s="73" t="str">
        <f>IF(N(Q184)&gt;0,Q184,IF(OR(N(B184)=0,ISNA(MATCH($C184,sup_code,0))),"",IF(ISNUMBER(INDEX(sup_delay,MATCH($C184,sup_code,0))),B184+INDEX(sup_delay,MATCH($C184,sup_code,0)),"")))</f>
        <v/>
      </c>
      <c r="S184" s="64" t="n"/>
      <c r="T184" s="68" t="n"/>
      <c r="U184" s="64" t="n"/>
      <c r="V184" s="65" t="n"/>
      <c r="W184" s="74" t="str">
        <f>IF(AND(A184="",E184=""),"",IF(V184="Oui",0,MAX(0,ROUND(N(H184)-N(T184),6))))</f>
        <v/>
      </c>
      <c r="X184" s="67" t="str">
        <f>IF(AND(A184="",E184=""),"",IF(V184="Oui","Annulé",IF(AND(N(H184)&gt;0,N(T184)&gt;=N(H184)),"Reçu",IF(N(S184)=0,"Brouillon",IF(AND(ISNUMBER(R184),R184&lt;p_today),"En retard",IF(N(T184)&gt;0,"Partiel","Envoyé"))))))</f>
        <v/>
      </c>
      <c r="Y184" s="75" t="str">
        <f>IF(X184="En retard",p_today-R184,IF(AND(X184="Reçu",ISNUMBER(R184)),MAX(0,N(U184)-R184),""))</f>
        <v/>
      </c>
      <c r="Z184" s="67" t="str">
        <f>IF(AND(A184="",E184=""),"",IF(A184="","N° de bon manquant",IF(N(B184)=0,"Date de commande manquante",IF(C184="","Fournisseur manquant",IF(ISNA(MATCH($C184,sup_code,0)),"Fournisseur inconnu",IF(E184="","Article manquant",IF(ISNA(MATCH($E184,art_ref,0)),"Article inconnu",IF(N(H184)&lt;=0,"Quantité invalide",IF(J184="","Prix manquant",IF(OR(N(K184)&lt;0,N(K184)&gt;=1),"Remise invalide",IF(M184="","TVA manquante",IF(ISNA(MATCH(M184,p_tva,0)),"Taux de TVA inconnu",IF(COUNTIFS(po_num,A184,po_sup,"&lt;&gt;"&amp;C184)&gt;0,"Fournisseur différent sur ce bon",IF(COUNTIFS(po_num,A184,po_date,"&lt;&gt;"&amp;B184)&gt;0,"Date différente sur ce bon",IF(COUNTIF(po_num,A184)&gt;25,"Plus de 25 lignes sur ce bon",IF(R184="","Date de livraison manquante",IF(R184&lt;B184,"Livraison avant la commande",IF(AND(N(T184)&gt;0,N(S184)=0),"Date d'envoi manquante",IF(N(T184)&gt;N(H184),"Reçu plus que commandé",IF(AND(N(T184)&gt;0,N(U184)=0),"Date de réception manquante",IF(AND(N(U184)&gt;0,U184&lt;B184),"Réception avant la commande","OK")))))))))))))))))))))</f>
        <v/>
      </c>
      <c r="AA184" s="66" t="str">
        <f>IF(AND(X184="Reçu",ISNUMBER(R184)),IF(N(U184)&lt;=R184,1,0),"")</f>
        <v/>
      </c>
      <c r="AB184" s="76" t="str">
        <f>IF(OR(X184="Envoyé",X184="Partiel",X184="En retard"),IF(ISNUMBER(R184),R184,100000)+ROW()/100000,"")</f>
        <v/>
      </c>
      <c r="AC184" s="66" t="str">
        <f>IF(A184="","",IF(COUNTIF($A$6:A184,A184)=1,1,""))</f>
        <v/>
      </c>
      <c r="AD184" s="66" t="str">
        <f>IF(AC184=1,COUNT($AC$6:AC184),"")</f>
        <v/>
      </c>
      <c r="AE184" s="66" t="str">
        <f>IFERROR(INDEX(po_num,MATCH(179,po_seq,0))&amp;"","")</f>
        <v/>
      </c>
      <c r="AF184" s="66" t="str">
        <f>IF(OR(A184="",p_po=""),"",IF(A184&amp;""=p_po,COUNTIF($A$6:A184,A184),""))</f>
        <v/>
      </c>
      <c r="AG184" s="66" t="str">
        <f>IF(OR(AB184="",A184=""),"",IF(COUNTIFS($A$6:A184,A184,$AB$6:AB184,"&gt;0")=1,1,""))</f>
        <v/>
      </c>
      <c r="AH184" s="70" t="str">
        <f>IF(AB184="","",ROUND(N(W184)*N(J184)*(1-N(K184)),2))</f>
        <v/>
      </c>
      <c r="AI184" s="70" t="str">
        <f>IF(OR(J184="",N(T184)&lt;=0,V184="Oui"),"",ROUND(N(T184)*J184*(1-N(K184)),2))</f>
        <v/>
      </c>
    </row>
    <row r="185">
      <c r="A185" s="63" t="n"/>
      <c r="B185" s="64" t="n"/>
      <c r="C185" s="65" t="n"/>
      <c r="D185" s="66" t="str">
        <f>IF(C185="","",IFERROR(INDEX(sup_name,MATCH($C185,sup_code,0))&amp;"","Fournisseur inconnu"))</f>
        <v/>
      </c>
      <c r="E185" s="63" t="n"/>
      <c r="F185" s="66" t="str">
        <f>IF(E185="","",IFERROR(INDEX(art_des,MATCH($E185,art_ref,0))&amp;"","Article inconnu"))</f>
        <v/>
      </c>
      <c r="G185" s="67" t="str">
        <f>IF(E185="","",IFERROR(INDEX(art_unit,MATCH($E185,art_ref,0))&amp;"",""))</f>
        <v/>
      </c>
      <c r="H185" s="68" t="n"/>
      <c r="I185" s="69" t="n"/>
      <c r="J185" s="70" t="str">
        <f>IF(E185="","",IF(ISNUMBER(I185),I185,IFERROR(IF(ISNUMBER(INDEX(art_price,MATCH($E185,art_ref,0))),INDEX(art_price,MATCH($E185,art_ref,0)),""),"")))</f>
        <v/>
      </c>
      <c r="K185" s="71" t="n"/>
      <c r="L185" s="72" t="n"/>
      <c r="M185" s="72" t="str">
        <f>IF(E185="","",IF(L185&lt;&gt;"",L185,IFERROR(IF(ISNUMBER(INDEX(art_tva,MATCH($E185,art_ref,0))),INDEX(art_tva,MATCH($E185,art_ref,0)),""),"")))</f>
        <v/>
      </c>
      <c r="N185" s="70" t="str">
        <f>IF(OR(E185="",J185=""),"",ROUND(N(H185)*J185*(1-N(K185)),2))</f>
        <v/>
      </c>
      <c r="O185" s="70" t="str">
        <f>IF(OR(N185="",NOT(ISNUMBER(M185))),"",ROUND(N185*M185,2))</f>
        <v/>
      </c>
      <c r="P185" s="70" t="str">
        <f>IF(N185="","",N185+N(O185))</f>
        <v/>
      </c>
      <c r="Q185" s="64" t="n"/>
      <c r="R185" s="73" t="str">
        <f>IF(N(Q185)&gt;0,Q185,IF(OR(N(B185)=0,ISNA(MATCH($C185,sup_code,0))),"",IF(ISNUMBER(INDEX(sup_delay,MATCH($C185,sup_code,0))),B185+INDEX(sup_delay,MATCH($C185,sup_code,0)),"")))</f>
        <v/>
      </c>
      <c r="S185" s="64" t="n"/>
      <c r="T185" s="68" t="n"/>
      <c r="U185" s="64" t="n"/>
      <c r="V185" s="65" t="n"/>
      <c r="W185" s="74" t="str">
        <f>IF(AND(A185="",E185=""),"",IF(V185="Oui",0,MAX(0,ROUND(N(H185)-N(T185),6))))</f>
        <v/>
      </c>
      <c r="X185" s="67" t="str">
        <f>IF(AND(A185="",E185=""),"",IF(V185="Oui","Annulé",IF(AND(N(H185)&gt;0,N(T185)&gt;=N(H185)),"Reçu",IF(N(S185)=0,"Brouillon",IF(AND(ISNUMBER(R185),R185&lt;p_today),"En retard",IF(N(T185)&gt;0,"Partiel","Envoyé"))))))</f>
        <v/>
      </c>
      <c r="Y185" s="75" t="str">
        <f>IF(X185="En retard",p_today-R185,IF(AND(X185="Reçu",ISNUMBER(R185)),MAX(0,N(U185)-R185),""))</f>
        <v/>
      </c>
      <c r="Z185" s="67" t="str">
        <f>IF(AND(A185="",E185=""),"",IF(A185="","N° de bon manquant",IF(N(B185)=0,"Date de commande manquante",IF(C185="","Fournisseur manquant",IF(ISNA(MATCH($C185,sup_code,0)),"Fournisseur inconnu",IF(E185="","Article manquant",IF(ISNA(MATCH($E185,art_ref,0)),"Article inconnu",IF(N(H185)&lt;=0,"Quantité invalide",IF(J185="","Prix manquant",IF(OR(N(K185)&lt;0,N(K185)&gt;=1),"Remise invalide",IF(M185="","TVA manquante",IF(ISNA(MATCH(M185,p_tva,0)),"Taux de TVA inconnu",IF(COUNTIFS(po_num,A185,po_sup,"&lt;&gt;"&amp;C185)&gt;0,"Fournisseur différent sur ce bon",IF(COUNTIFS(po_num,A185,po_date,"&lt;&gt;"&amp;B185)&gt;0,"Date différente sur ce bon",IF(COUNTIF(po_num,A185)&gt;25,"Plus de 25 lignes sur ce bon",IF(R185="","Date de livraison manquante",IF(R185&lt;B185,"Livraison avant la commande",IF(AND(N(T185)&gt;0,N(S185)=0),"Date d'envoi manquante",IF(N(T185)&gt;N(H185),"Reçu plus que commandé",IF(AND(N(T185)&gt;0,N(U185)=0),"Date de réception manquante",IF(AND(N(U185)&gt;0,U185&lt;B185),"Réception avant la commande","OK")))))))))))))))))))))</f>
        <v/>
      </c>
      <c r="AA185" s="66" t="str">
        <f>IF(AND(X185="Reçu",ISNUMBER(R185)),IF(N(U185)&lt;=R185,1,0),"")</f>
        <v/>
      </c>
      <c r="AB185" s="76" t="str">
        <f>IF(OR(X185="Envoyé",X185="Partiel",X185="En retard"),IF(ISNUMBER(R185),R185,100000)+ROW()/100000,"")</f>
        <v/>
      </c>
      <c r="AC185" s="66" t="str">
        <f>IF(A185="","",IF(COUNTIF($A$6:A185,A185)=1,1,""))</f>
        <v/>
      </c>
      <c r="AD185" s="66" t="str">
        <f>IF(AC185=1,COUNT($AC$6:AC185),"")</f>
        <v/>
      </c>
      <c r="AE185" s="66" t="str">
        <f>IFERROR(INDEX(po_num,MATCH(180,po_seq,0))&amp;"","")</f>
        <v/>
      </c>
      <c r="AF185" s="66" t="str">
        <f>IF(OR(A185="",p_po=""),"",IF(A185&amp;""=p_po,COUNTIF($A$6:A185,A185),""))</f>
        <v/>
      </c>
      <c r="AG185" s="66" t="str">
        <f>IF(OR(AB185="",A185=""),"",IF(COUNTIFS($A$6:A185,A185,$AB$6:AB185,"&gt;0")=1,1,""))</f>
        <v/>
      </c>
      <c r="AH185" s="70" t="str">
        <f>IF(AB185="","",ROUND(N(W185)*N(J185)*(1-N(K185)),2))</f>
        <v/>
      </c>
      <c r="AI185" s="70" t="str">
        <f>IF(OR(J185="",N(T185)&lt;=0,V185="Oui"),"",ROUND(N(T185)*J185*(1-N(K185)),2))</f>
        <v/>
      </c>
    </row>
    <row r="186">
      <c r="A186" s="63" t="n"/>
      <c r="B186" s="64" t="n"/>
      <c r="C186" s="65" t="n"/>
      <c r="D186" s="66" t="str">
        <f>IF(C186="","",IFERROR(INDEX(sup_name,MATCH($C186,sup_code,0))&amp;"","Fournisseur inconnu"))</f>
        <v/>
      </c>
      <c r="E186" s="63" t="n"/>
      <c r="F186" s="66" t="str">
        <f>IF(E186="","",IFERROR(INDEX(art_des,MATCH($E186,art_ref,0))&amp;"","Article inconnu"))</f>
        <v/>
      </c>
      <c r="G186" s="67" t="str">
        <f>IF(E186="","",IFERROR(INDEX(art_unit,MATCH($E186,art_ref,0))&amp;"",""))</f>
        <v/>
      </c>
      <c r="H186" s="68" t="n"/>
      <c r="I186" s="69" t="n"/>
      <c r="J186" s="70" t="str">
        <f>IF(E186="","",IF(ISNUMBER(I186),I186,IFERROR(IF(ISNUMBER(INDEX(art_price,MATCH($E186,art_ref,0))),INDEX(art_price,MATCH($E186,art_ref,0)),""),"")))</f>
        <v/>
      </c>
      <c r="K186" s="71" t="n"/>
      <c r="L186" s="72" t="n"/>
      <c r="M186" s="72" t="str">
        <f>IF(E186="","",IF(L186&lt;&gt;"",L186,IFERROR(IF(ISNUMBER(INDEX(art_tva,MATCH($E186,art_ref,0))),INDEX(art_tva,MATCH($E186,art_ref,0)),""),"")))</f>
        <v/>
      </c>
      <c r="N186" s="70" t="str">
        <f>IF(OR(E186="",J186=""),"",ROUND(N(H186)*J186*(1-N(K186)),2))</f>
        <v/>
      </c>
      <c r="O186" s="70" t="str">
        <f>IF(OR(N186="",NOT(ISNUMBER(M186))),"",ROUND(N186*M186,2))</f>
        <v/>
      </c>
      <c r="P186" s="70" t="str">
        <f>IF(N186="","",N186+N(O186))</f>
        <v/>
      </c>
      <c r="Q186" s="64" t="n"/>
      <c r="R186" s="73" t="str">
        <f>IF(N(Q186)&gt;0,Q186,IF(OR(N(B186)=0,ISNA(MATCH($C186,sup_code,0))),"",IF(ISNUMBER(INDEX(sup_delay,MATCH($C186,sup_code,0))),B186+INDEX(sup_delay,MATCH($C186,sup_code,0)),"")))</f>
        <v/>
      </c>
      <c r="S186" s="64" t="n"/>
      <c r="T186" s="68" t="n"/>
      <c r="U186" s="64" t="n"/>
      <c r="V186" s="65" t="n"/>
      <c r="W186" s="74" t="str">
        <f>IF(AND(A186="",E186=""),"",IF(V186="Oui",0,MAX(0,ROUND(N(H186)-N(T186),6))))</f>
        <v/>
      </c>
      <c r="X186" s="67" t="str">
        <f>IF(AND(A186="",E186=""),"",IF(V186="Oui","Annulé",IF(AND(N(H186)&gt;0,N(T186)&gt;=N(H186)),"Reçu",IF(N(S186)=0,"Brouillon",IF(AND(ISNUMBER(R186),R186&lt;p_today),"En retard",IF(N(T186)&gt;0,"Partiel","Envoyé"))))))</f>
        <v/>
      </c>
      <c r="Y186" s="75" t="str">
        <f>IF(X186="En retard",p_today-R186,IF(AND(X186="Reçu",ISNUMBER(R186)),MAX(0,N(U186)-R186),""))</f>
        <v/>
      </c>
      <c r="Z186" s="67" t="str">
        <f>IF(AND(A186="",E186=""),"",IF(A186="","N° de bon manquant",IF(N(B186)=0,"Date de commande manquante",IF(C186="","Fournisseur manquant",IF(ISNA(MATCH($C186,sup_code,0)),"Fournisseur inconnu",IF(E186="","Article manquant",IF(ISNA(MATCH($E186,art_ref,0)),"Article inconnu",IF(N(H186)&lt;=0,"Quantité invalide",IF(J186="","Prix manquant",IF(OR(N(K186)&lt;0,N(K186)&gt;=1),"Remise invalide",IF(M186="","TVA manquante",IF(ISNA(MATCH(M186,p_tva,0)),"Taux de TVA inconnu",IF(COUNTIFS(po_num,A186,po_sup,"&lt;&gt;"&amp;C186)&gt;0,"Fournisseur différent sur ce bon",IF(COUNTIFS(po_num,A186,po_date,"&lt;&gt;"&amp;B186)&gt;0,"Date différente sur ce bon",IF(COUNTIF(po_num,A186)&gt;25,"Plus de 25 lignes sur ce bon",IF(R186="","Date de livraison manquante",IF(R186&lt;B186,"Livraison avant la commande",IF(AND(N(T186)&gt;0,N(S186)=0),"Date d'envoi manquante",IF(N(T186)&gt;N(H186),"Reçu plus que commandé",IF(AND(N(T186)&gt;0,N(U186)=0),"Date de réception manquante",IF(AND(N(U186)&gt;0,U186&lt;B186),"Réception avant la commande","OK")))))))))))))))))))))</f>
        <v/>
      </c>
      <c r="AA186" s="66" t="str">
        <f>IF(AND(X186="Reçu",ISNUMBER(R186)),IF(N(U186)&lt;=R186,1,0),"")</f>
        <v/>
      </c>
      <c r="AB186" s="76" t="str">
        <f>IF(OR(X186="Envoyé",X186="Partiel",X186="En retard"),IF(ISNUMBER(R186),R186,100000)+ROW()/100000,"")</f>
        <v/>
      </c>
      <c r="AC186" s="66" t="str">
        <f>IF(A186="","",IF(COUNTIF($A$6:A186,A186)=1,1,""))</f>
        <v/>
      </c>
      <c r="AD186" s="66" t="str">
        <f>IF(AC186=1,COUNT($AC$6:AC186),"")</f>
        <v/>
      </c>
      <c r="AE186" s="66" t="str">
        <f>IFERROR(INDEX(po_num,MATCH(181,po_seq,0))&amp;"","")</f>
        <v/>
      </c>
      <c r="AF186" s="66" t="str">
        <f>IF(OR(A186="",p_po=""),"",IF(A186&amp;""=p_po,COUNTIF($A$6:A186,A186),""))</f>
        <v/>
      </c>
      <c r="AG186" s="66" t="str">
        <f>IF(OR(AB186="",A186=""),"",IF(COUNTIFS($A$6:A186,A186,$AB$6:AB186,"&gt;0")=1,1,""))</f>
        <v/>
      </c>
      <c r="AH186" s="70" t="str">
        <f>IF(AB186="","",ROUND(N(W186)*N(J186)*(1-N(K186)),2))</f>
        <v/>
      </c>
      <c r="AI186" s="70" t="str">
        <f>IF(OR(J186="",N(T186)&lt;=0,V186="Oui"),"",ROUND(N(T186)*J186*(1-N(K186)),2))</f>
        <v/>
      </c>
    </row>
    <row r="187">
      <c r="A187" s="63" t="n"/>
      <c r="B187" s="64" t="n"/>
      <c r="C187" s="65" t="n"/>
      <c r="D187" s="66" t="str">
        <f>IF(C187="","",IFERROR(INDEX(sup_name,MATCH($C187,sup_code,0))&amp;"","Fournisseur inconnu"))</f>
        <v/>
      </c>
      <c r="E187" s="63" t="n"/>
      <c r="F187" s="66" t="str">
        <f>IF(E187="","",IFERROR(INDEX(art_des,MATCH($E187,art_ref,0))&amp;"","Article inconnu"))</f>
        <v/>
      </c>
      <c r="G187" s="67" t="str">
        <f>IF(E187="","",IFERROR(INDEX(art_unit,MATCH($E187,art_ref,0))&amp;"",""))</f>
        <v/>
      </c>
      <c r="H187" s="68" t="n"/>
      <c r="I187" s="69" t="n"/>
      <c r="J187" s="70" t="str">
        <f>IF(E187="","",IF(ISNUMBER(I187),I187,IFERROR(IF(ISNUMBER(INDEX(art_price,MATCH($E187,art_ref,0))),INDEX(art_price,MATCH($E187,art_ref,0)),""),"")))</f>
        <v/>
      </c>
      <c r="K187" s="71" t="n"/>
      <c r="L187" s="72" t="n"/>
      <c r="M187" s="72" t="str">
        <f>IF(E187="","",IF(L187&lt;&gt;"",L187,IFERROR(IF(ISNUMBER(INDEX(art_tva,MATCH($E187,art_ref,0))),INDEX(art_tva,MATCH($E187,art_ref,0)),""),"")))</f>
        <v/>
      </c>
      <c r="N187" s="70" t="str">
        <f>IF(OR(E187="",J187=""),"",ROUND(N(H187)*J187*(1-N(K187)),2))</f>
        <v/>
      </c>
      <c r="O187" s="70" t="str">
        <f>IF(OR(N187="",NOT(ISNUMBER(M187))),"",ROUND(N187*M187,2))</f>
        <v/>
      </c>
      <c r="P187" s="70" t="str">
        <f>IF(N187="","",N187+N(O187))</f>
        <v/>
      </c>
      <c r="Q187" s="64" t="n"/>
      <c r="R187" s="73" t="str">
        <f>IF(N(Q187)&gt;0,Q187,IF(OR(N(B187)=0,ISNA(MATCH($C187,sup_code,0))),"",IF(ISNUMBER(INDEX(sup_delay,MATCH($C187,sup_code,0))),B187+INDEX(sup_delay,MATCH($C187,sup_code,0)),"")))</f>
        <v/>
      </c>
      <c r="S187" s="64" t="n"/>
      <c r="T187" s="68" t="n"/>
      <c r="U187" s="64" t="n"/>
      <c r="V187" s="65" t="n"/>
      <c r="W187" s="74" t="str">
        <f>IF(AND(A187="",E187=""),"",IF(V187="Oui",0,MAX(0,ROUND(N(H187)-N(T187),6))))</f>
        <v/>
      </c>
      <c r="X187" s="67" t="str">
        <f>IF(AND(A187="",E187=""),"",IF(V187="Oui","Annulé",IF(AND(N(H187)&gt;0,N(T187)&gt;=N(H187)),"Reçu",IF(N(S187)=0,"Brouillon",IF(AND(ISNUMBER(R187),R187&lt;p_today),"En retard",IF(N(T187)&gt;0,"Partiel","Envoyé"))))))</f>
        <v/>
      </c>
      <c r="Y187" s="75" t="str">
        <f>IF(X187="En retard",p_today-R187,IF(AND(X187="Reçu",ISNUMBER(R187)),MAX(0,N(U187)-R187),""))</f>
        <v/>
      </c>
      <c r="Z187" s="67" t="str">
        <f>IF(AND(A187="",E187=""),"",IF(A187="","N° de bon manquant",IF(N(B187)=0,"Date de commande manquante",IF(C187="","Fournisseur manquant",IF(ISNA(MATCH($C187,sup_code,0)),"Fournisseur inconnu",IF(E187="","Article manquant",IF(ISNA(MATCH($E187,art_ref,0)),"Article inconnu",IF(N(H187)&lt;=0,"Quantité invalide",IF(J187="","Prix manquant",IF(OR(N(K187)&lt;0,N(K187)&gt;=1),"Remise invalide",IF(M187="","TVA manquante",IF(ISNA(MATCH(M187,p_tva,0)),"Taux de TVA inconnu",IF(COUNTIFS(po_num,A187,po_sup,"&lt;&gt;"&amp;C187)&gt;0,"Fournisseur différent sur ce bon",IF(COUNTIFS(po_num,A187,po_date,"&lt;&gt;"&amp;B187)&gt;0,"Date différente sur ce bon",IF(COUNTIF(po_num,A187)&gt;25,"Plus de 25 lignes sur ce bon",IF(R187="","Date de livraison manquante",IF(R187&lt;B187,"Livraison avant la commande",IF(AND(N(T187)&gt;0,N(S187)=0),"Date d'envoi manquante",IF(N(T187)&gt;N(H187),"Reçu plus que commandé",IF(AND(N(T187)&gt;0,N(U187)=0),"Date de réception manquante",IF(AND(N(U187)&gt;0,U187&lt;B187),"Réception avant la commande","OK")))))))))))))))))))))</f>
        <v/>
      </c>
      <c r="AA187" s="66" t="str">
        <f>IF(AND(X187="Reçu",ISNUMBER(R187)),IF(N(U187)&lt;=R187,1,0),"")</f>
        <v/>
      </c>
      <c r="AB187" s="76" t="str">
        <f>IF(OR(X187="Envoyé",X187="Partiel",X187="En retard"),IF(ISNUMBER(R187),R187,100000)+ROW()/100000,"")</f>
        <v/>
      </c>
      <c r="AC187" s="66" t="str">
        <f>IF(A187="","",IF(COUNTIF($A$6:A187,A187)=1,1,""))</f>
        <v/>
      </c>
      <c r="AD187" s="66" t="str">
        <f>IF(AC187=1,COUNT($AC$6:AC187),"")</f>
        <v/>
      </c>
      <c r="AE187" s="66" t="str">
        <f>IFERROR(INDEX(po_num,MATCH(182,po_seq,0))&amp;"","")</f>
        <v/>
      </c>
      <c r="AF187" s="66" t="str">
        <f>IF(OR(A187="",p_po=""),"",IF(A187&amp;""=p_po,COUNTIF($A$6:A187,A187),""))</f>
        <v/>
      </c>
      <c r="AG187" s="66" t="str">
        <f>IF(OR(AB187="",A187=""),"",IF(COUNTIFS($A$6:A187,A187,$AB$6:AB187,"&gt;0")=1,1,""))</f>
        <v/>
      </c>
      <c r="AH187" s="70" t="str">
        <f>IF(AB187="","",ROUND(N(W187)*N(J187)*(1-N(K187)),2))</f>
        <v/>
      </c>
      <c r="AI187" s="70" t="str">
        <f>IF(OR(J187="",N(T187)&lt;=0,V187="Oui"),"",ROUND(N(T187)*J187*(1-N(K187)),2))</f>
        <v/>
      </c>
    </row>
    <row r="188">
      <c r="A188" s="63" t="n"/>
      <c r="B188" s="64" t="n"/>
      <c r="C188" s="65" t="n"/>
      <c r="D188" s="66" t="str">
        <f>IF(C188="","",IFERROR(INDEX(sup_name,MATCH($C188,sup_code,0))&amp;"","Fournisseur inconnu"))</f>
        <v/>
      </c>
      <c r="E188" s="63" t="n"/>
      <c r="F188" s="66" t="str">
        <f>IF(E188="","",IFERROR(INDEX(art_des,MATCH($E188,art_ref,0))&amp;"","Article inconnu"))</f>
        <v/>
      </c>
      <c r="G188" s="67" t="str">
        <f>IF(E188="","",IFERROR(INDEX(art_unit,MATCH($E188,art_ref,0))&amp;"",""))</f>
        <v/>
      </c>
      <c r="H188" s="68" t="n"/>
      <c r="I188" s="69" t="n"/>
      <c r="J188" s="70" t="str">
        <f>IF(E188="","",IF(ISNUMBER(I188),I188,IFERROR(IF(ISNUMBER(INDEX(art_price,MATCH($E188,art_ref,0))),INDEX(art_price,MATCH($E188,art_ref,0)),""),"")))</f>
        <v/>
      </c>
      <c r="K188" s="71" t="n"/>
      <c r="L188" s="72" t="n"/>
      <c r="M188" s="72" t="str">
        <f>IF(E188="","",IF(L188&lt;&gt;"",L188,IFERROR(IF(ISNUMBER(INDEX(art_tva,MATCH($E188,art_ref,0))),INDEX(art_tva,MATCH($E188,art_ref,0)),""),"")))</f>
        <v/>
      </c>
      <c r="N188" s="70" t="str">
        <f>IF(OR(E188="",J188=""),"",ROUND(N(H188)*J188*(1-N(K188)),2))</f>
        <v/>
      </c>
      <c r="O188" s="70" t="str">
        <f>IF(OR(N188="",NOT(ISNUMBER(M188))),"",ROUND(N188*M188,2))</f>
        <v/>
      </c>
      <c r="P188" s="70" t="str">
        <f>IF(N188="","",N188+N(O188))</f>
        <v/>
      </c>
      <c r="Q188" s="64" t="n"/>
      <c r="R188" s="73" t="str">
        <f>IF(N(Q188)&gt;0,Q188,IF(OR(N(B188)=0,ISNA(MATCH($C188,sup_code,0))),"",IF(ISNUMBER(INDEX(sup_delay,MATCH($C188,sup_code,0))),B188+INDEX(sup_delay,MATCH($C188,sup_code,0)),"")))</f>
        <v/>
      </c>
      <c r="S188" s="64" t="n"/>
      <c r="T188" s="68" t="n"/>
      <c r="U188" s="64" t="n"/>
      <c r="V188" s="65" t="n"/>
      <c r="W188" s="74" t="str">
        <f>IF(AND(A188="",E188=""),"",IF(V188="Oui",0,MAX(0,ROUND(N(H188)-N(T188),6))))</f>
        <v/>
      </c>
      <c r="X188" s="67" t="str">
        <f>IF(AND(A188="",E188=""),"",IF(V188="Oui","Annulé",IF(AND(N(H188)&gt;0,N(T188)&gt;=N(H188)),"Reçu",IF(N(S188)=0,"Brouillon",IF(AND(ISNUMBER(R188),R188&lt;p_today),"En retard",IF(N(T188)&gt;0,"Partiel","Envoyé"))))))</f>
        <v/>
      </c>
      <c r="Y188" s="75" t="str">
        <f>IF(X188="En retard",p_today-R188,IF(AND(X188="Reçu",ISNUMBER(R188)),MAX(0,N(U188)-R188),""))</f>
        <v/>
      </c>
      <c r="Z188" s="67" t="str">
        <f>IF(AND(A188="",E188=""),"",IF(A188="","N° de bon manquant",IF(N(B188)=0,"Date de commande manquante",IF(C188="","Fournisseur manquant",IF(ISNA(MATCH($C188,sup_code,0)),"Fournisseur inconnu",IF(E188="","Article manquant",IF(ISNA(MATCH($E188,art_ref,0)),"Article inconnu",IF(N(H188)&lt;=0,"Quantité invalide",IF(J188="","Prix manquant",IF(OR(N(K188)&lt;0,N(K188)&gt;=1),"Remise invalide",IF(M188="","TVA manquante",IF(ISNA(MATCH(M188,p_tva,0)),"Taux de TVA inconnu",IF(COUNTIFS(po_num,A188,po_sup,"&lt;&gt;"&amp;C188)&gt;0,"Fournisseur différent sur ce bon",IF(COUNTIFS(po_num,A188,po_date,"&lt;&gt;"&amp;B188)&gt;0,"Date différente sur ce bon",IF(COUNTIF(po_num,A188)&gt;25,"Plus de 25 lignes sur ce bon",IF(R188="","Date de livraison manquante",IF(R188&lt;B188,"Livraison avant la commande",IF(AND(N(T188)&gt;0,N(S188)=0),"Date d'envoi manquante",IF(N(T188)&gt;N(H188),"Reçu plus que commandé",IF(AND(N(T188)&gt;0,N(U188)=0),"Date de réception manquante",IF(AND(N(U188)&gt;0,U188&lt;B188),"Réception avant la commande","OK")))))))))))))))))))))</f>
        <v/>
      </c>
      <c r="AA188" s="66" t="str">
        <f>IF(AND(X188="Reçu",ISNUMBER(R188)),IF(N(U188)&lt;=R188,1,0),"")</f>
        <v/>
      </c>
      <c r="AB188" s="76" t="str">
        <f>IF(OR(X188="Envoyé",X188="Partiel",X188="En retard"),IF(ISNUMBER(R188),R188,100000)+ROW()/100000,"")</f>
        <v/>
      </c>
      <c r="AC188" s="66" t="str">
        <f>IF(A188="","",IF(COUNTIF($A$6:A188,A188)=1,1,""))</f>
        <v/>
      </c>
      <c r="AD188" s="66" t="str">
        <f>IF(AC188=1,COUNT($AC$6:AC188),"")</f>
        <v/>
      </c>
      <c r="AE188" s="66" t="str">
        <f>IFERROR(INDEX(po_num,MATCH(183,po_seq,0))&amp;"","")</f>
        <v/>
      </c>
      <c r="AF188" s="66" t="str">
        <f>IF(OR(A188="",p_po=""),"",IF(A188&amp;""=p_po,COUNTIF($A$6:A188,A188),""))</f>
        <v/>
      </c>
      <c r="AG188" s="66" t="str">
        <f>IF(OR(AB188="",A188=""),"",IF(COUNTIFS($A$6:A188,A188,$AB$6:AB188,"&gt;0")=1,1,""))</f>
        <v/>
      </c>
      <c r="AH188" s="70" t="str">
        <f>IF(AB188="","",ROUND(N(W188)*N(J188)*(1-N(K188)),2))</f>
        <v/>
      </c>
      <c r="AI188" s="70" t="str">
        <f>IF(OR(J188="",N(T188)&lt;=0,V188="Oui"),"",ROUND(N(T188)*J188*(1-N(K188)),2))</f>
        <v/>
      </c>
    </row>
    <row r="189">
      <c r="A189" s="63" t="n"/>
      <c r="B189" s="64" t="n"/>
      <c r="C189" s="65" t="n"/>
      <c r="D189" s="66" t="str">
        <f>IF(C189="","",IFERROR(INDEX(sup_name,MATCH($C189,sup_code,0))&amp;"","Fournisseur inconnu"))</f>
        <v/>
      </c>
      <c r="E189" s="63" t="n"/>
      <c r="F189" s="66" t="str">
        <f>IF(E189="","",IFERROR(INDEX(art_des,MATCH($E189,art_ref,0))&amp;"","Article inconnu"))</f>
        <v/>
      </c>
      <c r="G189" s="67" t="str">
        <f>IF(E189="","",IFERROR(INDEX(art_unit,MATCH($E189,art_ref,0))&amp;"",""))</f>
        <v/>
      </c>
      <c r="H189" s="68" t="n"/>
      <c r="I189" s="69" t="n"/>
      <c r="J189" s="70" t="str">
        <f>IF(E189="","",IF(ISNUMBER(I189),I189,IFERROR(IF(ISNUMBER(INDEX(art_price,MATCH($E189,art_ref,0))),INDEX(art_price,MATCH($E189,art_ref,0)),""),"")))</f>
        <v/>
      </c>
      <c r="K189" s="71" t="n"/>
      <c r="L189" s="72" t="n"/>
      <c r="M189" s="72" t="str">
        <f>IF(E189="","",IF(L189&lt;&gt;"",L189,IFERROR(IF(ISNUMBER(INDEX(art_tva,MATCH($E189,art_ref,0))),INDEX(art_tva,MATCH($E189,art_ref,0)),""),"")))</f>
        <v/>
      </c>
      <c r="N189" s="70" t="str">
        <f>IF(OR(E189="",J189=""),"",ROUND(N(H189)*J189*(1-N(K189)),2))</f>
        <v/>
      </c>
      <c r="O189" s="70" t="str">
        <f>IF(OR(N189="",NOT(ISNUMBER(M189))),"",ROUND(N189*M189,2))</f>
        <v/>
      </c>
      <c r="P189" s="70" t="str">
        <f>IF(N189="","",N189+N(O189))</f>
        <v/>
      </c>
      <c r="Q189" s="64" t="n"/>
      <c r="R189" s="73" t="str">
        <f>IF(N(Q189)&gt;0,Q189,IF(OR(N(B189)=0,ISNA(MATCH($C189,sup_code,0))),"",IF(ISNUMBER(INDEX(sup_delay,MATCH($C189,sup_code,0))),B189+INDEX(sup_delay,MATCH($C189,sup_code,0)),"")))</f>
        <v/>
      </c>
      <c r="S189" s="64" t="n"/>
      <c r="T189" s="68" t="n"/>
      <c r="U189" s="64" t="n"/>
      <c r="V189" s="65" t="n"/>
      <c r="W189" s="74" t="str">
        <f>IF(AND(A189="",E189=""),"",IF(V189="Oui",0,MAX(0,ROUND(N(H189)-N(T189),6))))</f>
        <v/>
      </c>
      <c r="X189" s="67" t="str">
        <f>IF(AND(A189="",E189=""),"",IF(V189="Oui","Annulé",IF(AND(N(H189)&gt;0,N(T189)&gt;=N(H189)),"Reçu",IF(N(S189)=0,"Brouillon",IF(AND(ISNUMBER(R189),R189&lt;p_today),"En retard",IF(N(T189)&gt;0,"Partiel","Envoyé"))))))</f>
        <v/>
      </c>
      <c r="Y189" s="75" t="str">
        <f>IF(X189="En retard",p_today-R189,IF(AND(X189="Reçu",ISNUMBER(R189)),MAX(0,N(U189)-R189),""))</f>
        <v/>
      </c>
      <c r="Z189" s="67" t="str">
        <f>IF(AND(A189="",E189=""),"",IF(A189="","N° de bon manquant",IF(N(B189)=0,"Date de commande manquante",IF(C189="","Fournisseur manquant",IF(ISNA(MATCH($C189,sup_code,0)),"Fournisseur inconnu",IF(E189="","Article manquant",IF(ISNA(MATCH($E189,art_ref,0)),"Article inconnu",IF(N(H189)&lt;=0,"Quantité invalide",IF(J189="","Prix manquant",IF(OR(N(K189)&lt;0,N(K189)&gt;=1),"Remise invalide",IF(M189="","TVA manquante",IF(ISNA(MATCH(M189,p_tva,0)),"Taux de TVA inconnu",IF(COUNTIFS(po_num,A189,po_sup,"&lt;&gt;"&amp;C189)&gt;0,"Fournisseur différent sur ce bon",IF(COUNTIFS(po_num,A189,po_date,"&lt;&gt;"&amp;B189)&gt;0,"Date différente sur ce bon",IF(COUNTIF(po_num,A189)&gt;25,"Plus de 25 lignes sur ce bon",IF(R189="","Date de livraison manquante",IF(R189&lt;B189,"Livraison avant la commande",IF(AND(N(T189)&gt;0,N(S189)=0),"Date d'envoi manquante",IF(N(T189)&gt;N(H189),"Reçu plus que commandé",IF(AND(N(T189)&gt;0,N(U189)=0),"Date de réception manquante",IF(AND(N(U189)&gt;0,U189&lt;B189),"Réception avant la commande","OK")))))))))))))))))))))</f>
        <v/>
      </c>
      <c r="AA189" s="66" t="str">
        <f>IF(AND(X189="Reçu",ISNUMBER(R189)),IF(N(U189)&lt;=R189,1,0),"")</f>
        <v/>
      </c>
      <c r="AB189" s="76" t="str">
        <f>IF(OR(X189="Envoyé",X189="Partiel",X189="En retard"),IF(ISNUMBER(R189),R189,100000)+ROW()/100000,"")</f>
        <v/>
      </c>
      <c r="AC189" s="66" t="str">
        <f>IF(A189="","",IF(COUNTIF($A$6:A189,A189)=1,1,""))</f>
        <v/>
      </c>
      <c r="AD189" s="66" t="str">
        <f>IF(AC189=1,COUNT($AC$6:AC189),"")</f>
        <v/>
      </c>
      <c r="AE189" s="66" t="str">
        <f>IFERROR(INDEX(po_num,MATCH(184,po_seq,0))&amp;"","")</f>
        <v/>
      </c>
      <c r="AF189" s="66" t="str">
        <f>IF(OR(A189="",p_po=""),"",IF(A189&amp;""=p_po,COUNTIF($A$6:A189,A189),""))</f>
        <v/>
      </c>
      <c r="AG189" s="66" t="str">
        <f>IF(OR(AB189="",A189=""),"",IF(COUNTIFS($A$6:A189,A189,$AB$6:AB189,"&gt;0")=1,1,""))</f>
        <v/>
      </c>
      <c r="AH189" s="70" t="str">
        <f>IF(AB189="","",ROUND(N(W189)*N(J189)*(1-N(K189)),2))</f>
        <v/>
      </c>
      <c r="AI189" s="70" t="str">
        <f>IF(OR(J189="",N(T189)&lt;=0,V189="Oui"),"",ROUND(N(T189)*J189*(1-N(K189)),2))</f>
        <v/>
      </c>
    </row>
    <row r="190">
      <c r="A190" s="63" t="n"/>
      <c r="B190" s="64" t="n"/>
      <c r="C190" s="65" t="n"/>
      <c r="D190" s="66" t="str">
        <f>IF(C190="","",IFERROR(INDEX(sup_name,MATCH($C190,sup_code,0))&amp;"","Fournisseur inconnu"))</f>
        <v/>
      </c>
      <c r="E190" s="63" t="n"/>
      <c r="F190" s="66" t="str">
        <f>IF(E190="","",IFERROR(INDEX(art_des,MATCH($E190,art_ref,0))&amp;"","Article inconnu"))</f>
        <v/>
      </c>
      <c r="G190" s="67" t="str">
        <f>IF(E190="","",IFERROR(INDEX(art_unit,MATCH($E190,art_ref,0))&amp;"",""))</f>
        <v/>
      </c>
      <c r="H190" s="68" t="n"/>
      <c r="I190" s="69" t="n"/>
      <c r="J190" s="70" t="str">
        <f>IF(E190="","",IF(ISNUMBER(I190),I190,IFERROR(IF(ISNUMBER(INDEX(art_price,MATCH($E190,art_ref,0))),INDEX(art_price,MATCH($E190,art_ref,0)),""),"")))</f>
        <v/>
      </c>
      <c r="K190" s="71" t="n"/>
      <c r="L190" s="72" t="n"/>
      <c r="M190" s="72" t="str">
        <f>IF(E190="","",IF(L190&lt;&gt;"",L190,IFERROR(IF(ISNUMBER(INDEX(art_tva,MATCH($E190,art_ref,0))),INDEX(art_tva,MATCH($E190,art_ref,0)),""),"")))</f>
        <v/>
      </c>
      <c r="N190" s="70" t="str">
        <f>IF(OR(E190="",J190=""),"",ROUND(N(H190)*J190*(1-N(K190)),2))</f>
        <v/>
      </c>
      <c r="O190" s="70" t="str">
        <f>IF(OR(N190="",NOT(ISNUMBER(M190))),"",ROUND(N190*M190,2))</f>
        <v/>
      </c>
      <c r="P190" s="70" t="str">
        <f>IF(N190="","",N190+N(O190))</f>
        <v/>
      </c>
      <c r="Q190" s="64" t="n"/>
      <c r="R190" s="73" t="str">
        <f>IF(N(Q190)&gt;0,Q190,IF(OR(N(B190)=0,ISNA(MATCH($C190,sup_code,0))),"",IF(ISNUMBER(INDEX(sup_delay,MATCH($C190,sup_code,0))),B190+INDEX(sup_delay,MATCH($C190,sup_code,0)),"")))</f>
        <v/>
      </c>
      <c r="S190" s="64" t="n"/>
      <c r="T190" s="68" t="n"/>
      <c r="U190" s="64" t="n"/>
      <c r="V190" s="65" t="n"/>
      <c r="W190" s="74" t="str">
        <f>IF(AND(A190="",E190=""),"",IF(V190="Oui",0,MAX(0,ROUND(N(H190)-N(T190),6))))</f>
        <v/>
      </c>
      <c r="X190" s="67" t="str">
        <f>IF(AND(A190="",E190=""),"",IF(V190="Oui","Annulé",IF(AND(N(H190)&gt;0,N(T190)&gt;=N(H190)),"Reçu",IF(N(S190)=0,"Brouillon",IF(AND(ISNUMBER(R190),R190&lt;p_today),"En retard",IF(N(T190)&gt;0,"Partiel","Envoyé"))))))</f>
        <v/>
      </c>
      <c r="Y190" s="75" t="str">
        <f>IF(X190="En retard",p_today-R190,IF(AND(X190="Reçu",ISNUMBER(R190)),MAX(0,N(U190)-R190),""))</f>
        <v/>
      </c>
      <c r="Z190" s="67" t="str">
        <f>IF(AND(A190="",E190=""),"",IF(A190="","N° de bon manquant",IF(N(B190)=0,"Date de commande manquante",IF(C190="","Fournisseur manquant",IF(ISNA(MATCH($C190,sup_code,0)),"Fournisseur inconnu",IF(E190="","Article manquant",IF(ISNA(MATCH($E190,art_ref,0)),"Article inconnu",IF(N(H190)&lt;=0,"Quantité invalide",IF(J190="","Prix manquant",IF(OR(N(K190)&lt;0,N(K190)&gt;=1),"Remise invalide",IF(M190="","TVA manquante",IF(ISNA(MATCH(M190,p_tva,0)),"Taux de TVA inconnu",IF(COUNTIFS(po_num,A190,po_sup,"&lt;&gt;"&amp;C190)&gt;0,"Fournisseur différent sur ce bon",IF(COUNTIFS(po_num,A190,po_date,"&lt;&gt;"&amp;B190)&gt;0,"Date différente sur ce bon",IF(COUNTIF(po_num,A190)&gt;25,"Plus de 25 lignes sur ce bon",IF(R190="","Date de livraison manquante",IF(R190&lt;B190,"Livraison avant la commande",IF(AND(N(T190)&gt;0,N(S190)=0),"Date d'envoi manquante",IF(N(T190)&gt;N(H190),"Reçu plus que commandé",IF(AND(N(T190)&gt;0,N(U190)=0),"Date de réception manquante",IF(AND(N(U190)&gt;0,U190&lt;B190),"Réception avant la commande","OK")))))))))))))))))))))</f>
        <v/>
      </c>
      <c r="AA190" s="66" t="str">
        <f>IF(AND(X190="Reçu",ISNUMBER(R190)),IF(N(U190)&lt;=R190,1,0),"")</f>
        <v/>
      </c>
      <c r="AB190" s="76" t="str">
        <f>IF(OR(X190="Envoyé",X190="Partiel",X190="En retard"),IF(ISNUMBER(R190),R190,100000)+ROW()/100000,"")</f>
        <v/>
      </c>
      <c r="AC190" s="66" t="str">
        <f>IF(A190="","",IF(COUNTIF($A$6:A190,A190)=1,1,""))</f>
        <v/>
      </c>
      <c r="AD190" s="66" t="str">
        <f>IF(AC190=1,COUNT($AC$6:AC190),"")</f>
        <v/>
      </c>
      <c r="AE190" s="66" t="str">
        <f>IFERROR(INDEX(po_num,MATCH(185,po_seq,0))&amp;"","")</f>
        <v/>
      </c>
      <c r="AF190" s="66" t="str">
        <f>IF(OR(A190="",p_po=""),"",IF(A190&amp;""=p_po,COUNTIF($A$6:A190,A190),""))</f>
        <v/>
      </c>
      <c r="AG190" s="66" t="str">
        <f>IF(OR(AB190="",A190=""),"",IF(COUNTIFS($A$6:A190,A190,$AB$6:AB190,"&gt;0")=1,1,""))</f>
        <v/>
      </c>
      <c r="AH190" s="70" t="str">
        <f>IF(AB190="","",ROUND(N(W190)*N(J190)*(1-N(K190)),2))</f>
        <v/>
      </c>
      <c r="AI190" s="70" t="str">
        <f>IF(OR(J190="",N(T190)&lt;=0,V190="Oui"),"",ROUND(N(T190)*J190*(1-N(K190)),2))</f>
        <v/>
      </c>
    </row>
    <row r="191">
      <c r="A191" s="63" t="n"/>
      <c r="B191" s="64" t="n"/>
      <c r="C191" s="65" t="n"/>
      <c r="D191" s="66" t="str">
        <f>IF(C191="","",IFERROR(INDEX(sup_name,MATCH($C191,sup_code,0))&amp;"","Fournisseur inconnu"))</f>
        <v/>
      </c>
      <c r="E191" s="63" t="n"/>
      <c r="F191" s="66" t="str">
        <f>IF(E191="","",IFERROR(INDEX(art_des,MATCH($E191,art_ref,0))&amp;"","Article inconnu"))</f>
        <v/>
      </c>
      <c r="G191" s="67" t="str">
        <f>IF(E191="","",IFERROR(INDEX(art_unit,MATCH($E191,art_ref,0))&amp;"",""))</f>
        <v/>
      </c>
      <c r="H191" s="68" t="n"/>
      <c r="I191" s="69" t="n"/>
      <c r="J191" s="70" t="str">
        <f>IF(E191="","",IF(ISNUMBER(I191),I191,IFERROR(IF(ISNUMBER(INDEX(art_price,MATCH($E191,art_ref,0))),INDEX(art_price,MATCH($E191,art_ref,0)),""),"")))</f>
        <v/>
      </c>
      <c r="K191" s="71" t="n"/>
      <c r="L191" s="72" t="n"/>
      <c r="M191" s="72" t="str">
        <f>IF(E191="","",IF(L191&lt;&gt;"",L191,IFERROR(IF(ISNUMBER(INDEX(art_tva,MATCH($E191,art_ref,0))),INDEX(art_tva,MATCH($E191,art_ref,0)),""),"")))</f>
        <v/>
      </c>
      <c r="N191" s="70" t="str">
        <f>IF(OR(E191="",J191=""),"",ROUND(N(H191)*J191*(1-N(K191)),2))</f>
        <v/>
      </c>
      <c r="O191" s="70" t="str">
        <f>IF(OR(N191="",NOT(ISNUMBER(M191))),"",ROUND(N191*M191,2))</f>
        <v/>
      </c>
      <c r="P191" s="70" t="str">
        <f>IF(N191="","",N191+N(O191))</f>
        <v/>
      </c>
      <c r="Q191" s="64" t="n"/>
      <c r="R191" s="73" t="str">
        <f>IF(N(Q191)&gt;0,Q191,IF(OR(N(B191)=0,ISNA(MATCH($C191,sup_code,0))),"",IF(ISNUMBER(INDEX(sup_delay,MATCH($C191,sup_code,0))),B191+INDEX(sup_delay,MATCH($C191,sup_code,0)),"")))</f>
        <v/>
      </c>
      <c r="S191" s="64" t="n"/>
      <c r="T191" s="68" t="n"/>
      <c r="U191" s="64" t="n"/>
      <c r="V191" s="65" t="n"/>
      <c r="W191" s="74" t="str">
        <f>IF(AND(A191="",E191=""),"",IF(V191="Oui",0,MAX(0,ROUND(N(H191)-N(T191),6))))</f>
        <v/>
      </c>
      <c r="X191" s="67" t="str">
        <f>IF(AND(A191="",E191=""),"",IF(V191="Oui","Annulé",IF(AND(N(H191)&gt;0,N(T191)&gt;=N(H191)),"Reçu",IF(N(S191)=0,"Brouillon",IF(AND(ISNUMBER(R191),R191&lt;p_today),"En retard",IF(N(T191)&gt;0,"Partiel","Envoyé"))))))</f>
        <v/>
      </c>
      <c r="Y191" s="75" t="str">
        <f>IF(X191="En retard",p_today-R191,IF(AND(X191="Reçu",ISNUMBER(R191)),MAX(0,N(U191)-R191),""))</f>
        <v/>
      </c>
      <c r="Z191" s="67" t="str">
        <f>IF(AND(A191="",E191=""),"",IF(A191="","N° de bon manquant",IF(N(B191)=0,"Date de commande manquante",IF(C191="","Fournisseur manquant",IF(ISNA(MATCH($C191,sup_code,0)),"Fournisseur inconnu",IF(E191="","Article manquant",IF(ISNA(MATCH($E191,art_ref,0)),"Article inconnu",IF(N(H191)&lt;=0,"Quantité invalide",IF(J191="","Prix manquant",IF(OR(N(K191)&lt;0,N(K191)&gt;=1),"Remise invalide",IF(M191="","TVA manquante",IF(ISNA(MATCH(M191,p_tva,0)),"Taux de TVA inconnu",IF(COUNTIFS(po_num,A191,po_sup,"&lt;&gt;"&amp;C191)&gt;0,"Fournisseur différent sur ce bon",IF(COUNTIFS(po_num,A191,po_date,"&lt;&gt;"&amp;B191)&gt;0,"Date différente sur ce bon",IF(COUNTIF(po_num,A191)&gt;25,"Plus de 25 lignes sur ce bon",IF(R191="","Date de livraison manquante",IF(R191&lt;B191,"Livraison avant la commande",IF(AND(N(T191)&gt;0,N(S191)=0),"Date d'envoi manquante",IF(N(T191)&gt;N(H191),"Reçu plus que commandé",IF(AND(N(T191)&gt;0,N(U191)=0),"Date de réception manquante",IF(AND(N(U191)&gt;0,U191&lt;B191),"Réception avant la commande","OK")))))))))))))))))))))</f>
        <v/>
      </c>
      <c r="AA191" s="66" t="str">
        <f>IF(AND(X191="Reçu",ISNUMBER(R191)),IF(N(U191)&lt;=R191,1,0),"")</f>
        <v/>
      </c>
      <c r="AB191" s="76" t="str">
        <f>IF(OR(X191="Envoyé",X191="Partiel",X191="En retard"),IF(ISNUMBER(R191),R191,100000)+ROW()/100000,"")</f>
        <v/>
      </c>
      <c r="AC191" s="66" t="str">
        <f>IF(A191="","",IF(COUNTIF($A$6:A191,A191)=1,1,""))</f>
        <v/>
      </c>
      <c r="AD191" s="66" t="str">
        <f>IF(AC191=1,COUNT($AC$6:AC191),"")</f>
        <v/>
      </c>
      <c r="AE191" s="66" t="str">
        <f>IFERROR(INDEX(po_num,MATCH(186,po_seq,0))&amp;"","")</f>
        <v/>
      </c>
      <c r="AF191" s="66" t="str">
        <f>IF(OR(A191="",p_po=""),"",IF(A191&amp;""=p_po,COUNTIF($A$6:A191,A191),""))</f>
        <v/>
      </c>
      <c r="AG191" s="66" t="str">
        <f>IF(OR(AB191="",A191=""),"",IF(COUNTIFS($A$6:A191,A191,$AB$6:AB191,"&gt;0")=1,1,""))</f>
        <v/>
      </c>
      <c r="AH191" s="70" t="str">
        <f>IF(AB191="","",ROUND(N(W191)*N(J191)*(1-N(K191)),2))</f>
        <v/>
      </c>
      <c r="AI191" s="70" t="str">
        <f>IF(OR(J191="",N(T191)&lt;=0,V191="Oui"),"",ROUND(N(T191)*J191*(1-N(K191)),2))</f>
        <v/>
      </c>
    </row>
    <row r="192">
      <c r="A192" s="63" t="n"/>
      <c r="B192" s="64" t="n"/>
      <c r="C192" s="65" t="n"/>
      <c r="D192" s="66" t="str">
        <f>IF(C192="","",IFERROR(INDEX(sup_name,MATCH($C192,sup_code,0))&amp;"","Fournisseur inconnu"))</f>
        <v/>
      </c>
      <c r="E192" s="63" t="n"/>
      <c r="F192" s="66" t="str">
        <f>IF(E192="","",IFERROR(INDEX(art_des,MATCH($E192,art_ref,0))&amp;"","Article inconnu"))</f>
        <v/>
      </c>
      <c r="G192" s="67" t="str">
        <f>IF(E192="","",IFERROR(INDEX(art_unit,MATCH($E192,art_ref,0))&amp;"",""))</f>
        <v/>
      </c>
      <c r="H192" s="68" t="n"/>
      <c r="I192" s="69" t="n"/>
      <c r="J192" s="70" t="str">
        <f>IF(E192="","",IF(ISNUMBER(I192),I192,IFERROR(IF(ISNUMBER(INDEX(art_price,MATCH($E192,art_ref,0))),INDEX(art_price,MATCH($E192,art_ref,0)),""),"")))</f>
        <v/>
      </c>
      <c r="K192" s="71" t="n"/>
      <c r="L192" s="72" t="n"/>
      <c r="M192" s="72" t="str">
        <f>IF(E192="","",IF(L192&lt;&gt;"",L192,IFERROR(IF(ISNUMBER(INDEX(art_tva,MATCH($E192,art_ref,0))),INDEX(art_tva,MATCH($E192,art_ref,0)),""),"")))</f>
        <v/>
      </c>
      <c r="N192" s="70" t="str">
        <f>IF(OR(E192="",J192=""),"",ROUND(N(H192)*J192*(1-N(K192)),2))</f>
        <v/>
      </c>
      <c r="O192" s="70" t="str">
        <f>IF(OR(N192="",NOT(ISNUMBER(M192))),"",ROUND(N192*M192,2))</f>
        <v/>
      </c>
      <c r="P192" s="70" t="str">
        <f>IF(N192="","",N192+N(O192))</f>
        <v/>
      </c>
      <c r="Q192" s="64" t="n"/>
      <c r="R192" s="73" t="str">
        <f>IF(N(Q192)&gt;0,Q192,IF(OR(N(B192)=0,ISNA(MATCH($C192,sup_code,0))),"",IF(ISNUMBER(INDEX(sup_delay,MATCH($C192,sup_code,0))),B192+INDEX(sup_delay,MATCH($C192,sup_code,0)),"")))</f>
        <v/>
      </c>
      <c r="S192" s="64" t="n"/>
      <c r="T192" s="68" t="n"/>
      <c r="U192" s="64" t="n"/>
      <c r="V192" s="65" t="n"/>
      <c r="W192" s="74" t="str">
        <f>IF(AND(A192="",E192=""),"",IF(V192="Oui",0,MAX(0,ROUND(N(H192)-N(T192),6))))</f>
        <v/>
      </c>
      <c r="X192" s="67" t="str">
        <f>IF(AND(A192="",E192=""),"",IF(V192="Oui","Annulé",IF(AND(N(H192)&gt;0,N(T192)&gt;=N(H192)),"Reçu",IF(N(S192)=0,"Brouillon",IF(AND(ISNUMBER(R192),R192&lt;p_today),"En retard",IF(N(T192)&gt;0,"Partiel","Envoyé"))))))</f>
        <v/>
      </c>
      <c r="Y192" s="75" t="str">
        <f>IF(X192="En retard",p_today-R192,IF(AND(X192="Reçu",ISNUMBER(R192)),MAX(0,N(U192)-R192),""))</f>
        <v/>
      </c>
      <c r="Z192" s="67" t="str">
        <f>IF(AND(A192="",E192=""),"",IF(A192="","N° de bon manquant",IF(N(B192)=0,"Date de commande manquante",IF(C192="","Fournisseur manquant",IF(ISNA(MATCH($C192,sup_code,0)),"Fournisseur inconnu",IF(E192="","Article manquant",IF(ISNA(MATCH($E192,art_ref,0)),"Article inconnu",IF(N(H192)&lt;=0,"Quantité invalide",IF(J192="","Prix manquant",IF(OR(N(K192)&lt;0,N(K192)&gt;=1),"Remise invalide",IF(M192="","TVA manquante",IF(ISNA(MATCH(M192,p_tva,0)),"Taux de TVA inconnu",IF(COUNTIFS(po_num,A192,po_sup,"&lt;&gt;"&amp;C192)&gt;0,"Fournisseur différent sur ce bon",IF(COUNTIFS(po_num,A192,po_date,"&lt;&gt;"&amp;B192)&gt;0,"Date différente sur ce bon",IF(COUNTIF(po_num,A192)&gt;25,"Plus de 25 lignes sur ce bon",IF(R192="","Date de livraison manquante",IF(R192&lt;B192,"Livraison avant la commande",IF(AND(N(T192)&gt;0,N(S192)=0),"Date d'envoi manquante",IF(N(T192)&gt;N(H192),"Reçu plus que commandé",IF(AND(N(T192)&gt;0,N(U192)=0),"Date de réception manquante",IF(AND(N(U192)&gt;0,U192&lt;B192),"Réception avant la commande","OK")))))))))))))))))))))</f>
        <v/>
      </c>
      <c r="AA192" s="66" t="str">
        <f>IF(AND(X192="Reçu",ISNUMBER(R192)),IF(N(U192)&lt;=R192,1,0),"")</f>
        <v/>
      </c>
      <c r="AB192" s="76" t="str">
        <f>IF(OR(X192="Envoyé",X192="Partiel",X192="En retard"),IF(ISNUMBER(R192),R192,100000)+ROW()/100000,"")</f>
        <v/>
      </c>
      <c r="AC192" s="66" t="str">
        <f>IF(A192="","",IF(COUNTIF($A$6:A192,A192)=1,1,""))</f>
        <v/>
      </c>
      <c r="AD192" s="66" t="str">
        <f>IF(AC192=1,COUNT($AC$6:AC192),"")</f>
        <v/>
      </c>
      <c r="AE192" s="66" t="str">
        <f>IFERROR(INDEX(po_num,MATCH(187,po_seq,0))&amp;"","")</f>
        <v/>
      </c>
      <c r="AF192" s="66" t="str">
        <f>IF(OR(A192="",p_po=""),"",IF(A192&amp;""=p_po,COUNTIF($A$6:A192,A192),""))</f>
        <v/>
      </c>
      <c r="AG192" s="66" t="str">
        <f>IF(OR(AB192="",A192=""),"",IF(COUNTIFS($A$6:A192,A192,$AB$6:AB192,"&gt;0")=1,1,""))</f>
        <v/>
      </c>
      <c r="AH192" s="70" t="str">
        <f>IF(AB192="","",ROUND(N(W192)*N(J192)*(1-N(K192)),2))</f>
        <v/>
      </c>
      <c r="AI192" s="70" t="str">
        <f>IF(OR(J192="",N(T192)&lt;=0,V192="Oui"),"",ROUND(N(T192)*J192*(1-N(K192)),2))</f>
        <v/>
      </c>
    </row>
    <row r="193">
      <c r="A193" s="63" t="n"/>
      <c r="B193" s="64" t="n"/>
      <c r="C193" s="65" t="n"/>
      <c r="D193" s="66" t="str">
        <f>IF(C193="","",IFERROR(INDEX(sup_name,MATCH($C193,sup_code,0))&amp;"","Fournisseur inconnu"))</f>
        <v/>
      </c>
      <c r="E193" s="63" t="n"/>
      <c r="F193" s="66" t="str">
        <f>IF(E193="","",IFERROR(INDEX(art_des,MATCH($E193,art_ref,0))&amp;"","Article inconnu"))</f>
        <v/>
      </c>
      <c r="G193" s="67" t="str">
        <f>IF(E193="","",IFERROR(INDEX(art_unit,MATCH($E193,art_ref,0))&amp;"",""))</f>
        <v/>
      </c>
      <c r="H193" s="68" t="n"/>
      <c r="I193" s="69" t="n"/>
      <c r="J193" s="70" t="str">
        <f>IF(E193="","",IF(ISNUMBER(I193),I193,IFERROR(IF(ISNUMBER(INDEX(art_price,MATCH($E193,art_ref,0))),INDEX(art_price,MATCH($E193,art_ref,0)),""),"")))</f>
        <v/>
      </c>
      <c r="K193" s="71" t="n"/>
      <c r="L193" s="72" t="n"/>
      <c r="M193" s="72" t="str">
        <f>IF(E193="","",IF(L193&lt;&gt;"",L193,IFERROR(IF(ISNUMBER(INDEX(art_tva,MATCH($E193,art_ref,0))),INDEX(art_tva,MATCH($E193,art_ref,0)),""),"")))</f>
        <v/>
      </c>
      <c r="N193" s="70" t="str">
        <f>IF(OR(E193="",J193=""),"",ROUND(N(H193)*J193*(1-N(K193)),2))</f>
        <v/>
      </c>
      <c r="O193" s="70" t="str">
        <f>IF(OR(N193="",NOT(ISNUMBER(M193))),"",ROUND(N193*M193,2))</f>
        <v/>
      </c>
      <c r="P193" s="70" t="str">
        <f>IF(N193="","",N193+N(O193))</f>
        <v/>
      </c>
      <c r="Q193" s="64" t="n"/>
      <c r="R193" s="73" t="str">
        <f>IF(N(Q193)&gt;0,Q193,IF(OR(N(B193)=0,ISNA(MATCH($C193,sup_code,0))),"",IF(ISNUMBER(INDEX(sup_delay,MATCH($C193,sup_code,0))),B193+INDEX(sup_delay,MATCH($C193,sup_code,0)),"")))</f>
        <v/>
      </c>
      <c r="S193" s="64" t="n"/>
      <c r="T193" s="68" t="n"/>
      <c r="U193" s="64" t="n"/>
      <c r="V193" s="65" t="n"/>
      <c r="W193" s="74" t="str">
        <f>IF(AND(A193="",E193=""),"",IF(V193="Oui",0,MAX(0,ROUND(N(H193)-N(T193),6))))</f>
        <v/>
      </c>
      <c r="X193" s="67" t="str">
        <f>IF(AND(A193="",E193=""),"",IF(V193="Oui","Annulé",IF(AND(N(H193)&gt;0,N(T193)&gt;=N(H193)),"Reçu",IF(N(S193)=0,"Brouillon",IF(AND(ISNUMBER(R193),R193&lt;p_today),"En retard",IF(N(T193)&gt;0,"Partiel","Envoyé"))))))</f>
        <v/>
      </c>
      <c r="Y193" s="75" t="str">
        <f>IF(X193="En retard",p_today-R193,IF(AND(X193="Reçu",ISNUMBER(R193)),MAX(0,N(U193)-R193),""))</f>
        <v/>
      </c>
      <c r="Z193" s="67" t="str">
        <f>IF(AND(A193="",E193=""),"",IF(A193="","N° de bon manquant",IF(N(B193)=0,"Date de commande manquante",IF(C193="","Fournisseur manquant",IF(ISNA(MATCH($C193,sup_code,0)),"Fournisseur inconnu",IF(E193="","Article manquant",IF(ISNA(MATCH($E193,art_ref,0)),"Article inconnu",IF(N(H193)&lt;=0,"Quantité invalide",IF(J193="","Prix manquant",IF(OR(N(K193)&lt;0,N(K193)&gt;=1),"Remise invalide",IF(M193="","TVA manquante",IF(ISNA(MATCH(M193,p_tva,0)),"Taux de TVA inconnu",IF(COUNTIFS(po_num,A193,po_sup,"&lt;&gt;"&amp;C193)&gt;0,"Fournisseur différent sur ce bon",IF(COUNTIFS(po_num,A193,po_date,"&lt;&gt;"&amp;B193)&gt;0,"Date différente sur ce bon",IF(COUNTIF(po_num,A193)&gt;25,"Plus de 25 lignes sur ce bon",IF(R193="","Date de livraison manquante",IF(R193&lt;B193,"Livraison avant la commande",IF(AND(N(T193)&gt;0,N(S193)=0),"Date d'envoi manquante",IF(N(T193)&gt;N(H193),"Reçu plus que commandé",IF(AND(N(T193)&gt;0,N(U193)=0),"Date de réception manquante",IF(AND(N(U193)&gt;0,U193&lt;B193),"Réception avant la commande","OK")))))))))))))))))))))</f>
        <v/>
      </c>
      <c r="AA193" s="66" t="str">
        <f>IF(AND(X193="Reçu",ISNUMBER(R193)),IF(N(U193)&lt;=R193,1,0),"")</f>
        <v/>
      </c>
      <c r="AB193" s="76" t="str">
        <f>IF(OR(X193="Envoyé",X193="Partiel",X193="En retard"),IF(ISNUMBER(R193),R193,100000)+ROW()/100000,"")</f>
        <v/>
      </c>
      <c r="AC193" s="66" t="str">
        <f>IF(A193="","",IF(COUNTIF($A$6:A193,A193)=1,1,""))</f>
        <v/>
      </c>
      <c r="AD193" s="66" t="str">
        <f>IF(AC193=1,COUNT($AC$6:AC193),"")</f>
        <v/>
      </c>
      <c r="AE193" s="66" t="str">
        <f>IFERROR(INDEX(po_num,MATCH(188,po_seq,0))&amp;"","")</f>
        <v/>
      </c>
      <c r="AF193" s="66" t="str">
        <f>IF(OR(A193="",p_po=""),"",IF(A193&amp;""=p_po,COUNTIF($A$6:A193,A193),""))</f>
        <v/>
      </c>
      <c r="AG193" s="66" t="str">
        <f>IF(OR(AB193="",A193=""),"",IF(COUNTIFS($A$6:A193,A193,$AB$6:AB193,"&gt;0")=1,1,""))</f>
        <v/>
      </c>
      <c r="AH193" s="70" t="str">
        <f>IF(AB193="","",ROUND(N(W193)*N(J193)*(1-N(K193)),2))</f>
        <v/>
      </c>
      <c r="AI193" s="70" t="str">
        <f>IF(OR(J193="",N(T193)&lt;=0,V193="Oui"),"",ROUND(N(T193)*J193*(1-N(K193)),2))</f>
        <v/>
      </c>
    </row>
    <row r="194">
      <c r="A194" s="63" t="n"/>
      <c r="B194" s="64" t="n"/>
      <c r="C194" s="65" t="n"/>
      <c r="D194" s="66" t="str">
        <f>IF(C194="","",IFERROR(INDEX(sup_name,MATCH($C194,sup_code,0))&amp;"","Fournisseur inconnu"))</f>
        <v/>
      </c>
      <c r="E194" s="63" t="n"/>
      <c r="F194" s="66" t="str">
        <f>IF(E194="","",IFERROR(INDEX(art_des,MATCH($E194,art_ref,0))&amp;"","Article inconnu"))</f>
        <v/>
      </c>
      <c r="G194" s="67" t="str">
        <f>IF(E194="","",IFERROR(INDEX(art_unit,MATCH($E194,art_ref,0))&amp;"",""))</f>
        <v/>
      </c>
      <c r="H194" s="68" t="n"/>
      <c r="I194" s="69" t="n"/>
      <c r="J194" s="70" t="str">
        <f>IF(E194="","",IF(ISNUMBER(I194),I194,IFERROR(IF(ISNUMBER(INDEX(art_price,MATCH($E194,art_ref,0))),INDEX(art_price,MATCH($E194,art_ref,0)),""),"")))</f>
        <v/>
      </c>
      <c r="K194" s="71" t="n"/>
      <c r="L194" s="72" t="n"/>
      <c r="M194" s="72" t="str">
        <f>IF(E194="","",IF(L194&lt;&gt;"",L194,IFERROR(IF(ISNUMBER(INDEX(art_tva,MATCH($E194,art_ref,0))),INDEX(art_tva,MATCH($E194,art_ref,0)),""),"")))</f>
        <v/>
      </c>
      <c r="N194" s="70" t="str">
        <f>IF(OR(E194="",J194=""),"",ROUND(N(H194)*J194*(1-N(K194)),2))</f>
        <v/>
      </c>
      <c r="O194" s="70" t="str">
        <f>IF(OR(N194="",NOT(ISNUMBER(M194))),"",ROUND(N194*M194,2))</f>
        <v/>
      </c>
      <c r="P194" s="70" t="str">
        <f>IF(N194="","",N194+N(O194))</f>
        <v/>
      </c>
      <c r="Q194" s="64" t="n"/>
      <c r="R194" s="73" t="str">
        <f>IF(N(Q194)&gt;0,Q194,IF(OR(N(B194)=0,ISNA(MATCH($C194,sup_code,0))),"",IF(ISNUMBER(INDEX(sup_delay,MATCH($C194,sup_code,0))),B194+INDEX(sup_delay,MATCH($C194,sup_code,0)),"")))</f>
        <v/>
      </c>
      <c r="S194" s="64" t="n"/>
      <c r="T194" s="68" t="n"/>
      <c r="U194" s="64" t="n"/>
      <c r="V194" s="65" t="n"/>
      <c r="W194" s="74" t="str">
        <f>IF(AND(A194="",E194=""),"",IF(V194="Oui",0,MAX(0,ROUND(N(H194)-N(T194),6))))</f>
        <v/>
      </c>
      <c r="X194" s="67" t="str">
        <f>IF(AND(A194="",E194=""),"",IF(V194="Oui","Annulé",IF(AND(N(H194)&gt;0,N(T194)&gt;=N(H194)),"Reçu",IF(N(S194)=0,"Brouillon",IF(AND(ISNUMBER(R194),R194&lt;p_today),"En retard",IF(N(T194)&gt;0,"Partiel","Envoyé"))))))</f>
        <v/>
      </c>
      <c r="Y194" s="75" t="str">
        <f>IF(X194="En retard",p_today-R194,IF(AND(X194="Reçu",ISNUMBER(R194)),MAX(0,N(U194)-R194),""))</f>
        <v/>
      </c>
      <c r="Z194" s="67" t="str">
        <f>IF(AND(A194="",E194=""),"",IF(A194="","N° de bon manquant",IF(N(B194)=0,"Date de commande manquante",IF(C194="","Fournisseur manquant",IF(ISNA(MATCH($C194,sup_code,0)),"Fournisseur inconnu",IF(E194="","Article manquant",IF(ISNA(MATCH($E194,art_ref,0)),"Article inconnu",IF(N(H194)&lt;=0,"Quantité invalide",IF(J194="","Prix manquant",IF(OR(N(K194)&lt;0,N(K194)&gt;=1),"Remise invalide",IF(M194="","TVA manquante",IF(ISNA(MATCH(M194,p_tva,0)),"Taux de TVA inconnu",IF(COUNTIFS(po_num,A194,po_sup,"&lt;&gt;"&amp;C194)&gt;0,"Fournisseur différent sur ce bon",IF(COUNTIFS(po_num,A194,po_date,"&lt;&gt;"&amp;B194)&gt;0,"Date différente sur ce bon",IF(COUNTIF(po_num,A194)&gt;25,"Plus de 25 lignes sur ce bon",IF(R194="","Date de livraison manquante",IF(R194&lt;B194,"Livraison avant la commande",IF(AND(N(T194)&gt;0,N(S194)=0),"Date d'envoi manquante",IF(N(T194)&gt;N(H194),"Reçu plus que commandé",IF(AND(N(T194)&gt;0,N(U194)=0),"Date de réception manquante",IF(AND(N(U194)&gt;0,U194&lt;B194),"Réception avant la commande","OK")))))))))))))))))))))</f>
        <v/>
      </c>
      <c r="AA194" s="66" t="str">
        <f>IF(AND(X194="Reçu",ISNUMBER(R194)),IF(N(U194)&lt;=R194,1,0),"")</f>
        <v/>
      </c>
      <c r="AB194" s="76" t="str">
        <f>IF(OR(X194="Envoyé",X194="Partiel",X194="En retard"),IF(ISNUMBER(R194),R194,100000)+ROW()/100000,"")</f>
        <v/>
      </c>
      <c r="AC194" s="66" t="str">
        <f>IF(A194="","",IF(COUNTIF($A$6:A194,A194)=1,1,""))</f>
        <v/>
      </c>
      <c r="AD194" s="66" t="str">
        <f>IF(AC194=1,COUNT($AC$6:AC194),"")</f>
        <v/>
      </c>
      <c r="AE194" s="66" t="str">
        <f>IFERROR(INDEX(po_num,MATCH(189,po_seq,0))&amp;"","")</f>
        <v/>
      </c>
      <c r="AF194" s="66" t="str">
        <f>IF(OR(A194="",p_po=""),"",IF(A194&amp;""=p_po,COUNTIF($A$6:A194,A194),""))</f>
        <v/>
      </c>
      <c r="AG194" s="66" t="str">
        <f>IF(OR(AB194="",A194=""),"",IF(COUNTIFS($A$6:A194,A194,$AB$6:AB194,"&gt;0")=1,1,""))</f>
        <v/>
      </c>
      <c r="AH194" s="70" t="str">
        <f>IF(AB194="","",ROUND(N(W194)*N(J194)*(1-N(K194)),2))</f>
        <v/>
      </c>
      <c r="AI194" s="70" t="str">
        <f>IF(OR(J194="",N(T194)&lt;=0,V194="Oui"),"",ROUND(N(T194)*J194*(1-N(K194)),2))</f>
        <v/>
      </c>
    </row>
    <row r="195">
      <c r="A195" s="63" t="n"/>
      <c r="B195" s="64" t="n"/>
      <c r="C195" s="65" t="n"/>
      <c r="D195" s="66" t="str">
        <f>IF(C195="","",IFERROR(INDEX(sup_name,MATCH($C195,sup_code,0))&amp;"","Fournisseur inconnu"))</f>
        <v/>
      </c>
      <c r="E195" s="63" t="n"/>
      <c r="F195" s="66" t="str">
        <f>IF(E195="","",IFERROR(INDEX(art_des,MATCH($E195,art_ref,0))&amp;"","Article inconnu"))</f>
        <v/>
      </c>
      <c r="G195" s="67" t="str">
        <f>IF(E195="","",IFERROR(INDEX(art_unit,MATCH($E195,art_ref,0))&amp;"",""))</f>
        <v/>
      </c>
      <c r="H195" s="68" t="n"/>
      <c r="I195" s="69" t="n"/>
      <c r="J195" s="70" t="str">
        <f>IF(E195="","",IF(ISNUMBER(I195),I195,IFERROR(IF(ISNUMBER(INDEX(art_price,MATCH($E195,art_ref,0))),INDEX(art_price,MATCH($E195,art_ref,0)),""),"")))</f>
        <v/>
      </c>
      <c r="K195" s="71" t="n"/>
      <c r="L195" s="72" t="n"/>
      <c r="M195" s="72" t="str">
        <f>IF(E195="","",IF(L195&lt;&gt;"",L195,IFERROR(IF(ISNUMBER(INDEX(art_tva,MATCH($E195,art_ref,0))),INDEX(art_tva,MATCH($E195,art_ref,0)),""),"")))</f>
        <v/>
      </c>
      <c r="N195" s="70" t="str">
        <f>IF(OR(E195="",J195=""),"",ROUND(N(H195)*J195*(1-N(K195)),2))</f>
        <v/>
      </c>
      <c r="O195" s="70" t="str">
        <f>IF(OR(N195="",NOT(ISNUMBER(M195))),"",ROUND(N195*M195,2))</f>
        <v/>
      </c>
      <c r="P195" s="70" t="str">
        <f>IF(N195="","",N195+N(O195))</f>
        <v/>
      </c>
      <c r="Q195" s="64" t="n"/>
      <c r="R195" s="73" t="str">
        <f>IF(N(Q195)&gt;0,Q195,IF(OR(N(B195)=0,ISNA(MATCH($C195,sup_code,0))),"",IF(ISNUMBER(INDEX(sup_delay,MATCH($C195,sup_code,0))),B195+INDEX(sup_delay,MATCH($C195,sup_code,0)),"")))</f>
        <v/>
      </c>
      <c r="S195" s="64" t="n"/>
      <c r="T195" s="68" t="n"/>
      <c r="U195" s="64" t="n"/>
      <c r="V195" s="65" t="n"/>
      <c r="W195" s="74" t="str">
        <f>IF(AND(A195="",E195=""),"",IF(V195="Oui",0,MAX(0,ROUND(N(H195)-N(T195),6))))</f>
        <v/>
      </c>
      <c r="X195" s="67" t="str">
        <f>IF(AND(A195="",E195=""),"",IF(V195="Oui","Annulé",IF(AND(N(H195)&gt;0,N(T195)&gt;=N(H195)),"Reçu",IF(N(S195)=0,"Brouillon",IF(AND(ISNUMBER(R195),R195&lt;p_today),"En retard",IF(N(T195)&gt;0,"Partiel","Envoyé"))))))</f>
        <v/>
      </c>
      <c r="Y195" s="75" t="str">
        <f>IF(X195="En retard",p_today-R195,IF(AND(X195="Reçu",ISNUMBER(R195)),MAX(0,N(U195)-R195),""))</f>
        <v/>
      </c>
      <c r="Z195" s="67" t="str">
        <f>IF(AND(A195="",E195=""),"",IF(A195="","N° de bon manquant",IF(N(B195)=0,"Date de commande manquante",IF(C195="","Fournisseur manquant",IF(ISNA(MATCH($C195,sup_code,0)),"Fournisseur inconnu",IF(E195="","Article manquant",IF(ISNA(MATCH($E195,art_ref,0)),"Article inconnu",IF(N(H195)&lt;=0,"Quantité invalide",IF(J195="","Prix manquant",IF(OR(N(K195)&lt;0,N(K195)&gt;=1),"Remise invalide",IF(M195="","TVA manquante",IF(ISNA(MATCH(M195,p_tva,0)),"Taux de TVA inconnu",IF(COUNTIFS(po_num,A195,po_sup,"&lt;&gt;"&amp;C195)&gt;0,"Fournisseur différent sur ce bon",IF(COUNTIFS(po_num,A195,po_date,"&lt;&gt;"&amp;B195)&gt;0,"Date différente sur ce bon",IF(COUNTIF(po_num,A195)&gt;25,"Plus de 25 lignes sur ce bon",IF(R195="","Date de livraison manquante",IF(R195&lt;B195,"Livraison avant la commande",IF(AND(N(T195)&gt;0,N(S195)=0),"Date d'envoi manquante",IF(N(T195)&gt;N(H195),"Reçu plus que commandé",IF(AND(N(T195)&gt;0,N(U195)=0),"Date de réception manquante",IF(AND(N(U195)&gt;0,U195&lt;B195),"Réception avant la commande","OK")))))))))))))))))))))</f>
        <v/>
      </c>
      <c r="AA195" s="66" t="str">
        <f>IF(AND(X195="Reçu",ISNUMBER(R195)),IF(N(U195)&lt;=R195,1,0),"")</f>
        <v/>
      </c>
      <c r="AB195" s="76" t="str">
        <f>IF(OR(X195="Envoyé",X195="Partiel",X195="En retard"),IF(ISNUMBER(R195),R195,100000)+ROW()/100000,"")</f>
        <v/>
      </c>
      <c r="AC195" s="66" t="str">
        <f>IF(A195="","",IF(COUNTIF($A$6:A195,A195)=1,1,""))</f>
        <v/>
      </c>
      <c r="AD195" s="66" t="str">
        <f>IF(AC195=1,COUNT($AC$6:AC195),"")</f>
        <v/>
      </c>
      <c r="AE195" s="66" t="str">
        <f>IFERROR(INDEX(po_num,MATCH(190,po_seq,0))&amp;"","")</f>
        <v/>
      </c>
      <c r="AF195" s="66" t="str">
        <f>IF(OR(A195="",p_po=""),"",IF(A195&amp;""=p_po,COUNTIF($A$6:A195,A195),""))</f>
        <v/>
      </c>
      <c r="AG195" s="66" t="str">
        <f>IF(OR(AB195="",A195=""),"",IF(COUNTIFS($A$6:A195,A195,$AB$6:AB195,"&gt;0")=1,1,""))</f>
        <v/>
      </c>
      <c r="AH195" s="70" t="str">
        <f>IF(AB195="","",ROUND(N(W195)*N(J195)*(1-N(K195)),2))</f>
        <v/>
      </c>
      <c r="AI195" s="70" t="str">
        <f>IF(OR(J195="",N(T195)&lt;=0,V195="Oui"),"",ROUND(N(T195)*J195*(1-N(K195)),2))</f>
        <v/>
      </c>
    </row>
    <row r="196">
      <c r="A196" s="63" t="n"/>
      <c r="B196" s="64" t="n"/>
      <c r="C196" s="65" t="n"/>
      <c r="D196" s="66" t="str">
        <f>IF(C196="","",IFERROR(INDEX(sup_name,MATCH($C196,sup_code,0))&amp;"","Fournisseur inconnu"))</f>
        <v/>
      </c>
      <c r="E196" s="63" t="n"/>
      <c r="F196" s="66" t="str">
        <f>IF(E196="","",IFERROR(INDEX(art_des,MATCH($E196,art_ref,0))&amp;"","Article inconnu"))</f>
        <v/>
      </c>
      <c r="G196" s="67" t="str">
        <f>IF(E196="","",IFERROR(INDEX(art_unit,MATCH($E196,art_ref,0))&amp;"",""))</f>
        <v/>
      </c>
      <c r="H196" s="68" t="n"/>
      <c r="I196" s="69" t="n"/>
      <c r="J196" s="70" t="str">
        <f>IF(E196="","",IF(ISNUMBER(I196),I196,IFERROR(IF(ISNUMBER(INDEX(art_price,MATCH($E196,art_ref,0))),INDEX(art_price,MATCH($E196,art_ref,0)),""),"")))</f>
        <v/>
      </c>
      <c r="K196" s="71" t="n"/>
      <c r="L196" s="72" t="n"/>
      <c r="M196" s="72" t="str">
        <f>IF(E196="","",IF(L196&lt;&gt;"",L196,IFERROR(IF(ISNUMBER(INDEX(art_tva,MATCH($E196,art_ref,0))),INDEX(art_tva,MATCH($E196,art_ref,0)),""),"")))</f>
        <v/>
      </c>
      <c r="N196" s="70" t="str">
        <f>IF(OR(E196="",J196=""),"",ROUND(N(H196)*J196*(1-N(K196)),2))</f>
        <v/>
      </c>
      <c r="O196" s="70" t="str">
        <f>IF(OR(N196="",NOT(ISNUMBER(M196))),"",ROUND(N196*M196,2))</f>
        <v/>
      </c>
      <c r="P196" s="70" t="str">
        <f>IF(N196="","",N196+N(O196))</f>
        <v/>
      </c>
      <c r="Q196" s="64" t="n"/>
      <c r="R196" s="73" t="str">
        <f>IF(N(Q196)&gt;0,Q196,IF(OR(N(B196)=0,ISNA(MATCH($C196,sup_code,0))),"",IF(ISNUMBER(INDEX(sup_delay,MATCH($C196,sup_code,0))),B196+INDEX(sup_delay,MATCH($C196,sup_code,0)),"")))</f>
        <v/>
      </c>
      <c r="S196" s="64" t="n"/>
      <c r="T196" s="68" t="n"/>
      <c r="U196" s="64" t="n"/>
      <c r="V196" s="65" t="n"/>
      <c r="W196" s="74" t="str">
        <f>IF(AND(A196="",E196=""),"",IF(V196="Oui",0,MAX(0,ROUND(N(H196)-N(T196),6))))</f>
        <v/>
      </c>
      <c r="X196" s="67" t="str">
        <f>IF(AND(A196="",E196=""),"",IF(V196="Oui","Annulé",IF(AND(N(H196)&gt;0,N(T196)&gt;=N(H196)),"Reçu",IF(N(S196)=0,"Brouillon",IF(AND(ISNUMBER(R196),R196&lt;p_today),"En retard",IF(N(T196)&gt;0,"Partiel","Envoyé"))))))</f>
        <v/>
      </c>
      <c r="Y196" s="75" t="str">
        <f>IF(X196="En retard",p_today-R196,IF(AND(X196="Reçu",ISNUMBER(R196)),MAX(0,N(U196)-R196),""))</f>
        <v/>
      </c>
      <c r="Z196" s="67" t="str">
        <f>IF(AND(A196="",E196=""),"",IF(A196="","N° de bon manquant",IF(N(B196)=0,"Date de commande manquante",IF(C196="","Fournisseur manquant",IF(ISNA(MATCH($C196,sup_code,0)),"Fournisseur inconnu",IF(E196="","Article manquant",IF(ISNA(MATCH($E196,art_ref,0)),"Article inconnu",IF(N(H196)&lt;=0,"Quantité invalide",IF(J196="","Prix manquant",IF(OR(N(K196)&lt;0,N(K196)&gt;=1),"Remise invalide",IF(M196="","TVA manquante",IF(ISNA(MATCH(M196,p_tva,0)),"Taux de TVA inconnu",IF(COUNTIFS(po_num,A196,po_sup,"&lt;&gt;"&amp;C196)&gt;0,"Fournisseur différent sur ce bon",IF(COUNTIFS(po_num,A196,po_date,"&lt;&gt;"&amp;B196)&gt;0,"Date différente sur ce bon",IF(COUNTIF(po_num,A196)&gt;25,"Plus de 25 lignes sur ce bon",IF(R196="","Date de livraison manquante",IF(R196&lt;B196,"Livraison avant la commande",IF(AND(N(T196)&gt;0,N(S196)=0),"Date d'envoi manquante",IF(N(T196)&gt;N(H196),"Reçu plus que commandé",IF(AND(N(T196)&gt;0,N(U196)=0),"Date de réception manquante",IF(AND(N(U196)&gt;0,U196&lt;B196),"Réception avant la commande","OK")))))))))))))))))))))</f>
        <v/>
      </c>
      <c r="AA196" s="66" t="str">
        <f>IF(AND(X196="Reçu",ISNUMBER(R196)),IF(N(U196)&lt;=R196,1,0),"")</f>
        <v/>
      </c>
      <c r="AB196" s="76" t="str">
        <f>IF(OR(X196="Envoyé",X196="Partiel",X196="En retard"),IF(ISNUMBER(R196),R196,100000)+ROW()/100000,"")</f>
        <v/>
      </c>
      <c r="AC196" s="66" t="str">
        <f>IF(A196="","",IF(COUNTIF($A$6:A196,A196)=1,1,""))</f>
        <v/>
      </c>
      <c r="AD196" s="66" t="str">
        <f>IF(AC196=1,COUNT($AC$6:AC196),"")</f>
        <v/>
      </c>
      <c r="AE196" s="66" t="str">
        <f>IFERROR(INDEX(po_num,MATCH(191,po_seq,0))&amp;"","")</f>
        <v/>
      </c>
      <c r="AF196" s="66" t="str">
        <f>IF(OR(A196="",p_po=""),"",IF(A196&amp;""=p_po,COUNTIF($A$6:A196,A196),""))</f>
        <v/>
      </c>
      <c r="AG196" s="66" t="str">
        <f>IF(OR(AB196="",A196=""),"",IF(COUNTIFS($A$6:A196,A196,$AB$6:AB196,"&gt;0")=1,1,""))</f>
        <v/>
      </c>
      <c r="AH196" s="70" t="str">
        <f>IF(AB196="","",ROUND(N(W196)*N(J196)*(1-N(K196)),2))</f>
        <v/>
      </c>
      <c r="AI196" s="70" t="str">
        <f>IF(OR(J196="",N(T196)&lt;=0,V196="Oui"),"",ROUND(N(T196)*J196*(1-N(K196)),2))</f>
        <v/>
      </c>
    </row>
    <row r="197">
      <c r="A197" s="63" t="n"/>
      <c r="B197" s="64" t="n"/>
      <c r="C197" s="65" t="n"/>
      <c r="D197" s="66" t="str">
        <f>IF(C197="","",IFERROR(INDEX(sup_name,MATCH($C197,sup_code,0))&amp;"","Fournisseur inconnu"))</f>
        <v/>
      </c>
      <c r="E197" s="63" t="n"/>
      <c r="F197" s="66" t="str">
        <f>IF(E197="","",IFERROR(INDEX(art_des,MATCH($E197,art_ref,0))&amp;"","Article inconnu"))</f>
        <v/>
      </c>
      <c r="G197" s="67" t="str">
        <f>IF(E197="","",IFERROR(INDEX(art_unit,MATCH($E197,art_ref,0))&amp;"",""))</f>
        <v/>
      </c>
      <c r="H197" s="68" t="n"/>
      <c r="I197" s="69" t="n"/>
      <c r="J197" s="70" t="str">
        <f>IF(E197="","",IF(ISNUMBER(I197),I197,IFERROR(IF(ISNUMBER(INDEX(art_price,MATCH($E197,art_ref,0))),INDEX(art_price,MATCH($E197,art_ref,0)),""),"")))</f>
        <v/>
      </c>
      <c r="K197" s="71" t="n"/>
      <c r="L197" s="72" t="n"/>
      <c r="M197" s="72" t="str">
        <f>IF(E197="","",IF(L197&lt;&gt;"",L197,IFERROR(IF(ISNUMBER(INDEX(art_tva,MATCH($E197,art_ref,0))),INDEX(art_tva,MATCH($E197,art_ref,0)),""),"")))</f>
        <v/>
      </c>
      <c r="N197" s="70" t="str">
        <f>IF(OR(E197="",J197=""),"",ROUND(N(H197)*J197*(1-N(K197)),2))</f>
        <v/>
      </c>
      <c r="O197" s="70" t="str">
        <f>IF(OR(N197="",NOT(ISNUMBER(M197))),"",ROUND(N197*M197,2))</f>
        <v/>
      </c>
      <c r="P197" s="70" t="str">
        <f>IF(N197="","",N197+N(O197))</f>
        <v/>
      </c>
      <c r="Q197" s="64" t="n"/>
      <c r="R197" s="73" t="str">
        <f>IF(N(Q197)&gt;0,Q197,IF(OR(N(B197)=0,ISNA(MATCH($C197,sup_code,0))),"",IF(ISNUMBER(INDEX(sup_delay,MATCH($C197,sup_code,0))),B197+INDEX(sup_delay,MATCH($C197,sup_code,0)),"")))</f>
        <v/>
      </c>
      <c r="S197" s="64" t="n"/>
      <c r="T197" s="68" t="n"/>
      <c r="U197" s="64" t="n"/>
      <c r="V197" s="65" t="n"/>
      <c r="W197" s="74" t="str">
        <f>IF(AND(A197="",E197=""),"",IF(V197="Oui",0,MAX(0,ROUND(N(H197)-N(T197),6))))</f>
        <v/>
      </c>
      <c r="X197" s="67" t="str">
        <f>IF(AND(A197="",E197=""),"",IF(V197="Oui","Annulé",IF(AND(N(H197)&gt;0,N(T197)&gt;=N(H197)),"Reçu",IF(N(S197)=0,"Brouillon",IF(AND(ISNUMBER(R197),R197&lt;p_today),"En retard",IF(N(T197)&gt;0,"Partiel","Envoyé"))))))</f>
        <v/>
      </c>
      <c r="Y197" s="75" t="str">
        <f>IF(X197="En retard",p_today-R197,IF(AND(X197="Reçu",ISNUMBER(R197)),MAX(0,N(U197)-R197),""))</f>
        <v/>
      </c>
      <c r="Z197" s="67" t="str">
        <f>IF(AND(A197="",E197=""),"",IF(A197="","N° de bon manquant",IF(N(B197)=0,"Date de commande manquante",IF(C197="","Fournisseur manquant",IF(ISNA(MATCH($C197,sup_code,0)),"Fournisseur inconnu",IF(E197="","Article manquant",IF(ISNA(MATCH($E197,art_ref,0)),"Article inconnu",IF(N(H197)&lt;=0,"Quantité invalide",IF(J197="","Prix manquant",IF(OR(N(K197)&lt;0,N(K197)&gt;=1),"Remise invalide",IF(M197="","TVA manquante",IF(ISNA(MATCH(M197,p_tva,0)),"Taux de TVA inconnu",IF(COUNTIFS(po_num,A197,po_sup,"&lt;&gt;"&amp;C197)&gt;0,"Fournisseur différent sur ce bon",IF(COUNTIFS(po_num,A197,po_date,"&lt;&gt;"&amp;B197)&gt;0,"Date différente sur ce bon",IF(COUNTIF(po_num,A197)&gt;25,"Plus de 25 lignes sur ce bon",IF(R197="","Date de livraison manquante",IF(R197&lt;B197,"Livraison avant la commande",IF(AND(N(T197)&gt;0,N(S197)=0),"Date d'envoi manquante",IF(N(T197)&gt;N(H197),"Reçu plus que commandé",IF(AND(N(T197)&gt;0,N(U197)=0),"Date de réception manquante",IF(AND(N(U197)&gt;0,U197&lt;B197),"Réception avant la commande","OK")))))))))))))))))))))</f>
        <v/>
      </c>
      <c r="AA197" s="66" t="str">
        <f>IF(AND(X197="Reçu",ISNUMBER(R197)),IF(N(U197)&lt;=R197,1,0),"")</f>
        <v/>
      </c>
      <c r="AB197" s="76" t="str">
        <f>IF(OR(X197="Envoyé",X197="Partiel",X197="En retard"),IF(ISNUMBER(R197),R197,100000)+ROW()/100000,"")</f>
        <v/>
      </c>
      <c r="AC197" s="66" t="str">
        <f>IF(A197="","",IF(COUNTIF($A$6:A197,A197)=1,1,""))</f>
        <v/>
      </c>
      <c r="AD197" s="66" t="str">
        <f>IF(AC197=1,COUNT($AC$6:AC197),"")</f>
        <v/>
      </c>
      <c r="AE197" s="66" t="str">
        <f>IFERROR(INDEX(po_num,MATCH(192,po_seq,0))&amp;"","")</f>
        <v/>
      </c>
      <c r="AF197" s="66" t="str">
        <f>IF(OR(A197="",p_po=""),"",IF(A197&amp;""=p_po,COUNTIF($A$6:A197,A197),""))</f>
        <v/>
      </c>
      <c r="AG197" s="66" t="str">
        <f>IF(OR(AB197="",A197=""),"",IF(COUNTIFS($A$6:A197,A197,$AB$6:AB197,"&gt;0")=1,1,""))</f>
        <v/>
      </c>
      <c r="AH197" s="70" t="str">
        <f>IF(AB197="","",ROUND(N(W197)*N(J197)*(1-N(K197)),2))</f>
        <v/>
      </c>
      <c r="AI197" s="70" t="str">
        <f>IF(OR(J197="",N(T197)&lt;=0,V197="Oui"),"",ROUND(N(T197)*J197*(1-N(K197)),2))</f>
        <v/>
      </c>
    </row>
    <row r="198">
      <c r="A198" s="63" t="n"/>
      <c r="B198" s="64" t="n"/>
      <c r="C198" s="65" t="n"/>
      <c r="D198" s="66" t="str">
        <f>IF(C198="","",IFERROR(INDEX(sup_name,MATCH($C198,sup_code,0))&amp;"","Fournisseur inconnu"))</f>
        <v/>
      </c>
      <c r="E198" s="63" t="n"/>
      <c r="F198" s="66" t="str">
        <f>IF(E198="","",IFERROR(INDEX(art_des,MATCH($E198,art_ref,0))&amp;"","Article inconnu"))</f>
        <v/>
      </c>
      <c r="G198" s="67" t="str">
        <f>IF(E198="","",IFERROR(INDEX(art_unit,MATCH($E198,art_ref,0))&amp;"",""))</f>
        <v/>
      </c>
      <c r="H198" s="68" t="n"/>
      <c r="I198" s="69" t="n"/>
      <c r="J198" s="70" t="str">
        <f>IF(E198="","",IF(ISNUMBER(I198),I198,IFERROR(IF(ISNUMBER(INDEX(art_price,MATCH($E198,art_ref,0))),INDEX(art_price,MATCH($E198,art_ref,0)),""),"")))</f>
        <v/>
      </c>
      <c r="K198" s="71" t="n"/>
      <c r="L198" s="72" t="n"/>
      <c r="M198" s="72" t="str">
        <f>IF(E198="","",IF(L198&lt;&gt;"",L198,IFERROR(IF(ISNUMBER(INDEX(art_tva,MATCH($E198,art_ref,0))),INDEX(art_tva,MATCH($E198,art_ref,0)),""),"")))</f>
        <v/>
      </c>
      <c r="N198" s="70" t="str">
        <f>IF(OR(E198="",J198=""),"",ROUND(N(H198)*J198*(1-N(K198)),2))</f>
        <v/>
      </c>
      <c r="O198" s="70" t="str">
        <f>IF(OR(N198="",NOT(ISNUMBER(M198))),"",ROUND(N198*M198,2))</f>
        <v/>
      </c>
      <c r="P198" s="70" t="str">
        <f>IF(N198="","",N198+N(O198))</f>
        <v/>
      </c>
      <c r="Q198" s="64" t="n"/>
      <c r="R198" s="73" t="str">
        <f>IF(N(Q198)&gt;0,Q198,IF(OR(N(B198)=0,ISNA(MATCH($C198,sup_code,0))),"",IF(ISNUMBER(INDEX(sup_delay,MATCH($C198,sup_code,0))),B198+INDEX(sup_delay,MATCH($C198,sup_code,0)),"")))</f>
        <v/>
      </c>
      <c r="S198" s="64" t="n"/>
      <c r="T198" s="68" t="n"/>
      <c r="U198" s="64" t="n"/>
      <c r="V198" s="65" t="n"/>
      <c r="W198" s="74" t="str">
        <f>IF(AND(A198="",E198=""),"",IF(V198="Oui",0,MAX(0,ROUND(N(H198)-N(T198),6))))</f>
        <v/>
      </c>
      <c r="X198" s="67" t="str">
        <f>IF(AND(A198="",E198=""),"",IF(V198="Oui","Annulé",IF(AND(N(H198)&gt;0,N(T198)&gt;=N(H198)),"Reçu",IF(N(S198)=0,"Brouillon",IF(AND(ISNUMBER(R198),R198&lt;p_today),"En retard",IF(N(T198)&gt;0,"Partiel","Envoyé"))))))</f>
        <v/>
      </c>
      <c r="Y198" s="75" t="str">
        <f>IF(X198="En retard",p_today-R198,IF(AND(X198="Reçu",ISNUMBER(R198)),MAX(0,N(U198)-R198),""))</f>
        <v/>
      </c>
      <c r="Z198" s="67" t="str">
        <f>IF(AND(A198="",E198=""),"",IF(A198="","N° de bon manquant",IF(N(B198)=0,"Date de commande manquante",IF(C198="","Fournisseur manquant",IF(ISNA(MATCH($C198,sup_code,0)),"Fournisseur inconnu",IF(E198="","Article manquant",IF(ISNA(MATCH($E198,art_ref,0)),"Article inconnu",IF(N(H198)&lt;=0,"Quantité invalide",IF(J198="","Prix manquant",IF(OR(N(K198)&lt;0,N(K198)&gt;=1),"Remise invalide",IF(M198="","TVA manquante",IF(ISNA(MATCH(M198,p_tva,0)),"Taux de TVA inconnu",IF(COUNTIFS(po_num,A198,po_sup,"&lt;&gt;"&amp;C198)&gt;0,"Fournisseur différent sur ce bon",IF(COUNTIFS(po_num,A198,po_date,"&lt;&gt;"&amp;B198)&gt;0,"Date différente sur ce bon",IF(COUNTIF(po_num,A198)&gt;25,"Plus de 25 lignes sur ce bon",IF(R198="","Date de livraison manquante",IF(R198&lt;B198,"Livraison avant la commande",IF(AND(N(T198)&gt;0,N(S198)=0),"Date d'envoi manquante",IF(N(T198)&gt;N(H198),"Reçu plus que commandé",IF(AND(N(T198)&gt;0,N(U198)=0),"Date de réception manquante",IF(AND(N(U198)&gt;0,U198&lt;B198),"Réception avant la commande","OK")))))))))))))))))))))</f>
        <v/>
      </c>
      <c r="AA198" s="66" t="str">
        <f>IF(AND(X198="Reçu",ISNUMBER(R198)),IF(N(U198)&lt;=R198,1,0),"")</f>
        <v/>
      </c>
      <c r="AB198" s="76" t="str">
        <f>IF(OR(X198="Envoyé",X198="Partiel",X198="En retard"),IF(ISNUMBER(R198),R198,100000)+ROW()/100000,"")</f>
        <v/>
      </c>
      <c r="AC198" s="66" t="str">
        <f>IF(A198="","",IF(COUNTIF($A$6:A198,A198)=1,1,""))</f>
        <v/>
      </c>
      <c r="AD198" s="66" t="str">
        <f>IF(AC198=1,COUNT($AC$6:AC198),"")</f>
        <v/>
      </c>
      <c r="AE198" s="66" t="str">
        <f>IFERROR(INDEX(po_num,MATCH(193,po_seq,0))&amp;"","")</f>
        <v/>
      </c>
      <c r="AF198" s="66" t="str">
        <f>IF(OR(A198="",p_po=""),"",IF(A198&amp;""=p_po,COUNTIF($A$6:A198,A198),""))</f>
        <v/>
      </c>
      <c r="AG198" s="66" t="str">
        <f>IF(OR(AB198="",A198=""),"",IF(COUNTIFS($A$6:A198,A198,$AB$6:AB198,"&gt;0")=1,1,""))</f>
        <v/>
      </c>
      <c r="AH198" s="70" t="str">
        <f>IF(AB198="","",ROUND(N(W198)*N(J198)*(1-N(K198)),2))</f>
        <v/>
      </c>
      <c r="AI198" s="70" t="str">
        <f>IF(OR(J198="",N(T198)&lt;=0,V198="Oui"),"",ROUND(N(T198)*J198*(1-N(K198)),2))</f>
        <v/>
      </c>
    </row>
    <row r="199">
      <c r="A199" s="63" t="n"/>
      <c r="B199" s="64" t="n"/>
      <c r="C199" s="65" t="n"/>
      <c r="D199" s="66" t="str">
        <f>IF(C199="","",IFERROR(INDEX(sup_name,MATCH($C199,sup_code,0))&amp;"","Fournisseur inconnu"))</f>
        <v/>
      </c>
      <c r="E199" s="63" t="n"/>
      <c r="F199" s="66" t="str">
        <f>IF(E199="","",IFERROR(INDEX(art_des,MATCH($E199,art_ref,0))&amp;"","Article inconnu"))</f>
        <v/>
      </c>
      <c r="G199" s="67" t="str">
        <f>IF(E199="","",IFERROR(INDEX(art_unit,MATCH($E199,art_ref,0))&amp;"",""))</f>
        <v/>
      </c>
      <c r="H199" s="68" t="n"/>
      <c r="I199" s="69" t="n"/>
      <c r="J199" s="70" t="str">
        <f>IF(E199="","",IF(ISNUMBER(I199),I199,IFERROR(IF(ISNUMBER(INDEX(art_price,MATCH($E199,art_ref,0))),INDEX(art_price,MATCH($E199,art_ref,0)),""),"")))</f>
        <v/>
      </c>
      <c r="K199" s="71" t="n"/>
      <c r="L199" s="72" t="n"/>
      <c r="M199" s="72" t="str">
        <f>IF(E199="","",IF(L199&lt;&gt;"",L199,IFERROR(IF(ISNUMBER(INDEX(art_tva,MATCH($E199,art_ref,0))),INDEX(art_tva,MATCH($E199,art_ref,0)),""),"")))</f>
        <v/>
      </c>
      <c r="N199" s="70" t="str">
        <f>IF(OR(E199="",J199=""),"",ROUND(N(H199)*J199*(1-N(K199)),2))</f>
        <v/>
      </c>
      <c r="O199" s="70" t="str">
        <f>IF(OR(N199="",NOT(ISNUMBER(M199))),"",ROUND(N199*M199,2))</f>
        <v/>
      </c>
      <c r="P199" s="70" t="str">
        <f>IF(N199="","",N199+N(O199))</f>
        <v/>
      </c>
      <c r="Q199" s="64" t="n"/>
      <c r="R199" s="73" t="str">
        <f>IF(N(Q199)&gt;0,Q199,IF(OR(N(B199)=0,ISNA(MATCH($C199,sup_code,0))),"",IF(ISNUMBER(INDEX(sup_delay,MATCH($C199,sup_code,0))),B199+INDEX(sup_delay,MATCH($C199,sup_code,0)),"")))</f>
        <v/>
      </c>
      <c r="S199" s="64" t="n"/>
      <c r="T199" s="68" t="n"/>
      <c r="U199" s="64" t="n"/>
      <c r="V199" s="65" t="n"/>
      <c r="W199" s="74" t="str">
        <f>IF(AND(A199="",E199=""),"",IF(V199="Oui",0,MAX(0,ROUND(N(H199)-N(T199),6))))</f>
        <v/>
      </c>
      <c r="X199" s="67" t="str">
        <f>IF(AND(A199="",E199=""),"",IF(V199="Oui","Annulé",IF(AND(N(H199)&gt;0,N(T199)&gt;=N(H199)),"Reçu",IF(N(S199)=0,"Brouillon",IF(AND(ISNUMBER(R199),R199&lt;p_today),"En retard",IF(N(T199)&gt;0,"Partiel","Envoyé"))))))</f>
        <v/>
      </c>
      <c r="Y199" s="75" t="str">
        <f>IF(X199="En retard",p_today-R199,IF(AND(X199="Reçu",ISNUMBER(R199)),MAX(0,N(U199)-R199),""))</f>
        <v/>
      </c>
      <c r="Z199" s="67" t="str">
        <f>IF(AND(A199="",E199=""),"",IF(A199="","N° de bon manquant",IF(N(B199)=0,"Date de commande manquante",IF(C199="","Fournisseur manquant",IF(ISNA(MATCH($C199,sup_code,0)),"Fournisseur inconnu",IF(E199="","Article manquant",IF(ISNA(MATCH($E199,art_ref,0)),"Article inconnu",IF(N(H199)&lt;=0,"Quantité invalide",IF(J199="","Prix manquant",IF(OR(N(K199)&lt;0,N(K199)&gt;=1),"Remise invalide",IF(M199="","TVA manquante",IF(ISNA(MATCH(M199,p_tva,0)),"Taux de TVA inconnu",IF(COUNTIFS(po_num,A199,po_sup,"&lt;&gt;"&amp;C199)&gt;0,"Fournisseur différent sur ce bon",IF(COUNTIFS(po_num,A199,po_date,"&lt;&gt;"&amp;B199)&gt;0,"Date différente sur ce bon",IF(COUNTIF(po_num,A199)&gt;25,"Plus de 25 lignes sur ce bon",IF(R199="","Date de livraison manquante",IF(R199&lt;B199,"Livraison avant la commande",IF(AND(N(T199)&gt;0,N(S199)=0),"Date d'envoi manquante",IF(N(T199)&gt;N(H199),"Reçu plus que commandé",IF(AND(N(T199)&gt;0,N(U199)=0),"Date de réception manquante",IF(AND(N(U199)&gt;0,U199&lt;B199),"Réception avant la commande","OK")))))))))))))))))))))</f>
        <v/>
      </c>
      <c r="AA199" s="66" t="str">
        <f>IF(AND(X199="Reçu",ISNUMBER(R199)),IF(N(U199)&lt;=R199,1,0),"")</f>
        <v/>
      </c>
      <c r="AB199" s="76" t="str">
        <f>IF(OR(X199="Envoyé",X199="Partiel",X199="En retard"),IF(ISNUMBER(R199),R199,100000)+ROW()/100000,"")</f>
        <v/>
      </c>
      <c r="AC199" s="66" t="str">
        <f>IF(A199="","",IF(COUNTIF($A$6:A199,A199)=1,1,""))</f>
        <v/>
      </c>
      <c r="AD199" s="66" t="str">
        <f>IF(AC199=1,COUNT($AC$6:AC199),"")</f>
        <v/>
      </c>
      <c r="AE199" s="66" t="str">
        <f>IFERROR(INDEX(po_num,MATCH(194,po_seq,0))&amp;"","")</f>
        <v/>
      </c>
      <c r="AF199" s="66" t="str">
        <f>IF(OR(A199="",p_po=""),"",IF(A199&amp;""=p_po,COUNTIF($A$6:A199,A199),""))</f>
        <v/>
      </c>
      <c r="AG199" s="66" t="str">
        <f>IF(OR(AB199="",A199=""),"",IF(COUNTIFS($A$6:A199,A199,$AB$6:AB199,"&gt;0")=1,1,""))</f>
        <v/>
      </c>
      <c r="AH199" s="70" t="str">
        <f>IF(AB199="","",ROUND(N(W199)*N(J199)*(1-N(K199)),2))</f>
        <v/>
      </c>
      <c r="AI199" s="70" t="str">
        <f>IF(OR(J199="",N(T199)&lt;=0,V199="Oui"),"",ROUND(N(T199)*J199*(1-N(K199)),2))</f>
        <v/>
      </c>
    </row>
    <row r="200">
      <c r="A200" s="63" t="n"/>
      <c r="B200" s="64" t="n"/>
      <c r="C200" s="65" t="n"/>
      <c r="D200" s="66" t="str">
        <f>IF(C200="","",IFERROR(INDEX(sup_name,MATCH($C200,sup_code,0))&amp;"","Fournisseur inconnu"))</f>
        <v/>
      </c>
      <c r="E200" s="63" t="n"/>
      <c r="F200" s="66" t="str">
        <f>IF(E200="","",IFERROR(INDEX(art_des,MATCH($E200,art_ref,0))&amp;"","Article inconnu"))</f>
        <v/>
      </c>
      <c r="G200" s="67" t="str">
        <f>IF(E200="","",IFERROR(INDEX(art_unit,MATCH($E200,art_ref,0))&amp;"",""))</f>
        <v/>
      </c>
      <c r="H200" s="68" t="n"/>
      <c r="I200" s="69" t="n"/>
      <c r="J200" s="70" t="str">
        <f>IF(E200="","",IF(ISNUMBER(I200),I200,IFERROR(IF(ISNUMBER(INDEX(art_price,MATCH($E200,art_ref,0))),INDEX(art_price,MATCH($E200,art_ref,0)),""),"")))</f>
        <v/>
      </c>
      <c r="K200" s="71" t="n"/>
      <c r="L200" s="72" t="n"/>
      <c r="M200" s="72" t="str">
        <f>IF(E200="","",IF(L200&lt;&gt;"",L200,IFERROR(IF(ISNUMBER(INDEX(art_tva,MATCH($E200,art_ref,0))),INDEX(art_tva,MATCH($E200,art_ref,0)),""),"")))</f>
        <v/>
      </c>
      <c r="N200" s="70" t="str">
        <f>IF(OR(E200="",J200=""),"",ROUND(N(H200)*J200*(1-N(K200)),2))</f>
        <v/>
      </c>
      <c r="O200" s="70" t="str">
        <f>IF(OR(N200="",NOT(ISNUMBER(M200))),"",ROUND(N200*M200,2))</f>
        <v/>
      </c>
      <c r="P200" s="70" t="str">
        <f>IF(N200="","",N200+N(O200))</f>
        <v/>
      </c>
      <c r="Q200" s="64" t="n"/>
      <c r="R200" s="73" t="str">
        <f>IF(N(Q200)&gt;0,Q200,IF(OR(N(B200)=0,ISNA(MATCH($C200,sup_code,0))),"",IF(ISNUMBER(INDEX(sup_delay,MATCH($C200,sup_code,0))),B200+INDEX(sup_delay,MATCH($C200,sup_code,0)),"")))</f>
        <v/>
      </c>
      <c r="S200" s="64" t="n"/>
      <c r="T200" s="68" t="n"/>
      <c r="U200" s="64" t="n"/>
      <c r="V200" s="65" t="n"/>
      <c r="W200" s="74" t="str">
        <f>IF(AND(A200="",E200=""),"",IF(V200="Oui",0,MAX(0,ROUND(N(H200)-N(T200),6))))</f>
        <v/>
      </c>
      <c r="X200" s="67" t="str">
        <f>IF(AND(A200="",E200=""),"",IF(V200="Oui","Annulé",IF(AND(N(H200)&gt;0,N(T200)&gt;=N(H200)),"Reçu",IF(N(S200)=0,"Brouillon",IF(AND(ISNUMBER(R200),R200&lt;p_today),"En retard",IF(N(T200)&gt;0,"Partiel","Envoyé"))))))</f>
        <v/>
      </c>
      <c r="Y200" s="75" t="str">
        <f>IF(X200="En retard",p_today-R200,IF(AND(X200="Reçu",ISNUMBER(R200)),MAX(0,N(U200)-R200),""))</f>
        <v/>
      </c>
      <c r="Z200" s="67" t="str">
        <f>IF(AND(A200="",E200=""),"",IF(A200="","N° de bon manquant",IF(N(B200)=0,"Date de commande manquante",IF(C200="","Fournisseur manquant",IF(ISNA(MATCH($C200,sup_code,0)),"Fournisseur inconnu",IF(E200="","Article manquant",IF(ISNA(MATCH($E200,art_ref,0)),"Article inconnu",IF(N(H200)&lt;=0,"Quantité invalide",IF(J200="","Prix manquant",IF(OR(N(K200)&lt;0,N(K200)&gt;=1),"Remise invalide",IF(M200="","TVA manquante",IF(ISNA(MATCH(M200,p_tva,0)),"Taux de TVA inconnu",IF(COUNTIFS(po_num,A200,po_sup,"&lt;&gt;"&amp;C200)&gt;0,"Fournisseur différent sur ce bon",IF(COUNTIFS(po_num,A200,po_date,"&lt;&gt;"&amp;B200)&gt;0,"Date différente sur ce bon",IF(COUNTIF(po_num,A200)&gt;25,"Plus de 25 lignes sur ce bon",IF(R200="","Date de livraison manquante",IF(R200&lt;B200,"Livraison avant la commande",IF(AND(N(T200)&gt;0,N(S200)=0),"Date d'envoi manquante",IF(N(T200)&gt;N(H200),"Reçu plus que commandé",IF(AND(N(T200)&gt;0,N(U200)=0),"Date de réception manquante",IF(AND(N(U200)&gt;0,U200&lt;B200),"Réception avant la commande","OK")))))))))))))))))))))</f>
        <v/>
      </c>
      <c r="AA200" s="66" t="str">
        <f>IF(AND(X200="Reçu",ISNUMBER(R200)),IF(N(U200)&lt;=R200,1,0),"")</f>
        <v/>
      </c>
      <c r="AB200" s="76" t="str">
        <f>IF(OR(X200="Envoyé",X200="Partiel",X200="En retard"),IF(ISNUMBER(R200),R200,100000)+ROW()/100000,"")</f>
        <v/>
      </c>
      <c r="AC200" s="66" t="str">
        <f>IF(A200="","",IF(COUNTIF($A$6:A200,A200)=1,1,""))</f>
        <v/>
      </c>
      <c r="AD200" s="66" t="str">
        <f>IF(AC200=1,COUNT($AC$6:AC200),"")</f>
        <v/>
      </c>
      <c r="AE200" s="66" t="str">
        <f>IFERROR(INDEX(po_num,MATCH(195,po_seq,0))&amp;"","")</f>
        <v/>
      </c>
      <c r="AF200" s="66" t="str">
        <f>IF(OR(A200="",p_po=""),"",IF(A200&amp;""=p_po,COUNTIF($A$6:A200,A200),""))</f>
        <v/>
      </c>
      <c r="AG200" s="66" t="str">
        <f>IF(OR(AB200="",A200=""),"",IF(COUNTIFS($A$6:A200,A200,$AB$6:AB200,"&gt;0")=1,1,""))</f>
        <v/>
      </c>
      <c r="AH200" s="70" t="str">
        <f>IF(AB200="","",ROUND(N(W200)*N(J200)*(1-N(K200)),2))</f>
        <v/>
      </c>
      <c r="AI200" s="70" t="str">
        <f>IF(OR(J200="",N(T200)&lt;=0,V200="Oui"),"",ROUND(N(T200)*J200*(1-N(K200)),2))</f>
        <v/>
      </c>
    </row>
    <row r="201">
      <c r="A201" s="63" t="n"/>
      <c r="B201" s="64" t="n"/>
      <c r="C201" s="65" t="n"/>
      <c r="D201" s="66" t="str">
        <f>IF(C201="","",IFERROR(INDEX(sup_name,MATCH($C201,sup_code,0))&amp;"","Fournisseur inconnu"))</f>
        <v/>
      </c>
      <c r="E201" s="63" t="n"/>
      <c r="F201" s="66" t="str">
        <f>IF(E201="","",IFERROR(INDEX(art_des,MATCH($E201,art_ref,0))&amp;"","Article inconnu"))</f>
        <v/>
      </c>
      <c r="G201" s="67" t="str">
        <f>IF(E201="","",IFERROR(INDEX(art_unit,MATCH($E201,art_ref,0))&amp;"",""))</f>
        <v/>
      </c>
      <c r="H201" s="68" t="n"/>
      <c r="I201" s="69" t="n"/>
      <c r="J201" s="70" t="str">
        <f>IF(E201="","",IF(ISNUMBER(I201),I201,IFERROR(IF(ISNUMBER(INDEX(art_price,MATCH($E201,art_ref,0))),INDEX(art_price,MATCH($E201,art_ref,0)),""),"")))</f>
        <v/>
      </c>
      <c r="K201" s="71" t="n"/>
      <c r="L201" s="72" t="n"/>
      <c r="M201" s="72" t="str">
        <f>IF(E201="","",IF(L201&lt;&gt;"",L201,IFERROR(IF(ISNUMBER(INDEX(art_tva,MATCH($E201,art_ref,0))),INDEX(art_tva,MATCH($E201,art_ref,0)),""),"")))</f>
        <v/>
      </c>
      <c r="N201" s="70" t="str">
        <f>IF(OR(E201="",J201=""),"",ROUND(N(H201)*J201*(1-N(K201)),2))</f>
        <v/>
      </c>
      <c r="O201" s="70" t="str">
        <f>IF(OR(N201="",NOT(ISNUMBER(M201))),"",ROUND(N201*M201,2))</f>
        <v/>
      </c>
      <c r="P201" s="70" t="str">
        <f>IF(N201="","",N201+N(O201))</f>
        <v/>
      </c>
      <c r="Q201" s="64" t="n"/>
      <c r="R201" s="73" t="str">
        <f>IF(N(Q201)&gt;0,Q201,IF(OR(N(B201)=0,ISNA(MATCH($C201,sup_code,0))),"",IF(ISNUMBER(INDEX(sup_delay,MATCH($C201,sup_code,0))),B201+INDEX(sup_delay,MATCH($C201,sup_code,0)),"")))</f>
        <v/>
      </c>
      <c r="S201" s="64" t="n"/>
      <c r="T201" s="68" t="n"/>
      <c r="U201" s="64" t="n"/>
      <c r="V201" s="65" t="n"/>
      <c r="W201" s="74" t="str">
        <f>IF(AND(A201="",E201=""),"",IF(V201="Oui",0,MAX(0,ROUND(N(H201)-N(T201),6))))</f>
        <v/>
      </c>
      <c r="X201" s="67" t="str">
        <f>IF(AND(A201="",E201=""),"",IF(V201="Oui","Annulé",IF(AND(N(H201)&gt;0,N(T201)&gt;=N(H201)),"Reçu",IF(N(S201)=0,"Brouillon",IF(AND(ISNUMBER(R201),R201&lt;p_today),"En retard",IF(N(T201)&gt;0,"Partiel","Envoyé"))))))</f>
        <v/>
      </c>
      <c r="Y201" s="75" t="str">
        <f>IF(X201="En retard",p_today-R201,IF(AND(X201="Reçu",ISNUMBER(R201)),MAX(0,N(U201)-R201),""))</f>
        <v/>
      </c>
      <c r="Z201" s="67" t="str">
        <f>IF(AND(A201="",E201=""),"",IF(A201="","N° de bon manquant",IF(N(B201)=0,"Date de commande manquante",IF(C201="","Fournisseur manquant",IF(ISNA(MATCH($C201,sup_code,0)),"Fournisseur inconnu",IF(E201="","Article manquant",IF(ISNA(MATCH($E201,art_ref,0)),"Article inconnu",IF(N(H201)&lt;=0,"Quantité invalide",IF(J201="","Prix manquant",IF(OR(N(K201)&lt;0,N(K201)&gt;=1),"Remise invalide",IF(M201="","TVA manquante",IF(ISNA(MATCH(M201,p_tva,0)),"Taux de TVA inconnu",IF(COUNTIFS(po_num,A201,po_sup,"&lt;&gt;"&amp;C201)&gt;0,"Fournisseur différent sur ce bon",IF(COUNTIFS(po_num,A201,po_date,"&lt;&gt;"&amp;B201)&gt;0,"Date différente sur ce bon",IF(COUNTIF(po_num,A201)&gt;25,"Plus de 25 lignes sur ce bon",IF(R201="","Date de livraison manquante",IF(R201&lt;B201,"Livraison avant la commande",IF(AND(N(T201)&gt;0,N(S201)=0),"Date d'envoi manquante",IF(N(T201)&gt;N(H201),"Reçu plus que commandé",IF(AND(N(T201)&gt;0,N(U201)=0),"Date de réception manquante",IF(AND(N(U201)&gt;0,U201&lt;B201),"Réception avant la commande","OK")))))))))))))))))))))</f>
        <v/>
      </c>
      <c r="AA201" s="66" t="str">
        <f>IF(AND(X201="Reçu",ISNUMBER(R201)),IF(N(U201)&lt;=R201,1,0),"")</f>
        <v/>
      </c>
      <c r="AB201" s="76" t="str">
        <f>IF(OR(X201="Envoyé",X201="Partiel",X201="En retard"),IF(ISNUMBER(R201),R201,100000)+ROW()/100000,"")</f>
        <v/>
      </c>
      <c r="AC201" s="66" t="str">
        <f>IF(A201="","",IF(COUNTIF($A$6:A201,A201)=1,1,""))</f>
        <v/>
      </c>
      <c r="AD201" s="66" t="str">
        <f>IF(AC201=1,COUNT($AC$6:AC201),"")</f>
        <v/>
      </c>
      <c r="AE201" s="66" t="str">
        <f>IFERROR(INDEX(po_num,MATCH(196,po_seq,0))&amp;"","")</f>
        <v/>
      </c>
      <c r="AF201" s="66" t="str">
        <f>IF(OR(A201="",p_po=""),"",IF(A201&amp;""=p_po,COUNTIF($A$6:A201,A201),""))</f>
        <v/>
      </c>
      <c r="AG201" s="66" t="str">
        <f>IF(OR(AB201="",A201=""),"",IF(COUNTIFS($A$6:A201,A201,$AB$6:AB201,"&gt;0")=1,1,""))</f>
        <v/>
      </c>
      <c r="AH201" s="70" t="str">
        <f>IF(AB201="","",ROUND(N(W201)*N(J201)*(1-N(K201)),2))</f>
        <v/>
      </c>
      <c r="AI201" s="70" t="str">
        <f>IF(OR(J201="",N(T201)&lt;=0,V201="Oui"),"",ROUND(N(T201)*J201*(1-N(K201)),2))</f>
        <v/>
      </c>
    </row>
    <row r="202">
      <c r="A202" s="63" t="n"/>
      <c r="B202" s="64" t="n"/>
      <c r="C202" s="65" t="n"/>
      <c r="D202" s="66" t="str">
        <f>IF(C202="","",IFERROR(INDEX(sup_name,MATCH($C202,sup_code,0))&amp;"","Fournisseur inconnu"))</f>
        <v/>
      </c>
      <c r="E202" s="63" t="n"/>
      <c r="F202" s="66" t="str">
        <f>IF(E202="","",IFERROR(INDEX(art_des,MATCH($E202,art_ref,0))&amp;"","Article inconnu"))</f>
        <v/>
      </c>
      <c r="G202" s="67" t="str">
        <f>IF(E202="","",IFERROR(INDEX(art_unit,MATCH($E202,art_ref,0))&amp;"",""))</f>
        <v/>
      </c>
      <c r="H202" s="68" t="n"/>
      <c r="I202" s="69" t="n"/>
      <c r="J202" s="70" t="str">
        <f>IF(E202="","",IF(ISNUMBER(I202),I202,IFERROR(IF(ISNUMBER(INDEX(art_price,MATCH($E202,art_ref,0))),INDEX(art_price,MATCH($E202,art_ref,0)),""),"")))</f>
        <v/>
      </c>
      <c r="K202" s="71" t="n"/>
      <c r="L202" s="72" t="n"/>
      <c r="M202" s="72" t="str">
        <f>IF(E202="","",IF(L202&lt;&gt;"",L202,IFERROR(IF(ISNUMBER(INDEX(art_tva,MATCH($E202,art_ref,0))),INDEX(art_tva,MATCH($E202,art_ref,0)),""),"")))</f>
        <v/>
      </c>
      <c r="N202" s="70" t="str">
        <f>IF(OR(E202="",J202=""),"",ROUND(N(H202)*J202*(1-N(K202)),2))</f>
        <v/>
      </c>
      <c r="O202" s="70" t="str">
        <f>IF(OR(N202="",NOT(ISNUMBER(M202))),"",ROUND(N202*M202,2))</f>
        <v/>
      </c>
      <c r="P202" s="70" t="str">
        <f>IF(N202="","",N202+N(O202))</f>
        <v/>
      </c>
      <c r="Q202" s="64" t="n"/>
      <c r="R202" s="73" t="str">
        <f>IF(N(Q202)&gt;0,Q202,IF(OR(N(B202)=0,ISNA(MATCH($C202,sup_code,0))),"",IF(ISNUMBER(INDEX(sup_delay,MATCH($C202,sup_code,0))),B202+INDEX(sup_delay,MATCH($C202,sup_code,0)),"")))</f>
        <v/>
      </c>
      <c r="S202" s="64" t="n"/>
      <c r="T202" s="68" t="n"/>
      <c r="U202" s="64" t="n"/>
      <c r="V202" s="65" t="n"/>
      <c r="W202" s="74" t="str">
        <f>IF(AND(A202="",E202=""),"",IF(V202="Oui",0,MAX(0,ROUND(N(H202)-N(T202),6))))</f>
        <v/>
      </c>
      <c r="X202" s="67" t="str">
        <f>IF(AND(A202="",E202=""),"",IF(V202="Oui","Annulé",IF(AND(N(H202)&gt;0,N(T202)&gt;=N(H202)),"Reçu",IF(N(S202)=0,"Brouillon",IF(AND(ISNUMBER(R202),R202&lt;p_today),"En retard",IF(N(T202)&gt;0,"Partiel","Envoyé"))))))</f>
        <v/>
      </c>
      <c r="Y202" s="75" t="str">
        <f>IF(X202="En retard",p_today-R202,IF(AND(X202="Reçu",ISNUMBER(R202)),MAX(0,N(U202)-R202),""))</f>
        <v/>
      </c>
      <c r="Z202" s="67" t="str">
        <f>IF(AND(A202="",E202=""),"",IF(A202="","N° de bon manquant",IF(N(B202)=0,"Date de commande manquante",IF(C202="","Fournisseur manquant",IF(ISNA(MATCH($C202,sup_code,0)),"Fournisseur inconnu",IF(E202="","Article manquant",IF(ISNA(MATCH($E202,art_ref,0)),"Article inconnu",IF(N(H202)&lt;=0,"Quantité invalide",IF(J202="","Prix manquant",IF(OR(N(K202)&lt;0,N(K202)&gt;=1),"Remise invalide",IF(M202="","TVA manquante",IF(ISNA(MATCH(M202,p_tva,0)),"Taux de TVA inconnu",IF(COUNTIFS(po_num,A202,po_sup,"&lt;&gt;"&amp;C202)&gt;0,"Fournisseur différent sur ce bon",IF(COUNTIFS(po_num,A202,po_date,"&lt;&gt;"&amp;B202)&gt;0,"Date différente sur ce bon",IF(COUNTIF(po_num,A202)&gt;25,"Plus de 25 lignes sur ce bon",IF(R202="","Date de livraison manquante",IF(R202&lt;B202,"Livraison avant la commande",IF(AND(N(T202)&gt;0,N(S202)=0),"Date d'envoi manquante",IF(N(T202)&gt;N(H202),"Reçu plus que commandé",IF(AND(N(T202)&gt;0,N(U202)=0),"Date de réception manquante",IF(AND(N(U202)&gt;0,U202&lt;B202),"Réception avant la commande","OK")))))))))))))))))))))</f>
        <v/>
      </c>
      <c r="AA202" s="66" t="str">
        <f>IF(AND(X202="Reçu",ISNUMBER(R202)),IF(N(U202)&lt;=R202,1,0),"")</f>
        <v/>
      </c>
      <c r="AB202" s="76" t="str">
        <f>IF(OR(X202="Envoyé",X202="Partiel",X202="En retard"),IF(ISNUMBER(R202),R202,100000)+ROW()/100000,"")</f>
        <v/>
      </c>
      <c r="AC202" s="66" t="str">
        <f>IF(A202="","",IF(COUNTIF($A$6:A202,A202)=1,1,""))</f>
        <v/>
      </c>
      <c r="AD202" s="66" t="str">
        <f>IF(AC202=1,COUNT($AC$6:AC202),"")</f>
        <v/>
      </c>
      <c r="AE202" s="66" t="str">
        <f>IFERROR(INDEX(po_num,MATCH(197,po_seq,0))&amp;"","")</f>
        <v/>
      </c>
      <c r="AF202" s="66" t="str">
        <f>IF(OR(A202="",p_po=""),"",IF(A202&amp;""=p_po,COUNTIF($A$6:A202,A202),""))</f>
        <v/>
      </c>
      <c r="AG202" s="66" t="str">
        <f>IF(OR(AB202="",A202=""),"",IF(COUNTIFS($A$6:A202,A202,$AB$6:AB202,"&gt;0")=1,1,""))</f>
        <v/>
      </c>
      <c r="AH202" s="70" t="str">
        <f>IF(AB202="","",ROUND(N(W202)*N(J202)*(1-N(K202)),2))</f>
        <v/>
      </c>
      <c r="AI202" s="70" t="str">
        <f>IF(OR(J202="",N(T202)&lt;=0,V202="Oui"),"",ROUND(N(T202)*J202*(1-N(K202)),2))</f>
        <v/>
      </c>
    </row>
    <row r="203">
      <c r="A203" s="63" t="n"/>
      <c r="B203" s="64" t="n"/>
      <c r="C203" s="65" t="n"/>
      <c r="D203" s="66" t="str">
        <f>IF(C203="","",IFERROR(INDEX(sup_name,MATCH($C203,sup_code,0))&amp;"","Fournisseur inconnu"))</f>
        <v/>
      </c>
      <c r="E203" s="63" t="n"/>
      <c r="F203" s="66" t="str">
        <f>IF(E203="","",IFERROR(INDEX(art_des,MATCH($E203,art_ref,0))&amp;"","Article inconnu"))</f>
        <v/>
      </c>
      <c r="G203" s="67" t="str">
        <f>IF(E203="","",IFERROR(INDEX(art_unit,MATCH($E203,art_ref,0))&amp;"",""))</f>
        <v/>
      </c>
      <c r="H203" s="68" t="n"/>
      <c r="I203" s="69" t="n"/>
      <c r="J203" s="70" t="str">
        <f>IF(E203="","",IF(ISNUMBER(I203),I203,IFERROR(IF(ISNUMBER(INDEX(art_price,MATCH($E203,art_ref,0))),INDEX(art_price,MATCH($E203,art_ref,0)),""),"")))</f>
        <v/>
      </c>
      <c r="K203" s="71" t="n"/>
      <c r="L203" s="72" t="n"/>
      <c r="M203" s="72" t="str">
        <f>IF(E203="","",IF(L203&lt;&gt;"",L203,IFERROR(IF(ISNUMBER(INDEX(art_tva,MATCH($E203,art_ref,0))),INDEX(art_tva,MATCH($E203,art_ref,0)),""),"")))</f>
        <v/>
      </c>
      <c r="N203" s="70" t="str">
        <f>IF(OR(E203="",J203=""),"",ROUND(N(H203)*J203*(1-N(K203)),2))</f>
        <v/>
      </c>
      <c r="O203" s="70" t="str">
        <f>IF(OR(N203="",NOT(ISNUMBER(M203))),"",ROUND(N203*M203,2))</f>
        <v/>
      </c>
      <c r="P203" s="70" t="str">
        <f>IF(N203="","",N203+N(O203))</f>
        <v/>
      </c>
      <c r="Q203" s="64" t="n"/>
      <c r="R203" s="73" t="str">
        <f>IF(N(Q203)&gt;0,Q203,IF(OR(N(B203)=0,ISNA(MATCH($C203,sup_code,0))),"",IF(ISNUMBER(INDEX(sup_delay,MATCH($C203,sup_code,0))),B203+INDEX(sup_delay,MATCH($C203,sup_code,0)),"")))</f>
        <v/>
      </c>
      <c r="S203" s="64" t="n"/>
      <c r="T203" s="68" t="n"/>
      <c r="U203" s="64" t="n"/>
      <c r="V203" s="65" t="n"/>
      <c r="W203" s="74" t="str">
        <f>IF(AND(A203="",E203=""),"",IF(V203="Oui",0,MAX(0,ROUND(N(H203)-N(T203),6))))</f>
        <v/>
      </c>
      <c r="X203" s="67" t="str">
        <f>IF(AND(A203="",E203=""),"",IF(V203="Oui","Annulé",IF(AND(N(H203)&gt;0,N(T203)&gt;=N(H203)),"Reçu",IF(N(S203)=0,"Brouillon",IF(AND(ISNUMBER(R203),R203&lt;p_today),"En retard",IF(N(T203)&gt;0,"Partiel","Envoyé"))))))</f>
        <v/>
      </c>
      <c r="Y203" s="75" t="str">
        <f>IF(X203="En retard",p_today-R203,IF(AND(X203="Reçu",ISNUMBER(R203)),MAX(0,N(U203)-R203),""))</f>
        <v/>
      </c>
      <c r="Z203" s="67" t="str">
        <f>IF(AND(A203="",E203=""),"",IF(A203="","N° de bon manquant",IF(N(B203)=0,"Date de commande manquante",IF(C203="","Fournisseur manquant",IF(ISNA(MATCH($C203,sup_code,0)),"Fournisseur inconnu",IF(E203="","Article manquant",IF(ISNA(MATCH($E203,art_ref,0)),"Article inconnu",IF(N(H203)&lt;=0,"Quantité invalide",IF(J203="","Prix manquant",IF(OR(N(K203)&lt;0,N(K203)&gt;=1),"Remise invalide",IF(M203="","TVA manquante",IF(ISNA(MATCH(M203,p_tva,0)),"Taux de TVA inconnu",IF(COUNTIFS(po_num,A203,po_sup,"&lt;&gt;"&amp;C203)&gt;0,"Fournisseur différent sur ce bon",IF(COUNTIFS(po_num,A203,po_date,"&lt;&gt;"&amp;B203)&gt;0,"Date différente sur ce bon",IF(COUNTIF(po_num,A203)&gt;25,"Plus de 25 lignes sur ce bon",IF(R203="","Date de livraison manquante",IF(R203&lt;B203,"Livraison avant la commande",IF(AND(N(T203)&gt;0,N(S203)=0),"Date d'envoi manquante",IF(N(T203)&gt;N(H203),"Reçu plus que commandé",IF(AND(N(T203)&gt;0,N(U203)=0),"Date de réception manquante",IF(AND(N(U203)&gt;0,U203&lt;B203),"Réception avant la commande","OK")))))))))))))))))))))</f>
        <v/>
      </c>
      <c r="AA203" s="66" t="str">
        <f>IF(AND(X203="Reçu",ISNUMBER(R203)),IF(N(U203)&lt;=R203,1,0),"")</f>
        <v/>
      </c>
      <c r="AB203" s="76" t="str">
        <f>IF(OR(X203="Envoyé",X203="Partiel",X203="En retard"),IF(ISNUMBER(R203),R203,100000)+ROW()/100000,"")</f>
        <v/>
      </c>
      <c r="AC203" s="66" t="str">
        <f>IF(A203="","",IF(COUNTIF($A$6:A203,A203)=1,1,""))</f>
        <v/>
      </c>
      <c r="AD203" s="66" t="str">
        <f>IF(AC203=1,COUNT($AC$6:AC203),"")</f>
        <v/>
      </c>
      <c r="AE203" s="66" t="str">
        <f>IFERROR(INDEX(po_num,MATCH(198,po_seq,0))&amp;"","")</f>
        <v/>
      </c>
      <c r="AF203" s="66" t="str">
        <f>IF(OR(A203="",p_po=""),"",IF(A203&amp;""=p_po,COUNTIF($A$6:A203,A203),""))</f>
        <v/>
      </c>
      <c r="AG203" s="66" t="str">
        <f>IF(OR(AB203="",A203=""),"",IF(COUNTIFS($A$6:A203,A203,$AB$6:AB203,"&gt;0")=1,1,""))</f>
        <v/>
      </c>
      <c r="AH203" s="70" t="str">
        <f>IF(AB203="","",ROUND(N(W203)*N(J203)*(1-N(K203)),2))</f>
        <v/>
      </c>
      <c r="AI203" s="70" t="str">
        <f>IF(OR(J203="",N(T203)&lt;=0,V203="Oui"),"",ROUND(N(T203)*J203*(1-N(K203)),2))</f>
        <v/>
      </c>
    </row>
    <row r="204">
      <c r="A204" s="63" t="n"/>
      <c r="B204" s="64" t="n"/>
      <c r="C204" s="65" t="n"/>
      <c r="D204" s="66" t="str">
        <f>IF(C204="","",IFERROR(INDEX(sup_name,MATCH($C204,sup_code,0))&amp;"","Fournisseur inconnu"))</f>
        <v/>
      </c>
      <c r="E204" s="63" t="n"/>
      <c r="F204" s="66" t="str">
        <f>IF(E204="","",IFERROR(INDEX(art_des,MATCH($E204,art_ref,0))&amp;"","Article inconnu"))</f>
        <v/>
      </c>
      <c r="G204" s="67" t="str">
        <f>IF(E204="","",IFERROR(INDEX(art_unit,MATCH($E204,art_ref,0))&amp;"",""))</f>
        <v/>
      </c>
      <c r="H204" s="68" t="n"/>
      <c r="I204" s="69" t="n"/>
      <c r="J204" s="70" t="str">
        <f>IF(E204="","",IF(ISNUMBER(I204),I204,IFERROR(IF(ISNUMBER(INDEX(art_price,MATCH($E204,art_ref,0))),INDEX(art_price,MATCH($E204,art_ref,0)),""),"")))</f>
        <v/>
      </c>
      <c r="K204" s="71" t="n"/>
      <c r="L204" s="72" t="n"/>
      <c r="M204" s="72" t="str">
        <f>IF(E204="","",IF(L204&lt;&gt;"",L204,IFERROR(IF(ISNUMBER(INDEX(art_tva,MATCH($E204,art_ref,0))),INDEX(art_tva,MATCH($E204,art_ref,0)),""),"")))</f>
        <v/>
      </c>
      <c r="N204" s="70" t="str">
        <f>IF(OR(E204="",J204=""),"",ROUND(N(H204)*J204*(1-N(K204)),2))</f>
        <v/>
      </c>
      <c r="O204" s="70" t="str">
        <f>IF(OR(N204="",NOT(ISNUMBER(M204))),"",ROUND(N204*M204,2))</f>
        <v/>
      </c>
      <c r="P204" s="70" t="str">
        <f>IF(N204="","",N204+N(O204))</f>
        <v/>
      </c>
      <c r="Q204" s="64" t="n"/>
      <c r="R204" s="73" t="str">
        <f>IF(N(Q204)&gt;0,Q204,IF(OR(N(B204)=0,ISNA(MATCH($C204,sup_code,0))),"",IF(ISNUMBER(INDEX(sup_delay,MATCH($C204,sup_code,0))),B204+INDEX(sup_delay,MATCH($C204,sup_code,0)),"")))</f>
        <v/>
      </c>
      <c r="S204" s="64" t="n"/>
      <c r="T204" s="68" t="n"/>
      <c r="U204" s="64" t="n"/>
      <c r="V204" s="65" t="n"/>
      <c r="W204" s="74" t="str">
        <f>IF(AND(A204="",E204=""),"",IF(V204="Oui",0,MAX(0,ROUND(N(H204)-N(T204),6))))</f>
        <v/>
      </c>
      <c r="X204" s="67" t="str">
        <f>IF(AND(A204="",E204=""),"",IF(V204="Oui","Annulé",IF(AND(N(H204)&gt;0,N(T204)&gt;=N(H204)),"Reçu",IF(N(S204)=0,"Brouillon",IF(AND(ISNUMBER(R204),R204&lt;p_today),"En retard",IF(N(T204)&gt;0,"Partiel","Envoyé"))))))</f>
        <v/>
      </c>
      <c r="Y204" s="75" t="str">
        <f>IF(X204="En retard",p_today-R204,IF(AND(X204="Reçu",ISNUMBER(R204)),MAX(0,N(U204)-R204),""))</f>
        <v/>
      </c>
      <c r="Z204" s="67" t="str">
        <f>IF(AND(A204="",E204=""),"",IF(A204="","N° de bon manquant",IF(N(B204)=0,"Date de commande manquante",IF(C204="","Fournisseur manquant",IF(ISNA(MATCH($C204,sup_code,0)),"Fournisseur inconnu",IF(E204="","Article manquant",IF(ISNA(MATCH($E204,art_ref,0)),"Article inconnu",IF(N(H204)&lt;=0,"Quantité invalide",IF(J204="","Prix manquant",IF(OR(N(K204)&lt;0,N(K204)&gt;=1),"Remise invalide",IF(M204="","TVA manquante",IF(ISNA(MATCH(M204,p_tva,0)),"Taux de TVA inconnu",IF(COUNTIFS(po_num,A204,po_sup,"&lt;&gt;"&amp;C204)&gt;0,"Fournisseur différent sur ce bon",IF(COUNTIFS(po_num,A204,po_date,"&lt;&gt;"&amp;B204)&gt;0,"Date différente sur ce bon",IF(COUNTIF(po_num,A204)&gt;25,"Plus de 25 lignes sur ce bon",IF(R204="","Date de livraison manquante",IF(R204&lt;B204,"Livraison avant la commande",IF(AND(N(T204)&gt;0,N(S204)=0),"Date d'envoi manquante",IF(N(T204)&gt;N(H204),"Reçu plus que commandé",IF(AND(N(T204)&gt;0,N(U204)=0),"Date de réception manquante",IF(AND(N(U204)&gt;0,U204&lt;B204),"Réception avant la commande","OK")))))))))))))))))))))</f>
        <v/>
      </c>
      <c r="AA204" s="66" t="str">
        <f>IF(AND(X204="Reçu",ISNUMBER(R204)),IF(N(U204)&lt;=R204,1,0),"")</f>
        <v/>
      </c>
      <c r="AB204" s="76" t="str">
        <f>IF(OR(X204="Envoyé",X204="Partiel",X204="En retard"),IF(ISNUMBER(R204),R204,100000)+ROW()/100000,"")</f>
        <v/>
      </c>
      <c r="AC204" s="66" t="str">
        <f>IF(A204="","",IF(COUNTIF($A$6:A204,A204)=1,1,""))</f>
        <v/>
      </c>
      <c r="AD204" s="66" t="str">
        <f>IF(AC204=1,COUNT($AC$6:AC204),"")</f>
        <v/>
      </c>
      <c r="AE204" s="66" t="str">
        <f>IFERROR(INDEX(po_num,MATCH(199,po_seq,0))&amp;"","")</f>
        <v/>
      </c>
      <c r="AF204" s="66" t="str">
        <f>IF(OR(A204="",p_po=""),"",IF(A204&amp;""=p_po,COUNTIF($A$6:A204,A204),""))</f>
        <v/>
      </c>
      <c r="AG204" s="66" t="str">
        <f>IF(OR(AB204="",A204=""),"",IF(COUNTIFS($A$6:A204,A204,$AB$6:AB204,"&gt;0")=1,1,""))</f>
        <v/>
      </c>
      <c r="AH204" s="70" t="str">
        <f>IF(AB204="","",ROUND(N(W204)*N(J204)*(1-N(K204)),2))</f>
        <v/>
      </c>
      <c r="AI204" s="70" t="str">
        <f>IF(OR(J204="",N(T204)&lt;=0,V204="Oui"),"",ROUND(N(T204)*J204*(1-N(K204)),2))</f>
        <v/>
      </c>
    </row>
    <row r="205">
      <c r="A205" s="63" t="n"/>
      <c r="B205" s="64" t="n"/>
      <c r="C205" s="65" t="n"/>
      <c r="D205" s="66" t="str">
        <f>IF(C205="","",IFERROR(INDEX(sup_name,MATCH($C205,sup_code,0))&amp;"","Fournisseur inconnu"))</f>
        <v/>
      </c>
      <c r="E205" s="63" t="n"/>
      <c r="F205" s="66" t="str">
        <f>IF(E205="","",IFERROR(INDEX(art_des,MATCH($E205,art_ref,0))&amp;"","Article inconnu"))</f>
        <v/>
      </c>
      <c r="G205" s="67" t="str">
        <f>IF(E205="","",IFERROR(INDEX(art_unit,MATCH($E205,art_ref,0))&amp;"",""))</f>
        <v/>
      </c>
      <c r="H205" s="68" t="n"/>
      <c r="I205" s="69" t="n"/>
      <c r="J205" s="70" t="str">
        <f>IF(E205="","",IF(ISNUMBER(I205),I205,IFERROR(IF(ISNUMBER(INDEX(art_price,MATCH($E205,art_ref,0))),INDEX(art_price,MATCH($E205,art_ref,0)),""),"")))</f>
        <v/>
      </c>
      <c r="K205" s="71" t="n"/>
      <c r="L205" s="72" t="n"/>
      <c r="M205" s="72" t="str">
        <f>IF(E205="","",IF(L205&lt;&gt;"",L205,IFERROR(IF(ISNUMBER(INDEX(art_tva,MATCH($E205,art_ref,0))),INDEX(art_tva,MATCH($E205,art_ref,0)),""),"")))</f>
        <v/>
      </c>
      <c r="N205" s="70" t="str">
        <f>IF(OR(E205="",J205=""),"",ROUND(N(H205)*J205*(1-N(K205)),2))</f>
        <v/>
      </c>
      <c r="O205" s="70" t="str">
        <f>IF(OR(N205="",NOT(ISNUMBER(M205))),"",ROUND(N205*M205,2))</f>
        <v/>
      </c>
      <c r="P205" s="70" t="str">
        <f>IF(N205="","",N205+N(O205))</f>
        <v/>
      </c>
      <c r="Q205" s="64" t="n"/>
      <c r="R205" s="73" t="str">
        <f>IF(N(Q205)&gt;0,Q205,IF(OR(N(B205)=0,ISNA(MATCH($C205,sup_code,0))),"",IF(ISNUMBER(INDEX(sup_delay,MATCH($C205,sup_code,0))),B205+INDEX(sup_delay,MATCH($C205,sup_code,0)),"")))</f>
        <v/>
      </c>
      <c r="S205" s="64" t="n"/>
      <c r="T205" s="68" t="n"/>
      <c r="U205" s="64" t="n"/>
      <c r="V205" s="65" t="n"/>
      <c r="W205" s="74" t="str">
        <f>IF(AND(A205="",E205=""),"",IF(V205="Oui",0,MAX(0,ROUND(N(H205)-N(T205),6))))</f>
        <v/>
      </c>
      <c r="X205" s="67" t="str">
        <f>IF(AND(A205="",E205=""),"",IF(V205="Oui","Annulé",IF(AND(N(H205)&gt;0,N(T205)&gt;=N(H205)),"Reçu",IF(N(S205)=0,"Brouillon",IF(AND(ISNUMBER(R205),R205&lt;p_today),"En retard",IF(N(T205)&gt;0,"Partiel","Envoyé"))))))</f>
        <v/>
      </c>
      <c r="Y205" s="75" t="str">
        <f>IF(X205="En retard",p_today-R205,IF(AND(X205="Reçu",ISNUMBER(R205)),MAX(0,N(U205)-R205),""))</f>
        <v/>
      </c>
      <c r="Z205" s="67" t="str">
        <f>IF(AND(A205="",E205=""),"",IF(A205="","N° de bon manquant",IF(N(B205)=0,"Date de commande manquante",IF(C205="","Fournisseur manquant",IF(ISNA(MATCH($C205,sup_code,0)),"Fournisseur inconnu",IF(E205="","Article manquant",IF(ISNA(MATCH($E205,art_ref,0)),"Article inconnu",IF(N(H205)&lt;=0,"Quantité invalide",IF(J205="","Prix manquant",IF(OR(N(K205)&lt;0,N(K205)&gt;=1),"Remise invalide",IF(M205="","TVA manquante",IF(ISNA(MATCH(M205,p_tva,0)),"Taux de TVA inconnu",IF(COUNTIFS(po_num,A205,po_sup,"&lt;&gt;"&amp;C205)&gt;0,"Fournisseur différent sur ce bon",IF(COUNTIFS(po_num,A205,po_date,"&lt;&gt;"&amp;B205)&gt;0,"Date différente sur ce bon",IF(COUNTIF(po_num,A205)&gt;25,"Plus de 25 lignes sur ce bon",IF(R205="","Date de livraison manquante",IF(R205&lt;B205,"Livraison avant la commande",IF(AND(N(T205)&gt;0,N(S205)=0),"Date d'envoi manquante",IF(N(T205)&gt;N(H205),"Reçu plus que commandé",IF(AND(N(T205)&gt;0,N(U205)=0),"Date de réception manquante",IF(AND(N(U205)&gt;0,U205&lt;B205),"Réception avant la commande","OK")))))))))))))))))))))</f>
        <v/>
      </c>
      <c r="AA205" s="66" t="str">
        <f>IF(AND(X205="Reçu",ISNUMBER(R205)),IF(N(U205)&lt;=R205,1,0),"")</f>
        <v/>
      </c>
      <c r="AB205" s="76" t="str">
        <f>IF(OR(X205="Envoyé",X205="Partiel",X205="En retard"),IF(ISNUMBER(R205),R205,100000)+ROW()/100000,"")</f>
        <v/>
      </c>
      <c r="AC205" s="66" t="str">
        <f>IF(A205="","",IF(COUNTIF($A$6:A205,A205)=1,1,""))</f>
        <v/>
      </c>
      <c r="AD205" s="66" t="str">
        <f>IF(AC205=1,COUNT($AC$6:AC205),"")</f>
        <v/>
      </c>
      <c r="AE205" s="66" t="str">
        <f>IFERROR(INDEX(po_num,MATCH(200,po_seq,0))&amp;"","")</f>
        <v/>
      </c>
      <c r="AF205" s="66" t="str">
        <f>IF(OR(A205="",p_po=""),"",IF(A205&amp;""=p_po,COUNTIF($A$6:A205,A205),""))</f>
        <v/>
      </c>
      <c r="AG205" s="66" t="str">
        <f>IF(OR(AB205="",A205=""),"",IF(COUNTIFS($A$6:A205,A205,$AB$6:AB205,"&gt;0")=1,1,""))</f>
        <v/>
      </c>
      <c r="AH205" s="70" t="str">
        <f>IF(AB205="","",ROUND(N(W205)*N(J205)*(1-N(K205)),2))</f>
        <v/>
      </c>
      <c r="AI205" s="70" t="str">
        <f>IF(OR(J205="",N(T205)&lt;=0,V205="Oui"),"",ROUND(N(T205)*J205*(1-N(K205)),2))</f>
        <v/>
      </c>
    </row>
    <row r="206">
      <c r="A206" s="63" t="n"/>
      <c r="B206" s="64" t="n"/>
      <c r="C206" s="65" t="n"/>
      <c r="D206" s="66" t="str">
        <f>IF(C206="","",IFERROR(INDEX(sup_name,MATCH($C206,sup_code,0))&amp;"","Fournisseur inconnu"))</f>
        <v/>
      </c>
      <c r="E206" s="63" t="n"/>
      <c r="F206" s="66" t="str">
        <f>IF(E206="","",IFERROR(INDEX(art_des,MATCH($E206,art_ref,0))&amp;"","Article inconnu"))</f>
        <v/>
      </c>
      <c r="G206" s="67" t="str">
        <f>IF(E206="","",IFERROR(INDEX(art_unit,MATCH($E206,art_ref,0))&amp;"",""))</f>
        <v/>
      </c>
      <c r="H206" s="68" t="n"/>
      <c r="I206" s="69" t="n"/>
      <c r="J206" s="70" t="str">
        <f>IF(E206="","",IF(ISNUMBER(I206),I206,IFERROR(IF(ISNUMBER(INDEX(art_price,MATCH($E206,art_ref,0))),INDEX(art_price,MATCH($E206,art_ref,0)),""),"")))</f>
        <v/>
      </c>
      <c r="K206" s="71" t="n"/>
      <c r="L206" s="72" t="n"/>
      <c r="M206" s="72" t="str">
        <f>IF(E206="","",IF(L206&lt;&gt;"",L206,IFERROR(IF(ISNUMBER(INDEX(art_tva,MATCH($E206,art_ref,0))),INDEX(art_tva,MATCH($E206,art_ref,0)),""),"")))</f>
        <v/>
      </c>
      <c r="N206" s="70" t="str">
        <f>IF(OR(E206="",J206=""),"",ROUND(N(H206)*J206*(1-N(K206)),2))</f>
        <v/>
      </c>
      <c r="O206" s="70" t="str">
        <f>IF(OR(N206="",NOT(ISNUMBER(M206))),"",ROUND(N206*M206,2))</f>
        <v/>
      </c>
      <c r="P206" s="70" t="str">
        <f>IF(N206="","",N206+N(O206))</f>
        <v/>
      </c>
      <c r="Q206" s="64" t="n"/>
      <c r="R206" s="73" t="str">
        <f>IF(N(Q206)&gt;0,Q206,IF(OR(N(B206)=0,ISNA(MATCH($C206,sup_code,0))),"",IF(ISNUMBER(INDEX(sup_delay,MATCH($C206,sup_code,0))),B206+INDEX(sup_delay,MATCH($C206,sup_code,0)),"")))</f>
        <v/>
      </c>
      <c r="S206" s="64" t="n"/>
      <c r="T206" s="68" t="n"/>
      <c r="U206" s="64" t="n"/>
      <c r="V206" s="65" t="n"/>
      <c r="W206" s="74" t="str">
        <f>IF(AND(A206="",E206=""),"",IF(V206="Oui",0,MAX(0,ROUND(N(H206)-N(T206),6))))</f>
        <v/>
      </c>
      <c r="X206" s="67" t="str">
        <f>IF(AND(A206="",E206=""),"",IF(V206="Oui","Annulé",IF(AND(N(H206)&gt;0,N(T206)&gt;=N(H206)),"Reçu",IF(N(S206)=0,"Brouillon",IF(AND(ISNUMBER(R206),R206&lt;p_today),"En retard",IF(N(T206)&gt;0,"Partiel","Envoyé"))))))</f>
        <v/>
      </c>
      <c r="Y206" s="75" t="str">
        <f>IF(X206="En retard",p_today-R206,IF(AND(X206="Reçu",ISNUMBER(R206)),MAX(0,N(U206)-R206),""))</f>
        <v/>
      </c>
      <c r="Z206" s="67" t="str">
        <f>IF(AND(A206="",E206=""),"",IF(A206="","N° de bon manquant",IF(N(B206)=0,"Date de commande manquante",IF(C206="","Fournisseur manquant",IF(ISNA(MATCH($C206,sup_code,0)),"Fournisseur inconnu",IF(E206="","Article manquant",IF(ISNA(MATCH($E206,art_ref,0)),"Article inconnu",IF(N(H206)&lt;=0,"Quantité invalide",IF(J206="","Prix manquant",IF(OR(N(K206)&lt;0,N(K206)&gt;=1),"Remise invalide",IF(M206="","TVA manquante",IF(ISNA(MATCH(M206,p_tva,0)),"Taux de TVA inconnu",IF(COUNTIFS(po_num,A206,po_sup,"&lt;&gt;"&amp;C206)&gt;0,"Fournisseur différent sur ce bon",IF(COUNTIFS(po_num,A206,po_date,"&lt;&gt;"&amp;B206)&gt;0,"Date différente sur ce bon",IF(COUNTIF(po_num,A206)&gt;25,"Plus de 25 lignes sur ce bon",IF(R206="","Date de livraison manquante",IF(R206&lt;B206,"Livraison avant la commande",IF(AND(N(T206)&gt;0,N(S206)=0),"Date d'envoi manquante",IF(N(T206)&gt;N(H206),"Reçu plus que commandé",IF(AND(N(T206)&gt;0,N(U206)=0),"Date de réception manquante",IF(AND(N(U206)&gt;0,U206&lt;B206),"Réception avant la commande","OK")))))))))))))))))))))</f>
        <v/>
      </c>
      <c r="AA206" s="66" t="str">
        <f>IF(AND(X206="Reçu",ISNUMBER(R206)),IF(N(U206)&lt;=R206,1,0),"")</f>
        <v/>
      </c>
      <c r="AB206" s="76" t="str">
        <f>IF(OR(X206="Envoyé",X206="Partiel",X206="En retard"),IF(ISNUMBER(R206),R206,100000)+ROW()/100000,"")</f>
        <v/>
      </c>
      <c r="AC206" s="66" t="str">
        <f>IF(A206="","",IF(COUNTIF($A$6:A206,A206)=1,1,""))</f>
        <v/>
      </c>
      <c r="AD206" s="66" t="str">
        <f>IF(AC206=1,COUNT($AC$6:AC206),"")</f>
        <v/>
      </c>
      <c r="AE206" s="66" t="str">
        <f>IFERROR(INDEX(po_num,MATCH(201,po_seq,0))&amp;"","")</f>
        <v/>
      </c>
      <c r="AF206" s="66" t="str">
        <f>IF(OR(A206="",p_po=""),"",IF(A206&amp;""=p_po,COUNTIF($A$6:A206,A206),""))</f>
        <v/>
      </c>
      <c r="AG206" s="66" t="str">
        <f>IF(OR(AB206="",A206=""),"",IF(COUNTIFS($A$6:A206,A206,$AB$6:AB206,"&gt;0")=1,1,""))</f>
        <v/>
      </c>
      <c r="AH206" s="70" t="str">
        <f>IF(AB206="","",ROUND(N(W206)*N(J206)*(1-N(K206)),2))</f>
        <v/>
      </c>
      <c r="AI206" s="70" t="str">
        <f>IF(OR(J206="",N(T206)&lt;=0,V206="Oui"),"",ROUND(N(T206)*J206*(1-N(K206)),2))</f>
        <v/>
      </c>
    </row>
    <row r="207">
      <c r="A207" s="63" t="n"/>
      <c r="B207" s="64" t="n"/>
      <c r="C207" s="65" t="n"/>
      <c r="D207" s="66" t="str">
        <f>IF(C207="","",IFERROR(INDEX(sup_name,MATCH($C207,sup_code,0))&amp;"","Fournisseur inconnu"))</f>
        <v/>
      </c>
      <c r="E207" s="63" t="n"/>
      <c r="F207" s="66" t="str">
        <f>IF(E207="","",IFERROR(INDEX(art_des,MATCH($E207,art_ref,0))&amp;"","Article inconnu"))</f>
        <v/>
      </c>
      <c r="G207" s="67" t="str">
        <f>IF(E207="","",IFERROR(INDEX(art_unit,MATCH($E207,art_ref,0))&amp;"",""))</f>
        <v/>
      </c>
      <c r="H207" s="68" t="n"/>
      <c r="I207" s="69" t="n"/>
      <c r="J207" s="70" t="str">
        <f>IF(E207="","",IF(ISNUMBER(I207),I207,IFERROR(IF(ISNUMBER(INDEX(art_price,MATCH($E207,art_ref,0))),INDEX(art_price,MATCH($E207,art_ref,0)),""),"")))</f>
        <v/>
      </c>
      <c r="K207" s="71" t="n"/>
      <c r="L207" s="72" t="n"/>
      <c r="M207" s="72" t="str">
        <f>IF(E207="","",IF(L207&lt;&gt;"",L207,IFERROR(IF(ISNUMBER(INDEX(art_tva,MATCH($E207,art_ref,0))),INDEX(art_tva,MATCH($E207,art_ref,0)),""),"")))</f>
        <v/>
      </c>
      <c r="N207" s="70" t="str">
        <f>IF(OR(E207="",J207=""),"",ROUND(N(H207)*J207*(1-N(K207)),2))</f>
        <v/>
      </c>
      <c r="O207" s="70" t="str">
        <f>IF(OR(N207="",NOT(ISNUMBER(M207))),"",ROUND(N207*M207,2))</f>
        <v/>
      </c>
      <c r="P207" s="70" t="str">
        <f>IF(N207="","",N207+N(O207))</f>
        <v/>
      </c>
      <c r="Q207" s="64" t="n"/>
      <c r="R207" s="73" t="str">
        <f>IF(N(Q207)&gt;0,Q207,IF(OR(N(B207)=0,ISNA(MATCH($C207,sup_code,0))),"",IF(ISNUMBER(INDEX(sup_delay,MATCH($C207,sup_code,0))),B207+INDEX(sup_delay,MATCH($C207,sup_code,0)),"")))</f>
        <v/>
      </c>
      <c r="S207" s="64" t="n"/>
      <c r="T207" s="68" t="n"/>
      <c r="U207" s="64" t="n"/>
      <c r="V207" s="65" t="n"/>
      <c r="W207" s="74" t="str">
        <f>IF(AND(A207="",E207=""),"",IF(V207="Oui",0,MAX(0,ROUND(N(H207)-N(T207),6))))</f>
        <v/>
      </c>
      <c r="X207" s="67" t="str">
        <f>IF(AND(A207="",E207=""),"",IF(V207="Oui","Annulé",IF(AND(N(H207)&gt;0,N(T207)&gt;=N(H207)),"Reçu",IF(N(S207)=0,"Brouillon",IF(AND(ISNUMBER(R207),R207&lt;p_today),"En retard",IF(N(T207)&gt;0,"Partiel","Envoyé"))))))</f>
        <v/>
      </c>
      <c r="Y207" s="75" t="str">
        <f>IF(X207="En retard",p_today-R207,IF(AND(X207="Reçu",ISNUMBER(R207)),MAX(0,N(U207)-R207),""))</f>
        <v/>
      </c>
      <c r="Z207" s="67" t="str">
        <f>IF(AND(A207="",E207=""),"",IF(A207="","N° de bon manquant",IF(N(B207)=0,"Date de commande manquante",IF(C207="","Fournisseur manquant",IF(ISNA(MATCH($C207,sup_code,0)),"Fournisseur inconnu",IF(E207="","Article manquant",IF(ISNA(MATCH($E207,art_ref,0)),"Article inconnu",IF(N(H207)&lt;=0,"Quantité invalide",IF(J207="","Prix manquant",IF(OR(N(K207)&lt;0,N(K207)&gt;=1),"Remise invalide",IF(M207="","TVA manquante",IF(ISNA(MATCH(M207,p_tva,0)),"Taux de TVA inconnu",IF(COUNTIFS(po_num,A207,po_sup,"&lt;&gt;"&amp;C207)&gt;0,"Fournisseur différent sur ce bon",IF(COUNTIFS(po_num,A207,po_date,"&lt;&gt;"&amp;B207)&gt;0,"Date différente sur ce bon",IF(COUNTIF(po_num,A207)&gt;25,"Plus de 25 lignes sur ce bon",IF(R207="","Date de livraison manquante",IF(R207&lt;B207,"Livraison avant la commande",IF(AND(N(T207)&gt;0,N(S207)=0),"Date d'envoi manquante",IF(N(T207)&gt;N(H207),"Reçu plus que commandé",IF(AND(N(T207)&gt;0,N(U207)=0),"Date de réception manquante",IF(AND(N(U207)&gt;0,U207&lt;B207),"Réception avant la commande","OK")))))))))))))))))))))</f>
        <v/>
      </c>
      <c r="AA207" s="66" t="str">
        <f>IF(AND(X207="Reçu",ISNUMBER(R207)),IF(N(U207)&lt;=R207,1,0),"")</f>
        <v/>
      </c>
      <c r="AB207" s="76" t="str">
        <f>IF(OR(X207="Envoyé",X207="Partiel",X207="En retard"),IF(ISNUMBER(R207),R207,100000)+ROW()/100000,"")</f>
        <v/>
      </c>
      <c r="AC207" s="66" t="str">
        <f>IF(A207="","",IF(COUNTIF($A$6:A207,A207)=1,1,""))</f>
        <v/>
      </c>
      <c r="AD207" s="66" t="str">
        <f>IF(AC207=1,COUNT($AC$6:AC207),"")</f>
        <v/>
      </c>
      <c r="AE207" s="66" t="str">
        <f>IFERROR(INDEX(po_num,MATCH(202,po_seq,0))&amp;"","")</f>
        <v/>
      </c>
      <c r="AF207" s="66" t="str">
        <f>IF(OR(A207="",p_po=""),"",IF(A207&amp;""=p_po,COUNTIF($A$6:A207,A207),""))</f>
        <v/>
      </c>
      <c r="AG207" s="66" t="str">
        <f>IF(OR(AB207="",A207=""),"",IF(COUNTIFS($A$6:A207,A207,$AB$6:AB207,"&gt;0")=1,1,""))</f>
        <v/>
      </c>
      <c r="AH207" s="70" t="str">
        <f>IF(AB207="","",ROUND(N(W207)*N(J207)*(1-N(K207)),2))</f>
        <v/>
      </c>
      <c r="AI207" s="70" t="str">
        <f>IF(OR(J207="",N(T207)&lt;=0,V207="Oui"),"",ROUND(N(T207)*J207*(1-N(K207)),2))</f>
        <v/>
      </c>
    </row>
    <row r="208">
      <c r="A208" s="63" t="n"/>
      <c r="B208" s="64" t="n"/>
      <c r="C208" s="65" t="n"/>
      <c r="D208" s="66" t="str">
        <f>IF(C208="","",IFERROR(INDEX(sup_name,MATCH($C208,sup_code,0))&amp;"","Fournisseur inconnu"))</f>
        <v/>
      </c>
      <c r="E208" s="63" t="n"/>
      <c r="F208" s="66" t="str">
        <f>IF(E208="","",IFERROR(INDEX(art_des,MATCH($E208,art_ref,0))&amp;"","Article inconnu"))</f>
        <v/>
      </c>
      <c r="G208" s="67" t="str">
        <f>IF(E208="","",IFERROR(INDEX(art_unit,MATCH($E208,art_ref,0))&amp;"",""))</f>
        <v/>
      </c>
      <c r="H208" s="68" t="n"/>
      <c r="I208" s="69" t="n"/>
      <c r="J208" s="70" t="str">
        <f>IF(E208="","",IF(ISNUMBER(I208),I208,IFERROR(IF(ISNUMBER(INDEX(art_price,MATCH($E208,art_ref,0))),INDEX(art_price,MATCH($E208,art_ref,0)),""),"")))</f>
        <v/>
      </c>
      <c r="K208" s="71" t="n"/>
      <c r="L208" s="72" t="n"/>
      <c r="M208" s="72" t="str">
        <f>IF(E208="","",IF(L208&lt;&gt;"",L208,IFERROR(IF(ISNUMBER(INDEX(art_tva,MATCH($E208,art_ref,0))),INDEX(art_tva,MATCH($E208,art_ref,0)),""),"")))</f>
        <v/>
      </c>
      <c r="N208" s="70" t="str">
        <f>IF(OR(E208="",J208=""),"",ROUND(N(H208)*J208*(1-N(K208)),2))</f>
        <v/>
      </c>
      <c r="O208" s="70" t="str">
        <f>IF(OR(N208="",NOT(ISNUMBER(M208))),"",ROUND(N208*M208,2))</f>
        <v/>
      </c>
      <c r="P208" s="70" t="str">
        <f>IF(N208="","",N208+N(O208))</f>
        <v/>
      </c>
      <c r="Q208" s="64" t="n"/>
      <c r="R208" s="73" t="str">
        <f>IF(N(Q208)&gt;0,Q208,IF(OR(N(B208)=0,ISNA(MATCH($C208,sup_code,0))),"",IF(ISNUMBER(INDEX(sup_delay,MATCH($C208,sup_code,0))),B208+INDEX(sup_delay,MATCH($C208,sup_code,0)),"")))</f>
        <v/>
      </c>
      <c r="S208" s="64" t="n"/>
      <c r="T208" s="68" t="n"/>
      <c r="U208" s="64" t="n"/>
      <c r="V208" s="65" t="n"/>
      <c r="W208" s="74" t="str">
        <f>IF(AND(A208="",E208=""),"",IF(V208="Oui",0,MAX(0,ROUND(N(H208)-N(T208),6))))</f>
        <v/>
      </c>
      <c r="X208" s="67" t="str">
        <f>IF(AND(A208="",E208=""),"",IF(V208="Oui","Annulé",IF(AND(N(H208)&gt;0,N(T208)&gt;=N(H208)),"Reçu",IF(N(S208)=0,"Brouillon",IF(AND(ISNUMBER(R208),R208&lt;p_today),"En retard",IF(N(T208)&gt;0,"Partiel","Envoyé"))))))</f>
        <v/>
      </c>
      <c r="Y208" s="75" t="str">
        <f>IF(X208="En retard",p_today-R208,IF(AND(X208="Reçu",ISNUMBER(R208)),MAX(0,N(U208)-R208),""))</f>
        <v/>
      </c>
      <c r="Z208" s="67" t="str">
        <f>IF(AND(A208="",E208=""),"",IF(A208="","N° de bon manquant",IF(N(B208)=0,"Date de commande manquante",IF(C208="","Fournisseur manquant",IF(ISNA(MATCH($C208,sup_code,0)),"Fournisseur inconnu",IF(E208="","Article manquant",IF(ISNA(MATCH($E208,art_ref,0)),"Article inconnu",IF(N(H208)&lt;=0,"Quantité invalide",IF(J208="","Prix manquant",IF(OR(N(K208)&lt;0,N(K208)&gt;=1),"Remise invalide",IF(M208="","TVA manquante",IF(ISNA(MATCH(M208,p_tva,0)),"Taux de TVA inconnu",IF(COUNTIFS(po_num,A208,po_sup,"&lt;&gt;"&amp;C208)&gt;0,"Fournisseur différent sur ce bon",IF(COUNTIFS(po_num,A208,po_date,"&lt;&gt;"&amp;B208)&gt;0,"Date différente sur ce bon",IF(COUNTIF(po_num,A208)&gt;25,"Plus de 25 lignes sur ce bon",IF(R208="","Date de livraison manquante",IF(R208&lt;B208,"Livraison avant la commande",IF(AND(N(T208)&gt;0,N(S208)=0),"Date d'envoi manquante",IF(N(T208)&gt;N(H208),"Reçu plus que commandé",IF(AND(N(T208)&gt;0,N(U208)=0),"Date de réception manquante",IF(AND(N(U208)&gt;0,U208&lt;B208),"Réception avant la commande","OK")))))))))))))))))))))</f>
        <v/>
      </c>
      <c r="AA208" s="66" t="str">
        <f>IF(AND(X208="Reçu",ISNUMBER(R208)),IF(N(U208)&lt;=R208,1,0),"")</f>
        <v/>
      </c>
      <c r="AB208" s="76" t="str">
        <f>IF(OR(X208="Envoyé",X208="Partiel",X208="En retard"),IF(ISNUMBER(R208),R208,100000)+ROW()/100000,"")</f>
        <v/>
      </c>
      <c r="AC208" s="66" t="str">
        <f>IF(A208="","",IF(COUNTIF($A$6:A208,A208)=1,1,""))</f>
        <v/>
      </c>
      <c r="AD208" s="66" t="str">
        <f>IF(AC208=1,COUNT($AC$6:AC208),"")</f>
        <v/>
      </c>
      <c r="AE208" s="66" t="str">
        <f>IFERROR(INDEX(po_num,MATCH(203,po_seq,0))&amp;"","")</f>
        <v/>
      </c>
      <c r="AF208" s="66" t="str">
        <f>IF(OR(A208="",p_po=""),"",IF(A208&amp;""=p_po,COUNTIF($A$6:A208,A208),""))</f>
        <v/>
      </c>
      <c r="AG208" s="66" t="str">
        <f>IF(OR(AB208="",A208=""),"",IF(COUNTIFS($A$6:A208,A208,$AB$6:AB208,"&gt;0")=1,1,""))</f>
        <v/>
      </c>
      <c r="AH208" s="70" t="str">
        <f>IF(AB208="","",ROUND(N(W208)*N(J208)*(1-N(K208)),2))</f>
        <v/>
      </c>
      <c r="AI208" s="70" t="str">
        <f>IF(OR(J208="",N(T208)&lt;=0,V208="Oui"),"",ROUND(N(T208)*J208*(1-N(K208)),2))</f>
        <v/>
      </c>
    </row>
    <row r="209">
      <c r="A209" s="63" t="n"/>
      <c r="B209" s="64" t="n"/>
      <c r="C209" s="65" t="n"/>
      <c r="D209" s="66" t="str">
        <f>IF(C209="","",IFERROR(INDEX(sup_name,MATCH($C209,sup_code,0))&amp;"","Fournisseur inconnu"))</f>
        <v/>
      </c>
      <c r="E209" s="63" t="n"/>
      <c r="F209" s="66" t="str">
        <f>IF(E209="","",IFERROR(INDEX(art_des,MATCH($E209,art_ref,0))&amp;"","Article inconnu"))</f>
        <v/>
      </c>
      <c r="G209" s="67" t="str">
        <f>IF(E209="","",IFERROR(INDEX(art_unit,MATCH($E209,art_ref,0))&amp;"",""))</f>
        <v/>
      </c>
      <c r="H209" s="68" t="n"/>
      <c r="I209" s="69" t="n"/>
      <c r="J209" s="70" t="str">
        <f>IF(E209="","",IF(ISNUMBER(I209),I209,IFERROR(IF(ISNUMBER(INDEX(art_price,MATCH($E209,art_ref,0))),INDEX(art_price,MATCH($E209,art_ref,0)),""),"")))</f>
        <v/>
      </c>
      <c r="K209" s="71" t="n"/>
      <c r="L209" s="72" t="n"/>
      <c r="M209" s="72" t="str">
        <f>IF(E209="","",IF(L209&lt;&gt;"",L209,IFERROR(IF(ISNUMBER(INDEX(art_tva,MATCH($E209,art_ref,0))),INDEX(art_tva,MATCH($E209,art_ref,0)),""),"")))</f>
        <v/>
      </c>
      <c r="N209" s="70" t="str">
        <f>IF(OR(E209="",J209=""),"",ROUND(N(H209)*J209*(1-N(K209)),2))</f>
        <v/>
      </c>
      <c r="O209" s="70" t="str">
        <f>IF(OR(N209="",NOT(ISNUMBER(M209))),"",ROUND(N209*M209,2))</f>
        <v/>
      </c>
      <c r="P209" s="70" t="str">
        <f>IF(N209="","",N209+N(O209))</f>
        <v/>
      </c>
      <c r="Q209" s="64" t="n"/>
      <c r="R209" s="73" t="str">
        <f>IF(N(Q209)&gt;0,Q209,IF(OR(N(B209)=0,ISNA(MATCH($C209,sup_code,0))),"",IF(ISNUMBER(INDEX(sup_delay,MATCH($C209,sup_code,0))),B209+INDEX(sup_delay,MATCH($C209,sup_code,0)),"")))</f>
        <v/>
      </c>
      <c r="S209" s="64" t="n"/>
      <c r="T209" s="68" t="n"/>
      <c r="U209" s="64" t="n"/>
      <c r="V209" s="65" t="n"/>
      <c r="W209" s="74" t="str">
        <f>IF(AND(A209="",E209=""),"",IF(V209="Oui",0,MAX(0,ROUND(N(H209)-N(T209),6))))</f>
        <v/>
      </c>
      <c r="X209" s="67" t="str">
        <f>IF(AND(A209="",E209=""),"",IF(V209="Oui","Annulé",IF(AND(N(H209)&gt;0,N(T209)&gt;=N(H209)),"Reçu",IF(N(S209)=0,"Brouillon",IF(AND(ISNUMBER(R209),R209&lt;p_today),"En retard",IF(N(T209)&gt;0,"Partiel","Envoyé"))))))</f>
        <v/>
      </c>
      <c r="Y209" s="75" t="str">
        <f>IF(X209="En retard",p_today-R209,IF(AND(X209="Reçu",ISNUMBER(R209)),MAX(0,N(U209)-R209),""))</f>
        <v/>
      </c>
      <c r="Z209" s="67" t="str">
        <f>IF(AND(A209="",E209=""),"",IF(A209="","N° de bon manquant",IF(N(B209)=0,"Date de commande manquante",IF(C209="","Fournisseur manquant",IF(ISNA(MATCH($C209,sup_code,0)),"Fournisseur inconnu",IF(E209="","Article manquant",IF(ISNA(MATCH($E209,art_ref,0)),"Article inconnu",IF(N(H209)&lt;=0,"Quantité invalide",IF(J209="","Prix manquant",IF(OR(N(K209)&lt;0,N(K209)&gt;=1),"Remise invalide",IF(M209="","TVA manquante",IF(ISNA(MATCH(M209,p_tva,0)),"Taux de TVA inconnu",IF(COUNTIFS(po_num,A209,po_sup,"&lt;&gt;"&amp;C209)&gt;0,"Fournisseur différent sur ce bon",IF(COUNTIFS(po_num,A209,po_date,"&lt;&gt;"&amp;B209)&gt;0,"Date différente sur ce bon",IF(COUNTIF(po_num,A209)&gt;25,"Plus de 25 lignes sur ce bon",IF(R209="","Date de livraison manquante",IF(R209&lt;B209,"Livraison avant la commande",IF(AND(N(T209)&gt;0,N(S209)=0),"Date d'envoi manquante",IF(N(T209)&gt;N(H209),"Reçu plus que commandé",IF(AND(N(T209)&gt;0,N(U209)=0),"Date de réception manquante",IF(AND(N(U209)&gt;0,U209&lt;B209),"Réception avant la commande","OK")))))))))))))))))))))</f>
        <v/>
      </c>
      <c r="AA209" s="66" t="str">
        <f>IF(AND(X209="Reçu",ISNUMBER(R209)),IF(N(U209)&lt;=R209,1,0),"")</f>
        <v/>
      </c>
      <c r="AB209" s="76" t="str">
        <f>IF(OR(X209="Envoyé",X209="Partiel",X209="En retard"),IF(ISNUMBER(R209),R209,100000)+ROW()/100000,"")</f>
        <v/>
      </c>
      <c r="AC209" s="66" t="str">
        <f>IF(A209="","",IF(COUNTIF($A$6:A209,A209)=1,1,""))</f>
        <v/>
      </c>
      <c r="AD209" s="66" t="str">
        <f>IF(AC209=1,COUNT($AC$6:AC209),"")</f>
        <v/>
      </c>
      <c r="AE209" s="66" t="str">
        <f>IFERROR(INDEX(po_num,MATCH(204,po_seq,0))&amp;"","")</f>
        <v/>
      </c>
      <c r="AF209" s="66" t="str">
        <f>IF(OR(A209="",p_po=""),"",IF(A209&amp;""=p_po,COUNTIF($A$6:A209,A209),""))</f>
        <v/>
      </c>
      <c r="AG209" s="66" t="str">
        <f>IF(OR(AB209="",A209=""),"",IF(COUNTIFS($A$6:A209,A209,$AB$6:AB209,"&gt;0")=1,1,""))</f>
        <v/>
      </c>
      <c r="AH209" s="70" t="str">
        <f>IF(AB209="","",ROUND(N(W209)*N(J209)*(1-N(K209)),2))</f>
        <v/>
      </c>
      <c r="AI209" s="70" t="str">
        <f>IF(OR(J209="",N(T209)&lt;=0,V209="Oui"),"",ROUND(N(T209)*J209*(1-N(K209)),2))</f>
        <v/>
      </c>
    </row>
    <row r="210">
      <c r="A210" s="63" t="n"/>
      <c r="B210" s="64" t="n"/>
      <c r="C210" s="65" t="n"/>
      <c r="D210" s="66" t="str">
        <f>IF(C210="","",IFERROR(INDEX(sup_name,MATCH($C210,sup_code,0))&amp;"","Fournisseur inconnu"))</f>
        <v/>
      </c>
      <c r="E210" s="63" t="n"/>
      <c r="F210" s="66" t="str">
        <f>IF(E210="","",IFERROR(INDEX(art_des,MATCH($E210,art_ref,0))&amp;"","Article inconnu"))</f>
        <v/>
      </c>
      <c r="G210" s="67" t="str">
        <f>IF(E210="","",IFERROR(INDEX(art_unit,MATCH($E210,art_ref,0))&amp;"",""))</f>
        <v/>
      </c>
      <c r="H210" s="68" t="n"/>
      <c r="I210" s="69" t="n"/>
      <c r="J210" s="70" t="str">
        <f>IF(E210="","",IF(ISNUMBER(I210),I210,IFERROR(IF(ISNUMBER(INDEX(art_price,MATCH($E210,art_ref,0))),INDEX(art_price,MATCH($E210,art_ref,0)),""),"")))</f>
        <v/>
      </c>
      <c r="K210" s="71" t="n"/>
      <c r="L210" s="72" t="n"/>
      <c r="M210" s="72" t="str">
        <f>IF(E210="","",IF(L210&lt;&gt;"",L210,IFERROR(IF(ISNUMBER(INDEX(art_tva,MATCH($E210,art_ref,0))),INDEX(art_tva,MATCH($E210,art_ref,0)),""),"")))</f>
        <v/>
      </c>
      <c r="N210" s="70" t="str">
        <f>IF(OR(E210="",J210=""),"",ROUND(N(H210)*J210*(1-N(K210)),2))</f>
        <v/>
      </c>
      <c r="O210" s="70" t="str">
        <f>IF(OR(N210="",NOT(ISNUMBER(M210))),"",ROUND(N210*M210,2))</f>
        <v/>
      </c>
      <c r="P210" s="70" t="str">
        <f>IF(N210="","",N210+N(O210))</f>
        <v/>
      </c>
      <c r="Q210" s="64" t="n"/>
      <c r="R210" s="73" t="str">
        <f>IF(N(Q210)&gt;0,Q210,IF(OR(N(B210)=0,ISNA(MATCH($C210,sup_code,0))),"",IF(ISNUMBER(INDEX(sup_delay,MATCH($C210,sup_code,0))),B210+INDEX(sup_delay,MATCH($C210,sup_code,0)),"")))</f>
        <v/>
      </c>
      <c r="S210" s="64" t="n"/>
      <c r="T210" s="68" t="n"/>
      <c r="U210" s="64" t="n"/>
      <c r="V210" s="65" t="n"/>
      <c r="W210" s="74" t="str">
        <f>IF(AND(A210="",E210=""),"",IF(V210="Oui",0,MAX(0,ROUND(N(H210)-N(T210),6))))</f>
        <v/>
      </c>
      <c r="X210" s="67" t="str">
        <f>IF(AND(A210="",E210=""),"",IF(V210="Oui","Annulé",IF(AND(N(H210)&gt;0,N(T210)&gt;=N(H210)),"Reçu",IF(N(S210)=0,"Brouillon",IF(AND(ISNUMBER(R210),R210&lt;p_today),"En retard",IF(N(T210)&gt;0,"Partiel","Envoyé"))))))</f>
        <v/>
      </c>
      <c r="Y210" s="75" t="str">
        <f>IF(X210="En retard",p_today-R210,IF(AND(X210="Reçu",ISNUMBER(R210)),MAX(0,N(U210)-R210),""))</f>
        <v/>
      </c>
      <c r="Z210" s="67" t="str">
        <f>IF(AND(A210="",E210=""),"",IF(A210="","N° de bon manquant",IF(N(B210)=0,"Date de commande manquante",IF(C210="","Fournisseur manquant",IF(ISNA(MATCH($C210,sup_code,0)),"Fournisseur inconnu",IF(E210="","Article manquant",IF(ISNA(MATCH($E210,art_ref,0)),"Article inconnu",IF(N(H210)&lt;=0,"Quantité invalide",IF(J210="","Prix manquant",IF(OR(N(K210)&lt;0,N(K210)&gt;=1),"Remise invalide",IF(M210="","TVA manquante",IF(ISNA(MATCH(M210,p_tva,0)),"Taux de TVA inconnu",IF(COUNTIFS(po_num,A210,po_sup,"&lt;&gt;"&amp;C210)&gt;0,"Fournisseur différent sur ce bon",IF(COUNTIFS(po_num,A210,po_date,"&lt;&gt;"&amp;B210)&gt;0,"Date différente sur ce bon",IF(COUNTIF(po_num,A210)&gt;25,"Plus de 25 lignes sur ce bon",IF(R210="","Date de livraison manquante",IF(R210&lt;B210,"Livraison avant la commande",IF(AND(N(T210)&gt;0,N(S210)=0),"Date d'envoi manquante",IF(N(T210)&gt;N(H210),"Reçu plus que commandé",IF(AND(N(T210)&gt;0,N(U210)=0),"Date de réception manquante",IF(AND(N(U210)&gt;0,U210&lt;B210),"Réception avant la commande","OK")))))))))))))))))))))</f>
        <v/>
      </c>
      <c r="AA210" s="66" t="str">
        <f>IF(AND(X210="Reçu",ISNUMBER(R210)),IF(N(U210)&lt;=R210,1,0),"")</f>
        <v/>
      </c>
      <c r="AB210" s="76" t="str">
        <f>IF(OR(X210="Envoyé",X210="Partiel",X210="En retard"),IF(ISNUMBER(R210),R210,100000)+ROW()/100000,"")</f>
        <v/>
      </c>
      <c r="AC210" s="66" t="str">
        <f>IF(A210="","",IF(COUNTIF($A$6:A210,A210)=1,1,""))</f>
        <v/>
      </c>
      <c r="AD210" s="66" t="str">
        <f>IF(AC210=1,COUNT($AC$6:AC210),"")</f>
        <v/>
      </c>
      <c r="AE210" s="66" t="str">
        <f>IFERROR(INDEX(po_num,MATCH(205,po_seq,0))&amp;"","")</f>
        <v/>
      </c>
      <c r="AF210" s="66" t="str">
        <f>IF(OR(A210="",p_po=""),"",IF(A210&amp;""=p_po,COUNTIF($A$6:A210,A210),""))</f>
        <v/>
      </c>
      <c r="AG210" s="66" t="str">
        <f>IF(OR(AB210="",A210=""),"",IF(COUNTIFS($A$6:A210,A210,$AB$6:AB210,"&gt;0")=1,1,""))</f>
        <v/>
      </c>
      <c r="AH210" s="70" t="str">
        <f>IF(AB210="","",ROUND(N(W210)*N(J210)*(1-N(K210)),2))</f>
        <v/>
      </c>
      <c r="AI210" s="70" t="str">
        <f>IF(OR(J210="",N(T210)&lt;=0,V210="Oui"),"",ROUND(N(T210)*J210*(1-N(K210)),2))</f>
        <v/>
      </c>
    </row>
    <row r="211">
      <c r="A211" s="63" t="n"/>
      <c r="B211" s="64" t="n"/>
      <c r="C211" s="65" t="n"/>
      <c r="D211" s="66" t="str">
        <f>IF(C211="","",IFERROR(INDEX(sup_name,MATCH($C211,sup_code,0))&amp;"","Fournisseur inconnu"))</f>
        <v/>
      </c>
      <c r="E211" s="63" t="n"/>
      <c r="F211" s="66" t="str">
        <f>IF(E211="","",IFERROR(INDEX(art_des,MATCH($E211,art_ref,0))&amp;"","Article inconnu"))</f>
        <v/>
      </c>
      <c r="G211" s="67" t="str">
        <f>IF(E211="","",IFERROR(INDEX(art_unit,MATCH($E211,art_ref,0))&amp;"",""))</f>
        <v/>
      </c>
      <c r="H211" s="68" t="n"/>
      <c r="I211" s="69" t="n"/>
      <c r="J211" s="70" t="str">
        <f>IF(E211="","",IF(ISNUMBER(I211),I211,IFERROR(IF(ISNUMBER(INDEX(art_price,MATCH($E211,art_ref,0))),INDEX(art_price,MATCH($E211,art_ref,0)),""),"")))</f>
        <v/>
      </c>
      <c r="K211" s="71" t="n"/>
      <c r="L211" s="72" t="n"/>
      <c r="M211" s="72" t="str">
        <f>IF(E211="","",IF(L211&lt;&gt;"",L211,IFERROR(IF(ISNUMBER(INDEX(art_tva,MATCH($E211,art_ref,0))),INDEX(art_tva,MATCH($E211,art_ref,0)),""),"")))</f>
        <v/>
      </c>
      <c r="N211" s="70" t="str">
        <f>IF(OR(E211="",J211=""),"",ROUND(N(H211)*J211*(1-N(K211)),2))</f>
        <v/>
      </c>
      <c r="O211" s="70" t="str">
        <f>IF(OR(N211="",NOT(ISNUMBER(M211))),"",ROUND(N211*M211,2))</f>
        <v/>
      </c>
      <c r="P211" s="70" t="str">
        <f>IF(N211="","",N211+N(O211))</f>
        <v/>
      </c>
      <c r="Q211" s="64" t="n"/>
      <c r="R211" s="73" t="str">
        <f>IF(N(Q211)&gt;0,Q211,IF(OR(N(B211)=0,ISNA(MATCH($C211,sup_code,0))),"",IF(ISNUMBER(INDEX(sup_delay,MATCH($C211,sup_code,0))),B211+INDEX(sup_delay,MATCH($C211,sup_code,0)),"")))</f>
        <v/>
      </c>
      <c r="S211" s="64" t="n"/>
      <c r="T211" s="68" t="n"/>
      <c r="U211" s="64" t="n"/>
      <c r="V211" s="65" t="n"/>
      <c r="W211" s="74" t="str">
        <f>IF(AND(A211="",E211=""),"",IF(V211="Oui",0,MAX(0,ROUND(N(H211)-N(T211),6))))</f>
        <v/>
      </c>
      <c r="X211" s="67" t="str">
        <f>IF(AND(A211="",E211=""),"",IF(V211="Oui","Annulé",IF(AND(N(H211)&gt;0,N(T211)&gt;=N(H211)),"Reçu",IF(N(S211)=0,"Brouillon",IF(AND(ISNUMBER(R211),R211&lt;p_today),"En retard",IF(N(T211)&gt;0,"Partiel","Envoyé"))))))</f>
        <v/>
      </c>
      <c r="Y211" s="75" t="str">
        <f>IF(X211="En retard",p_today-R211,IF(AND(X211="Reçu",ISNUMBER(R211)),MAX(0,N(U211)-R211),""))</f>
        <v/>
      </c>
      <c r="Z211" s="67" t="str">
        <f>IF(AND(A211="",E211=""),"",IF(A211="","N° de bon manquant",IF(N(B211)=0,"Date de commande manquante",IF(C211="","Fournisseur manquant",IF(ISNA(MATCH($C211,sup_code,0)),"Fournisseur inconnu",IF(E211="","Article manquant",IF(ISNA(MATCH($E211,art_ref,0)),"Article inconnu",IF(N(H211)&lt;=0,"Quantité invalide",IF(J211="","Prix manquant",IF(OR(N(K211)&lt;0,N(K211)&gt;=1),"Remise invalide",IF(M211="","TVA manquante",IF(ISNA(MATCH(M211,p_tva,0)),"Taux de TVA inconnu",IF(COUNTIFS(po_num,A211,po_sup,"&lt;&gt;"&amp;C211)&gt;0,"Fournisseur différent sur ce bon",IF(COUNTIFS(po_num,A211,po_date,"&lt;&gt;"&amp;B211)&gt;0,"Date différente sur ce bon",IF(COUNTIF(po_num,A211)&gt;25,"Plus de 25 lignes sur ce bon",IF(R211="","Date de livraison manquante",IF(R211&lt;B211,"Livraison avant la commande",IF(AND(N(T211)&gt;0,N(S211)=0),"Date d'envoi manquante",IF(N(T211)&gt;N(H211),"Reçu plus que commandé",IF(AND(N(T211)&gt;0,N(U211)=0),"Date de réception manquante",IF(AND(N(U211)&gt;0,U211&lt;B211),"Réception avant la commande","OK")))))))))))))))))))))</f>
        <v/>
      </c>
      <c r="AA211" s="66" t="str">
        <f>IF(AND(X211="Reçu",ISNUMBER(R211)),IF(N(U211)&lt;=R211,1,0),"")</f>
        <v/>
      </c>
      <c r="AB211" s="76" t="str">
        <f>IF(OR(X211="Envoyé",X211="Partiel",X211="En retard"),IF(ISNUMBER(R211),R211,100000)+ROW()/100000,"")</f>
        <v/>
      </c>
      <c r="AC211" s="66" t="str">
        <f>IF(A211="","",IF(COUNTIF($A$6:A211,A211)=1,1,""))</f>
        <v/>
      </c>
      <c r="AD211" s="66" t="str">
        <f>IF(AC211=1,COUNT($AC$6:AC211),"")</f>
        <v/>
      </c>
      <c r="AE211" s="66" t="str">
        <f>IFERROR(INDEX(po_num,MATCH(206,po_seq,0))&amp;"","")</f>
        <v/>
      </c>
      <c r="AF211" s="66" t="str">
        <f>IF(OR(A211="",p_po=""),"",IF(A211&amp;""=p_po,COUNTIF($A$6:A211,A211),""))</f>
        <v/>
      </c>
      <c r="AG211" s="66" t="str">
        <f>IF(OR(AB211="",A211=""),"",IF(COUNTIFS($A$6:A211,A211,$AB$6:AB211,"&gt;0")=1,1,""))</f>
        <v/>
      </c>
      <c r="AH211" s="70" t="str">
        <f>IF(AB211="","",ROUND(N(W211)*N(J211)*(1-N(K211)),2))</f>
        <v/>
      </c>
      <c r="AI211" s="70" t="str">
        <f>IF(OR(J211="",N(T211)&lt;=0,V211="Oui"),"",ROUND(N(T211)*J211*(1-N(K211)),2))</f>
        <v/>
      </c>
    </row>
    <row r="212">
      <c r="A212" s="63" t="n"/>
      <c r="B212" s="64" t="n"/>
      <c r="C212" s="65" t="n"/>
      <c r="D212" s="66" t="str">
        <f>IF(C212="","",IFERROR(INDEX(sup_name,MATCH($C212,sup_code,0))&amp;"","Fournisseur inconnu"))</f>
        <v/>
      </c>
      <c r="E212" s="63" t="n"/>
      <c r="F212" s="66" t="str">
        <f>IF(E212="","",IFERROR(INDEX(art_des,MATCH($E212,art_ref,0))&amp;"","Article inconnu"))</f>
        <v/>
      </c>
      <c r="G212" s="67" t="str">
        <f>IF(E212="","",IFERROR(INDEX(art_unit,MATCH($E212,art_ref,0))&amp;"",""))</f>
        <v/>
      </c>
      <c r="H212" s="68" t="n"/>
      <c r="I212" s="69" t="n"/>
      <c r="J212" s="70" t="str">
        <f>IF(E212="","",IF(ISNUMBER(I212),I212,IFERROR(IF(ISNUMBER(INDEX(art_price,MATCH($E212,art_ref,0))),INDEX(art_price,MATCH($E212,art_ref,0)),""),"")))</f>
        <v/>
      </c>
      <c r="K212" s="71" t="n"/>
      <c r="L212" s="72" t="n"/>
      <c r="M212" s="72" t="str">
        <f>IF(E212="","",IF(L212&lt;&gt;"",L212,IFERROR(IF(ISNUMBER(INDEX(art_tva,MATCH($E212,art_ref,0))),INDEX(art_tva,MATCH($E212,art_ref,0)),""),"")))</f>
        <v/>
      </c>
      <c r="N212" s="70" t="str">
        <f>IF(OR(E212="",J212=""),"",ROUND(N(H212)*J212*(1-N(K212)),2))</f>
        <v/>
      </c>
      <c r="O212" s="70" t="str">
        <f>IF(OR(N212="",NOT(ISNUMBER(M212))),"",ROUND(N212*M212,2))</f>
        <v/>
      </c>
      <c r="P212" s="70" t="str">
        <f>IF(N212="","",N212+N(O212))</f>
        <v/>
      </c>
      <c r="Q212" s="64" t="n"/>
      <c r="R212" s="73" t="str">
        <f>IF(N(Q212)&gt;0,Q212,IF(OR(N(B212)=0,ISNA(MATCH($C212,sup_code,0))),"",IF(ISNUMBER(INDEX(sup_delay,MATCH($C212,sup_code,0))),B212+INDEX(sup_delay,MATCH($C212,sup_code,0)),"")))</f>
        <v/>
      </c>
      <c r="S212" s="64" t="n"/>
      <c r="T212" s="68" t="n"/>
      <c r="U212" s="64" t="n"/>
      <c r="V212" s="65" t="n"/>
      <c r="W212" s="74" t="str">
        <f>IF(AND(A212="",E212=""),"",IF(V212="Oui",0,MAX(0,ROUND(N(H212)-N(T212),6))))</f>
        <v/>
      </c>
      <c r="X212" s="67" t="str">
        <f>IF(AND(A212="",E212=""),"",IF(V212="Oui","Annulé",IF(AND(N(H212)&gt;0,N(T212)&gt;=N(H212)),"Reçu",IF(N(S212)=0,"Brouillon",IF(AND(ISNUMBER(R212),R212&lt;p_today),"En retard",IF(N(T212)&gt;0,"Partiel","Envoyé"))))))</f>
        <v/>
      </c>
      <c r="Y212" s="75" t="str">
        <f>IF(X212="En retard",p_today-R212,IF(AND(X212="Reçu",ISNUMBER(R212)),MAX(0,N(U212)-R212),""))</f>
        <v/>
      </c>
      <c r="Z212" s="67" t="str">
        <f>IF(AND(A212="",E212=""),"",IF(A212="","N° de bon manquant",IF(N(B212)=0,"Date de commande manquante",IF(C212="","Fournisseur manquant",IF(ISNA(MATCH($C212,sup_code,0)),"Fournisseur inconnu",IF(E212="","Article manquant",IF(ISNA(MATCH($E212,art_ref,0)),"Article inconnu",IF(N(H212)&lt;=0,"Quantité invalide",IF(J212="","Prix manquant",IF(OR(N(K212)&lt;0,N(K212)&gt;=1),"Remise invalide",IF(M212="","TVA manquante",IF(ISNA(MATCH(M212,p_tva,0)),"Taux de TVA inconnu",IF(COUNTIFS(po_num,A212,po_sup,"&lt;&gt;"&amp;C212)&gt;0,"Fournisseur différent sur ce bon",IF(COUNTIFS(po_num,A212,po_date,"&lt;&gt;"&amp;B212)&gt;0,"Date différente sur ce bon",IF(COUNTIF(po_num,A212)&gt;25,"Plus de 25 lignes sur ce bon",IF(R212="","Date de livraison manquante",IF(R212&lt;B212,"Livraison avant la commande",IF(AND(N(T212)&gt;0,N(S212)=0),"Date d'envoi manquante",IF(N(T212)&gt;N(H212),"Reçu plus que commandé",IF(AND(N(T212)&gt;0,N(U212)=0),"Date de réception manquante",IF(AND(N(U212)&gt;0,U212&lt;B212),"Réception avant la commande","OK")))))))))))))))))))))</f>
        <v/>
      </c>
      <c r="AA212" s="66" t="str">
        <f>IF(AND(X212="Reçu",ISNUMBER(R212)),IF(N(U212)&lt;=R212,1,0),"")</f>
        <v/>
      </c>
      <c r="AB212" s="76" t="str">
        <f>IF(OR(X212="Envoyé",X212="Partiel",X212="En retard"),IF(ISNUMBER(R212),R212,100000)+ROW()/100000,"")</f>
        <v/>
      </c>
      <c r="AC212" s="66" t="str">
        <f>IF(A212="","",IF(COUNTIF($A$6:A212,A212)=1,1,""))</f>
        <v/>
      </c>
      <c r="AD212" s="66" t="str">
        <f>IF(AC212=1,COUNT($AC$6:AC212),"")</f>
        <v/>
      </c>
      <c r="AE212" s="66" t="str">
        <f>IFERROR(INDEX(po_num,MATCH(207,po_seq,0))&amp;"","")</f>
        <v/>
      </c>
      <c r="AF212" s="66" t="str">
        <f>IF(OR(A212="",p_po=""),"",IF(A212&amp;""=p_po,COUNTIF($A$6:A212,A212),""))</f>
        <v/>
      </c>
      <c r="AG212" s="66" t="str">
        <f>IF(OR(AB212="",A212=""),"",IF(COUNTIFS($A$6:A212,A212,$AB$6:AB212,"&gt;0")=1,1,""))</f>
        <v/>
      </c>
      <c r="AH212" s="70" t="str">
        <f>IF(AB212="","",ROUND(N(W212)*N(J212)*(1-N(K212)),2))</f>
        <v/>
      </c>
      <c r="AI212" s="70" t="str">
        <f>IF(OR(J212="",N(T212)&lt;=0,V212="Oui"),"",ROUND(N(T212)*J212*(1-N(K212)),2))</f>
        <v/>
      </c>
    </row>
    <row r="213">
      <c r="A213" s="63" t="n"/>
      <c r="B213" s="64" t="n"/>
      <c r="C213" s="65" t="n"/>
      <c r="D213" s="66" t="str">
        <f>IF(C213="","",IFERROR(INDEX(sup_name,MATCH($C213,sup_code,0))&amp;"","Fournisseur inconnu"))</f>
        <v/>
      </c>
      <c r="E213" s="63" t="n"/>
      <c r="F213" s="66" t="str">
        <f>IF(E213="","",IFERROR(INDEX(art_des,MATCH($E213,art_ref,0))&amp;"","Article inconnu"))</f>
        <v/>
      </c>
      <c r="G213" s="67" t="str">
        <f>IF(E213="","",IFERROR(INDEX(art_unit,MATCH($E213,art_ref,0))&amp;"",""))</f>
        <v/>
      </c>
      <c r="H213" s="68" t="n"/>
      <c r="I213" s="69" t="n"/>
      <c r="J213" s="70" t="str">
        <f>IF(E213="","",IF(ISNUMBER(I213),I213,IFERROR(IF(ISNUMBER(INDEX(art_price,MATCH($E213,art_ref,0))),INDEX(art_price,MATCH($E213,art_ref,0)),""),"")))</f>
        <v/>
      </c>
      <c r="K213" s="71" t="n"/>
      <c r="L213" s="72" t="n"/>
      <c r="M213" s="72" t="str">
        <f>IF(E213="","",IF(L213&lt;&gt;"",L213,IFERROR(IF(ISNUMBER(INDEX(art_tva,MATCH($E213,art_ref,0))),INDEX(art_tva,MATCH($E213,art_ref,0)),""),"")))</f>
        <v/>
      </c>
      <c r="N213" s="70" t="str">
        <f>IF(OR(E213="",J213=""),"",ROUND(N(H213)*J213*(1-N(K213)),2))</f>
        <v/>
      </c>
      <c r="O213" s="70" t="str">
        <f>IF(OR(N213="",NOT(ISNUMBER(M213))),"",ROUND(N213*M213,2))</f>
        <v/>
      </c>
      <c r="P213" s="70" t="str">
        <f>IF(N213="","",N213+N(O213))</f>
        <v/>
      </c>
      <c r="Q213" s="64" t="n"/>
      <c r="R213" s="73" t="str">
        <f>IF(N(Q213)&gt;0,Q213,IF(OR(N(B213)=0,ISNA(MATCH($C213,sup_code,0))),"",IF(ISNUMBER(INDEX(sup_delay,MATCH($C213,sup_code,0))),B213+INDEX(sup_delay,MATCH($C213,sup_code,0)),"")))</f>
        <v/>
      </c>
      <c r="S213" s="64" t="n"/>
      <c r="T213" s="68" t="n"/>
      <c r="U213" s="64" t="n"/>
      <c r="V213" s="65" t="n"/>
      <c r="W213" s="74" t="str">
        <f>IF(AND(A213="",E213=""),"",IF(V213="Oui",0,MAX(0,ROUND(N(H213)-N(T213),6))))</f>
        <v/>
      </c>
      <c r="X213" s="67" t="str">
        <f>IF(AND(A213="",E213=""),"",IF(V213="Oui","Annulé",IF(AND(N(H213)&gt;0,N(T213)&gt;=N(H213)),"Reçu",IF(N(S213)=0,"Brouillon",IF(AND(ISNUMBER(R213),R213&lt;p_today),"En retard",IF(N(T213)&gt;0,"Partiel","Envoyé"))))))</f>
        <v/>
      </c>
      <c r="Y213" s="75" t="str">
        <f>IF(X213="En retard",p_today-R213,IF(AND(X213="Reçu",ISNUMBER(R213)),MAX(0,N(U213)-R213),""))</f>
        <v/>
      </c>
      <c r="Z213" s="67" t="str">
        <f>IF(AND(A213="",E213=""),"",IF(A213="","N° de bon manquant",IF(N(B213)=0,"Date de commande manquante",IF(C213="","Fournisseur manquant",IF(ISNA(MATCH($C213,sup_code,0)),"Fournisseur inconnu",IF(E213="","Article manquant",IF(ISNA(MATCH($E213,art_ref,0)),"Article inconnu",IF(N(H213)&lt;=0,"Quantité invalide",IF(J213="","Prix manquant",IF(OR(N(K213)&lt;0,N(K213)&gt;=1),"Remise invalide",IF(M213="","TVA manquante",IF(ISNA(MATCH(M213,p_tva,0)),"Taux de TVA inconnu",IF(COUNTIFS(po_num,A213,po_sup,"&lt;&gt;"&amp;C213)&gt;0,"Fournisseur différent sur ce bon",IF(COUNTIFS(po_num,A213,po_date,"&lt;&gt;"&amp;B213)&gt;0,"Date différente sur ce bon",IF(COUNTIF(po_num,A213)&gt;25,"Plus de 25 lignes sur ce bon",IF(R213="","Date de livraison manquante",IF(R213&lt;B213,"Livraison avant la commande",IF(AND(N(T213)&gt;0,N(S213)=0),"Date d'envoi manquante",IF(N(T213)&gt;N(H213),"Reçu plus que commandé",IF(AND(N(T213)&gt;0,N(U213)=0),"Date de réception manquante",IF(AND(N(U213)&gt;0,U213&lt;B213),"Réception avant la commande","OK")))))))))))))))))))))</f>
        <v/>
      </c>
      <c r="AA213" s="66" t="str">
        <f>IF(AND(X213="Reçu",ISNUMBER(R213)),IF(N(U213)&lt;=R213,1,0),"")</f>
        <v/>
      </c>
      <c r="AB213" s="76" t="str">
        <f>IF(OR(X213="Envoyé",X213="Partiel",X213="En retard"),IF(ISNUMBER(R213),R213,100000)+ROW()/100000,"")</f>
        <v/>
      </c>
      <c r="AC213" s="66" t="str">
        <f>IF(A213="","",IF(COUNTIF($A$6:A213,A213)=1,1,""))</f>
        <v/>
      </c>
      <c r="AD213" s="66" t="str">
        <f>IF(AC213=1,COUNT($AC$6:AC213),"")</f>
        <v/>
      </c>
      <c r="AE213" s="66" t="str">
        <f>IFERROR(INDEX(po_num,MATCH(208,po_seq,0))&amp;"","")</f>
        <v/>
      </c>
      <c r="AF213" s="66" t="str">
        <f>IF(OR(A213="",p_po=""),"",IF(A213&amp;""=p_po,COUNTIF($A$6:A213,A213),""))</f>
        <v/>
      </c>
      <c r="AG213" s="66" t="str">
        <f>IF(OR(AB213="",A213=""),"",IF(COUNTIFS($A$6:A213,A213,$AB$6:AB213,"&gt;0")=1,1,""))</f>
        <v/>
      </c>
      <c r="AH213" s="70" t="str">
        <f>IF(AB213="","",ROUND(N(W213)*N(J213)*(1-N(K213)),2))</f>
        <v/>
      </c>
      <c r="AI213" s="70" t="str">
        <f>IF(OR(J213="",N(T213)&lt;=0,V213="Oui"),"",ROUND(N(T213)*J213*(1-N(K213)),2))</f>
        <v/>
      </c>
    </row>
    <row r="214">
      <c r="A214" s="63" t="n"/>
      <c r="B214" s="64" t="n"/>
      <c r="C214" s="65" t="n"/>
      <c r="D214" s="66" t="str">
        <f>IF(C214="","",IFERROR(INDEX(sup_name,MATCH($C214,sup_code,0))&amp;"","Fournisseur inconnu"))</f>
        <v/>
      </c>
      <c r="E214" s="63" t="n"/>
      <c r="F214" s="66" t="str">
        <f>IF(E214="","",IFERROR(INDEX(art_des,MATCH($E214,art_ref,0))&amp;"","Article inconnu"))</f>
        <v/>
      </c>
      <c r="G214" s="67" t="str">
        <f>IF(E214="","",IFERROR(INDEX(art_unit,MATCH($E214,art_ref,0))&amp;"",""))</f>
        <v/>
      </c>
      <c r="H214" s="68" t="n"/>
      <c r="I214" s="69" t="n"/>
      <c r="J214" s="70" t="str">
        <f>IF(E214="","",IF(ISNUMBER(I214),I214,IFERROR(IF(ISNUMBER(INDEX(art_price,MATCH($E214,art_ref,0))),INDEX(art_price,MATCH($E214,art_ref,0)),""),"")))</f>
        <v/>
      </c>
      <c r="K214" s="71" t="n"/>
      <c r="L214" s="72" t="n"/>
      <c r="M214" s="72" t="str">
        <f>IF(E214="","",IF(L214&lt;&gt;"",L214,IFERROR(IF(ISNUMBER(INDEX(art_tva,MATCH($E214,art_ref,0))),INDEX(art_tva,MATCH($E214,art_ref,0)),""),"")))</f>
        <v/>
      </c>
      <c r="N214" s="70" t="str">
        <f>IF(OR(E214="",J214=""),"",ROUND(N(H214)*J214*(1-N(K214)),2))</f>
        <v/>
      </c>
      <c r="O214" s="70" t="str">
        <f>IF(OR(N214="",NOT(ISNUMBER(M214))),"",ROUND(N214*M214,2))</f>
        <v/>
      </c>
      <c r="P214" s="70" t="str">
        <f>IF(N214="","",N214+N(O214))</f>
        <v/>
      </c>
      <c r="Q214" s="64" t="n"/>
      <c r="R214" s="73" t="str">
        <f>IF(N(Q214)&gt;0,Q214,IF(OR(N(B214)=0,ISNA(MATCH($C214,sup_code,0))),"",IF(ISNUMBER(INDEX(sup_delay,MATCH($C214,sup_code,0))),B214+INDEX(sup_delay,MATCH($C214,sup_code,0)),"")))</f>
        <v/>
      </c>
      <c r="S214" s="64" t="n"/>
      <c r="T214" s="68" t="n"/>
      <c r="U214" s="64" t="n"/>
      <c r="V214" s="65" t="n"/>
      <c r="W214" s="74" t="str">
        <f>IF(AND(A214="",E214=""),"",IF(V214="Oui",0,MAX(0,ROUND(N(H214)-N(T214),6))))</f>
        <v/>
      </c>
      <c r="X214" s="67" t="str">
        <f>IF(AND(A214="",E214=""),"",IF(V214="Oui","Annulé",IF(AND(N(H214)&gt;0,N(T214)&gt;=N(H214)),"Reçu",IF(N(S214)=0,"Brouillon",IF(AND(ISNUMBER(R214),R214&lt;p_today),"En retard",IF(N(T214)&gt;0,"Partiel","Envoyé"))))))</f>
        <v/>
      </c>
      <c r="Y214" s="75" t="str">
        <f>IF(X214="En retard",p_today-R214,IF(AND(X214="Reçu",ISNUMBER(R214)),MAX(0,N(U214)-R214),""))</f>
        <v/>
      </c>
      <c r="Z214" s="67" t="str">
        <f>IF(AND(A214="",E214=""),"",IF(A214="","N° de bon manquant",IF(N(B214)=0,"Date de commande manquante",IF(C214="","Fournisseur manquant",IF(ISNA(MATCH($C214,sup_code,0)),"Fournisseur inconnu",IF(E214="","Article manquant",IF(ISNA(MATCH($E214,art_ref,0)),"Article inconnu",IF(N(H214)&lt;=0,"Quantité invalide",IF(J214="","Prix manquant",IF(OR(N(K214)&lt;0,N(K214)&gt;=1),"Remise invalide",IF(M214="","TVA manquante",IF(ISNA(MATCH(M214,p_tva,0)),"Taux de TVA inconnu",IF(COUNTIFS(po_num,A214,po_sup,"&lt;&gt;"&amp;C214)&gt;0,"Fournisseur différent sur ce bon",IF(COUNTIFS(po_num,A214,po_date,"&lt;&gt;"&amp;B214)&gt;0,"Date différente sur ce bon",IF(COUNTIF(po_num,A214)&gt;25,"Plus de 25 lignes sur ce bon",IF(R214="","Date de livraison manquante",IF(R214&lt;B214,"Livraison avant la commande",IF(AND(N(T214)&gt;0,N(S214)=0),"Date d'envoi manquante",IF(N(T214)&gt;N(H214),"Reçu plus que commandé",IF(AND(N(T214)&gt;0,N(U214)=0),"Date de réception manquante",IF(AND(N(U214)&gt;0,U214&lt;B214),"Réception avant la commande","OK")))))))))))))))))))))</f>
        <v/>
      </c>
      <c r="AA214" s="66" t="str">
        <f>IF(AND(X214="Reçu",ISNUMBER(R214)),IF(N(U214)&lt;=R214,1,0),"")</f>
        <v/>
      </c>
      <c r="AB214" s="76" t="str">
        <f>IF(OR(X214="Envoyé",X214="Partiel",X214="En retard"),IF(ISNUMBER(R214),R214,100000)+ROW()/100000,"")</f>
        <v/>
      </c>
      <c r="AC214" s="66" t="str">
        <f>IF(A214="","",IF(COUNTIF($A$6:A214,A214)=1,1,""))</f>
        <v/>
      </c>
      <c r="AD214" s="66" t="str">
        <f>IF(AC214=1,COUNT($AC$6:AC214),"")</f>
        <v/>
      </c>
      <c r="AE214" s="66" t="str">
        <f>IFERROR(INDEX(po_num,MATCH(209,po_seq,0))&amp;"","")</f>
        <v/>
      </c>
      <c r="AF214" s="66" t="str">
        <f>IF(OR(A214="",p_po=""),"",IF(A214&amp;""=p_po,COUNTIF($A$6:A214,A214),""))</f>
        <v/>
      </c>
      <c r="AG214" s="66" t="str">
        <f>IF(OR(AB214="",A214=""),"",IF(COUNTIFS($A$6:A214,A214,$AB$6:AB214,"&gt;0")=1,1,""))</f>
        <v/>
      </c>
      <c r="AH214" s="70" t="str">
        <f>IF(AB214="","",ROUND(N(W214)*N(J214)*(1-N(K214)),2))</f>
        <v/>
      </c>
      <c r="AI214" s="70" t="str">
        <f>IF(OR(J214="",N(T214)&lt;=0,V214="Oui"),"",ROUND(N(T214)*J214*(1-N(K214)),2))</f>
        <v/>
      </c>
    </row>
    <row r="215">
      <c r="A215" s="63" t="n"/>
      <c r="B215" s="64" t="n"/>
      <c r="C215" s="65" t="n"/>
      <c r="D215" s="66" t="str">
        <f>IF(C215="","",IFERROR(INDEX(sup_name,MATCH($C215,sup_code,0))&amp;"","Fournisseur inconnu"))</f>
        <v/>
      </c>
      <c r="E215" s="63" t="n"/>
      <c r="F215" s="66" t="str">
        <f>IF(E215="","",IFERROR(INDEX(art_des,MATCH($E215,art_ref,0))&amp;"","Article inconnu"))</f>
        <v/>
      </c>
      <c r="G215" s="67" t="str">
        <f>IF(E215="","",IFERROR(INDEX(art_unit,MATCH($E215,art_ref,0))&amp;"",""))</f>
        <v/>
      </c>
      <c r="H215" s="68" t="n"/>
      <c r="I215" s="69" t="n"/>
      <c r="J215" s="70" t="str">
        <f>IF(E215="","",IF(ISNUMBER(I215),I215,IFERROR(IF(ISNUMBER(INDEX(art_price,MATCH($E215,art_ref,0))),INDEX(art_price,MATCH($E215,art_ref,0)),""),"")))</f>
        <v/>
      </c>
      <c r="K215" s="71" t="n"/>
      <c r="L215" s="72" t="n"/>
      <c r="M215" s="72" t="str">
        <f>IF(E215="","",IF(L215&lt;&gt;"",L215,IFERROR(IF(ISNUMBER(INDEX(art_tva,MATCH($E215,art_ref,0))),INDEX(art_tva,MATCH($E215,art_ref,0)),""),"")))</f>
        <v/>
      </c>
      <c r="N215" s="70" t="str">
        <f>IF(OR(E215="",J215=""),"",ROUND(N(H215)*J215*(1-N(K215)),2))</f>
        <v/>
      </c>
      <c r="O215" s="70" t="str">
        <f>IF(OR(N215="",NOT(ISNUMBER(M215))),"",ROUND(N215*M215,2))</f>
        <v/>
      </c>
      <c r="P215" s="70" t="str">
        <f>IF(N215="","",N215+N(O215))</f>
        <v/>
      </c>
      <c r="Q215" s="64" t="n"/>
      <c r="R215" s="73" t="str">
        <f>IF(N(Q215)&gt;0,Q215,IF(OR(N(B215)=0,ISNA(MATCH($C215,sup_code,0))),"",IF(ISNUMBER(INDEX(sup_delay,MATCH($C215,sup_code,0))),B215+INDEX(sup_delay,MATCH($C215,sup_code,0)),"")))</f>
        <v/>
      </c>
      <c r="S215" s="64" t="n"/>
      <c r="T215" s="68" t="n"/>
      <c r="U215" s="64" t="n"/>
      <c r="V215" s="65" t="n"/>
      <c r="W215" s="74" t="str">
        <f>IF(AND(A215="",E215=""),"",IF(V215="Oui",0,MAX(0,ROUND(N(H215)-N(T215),6))))</f>
        <v/>
      </c>
      <c r="X215" s="67" t="str">
        <f>IF(AND(A215="",E215=""),"",IF(V215="Oui","Annulé",IF(AND(N(H215)&gt;0,N(T215)&gt;=N(H215)),"Reçu",IF(N(S215)=0,"Brouillon",IF(AND(ISNUMBER(R215),R215&lt;p_today),"En retard",IF(N(T215)&gt;0,"Partiel","Envoyé"))))))</f>
        <v/>
      </c>
      <c r="Y215" s="75" t="str">
        <f>IF(X215="En retard",p_today-R215,IF(AND(X215="Reçu",ISNUMBER(R215)),MAX(0,N(U215)-R215),""))</f>
        <v/>
      </c>
      <c r="Z215" s="67" t="str">
        <f>IF(AND(A215="",E215=""),"",IF(A215="","N° de bon manquant",IF(N(B215)=0,"Date de commande manquante",IF(C215="","Fournisseur manquant",IF(ISNA(MATCH($C215,sup_code,0)),"Fournisseur inconnu",IF(E215="","Article manquant",IF(ISNA(MATCH($E215,art_ref,0)),"Article inconnu",IF(N(H215)&lt;=0,"Quantité invalide",IF(J215="","Prix manquant",IF(OR(N(K215)&lt;0,N(K215)&gt;=1),"Remise invalide",IF(M215="","TVA manquante",IF(ISNA(MATCH(M215,p_tva,0)),"Taux de TVA inconnu",IF(COUNTIFS(po_num,A215,po_sup,"&lt;&gt;"&amp;C215)&gt;0,"Fournisseur différent sur ce bon",IF(COUNTIFS(po_num,A215,po_date,"&lt;&gt;"&amp;B215)&gt;0,"Date différente sur ce bon",IF(COUNTIF(po_num,A215)&gt;25,"Plus de 25 lignes sur ce bon",IF(R215="","Date de livraison manquante",IF(R215&lt;B215,"Livraison avant la commande",IF(AND(N(T215)&gt;0,N(S215)=0),"Date d'envoi manquante",IF(N(T215)&gt;N(H215),"Reçu plus que commandé",IF(AND(N(T215)&gt;0,N(U215)=0),"Date de réception manquante",IF(AND(N(U215)&gt;0,U215&lt;B215),"Réception avant la commande","OK")))))))))))))))))))))</f>
        <v/>
      </c>
      <c r="AA215" s="66" t="str">
        <f>IF(AND(X215="Reçu",ISNUMBER(R215)),IF(N(U215)&lt;=R215,1,0),"")</f>
        <v/>
      </c>
      <c r="AB215" s="76" t="str">
        <f>IF(OR(X215="Envoyé",X215="Partiel",X215="En retard"),IF(ISNUMBER(R215),R215,100000)+ROW()/100000,"")</f>
        <v/>
      </c>
      <c r="AC215" s="66" t="str">
        <f>IF(A215="","",IF(COUNTIF($A$6:A215,A215)=1,1,""))</f>
        <v/>
      </c>
      <c r="AD215" s="66" t="str">
        <f>IF(AC215=1,COUNT($AC$6:AC215),"")</f>
        <v/>
      </c>
      <c r="AE215" s="66" t="str">
        <f>IFERROR(INDEX(po_num,MATCH(210,po_seq,0))&amp;"","")</f>
        <v/>
      </c>
      <c r="AF215" s="66" t="str">
        <f>IF(OR(A215="",p_po=""),"",IF(A215&amp;""=p_po,COUNTIF($A$6:A215,A215),""))</f>
        <v/>
      </c>
      <c r="AG215" s="66" t="str">
        <f>IF(OR(AB215="",A215=""),"",IF(COUNTIFS($A$6:A215,A215,$AB$6:AB215,"&gt;0")=1,1,""))</f>
        <v/>
      </c>
      <c r="AH215" s="70" t="str">
        <f>IF(AB215="","",ROUND(N(W215)*N(J215)*(1-N(K215)),2))</f>
        <v/>
      </c>
      <c r="AI215" s="70" t="str">
        <f>IF(OR(J215="",N(T215)&lt;=0,V215="Oui"),"",ROUND(N(T215)*J215*(1-N(K215)),2))</f>
        <v/>
      </c>
    </row>
    <row r="216">
      <c r="A216" s="63" t="n"/>
      <c r="B216" s="64" t="n"/>
      <c r="C216" s="65" t="n"/>
      <c r="D216" s="66" t="str">
        <f>IF(C216="","",IFERROR(INDEX(sup_name,MATCH($C216,sup_code,0))&amp;"","Fournisseur inconnu"))</f>
        <v/>
      </c>
      <c r="E216" s="63" t="n"/>
      <c r="F216" s="66" t="str">
        <f>IF(E216="","",IFERROR(INDEX(art_des,MATCH($E216,art_ref,0))&amp;"","Article inconnu"))</f>
        <v/>
      </c>
      <c r="G216" s="67" t="str">
        <f>IF(E216="","",IFERROR(INDEX(art_unit,MATCH($E216,art_ref,0))&amp;"",""))</f>
        <v/>
      </c>
      <c r="H216" s="68" t="n"/>
      <c r="I216" s="69" t="n"/>
      <c r="J216" s="70" t="str">
        <f>IF(E216="","",IF(ISNUMBER(I216),I216,IFERROR(IF(ISNUMBER(INDEX(art_price,MATCH($E216,art_ref,0))),INDEX(art_price,MATCH($E216,art_ref,0)),""),"")))</f>
        <v/>
      </c>
      <c r="K216" s="71" t="n"/>
      <c r="L216" s="72" t="n"/>
      <c r="M216" s="72" t="str">
        <f>IF(E216="","",IF(L216&lt;&gt;"",L216,IFERROR(IF(ISNUMBER(INDEX(art_tva,MATCH($E216,art_ref,0))),INDEX(art_tva,MATCH($E216,art_ref,0)),""),"")))</f>
        <v/>
      </c>
      <c r="N216" s="70" t="str">
        <f>IF(OR(E216="",J216=""),"",ROUND(N(H216)*J216*(1-N(K216)),2))</f>
        <v/>
      </c>
      <c r="O216" s="70" t="str">
        <f>IF(OR(N216="",NOT(ISNUMBER(M216))),"",ROUND(N216*M216,2))</f>
        <v/>
      </c>
      <c r="P216" s="70" t="str">
        <f>IF(N216="","",N216+N(O216))</f>
        <v/>
      </c>
      <c r="Q216" s="64" t="n"/>
      <c r="R216" s="73" t="str">
        <f>IF(N(Q216)&gt;0,Q216,IF(OR(N(B216)=0,ISNA(MATCH($C216,sup_code,0))),"",IF(ISNUMBER(INDEX(sup_delay,MATCH($C216,sup_code,0))),B216+INDEX(sup_delay,MATCH($C216,sup_code,0)),"")))</f>
        <v/>
      </c>
      <c r="S216" s="64" t="n"/>
      <c r="T216" s="68" t="n"/>
      <c r="U216" s="64" t="n"/>
      <c r="V216" s="65" t="n"/>
      <c r="W216" s="74" t="str">
        <f>IF(AND(A216="",E216=""),"",IF(V216="Oui",0,MAX(0,ROUND(N(H216)-N(T216),6))))</f>
        <v/>
      </c>
      <c r="X216" s="67" t="str">
        <f>IF(AND(A216="",E216=""),"",IF(V216="Oui","Annulé",IF(AND(N(H216)&gt;0,N(T216)&gt;=N(H216)),"Reçu",IF(N(S216)=0,"Brouillon",IF(AND(ISNUMBER(R216),R216&lt;p_today),"En retard",IF(N(T216)&gt;0,"Partiel","Envoyé"))))))</f>
        <v/>
      </c>
      <c r="Y216" s="75" t="str">
        <f>IF(X216="En retard",p_today-R216,IF(AND(X216="Reçu",ISNUMBER(R216)),MAX(0,N(U216)-R216),""))</f>
        <v/>
      </c>
      <c r="Z216" s="67" t="str">
        <f>IF(AND(A216="",E216=""),"",IF(A216="","N° de bon manquant",IF(N(B216)=0,"Date de commande manquante",IF(C216="","Fournisseur manquant",IF(ISNA(MATCH($C216,sup_code,0)),"Fournisseur inconnu",IF(E216="","Article manquant",IF(ISNA(MATCH($E216,art_ref,0)),"Article inconnu",IF(N(H216)&lt;=0,"Quantité invalide",IF(J216="","Prix manquant",IF(OR(N(K216)&lt;0,N(K216)&gt;=1),"Remise invalide",IF(M216="","TVA manquante",IF(ISNA(MATCH(M216,p_tva,0)),"Taux de TVA inconnu",IF(COUNTIFS(po_num,A216,po_sup,"&lt;&gt;"&amp;C216)&gt;0,"Fournisseur différent sur ce bon",IF(COUNTIFS(po_num,A216,po_date,"&lt;&gt;"&amp;B216)&gt;0,"Date différente sur ce bon",IF(COUNTIF(po_num,A216)&gt;25,"Plus de 25 lignes sur ce bon",IF(R216="","Date de livraison manquante",IF(R216&lt;B216,"Livraison avant la commande",IF(AND(N(T216)&gt;0,N(S216)=0),"Date d'envoi manquante",IF(N(T216)&gt;N(H216),"Reçu plus que commandé",IF(AND(N(T216)&gt;0,N(U216)=0),"Date de réception manquante",IF(AND(N(U216)&gt;0,U216&lt;B216),"Réception avant la commande","OK")))))))))))))))))))))</f>
        <v/>
      </c>
      <c r="AA216" s="66" t="str">
        <f>IF(AND(X216="Reçu",ISNUMBER(R216)),IF(N(U216)&lt;=R216,1,0),"")</f>
        <v/>
      </c>
      <c r="AB216" s="76" t="str">
        <f>IF(OR(X216="Envoyé",X216="Partiel",X216="En retard"),IF(ISNUMBER(R216),R216,100000)+ROW()/100000,"")</f>
        <v/>
      </c>
      <c r="AC216" s="66" t="str">
        <f>IF(A216="","",IF(COUNTIF($A$6:A216,A216)=1,1,""))</f>
        <v/>
      </c>
      <c r="AD216" s="66" t="str">
        <f>IF(AC216=1,COUNT($AC$6:AC216),"")</f>
        <v/>
      </c>
      <c r="AE216" s="66" t="str">
        <f>IFERROR(INDEX(po_num,MATCH(211,po_seq,0))&amp;"","")</f>
        <v/>
      </c>
      <c r="AF216" s="66" t="str">
        <f>IF(OR(A216="",p_po=""),"",IF(A216&amp;""=p_po,COUNTIF($A$6:A216,A216),""))</f>
        <v/>
      </c>
      <c r="AG216" s="66" t="str">
        <f>IF(OR(AB216="",A216=""),"",IF(COUNTIFS($A$6:A216,A216,$AB$6:AB216,"&gt;0")=1,1,""))</f>
        <v/>
      </c>
      <c r="AH216" s="70" t="str">
        <f>IF(AB216="","",ROUND(N(W216)*N(J216)*(1-N(K216)),2))</f>
        <v/>
      </c>
      <c r="AI216" s="70" t="str">
        <f>IF(OR(J216="",N(T216)&lt;=0,V216="Oui"),"",ROUND(N(T216)*J216*(1-N(K216)),2))</f>
        <v/>
      </c>
    </row>
    <row r="217">
      <c r="A217" s="63" t="n"/>
      <c r="B217" s="64" t="n"/>
      <c r="C217" s="65" t="n"/>
      <c r="D217" s="66" t="str">
        <f>IF(C217="","",IFERROR(INDEX(sup_name,MATCH($C217,sup_code,0))&amp;"","Fournisseur inconnu"))</f>
        <v/>
      </c>
      <c r="E217" s="63" t="n"/>
      <c r="F217" s="66" t="str">
        <f>IF(E217="","",IFERROR(INDEX(art_des,MATCH($E217,art_ref,0))&amp;"","Article inconnu"))</f>
        <v/>
      </c>
      <c r="G217" s="67" t="str">
        <f>IF(E217="","",IFERROR(INDEX(art_unit,MATCH($E217,art_ref,0))&amp;"",""))</f>
        <v/>
      </c>
      <c r="H217" s="68" t="n"/>
      <c r="I217" s="69" t="n"/>
      <c r="J217" s="70" t="str">
        <f>IF(E217="","",IF(ISNUMBER(I217),I217,IFERROR(IF(ISNUMBER(INDEX(art_price,MATCH($E217,art_ref,0))),INDEX(art_price,MATCH($E217,art_ref,0)),""),"")))</f>
        <v/>
      </c>
      <c r="K217" s="71" t="n"/>
      <c r="L217" s="72" t="n"/>
      <c r="M217" s="72" t="str">
        <f>IF(E217="","",IF(L217&lt;&gt;"",L217,IFERROR(IF(ISNUMBER(INDEX(art_tva,MATCH($E217,art_ref,0))),INDEX(art_tva,MATCH($E217,art_ref,0)),""),"")))</f>
        <v/>
      </c>
      <c r="N217" s="70" t="str">
        <f>IF(OR(E217="",J217=""),"",ROUND(N(H217)*J217*(1-N(K217)),2))</f>
        <v/>
      </c>
      <c r="O217" s="70" t="str">
        <f>IF(OR(N217="",NOT(ISNUMBER(M217))),"",ROUND(N217*M217,2))</f>
        <v/>
      </c>
      <c r="P217" s="70" t="str">
        <f>IF(N217="","",N217+N(O217))</f>
        <v/>
      </c>
      <c r="Q217" s="64" t="n"/>
      <c r="R217" s="73" t="str">
        <f>IF(N(Q217)&gt;0,Q217,IF(OR(N(B217)=0,ISNA(MATCH($C217,sup_code,0))),"",IF(ISNUMBER(INDEX(sup_delay,MATCH($C217,sup_code,0))),B217+INDEX(sup_delay,MATCH($C217,sup_code,0)),"")))</f>
        <v/>
      </c>
      <c r="S217" s="64" t="n"/>
      <c r="T217" s="68" t="n"/>
      <c r="U217" s="64" t="n"/>
      <c r="V217" s="65" t="n"/>
      <c r="W217" s="74" t="str">
        <f>IF(AND(A217="",E217=""),"",IF(V217="Oui",0,MAX(0,ROUND(N(H217)-N(T217),6))))</f>
        <v/>
      </c>
      <c r="X217" s="67" t="str">
        <f>IF(AND(A217="",E217=""),"",IF(V217="Oui","Annulé",IF(AND(N(H217)&gt;0,N(T217)&gt;=N(H217)),"Reçu",IF(N(S217)=0,"Brouillon",IF(AND(ISNUMBER(R217),R217&lt;p_today),"En retard",IF(N(T217)&gt;0,"Partiel","Envoyé"))))))</f>
        <v/>
      </c>
      <c r="Y217" s="75" t="str">
        <f>IF(X217="En retard",p_today-R217,IF(AND(X217="Reçu",ISNUMBER(R217)),MAX(0,N(U217)-R217),""))</f>
        <v/>
      </c>
      <c r="Z217" s="67" t="str">
        <f>IF(AND(A217="",E217=""),"",IF(A217="","N° de bon manquant",IF(N(B217)=0,"Date de commande manquante",IF(C217="","Fournisseur manquant",IF(ISNA(MATCH($C217,sup_code,0)),"Fournisseur inconnu",IF(E217="","Article manquant",IF(ISNA(MATCH($E217,art_ref,0)),"Article inconnu",IF(N(H217)&lt;=0,"Quantité invalide",IF(J217="","Prix manquant",IF(OR(N(K217)&lt;0,N(K217)&gt;=1),"Remise invalide",IF(M217="","TVA manquante",IF(ISNA(MATCH(M217,p_tva,0)),"Taux de TVA inconnu",IF(COUNTIFS(po_num,A217,po_sup,"&lt;&gt;"&amp;C217)&gt;0,"Fournisseur différent sur ce bon",IF(COUNTIFS(po_num,A217,po_date,"&lt;&gt;"&amp;B217)&gt;0,"Date différente sur ce bon",IF(COUNTIF(po_num,A217)&gt;25,"Plus de 25 lignes sur ce bon",IF(R217="","Date de livraison manquante",IF(R217&lt;B217,"Livraison avant la commande",IF(AND(N(T217)&gt;0,N(S217)=0),"Date d'envoi manquante",IF(N(T217)&gt;N(H217),"Reçu plus que commandé",IF(AND(N(T217)&gt;0,N(U217)=0),"Date de réception manquante",IF(AND(N(U217)&gt;0,U217&lt;B217),"Réception avant la commande","OK")))))))))))))))))))))</f>
        <v/>
      </c>
      <c r="AA217" s="66" t="str">
        <f>IF(AND(X217="Reçu",ISNUMBER(R217)),IF(N(U217)&lt;=R217,1,0),"")</f>
        <v/>
      </c>
      <c r="AB217" s="76" t="str">
        <f>IF(OR(X217="Envoyé",X217="Partiel",X217="En retard"),IF(ISNUMBER(R217),R217,100000)+ROW()/100000,"")</f>
        <v/>
      </c>
      <c r="AC217" s="66" t="str">
        <f>IF(A217="","",IF(COUNTIF($A$6:A217,A217)=1,1,""))</f>
        <v/>
      </c>
      <c r="AD217" s="66" t="str">
        <f>IF(AC217=1,COUNT($AC$6:AC217),"")</f>
        <v/>
      </c>
      <c r="AE217" s="66" t="str">
        <f>IFERROR(INDEX(po_num,MATCH(212,po_seq,0))&amp;"","")</f>
        <v/>
      </c>
      <c r="AF217" s="66" t="str">
        <f>IF(OR(A217="",p_po=""),"",IF(A217&amp;""=p_po,COUNTIF($A$6:A217,A217),""))</f>
        <v/>
      </c>
      <c r="AG217" s="66" t="str">
        <f>IF(OR(AB217="",A217=""),"",IF(COUNTIFS($A$6:A217,A217,$AB$6:AB217,"&gt;0")=1,1,""))</f>
        <v/>
      </c>
      <c r="AH217" s="70" t="str">
        <f>IF(AB217="","",ROUND(N(W217)*N(J217)*(1-N(K217)),2))</f>
        <v/>
      </c>
      <c r="AI217" s="70" t="str">
        <f>IF(OR(J217="",N(T217)&lt;=0,V217="Oui"),"",ROUND(N(T217)*J217*(1-N(K217)),2))</f>
        <v/>
      </c>
    </row>
    <row r="218">
      <c r="A218" s="63" t="n"/>
      <c r="B218" s="64" t="n"/>
      <c r="C218" s="65" t="n"/>
      <c r="D218" s="66" t="str">
        <f>IF(C218="","",IFERROR(INDEX(sup_name,MATCH($C218,sup_code,0))&amp;"","Fournisseur inconnu"))</f>
        <v/>
      </c>
      <c r="E218" s="63" t="n"/>
      <c r="F218" s="66" t="str">
        <f>IF(E218="","",IFERROR(INDEX(art_des,MATCH($E218,art_ref,0))&amp;"","Article inconnu"))</f>
        <v/>
      </c>
      <c r="G218" s="67" t="str">
        <f>IF(E218="","",IFERROR(INDEX(art_unit,MATCH($E218,art_ref,0))&amp;"",""))</f>
        <v/>
      </c>
      <c r="H218" s="68" t="n"/>
      <c r="I218" s="69" t="n"/>
      <c r="J218" s="70" t="str">
        <f>IF(E218="","",IF(ISNUMBER(I218),I218,IFERROR(IF(ISNUMBER(INDEX(art_price,MATCH($E218,art_ref,0))),INDEX(art_price,MATCH($E218,art_ref,0)),""),"")))</f>
        <v/>
      </c>
      <c r="K218" s="71" t="n"/>
      <c r="L218" s="72" t="n"/>
      <c r="M218" s="72" t="str">
        <f>IF(E218="","",IF(L218&lt;&gt;"",L218,IFERROR(IF(ISNUMBER(INDEX(art_tva,MATCH($E218,art_ref,0))),INDEX(art_tva,MATCH($E218,art_ref,0)),""),"")))</f>
        <v/>
      </c>
      <c r="N218" s="70" t="str">
        <f>IF(OR(E218="",J218=""),"",ROUND(N(H218)*J218*(1-N(K218)),2))</f>
        <v/>
      </c>
      <c r="O218" s="70" t="str">
        <f>IF(OR(N218="",NOT(ISNUMBER(M218))),"",ROUND(N218*M218,2))</f>
        <v/>
      </c>
      <c r="P218" s="70" t="str">
        <f>IF(N218="","",N218+N(O218))</f>
        <v/>
      </c>
      <c r="Q218" s="64" t="n"/>
      <c r="R218" s="73" t="str">
        <f>IF(N(Q218)&gt;0,Q218,IF(OR(N(B218)=0,ISNA(MATCH($C218,sup_code,0))),"",IF(ISNUMBER(INDEX(sup_delay,MATCH($C218,sup_code,0))),B218+INDEX(sup_delay,MATCH($C218,sup_code,0)),"")))</f>
        <v/>
      </c>
      <c r="S218" s="64" t="n"/>
      <c r="T218" s="68" t="n"/>
      <c r="U218" s="64" t="n"/>
      <c r="V218" s="65" t="n"/>
      <c r="W218" s="74" t="str">
        <f>IF(AND(A218="",E218=""),"",IF(V218="Oui",0,MAX(0,ROUND(N(H218)-N(T218),6))))</f>
        <v/>
      </c>
      <c r="X218" s="67" t="str">
        <f>IF(AND(A218="",E218=""),"",IF(V218="Oui","Annulé",IF(AND(N(H218)&gt;0,N(T218)&gt;=N(H218)),"Reçu",IF(N(S218)=0,"Brouillon",IF(AND(ISNUMBER(R218),R218&lt;p_today),"En retard",IF(N(T218)&gt;0,"Partiel","Envoyé"))))))</f>
        <v/>
      </c>
      <c r="Y218" s="75" t="str">
        <f>IF(X218="En retard",p_today-R218,IF(AND(X218="Reçu",ISNUMBER(R218)),MAX(0,N(U218)-R218),""))</f>
        <v/>
      </c>
      <c r="Z218" s="67" t="str">
        <f>IF(AND(A218="",E218=""),"",IF(A218="","N° de bon manquant",IF(N(B218)=0,"Date de commande manquante",IF(C218="","Fournisseur manquant",IF(ISNA(MATCH($C218,sup_code,0)),"Fournisseur inconnu",IF(E218="","Article manquant",IF(ISNA(MATCH($E218,art_ref,0)),"Article inconnu",IF(N(H218)&lt;=0,"Quantité invalide",IF(J218="","Prix manquant",IF(OR(N(K218)&lt;0,N(K218)&gt;=1),"Remise invalide",IF(M218="","TVA manquante",IF(ISNA(MATCH(M218,p_tva,0)),"Taux de TVA inconnu",IF(COUNTIFS(po_num,A218,po_sup,"&lt;&gt;"&amp;C218)&gt;0,"Fournisseur différent sur ce bon",IF(COUNTIFS(po_num,A218,po_date,"&lt;&gt;"&amp;B218)&gt;0,"Date différente sur ce bon",IF(COUNTIF(po_num,A218)&gt;25,"Plus de 25 lignes sur ce bon",IF(R218="","Date de livraison manquante",IF(R218&lt;B218,"Livraison avant la commande",IF(AND(N(T218)&gt;0,N(S218)=0),"Date d'envoi manquante",IF(N(T218)&gt;N(H218),"Reçu plus que commandé",IF(AND(N(T218)&gt;0,N(U218)=0),"Date de réception manquante",IF(AND(N(U218)&gt;0,U218&lt;B218),"Réception avant la commande","OK")))))))))))))))))))))</f>
        <v/>
      </c>
      <c r="AA218" s="66" t="str">
        <f>IF(AND(X218="Reçu",ISNUMBER(R218)),IF(N(U218)&lt;=R218,1,0),"")</f>
        <v/>
      </c>
      <c r="AB218" s="76" t="str">
        <f>IF(OR(X218="Envoyé",X218="Partiel",X218="En retard"),IF(ISNUMBER(R218),R218,100000)+ROW()/100000,"")</f>
        <v/>
      </c>
      <c r="AC218" s="66" t="str">
        <f>IF(A218="","",IF(COUNTIF($A$6:A218,A218)=1,1,""))</f>
        <v/>
      </c>
      <c r="AD218" s="66" t="str">
        <f>IF(AC218=1,COUNT($AC$6:AC218),"")</f>
        <v/>
      </c>
      <c r="AE218" s="66" t="str">
        <f>IFERROR(INDEX(po_num,MATCH(213,po_seq,0))&amp;"","")</f>
        <v/>
      </c>
      <c r="AF218" s="66" t="str">
        <f>IF(OR(A218="",p_po=""),"",IF(A218&amp;""=p_po,COUNTIF($A$6:A218,A218),""))</f>
        <v/>
      </c>
      <c r="AG218" s="66" t="str">
        <f>IF(OR(AB218="",A218=""),"",IF(COUNTIFS($A$6:A218,A218,$AB$6:AB218,"&gt;0")=1,1,""))</f>
        <v/>
      </c>
      <c r="AH218" s="70" t="str">
        <f>IF(AB218="","",ROUND(N(W218)*N(J218)*(1-N(K218)),2))</f>
        <v/>
      </c>
      <c r="AI218" s="70" t="str">
        <f>IF(OR(J218="",N(T218)&lt;=0,V218="Oui"),"",ROUND(N(T218)*J218*(1-N(K218)),2))</f>
        <v/>
      </c>
    </row>
    <row r="219">
      <c r="A219" s="63" t="n"/>
      <c r="B219" s="64" t="n"/>
      <c r="C219" s="65" t="n"/>
      <c r="D219" s="66" t="str">
        <f>IF(C219="","",IFERROR(INDEX(sup_name,MATCH($C219,sup_code,0))&amp;"","Fournisseur inconnu"))</f>
        <v/>
      </c>
      <c r="E219" s="63" t="n"/>
      <c r="F219" s="66" t="str">
        <f>IF(E219="","",IFERROR(INDEX(art_des,MATCH($E219,art_ref,0))&amp;"","Article inconnu"))</f>
        <v/>
      </c>
      <c r="G219" s="67" t="str">
        <f>IF(E219="","",IFERROR(INDEX(art_unit,MATCH($E219,art_ref,0))&amp;"",""))</f>
        <v/>
      </c>
      <c r="H219" s="68" t="n"/>
      <c r="I219" s="69" t="n"/>
      <c r="J219" s="70" t="str">
        <f>IF(E219="","",IF(ISNUMBER(I219),I219,IFERROR(IF(ISNUMBER(INDEX(art_price,MATCH($E219,art_ref,0))),INDEX(art_price,MATCH($E219,art_ref,0)),""),"")))</f>
        <v/>
      </c>
      <c r="K219" s="71" t="n"/>
      <c r="L219" s="72" t="n"/>
      <c r="M219" s="72" t="str">
        <f>IF(E219="","",IF(L219&lt;&gt;"",L219,IFERROR(IF(ISNUMBER(INDEX(art_tva,MATCH($E219,art_ref,0))),INDEX(art_tva,MATCH($E219,art_ref,0)),""),"")))</f>
        <v/>
      </c>
      <c r="N219" s="70" t="str">
        <f>IF(OR(E219="",J219=""),"",ROUND(N(H219)*J219*(1-N(K219)),2))</f>
        <v/>
      </c>
      <c r="O219" s="70" t="str">
        <f>IF(OR(N219="",NOT(ISNUMBER(M219))),"",ROUND(N219*M219,2))</f>
        <v/>
      </c>
      <c r="P219" s="70" t="str">
        <f>IF(N219="","",N219+N(O219))</f>
        <v/>
      </c>
      <c r="Q219" s="64" t="n"/>
      <c r="R219" s="73" t="str">
        <f>IF(N(Q219)&gt;0,Q219,IF(OR(N(B219)=0,ISNA(MATCH($C219,sup_code,0))),"",IF(ISNUMBER(INDEX(sup_delay,MATCH($C219,sup_code,0))),B219+INDEX(sup_delay,MATCH($C219,sup_code,0)),"")))</f>
        <v/>
      </c>
      <c r="S219" s="64" t="n"/>
      <c r="T219" s="68" t="n"/>
      <c r="U219" s="64" t="n"/>
      <c r="V219" s="65" t="n"/>
      <c r="W219" s="74" t="str">
        <f>IF(AND(A219="",E219=""),"",IF(V219="Oui",0,MAX(0,ROUND(N(H219)-N(T219),6))))</f>
        <v/>
      </c>
      <c r="X219" s="67" t="str">
        <f>IF(AND(A219="",E219=""),"",IF(V219="Oui","Annulé",IF(AND(N(H219)&gt;0,N(T219)&gt;=N(H219)),"Reçu",IF(N(S219)=0,"Brouillon",IF(AND(ISNUMBER(R219),R219&lt;p_today),"En retard",IF(N(T219)&gt;0,"Partiel","Envoyé"))))))</f>
        <v/>
      </c>
      <c r="Y219" s="75" t="str">
        <f>IF(X219="En retard",p_today-R219,IF(AND(X219="Reçu",ISNUMBER(R219)),MAX(0,N(U219)-R219),""))</f>
        <v/>
      </c>
      <c r="Z219" s="67" t="str">
        <f>IF(AND(A219="",E219=""),"",IF(A219="","N° de bon manquant",IF(N(B219)=0,"Date de commande manquante",IF(C219="","Fournisseur manquant",IF(ISNA(MATCH($C219,sup_code,0)),"Fournisseur inconnu",IF(E219="","Article manquant",IF(ISNA(MATCH($E219,art_ref,0)),"Article inconnu",IF(N(H219)&lt;=0,"Quantité invalide",IF(J219="","Prix manquant",IF(OR(N(K219)&lt;0,N(K219)&gt;=1),"Remise invalide",IF(M219="","TVA manquante",IF(ISNA(MATCH(M219,p_tva,0)),"Taux de TVA inconnu",IF(COUNTIFS(po_num,A219,po_sup,"&lt;&gt;"&amp;C219)&gt;0,"Fournisseur différent sur ce bon",IF(COUNTIFS(po_num,A219,po_date,"&lt;&gt;"&amp;B219)&gt;0,"Date différente sur ce bon",IF(COUNTIF(po_num,A219)&gt;25,"Plus de 25 lignes sur ce bon",IF(R219="","Date de livraison manquante",IF(R219&lt;B219,"Livraison avant la commande",IF(AND(N(T219)&gt;0,N(S219)=0),"Date d'envoi manquante",IF(N(T219)&gt;N(H219),"Reçu plus que commandé",IF(AND(N(T219)&gt;0,N(U219)=0),"Date de réception manquante",IF(AND(N(U219)&gt;0,U219&lt;B219),"Réception avant la commande","OK")))))))))))))))))))))</f>
        <v/>
      </c>
      <c r="AA219" s="66" t="str">
        <f>IF(AND(X219="Reçu",ISNUMBER(R219)),IF(N(U219)&lt;=R219,1,0),"")</f>
        <v/>
      </c>
      <c r="AB219" s="76" t="str">
        <f>IF(OR(X219="Envoyé",X219="Partiel",X219="En retard"),IF(ISNUMBER(R219),R219,100000)+ROW()/100000,"")</f>
        <v/>
      </c>
      <c r="AC219" s="66" t="str">
        <f>IF(A219="","",IF(COUNTIF($A$6:A219,A219)=1,1,""))</f>
        <v/>
      </c>
      <c r="AD219" s="66" t="str">
        <f>IF(AC219=1,COUNT($AC$6:AC219),"")</f>
        <v/>
      </c>
      <c r="AE219" s="66" t="str">
        <f>IFERROR(INDEX(po_num,MATCH(214,po_seq,0))&amp;"","")</f>
        <v/>
      </c>
      <c r="AF219" s="66" t="str">
        <f>IF(OR(A219="",p_po=""),"",IF(A219&amp;""=p_po,COUNTIF($A$6:A219,A219),""))</f>
        <v/>
      </c>
      <c r="AG219" s="66" t="str">
        <f>IF(OR(AB219="",A219=""),"",IF(COUNTIFS($A$6:A219,A219,$AB$6:AB219,"&gt;0")=1,1,""))</f>
        <v/>
      </c>
      <c r="AH219" s="70" t="str">
        <f>IF(AB219="","",ROUND(N(W219)*N(J219)*(1-N(K219)),2))</f>
        <v/>
      </c>
      <c r="AI219" s="70" t="str">
        <f>IF(OR(J219="",N(T219)&lt;=0,V219="Oui"),"",ROUND(N(T219)*J219*(1-N(K219)),2))</f>
        <v/>
      </c>
    </row>
    <row r="220">
      <c r="A220" s="63" t="n"/>
      <c r="B220" s="64" t="n"/>
      <c r="C220" s="65" t="n"/>
      <c r="D220" s="66" t="str">
        <f>IF(C220="","",IFERROR(INDEX(sup_name,MATCH($C220,sup_code,0))&amp;"","Fournisseur inconnu"))</f>
        <v/>
      </c>
      <c r="E220" s="63" t="n"/>
      <c r="F220" s="66" t="str">
        <f>IF(E220="","",IFERROR(INDEX(art_des,MATCH($E220,art_ref,0))&amp;"","Article inconnu"))</f>
        <v/>
      </c>
      <c r="G220" s="67" t="str">
        <f>IF(E220="","",IFERROR(INDEX(art_unit,MATCH($E220,art_ref,0))&amp;"",""))</f>
        <v/>
      </c>
      <c r="H220" s="68" t="n"/>
      <c r="I220" s="69" t="n"/>
      <c r="J220" s="70" t="str">
        <f>IF(E220="","",IF(ISNUMBER(I220),I220,IFERROR(IF(ISNUMBER(INDEX(art_price,MATCH($E220,art_ref,0))),INDEX(art_price,MATCH($E220,art_ref,0)),""),"")))</f>
        <v/>
      </c>
      <c r="K220" s="71" t="n"/>
      <c r="L220" s="72" t="n"/>
      <c r="M220" s="72" t="str">
        <f>IF(E220="","",IF(L220&lt;&gt;"",L220,IFERROR(IF(ISNUMBER(INDEX(art_tva,MATCH($E220,art_ref,0))),INDEX(art_tva,MATCH($E220,art_ref,0)),""),"")))</f>
        <v/>
      </c>
      <c r="N220" s="70" t="str">
        <f>IF(OR(E220="",J220=""),"",ROUND(N(H220)*J220*(1-N(K220)),2))</f>
        <v/>
      </c>
      <c r="O220" s="70" t="str">
        <f>IF(OR(N220="",NOT(ISNUMBER(M220))),"",ROUND(N220*M220,2))</f>
        <v/>
      </c>
      <c r="P220" s="70" t="str">
        <f>IF(N220="","",N220+N(O220))</f>
        <v/>
      </c>
      <c r="Q220" s="64" t="n"/>
      <c r="R220" s="73" t="str">
        <f>IF(N(Q220)&gt;0,Q220,IF(OR(N(B220)=0,ISNA(MATCH($C220,sup_code,0))),"",IF(ISNUMBER(INDEX(sup_delay,MATCH($C220,sup_code,0))),B220+INDEX(sup_delay,MATCH($C220,sup_code,0)),"")))</f>
        <v/>
      </c>
      <c r="S220" s="64" t="n"/>
      <c r="T220" s="68" t="n"/>
      <c r="U220" s="64" t="n"/>
      <c r="V220" s="65" t="n"/>
      <c r="W220" s="74" t="str">
        <f>IF(AND(A220="",E220=""),"",IF(V220="Oui",0,MAX(0,ROUND(N(H220)-N(T220),6))))</f>
        <v/>
      </c>
      <c r="X220" s="67" t="str">
        <f>IF(AND(A220="",E220=""),"",IF(V220="Oui","Annulé",IF(AND(N(H220)&gt;0,N(T220)&gt;=N(H220)),"Reçu",IF(N(S220)=0,"Brouillon",IF(AND(ISNUMBER(R220),R220&lt;p_today),"En retard",IF(N(T220)&gt;0,"Partiel","Envoyé"))))))</f>
        <v/>
      </c>
      <c r="Y220" s="75" t="str">
        <f>IF(X220="En retard",p_today-R220,IF(AND(X220="Reçu",ISNUMBER(R220)),MAX(0,N(U220)-R220),""))</f>
        <v/>
      </c>
      <c r="Z220" s="67" t="str">
        <f>IF(AND(A220="",E220=""),"",IF(A220="","N° de bon manquant",IF(N(B220)=0,"Date de commande manquante",IF(C220="","Fournisseur manquant",IF(ISNA(MATCH($C220,sup_code,0)),"Fournisseur inconnu",IF(E220="","Article manquant",IF(ISNA(MATCH($E220,art_ref,0)),"Article inconnu",IF(N(H220)&lt;=0,"Quantité invalide",IF(J220="","Prix manquant",IF(OR(N(K220)&lt;0,N(K220)&gt;=1),"Remise invalide",IF(M220="","TVA manquante",IF(ISNA(MATCH(M220,p_tva,0)),"Taux de TVA inconnu",IF(COUNTIFS(po_num,A220,po_sup,"&lt;&gt;"&amp;C220)&gt;0,"Fournisseur différent sur ce bon",IF(COUNTIFS(po_num,A220,po_date,"&lt;&gt;"&amp;B220)&gt;0,"Date différente sur ce bon",IF(COUNTIF(po_num,A220)&gt;25,"Plus de 25 lignes sur ce bon",IF(R220="","Date de livraison manquante",IF(R220&lt;B220,"Livraison avant la commande",IF(AND(N(T220)&gt;0,N(S220)=0),"Date d'envoi manquante",IF(N(T220)&gt;N(H220),"Reçu plus que commandé",IF(AND(N(T220)&gt;0,N(U220)=0),"Date de réception manquante",IF(AND(N(U220)&gt;0,U220&lt;B220),"Réception avant la commande","OK")))))))))))))))))))))</f>
        <v/>
      </c>
      <c r="AA220" s="66" t="str">
        <f>IF(AND(X220="Reçu",ISNUMBER(R220)),IF(N(U220)&lt;=R220,1,0),"")</f>
        <v/>
      </c>
      <c r="AB220" s="76" t="str">
        <f>IF(OR(X220="Envoyé",X220="Partiel",X220="En retard"),IF(ISNUMBER(R220),R220,100000)+ROW()/100000,"")</f>
        <v/>
      </c>
      <c r="AC220" s="66" t="str">
        <f>IF(A220="","",IF(COUNTIF($A$6:A220,A220)=1,1,""))</f>
        <v/>
      </c>
      <c r="AD220" s="66" t="str">
        <f>IF(AC220=1,COUNT($AC$6:AC220),"")</f>
        <v/>
      </c>
      <c r="AE220" s="66" t="str">
        <f>IFERROR(INDEX(po_num,MATCH(215,po_seq,0))&amp;"","")</f>
        <v/>
      </c>
      <c r="AF220" s="66" t="str">
        <f>IF(OR(A220="",p_po=""),"",IF(A220&amp;""=p_po,COUNTIF($A$6:A220,A220),""))</f>
        <v/>
      </c>
      <c r="AG220" s="66" t="str">
        <f>IF(OR(AB220="",A220=""),"",IF(COUNTIFS($A$6:A220,A220,$AB$6:AB220,"&gt;0")=1,1,""))</f>
        <v/>
      </c>
      <c r="AH220" s="70" t="str">
        <f>IF(AB220="","",ROUND(N(W220)*N(J220)*(1-N(K220)),2))</f>
        <v/>
      </c>
      <c r="AI220" s="70" t="str">
        <f>IF(OR(J220="",N(T220)&lt;=0,V220="Oui"),"",ROUND(N(T220)*J220*(1-N(K220)),2))</f>
        <v/>
      </c>
    </row>
    <row r="221">
      <c r="A221" s="63" t="n"/>
      <c r="B221" s="64" t="n"/>
      <c r="C221" s="65" t="n"/>
      <c r="D221" s="66" t="str">
        <f>IF(C221="","",IFERROR(INDEX(sup_name,MATCH($C221,sup_code,0))&amp;"","Fournisseur inconnu"))</f>
        <v/>
      </c>
      <c r="E221" s="63" t="n"/>
      <c r="F221" s="66" t="str">
        <f>IF(E221="","",IFERROR(INDEX(art_des,MATCH($E221,art_ref,0))&amp;"","Article inconnu"))</f>
        <v/>
      </c>
      <c r="G221" s="67" t="str">
        <f>IF(E221="","",IFERROR(INDEX(art_unit,MATCH($E221,art_ref,0))&amp;"",""))</f>
        <v/>
      </c>
      <c r="H221" s="68" t="n"/>
      <c r="I221" s="69" t="n"/>
      <c r="J221" s="70" t="str">
        <f>IF(E221="","",IF(ISNUMBER(I221),I221,IFERROR(IF(ISNUMBER(INDEX(art_price,MATCH($E221,art_ref,0))),INDEX(art_price,MATCH($E221,art_ref,0)),""),"")))</f>
        <v/>
      </c>
      <c r="K221" s="71" t="n"/>
      <c r="L221" s="72" t="n"/>
      <c r="M221" s="72" t="str">
        <f>IF(E221="","",IF(L221&lt;&gt;"",L221,IFERROR(IF(ISNUMBER(INDEX(art_tva,MATCH($E221,art_ref,0))),INDEX(art_tva,MATCH($E221,art_ref,0)),""),"")))</f>
        <v/>
      </c>
      <c r="N221" s="70" t="str">
        <f>IF(OR(E221="",J221=""),"",ROUND(N(H221)*J221*(1-N(K221)),2))</f>
        <v/>
      </c>
      <c r="O221" s="70" t="str">
        <f>IF(OR(N221="",NOT(ISNUMBER(M221))),"",ROUND(N221*M221,2))</f>
        <v/>
      </c>
      <c r="P221" s="70" t="str">
        <f>IF(N221="","",N221+N(O221))</f>
        <v/>
      </c>
      <c r="Q221" s="64" t="n"/>
      <c r="R221" s="73" t="str">
        <f>IF(N(Q221)&gt;0,Q221,IF(OR(N(B221)=0,ISNA(MATCH($C221,sup_code,0))),"",IF(ISNUMBER(INDEX(sup_delay,MATCH($C221,sup_code,0))),B221+INDEX(sup_delay,MATCH($C221,sup_code,0)),"")))</f>
        <v/>
      </c>
      <c r="S221" s="64" t="n"/>
      <c r="T221" s="68" t="n"/>
      <c r="U221" s="64" t="n"/>
      <c r="V221" s="65" t="n"/>
      <c r="W221" s="74" t="str">
        <f>IF(AND(A221="",E221=""),"",IF(V221="Oui",0,MAX(0,ROUND(N(H221)-N(T221),6))))</f>
        <v/>
      </c>
      <c r="X221" s="67" t="str">
        <f>IF(AND(A221="",E221=""),"",IF(V221="Oui","Annulé",IF(AND(N(H221)&gt;0,N(T221)&gt;=N(H221)),"Reçu",IF(N(S221)=0,"Brouillon",IF(AND(ISNUMBER(R221),R221&lt;p_today),"En retard",IF(N(T221)&gt;0,"Partiel","Envoyé"))))))</f>
        <v/>
      </c>
      <c r="Y221" s="75" t="str">
        <f>IF(X221="En retard",p_today-R221,IF(AND(X221="Reçu",ISNUMBER(R221)),MAX(0,N(U221)-R221),""))</f>
        <v/>
      </c>
      <c r="Z221" s="67" t="str">
        <f>IF(AND(A221="",E221=""),"",IF(A221="","N° de bon manquant",IF(N(B221)=0,"Date de commande manquante",IF(C221="","Fournisseur manquant",IF(ISNA(MATCH($C221,sup_code,0)),"Fournisseur inconnu",IF(E221="","Article manquant",IF(ISNA(MATCH($E221,art_ref,0)),"Article inconnu",IF(N(H221)&lt;=0,"Quantité invalide",IF(J221="","Prix manquant",IF(OR(N(K221)&lt;0,N(K221)&gt;=1),"Remise invalide",IF(M221="","TVA manquante",IF(ISNA(MATCH(M221,p_tva,0)),"Taux de TVA inconnu",IF(COUNTIFS(po_num,A221,po_sup,"&lt;&gt;"&amp;C221)&gt;0,"Fournisseur différent sur ce bon",IF(COUNTIFS(po_num,A221,po_date,"&lt;&gt;"&amp;B221)&gt;0,"Date différente sur ce bon",IF(COUNTIF(po_num,A221)&gt;25,"Plus de 25 lignes sur ce bon",IF(R221="","Date de livraison manquante",IF(R221&lt;B221,"Livraison avant la commande",IF(AND(N(T221)&gt;0,N(S221)=0),"Date d'envoi manquante",IF(N(T221)&gt;N(H221),"Reçu plus que commandé",IF(AND(N(T221)&gt;0,N(U221)=0),"Date de réception manquante",IF(AND(N(U221)&gt;0,U221&lt;B221),"Réception avant la commande","OK")))))))))))))))))))))</f>
        <v/>
      </c>
      <c r="AA221" s="66" t="str">
        <f>IF(AND(X221="Reçu",ISNUMBER(R221)),IF(N(U221)&lt;=R221,1,0),"")</f>
        <v/>
      </c>
      <c r="AB221" s="76" t="str">
        <f>IF(OR(X221="Envoyé",X221="Partiel",X221="En retard"),IF(ISNUMBER(R221),R221,100000)+ROW()/100000,"")</f>
        <v/>
      </c>
      <c r="AC221" s="66" t="str">
        <f>IF(A221="","",IF(COUNTIF($A$6:A221,A221)=1,1,""))</f>
        <v/>
      </c>
      <c r="AD221" s="66" t="str">
        <f>IF(AC221=1,COUNT($AC$6:AC221),"")</f>
        <v/>
      </c>
      <c r="AE221" s="66" t="str">
        <f>IFERROR(INDEX(po_num,MATCH(216,po_seq,0))&amp;"","")</f>
        <v/>
      </c>
      <c r="AF221" s="66" t="str">
        <f>IF(OR(A221="",p_po=""),"",IF(A221&amp;""=p_po,COUNTIF($A$6:A221,A221),""))</f>
        <v/>
      </c>
      <c r="AG221" s="66" t="str">
        <f>IF(OR(AB221="",A221=""),"",IF(COUNTIFS($A$6:A221,A221,$AB$6:AB221,"&gt;0")=1,1,""))</f>
        <v/>
      </c>
      <c r="AH221" s="70" t="str">
        <f>IF(AB221="","",ROUND(N(W221)*N(J221)*(1-N(K221)),2))</f>
        <v/>
      </c>
      <c r="AI221" s="70" t="str">
        <f>IF(OR(J221="",N(T221)&lt;=0,V221="Oui"),"",ROUND(N(T221)*J221*(1-N(K221)),2))</f>
        <v/>
      </c>
    </row>
    <row r="222">
      <c r="A222" s="63" t="n"/>
      <c r="B222" s="64" t="n"/>
      <c r="C222" s="65" t="n"/>
      <c r="D222" s="66" t="str">
        <f>IF(C222="","",IFERROR(INDEX(sup_name,MATCH($C222,sup_code,0))&amp;"","Fournisseur inconnu"))</f>
        <v/>
      </c>
      <c r="E222" s="63" t="n"/>
      <c r="F222" s="66" t="str">
        <f>IF(E222="","",IFERROR(INDEX(art_des,MATCH($E222,art_ref,0))&amp;"","Article inconnu"))</f>
        <v/>
      </c>
      <c r="G222" s="67" t="str">
        <f>IF(E222="","",IFERROR(INDEX(art_unit,MATCH($E222,art_ref,0))&amp;"",""))</f>
        <v/>
      </c>
      <c r="H222" s="68" t="n"/>
      <c r="I222" s="69" t="n"/>
      <c r="J222" s="70" t="str">
        <f>IF(E222="","",IF(ISNUMBER(I222),I222,IFERROR(IF(ISNUMBER(INDEX(art_price,MATCH($E222,art_ref,0))),INDEX(art_price,MATCH($E222,art_ref,0)),""),"")))</f>
        <v/>
      </c>
      <c r="K222" s="71" t="n"/>
      <c r="L222" s="72" t="n"/>
      <c r="M222" s="72" t="str">
        <f>IF(E222="","",IF(L222&lt;&gt;"",L222,IFERROR(IF(ISNUMBER(INDEX(art_tva,MATCH($E222,art_ref,0))),INDEX(art_tva,MATCH($E222,art_ref,0)),""),"")))</f>
        <v/>
      </c>
      <c r="N222" s="70" t="str">
        <f>IF(OR(E222="",J222=""),"",ROUND(N(H222)*J222*(1-N(K222)),2))</f>
        <v/>
      </c>
      <c r="O222" s="70" t="str">
        <f>IF(OR(N222="",NOT(ISNUMBER(M222))),"",ROUND(N222*M222,2))</f>
        <v/>
      </c>
      <c r="P222" s="70" t="str">
        <f>IF(N222="","",N222+N(O222))</f>
        <v/>
      </c>
      <c r="Q222" s="64" t="n"/>
      <c r="R222" s="73" t="str">
        <f>IF(N(Q222)&gt;0,Q222,IF(OR(N(B222)=0,ISNA(MATCH($C222,sup_code,0))),"",IF(ISNUMBER(INDEX(sup_delay,MATCH($C222,sup_code,0))),B222+INDEX(sup_delay,MATCH($C222,sup_code,0)),"")))</f>
        <v/>
      </c>
      <c r="S222" s="64" t="n"/>
      <c r="T222" s="68" t="n"/>
      <c r="U222" s="64" t="n"/>
      <c r="V222" s="65" t="n"/>
      <c r="W222" s="74" t="str">
        <f>IF(AND(A222="",E222=""),"",IF(V222="Oui",0,MAX(0,ROUND(N(H222)-N(T222),6))))</f>
        <v/>
      </c>
      <c r="X222" s="67" t="str">
        <f>IF(AND(A222="",E222=""),"",IF(V222="Oui","Annulé",IF(AND(N(H222)&gt;0,N(T222)&gt;=N(H222)),"Reçu",IF(N(S222)=0,"Brouillon",IF(AND(ISNUMBER(R222),R222&lt;p_today),"En retard",IF(N(T222)&gt;0,"Partiel","Envoyé"))))))</f>
        <v/>
      </c>
      <c r="Y222" s="75" t="str">
        <f>IF(X222="En retard",p_today-R222,IF(AND(X222="Reçu",ISNUMBER(R222)),MAX(0,N(U222)-R222),""))</f>
        <v/>
      </c>
      <c r="Z222" s="67" t="str">
        <f>IF(AND(A222="",E222=""),"",IF(A222="","N° de bon manquant",IF(N(B222)=0,"Date de commande manquante",IF(C222="","Fournisseur manquant",IF(ISNA(MATCH($C222,sup_code,0)),"Fournisseur inconnu",IF(E222="","Article manquant",IF(ISNA(MATCH($E222,art_ref,0)),"Article inconnu",IF(N(H222)&lt;=0,"Quantité invalide",IF(J222="","Prix manquant",IF(OR(N(K222)&lt;0,N(K222)&gt;=1),"Remise invalide",IF(M222="","TVA manquante",IF(ISNA(MATCH(M222,p_tva,0)),"Taux de TVA inconnu",IF(COUNTIFS(po_num,A222,po_sup,"&lt;&gt;"&amp;C222)&gt;0,"Fournisseur différent sur ce bon",IF(COUNTIFS(po_num,A222,po_date,"&lt;&gt;"&amp;B222)&gt;0,"Date différente sur ce bon",IF(COUNTIF(po_num,A222)&gt;25,"Plus de 25 lignes sur ce bon",IF(R222="","Date de livraison manquante",IF(R222&lt;B222,"Livraison avant la commande",IF(AND(N(T222)&gt;0,N(S222)=0),"Date d'envoi manquante",IF(N(T222)&gt;N(H222),"Reçu plus que commandé",IF(AND(N(T222)&gt;0,N(U222)=0),"Date de réception manquante",IF(AND(N(U222)&gt;0,U222&lt;B222),"Réception avant la commande","OK")))))))))))))))))))))</f>
        <v/>
      </c>
      <c r="AA222" s="66" t="str">
        <f>IF(AND(X222="Reçu",ISNUMBER(R222)),IF(N(U222)&lt;=R222,1,0),"")</f>
        <v/>
      </c>
      <c r="AB222" s="76" t="str">
        <f>IF(OR(X222="Envoyé",X222="Partiel",X222="En retard"),IF(ISNUMBER(R222),R222,100000)+ROW()/100000,"")</f>
        <v/>
      </c>
      <c r="AC222" s="66" t="str">
        <f>IF(A222="","",IF(COUNTIF($A$6:A222,A222)=1,1,""))</f>
        <v/>
      </c>
      <c r="AD222" s="66" t="str">
        <f>IF(AC222=1,COUNT($AC$6:AC222),"")</f>
        <v/>
      </c>
      <c r="AE222" s="66" t="str">
        <f>IFERROR(INDEX(po_num,MATCH(217,po_seq,0))&amp;"","")</f>
        <v/>
      </c>
      <c r="AF222" s="66" t="str">
        <f>IF(OR(A222="",p_po=""),"",IF(A222&amp;""=p_po,COUNTIF($A$6:A222,A222),""))</f>
        <v/>
      </c>
      <c r="AG222" s="66" t="str">
        <f>IF(OR(AB222="",A222=""),"",IF(COUNTIFS($A$6:A222,A222,$AB$6:AB222,"&gt;0")=1,1,""))</f>
        <v/>
      </c>
      <c r="AH222" s="70" t="str">
        <f>IF(AB222="","",ROUND(N(W222)*N(J222)*(1-N(K222)),2))</f>
        <v/>
      </c>
      <c r="AI222" s="70" t="str">
        <f>IF(OR(J222="",N(T222)&lt;=0,V222="Oui"),"",ROUND(N(T222)*J222*(1-N(K222)),2))</f>
        <v/>
      </c>
    </row>
    <row r="223">
      <c r="A223" s="63" t="n"/>
      <c r="B223" s="64" t="n"/>
      <c r="C223" s="65" t="n"/>
      <c r="D223" s="66" t="str">
        <f>IF(C223="","",IFERROR(INDEX(sup_name,MATCH($C223,sup_code,0))&amp;"","Fournisseur inconnu"))</f>
        <v/>
      </c>
      <c r="E223" s="63" t="n"/>
      <c r="F223" s="66" t="str">
        <f>IF(E223="","",IFERROR(INDEX(art_des,MATCH($E223,art_ref,0))&amp;"","Article inconnu"))</f>
        <v/>
      </c>
      <c r="G223" s="67" t="str">
        <f>IF(E223="","",IFERROR(INDEX(art_unit,MATCH($E223,art_ref,0))&amp;"",""))</f>
        <v/>
      </c>
      <c r="H223" s="68" t="n"/>
      <c r="I223" s="69" t="n"/>
      <c r="J223" s="70" t="str">
        <f>IF(E223="","",IF(ISNUMBER(I223),I223,IFERROR(IF(ISNUMBER(INDEX(art_price,MATCH($E223,art_ref,0))),INDEX(art_price,MATCH($E223,art_ref,0)),""),"")))</f>
        <v/>
      </c>
      <c r="K223" s="71" t="n"/>
      <c r="L223" s="72" t="n"/>
      <c r="M223" s="72" t="str">
        <f>IF(E223="","",IF(L223&lt;&gt;"",L223,IFERROR(IF(ISNUMBER(INDEX(art_tva,MATCH($E223,art_ref,0))),INDEX(art_tva,MATCH($E223,art_ref,0)),""),"")))</f>
        <v/>
      </c>
      <c r="N223" s="70" t="str">
        <f>IF(OR(E223="",J223=""),"",ROUND(N(H223)*J223*(1-N(K223)),2))</f>
        <v/>
      </c>
      <c r="O223" s="70" t="str">
        <f>IF(OR(N223="",NOT(ISNUMBER(M223))),"",ROUND(N223*M223,2))</f>
        <v/>
      </c>
      <c r="P223" s="70" t="str">
        <f>IF(N223="","",N223+N(O223))</f>
        <v/>
      </c>
      <c r="Q223" s="64" t="n"/>
      <c r="R223" s="73" t="str">
        <f>IF(N(Q223)&gt;0,Q223,IF(OR(N(B223)=0,ISNA(MATCH($C223,sup_code,0))),"",IF(ISNUMBER(INDEX(sup_delay,MATCH($C223,sup_code,0))),B223+INDEX(sup_delay,MATCH($C223,sup_code,0)),"")))</f>
        <v/>
      </c>
      <c r="S223" s="64" t="n"/>
      <c r="T223" s="68" t="n"/>
      <c r="U223" s="64" t="n"/>
      <c r="V223" s="65" t="n"/>
      <c r="W223" s="74" t="str">
        <f>IF(AND(A223="",E223=""),"",IF(V223="Oui",0,MAX(0,ROUND(N(H223)-N(T223),6))))</f>
        <v/>
      </c>
      <c r="X223" s="67" t="str">
        <f>IF(AND(A223="",E223=""),"",IF(V223="Oui","Annulé",IF(AND(N(H223)&gt;0,N(T223)&gt;=N(H223)),"Reçu",IF(N(S223)=0,"Brouillon",IF(AND(ISNUMBER(R223),R223&lt;p_today),"En retard",IF(N(T223)&gt;0,"Partiel","Envoyé"))))))</f>
        <v/>
      </c>
      <c r="Y223" s="75" t="str">
        <f>IF(X223="En retard",p_today-R223,IF(AND(X223="Reçu",ISNUMBER(R223)),MAX(0,N(U223)-R223),""))</f>
        <v/>
      </c>
      <c r="Z223" s="67" t="str">
        <f>IF(AND(A223="",E223=""),"",IF(A223="","N° de bon manquant",IF(N(B223)=0,"Date de commande manquante",IF(C223="","Fournisseur manquant",IF(ISNA(MATCH($C223,sup_code,0)),"Fournisseur inconnu",IF(E223="","Article manquant",IF(ISNA(MATCH($E223,art_ref,0)),"Article inconnu",IF(N(H223)&lt;=0,"Quantité invalide",IF(J223="","Prix manquant",IF(OR(N(K223)&lt;0,N(K223)&gt;=1),"Remise invalide",IF(M223="","TVA manquante",IF(ISNA(MATCH(M223,p_tva,0)),"Taux de TVA inconnu",IF(COUNTIFS(po_num,A223,po_sup,"&lt;&gt;"&amp;C223)&gt;0,"Fournisseur différent sur ce bon",IF(COUNTIFS(po_num,A223,po_date,"&lt;&gt;"&amp;B223)&gt;0,"Date différente sur ce bon",IF(COUNTIF(po_num,A223)&gt;25,"Plus de 25 lignes sur ce bon",IF(R223="","Date de livraison manquante",IF(R223&lt;B223,"Livraison avant la commande",IF(AND(N(T223)&gt;0,N(S223)=0),"Date d'envoi manquante",IF(N(T223)&gt;N(H223),"Reçu plus que commandé",IF(AND(N(T223)&gt;0,N(U223)=0),"Date de réception manquante",IF(AND(N(U223)&gt;0,U223&lt;B223),"Réception avant la commande","OK")))))))))))))))))))))</f>
        <v/>
      </c>
      <c r="AA223" s="66" t="str">
        <f>IF(AND(X223="Reçu",ISNUMBER(R223)),IF(N(U223)&lt;=R223,1,0),"")</f>
        <v/>
      </c>
      <c r="AB223" s="76" t="str">
        <f>IF(OR(X223="Envoyé",X223="Partiel",X223="En retard"),IF(ISNUMBER(R223),R223,100000)+ROW()/100000,"")</f>
        <v/>
      </c>
      <c r="AC223" s="66" t="str">
        <f>IF(A223="","",IF(COUNTIF($A$6:A223,A223)=1,1,""))</f>
        <v/>
      </c>
      <c r="AD223" s="66" t="str">
        <f>IF(AC223=1,COUNT($AC$6:AC223),"")</f>
        <v/>
      </c>
      <c r="AE223" s="66" t="str">
        <f>IFERROR(INDEX(po_num,MATCH(218,po_seq,0))&amp;"","")</f>
        <v/>
      </c>
      <c r="AF223" s="66" t="str">
        <f>IF(OR(A223="",p_po=""),"",IF(A223&amp;""=p_po,COUNTIF($A$6:A223,A223),""))</f>
        <v/>
      </c>
      <c r="AG223" s="66" t="str">
        <f>IF(OR(AB223="",A223=""),"",IF(COUNTIFS($A$6:A223,A223,$AB$6:AB223,"&gt;0")=1,1,""))</f>
        <v/>
      </c>
      <c r="AH223" s="70" t="str">
        <f>IF(AB223="","",ROUND(N(W223)*N(J223)*(1-N(K223)),2))</f>
        <v/>
      </c>
      <c r="AI223" s="70" t="str">
        <f>IF(OR(J223="",N(T223)&lt;=0,V223="Oui"),"",ROUND(N(T223)*J223*(1-N(K223)),2))</f>
        <v/>
      </c>
    </row>
    <row r="224">
      <c r="A224" s="63" t="n"/>
      <c r="B224" s="64" t="n"/>
      <c r="C224" s="65" t="n"/>
      <c r="D224" s="66" t="str">
        <f>IF(C224="","",IFERROR(INDEX(sup_name,MATCH($C224,sup_code,0))&amp;"","Fournisseur inconnu"))</f>
        <v/>
      </c>
      <c r="E224" s="63" t="n"/>
      <c r="F224" s="66" t="str">
        <f>IF(E224="","",IFERROR(INDEX(art_des,MATCH($E224,art_ref,0))&amp;"","Article inconnu"))</f>
        <v/>
      </c>
      <c r="G224" s="67" t="str">
        <f>IF(E224="","",IFERROR(INDEX(art_unit,MATCH($E224,art_ref,0))&amp;"",""))</f>
        <v/>
      </c>
      <c r="H224" s="68" t="n"/>
      <c r="I224" s="69" t="n"/>
      <c r="J224" s="70" t="str">
        <f>IF(E224="","",IF(ISNUMBER(I224),I224,IFERROR(IF(ISNUMBER(INDEX(art_price,MATCH($E224,art_ref,0))),INDEX(art_price,MATCH($E224,art_ref,0)),""),"")))</f>
        <v/>
      </c>
      <c r="K224" s="71" t="n"/>
      <c r="L224" s="72" t="n"/>
      <c r="M224" s="72" t="str">
        <f>IF(E224="","",IF(L224&lt;&gt;"",L224,IFERROR(IF(ISNUMBER(INDEX(art_tva,MATCH($E224,art_ref,0))),INDEX(art_tva,MATCH($E224,art_ref,0)),""),"")))</f>
        <v/>
      </c>
      <c r="N224" s="70" t="str">
        <f>IF(OR(E224="",J224=""),"",ROUND(N(H224)*J224*(1-N(K224)),2))</f>
        <v/>
      </c>
      <c r="O224" s="70" t="str">
        <f>IF(OR(N224="",NOT(ISNUMBER(M224))),"",ROUND(N224*M224,2))</f>
        <v/>
      </c>
      <c r="P224" s="70" t="str">
        <f>IF(N224="","",N224+N(O224))</f>
        <v/>
      </c>
      <c r="Q224" s="64" t="n"/>
      <c r="R224" s="73" t="str">
        <f>IF(N(Q224)&gt;0,Q224,IF(OR(N(B224)=0,ISNA(MATCH($C224,sup_code,0))),"",IF(ISNUMBER(INDEX(sup_delay,MATCH($C224,sup_code,0))),B224+INDEX(sup_delay,MATCH($C224,sup_code,0)),"")))</f>
        <v/>
      </c>
      <c r="S224" s="64" t="n"/>
      <c r="T224" s="68" t="n"/>
      <c r="U224" s="64" t="n"/>
      <c r="V224" s="65" t="n"/>
      <c r="W224" s="74" t="str">
        <f>IF(AND(A224="",E224=""),"",IF(V224="Oui",0,MAX(0,ROUND(N(H224)-N(T224),6))))</f>
        <v/>
      </c>
      <c r="X224" s="67" t="str">
        <f>IF(AND(A224="",E224=""),"",IF(V224="Oui","Annulé",IF(AND(N(H224)&gt;0,N(T224)&gt;=N(H224)),"Reçu",IF(N(S224)=0,"Brouillon",IF(AND(ISNUMBER(R224),R224&lt;p_today),"En retard",IF(N(T224)&gt;0,"Partiel","Envoyé"))))))</f>
        <v/>
      </c>
      <c r="Y224" s="75" t="str">
        <f>IF(X224="En retard",p_today-R224,IF(AND(X224="Reçu",ISNUMBER(R224)),MAX(0,N(U224)-R224),""))</f>
        <v/>
      </c>
      <c r="Z224" s="67" t="str">
        <f>IF(AND(A224="",E224=""),"",IF(A224="","N° de bon manquant",IF(N(B224)=0,"Date de commande manquante",IF(C224="","Fournisseur manquant",IF(ISNA(MATCH($C224,sup_code,0)),"Fournisseur inconnu",IF(E224="","Article manquant",IF(ISNA(MATCH($E224,art_ref,0)),"Article inconnu",IF(N(H224)&lt;=0,"Quantité invalide",IF(J224="","Prix manquant",IF(OR(N(K224)&lt;0,N(K224)&gt;=1),"Remise invalide",IF(M224="","TVA manquante",IF(ISNA(MATCH(M224,p_tva,0)),"Taux de TVA inconnu",IF(COUNTIFS(po_num,A224,po_sup,"&lt;&gt;"&amp;C224)&gt;0,"Fournisseur différent sur ce bon",IF(COUNTIFS(po_num,A224,po_date,"&lt;&gt;"&amp;B224)&gt;0,"Date différente sur ce bon",IF(COUNTIF(po_num,A224)&gt;25,"Plus de 25 lignes sur ce bon",IF(R224="","Date de livraison manquante",IF(R224&lt;B224,"Livraison avant la commande",IF(AND(N(T224)&gt;0,N(S224)=0),"Date d'envoi manquante",IF(N(T224)&gt;N(H224),"Reçu plus que commandé",IF(AND(N(T224)&gt;0,N(U224)=0),"Date de réception manquante",IF(AND(N(U224)&gt;0,U224&lt;B224),"Réception avant la commande","OK")))))))))))))))))))))</f>
        <v/>
      </c>
      <c r="AA224" s="66" t="str">
        <f>IF(AND(X224="Reçu",ISNUMBER(R224)),IF(N(U224)&lt;=R224,1,0),"")</f>
        <v/>
      </c>
      <c r="AB224" s="76" t="str">
        <f>IF(OR(X224="Envoyé",X224="Partiel",X224="En retard"),IF(ISNUMBER(R224),R224,100000)+ROW()/100000,"")</f>
        <v/>
      </c>
      <c r="AC224" s="66" t="str">
        <f>IF(A224="","",IF(COUNTIF($A$6:A224,A224)=1,1,""))</f>
        <v/>
      </c>
      <c r="AD224" s="66" t="str">
        <f>IF(AC224=1,COUNT($AC$6:AC224),"")</f>
        <v/>
      </c>
      <c r="AE224" s="66" t="str">
        <f>IFERROR(INDEX(po_num,MATCH(219,po_seq,0))&amp;"","")</f>
        <v/>
      </c>
      <c r="AF224" s="66" t="str">
        <f>IF(OR(A224="",p_po=""),"",IF(A224&amp;""=p_po,COUNTIF($A$6:A224,A224),""))</f>
        <v/>
      </c>
      <c r="AG224" s="66" t="str">
        <f>IF(OR(AB224="",A224=""),"",IF(COUNTIFS($A$6:A224,A224,$AB$6:AB224,"&gt;0")=1,1,""))</f>
        <v/>
      </c>
      <c r="AH224" s="70" t="str">
        <f>IF(AB224="","",ROUND(N(W224)*N(J224)*(1-N(K224)),2))</f>
        <v/>
      </c>
      <c r="AI224" s="70" t="str">
        <f>IF(OR(J224="",N(T224)&lt;=0,V224="Oui"),"",ROUND(N(T224)*J224*(1-N(K224)),2))</f>
        <v/>
      </c>
    </row>
    <row r="225">
      <c r="A225" s="63" t="n"/>
      <c r="B225" s="64" t="n"/>
      <c r="C225" s="65" t="n"/>
      <c r="D225" s="66" t="str">
        <f>IF(C225="","",IFERROR(INDEX(sup_name,MATCH($C225,sup_code,0))&amp;"","Fournisseur inconnu"))</f>
        <v/>
      </c>
      <c r="E225" s="63" t="n"/>
      <c r="F225" s="66" t="str">
        <f>IF(E225="","",IFERROR(INDEX(art_des,MATCH($E225,art_ref,0))&amp;"","Article inconnu"))</f>
        <v/>
      </c>
      <c r="G225" s="67" t="str">
        <f>IF(E225="","",IFERROR(INDEX(art_unit,MATCH($E225,art_ref,0))&amp;"",""))</f>
        <v/>
      </c>
      <c r="H225" s="68" t="n"/>
      <c r="I225" s="69" t="n"/>
      <c r="J225" s="70" t="str">
        <f>IF(E225="","",IF(ISNUMBER(I225),I225,IFERROR(IF(ISNUMBER(INDEX(art_price,MATCH($E225,art_ref,0))),INDEX(art_price,MATCH($E225,art_ref,0)),""),"")))</f>
        <v/>
      </c>
      <c r="K225" s="71" t="n"/>
      <c r="L225" s="72" t="n"/>
      <c r="M225" s="72" t="str">
        <f>IF(E225="","",IF(L225&lt;&gt;"",L225,IFERROR(IF(ISNUMBER(INDEX(art_tva,MATCH($E225,art_ref,0))),INDEX(art_tva,MATCH($E225,art_ref,0)),""),"")))</f>
        <v/>
      </c>
      <c r="N225" s="70" t="str">
        <f>IF(OR(E225="",J225=""),"",ROUND(N(H225)*J225*(1-N(K225)),2))</f>
        <v/>
      </c>
      <c r="O225" s="70" t="str">
        <f>IF(OR(N225="",NOT(ISNUMBER(M225))),"",ROUND(N225*M225,2))</f>
        <v/>
      </c>
      <c r="P225" s="70" t="str">
        <f>IF(N225="","",N225+N(O225))</f>
        <v/>
      </c>
      <c r="Q225" s="64" t="n"/>
      <c r="R225" s="73" t="str">
        <f>IF(N(Q225)&gt;0,Q225,IF(OR(N(B225)=0,ISNA(MATCH($C225,sup_code,0))),"",IF(ISNUMBER(INDEX(sup_delay,MATCH($C225,sup_code,0))),B225+INDEX(sup_delay,MATCH($C225,sup_code,0)),"")))</f>
        <v/>
      </c>
      <c r="S225" s="64" t="n"/>
      <c r="T225" s="68" t="n"/>
      <c r="U225" s="64" t="n"/>
      <c r="V225" s="65" t="n"/>
      <c r="W225" s="74" t="str">
        <f>IF(AND(A225="",E225=""),"",IF(V225="Oui",0,MAX(0,ROUND(N(H225)-N(T225),6))))</f>
        <v/>
      </c>
      <c r="X225" s="67" t="str">
        <f>IF(AND(A225="",E225=""),"",IF(V225="Oui","Annulé",IF(AND(N(H225)&gt;0,N(T225)&gt;=N(H225)),"Reçu",IF(N(S225)=0,"Brouillon",IF(AND(ISNUMBER(R225),R225&lt;p_today),"En retard",IF(N(T225)&gt;0,"Partiel","Envoyé"))))))</f>
        <v/>
      </c>
      <c r="Y225" s="75" t="str">
        <f>IF(X225="En retard",p_today-R225,IF(AND(X225="Reçu",ISNUMBER(R225)),MAX(0,N(U225)-R225),""))</f>
        <v/>
      </c>
      <c r="Z225" s="67" t="str">
        <f>IF(AND(A225="",E225=""),"",IF(A225="","N° de bon manquant",IF(N(B225)=0,"Date de commande manquante",IF(C225="","Fournisseur manquant",IF(ISNA(MATCH($C225,sup_code,0)),"Fournisseur inconnu",IF(E225="","Article manquant",IF(ISNA(MATCH($E225,art_ref,0)),"Article inconnu",IF(N(H225)&lt;=0,"Quantité invalide",IF(J225="","Prix manquant",IF(OR(N(K225)&lt;0,N(K225)&gt;=1),"Remise invalide",IF(M225="","TVA manquante",IF(ISNA(MATCH(M225,p_tva,0)),"Taux de TVA inconnu",IF(COUNTIFS(po_num,A225,po_sup,"&lt;&gt;"&amp;C225)&gt;0,"Fournisseur différent sur ce bon",IF(COUNTIFS(po_num,A225,po_date,"&lt;&gt;"&amp;B225)&gt;0,"Date différente sur ce bon",IF(COUNTIF(po_num,A225)&gt;25,"Plus de 25 lignes sur ce bon",IF(R225="","Date de livraison manquante",IF(R225&lt;B225,"Livraison avant la commande",IF(AND(N(T225)&gt;0,N(S225)=0),"Date d'envoi manquante",IF(N(T225)&gt;N(H225),"Reçu plus que commandé",IF(AND(N(T225)&gt;0,N(U225)=0),"Date de réception manquante",IF(AND(N(U225)&gt;0,U225&lt;B225),"Réception avant la commande","OK")))))))))))))))))))))</f>
        <v/>
      </c>
      <c r="AA225" s="66" t="str">
        <f>IF(AND(X225="Reçu",ISNUMBER(R225)),IF(N(U225)&lt;=R225,1,0),"")</f>
        <v/>
      </c>
      <c r="AB225" s="76" t="str">
        <f>IF(OR(X225="Envoyé",X225="Partiel",X225="En retard"),IF(ISNUMBER(R225),R225,100000)+ROW()/100000,"")</f>
        <v/>
      </c>
      <c r="AC225" s="66" t="str">
        <f>IF(A225="","",IF(COUNTIF($A$6:A225,A225)=1,1,""))</f>
        <v/>
      </c>
      <c r="AD225" s="66" t="str">
        <f>IF(AC225=1,COUNT($AC$6:AC225),"")</f>
        <v/>
      </c>
      <c r="AE225" s="66" t="str">
        <f>IFERROR(INDEX(po_num,MATCH(220,po_seq,0))&amp;"","")</f>
        <v/>
      </c>
      <c r="AF225" s="66" t="str">
        <f>IF(OR(A225="",p_po=""),"",IF(A225&amp;""=p_po,COUNTIF($A$6:A225,A225),""))</f>
        <v/>
      </c>
      <c r="AG225" s="66" t="str">
        <f>IF(OR(AB225="",A225=""),"",IF(COUNTIFS($A$6:A225,A225,$AB$6:AB225,"&gt;0")=1,1,""))</f>
        <v/>
      </c>
      <c r="AH225" s="70" t="str">
        <f>IF(AB225="","",ROUND(N(W225)*N(J225)*(1-N(K225)),2))</f>
        <v/>
      </c>
      <c r="AI225" s="70" t="str">
        <f>IF(OR(J225="",N(T225)&lt;=0,V225="Oui"),"",ROUND(N(T225)*J225*(1-N(K225)),2))</f>
        <v/>
      </c>
    </row>
    <row r="226">
      <c r="A226" s="63" t="n"/>
      <c r="B226" s="64" t="n"/>
      <c r="C226" s="65" t="n"/>
      <c r="D226" s="66" t="str">
        <f>IF(C226="","",IFERROR(INDEX(sup_name,MATCH($C226,sup_code,0))&amp;"","Fournisseur inconnu"))</f>
        <v/>
      </c>
      <c r="E226" s="63" t="n"/>
      <c r="F226" s="66" t="str">
        <f>IF(E226="","",IFERROR(INDEX(art_des,MATCH($E226,art_ref,0))&amp;"","Article inconnu"))</f>
        <v/>
      </c>
      <c r="G226" s="67" t="str">
        <f>IF(E226="","",IFERROR(INDEX(art_unit,MATCH($E226,art_ref,0))&amp;"",""))</f>
        <v/>
      </c>
      <c r="H226" s="68" t="n"/>
      <c r="I226" s="69" t="n"/>
      <c r="J226" s="70" t="str">
        <f>IF(E226="","",IF(ISNUMBER(I226),I226,IFERROR(IF(ISNUMBER(INDEX(art_price,MATCH($E226,art_ref,0))),INDEX(art_price,MATCH($E226,art_ref,0)),""),"")))</f>
        <v/>
      </c>
      <c r="K226" s="71" t="n"/>
      <c r="L226" s="72" t="n"/>
      <c r="M226" s="72" t="str">
        <f>IF(E226="","",IF(L226&lt;&gt;"",L226,IFERROR(IF(ISNUMBER(INDEX(art_tva,MATCH($E226,art_ref,0))),INDEX(art_tva,MATCH($E226,art_ref,0)),""),"")))</f>
        <v/>
      </c>
      <c r="N226" s="70" t="str">
        <f>IF(OR(E226="",J226=""),"",ROUND(N(H226)*J226*(1-N(K226)),2))</f>
        <v/>
      </c>
      <c r="O226" s="70" t="str">
        <f>IF(OR(N226="",NOT(ISNUMBER(M226))),"",ROUND(N226*M226,2))</f>
        <v/>
      </c>
      <c r="P226" s="70" t="str">
        <f>IF(N226="","",N226+N(O226))</f>
        <v/>
      </c>
      <c r="Q226" s="64" t="n"/>
      <c r="R226" s="73" t="str">
        <f>IF(N(Q226)&gt;0,Q226,IF(OR(N(B226)=0,ISNA(MATCH($C226,sup_code,0))),"",IF(ISNUMBER(INDEX(sup_delay,MATCH($C226,sup_code,0))),B226+INDEX(sup_delay,MATCH($C226,sup_code,0)),"")))</f>
        <v/>
      </c>
      <c r="S226" s="64" t="n"/>
      <c r="T226" s="68" t="n"/>
      <c r="U226" s="64" t="n"/>
      <c r="V226" s="65" t="n"/>
      <c r="W226" s="74" t="str">
        <f>IF(AND(A226="",E226=""),"",IF(V226="Oui",0,MAX(0,ROUND(N(H226)-N(T226),6))))</f>
        <v/>
      </c>
      <c r="X226" s="67" t="str">
        <f>IF(AND(A226="",E226=""),"",IF(V226="Oui","Annulé",IF(AND(N(H226)&gt;0,N(T226)&gt;=N(H226)),"Reçu",IF(N(S226)=0,"Brouillon",IF(AND(ISNUMBER(R226),R226&lt;p_today),"En retard",IF(N(T226)&gt;0,"Partiel","Envoyé"))))))</f>
        <v/>
      </c>
      <c r="Y226" s="75" t="str">
        <f>IF(X226="En retard",p_today-R226,IF(AND(X226="Reçu",ISNUMBER(R226)),MAX(0,N(U226)-R226),""))</f>
        <v/>
      </c>
      <c r="Z226" s="67" t="str">
        <f>IF(AND(A226="",E226=""),"",IF(A226="","N° de bon manquant",IF(N(B226)=0,"Date de commande manquante",IF(C226="","Fournisseur manquant",IF(ISNA(MATCH($C226,sup_code,0)),"Fournisseur inconnu",IF(E226="","Article manquant",IF(ISNA(MATCH($E226,art_ref,0)),"Article inconnu",IF(N(H226)&lt;=0,"Quantité invalide",IF(J226="","Prix manquant",IF(OR(N(K226)&lt;0,N(K226)&gt;=1),"Remise invalide",IF(M226="","TVA manquante",IF(ISNA(MATCH(M226,p_tva,0)),"Taux de TVA inconnu",IF(COUNTIFS(po_num,A226,po_sup,"&lt;&gt;"&amp;C226)&gt;0,"Fournisseur différent sur ce bon",IF(COUNTIFS(po_num,A226,po_date,"&lt;&gt;"&amp;B226)&gt;0,"Date différente sur ce bon",IF(COUNTIF(po_num,A226)&gt;25,"Plus de 25 lignes sur ce bon",IF(R226="","Date de livraison manquante",IF(R226&lt;B226,"Livraison avant la commande",IF(AND(N(T226)&gt;0,N(S226)=0),"Date d'envoi manquante",IF(N(T226)&gt;N(H226),"Reçu plus que commandé",IF(AND(N(T226)&gt;0,N(U226)=0),"Date de réception manquante",IF(AND(N(U226)&gt;0,U226&lt;B226),"Réception avant la commande","OK")))))))))))))))))))))</f>
        <v/>
      </c>
      <c r="AA226" s="66" t="str">
        <f>IF(AND(X226="Reçu",ISNUMBER(R226)),IF(N(U226)&lt;=R226,1,0),"")</f>
        <v/>
      </c>
      <c r="AB226" s="76" t="str">
        <f>IF(OR(X226="Envoyé",X226="Partiel",X226="En retard"),IF(ISNUMBER(R226),R226,100000)+ROW()/100000,"")</f>
        <v/>
      </c>
      <c r="AC226" s="66" t="str">
        <f>IF(A226="","",IF(COUNTIF($A$6:A226,A226)=1,1,""))</f>
        <v/>
      </c>
      <c r="AD226" s="66" t="str">
        <f>IF(AC226=1,COUNT($AC$6:AC226),"")</f>
        <v/>
      </c>
      <c r="AE226" s="66" t="str">
        <f>IFERROR(INDEX(po_num,MATCH(221,po_seq,0))&amp;"","")</f>
        <v/>
      </c>
      <c r="AF226" s="66" t="str">
        <f>IF(OR(A226="",p_po=""),"",IF(A226&amp;""=p_po,COUNTIF($A$6:A226,A226),""))</f>
        <v/>
      </c>
      <c r="AG226" s="66" t="str">
        <f>IF(OR(AB226="",A226=""),"",IF(COUNTIFS($A$6:A226,A226,$AB$6:AB226,"&gt;0")=1,1,""))</f>
        <v/>
      </c>
      <c r="AH226" s="70" t="str">
        <f>IF(AB226="","",ROUND(N(W226)*N(J226)*(1-N(K226)),2))</f>
        <v/>
      </c>
      <c r="AI226" s="70" t="str">
        <f>IF(OR(J226="",N(T226)&lt;=0,V226="Oui"),"",ROUND(N(T226)*J226*(1-N(K226)),2))</f>
        <v/>
      </c>
    </row>
    <row r="227">
      <c r="A227" s="63" t="n"/>
      <c r="B227" s="64" t="n"/>
      <c r="C227" s="65" t="n"/>
      <c r="D227" s="66" t="str">
        <f>IF(C227="","",IFERROR(INDEX(sup_name,MATCH($C227,sup_code,0))&amp;"","Fournisseur inconnu"))</f>
        <v/>
      </c>
      <c r="E227" s="63" t="n"/>
      <c r="F227" s="66" t="str">
        <f>IF(E227="","",IFERROR(INDEX(art_des,MATCH($E227,art_ref,0))&amp;"","Article inconnu"))</f>
        <v/>
      </c>
      <c r="G227" s="67" t="str">
        <f>IF(E227="","",IFERROR(INDEX(art_unit,MATCH($E227,art_ref,0))&amp;"",""))</f>
        <v/>
      </c>
      <c r="H227" s="68" t="n"/>
      <c r="I227" s="69" t="n"/>
      <c r="J227" s="70" t="str">
        <f>IF(E227="","",IF(ISNUMBER(I227),I227,IFERROR(IF(ISNUMBER(INDEX(art_price,MATCH($E227,art_ref,0))),INDEX(art_price,MATCH($E227,art_ref,0)),""),"")))</f>
        <v/>
      </c>
      <c r="K227" s="71" t="n"/>
      <c r="L227" s="72" t="n"/>
      <c r="M227" s="72" t="str">
        <f>IF(E227="","",IF(L227&lt;&gt;"",L227,IFERROR(IF(ISNUMBER(INDEX(art_tva,MATCH($E227,art_ref,0))),INDEX(art_tva,MATCH($E227,art_ref,0)),""),"")))</f>
        <v/>
      </c>
      <c r="N227" s="70" t="str">
        <f>IF(OR(E227="",J227=""),"",ROUND(N(H227)*J227*(1-N(K227)),2))</f>
        <v/>
      </c>
      <c r="O227" s="70" t="str">
        <f>IF(OR(N227="",NOT(ISNUMBER(M227))),"",ROUND(N227*M227,2))</f>
        <v/>
      </c>
      <c r="P227" s="70" t="str">
        <f>IF(N227="","",N227+N(O227))</f>
        <v/>
      </c>
      <c r="Q227" s="64" t="n"/>
      <c r="R227" s="73" t="str">
        <f>IF(N(Q227)&gt;0,Q227,IF(OR(N(B227)=0,ISNA(MATCH($C227,sup_code,0))),"",IF(ISNUMBER(INDEX(sup_delay,MATCH($C227,sup_code,0))),B227+INDEX(sup_delay,MATCH($C227,sup_code,0)),"")))</f>
        <v/>
      </c>
      <c r="S227" s="64" t="n"/>
      <c r="T227" s="68" t="n"/>
      <c r="U227" s="64" t="n"/>
      <c r="V227" s="65" t="n"/>
      <c r="W227" s="74" t="str">
        <f>IF(AND(A227="",E227=""),"",IF(V227="Oui",0,MAX(0,ROUND(N(H227)-N(T227),6))))</f>
        <v/>
      </c>
      <c r="X227" s="67" t="str">
        <f>IF(AND(A227="",E227=""),"",IF(V227="Oui","Annulé",IF(AND(N(H227)&gt;0,N(T227)&gt;=N(H227)),"Reçu",IF(N(S227)=0,"Brouillon",IF(AND(ISNUMBER(R227),R227&lt;p_today),"En retard",IF(N(T227)&gt;0,"Partiel","Envoyé"))))))</f>
        <v/>
      </c>
      <c r="Y227" s="75" t="str">
        <f>IF(X227="En retard",p_today-R227,IF(AND(X227="Reçu",ISNUMBER(R227)),MAX(0,N(U227)-R227),""))</f>
        <v/>
      </c>
      <c r="Z227" s="67" t="str">
        <f>IF(AND(A227="",E227=""),"",IF(A227="","N° de bon manquant",IF(N(B227)=0,"Date de commande manquante",IF(C227="","Fournisseur manquant",IF(ISNA(MATCH($C227,sup_code,0)),"Fournisseur inconnu",IF(E227="","Article manquant",IF(ISNA(MATCH($E227,art_ref,0)),"Article inconnu",IF(N(H227)&lt;=0,"Quantité invalide",IF(J227="","Prix manquant",IF(OR(N(K227)&lt;0,N(K227)&gt;=1),"Remise invalide",IF(M227="","TVA manquante",IF(ISNA(MATCH(M227,p_tva,0)),"Taux de TVA inconnu",IF(COUNTIFS(po_num,A227,po_sup,"&lt;&gt;"&amp;C227)&gt;0,"Fournisseur différent sur ce bon",IF(COUNTIFS(po_num,A227,po_date,"&lt;&gt;"&amp;B227)&gt;0,"Date différente sur ce bon",IF(COUNTIF(po_num,A227)&gt;25,"Plus de 25 lignes sur ce bon",IF(R227="","Date de livraison manquante",IF(R227&lt;B227,"Livraison avant la commande",IF(AND(N(T227)&gt;0,N(S227)=0),"Date d'envoi manquante",IF(N(T227)&gt;N(H227),"Reçu plus que commandé",IF(AND(N(T227)&gt;0,N(U227)=0),"Date de réception manquante",IF(AND(N(U227)&gt;0,U227&lt;B227),"Réception avant la commande","OK")))))))))))))))))))))</f>
        <v/>
      </c>
      <c r="AA227" s="66" t="str">
        <f>IF(AND(X227="Reçu",ISNUMBER(R227)),IF(N(U227)&lt;=R227,1,0),"")</f>
        <v/>
      </c>
      <c r="AB227" s="76" t="str">
        <f>IF(OR(X227="Envoyé",X227="Partiel",X227="En retard"),IF(ISNUMBER(R227),R227,100000)+ROW()/100000,"")</f>
        <v/>
      </c>
      <c r="AC227" s="66" t="str">
        <f>IF(A227="","",IF(COUNTIF($A$6:A227,A227)=1,1,""))</f>
        <v/>
      </c>
      <c r="AD227" s="66" t="str">
        <f>IF(AC227=1,COUNT($AC$6:AC227),"")</f>
        <v/>
      </c>
      <c r="AE227" s="66" t="str">
        <f>IFERROR(INDEX(po_num,MATCH(222,po_seq,0))&amp;"","")</f>
        <v/>
      </c>
      <c r="AF227" s="66" t="str">
        <f>IF(OR(A227="",p_po=""),"",IF(A227&amp;""=p_po,COUNTIF($A$6:A227,A227),""))</f>
        <v/>
      </c>
      <c r="AG227" s="66" t="str">
        <f>IF(OR(AB227="",A227=""),"",IF(COUNTIFS($A$6:A227,A227,$AB$6:AB227,"&gt;0")=1,1,""))</f>
        <v/>
      </c>
      <c r="AH227" s="70" t="str">
        <f>IF(AB227="","",ROUND(N(W227)*N(J227)*(1-N(K227)),2))</f>
        <v/>
      </c>
      <c r="AI227" s="70" t="str">
        <f>IF(OR(J227="",N(T227)&lt;=0,V227="Oui"),"",ROUND(N(T227)*J227*(1-N(K227)),2))</f>
        <v/>
      </c>
    </row>
    <row r="228">
      <c r="A228" s="63" t="n"/>
      <c r="B228" s="64" t="n"/>
      <c r="C228" s="65" t="n"/>
      <c r="D228" s="66" t="str">
        <f>IF(C228="","",IFERROR(INDEX(sup_name,MATCH($C228,sup_code,0))&amp;"","Fournisseur inconnu"))</f>
        <v/>
      </c>
      <c r="E228" s="63" t="n"/>
      <c r="F228" s="66" t="str">
        <f>IF(E228="","",IFERROR(INDEX(art_des,MATCH($E228,art_ref,0))&amp;"","Article inconnu"))</f>
        <v/>
      </c>
      <c r="G228" s="67" t="str">
        <f>IF(E228="","",IFERROR(INDEX(art_unit,MATCH($E228,art_ref,0))&amp;"",""))</f>
        <v/>
      </c>
      <c r="H228" s="68" t="n"/>
      <c r="I228" s="69" t="n"/>
      <c r="J228" s="70" t="str">
        <f>IF(E228="","",IF(ISNUMBER(I228),I228,IFERROR(IF(ISNUMBER(INDEX(art_price,MATCH($E228,art_ref,0))),INDEX(art_price,MATCH($E228,art_ref,0)),""),"")))</f>
        <v/>
      </c>
      <c r="K228" s="71" t="n"/>
      <c r="L228" s="72" t="n"/>
      <c r="M228" s="72" t="str">
        <f>IF(E228="","",IF(L228&lt;&gt;"",L228,IFERROR(IF(ISNUMBER(INDEX(art_tva,MATCH($E228,art_ref,0))),INDEX(art_tva,MATCH($E228,art_ref,0)),""),"")))</f>
        <v/>
      </c>
      <c r="N228" s="70" t="str">
        <f>IF(OR(E228="",J228=""),"",ROUND(N(H228)*J228*(1-N(K228)),2))</f>
        <v/>
      </c>
      <c r="O228" s="70" t="str">
        <f>IF(OR(N228="",NOT(ISNUMBER(M228))),"",ROUND(N228*M228,2))</f>
        <v/>
      </c>
      <c r="P228" s="70" t="str">
        <f>IF(N228="","",N228+N(O228))</f>
        <v/>
      </c>
      <c r="Q228" s="64" t="n"/>
      <c r="R228" s="73" t="str">
        <f>IF(N(Q228)&gt;0,Q228,IF(OR(N(B228)=0,ISNA(MATCH($C228,sup_code,0))),"",IF(ISNUMBER(INDEX(sup_delay,MATCH($C228,sup_code,0))),B228+INDEX(sup_delay,MATCH($C228,sup_code,0)),"")))</f>
        <v/>
      </c>
      <c r="S228" s="64" t="n"/>
      <c r="T228" s="68" t="n"/>
      <c r="U228" s="64" t="n"/>
      <c r="V228" s="65" t="n"/>
      <c r="W228" s="74" t="str">
        <f>IF(AND(A228="",E228=""),"",IF(V228="Oui",0,MAX(0,ROUND(N(H228)-N(T228),6))))</f>
        <v/>
      </c>
      <c r="X228" s="67" t="str">
        <f>IF(AND(A228="",E228=""),"",IF(V228="Oui","Annulé",IF(AND(N(H228)&gt;0,N(T228)&gt;=N(H228)),"Reçu",IF(N(S228)=0,"Brouillon",IF(AND(ISNUMBER(R228),R228&lt;p_today),"En retard",IF(N(T228)&gt;0,"Partiel","Envoyé"))))))</f>
        <v/>
      </c>
      <c r="Y228" s="75" t="str">
        <f>IF(X228="En retard",p_today-R228,IF(AND(X228="Reçu",ISNUMBER(R228)),MAX(0,N(U228)-R228),""))</f>
        <v/>
      </c>
      <c r="Z228" s="67" t="str">
        <f>IF(AND(A228="",E228=""),"",IF(A228="","N° de bon manquant",IF(N(B228)=0,"Date de commande manquante",IF(C228="","Fournisseur manquant",IF(ISNA(MATCH($C228,sup_code,0)),"Fournisseur inconnu",IF(E228="","Article manquant",IF(ISNA(MATCH($E228,art_ref,0)),"Article inconnu",IF(N(H228)&lt;=0,"Quantité invalide",IF(J228="","Prix manquant",IF(OR(N(K228)&lt;0,N(K228)&gt;=1),"Remise invalide",IF(M228="","TVA manquante",IF(ISNA(MATCH(M228,p_tva,0)),"Taux de TVA inconnu",IF(COUNTIFS(po_num,A228,po_sup,"&lt;&gt;"&amp;C228)&gt;0,"Fournisseur différent sur ce bon",IF(COUNTIFS(po_num,A228,po_date,"&lt;&gt;"&amp;B228)&gt;0,"Date différente sur ce bon",IF(COUNTIF(po_num,A228)&gt;25,"Plus de 25 lignes sur ce bon",IF(R228="","Date de livraison manquante",IF(R228&lt;B228,"Livraison avant la commande",IF(AND(N(T228)&gt;0,N(S228)=0),"Date d'envoi manquante",IF(N(T228)&gt;N(H228),"Reçu plus que commandé",IF(AND(N(T228)&gt;0,N(U228)=0),"Date de réception manquante",IF(AND(N(U228)&gt;0,U228&lt;B228),"Réception avant la commande","OK")))))))))))))))))))))</f>
        <v/>
      </c>
      <c r="AA228" s="66" t="str">
        <f>IF(AND(X228="Reçu",ISNUMBER(R228)),IF(N(U228)&lt;=R228,1,0),"")</f>
        <v/>
      </c>
      <c r="AB228" s="76" t="str">
        <f>IF(OR(X228="Envoyé",X228="Partiel",X228="En retard"),IF(ISNUMBER(R228),R228,100000)+ROW()/100000,"")</f>
        <v/>
      </c>
      <c r="AC228" s="66" t="str">
        <f>IF(A228="","",IF(COUNTIF($A$6:A228,A228)=1,1,""))</f>
        <v/>
      </c>
      <c r="AD228" s="66" t="str">
        <f>IF(AC228=1,COUNT($AC$6:AC228),"")</f>
        <v/>
      </c>
      <c r="AE228" s="66" t="str">
        <f>IFERROR(INDEX(po_num,MATCH(223,po_seq,0))&amp;"","")</f>
        <v/>
      </c>
      <c r="AF228" s="66" t="str">
        <f>IF(OR(A228="",p_po=""),"",IF(A228&amp;""=p_po,COUNTIF($A$6:A228,A228),""))</f>
        <v/>
      </c>
      <c r="AG228" s="66" t="str">
        <f>IF(OR(AB228="",A228=""),"",IF(COUNTIFS($A$6:A228,A228,$AB$6:AB228,"&gt;0")=1,1,""))</f>
        <v/>
      </c>
      <c r="AH228" s="70" t="str">
        <f>IF(AB228="","",ROUND(N(W228)*N(J228)*(1-N(K228)),2))</f>
        <v/>
      </c>
      <c r="AI228" s="70" t="str">
        <f>IF(OR(J228="",N(T228)&lt;=0,V228="Oui"),"",ROUND(N(T228)*J228*(1-N(K228)),2))</f>
        <v/>
      </c>
    </row>
    <row r="229">
      <c r="A229" s="63" t="n"/>
      <c r="B229" s="64" t="n"/>
      <c r="C229" s="65" t="n"/>
      <c r="D229" s="66" t="str">
        <f>IF(C229="","",IFERROR(INDEX(sup_name,MATCH($C229,sup_code,0))&amp;"","Fournisseur inconnu"))</f>
        <v/>
      </c>
      <c r="E229" s="63" t="n"/>
      <c r="F229" s="66" t="str">
        <f>IF(E229="","",IFERROR(INDEX(art_des,MATCH($E229,art_ref,0))&amp;"","Article inconnu"))</f>
        <v/>
      </c>
      <c r="G229" s="67" t="str">
        <f>IF(E229="","",IFERROR(INDEX(art_unit,MATCH($E229,art_ref,0))&amp;"",""))</f>
        <v/>
      </c>
      <c r="H229" s="68" t="n"/>
      <c r="I229" s="69" t="n"/>
      <c r="J229" s="70" t="str">
        <f>IF(E229="","",IF(ISNUMBER(I229),I229,IFERROR(IF(ISNUMBER(INDEX(art_price,MATCH($E229,art_ref,0))),INDEX(art_price,MATCH($E229,art_ref,0)),""),"")))</f>
        <v/>
      </c>
      <c r="K229" s="71" t="n"/>
      <c r="L229" s="72" t="n"/>
      <c r="M229" s="72" t="str">
        <f>IF(E229="","",IF(L229&lt;&gt;"",L229,IFERROR(IF(ISNUMBER(INDEX(art_tva,MATCH($E229,art_ref,0))),INDEX(art_tva,MATCH($E229,art_ref,0)),""),"")))</f>
        <v/>
      </c>
      <c r="N229" s="70" t="str">
        <f>IF(OR(E229="",J229=""),"",ROUND(N(H229)*J229*(1-N(K229)),2))</f>
        <v/>
      </c>
      <c r="O229" s="70" t="str">
        <f>IF(OR(N229="",NOT(ISNUMBER(M229))),"",ROUND(N229*M229,2))</f>
        <v/>
      </c>
      <c r="P229" s="70" t="str">
        <f>IF(N229="","",N229+N(O229))</f>
        <v/>
      </c>
      <c r="Q229" s="64" t="n"/>
      <c r="R229" s="73" t="str">
        <f>IF(N(Q229)&gt;0,Q229,IF(OR(N(B229)=0,ISNA(MATCH($C229,sup_code,0))),"",IF(ISNUMBER(INDEX(sup_delay,MATCH($C229,sup_code,0))),B229+INDEX(sup_delay,MATCH($C229,sup_code,0)),"")))</f>
        <v/>
      </c>
      <c r="S229" s="64" t="n"/>
      <c r="T229" s="68" t="n"/>
      <c r="U229" s="64" t="n"/>
      <c r="V229" s="65" t="n"/>
      <c r="W229" s="74" t="str">
        <f>IF(AND(A229="",E229=""),"",IF(V229="Oui",0,MAX(0,ROUND(N(H229)-N(T229),6))))</f>
        <v/>
      </c>
      <c r="X229" s="67" t="str">
        <f>IF(AND(A229="",E229=""),"",IF(V229="Oui","Annulé",IF(AND(N(H229)&gt;0,N(T229)&gt;=N(H229)),"Reçu",IF(N(S229)=0,"Brouillon",IF(AND(ISNUMBER(R229),R229&lt;p_today),"En retard",IF(N(T229)&gt;0,"Partiel","Envoyé"))))))</f>
        <v/>
      </c>
      <c r="Y229" s="75" t="str">
        <f>IF(X229="En retard",p_today-R229,IF(AND(X229="Reçu",ISNUMBER(R229)),MAX(0,N(U229)-R229),""))</f>
        <v/>
      </c>
      <c r="Z229" s="67" t="str">
        <f>IF(AND(A229="",E229=""),"",IF(A229="","N° de bon manquant",IF(N(B229)=0,"Date de commande manquante",IF(C229="","Fournisseur manquant",IF(ISNA(MATCH($C229,sup_code,0)),"Fournisseur inconnu",IF(E229="","Article manquant",IF(ISNA(MATCH($E229,art_ref,0)),"Article inconnu",IF(N(H229)&lt;=0,"Quantité invalide",IF(J229="","Prix manquant",IF(OR(N(K229)&lt;0,N(K229)&gt;=1),"Remise invalide",IF(M229="","TVA manquante",IF(ISNA(MATCH(M229,p_tva,0)),"Taux de TVA inconnu",IF(COUNTIFS(po_num,A229,po_sup,"&lt;&gt;"&amp;C229)&gt;0,"Fournisseur différent sur ce bon",IF(COUNTIFS(po_num,A229,po_date,"&lt;&gt;"&amp;B229)&gt;0,"Date différente sur ce bon",IF(COUNTIF(po_num,A229)&gt;25,"Plus de 25 lignes sur ce bon",IF(R229="","Date de livraison manquante",IF(R229&lt;B229,"Livraison avant la commande",IF(AND(N(T229)&gt;0,N(S229)=0),"Date d'envoi manquante",IF(N(T229)&gt;N(H229),"Reçu plus que commandé",IF(AND(N(T229)&gt;0,N(U229)=0),"Date de réception manquante",IF(AND(N(U229)&gt;0,U229&lt;B229),"Réception avant la commande","OK")))))))))))))))))))))</f>
        <v/>
      </c>
      <c r="AA229" s="66" t="str">
        <f>IF(AND(X229="Reçu",ISNUMBER(R229)),IF(N(U229)&lt;=R229,1,0),"")</f>
        <v/>
      </c>
      <c r="AB229" s="76" t="str">
        <f>IF(OR(X229="Envoyé",X229="Partiel",X229="En retard"),IF(ISNUMBER(R229),R229,100000)+ROW()/100000,"")</f>
        <v/>
      </c>
      <c r="AC229" s="66" t="str">
        <f>IF(A229="","",IF(COUNTIF($A$6:A229,A229)=1,1,""))</f>
        <v/>
      </c>
      <c r="AD229" s="66" t="str">
        <f>IF(AC229=1,COUNT($AC$6:AC229),"")</f>
        <v/>
      </c>
      <c r="AE229" s="66" t="str">
        <f>IFERROR(INDEX(po_num,MATCH(224,po_seq,0))&amp;"","")</f>
        <v/>
      </c>
      <c r="AF229" s="66" t="str">
        <f>IF(OR(A229="",p_po=""),"",IF(A229&amp;""=p_po,COUNTIF($A$6:A229,A229),""))</f>
        <v/>
      </c>
      <c r="AG229" s="66" t="str">
        <f>IF(OR(AB229="",A229=""),"",IF(COUNTIFS($A$6:A229,A229,$AB$6:AB229,"&gt;0")=1,1,""))</f>
        <v/>
      </c>
      <c r="AH229" s="70" t="str">
        <f>IF(AB229="","",ROUND(N(W229)*N(J229)*(1-N(K229)),2))</f>
        <v/>
      </c>
      <c r="AI229" s="70" t="str">
        <f>IF(OR(J229="",N(T229)&lt;=0,V229="Oui"),"",ROUND(N(T229)*J229*(1-N(K229)),2))</f>
        <v/>
      </c>
    </row>
    <row r="230">
      <c r="A230" s="63" t="n"/>
      <c r="B230" s="64" t="n"/>
      <c r="C230" s="65" t="n"/>
      <c r="D230" s="66" t="str">
        <f>IF(C230="","",IFERROR(INDEX(sup_name,MATCH($C230,sup_code,0))&amp;"","Fournisseur inconnu"))</f>
        <v/>
      </c>
      <c r="E230" s="63" t="n"/>
      <c r="F230" s="66" t="str">
        <f>IF(E230="","",IFERROR(INDEX(art_des,MATCH($E230,art_ref,0))&amp;"","Article inconnu"))</f>
        <v/>
      </c>
      <c r="G230" s="67" t="str">
        <f>IF(E230="","",IFERROR(INDEX(art_unit,MATCH($E230,art_ref,0))&amp;"",""))</f>
        <v/>
      </c>
      <c r="H230" s="68" t="n"/>
      <c r="I230" s="69" t="n"/>
      <c r="J230" s="70" t="str">
        <f>IF(E230="","",IF(ISNUMBER(I230),I230,IFERROR(IF(ISNUMBER(INDEX(art_price,MATCH($E230,art_ref,0))),INDEX(art_price,MATCH($E230,art_ref,0)),""),"")))</f>
        <v/>
      </c>
      <c r="K230" s="71" t="n"/>
      <c r="L230" s="72" t="n"/>
      <c r="M230" s="72" t="str">
        <f>IF(E230="","",IF(L230&lt;&gt;"",L230,IFERROR(IF(ISNUMBER(INDEX(art_tva,MATCH($E230,art_ref,0))),INDEX(art_tva,MATCH($E230,art_ref,0)),""),"")))</f>
        <v/>
      </c>
      <c r="N230" s="70" t="str">
        <f>IF(OR(E230="",J230=""),"",ROUND(N(H230)*J230*(1-N(K230)),2))</f>
        <v/>
      </c>
      <c r="O230" s="70" t="str">
        <f>IF(OR(N230="",NOT(ISNUMBER(M230))),"",ROUND(N230*M230,2))</f>
        <v/>
      </c>
      <c r="P230" s="70" t="str">
        <f>IF(N230="","",N230+N(O230))</f>
        <v/>
      </c>
      <c r="Q230" s="64" t="n"/>
      <c r="R230" s="73" t="str">
        <f>IF(N(Q230)&gt;0,Q230,IF(OR(N(B230)=0,ISNA(MATCH($C230,sup_code,0))),"",IF(ISNUMBER(INDEX(sup_delay,MATCH($C230,sup_code,0))),B230+INDEX(sup_delay,MATCH($C230,sup_code,0)),"")))</f>
        <v/>
      </c>
      <c r="S230" s="64" t="n"/>
      <c r="T230" s="68" t="n"/>
      <c r="U230" s="64" t="n"/>
      <c r="V230" s="65" t="n"/>
      <c r="W230" s="74" t="str">
        <f>IF(AND(A230="",E230=""),"",IF(V230="Oui",0,MAX(0,ROUND(N(H230)-N(T230),6))))</f>
        <v/>
      </c>
      <c r="X230" s="67" t="str">
        <f>IF(AND(A230="",E230=""),"",IF(V230="Oui","Annulé",IF(AND(N(H230)&gt;0,N(T230)&gt;=N(H230)),"Reçu",IF(N(S230)=0,"Brouillon",IF(AND(ISNUMBER(R230),R230&lt;p_today),"En retard",IF(N(T230)&gt;0,"Partiel","Envoyé"))))))</f>
        <v/>
      </c>
      <c r="Y230" s="75" t="str">
        <f>IF(X230="En retard",p_today-R230,IF(AND(X230="Reçu",ISNUMBER(R230)),MAX(0,N(U230)-R230),""))</f>
        <v/>
      </c>
      <c r="Z230" s="67" t="str">
        <f>IF(AND(A230="",E230=""),"",IF(A230="","N° de bon manquant",IF(N(B230)=0,"Date de commande manquante",IF(C230="","Fournisseur manquant",IF(ISNA(MATCH($C230,sup_code,0)),"Fournisseur inconnu",IF(E230="","Article manquant",IF(ISNA(MATCH($E230,art_ref,0)),"Article inconnu",IF(N(H230)&lt;=0,"Quantité invalide",IF(J230="","Prix manquant",IF(OR(N(K230)&lt;0,N(K230)&gt;=1),"Remise invalide",IF(M230="","TVA manquante",IF(ISNA(MATCH(M230,p_tva,0)),"Taux de TVA inconnu",IF(COUNTIFS(po_num,A230,po_sup,"&lt;&gt;"&amp;C230)&gt;0,"Fournisseur différent sur ce bon",IF(COUNTIFS(po_num,A230,po_date,"&lt;&gt;"&amp;B230)&gt;0,"Date différente sur ce bon",IF(COUNTIF(po_num,A230)&gt;25,"Plus de 25 lignes sur ce bon",IF(R230="","Date de livraison manquante",IF(R230&lt;B230,"Livraison avant la commande",IF(AND(N(T230)&gt;0,N(S230)=0),"Date d'envoi manquante",IF(N(T230)&gt;N(H230),"Reçu plus que commandé",IF(AND(N(T230)&gt;0,N(U230)=0),"Date de réception manquante",IF(AND(N(U230)&gt;0,U230&lt;B230),"Réception avant la commande","OK")))))))))))))))))))))</f>
        <v/>
      </c>
      <c r="AA230" s="66" t="str">
        <f>IF(AND(X230="Reçu",ISNUMBER(R230)),IF(N(U230)&lt;=R230,1,0),"")</f>
        <v/>
      </c>
      <c r="AB230" s="76" t="str">
        <f>IF(OR(X230="Envoyé",X230="Partiel",X230="En retard"),IF(ISNUMBER(R230),R230,100000)+ROW()/100000,"")</f>
        <v/>
      </c>
      <c r="AC230" s="66" t="str">
        <f>IF(A230="","",IF(COUNTIF($A$6:A230,A230)=1,1,""))</f>
        <v/>
      </c>
      <c r="AD230" s="66" t="str">
        <f>IF(AC230=1,COUNT($AC$6:AC230),"")</f>
        <v/>
      </c>
      <c r="AE230" s="66" t="str">
        <f>IFERROR(INDEX(po_num,MATCH(225,po_seq,0))&amp;"","")</f>
        <v/>
      </c>
      <c r="AF230" s="66" t="str">
        <f>IF(OR(A230="",p_po=""),"",IF(A230&amp;""=p_po,COUNTIF($A$6:A230,A230),""))</f>
        <v/>
      </c>
      <c r="AG230" s="66" t="str">
        <f>IF(OR(AB230="",A230=""),"",IF(COUNTIFS($A$6:A230,A230,$AB$6:AB230,"&gt;0")=1,1,""))</f>
        <v/>
      </c>
      <c r="AH230" s="70" t="str">
        <f>IF(AB230="","",ROUND(N(W230)*N(J230)*(1-N(K230)),2))</f>
        <v/>
      </c>
      <c r="AI230" s="70" t="str">
        <f>IF(OR(J230="",N(T230)&lt;=0,V230="Oui"),"",ROUND(N(T230)*J230*(1-N(K230)),2))</f>
        <v/>
      </c>
    </row>
    <row r="231">
      <c r="A231" s="63" t="n"/>
      <c r="B231" s="64" t="n"/>
      <c r="C231" s="65" t="n"/>
      <c r="D231" s="66" t="str">
        <f>IF(C231="","",IFERROR(INDEX(sup_name,MATCH($C231,sup_code,0))&amp;"","Fournisseur inconnu"))</f>
        <v/>
      </c>
      <c r="E231" s="63" t="n"/>
      <c r="F231" s="66" t="str">
        <f>IF(E231="","",IFERROR(INDEX(art_des,MATCH($E231,art_ref,0))&amp;"","Article inconnu"))</f>
        <v/>
      </c>
      <c r="G231" s="67" t="str">
        <f>IF(E231="","",IFERROR(INDEX(art_unit,MATCH($E231,art_ref,0))&amp;"",""))</f>
        <v/>
      </c>
      <c r="H231" s="68" t="n"/>
      <c r="I231" s="69" t="n"/>
      <c r="J231" s="70" t="str">
        <f>IF(E231="","",IF(ISNUMBER(I231),I231,IFERROR(IF(ISNUMBER(INDEX(art_price,MATCH($E231,art_ref,0))),INDEX(art_price,MATCH($E231,art_ref,0)),""),"")))</f>
        <v/>
      </c>
      <c r="K231" s="71" t="n"/>
      <c r="L231" s="72" t="n"/>
      <c r="M231" s="72" t="str">
        <f>IF(E231="","",IF(L231&lt;&gt;"",L231,IFERROR(IF(ISNUMBER(INDEX(art_tva,MATCH($E231,art_ref,0))),INDEX(art_tva,MATCH($E231,art_ref,0)),""),"")))</f>
        <v/>
      </c>
      <c r="N231" s="70" t="str">
        <f>IF(OR(E231="",J231=""),"",ROUND(N(H231)*J231*(1-N(K231)),2))</f>
        <v/>
      </c>
      <c r="O231" s="70" t="str">
        <f>IF(OR(N231="",NOT(ISNUMBER(M231))),"",ROUND(N231*M231,2))</f>
        <v/>
      </c>
      <c r="P231" s="70" t="str">
        <f>IF(N231="","",N231+N(O231))</f>
        <v/>
      </c>
      <c r="Q231" s="64" t="n"/>
      <c r="R231" s="73" t="str">
        <f>IF(N(Q231)&gt;0,Q231,IF(OR(N(B231)=0,ISNA(MATCH($C231,sup_code,0))),"",IF(ISNUMBER(INDEX(sup_delay,MATCH($C231,sup_code,0))),B231+INDEX(sup_delay,MATCH($C231,sup_code,0)),"")))</f>
        <v/>
      </c>
      <c r="S231" s="64" t="n"/>
      <c r="T231" s="68" t="n"/>
      <c r="U231" s="64" t="n"/>
      <c r="V231" s="65" t="n"/>
      <c r="W231" s="74" t="str">
        <f>IF(AND(A231="",E231=""),"",IF(V231="Oui",0,MAX(0,ROUND(N(H231)-N(T231),6))))</f>
        <v/>
      </c>
      <c r="X231" s="67" t="str">
        <f>IF(AND(A231="",E231=""),"",IF(V231="Oui","Annulé",IF(AND(N(H231)&gt;0,N(T231)&gt;=N(H231)),"Reçu",IF(N(S231)=0,"Brouillon",IF(AND(ISNUMBER(R231),R231&lt;p_today),"En retard",IF(N(T231)&gt;0,"Partiel","Envoyé"))))))</f>
        <v/>
      </c>
      <c r="Y231" s="75" t="str">
        <f>IF(X231="En retard",p_today-R231,IF(AND(X231="Reçu",ISNUMBER(R231)),MAX(0,N(U231)-R231),""))</f>
        <v/>
      </c>
      <c r="Z231" s="67" t="str">
        <f>IF(AND(A231="",E231=""),"",IF(A231="","N° de bon manquant",IF(N(B231)=0,"Date de commande manquante",IF(C231="","Fournisseur manquant",IF(ISNA(MATCH($C231,sup_code,0)),"Fournisseur inconnu",IF(E231="","Article manquant",IF(ISNA(MATCH($E231,art_ref,0)),"Article inconnu",IF(N(H231)&lt;=0,"Quantité invalide",IF(J231="","Prix manquant",IF(OR(N(K231)&lt;0,N(K231)&gt;=1),"Remise invalide",IF(M231="","TVA manquante",IF(ISNA(MATCH(M231,p_tva,0)),"Taux de TVA inconnu",IF(COUNTIFS(po_num,A231,po_sup,"&lt;&gt;"&amp;C231)&gt;0,"Fournisseur différent sur ce bon",IF(COUNTIFS(po_num,A231,po_date,"&lt;&gt;"&amp;B231)&gt;0,"Date différente sur ce bon",IF(COUNTIF(po_num,A231)&gt;25,"Plus de 25 lignes sur ce bon",IF(R231="","Date de livraison manquante",IF(R231&lt;B231,"Livraison avant la commande",IF(AND(N(T231)&gt;0,N(S231)=0),"Date d'envoi manquante",IF(N(T231)&gt;N(H231),"Reçu plus que commandé",IF(AND(N(T231)&gt;0,N(U231)=0),"Date de réception manquante",IF(AND(N(U231)&gt;0,U231&lt;B231),"Réception avant la commande","OK")))))))))))))))))))))</f>
        <v/>
      </c>
      <c r="AA231" s="66" t="str">
        <f>IF(AND(X231="Reçu",ISNUMBER(R231)),IF(N(U231)&lt;=R231,1,0),"")</f>
        <v/>
      </c>
      <c r="AB231" s="76" t="str">
        <f>IF(OR(X231="Envoyé",X231="Partiel",X231="En retard"),IF(ISNUMBER(R231),R231,100000)+ROW()/100000,"")</f>
        <v/>
      </c>
      <c r="AC231" s="66" t="str">
        <f>IF(A231="","",IF(COUNTIF($A$6:A231,A231)=1,1,""))</f>
        <v/>
      </c>
      <c r="AD231" s="66" t="str">
        <f>IF(AC231=1,COUNT($AC$6:AC231),"")</f>
        <v/>
      </c>
      <c r="AE231" s="66" t="str">
        <f>IFERROR(INDEX(po_num,MATCH(226,po_seq,0))&amp;"","")</f>
        <v/>
      </c>
      <c r="AF231" s="66" t="str">
        <f>IF(OR(A231="",p_po=""),"",IF(A231&amp;""=p_po,COUNTIF($A$6:A231,A231),""))</f>
        <v/>
      </c>
      <c r="AG231" s="66" t="str">
        <f>IF(OR(AB231="",A231=""),"",IF(COUNTIFS($A$6:A231,A231,$AB$6:AB231,"&gt;0")=1,1,""))</f>
        <v/>
      </c>
      <c r="AH231" s="70" t="str">
        <f>IF(AB231="","",ROUND(N(W231)*N(J231)*(1-N(K231)),2))</f>
        <v/>
      </c>
      <c r="AI231" s="70" t="str">
        <f>IF(OR(J231="",N(T231)&lt;=0,V231="Oui"),"",ROUND(N(T231)*J231*(1-N(K231)),2))</f>
        <v/>
      </c>
    </row>
    <row r="232">
      <c r="A232" s="63" t="n"/>
      <c r="B232" s="64" t="n"/>
      <c r="C232" s="65" t="n"/>
      <c r="D232" s="66" t="str">
        <f>IF(C232="","",IFERROR(INDEX(sup_name,MATCH($C232,sup_code,0))&amp;"","Fournisseur inconnu"))</f>
        <v/>
      </c>
      <c r="E232" s="63" t="n"/>
      <c r="F232" s="66" t="str">
        <f>IF(E232="","",IFERROR(INDEX(art_des,MATCH($E232,art_ref,0))&amp;"","Article inconnu"))</f>
        <v/>
      </c>
      <c r="G232" s="67" t="str">
        <f>IF(E232="","",IFERROR(INDEX(art_unit,MATCH($E232,art_ref,0))&amp;"",""))</f>
        <v/>
      </c>
      <c r="H232" s="68" t="n"/>
      <c r="I232" s="69" t="n"/>
      <c r="J232" s="70" t="str">
        <f>IF(E232="","",IF(ISNUMBER(I232),I232,IFERROR(IF(ISNUMBER(INDEX(art_price,MATCH($E232,art_ref,0))),INDEX(art_price,MATCH($E232,art_ref,0)),""),"")))</f>
        <v/>
      </c>
      <c r="K232" s="71" t="n"/>
      <c r="L232" s="72" t="n"/>
      <c r="M232" s="72" t="str">
        <f>IF(E232="","",IF(L232&lt;&gt;"",L232,IFERROR(IF(ISNUMBER(INDEX(art_tva,MATCH($E232,art_ref,0))),INDEX(art_tva,MATCH($E232,art_ref,0)),""),"")))</f>
        <v/>
      </c>
      <c r="N232" s="70" t="str">
        <f>IF(OR(E232="",J232=""),"",ROUND(N(H232)*J232*(1-N(K232)),2))</f>
        <v/>
      </c>
      <c r="O232" s="70" t="str">
        <f>IF(OR(N232="",NOT(ISNUMBER(M232))),"",ROUND(N232*M232,2))</f>
        <v/>
      </c>
      <c r="P232" s="70" t="str">
        <f>IF(N232="","",N232+N(O232))</f>
        <v/>
      </c>
      <c r="Q232" s="64" t="n"/>
      <c r="R232" s="73" t="str">
        <f>IF(N(Q232)&gt;0,Q232,IF(OR(N(B232)=0,ISNA(MATCH($C232,sup_code,0))),"",IF(ISNUMBER(INDEX(sup_delay,MATCH($C232,sup_code,0))),B232+INDEX(sup_delay,MATCH($C232,sup_code,0)),"")))</f>
        <v/>
      </c>
      <c r="S232" s="64" t="n"/>
      <c r="T232" s="68" t="n"/>
      <c r="U232" s="64" t="n"/>
      <c r="V232" s="65" t="n"/>
      <c r="W232" s="74" t="str">
        <f>IF(AND(A232="",E232=""),"",IF(V232="Oui",0,MAX(0,ROUND(N(H232)-N(T232),6))))</f>
        <v/>
      </c>
      <c r="X232" s="67" t="str">
        <f>IF(AND(A232="",E232=""),"",IF(V232="Oui","Annulé",IF(AND(N(H232)&gt;0,N(T232)&gt;=N(H232)),"Reçu",IF(N(S232)=0,"Brouillon",IF(AND(ISNUMBER(R232),R232&lt;p_today),"En retard",IF(N(T232)&gt;0,"Partiel","Envoyé"))))))</f>
        <v/>
      </c>
      <c r="Y232" s="75" t="str">
        <f>IF(X232="En retard",p_today-R232,IF(AND(X232="Reçu",ISNUMBER(R232)),MAX(0,N(U232)-R232),""))</f>
        <v/>
      </c>
      <c r="Z232" s="67" t="str">
        <f>IF(AND(A232="",E232=""),"",IF(A232="","N° de bon manquant",IF(N(B232)=0,"Date de commande manquante",IF(C232="","Fournisseur manquant",IF(ISNA(MATCH($C232,sup_code,0)),"Fournisseur inconnu",IF(E232="","Article manquant",IF(ISNA(MATCH($E232,art_ref,0)),"Article inconnu",IF(N(H232)&lt;=0,"Quantité invalide",IF(J232="","Prix manquant",IF(OR(N(K232)&lt;0,N(K232)&gt;=1),"Remise invalide",IF(M232="","TVA manquante",IF(ISNA(MATCH(M232,p_tva,0)),"Taux de TVA inconnu",IF(COUNTIFS(po_num,A232,po_sup,"&lt;&gt;"&amp;C232)&gt;0,"Fournisseur différent sur ce bon",IF(COUNTIFS(po_num,A232,po_date,"&lt;&gt;"&amp;B232)&gt;0,"Date différente sur ce bon",IF(COUNTIF(po_num,A232)&gt;25,"Plus de 25 lignes sur ce bon",IF(R232="","Date de livraison manquante",IF(R232&lt;B232,"Livraison avant la commande",IF(AND(N(T232)&gt;0,N(S232)=0),"Date d'envoi manquante",IF(N(T232)&gt;N(H232),"Reçu plus que commandé",IF(AND(N(T232)&gt;0,N(U232)=0),"Date de réception manquante",IF(AND(N(U232)&gt;0,U232&lt;B232),"Réception avant la commande","OK")))))))))))))))))))))</f>
        <v/>
      </c>
      <c r="AA232" s="66" t="str">
        <f>IF(AND(X232="Reçu",ISNUMBER(R232)),IF(N(U232)&lt;=R232,1,0),"")</f>
        <v/>
      </c>
      <c r="AB232" s="76" t="str">
        <f>IF(OR(X232="Envoyé",X232="Partiel",X232="En retard"),IF(ISNUMBER(R232),R232,100000)+ROW()/100000,"")</f>
        <v/>
      </c>
      <c r="AC232" s="66" t="str">
        <f>IF(A232="","",IF(COUNTIF($A$6:A232,A232)=1,1,""))</f>
        <v/>
      </c>
      <c r="AD232" s="66" t="str">
        <f>IF(AC232=1,COUNT($AC$6:AC232),"")</f>
        <v/>
      </c>
      <c r="AE232" s="66" t="str">
        <f>IFERROR(INDEX(po_num,MATCH(227,po_seq,0))&amp;"","")</f>
        <v/>
      </c>
      <c r="AF232" s="66" t="str">
        <f>IF(OR(A232="",p_po=""),"",IF(A232&amp;""=p_po,COUNTIF($A$6:A232,A232),""))</f>
        <v/>
      </c>
      <c r="AG232" s="66" t="str">
        <f>IF(OR(AB232="",A232=""),"",IF(COUNTIFS($A$6:A232,A232,$AB$6:AB232,"&gt;0")=1,1,""))</f>
        <v/>
      </c>
      <c r="AH232" s="70" t="str">
        <f>IF(AB232="","",ROUND(N(W232)*N(J232)*(1-N(K232)),2))</f>
        <v/>
      </c>
      <c r="AI232" s="70" t="str">
        <f>IF(OR(J232="",N(T232)&lt;=0,V232="Oui"),"",ROUND(N(T232)*J232*(1-N(K232)),2))</f>
        <v/>
      </c>
    </row>
    <row r="233">
      <c r="A233" s="63" t="n"/>
      <c r="B233" s="64" t="n"/>
      <c r="C233" s="65" t="n"/>
      <c r="D233" s="66" t="str">
        <f>IF(C233="","",IFERROR(INDEX(sup_name,MATCH($C233,sup_code,0))&amp;"","Fournisseur inconnu"))</f>
        <v/>
      </c>
      <c r="E233" s="63" t="n"/>
      <c r="F233" s="66" t="str">
        <f>IF(E233="","",IFERROR(INDEX(art_des,MATCH($E233,art_ref,0))&amp;"","Article inconnu"))</f>
        <v/>
      </c>
      <c r="G233" s="67" t="str">
        <f>IF(E233="","",IFERROR(INDEX(art_unit,MATCH($E233,art_ref,0))&amp;"",""))</f>
        <v/>
      </c>
      <c r="H233" s="68" t="n"/>
      <c r="I233" s="69" t="n"/>
      <c r="J233" s="70" t="str">
        <f>IF(E233="","",IF(ISNUMBER(I233),I233,IFERROR(IF(ISNUMBER(INDEX(art_price,MATCH($E233,art_ref,0))),INDEX(art_price,MATCH($E233,art_ref,0)),""),"")))</f>
        <v/>
      </c>
      <c r="K233" s="71" t="n"/>
      <c r="L233" s="72" t="n"/>
      <c r="M233" s="72" t="str">
        <f>IF(E233="","",IF(L233&lt;&gt;"",L233,IFERROR(IF(ISNUMBER(INDEX(art_tva,MATCH($E233,art_ref,0))),INDEX(art_tva,MATCH($E233,art_ref,0)),""),"")))</f>
        <v/>
      </c>
      <c r="N233" s="70" t="str">
        <f>IF(OR(E233="",J233=""),"",ROUND(N(H233)*J233*(1-N(K233)),2))</f>
        <v/>
      </c>
      <c r="O233" s="70" t="str">
        <f>IF(OR(N233="",NOT(ISNUMBER(M233))),"",ROUND(N233*M233,2))</f>
        <v/>
      </c>
      <c r="P233" s="70" t="str">
        <f>IF(N233="","",N233+N(O233))</f>
        <v/>
      </c>
      <c r="Q233" s="64" t="n"/>
      <c r="R233" s="73" t="str">
        <f>IF(N(Q233)&gt;0,Q233,IF(OR(N(B233)=0,ISNA(MATCH($C233,sup_code,0))),"",IF(ISNUMBER(INDEX(sup_delay,MATCH($C233,sup_code,0))),B233+INDEX(sup_delay,MATCH($C233,sup_code,0)),"")))</f>
        <v/>
      </c>
      <c r="S233" s="64" t="n"/>
      <c r="T233" s="68" t="n"/>
      <c r="U233" s="64" t="n"/>
      <c r="V233" s="65" t="n"/>
      <c r="W233" s="74" t="str">
        <f>IF(AND(A233="",E233=""),"",IF(V233="Oui",0,MAX(0,ROUND(N(H233)-N(T233),6))))</f>
        <v/>
      </c>
      <c r="X233" s="67" t="str">
        <f>IF(AND(A233="",E233=""),"",IF(V233="Oui","Annulé",IF(AND(N(H233)&gt;0,N(T233)&gt;=N(H233)),"Reçu",IF(N(S233)=0,"Brouillon",IF(AND(ISNUMBER(R233),R233&lt;p_today),"En retard",IF(N(T233)&gt;0,"Partiel","Envoyé"))))))</f>
        <v/>
      </c>
      <c r="Y233" s="75" t="str">
        <f>IF(X233="En retard",p_today-R233,IF(AND(X233="Reçu",ISNUMBER(R233)),MAX(0,N(U233)-R233),""))</f>
        <v/>
      </c>
      <c r="Z233" s="67" t="str">
        <f>IF(AND(A233="",E233=""),"",IF(A233="","N° de bon manquant",IF(N(B233)=0,"Date de commande manquante",IF(C233="","Fournisseur manquant",IF(ISNA(MATCH($C233,sup_code,0)),"Fournisseur inconnu",IF(E233="","Article manquant",IF(ISNA(MATCH($E233,art_ref,0)),"Article inconnu",IF(N(H233)&lt;=0,"Quantité invalide",IF(J233="","Prix manquant",IF(OR(N(K233)&lt;0,N(K233)&gt;=1),"Remise invalide",IF(M233="","TVA manquante",IF(ISNA(MATCH(M233,p_tva,0)),"Taux de TVA inconnu",IF(COUNTIFS(po_num,A233,po_sup,"&lt;&gt;"&amp;C233)&gt;0,"Fournisseur différent sur ce bon",IF(COUNTIFS(po_num,A233,po_date,"&lt;&gt;"&amp;B233)&gt;0,"Date différente sur ce bon",IF(COUNTIF(po_num,A233)&gt;25,"Plus de 25 lignes sur ce bon",IF(R233="","Date de livraison manquante",IF(R233&lt;B233,"Livraison avant la commande",IF(AND(N(T233)&gt;0,N(S233)=0),"Date d'envoi manquante",IF(N(T233)&gt;N(H233),"Reçu plus que commandé",IF(AND(N(T233)&gt;0,N(U233)=0),"Date de réception manquante",IF(AND(N(U233)&gt;0,U233&lt;B233),"Réception avant la commande","OK")))))))))))))))))))))</f>
        <v/>
      </c>
      <c r="AA233" s="66" t="str">
        <f>IF(AND(X233="Reçu",ISNUMBER(R233)),IF(N(U233)&lt;=R233,1,0),"")</f>
        <v/>
      </c>
      <c r="AB233" s="76" t="str">
        <f>IF(OR(X233="Envoyé",X233="Partiel",X233="En retard"),IF(ISNUMBER(R233),R233,100000)+ROW()/100000,"")</f>
        <v/>
      </c>
      <c r="AC233" s="66" t="str">
        <f>IF(A233="","",IF(COUNTIF($A$6:A233,A233)=1,1,""))</f>
        <v/>
      </c>
      <c r="AD233" s="66" t="str">
        <f>IF(AC233=1,COUNT($AC$6:AC233),"")</f>
        <v/>
      </c>
      <c r="AE233" s="66" t="str">
        <f>IFERROR(INDEX(po_num,MATCH(228,po_seq,0))&amp;"","")</f>
        <v/>
      </c>
      <c r="AF233" s="66" t="str">
        <f>IF(OR(A233="",p_po=""),"",IF(A233&amp;""=p_po,COUNTIF($A$6:A233,A233),""))</f>
        <v/>
      </c>
      <c r="AG233" s="66" t="str">
        <f>IF(OR(AB233="",A233=""),"",IF(COUNTIFS($A$6:A233,A233,$AB$6:AB233,"&gt;0")=1,1,""))</f>
        <v/>
      </c>
      <c r="AH233" s="70" t="str">
        <f>IF(AB233="","",ROUND(N(W233)*N(J233)*(1-N(K233)),2))</f>
        <v/>
      </c>
      <c r="AI233" s="70" t="str">
        <f>IF(OR(J233="",N(T233)&lt;=0,V233="Oui"),"",ROUND(N(T233)*J233*(1-N(K233)),2))</f>
        <v/>
      </c>
    </row>
    <row r="234">
      <c r="A234" s="63" t="n"/>
      <c r="B234" s="64" t="n"/>
      <c r="C234" s="65" t="n"/>
      <c r="D234" s="66" t="str">
        <f>IF(C234="","",IFERROR(INDEX(sup_name,MATCH($C234,sup_code,0))&amp;"","Fournisseur inconnu"))</f>
        <v/>
      </c>
      <c r="E234" s="63" t="n"/>
      <c r="F234" s="66" t="str">
        <f>IF(E234="","",IFERROR(INDEX(art_des,MATCH($E234,art_ref,0))&amp;"","Article inconnu"))</f>
        <v/>
      </c>
      <c r="G234" s="67" t="str">
        <f>IF(E234="","",IFERROR(INDEX(art_unit,MATCH($E234,art_ref,0))&amp;"",""))</f>
        <v/>
      </c>
      <c r="H234" s="68" t="n"/>
      <c r="I234" s="69" t="n"/>
      <c r="J234" s="70" t="str">
        <f>IF(E234="","",IF(ISNUMBER(I234),I234,IFERROR(IF(ISNUMBER(INDEX(art_price,MATCH($E234,art_ref,0))),INDEX(art_price,MATCH($E234,art_ref,0)),""),"")))</f>
        <v/>
      </c>
      <c r="K234" s="71" t="n"/>
      <c r="L234" s="72" t="n"/>
      <c r="M234" s="72" t="str">
        <f>IF(E234="","",IF(L234&lt;&gt;"",L234,IFERROR(IF(ISNUMBER(INDEX(art_tva,MATCH($E234,art_ref,0))),INDEX(art_tva,MATCH($E234,art_ref,0)),""),"")))</f>
        <v/>
      </c>
      <c r="N234" s="70" t="str">
        <f>IF(OR(E234="",J234=""),"",ROUND(N(H234)*J234*(1-N(K234)),2))</f>
        <v/>
      </c>
      <c r="O234" s="70" t="str">
        <f>IF(OR(N234="",NOT(ISNUMBER(M234))),"",ROUND(N234*M234,2))</f>
        <v/>
      </c>
      <c r="P234" s="70" t="str">
        <f>IF(N234="","",N234+N(O234))</f>
        <v/>
      </c>
      <c r="Q234" s="64" t="n"/>
      <c r="R234" s="73" t="str">
        <f>IF(N(Q234)&gt;0,Q234,IF(OR(N(B234)=0,ISNA(MATCH($C234,sup_code,0))),"",IF(ISNUMBER(INDEX(sup_delay,MATCH($C234,sup_code,0))),B234+INDEX(sup_delay,MATCH($C234,sup_code,0)),"")))</f>
        <v/>
      </c>
      <c r="S234" s="64" t="n"/>
      <c r="T234" s="68" t="n"/>
      <c r="U234" s="64" t="n"/>
      <c r="V234" s="65" t="n"/>
      <c r="W234" s="74" t="str">
        <f>IF(AND(A234="",E234=""),"",IF(V234="Oui",0,MAX(0,ROUND(N(H234)-N(T234),6))))</f>
        <v/>
      </c>
      <c r="X234" s="67" t="str">
        <f>IF(AND(A234="",E234=""),"",IF(V234="Oui","Annulé",IF(AND(N(H234)&gt;0,N(T234)&gt;=N(H234)),"Reçu",IF(N(S234)=0,"Brouillon",IF(AND(ISNUMBER(R234),R234&lt;p_today),"En retard",IF(N(T234)&gt;0,"Partiel","Envoyé"))))))</f>
        <v/>
      </c>
      <c r="Y234" s="75" t="str">
        <f>IF(X234="En retard",p_today-R234,IF(AND(X234="Reçu",ISNUMBER(R234)),MAX(0,N(U234)-R234),""))</f>
        <v/>
      </c>
      <c r="Z234" s="67" t="str">
        <f>IF(AND(A234="",E234=""),"",IF(A234="","N° de bon manquant",IF(N(B234)=0,"Date de commande manquante",IF(C234="","Fournisseur manquant",IF(ISNA(MATCH($C234,sup_code,0)),"Fournisseur inconnu",IF(E234="","Article manquant",IF(ISNA(MATCH($E234,art_ref,0)),"Article inconnu",IF(N(H234)&lt;=0,"Quantité invalide",IF(J234="","Prix manquant",IF(OR(N(K234)&lt;0,N(K234)&gt;=1),"Remise invalide",IF(M234="","TVA manquante",IF(ISNA(MATCH(M234,p_tva,0)),"Taux de TVA inconnu",IF(COUNTIFS(po_num,A234,po_sup,"&lt;&gt;"&amp;C234)&gt;0,"Fournisseur différent sur ce bon",IF(COUNTIFS(po_num,A234,po_date,"&lt;&gt;"&amp;B234)&gt;0,"Date différente sur ce bon",IF(COUNTIF(po_num,A234)&gt;25,"Plus de 25 lignes sur ce bon",IF(R234="","Date de livraison manquante",IF(R234&lt;B234,"Livraison avant la commande",IF(AND(N(T234)&gt;0,N(S234)=0),"Date d'envoi manquante",IF(N(T234)&gt;N(H234),"Reçu plus que commandé",IF(AND(N(T234)&gt;0,N(U234)=0),"Date de réception manquante",IF(AND(N(U234)&gt;0,U234&lt;B234),"Réception avant la commande","OK")))))))))))))))))))))</f>
        <v/>
      </c>
      <c r="AA234" s="66" t="str">
        <f>IF(AND(X234="Reçu",ISNUMBER(R234)),IF(N(U234)&lt;=R234,1,0),"")</f>
        <v/>
      </c>
      <c r="AB234" s="76" t="str">
        <f>IF(OR(X234="Envoyé",X234="Partiel",X234="En retard"),IF(ISNUMBER(R234),R234,100000)+ROW()/100000,"")</f>
        <v/>
      </c>
      <c r="AC234" s="66" t="str">
        <f>IF(A234="","",IF(COUNTIF($A$6:A234,A234)=1,1,""))</f>
        <v/>
      </c>
      <c r="AD234" s="66" t="str">
        <f>IF(AC234=1,COUNT($AC$6:AC234),"")</f>
        <v/>
      </c>
      <c r="AE234" s="66" t="str">
        <f>IFERROR(INDEX(po_num,MATCH(229,po_seq,0))&amp;"","")</f>
        <v/>
      </c>
      <c r="AF234" s="66" t="str">
        <f>IF(OR(A234="",p_po=""),"",IF(A234&amp;""=p_po,COUNTIF($A$6:A234,A234),""))</f>
        <v/>
      </c>
      <c r="AG234" s="66" t="str">
        <f>IF(OR(AB234="",A234=""),"",IF(COUNTIFS($A$6:A234,A234,$AB$6:AB234,"&gt;0")=1,1,""))</f>
        <v/>
      </c>
      <c r="AH234" s="70" t="str">
        <f>IF(AB234="","",ROUND(N(W234)*N(J234)*(1-N(K234)),2))</f>
        <v/>
      </c>
      <c r="AI234" s="70" t="str">
        <f>IF(OR(J234="",N(T234)&lt;=0,V234="Oui"),"",ROUND(N(T234)*J234*(1-N(K234)),2))</f>
        <v/>
      </c>
    </row>
    <row r="235">
      <c r="A235" s="63" t="n"/>
      <c r="B235" s="64" t="n"/>
      <c r="C235" s="65" t="n"/>
      <c r="D235" s="66" t="str">
        <f>IF(C235="","",IFERROR(INDEX(sup_name,MATCH($C235,sup_code,0))&amp;"","Fournisseur inconnu"))</f>
        <v/>
      </c>
      <c r="E235" s="63" t="n"/>
      <c r="F235" s="66" t="str">
        <f>IF(E235="","",IFERROR(INDEX(art_des,MATCH($E235,art_ref,0))&amp;"","Article inconnu"))</f>
        <v/>
      </c>
      <c r="G235" s="67" t="str">
        <f>IF(E235="","",IFERROR(INDEX(art_unit,MATCH($E235,art_ref,0))&amp;"",""))</f>
        <v/>
      </c>
      <c r="H235" s="68" t="n"/>
      <c r="I235" s="69" t="n"/>
      <c r="J235" s="70" t="str">
        <f>IF(E235="","",IF(ISNUMBER(I235),I235,IFERROR(IF(ISNUMBER(INDEX(art_price,MATCH($E235,art_ref,0))),INDEX(art_price,MATCH($E235,art_ref,0)),""),"")))</f>
        <v/>
      </c>
      <c r="K235" s="71" t="n"/>
      <c r="L235" s="72" t="n"/>
      <c r="M235" s="72" t="str">
        <f>IF(E235="","",IF(L235&lt;&gt;"",L235,IFERROR(IF(ISNUMBER(INDEX(art_tva,MATCH($E235,art_ref,0))),INDEX(art_tva,MATCH($E235,art_ref,0)),""),"")))</f>
        <v/>
      </c>
      <c r="N235" s="70" t="str">
        <f>IF(OR(E235="",J235=""),"",ROUND(N(H235)*J235*(1-N(K235)),2))</f>
        <v/>
      </c>
      <c r="O235" s="70" t="str">
        <f>IF(OR(N235="",NOT(ISNUMBER(M235))),"",ROUND(N235*M235,2))</f>
        <v/>
      </c>
      <c r="P235" s="70" t="str">
        <f>IF(N235="","",N235+N(O235))</f>
        <v/>
      </c>
      <c r="Q235" s="64" t="n"/>
      <c r="R235" s="73" t="str">
        <f>IF(N(Q235)&gt;0,Q235,IF(OR(N(B235)=0,ISNA(MATCH($C235,sup_code,0))),"",IF(ISNUMBER(INDEX(sup_delay,MATCH($C235,sup_code,0))),B235+INDEX(sup_delay,MATCH($C235,sup_code,0)),"")))</f>
        <v/>
      </c>
      <c r="S235" s="64" t="n"/>
      <c r="T235" s="68" t="n"/>
      <c r="U235" s="64" t="n"/>
      <c r="V235" s="65" t="n"/>
      <c r="W235" s="74" t="str">
        <f>IF(AND(A235="",E235=""),"",IF(V235="Oui",0,MAX(0,ROUND(N(H235)-N(T235),6))))</f>
        <v/>
      </c>
      <c r="X235" s="67" t="str">
        <f>IF(AND(A235="",E235=""),"",IF(V235="Oui","Annulé",IF(AND(N(H235)&gt;0,N(T235)&gt;=N(H235)),"Reçu",IF(N(S235)=0,"Brouillon",IF(AND(ISNUMBER(R235),R235&lt;p_today),"En retard",IF(N(T235)&gt;0,"Partiel","Envoyé"))))))</f>
        <v/>
      </c>
      <c r="Y235" s="75" t="str">
        <f>IF(X235="En retard",p_today-R235,IF(AND(X235="Reçu",ISNUMBER(R235)),MAX(0,N(U235)-R235),""))</f>
        <v/>
      </c>
      <c r="Z235" s="67" t="str">
        <f>IF(AND(A235="",E235=""),"",IF(A235="","N° de bon manquant",IF(N(B235)=0,"Date de commande manquante",IF(C235="","Fournisseur manquant",IF(ISNA(MATCH($C235,sup_code,0)),"Fournisseur inconnu",IF(E235="","Article manquant",IF(ISNA(MATCH($E235,art_ref,0)),"Article inconnu",IF(N(H235)&lt;=0,"Quantité invalide",IF(J235="","Prix manquant",IF(OR(N(K235)&lt;0,N(K235)&gt;=1),"Remise invalide",IF(M235="","TVA manquante",IF(ISNA(MATCH(M235,p_tva,0)),"Taux de TVA inconnu",IF(COUNTIFS(po_num,A235,po_sup,"&lt;&gt;"&amp;C235)&gt;0,"Fournisseur différent sur ce bon",IF(COUNTIFS(po_num,A235,po_date,"&lt;&gt;"&amp;B235)&gt;0,"Date différente sur ce bon",IF(COUNTIF(po_num,A235)&gt;25,"Plus de 25 lignes sur ce bon",IF(R235="","Date de livraison manquante",IF(R235&lt;B235,"Livraison avant la commande",IF(AND(N(T235)&gt;0,N(S235)=0),"Date d'envoi manquante",IF(N(T235)&gt;N(H235),"Reçu plus que commandé",IF(AND(N(T235)&gt;0,N(U235)=0),"Date de réception manquante",IF(AND(N(U235)&gt;0,U235&lt;B235),"Réception avant la commande","OK")))))))))))))))))))))</f>
        <v/>
      </c>
      <c r="AA235" s="66" t="str">
        <f>IF(AND(X235="Reçu",ISNUMBER(R235)),IF(N(U235)&lt;=R235,1,0),"")</f>
        <v/>
      </c>
      <c r="AB235" s="76" t="str">
        <f>IF(OR(X235="Envoyé",X235="Partiel",X235="En retard"),IF(ISNUMBER(R235),R235,100000)+ROW()/100000,"")</f>
        <v/>
      </c>
      <c r="AC235" s="66" t="str">
        <f>IF(A235="","",IF(COUNTIF($A$6:A235,A235)=1,1,""))</f>
        <v/>
      </c>
      <c r="AD235" s="66" t="str">
        <f>IF(AC235=1,COUNT($AC$6:AC235),"")</f>
        <v/>
      </c>
      <c r="AE235" s="66" t="str">
        <f>IFERROR(INDEX(po_num,MATCH(230,po_seq,0))&amp;"","")</f>
        <v/>
      </c>
      <c r="AF235" s="66" t="str">
        <f>IF(OR(A235="",p_po=""),"",IF(A235&amp;""=p_po,COUNTIF($A$6:A235,A235),""))</f>
        <v/>
      </c>
      <c r="AG235" s="66" t="str">
        <f>IF(OR(AB235="",A235=""),"",IF(COUNTIFS($A$6:A235,A235,$AB$6:AB235,"&gt;0")=1,1,""))</f>
        <v/>
      </c>
      <c r="AH235" s="70" t="str">
        <f>IF(AB235="","",ROUND(N(W235)*N(J235)*(1-N(K235)),2))</f>
        <v/>
      </c>
      <c r="AI235" s="70" t="str">
        <f>IF(OR(J235="",N(T235)&lt;=0,V235="Oui"),"",ROUND(N(T235)*J235*(1-N(K235)),2))</f>
        <v/>
      </c>
    </row>
    <row r="236">
      <c r="A236" s="63" t="n"/>
      <c r="B236" s="64" t="n"/>
      <c r="C236" s="65" t="n"/>
      <c r="D236" s="66" t="str">
        <f>IF(C236="","",IFERROR(INDEX(sup_name,MATCH($C236,sup_code,0))&amp;"","Fournisseur inconnu"))</f>
        <v/>
      </c>
      <c r="E236" s="63" t="n"/>
      <c r="F236" s="66" t="str">
        <f>IF(E236="","",IFERROR(INDEX(art_des,MATCH($E236,art_ref,0))&amp;"","Article inconnu"))</f>
        <v/>
      </c>
      <c r="G236" s="67" t="str">
        <f>IF(E236="","",IFERROR(INDEX(art_unit,MATCH($E236,art_ref,0))&amp;"",""))</f>
        <v/>
      </c>
      <c r="H236" s="68" t="n"/>
      <c r="I236" s="69" t="n"/>
      <c r="J236" s="70" t="str">
        <f>IF(E236="","",IF(ISNUMBER(I236),I236,IFERROR(IF(ISNUMBER(INDEX(art_price,MATCH($E236,art_ref,0))),INDEX(art_price,MATCH($E236,art_ref,0)),""),"")))</f>
        <v/>
      </c>
      <c r="K236" s="71" t="n"/>
      <c r="L236" s="72" t="n"/>
      <c r="M236" s="72" t="str">
        <f>IF(E236="","",IF(L236&lt;&gt;"",L236,IFERROR(IF(ISNUMBER(INDEX(art_tva,MATCH($E236,art_ref,0))),INDEX(art_tva,MATCH($E236,art_ref,0)),""),"")))</f>
        <v/>
      </c>
      <c r="N236" s="70" t="str">
        <f>IF(OR(E236="",J236=""),"",ROUND(N(H236)*J236*(1-N(K236)),2))</f>
        <v/>
      </c>
      <c r="O236" s="70" t="str">
        <f>IF(OR(N236="",NOT(ISNUMBER(M236))),"",ROUND(N236*M236,2))</f>
        <v/>
      </c>
      <c r="P236" s="70" t="str">
        <f>IF(N236="","",N236+N(O236))</f>
        <v/>
      </c>
      <c r="Q236" s="64" t="n"/>
      <c r="R236" s="73" t="str">
        <f>IF(N(Q236)&gt;0,Q236,IF(OR(N(B236)=0,ISNA(MATCH($C236,sup_code,0))),"",IF(ISNUMBER(INDEX(sup_delay,MATCH($C236,sup_code,0))),B236+INDEX(sup_delay,MATCH($C236,sup_code,0)),"")))</f>
        <v/>
      </c>
      <c r="S236" s="64" t="n"/>
      <c r="T236" s="68" t="n"/>
      <c r="U236" s="64" t="n"/>
      <c r="V236" s="65" t="n"/>
      <c r="W236" s="74" t="str">
        <f>IF(AND(A236="",E236=""),"",IF(V236="Oui",0,MAX(0,ROUND(N(H236)-N(T236),6))))</f>
        <v/>
      </c>
      <c r="X236" s="67" t="str">
        <f>IF(AND(A236="",E236=""),"",IF(V236="Oui","Annulé",IF(AND(N(H236)&gt;0,N(T236)&gt;=N(H236)),"Reçu",IF(N(S236)=0,"Brouillon",IF(AND(ISNUMBER(R236),R236&lt;p_today),"En retard",IF(N(T236)&gt;0,"Partiel","Envoyé"))))))</f>
        <v/>
      </c>
      <c r="Y236" s="75" t="str">
        <f>IF(X236="En retard",p_today-R236,IF(AND(X236="Reçu",ISNUMBER(R236)),MAX(0,N(U236)-R236),""))</f>
        <v/>
      </c>
      <c r="Z236" s="67" t="str">
        <f>IF(AND(A236="",E236=""),"",IF(A236="","N° de bon manquant",IF(N(B236)=0,"Date de commande manquante",IF(C236="","Fournisseur manquant",IF(ISNA(MATCH($C236,sup_code,0)),"Fournisseur inconnu",IF(E236="","Article manquant",IF(ISNA(MATCH($E236,art_ref,0)),"Article inconnu",IF(N(H236)&lt;=0,"Quantité invalide",IF(J236="","Prix manquant",IF(OR(N(K236)&lt;0,N(K236)&gt;=1),"Remise invalide",IF(M236="","TVA manquante",IF(ISNA(MATCH(M236,p_tva,0)),"Taux de TVA inconnu",IF(COUNTIFS(po_num,A236,po_sup,"&lt;&gt;"&amp;C236)&gt;0,"Fournisseur différent sur ce bon",IF(COUNTIFS(po_num,A236,po_date,"&lt;&gt;"&amp;B236)&gt;0,"Date différente sur ce bon",IF(COUNTIF(po_num,A236)&gt;25,"Plus de 25 lignes sur ce bon",IF(R236="","Date de livraison manquante",IF(R236&lt;B236,"Livraison avant la commande",IF(AND(N(T236)&gt;0,N(S236)=0),"Date d'envoi manquante",IF(N(T236)&gt;N(H236),"Reçu plus que commandé",IF(AND(N(T236)&gt;0,N(U236)=0),"Date de réception manquante",IF(AND(N(U236)&gt;0,U236&lt;B236),"Réception avant la commande","OK")))))))))))))))))))))</f>
        <v/>
      </c>
      <c r="AA236" s="66" t="str">
        <f>IF(AND(X236="Reçu",ISNUMBER(R236)),IF(N(U236)&lt;=R236,1,0),"")</f>
        <v/>
      </c>
      <c r="AB236" s="76" t="str">
        <f>IF(OR(X236="Envoyé",X236="Partiel",X236="En retard"),IF(ISNUMBER(R236),R236,100000)+ROW()/100000,"")</f>
        <v/>
      </c>
      <c r="AC236" s="66" t="str">
        <f>IF(A236="","",IF(COUNTIF($A$6:A236,A236)=1,1,""))</f>
        <v/>
      </c>
      <c r="AD236" s="66" t="str">
        <f>IF(AC236=1,COUNT($AC$6:AC236),"")</f>
        <v/>
      </c>
      <c r="AE236" s="66" t="str">
        <f>IFERROR(INDEX(po_num,MATCH(231,po_seq,0))&amp;"","")</f>
        <v/>
      </c>
      <c r="AF236" s="66" t="str">
        <f>IF(OR(A236="",p_po=""),"",IF(A236&amp;""=p_po,COUNTIF($A$6:A236,A236),""))</f>
        <v/>
      </c>
      <c r="AG236" s="66" t="str">
        <f>IF(OR(AB236="",A236=""),"",IF(COUNTIFS($A$6:A236,A236,$AB$6:AB236,"&gt;0")=1,1,""))</f>
        <v/>
      </c>
      <c r="AH236" s="70" t="str">
        <f>IF(AB236="","",ROUND(N(W236)*N(J236)*(1-N(K236)),2))</f>
        <v/>
      </c>
      <c r="AI236" s="70" t="str">
        <f>IF(OR(J236="",N(T236)&lt;=0,V236="Oui"),"",ROUND(N(T236)*J236*(1-N(K236)),2))</f>
        <v/>
      </c>
    </row>
    <row r="237">
      <c r="A237" s="63" t="n"/>
      <c r="B237" s="64" t="n"/>
      <c r="C237" s="65" t="n"/>
      <c r="D237" s="66" t="str">
        <f>IF(C237="","",IFERROR(INDEX(sup_name,MATCH($C237,sup_code,0))&amp;"","Fournisseur inconnu"))</f>
        <v/>
      </c>
      <c r="E237" s="63" t="n"/>
      <c r="F237" s="66" t="str">
        <f>IF(E237="","",IFERROR(INDEX(art_des,MATCH($E237,art_ref,0))&amp;"","Article inconnu"))</f>
        <v/>
      </c>
      <c r="G237" s="67" t="str">
        <f>IF(E237="","",IFERROR(INDEX(art_unit,MATCH($E237,art_ref,0))&amp;"",""))</f>
        <v/>
      </c>
      <c r="H237" s="68" t="n"/>
      <c r="I237" s="69" t="n"/>
      <c r="J237" s="70" t="str">
        <f>IF(E237="","",IF(ISNUMBER(I237),I237,IFERROR(IF(ISNUMBER(INDEX(art_price,MATCH($E237,art_ref,0))),INDEX(art_price,MATCH($E237,art_ref,0)),""),"")))</f>
        <v/>
      </c>
      <c r="K237" s="71" t="n"/>
      <c r="L237" s="72" t="n"/>
      <c r="M237" s="72" t="str">
        <f>IF(E237="","",IF(L237&lt;&gt;"",L237,IFERROR(IF(ISNUMBER(INDEX(art_tva,MATCH($E237,art_ref,0))),INDEX(art_tva,MATCH($E237,art_ref,0)),""),"")))</f>
        <v/>
      </c>
      <c r="N237" s="70" t="str">
        <f>IF(OR(E237="",J237=""),"",ROUND(N(H237)*J237*(1-N(K237)),2))</f>
        <v/>
      </c>
      <c r="O237" s="70" t="str">
        <f>IF(OR(N237="",NOT(ISNUMBER(M237))),"",ROUND(N237*M237,2))</f>
        <v/>
      </c>
      <c r="P237" s="70" t="str">
        <f>IF(N237="","",N237+N(O237))</f>
        <v/>
      </c>
      <c r="Q237" s="64" t="n"/>
      <c r="R237" s="73" t="str">
        <f>IF(N(Q237)&gt;0,Q237,IF(OR(N(B237)=0,ISNA(MATCH($C237,sup_code,0))),"",IF(ISNUMBER(INDEX(sup_delay,MATCH($C237,sup_code,0))),B237+INDEX(sup_delay,MATCH($C237,sup_code,0)),"")))</f>
        <v/>
      </c>
      <c r="S237" s="64" t="n"/>
      <c r="T237" s="68" t="n"/>
      <c r="U237" s="64" t="n"/>
      <c r="V237" s="65" t="n"/>
      <c r="W237" s="74" t="str">
        <f>IF(AND(A237="",E237=""),"",IF(V237="Oui",0,MAX(0,ROUND(N(H237)-N(T237),6))))</f>
        <v/>
      </c>
      <c r="X237" s="67" t="str">
        <f>IF(AND(A237="",E237=""),"",IF(V237="Oui","Annulé",IF(AND(N(H237)&gt;0,N(T237)&gt;=N(H237)),"Reçu",IF(N(S237)=0,"Brouillon",IF(AND(ISNUMBER(R237),R237&lt;p_today),"En retard",IF(N(T237)&gt;0,"Partiel","Envoyé"))))))</f>
        <v/>
      </c>
      <c r="Y237" s="75" t="str">
        <f>IF(X237="En retard",p_today-R237,IF(AND(X237="Reçu",ISNUMBER(R237)),MAX(0,N(U237)-R237),""))</f>
        <v/>
      </c>
      <c r="Z237" s="67" t="str">
        <f>IF(AND(A237="",E237=""),"",IF(A237="","N° de bon manquant",IF(N(B237)=0,"Date de commande manquante",IF(C237="","Fournisseur manquant",IF(ISNA(MATCH($C237,sup_code,0)),"Fournisseur inconnu",IF(E237="","Article manquant",IF(ISNA(MATCH($E237,art_ref,0)),"Article inconnu",IF(N(H237)&lt;=0,"Quantité invalide",IF(J237="","Prix manquant",IF(OR(N(K237)&lt;0,N(K237)&gt;=1),"Remise invalide",IF(M237="","TVA manquante",IF(ISNA(MATCH(M237,p_tva,0)),"Taux de TVA inconnu",IF(COUNTIFS(po_num,A237,po_sup,"&lt;&gt;"&amp;C237)&gt;0,"Fournisseur différent sur ce bon",IF(COUNTIFS(po_num,A237,po_date,"&lt;&gt;"&amp;B237)&gt;0,"Date différente sur ce bon",IF(COUNTIF(po_num,A237)&gt;25,"Plus de 25 lignes sur ce bon",IF(R237="","Date de livraison manquante",IF(R237&lt;B237,"Livraison avant la commande",IF(AND(N(T237)&gt;0,N(S237)=0),"Date d'envoi manquante",IF(N(T237)&gt;N(H237),"Reçu plus que commandé",IF(AND(N(T237)&gt;0,N(U237)=0),"Date de réception manquante",IF(AND(N(U237)&gt;0,U237&lt;B237),"Réception avant la commande","OK")))))))))))))))))))))</f>
        <v/>
      </c>
      <c r="AA237" s="66" t="str">
        <f>IF(AND(X237="Reçu",ISNUMBER(R237)),IF(N(U237)&lt;=R237,1,0),"")</f>
        <v/>
      </c>
      <c r="AB237" s="76" t="str">
        <f>IF(OR(X237="Envoyé",X237="Partiel",X237="En retard"),IF(ISNUMBER(R237),R237,100000)+ROW()/100000,"")</f>
        <v/>
      </c>
      <c r="AC237" s="66" t="str">
        <f>IF(A237="","",IF(COUNTIF($A$6:A237,A237)=1,1,""))</f>
        <v/>
      </c>
      <c r="AD237" s="66" t="str">
        <f>IF(AC237=1,COUNT($AC$6:AC237),"")</f>
        <v/>
      </c>
      <c r="AE237" s="66" t="str">
        <f>IFERROR(INDEX(po_num,MATCH(232,po_seq,0))&amp;"","")</f>
        <v/>
      </c>
      <c r="AF237" s="66" t="str">
        <f>IF(OR(A237="",p_po=""),"",IF(A237&amp;""=p_po,COUNTIF($A$6:A237,A237),""))</f>
        <v/>
      </c>
      <c r="AG237" s="66" t="str">
        <f>IF(OR(AB237="",A237=""),"",IF(COUNTIFS($A$6:A237,A237,$AB$6:AB237,"&gt;0")=1,1,""))</f>
        <v/>
      </c>
      <c r="AH237" s="70" t="str">
        <f>IF(AB237="","",ROUND(N(W237)*N(J237)*(1-N(K237)),2))</f>
        <v/>
      </c>
      <c r="AI237" s="70" t="str">
        <f>IF(OR(J237="",N(T237)&lt;=0,V237="Oui"),"",ROUND(N(T237)*J237*(1-N(K237)),2))</f>
        <v/>
      </c>
    </row>
    <row r="238">
      <c r="A238" s="63" t="n"/>
      <c r="B238" s="64" t="n"/>
      <c r="C238" s="65" t="n"/>
      <c r="D238" s="66" t="str">
        <f>IF(C238="","",IFERROR(INDEX(sup_name,MATCH($C238,sup_code,0))&amp;"","Fournisseur inconnu"))</f>
        <v/>
      </c>
      <c r="E238" s="63" t="n"/>
      <c r="F238" s="66" t="str">
        <f>IF(E238="","",IFERROR(INDEX(art_des,MATCH($E238,art_ref,0))&amp;"","Article inconnu"))</f>
        <v/>
      </c>
      <c r="G238" s="67" t="str">
        <f>IF(E238="","",IFERROR(INDEX(art_unit,MATCH($E238,art_ref,0))&amp;"",""))</f>
        <v/>
      </c>
      <c r="H238" s="68" t="n"/>
      <c r="I238" s="69" t="n"/>
      <c r="J238" s="70" t="str">
        <f>IF(E238="","",IF(ISNUMBER(I238),I238,IFERROR(IF(ISNUMBER(INDEX(art_price,MATCH($E238,art_ref,0))),INDEX(art_price,MATCH($E238,art_ref,0)),""),"")))</f>
        <v/>
      </c>
      <c r="K238" s="71" t="n"/>
      <c r="L238" s="72" t="n"/>
      <c r="M238" s="72" t="str">
        <f>IF(E238="","",IF(L238&lt;&gt;"",L238,IFERROR(IF(ISNUMBER(INDEX(art_tva,MATCH($E238,art_ref,0))),INDEX(art_tva,MATCH($E238,art_ref,0)),""),"")))</f>
        <v/>
      </c>
      <c r="N238" s="70" t="str">
        <f>IF(OR(E238="",J238=""),"",ROUND(N(H238)*J238*(1-N(K238)),2))</f>
        <v/>
      </c>
      <c r="O238" s="70" t="str">
        <f>IF(OR(N238="",NOT(ISNUMBER(M238))),"",ROUND(N238*M238,2))</f>
        <v/>
      </c>
      <c r="P238" s="70" t="str">
        <f>IF(N238="","",N238+N(O238))</f>
        <v/>
      </c>
      <c r="Q238" s="64" t="n"/>
      <c r="R238" s="73" t="str">
        <f>IF(N(Q238)&gt;0,Q238,IF(OR(N(B238)=0,ISNA(MATCH($C238,sup_code,0))),"",IF(ISNUMBER(INDEX(sup_delay,MATCH($C238,sup_code,0))),B238+INDEX(sup_delay,MATCH($C238,sup_code,0)),"")))</f>
        <v/>
      </c>
      <c r="S238" s="64" t="n"/>
      <c r="T238" s="68" t="n"/>
      <c r="U238" s="64" t="n"/>
      <c r="V238" s="65" t="n"/>
      <c r="W238" s="74" t="str">
        <f>IF(AND(A238="",E238=""),"",IF(V238="Oui",0,MAX(0,ROUND(N(H238)-N(T238),6))))</f>
        <v/>
      </c>
      <c r="X238" s="67" t="str">
        <f>IF(AND(A238="",E238=""),"",IF(V238="Oui","Annulé",IF(AND(N(H238)&gt;0,N(T238)&gt;=N(H238)),"Reçu",IF(N(S238)=0,"Brouillon",IF(AND(ISNUMBER(R238),R238&lt;p_today),"En retard",IF(N(T238)&gt;0,"Partiel","Envoyé"))))))</f>
        <v/>
      </c>
      <c r="Y238" s="75" t="str">
        <f>IF(X238="En retard",p_today-R238,IF(AND(X238="Reçu",ISNUMBER(R238)),MAX(0,N(U238)-R238),""))</f>
        <v/>
      </c>
      <c r="Z238" s="67" t="str">
        <f>IF(AND(A238="",E238=""),"",IF(A238="","N° de bon manquant",IF(N(B238)=0,"Date de commande manquante",IF(C238="","Fournisseur manquant",IF(ISNA(MATCH($C238,sup_code,0)),"Fournisseur inconnu",IF(E238="","Article manquant",IF(ISNA(MATCH($E238,art_ref,0)),"Article inconnu",IF(N(H238)&lt;=0,"Quantité invalide",IF(J238="","Prix manquant",IF(OR(N(K238)&lt;0,N(K238)&gt;=1),"Remise invalide",IF(M238="","TVA manquante",IF(ISNA(MATCH(M238,p_tva,0)),"Taux de TVA inconnu",IF(COUNTIFS(po_num,A238,po_sup,"&lt;&gt;"&amp;C238)&gt;0,"Fournisseur différent sur ce bon",IF(COUNTIFS(po_num,A238,po_date,"&lt;&gt;"&amp;B238)&gt;0,"Date différente sur ce bon",IF(COUNTIF(po_num,A238)&gt;25,"Plus de 25 lignes sur ce bon",IF(R238="","Date de livraison manquante",IF(R238&lt;B238,"Livraison avant la commande",IF(AND(N(T238)&gt;0,N(S238)=0),"Date d'envoi manquante",IF(N(T238)&gt;N(H238),"Reçu plus que commandé",IF(AND(N(T238)&gt;0,N(U238)=0),"Date de réception manquante",IF(AND(N(U238)&gt;0,U238&lt;B238),"Réception avant la commande","OK")))))))))))))))))))))</f>
        <v/>
      </c>
      <c r="AA238" s="66" t="str">
        <f>IF(AND(X238="Reçu",ISNUMBER(R238)),IF(N(U238)&lt;=R238,1,0),"")</f>
        <v/>
      </c>
      <c r="AB238" s="76" t="str">
        <f>IF(OR(X238="Envoyé",X238="Partiel",X238="En retard"),IF(ISNUMBER(R238),R238,100000)+ROW()/100000,"")</f>
        <v/>
      </c>
      <c r="AC238" s="66" t="str">
        <f>IF(A238="","",IF(COUNTIF($A$6:A238,A238)=1,1,""))</f>
        <v/>
      </c>
      <c r="AD238" s="66" t="str">
        <f>IF(AC238=1,COUNT($AC$6:AC238),"")</f>
        <v/>
      </c>
      <c r="AE238" s="66" t="str">
        <f>IFERROR(INDEX(po_num,MATCH(233,po_seq,0))&amp;"","")</f>
        <v/>
      </c>
      <c r="AF238" s="66" t="str">
        <f>IF(OR(A238="",p_po=""),"",IF(A238&amp;""=p_po,COUNTIF($A$6:A238,A238),""))</f>
        <v/>
      </c>
      <c r="AG238" s="66" t="str">
        <f>IF(OR(AB238="",A238=""),"",IF(COUNTIFS($A$6:A238,A238,$AB$6:AB238,"&gt;0")=1,1,""))</f>
        <v/>
      </c>
      <c r="AH238" s="70" t="str">
        <f>IF(AB238="","",ROUND(N(W238)*N(J238)*(1-N(K238)),2))</f>
        <v/>
      </c>
      <c r="AI238" s="70" t="str">
        <f>IF(OR(J238="",N(T238)&lt;=0,V238="Oui"),"",ROUND(N(T238)*J238*(1-N(K238)),2))</f>
        <v/>
      </c>
    </row>
    <row r="239">
      <c r="A239" s="63" t="n"/>
      <c r="B239" s="64" t="n"/>
      <c r="C239" s="65" t="n"/>
      <c r="D239" s="66" t="str">
        <f>IF(C239="","",IFERROR(INDEX(sup_name,MATCH($C239,sup_code,0))&amp;"","Fournisseur inconnu"))</f>
        <v/>
      </c>
      <c r="E239" s="63" t="n"/>
      <c r="F239" s="66" t="str">
        <f>IF(E239="","",IFERROR(INDEX(art_des,MATCH($E239,art_ref,0))&amp;"","Article inconnu"))</f>
        <v/>
      </c>
      <c r="G239" s="67" t="str">
        <f>IF(E239="","",IFERROR(INDEX(art_unit,MATCH($E239,art_ref,0))&amp;"",""))</f>
        <v/>
      </c>
      <c r="H239" s="68" t="n"/>
      <c r="I239" s="69" t="n"/>
      <c r="J239" s="70" t="str">
        <f>IF(E239="","",IF(ISNUMBER(I239),I239,IFERROR(IF(ISNUMBER(INDEX(art_price,MATCH($E239,art_ref,0))),INDEX(art_price,MATCH($E239,art_ref,0)),""),"")))</f>
        <v/>
      </c>
      <c r="K239" s="71" t="n"/>
      <c r="L239" s="72" t="n"/>
      <c r="M239" s="72" t="str">
        <f>IF(E239="","",IF(L239&lt;&gt;"",L239,IFERROR(IF(ISNUMBER(INDEX(art_tva,MATCH($E239,art_ref,0))),INDEX(art_tva,MATCH($E239,art_ref,0)),""),"")))</f>
        <v/>
      </c>
      <c r="N239" s="70" t="str">
        <f>IF(OR(E239="",J239=""),"",ROUND(N(H239)*J239*(1-N(K239)),2))</f>
        <v/>
      </c>
      <c r="O239" s="70" t="str">
        <f>IF(OR(N239="",NOT(ISNUMBER(M239))),"",ROUND(N239*M239,2))</f>
        <v/>
      </c>
      <c r="P239" s="70" t="str">
        <f>IF(N239="","",N239+N(O239))</f>
        <v/>
      </c>
      <c r="Q239" s="64" t="n"/>
      <c r="R239" s="73" t="str">
        <f>IF(N(Q239)&gt;0,Q239,IF(OR(N(B239)=0,ISNA(MATCH($C239,sup_code,0))),"",IF(ISNUMBER(INDEX(sup_delay,MATCH($C239,sup_code,0))),B239+INDEX(sup_delay,MATCH($C239,sup_code,0)),"")))</f>
        <v/>
      </c>
      <c r="S239" s="64" t="n"/>
      <c r="T239" s="68" t="n"/>
      <c r="U239" s="64" t="n"/>
      <c r="V239" s="65" t="n"/>
      <c r="W239" s="74" t="str">
        <f>IF(AND(A239="",E239=""),"",IF(V239="Oui",0,MAX(0,ROUND(N(H239)-N(T239),6))))</f>
        <v/>
      </c>
      <c r="X239" s="67" t="str">
        <f>IF(AND(A239="",E239=""),"",IF(V239="Oui","Annulé",IF(AND(N(H239)&gt;0,N(T239)&gt;=N(H239)),"Reçu",IF(N(S239)=0,"Brouillon",IF(AND(ISNUMBER(R239),R239&lt;p_today),"En retard",IF(N(T239)&gt;0,"Partiel","Envoyé"))))))</f>
        <v/>
      </c>
      <c r="Y239" s="75" t="str">
        <f>IF(X239="En retard",p_today-R239,IF(AND(X239="Reçu",ISNUMBER(R239)),MAX(0,N(U239)-R239),""))</f>
        <v/>
      </c>
      <c r="Z239" s="67" t="str">
        <f>IF(AND(A239="",E239=""),"",IF(A239="","N° de bon manquant",IF(N(B239)=0,"Date de commande manquante",IF(C239="","Fournisseur manquant",IF(ISNA(MATCH($C239,sup_code,0)),"Fournisseur inconnu",IF(E239="","Article manquant",IF(ISNA(MATCH($E239,art_ref,0)),"Article inconnu",IF(N(H239)&lt;=0,"Quantité invalide",IF(J239="","Prix manquant",IF(OR(N(K239)&lt;0,N(K239)&gt;=1),"Remise invalide",IF(M239="","TVA manquante",IF(ISNA(MATCH(M239,p_tva,0)),"Taux de TVA inconnu",IF(COUNTIFS(po_num,A239,po_sup,"&lt;&gt;"&amp;C239)&gt;0,"Fournisseur différent sur ce bon",IF(COUNTIFS(po_num,A239,po_date,"&lt;&gt;"&amp;B239)&gt;0,"Date différente sur ce bon",IF(COUNTIF(po_num,A239)&gt;25,"Plus de 25 lignes sur ce bon",IF(R239="","Date de livraison manquante",IF(R239&lt;B239,"Livraison avant la commande",IF(AND(N(T239)&gt;0,N(S239)=0),"Date d'envoi manquante",IF(N(T239)&gt;N(H239),"Reçu plus que commandé",IF(AND(N(T239)&gt;0,N(U239)=0),"Date de réception manquante",IF(AND(N(U239)&gt;0,U239&lt;B239),"Réception avant la commande","OK")))))))))))))))))))))</f>
        <v/>
      </c>
      <c r="AA239" s="66" t="str">
        <f>IF(AND(X239="Reçu",ISNUMBER(R239)),IF(N(U239)&lt;=R239,1,0),"")</f>
        <v/>
      </c>
      <c r="AB239" s="76" t="str">
        <f>IF(OR(X239="Envoyé",X239="Partiel",X239="En retard"),IF(ISNUMBER(R239),R239,100000)+ROW()/100000,"")</f>
        <v/>
      </c>
      <c r="AC239" s="66" t="str">
        <f>IF(A239="","",IF(COUNTIF($A$6:A239,A239)=1,1,""))</f>
        <v/>
      </c>
      <c r="AD239" s="66" t="str">
        <f>IF(AC239=1,COUNT($AC$6:AC239),"")</f>
        <v/>
      </c>
      <c r="AE239" s="66" t="str">
        <f>IFERROR(INDEX(po_num,MATCH(234,po_seq,0))&amp;"","")</f>
        <v/>
      </c>
      <c r="AF239" s="66" t="str">
        <f>IF(OR(A239="",p_po=""),"",IF(A239&amp;""=p_po,COUNTIF($A$6:A239,A239),""))</f>
        <v/>
      </c>
      <c r="AG239" s="66" t="str">
        <f>IF(OR(AB239="",A239=""),"",IF(COUNTIFS($A$6:A239,A239,$AB$6:AB239,"&gt;0")=1,1,""))</f>
        <v/>
      </c>
      <c r="AH239" s="70" t="str">
        <f>IF(AB239="","",ROUND(N(W239)*N(J239)*(1-N(K239)),2))</f>
        <v/>
      </c>
      <c r="AI239" s="70" t="str">
        <f>IF(OR(J239="",N(T239)&lt;=0,V239="Oui"),"",ROUND(N(T239)*J239*(1-N(K239)),2))</f>
        <v/>
      </c>
    </row>
    <row r="240">
      <c r="A240" s="63" t="n"/>
      <c r="B240" s="64" t="n"/>
      <c r="C240" s="65" t="n"/>
      <c r="D240" s="66" t="str">
        <f>IF(C240="","",IFERROR(INDEX(sup_name,MATCH($C240,sup_code,0))&amp;"","Fournisseur inconnu"))</f>
        <v/>
      </c>
      <c r="E240" s="63" t="n"/>
      <c r="F240" s="66" t="str">
        <f>IF(E240="","",IFERROR(INDEX(art_des,MATCH($E240,art_ref,0))&amp;"","Article inconnu"))</f>
        <v/>
      </c>
      <c r="G240" s="67" t="str">
        <f>IF(E240="","",IFERROR(INDEX(art_unit,MATCH($E240,art_ref,0))&amp;"",""))</f>
        <v/>
      </c>
      <c r="H240" s="68" t="n"/>
      <c r="I240" s="69" t="n"/>
      <c r="J240" s="70" t="str">
        <f>IF(E240="","",IF(ISNUMBER(I240),I240,IFERROR(IF(ISNUMBER(INDEX(art_price,MATCH($E240,art_ref,0))),INDEX(art_price,MATCH($E240,art_ref,0)),""),"")))</f>
        <v/>
      </c>
      <c r="K240" s="71" t="n"/>
      <c r="L240" s="72" t="n"/>
      <c r="M240" s="72" t="str">
        <f>IF(E240="","",IF(L240&lt;&gt;"",L240,IFERROR(IF(ISNUMBER(INDEX(art_tva,MATCH($E240,art_ref,0))),INDEX(art_tva,MATCH($E240,art_ref,0)),""),"")))</f>
        <v/>
      </c>
      <c r="N240" s="70" t="str">
        <f>IF(OR(E240="",J240=""),"",ROUND(N(H240)*J240*(1-N(K240)),2))</f>
        <v/>
      </c>
      <c r="O240" s="70" t="str">
        <f>IF(OR(N240="",NOT(ISNUMBER(M240))),"",ROUND(N240*M240,2))</f>
        <v/>
      </c>
      <c r="P240" s="70" t="str">
        <f>IF(N240="","",N240+N(O240))</f>
        <v/>
      </c>
      <c r="Q240" s="64" t="n"/>
      <c r="R240" s="73" t="str">
        <f>IF(N(Q240)&gt;0,Q240,IF(OR(N(B240)=0,ISNA(MATCH($C240,sup_code,0))),"",IF(ISNUMBER(INDEX(sup_delay,MATCH($C240,sup_code,0))),B240+INDEX(sup_delay,MATCH($C240,sup_code,0)),"")))</f>
        <v/>
      </c>
      <c r="S240" s="64" t="n"/>
      <c r="T240" s="68" t="n"/>
      <c r="U240" s="64" t="n"/>
      <c r="V240" s="65" t="n"/>
      <c r="W240" s="74" t="str">
        <f>IF(AND(A240="",E240=""),"",IF(V240="Oui",0,MAX(0,ROUND(N(H240)-N(T240),6))))</f>
        <v/>
      </c>
      <c r="X240" s="67" t="str">
        <f>IF(AND(A240="",E240=""),"",IF(V240="Oui","Annulé",IF(AND(N(H240)&gt;0,N(T240)&gt;=N(H240)),"Reçu",IF(N(S240)=0,"Brouillon",IF(AND(ISNUMBER(R240),R240&lt;p_today),"En retard",IF(N(T240)&gt;0,"Partiel","Envoyé"))))))</f>
        <v/>
      </c>
      <c r="Y240" s="75" t="str">
        <f>IF(X240="En retard",p_today-R240,IF(AND(X240="Reçu",ISNUMBER(R240)),MAX(0,N(U240)-R240),""))</f>
        <v/>
      </c>
      <c r="Z240" s="67" t="str">
        <f>IF(AND(A240="",E240=""),"",IF(A240="","N° de bon manquant",IF(N(B240)=0,"Date de commande manquante",IF(C240="","Fournisseur manquant",IF(ISNA(MATCH($C240,sup_code,0)),"Fournisseur inconnu",IF(E240="","Article manquant",IF(ISNA(MATCH($E240,art_ref,0)),"Article inconnu",IF(N(H240)&lt;=0,"Quantité invalide",IF(J240="","Prix manquant",IF(OR(N(K240)&lt;0,N(K240)&gt;=1),"Remise invalide",IF(M240="","TVA manquante",IF(ISNA(MATCH(M240,p_tva,0)),"Taux de TVA inconnu",IF(COUNTIFS(po_num,A240,po_sup,"&lt;&gt;"&amp;C240)&gt;0,"Fournisseur différent sur ce bon",IF(COUNTIFS(po_num,A240,po_date,"&lt;&gt;"&amp;B240)&gt;0,"Date différente sur ce bon",IF(COUNTIF(po_num,A240)&gt;25,"Plus de 25 lignes sur ce bon",IF(R240="","Date de livraison manquante",IF(R240&lt;B240,"Livraison avant la commande",IF(AND(N(T240)&gt;0,N(S240)=0),"Date d'envoi manquante",IF(N(T240)&gt;N(H240),"Reçu plus que commandé",IF(AND(N(T240)&gt;0,N(U240)=0),"Date de réception manquante",IF(AND(N(U240)&gt;0,U240&lt;B240),"Réception avant la commande","OK")))))))))))))))))))))</f>
        <v/>
      </c>
      <c r="AA240" s="66" t="str">
        <f>IF(AND(X240="Reçu",ISNUMBER(R240)),IF(N(U240)&lt;=R240,1,0),"")</f>
        <v/>
      </c>
      <c r="AB240" s="76" t="str">
        <f>IF(OR(X240="Envoyé",X240="Partiel",X240="En retard"),IF(ISNUMBER(R240),R240,100000)+ROW()/100000,"")</f>
        <v/>
      </c>
      <c r="AC240" s="66" t="str">
        <f>IF(A240="","",IF(COUNTIF($A$6:A240,A240)=1,1,""))</f>
        <v/>
      </c>
      <c r="AD240" s="66" t="str">
        <f>IF(AC240=1,COUNT($AC$6:AC240),"")</f>
        <v/>
      </c>
      <c r="AE240" s="66" t="str">
        <f>IFERROR(INDEX(po_num,MATCH(235,po_seq,0))&amp;"","")</f>
        <v/>
      </c>
      <c r="AF240" s="66" t="str">
        <f>IF(OR(A240="",p_po=""),"",IF(A240&amp;""=p_po,COUNTIF($A$6:A240,A240),""))</f>
        <v/>
      </c>
      <c r="AG240" s="66" t="str">
        <f>IF(OR(AB240="",A240=""),"",IF(COUNTIFS($A$6:A240,A240,$AB$6:AB240,"&gt;0")=1,1,""))</f>
        <v/>
      </c>
      <c r="AH240" s="70" t="str">
        <f>IF(AB240="","",ROUND(N(W240)*N(J240)*(1-N(K240)),2))</f>
        <v/>
      </c>
      <c r="AI240" s="70" t="str">
        <f>IF(OR(J240="",N(T240)&lt;=0,V240="Oui"),"",ROUND(N(T240)*J240*(1-N(K240)),2))</f>
        <v/>
      </c>
    </row>
    <row r="241">
      <c r="A241" s="63" t="n"/>
      <c r="B241" s="64" t="n"/>
      <c r="C241" s="65" t="n"/>
      <c r="D241" s="66" t="str">
        <f>IF(C241="","",IFERROR(INDEX(sup_name,MATCH($C241,sup_code,0))&amp;"","Fournisseur inconnu"))</f>
        <v/>
      </c>
      <c r="E241" s="63" t="n"/>
      <c r="F241" s="66" t="str">
        <f>IF(E241="","",IFERROR(INDEX(art_des,MATCH($E241,art_ref,0))&amp;"","Article inconnu"))</f>
        <v/>
      </c>
      <c r="G241" s="67" t="str">
        <f>IF(E241="","",IFERROR(INDEX(art_unit,MATCH($E241,art_ref,0))&amp;"",""))</f>
        <v/>
      </c>
      <c r="H241" s="68" t="n"/>
      <c r="I241" s="69" t="n"/>
      <c r="J241" s="70" t="str">
        <f>IF(E241="","",IF(ISNUMBER(I241),I241,IFERROR(IF(ISNUMBER(INDEX(art_price,MATCH($E241,art_ref,0))),INDEX(art_price,MATCH($E241,art_ref,0)),""),"")))</f>
        <v/>
      </c>
      <c r="K241" s="71" t="n"/>
      <c r="L241" s="72" t="n"/>
      <c r="M241" s="72" t="str">
        <f>IF(E241="","",IF(L241&lt;&gt;"",L241,IFERROR(IF(ISNUMBER(INDEX(art_tva,MATCH($E241,art_ref,0))),INDEX(art_tva,MATCH($E241,art_ref,0)),""),"")))</f>
        <v/>
      </c>
      <c r="N241" s="70" t="str">
        <f>IF(OR(E241="",J241=""),"",ROUND(N(H241)*J241*(1-N(K241)),2))</f>
        <v/>
      </c>
      <c r="O241" s="70" t="str">
        <f>IF(OR(N241="",NOT(ISNUMBER(M241))),"",ROUND(N241*M241,2))</f>
        <v/>
      </c>
      <c r="P241" s="70" t="str">
        <f>IF(N241="","",N241+N(O241))</f>
        <v/>
      </c>
      <c r="Q241" s="64" t="n"/>
      <c r="R241" s="73" t="str">
        <f>IF(N(Q241)&gt;0,Q241,IF(OR(N(B241)=0,ISNA(MATCH($C241,sup_code,0))),"",IF(ISNUMBER(INDEX(sup_delay,MATCH($C241,sup_code,0))),B241+INDEX(sup_delay,MATCH($C241,sup_code,0)),"")))</f>
        <v/>
      </c>
      <c r="S241" s="64" t="n"/>
      <c r="T241" s="68" t="n"/>
      <c r="U241" s="64" t="n"/>
      <c r="V241" s="65" t="n"/>
      <c r="W241" s="74" t="str">
        <f>IF(AND(A241="",E241=""),"",IF(V241="Oui",0,MAX(0,ROUND(N(H241)-N(T241),6))))</f>
        <v/>
      </c>
      <c r="X241" s="67" t="str">
        <f>IF(AND(A241="",E241=""),"",IF(V241="Oui","Annulé",IF(AND(N(H241)&gt;0,N(T241)&gt;=N(H241)),"Reçu",IF(N(S241)=0,"Brouillon",IF(AND(ISNUMBER(R241),R241&lt;p_today),"En retard",IF(N(T241)&gt;0,"Partiel","Envoyé"))))))</f>
        <v/>
      </c>
      <c r="Y241" s="75" t="str">
        <f>IF(X241="En retard",p_today-R241,IF(AND(X241="Reçu",ISNUMBER(R241)),MAX(0,N(U241)-R241),""))</f>
        <v/>
      </c>
      <c r="Z241" s="67" t="str">
        <f>IF(AND(A241="",E241=""),"",IF(A241="","N° de bon manquant",IF(N(B241)=0,"Date de commande manquante",IF(C241="","Fournisseur manquant",IF(ISNA(MATCH($C241,sup_code,0)),"Fournisseur inconnu",IF(E241="","Article manquant",IF(ISNA(MATCH($E241,art_ref,0)),"Article inconnu",IF(N(H241)&lt;=0,"Quantité invalide",IF(J241="","Prix manquant",IF(OR(N(K241)&lt;0,N(K241)&gt;=1),"Remise invalide",IF(M241="","TVA manquante",IF(ISNA(MATCH(M241,p_tva,0)),"Taux de TVA inconnu",IF(COUNTIFS(po_num,A241,po_sup,"&lt;&gt;"&amp;C241)&gt;0,"Fournisseur différent sur ce bon",IF(COUNTIFS(po_num,A241,po_date,"&lt;&gt;"&amp;B241)&gt;0,"Date différente sur ce bon",IF(COUNTIF(po_num,A241)&gt;25,"Plus de 25 lignes sur ce bon",IF(R241="","Date de livraison manquante",IF(R241&lt;B241,"Livraison avant la commande",IF(AND(N(T241)&gt;0,N(S241)=0),"Date d'envoi manquante",IF(N(T241)&gt;N(H241),"Reçu plus que commandé",IF(AND(N(T241)&gt;0,N(U241)=0),"Date de réception manquante",IF(AND(N(U241)&gt;0,U241&lt;B241),"Réception avant la commande","OK")))))))))))))))))))))</f>
        <v/>
      </c>
      <c r="AA241" s="66" t="str">
        <f>IF(AND(X241="Reçu",ISNUMBER(R241)),IF(N(U241)&lt;=R241,1,0),"")</f>
        <v/>
      </c>
      <c r="AB241" s="76" t="str">
        <f>IF(OR(X241="Envoyé",X241="Partiel",X241="En retard"),IF(ISNUMBER(R241),R241,100000)+ROW()/100000,"")</f>
        <v/>
      </c>
      <c r="AC241" s="66" t="str">
        <f>IF(A241="","",IF(COUNTIF($A$6:A241,A241)=1,1,""))</f>
        <v/>
      </c>
      <c r="AD241" s="66" t="str">
        <f>IF(AC241=1,COUNT($AC$6:AC241),"")</f>
        <v/>
      </c>
      <c r="AE241" s="66" t="str">
        <f>IFERROR(INDEX(po_num,MATCH(236,po_seq,0))&amp;"","")</f>
        <v/>
      </c>
      <c r="AF241" s="66" t="str">
        <f>IF(OR(A241="",p_po=""),"",IF(A241&amp;""=p_po,COUNTIF($A$6:A241,A241),""))</f>
        <v/>
      </c>
      <c r="AG241" s="66" t="str">
        <f>IF(OR(AB241="",A241=""),"",IF(COUNTIFS($A$6:A241,A241,$AB$6:AB241,"&gt;0")=1,1,""))</f>
        <v/>
      </c>
      <c r="AH241" s="70" t="str">
        <f>IF(AB241="","",ROUND(N(W241)*N(J241)*(1-N(K241)),2))</f>
        <v/>
      </c>
      <c r="AI241" s="70" t="str">
        <f>IF(OR(J241="",N(T241)&lt;=0,V241="Oui"),"",ROUND(N(T241)*J241*(1-N(K241)),2))</f>
        <v/>
      </c>
    </row>
    <row r="242">
      <c r="A242" s="63" t="n"/>
      <c r="B242" s="64" t="n"/>
      <c r="C242" s="65" t="n"/>
      <c r="D242" s="66" t="str">
        <f>IF(C242="","",IFERROR(INDEX(sup_name,MATCH($C242,sup_code,0))&amp;"","Fournisseur inconnu"))</f>
        <v/>
      </c>
      <c r="E242" s="63" t="n"/>
      <c r="F242" s="66" t="str">
        <f>IF(E242="","",IFERROR(INDEX(art_des,MATCH($E242,art_ref,0))&amp;"","Article inconnu"))</f>
        <v/>
      </c>
      <c r="G242" s="67" t="str">
        <f>IF(E242="","",IFERROR(INDEX(art_unit,MATCH($E242,art_ref,0))&amp;"",""))</f>
        <v/>
      </c>
      <c r="H242" s="68" t="n"/>
      <c r="I242" s="69" t="n"/>
      <c r="J242" s="70" t="str">
        <f>IF(E242="","",IF(ISNUMBER(I242),I242,IFERROR(IF(ISNUMBER(INDEX(art_price,MATCH($E242,art_ref,0))),INDEX(art_price,MATCH($E242,art_ref,0)),""),"")))</f>
        <v/>
      </c>
      <c r="K242" s="71" t="n"/>
      <c r="L242" s="72" t="n"/>
      <c r="M242" s="72" t="str">
        <f>IF(E242="","",IF(L242&lt;&gt;"",L242,IFERROR(IF(ISNUMBER(INDEX(art_tva,MATCH($E242,art_ref,0))),INDEX(art_tva,MATCH($E242,art_ref,0)),""),"")))</f>
        <v/>
      </c>
      <c r="N242" s="70" t="str">
        <f>IF(OR(E242="",J242=""),"",ROUND(N(H242)*J242*(1-N(K242)),2))</f>
        <v/>
      </c>
      <c r="O242" s="70" t="str">
        <f>IF(OR(N242="",NOT(ISNUMBER(M242))),"",ROUND(N242*M242,2))</f>
        <v/>
      </c>
      <c r="P242" s="70" t="str">
        <f>IF(N242="","",N242+N(O242))</f>
        <v/>
      </c>
      <c r="Q242" s="64" t="n"/>
      <c r="R242" s="73" t="str">
        <f>IF(N(Q242)&gt;0,Q242,IF(OR(N(B242)=0,ISNA(MATCH($C242,sup_code,0))),"",IF(ISNUMBER(INDEX(sup_delay,MATCH($C242,sup_code,0))),B242+INDEX(sup_delay,MATCH($C242,sup_code,0)),"")))</f>
        <v/>
      </c>
      <c r="S242" s="64" t="n"/>
      <c r="T242" s="68" t="n"/>
      <c r="U242" s="64" t="n"/>
      <c r="V242" s="65" t="n"/>
      <c r="W242" s="74" t="str">
        <f>IF(AND(A242="",E242=""),"",IF(V242="Oui",0,MAX(0,ROUND(N(H242)-N(T242),6))))</f>
        <v/>
      </c>
      <c r="X242" s="67" t="str">
        <f>IF(AND(A242="",E242=""),"",IF(V242="Oui","Annulé",IF(AND(N(H242)&gt;0,N(T242)&gt;=N(H242)),"Reçu",IF(N(S242)=0,"Brouillon",IF(AND(ISNUMBER(R242),R242&lt;p_today),"En retard",IF(N(T242)&gt;0,"Partiel","Envoyé"))))))</f>
        <v/>
      </c>
      <c r="Y242" s="75" t="str">
        <f>IF(X242="En retard",p_today-R242,IF(AND(X242="Reçu",ISNUMBER(R242)),MAX(0,N(U242)-R242),""))</f>
        <v/>
      </c>
      <c r="Z242" s="67" t="str">
        <f>IF(AND(A242="",E242=""),"",IF(A242="","N° de bon manquant",IF(N(B242)=0,"Date de commande manquante",IF(C242="","Fournisseur manquant",IF(ISNA(MATCH($C242,sup_code,0)),"Fournisseur inconnu",IF(E242="","Article manquant",IF(ISNA(MATCH($E242,art_ref,0)),"Article inconnu",IF(N(H242)&lt;=0,"Quantité invalide",IF(J242="","Prix manquant",IF(OR(N(K242)&lt;0,N(K242)&gt;=1),"Remise invalide",IF(M242="","TVA manquante",IF(ISNA(MATCH(M242,p_tva,0)),"Taux de TVA inconnu",IF(COUNTIFS(po_num,A242,po_sup,"&lt;&gt;"&amp;C242)&gt;0,"Fournisseur différent sur ce bon",IF(COUNTIFS(po_num,A242,po_date,"&lt;&gt;"&amp;B242)&gt;0,"Date différente sur ce bon",IF(COUNTIF(po_num,A242)&gt;25,"Plus de 25 lignes sur ce bon",IF(R242="","Date de livraison manquante",IF(R242&lt;B242,"Livraison avant la commande",IF(AND(N(T242)&gt;0,N(S242)=0),"Date d'envoi manquante",IF(N(T242)&gt;N(H242),"Reçu plus que commandé",IF(AND(N(T242)&gt;0,N(U242)=0),"Date de réception manquante",IF(AND(N(U242)&gt;0,U242&lt;B242),"Réception avant la commande","OK")))))))))))))))))))))</f>
        <v/>
      </c>
      <c r="AA242" s="66" t="str">
        <f>IF(AND(X242="Reçu",ISNUMBER(R242)),IF(N(U242)&lt;=R242,1,0),"")</f>
        <v/>
      </c>
      <c r="AB242" s="76" t="str">
        <f>IF(OR(X242="Envoyé",X242="Partiel",X242="En retard"),IF(ISNUMBER(R242),R242,100000)+ROW()/100000,"")</f>
        <v/>
      </c>
      <c r="AC242" s="66" t="str">
        <f>IF(A242="","",IF(COUNTIF($A$6:A242,A242)=1,1,""))</f>
        <v/>
      </c>
      <c r="AD242" s="66" t="str">
        <f>IF(AC242=1,COUNT($AC$6:AC242),"")</f>
        <v/>
      </c>
      <c r="AE242" s="66" t="str">
        <f>IFERROR(INDEX(po_num,MATCH(237,po_seq,0))&amp;"","")</f>
        <v/>
      </c>
      <c r="AF242" s="66" t="str">
        <f>IF(OR(A242="",p_po=""),"",IF(A242&amp;""=p_po,COUNTIF($A$6:A242,A242),""))</f>
        <v/>
      </c>
      <c r="AG242" s="66" t="str">
        <f>IF(OR(AB242="",A242=""),"",IF(COUNTIFS($A$6:A242,A242,$AB$6:AB242,"&gt;0")=1,1,""))</f>
        <v/>
      </c>
      <c r="AH242" s="70" t="str">
        <f>IF(AB242="","",ROUND(N(W242)*N(J242)*(1-N(K242)),2))</f>
        <v/>
      </c>
      <c r="AI242" s="70" t="str">
        <f>IF(OR(J242="",N(T242)&lt;=0,V242="Oui"),"",ROUND(N(T242)*J242*(1-N(K242)),2))</f>
        <v/>
      </c>
    </row>
    <row r="243">
      <c r="A243" s="63" t="n"/>
      <c r="B243" s="64" t="n"/>
      <c r="C243" s="65" t="n"/>
      <c r="D243" s="66" t="str">
        <f>IF(C243="","",IFERROR(INDEX(sup_name,MATCH($C243,sup_code,0))&amp;"","Fournisseur inconnu"))</f>
        <v/>
      </c>
      <c r="E243" s="63" t="n"/>
      <c r="F243" s="66" t="str">
        <f>IF(E243="","",IFERROR(INDEX(art_des,MATCH($E243,art_ref,0))&amp;"","Article inconnu"))</f>
        <v/>
      </c>
      <c r="G243" s="67" t="str">
        <f>IF(E243="","",IFERROR(INDEX(art_unit,MATCH($E243,art_ref,0))&amp;"",""))</f>
        <v/>
      </c>
      <c r="H243" s="68" t="n"/>
      <c r="I243" s="69" t="n"/>
      <c r="J243" s="70" t="str">
        <f>IF(E243="","",IF(ISNUMBER(I243),I243,IFERROR(IF(ISNUMBER(INDEX(art_price,MATCH($E243,art_ref,0))),INDEX(art_price,MATCH($E243,art_ref,0)),""),"")))</f>
        <v/>
      </c>
      <c r="K243" s="71" t="n"/>
      <c r="L243" s="72" t="n"/>
      <c r="M243" s="72" t="str">
        <f>IF(E243="","",IF(L243&lt;&gt;"",L243,IFERROR(IF(ISNUMBER(INDEX(art_tva,MATCH($E243,art_ref,0))),INDEX(art_tva,MATCH($E243,art_ref,0)),""),"")))</f>
        <v/>
      </c>
      <c r="N243" s="70" t="str">
        <f>IF(OR(E243="",J243=""),"",ROUND(N(H243)*J243*(1-N(K243)),2))</f>
        <v/>
      </c>
      <c r="O243" s="70" t="str">
        <f>IF(OR(N243="",NOT(ISNUMBER(M243))),"",ROUND(N243*M243,2))</f>
        <v/>
      </c>
      <c r="P243" s="70" t="str">
        <f>IF(N243="","",N243+N(O243))</f>
        <v/>
      </c>
      <c r="Q243" s="64" t="n"/>
      <c r="R243" s="73" t="str">
        <f>IF(N(Q243)&gt;0,Q243,IF(OR(N(B243)=0,ISNA(MATCH($C243,sup_code,0))),"",IF(ISNUMBER(INDEX(sup_delay,MATCH($C243,sup_code,0))),B243+INDEX(sup_delay,MATCH($C243,sup_code,0)),"")))</f>
        <v/>
      </c>
      <c r="S243" s="64" t="n"/>
      <c r="T243" s="68" t="n"/>
      <c r="U243" s="64" t="n"/>
      <c r="V243" s="65" t="n"/>
      <c r="W243" s="74" t="str">
        <f>IF(AND(A243="",E243=""),"",IF(V243="Oui",0,MAX(0,ROUND(N(H243)-N(T243),6))))</f>
        <v/>
      </c>
      <c r="X243" s="67" t="str">
        <f>IF(AND(A243="",E243=""),"",IF(V243="Oui","Annulé",IF(AND(N(H243)&gt;0,N(T243)&gt;=N(H243)),"Reçu",IF(N(S243)=0,"Brouillon",IF(AND(ISNUMBER(R243),R243&lt;p_today),"En retard",IF(N(T243)&gt;0,"Partiel","Envoyé"))))))</f>
        <v/>
      </c>
      <c r="Y243" s="75" t="str">
        <f>IF(X243="En retard",p_today-R243,IF(AND(X243="Reçu",ISNUMBER(R243)),MAX(0,N(U243)-R243),""))</f>
        <v/>
      </c>
      <c r="Z243" s="67" t="str">
        <f>IF(AND(A243="",E243=""),"",IF(A243="","N° de bon manquant",IF(N(B243)=0,"Date de commande manquante",IF(C243="","Fournisseur manquant",IF(ISNA(MATCH($C243,sup_code,0)),"Fournisseur inconnu",IF(E243="","Article manquant",IF(ISNA(MATCH($E243,art_ref,0)),"Article inconnu",IF(N(H243)&lt;=0,"Quantité invalide",IF(J243="","Prix manquant",IF(OR(N(K243)&lt;0,N(K243)&gt;=1),"Remise invalide",IF(M243="","TVA manquante",IF(ISNA(MATCH(M243,p_tva,0)),"Taux de TVA inconnu",IF(COUNTIFS(po_num,A243,po_sup,"&lt;&gt;"&amp;C243)&gt;0,"Fournisseur différent sur ce bon",IF(COUNTIFS(po_num,A243,po_date,"&lt;&gt;"&amp;B243)&gt;0,"Date différente sur ce bon",IF(COUNTIF(po_num,A243)&gt;25,"Plus de 25 lignes sur ce bon",IF(R243="","Date de livraison manquante",IF(R243&lt;B243,"Livraison avant la commande",IF(AND(N(T243)&gt;0,N(S243)=0),"Date d'envoi manquante",IF(N(T243)&gt;N(H243),"Reçu plus que commandé",IF(AND(N(T243)&gt;0,N(U243)=0),"Date de réception manquante",IF(AND(N(U243)&gt;0,U243&lt;B243),"Réception avant la commande","OK")))))))))))))))))))))</f>
        <v/>
      </c>
      <c r="AA243" s="66" t="str">
        <f>IF(AND(X243="Reçu",ISNUMBER(R243)),IF(N(U243)&lt;=R243,1,0),"")</f>
        <v/>
      </c>
      <c r="AB243" s="76" t="str">
        <f>IF(OR(X243="Envoyé",X243="Partiel",X243="En retard"),IF(ISNUMBER(R243),R243,100000)+ROW()/100000,"")</f>
        <v/>
      </c>
      <c r="AC243" s="66" t="str">
        <f>IF(A243="","",IF(COUNTIF($A$6:A243,A243)=1,1,""))</f>
        <v/>
      </c>
      <c r="AD243" s="66" t="str">
        <f>IF(AC243=1,COUNT($AC$6:AC243),"")</f>
        <v/>
      </c>
      <c r="AE243" s="66" t="str">
        <f>IFERROR(INDEX(po_num,MATCH(238,po_seq,0))&amp;"","")</f>
        <v/>
      </c>
      <c r="AF243" s="66" t="str">
        <f>IF(OR(A243="",p_po=""),"",IF(A243&amp;""=p_po,COUNTIF($A$6:A243,A243),""))</f>
        <v/>
      </c>
      <c r="AG243" s="66" t="str">
        <f>IF(OR(AB243="",A243=""),"",IF(COUNTIFS($A$6:A243,A243,$AB$6:AB243,"&gt;0")=1,1,""))</f>
        <v/>
      </c>
      <c r="AH243" s="70" t="str">
        <f>IF(AB243="","",ROUND(N(W243)*N(J243)*(1-N(K243)),2))</f>
        <v/>
      </c>
      <c r="AI243" s="70" t="str">
        <f>IF(OR(J243="",N(T243)&lt;=0,V243="Oui"),"",ROUND(N(T243)*J243*(1-N(K243)),2))</f>
        <v/>
      </c>
    </row>
    <row r="244">
      <c r="A244" s="63" t="n"/>
      <c r="B244" s="64" t="n"/>
      <c r="C244" s="65" t="n"/>
      <c r="D244" s="66" t="str">
        <f>IF(C244="","",IFERROR(INDEX(sup_name,MATCH($C244,sup_code,0))&amp;"","Fournisseur inconnu"))</f>
        <v/>
      </c>
      <c r="E244" s="63" t="n"/>
      <c r="F244" s="66" t="str">
        <f>IF(E244="","",IFERROR(INDEX(art_des,MATCH($E244,art_ref,0))&amp;"","Article inconnu"))</f>
        <v/>
      </c>
      <c r="G244" s="67" t="str">
        <f>IF(E244="","",IFERROR(INDEX(art_unit,MATCH($E244,art_ref,0))&amp;"",""))</f>
        <v/>
      </c>
      <c r="H244" s="68" t="n"/>
      <c r="I244" s="69" t="n"/>
      <c r="J244" s="70" t="str">
        <f>IF(E244="","",IF(ISNUMBER(I244),I244,IFERROR(IF(ISNUMBER(INDEX(art_price,MATCH($E244,art_ref,0))),INDEX(art_price,MATCH($E244,art_ref,0)),""),"")))</f>
        <v/>
      </c>
      <c r="K244" s="71" t="n"/>
      <c r="L244" s="72" t="n"/>
      <c r="M244" s="72" t="str">
        <f>IF(E244="","",IF(L244&lt;&gt;"",L244,IFERROR(IF(ISNUMBER(INDEX(art_tva,MATCH($E244,art_ref,0))),INDEX(art_tva,MATCH($E244,art_ref,0)),""),"")))</f>
        <v/>
      </c>
      <c r="N244" s="70" t="str">
        <f>IF(OR(E244="",J244=""),"",ROUND(N(H244)*J244*(1-N(K244)),2))</f>
        <v/>
      </c>
      <c r="O244" s="70" t="str">
        <f>IF(OR(N244="",NOT(ISNUMBER(M244))),"",ROUND(N244*M244,2))</f>
        <v/>
      </c>
      <c r="P244" s="70" t="str">
        <f>IF(N244="","",N244+N(O244))</f>
        <v/>
      </c>
      <c r="Q244" s="64" t="n"/>
      <c r="R244" s="73" t="str">
        <f>IF(N(Q244)&gt;0,Q244,IF(OR(N(B244)=0,ISNA(MATCH($C244,sup_code,0))),"",IF(ISNUMBER(INDEX(sup_delay,MATCH($C244,sup_code,0))),B244+INDEX(sup_delay,MATCH($C244,sup_code,0)),"")))</f>
        <v/>
      </c>
      <c r="S244" s="64" t="n"/>
      <c r="T244" s="68" t="n"/>
      <c r="U244" s="64" t="n"/>
      <c r="V244" s="65" t="n"/>
      <c r="W244" s="74" t="str">
        <f>IF(AND(A244="",E244=""),"",IF(V244="Oui",0,MAX(0,ROUND(N(H244)-N(T244),6))))</f>
        <v/>
      </c>
      <c r="X244" s="67" t="str">
        <f>IF(AND(A244="",E244=""),"",IF(V244="Oui","Annulé",IF(AND(N(H244)&gt;0,N(T244)&gt;=N(H244)),"Reçu",IF(N(S244)=0,"Brouillon",IF(AND(ISNUMBER(R244),R244&lt;p_today),"En retard",IF(N(T244)&gt;0,"Partiel","Envoyé"))))))</f>
        <v/>
      </c>
      <c r="Y244" s="75" t="str">
        <f>IF(X244="En retard",p_today-R244,IF(AND(X244="Reçu",ISNUMBER(R244)),MAX(0,N(U244)-R244),""))</f>
        <v/>
      </c>
      <c r="Z244" s="67" t="str">
        <f>IF(AND(A244="",E244=""),"",IF(A244="","N° de bon manquant",IF(N(B244)=0,"Date de commande manquante",IF(C244="","Fournisseur manquant",IF(ISNA(MATCH($C244,sup_code,0)),"Fournisseur inconnu",IF(E244="","Article manquant",IF(ISNA(MATCH($E244,art_ref,0)),"Article inconnu",IF(N(H244)&lt;=0,"Quantité invalide",IF(J244="","Prix manquant",IF(OR(N(K244)&lt;0,N(K244)&gt;=1),"Remise invalide",IF(M244="","TVA manquante",IF(ISNA(MATCH(M244,p_tva,0)),"Taux de TVA inconnu",IF(COUNTIFS(po_num,A244,po_sup,"&lt;&gt;"&amp;C244)&gt;0,"Fournisseur différent sur ce bon",IF(COUNTIFS(po_num,A244,po_date,"&lt;&gt;"&amp;B244)&gt;0,"Date différente sur ce bon",IF(COUNTIF(po_num,A244)&gt;25,"Plus de 25 lignes sur ce bon",IF(R244="","Date de livraison manquante",IF(R244&lt;B244,"Livraison avant la commande",IF(AND(N(T244)&gt;0,N(S244)=0),"Date d'envoi manquante",IF(N(T244)&gt;N(H244),"Reçu plus que commandé",IF(AND(N(T244)&gt;0,N(U244)=0),"Date de réception manquante",IF(AND(N(U244)&gt;0,U244&lt;B244),"Réception avant la commande","OK")))))))))))))))))))))</f>
        <v/>
      </c>
      <c r="AA244" s="66" t="str">
        <f>IF(AND(X244="Reçu",ISNUMBER(R244)),IF(N(U244)&lt;=R244,1,0),"")</f>
        <v/>
      </c>
      <c r="AB244" s="76" t="str">
        <f>IF(OR(X244="Envoyé",X244="Partiel",X244="En retard"),IF(ISNUMBER(R244),R244,100000)+ROW()/100000,"")</f>
        <v/>
      </c>
      <c r="AC244" s="66" t="str">
        <f>IF(A244="","",IF(COUNTIF($A$6:A244,A244)=1,1,""))</f>
        <v/>
      </c>
      <c r="AD244" s="66" t="str">
        <f>IF(AC244=1,COUNT($AC$6:AC244),"")</f>
        <v/>
      </c>
      <c r="AE244" s="66" t="str">
        <f>IFERROR(INDEX(po_num,MATCH(239,po_seq,0))&amp;"","")</f>
        <v/>
      </c>
      <c r="AF244" s="66" t="str">
        <f>IF(OR(A244="",p_po=""),"",IF(A244&amp;""=p_po,COUNTIF($A$6:A244,A244),""))</f>
        <v/>
      </c>
      <c r="AG244" s="66" t="str">
        <f>IF(OR(AB244="",A244=""),"",IF(COUNTIFS($A$6:A244,A244,$AB$6:AB244,"&gt;0")=1,1,""))</f>
        <v/>
      </c>
      <c r="AH244" s="70" t="str">
        <f>IF(AB244="","",ROUND(N(W244)*N(J244)*(1-N(K244)),2))</f>
        <v/>
      </c>
      <c r="AI244" s="70" t="str">
        <f>IF(OR(J244="",N(T244)&lt;=0,V244="Oui"),"",ROUND(N(T244)*J244*(1-N(K244)),2))</f>
        <v/>
      </c>
    </row>
    <row r="245">
      <c r="A245" s="63" t="n"/>
      <c r="B245" s="64" t="n"/>
      <c r="C245" s="65" t="n"/>
      <c r="D245" s="66" t="str">
        <f>IF(C245="","",IFERROR(INDEX(sup_name,MATCH($C245,sup_code,0))&amp;"","Fournisseur inconnu"))</f>
        <v/>
      </c>
      <c r="E245" s="63" t="n"/>
      <c r="F245" s="66" t="str">
        <f>IF(E245="","",IFERROR(INDEX(art_des,MATCH($E245,art_ref,0))&amp;"","Article inconnu"))</f>
        <v/>
      </c>
      <c r="G245" s="67" t="str">
        <f>IF(E245="","",IFERROR(INDEX(art_unit,MATCH($E245,art_ref,0))&amp;"",""))</f>
        <v/>
      </c>
      <c r="H245" s="68" t="n"/>
      <c r="I245" s="69" t="n"/>
      <c r="J245" s="70" t="str">
        <f>IF(E245="","",IF(ISNUMBER(I245),I245,IFERROR(IF(ISNUMBER(INDEX(art_price,MATCH($E245,art_ref,0))),INDEX(art_price,MATCH($E245,art_ref,0)),""),"")))</f>
        <v/>
      </c>
      <c r="K245" s="71" t="n"/>
      <c r="L245" s="72" t="n"/>
      <c r="M245" s="72" t="str">
        <f>IF(E245="","",IF(L245&lt;&gt;"",L245,IFERROR(IF(ISNUMBER(INDEX(art_tva,MATCH($E245,art_ref,0))),INDEX(art_tva,MATCH($E245,art_ref,0)),""),"")))</f>
        <v/>
      </c>
      <c r="N245" s="70" t="str">
        <f>IF(OR(E245="",J245=""),"",ROUND(N(H245)*J245*(1-N(K245)),2))</f>
        <v/>
      </c>
      <c r="O245" s="70" t="str">
        <f>IF(OR(N245="",NOT(ISNUMBER(M245))),"",ROUND(N245*M245,2))</f>
        <v/>
      </c>
      <c r="P245" s="70" t="str">
        <f>IF(N245="","",N245+N(O245))</f>
        <v/>
      </c>
      <c r="Q245" s="64" t="n"/>
      <c r="R245" s="73" t="str">
        <f>IF(N(Q245)&gt;0,Q245,IF(OR(N(B245)=0,ISNA(MATCH($C245,sup_code,0))),"",IF(ISNUMBER(INDEX(sup_delay,MATCH($C245,sup_code,0))),B245+INDEX(sup_delay,MATCH($C245,sup_code,0)),"")))</f>
        <v/>
      </c>
      <c r="S245" s="64" t="n"/>
      <c r="T245" s="68" t="n"/>
      <c r="U245" s="64" t="n"/>
      <c r="V245" s="65" t="n"/>
      <c r="W245" s="74" t="str">
        <f>IF(AND(A245="",E245=""),"",IF(V245="Oui",0,MAX(0,ROUND(N(H245)-N(T245),6))))</f>
        <v/>
      </c>
      <c r="X245" s="67" t="str">
        <f>IF(AND(A245="",E245=""),"",IF(V245="Oui","Annulé",IF(AND(N(H245)&gt;0,N(T245)&gt;=N(H245)),"Reçu",IF(N(S245)=0,"Brouillon",IF(AND(ISNUMBER(R245),R245&lt;p_today),"En retard",IF(N(T245)&gt;0,"Partiel","Envoyé"))))))</f>
        <v/>
      </c>
      <c r="Y245" s="75" t="str">
        <f>IF(X245="En retard",p_today-R245,IF(AND(X245="Reçu",ISNUMBER(R245)),MAX(0,N(U245)-R245),""))</f>
        <v/>
      </c>
      <c r="Z245" s="67" t="str">
        <f>IF(AND(A245="",E245=""),"",IF(A245="","N° de bon manquant",IF(N(B245)=0,"Date de commande manquante",IF(C245="","Fournisseur manquant",IF(ISNA(MATCH($C245,sup_code,0)),"Fournisseur inconnu",IF(E245="","Article manquant",IF(ISNA(MATCH($E245,art_ref,0)),"Article inconnu",IF(N(H245)&lt;=0,"Quantité invalide",IF(J245="","Prix manquant",IF(OR(N(K245)&lt;0,N(K245)&gt;=1),"Remise invalide",IF(M245="","TVA manquante",IF(ISNA(MATCH(M245,p_tva,0)),"Taux de TVA inconnu",IF(COUNTIFS(po_num,A245,po_sup,"&lt;&gt;"&amp;C245)&gt;0,"Fournisseur différent sur ce bon",IF(COUNTIFS(po_num,A245,po_date,"&lt;&gt;"&amp;B245)&gt;0,"Date différente sur ce bon",IF(COUNTIF(po_num,A245)&gt;25,"Plus de 25 lignes sur ce bon",IF(R245="","Date de livraison manquante",IF(R245&lt;B245,"Livraison avant la commande",IF(AND(N(T245)&gt;0,N(S245)=0),"Date d'envoi manquante",IF(N(T245)&gt;N(H245),"Reçu plus que commandé",IF(AND(N(T245)&gt;0,N(U245)=0),"Date de réception manquante",IF(AND(N(U245)&gt;0,U245&lt;B245),"Réception avant la commande","OK")))))))))))))))))))))</f>
        <v/>
      </c>
      <c r="AA245" s="66" t="str">
        <f>IF(AND(X245="Reçu",ISNUMBER(R245)),IF(N(U245)&lt;=R245,1,0),"")</f>
        <v/>
      </c>
      <c r="AB245" s="76" t="str">
        <f>IF(OR(X245="Envoyé",X245="Partiel",X245="En retard"),IF(ISNUMBER(R245),R245,100000)+ROW()/100000,"")</f>
        <v/>
      </c>
      <c r="AC245" s="66" t="str">
        <f>IF(A245="","",IF(COUNTIF($A$6:A245,A245)=1,1,""))</f>
        <v/>
      </c>
      <c r="AD245" s="66" t="str">
        <f>IF(AC245=1,COUNT($AC$6:AC245),"")</f>
        <v/>
      </c>
      <c r="AE245" s="66" t="str">
        <f>IFERROR(INDEX(po_num,MATCH(240,po_seq,0))&amp;"","")</f>
        <v/>
      </c>
      <c r="AF245" s="66" t="str">
        <f>IF(OR(A245="",p_po=""),"",IF(A245&amp;""=p_po,COUNTIF($A$6:A245,A245),""))</f>
        <v/>
      </c>
      <c r="AG245" s="66" t="str">
        <f>IF(OR(AB245="",A245=""),"",IF(COUNTIFS($A$6:A245,A245,$AB$6:AB245,"&gt;0")=1,1,""))</f>
        <v/>
      </c>
      <c r="AH245" s="70" t="str">
        <f>IF(AB245="","",ROUND(N(W245)*N(J245)*(1-N(K245)),2))</f>
        <v/>
      </c>
      <c r="AI245" s="70" t="str">
        <f>IF(OR(J245="",N(T245)&lt;=0,V245="Oui"),"",ROUND(N(T245)*J245*(1-N(K245)),2))</f>
        <v/>
      </c>
    </row>
    <row r="246">
      <c r="A246" s="63" t="n"/>
      <c r="B246" s="64" t="n"/>
      <c r="C246" s="65" t="n"/>
      <c r="D246" s="66" t="str">
        <f>IF(C246="","",IFERROR(INDEX(sup_name,MATCH($C246,sup_code,0))&amp;"","Fournisseur inconnu"))</f>
        <v/>
      </c>
      <c r="E246" s="63" t="n"/>
      <c r="F246" s="66" t="str">
        <f>IF(E246="","",IFERROR(INDEX(art_des,MATCH($E246,art_ref,0))&amp;"","Article inconnu"))</f>
        <v/>
      </c>
      <c r="G246" s="67" t="str">
        <f>IF(E246="","",IFERROR(INDEX(art_unit,MATCH($E246,art_ref,0))&amp;"",""))</f>
        <v/>
      </c>
      <c r="H246" s="68" t="n"/>
      <c r="I246" s="69" t="n"/>
      <c r="J246" s="70" t="str">
        <f>IF(E246="","",IF(ISNUMBER(I246),I246,IFERROR(IF(ISNUMBER(INDEX(art_price,MATCH($E246,art_ref,0))),INDEX(art_price,MATCH($E246,art_ref,0)),""),"")))</f>
        <v/>
      </c>
      <c r="K246" s="71" t="n"/>
      <c r="L246" s="72" t="n"/>
      <c r="M246" s="72" t="str">
        <f>IF(E246="","",IF(L246&lt;&gt;"",L246,IFERROR(IF(ISNUMBER(INDEX(art_tva,MATCH($E246,art_ref,0))),INDEX(art_tva,MATCH($E246,art_ref,0)),""),"")))</f>
        <v/>
      </c>
      <c r="N246" s="70" t="str">
        <f>IF(OR(E246="",J246=""),"",ROUND(N(H246)*J246*(1-N(K246)),2))</f>
        <v/>
      </c>
      <c r="O246" s="70" t="str">
        <f>IF(OR(N246="",NOT(ISNUMBER(M246))),"",ROUND(N246*M246,2))</f>
        <v/>
      </c>
      <c r="P246" s="70" t="str">
        <f>IF(N246="","",N246+N(O246))</f>
        <v/>
      </c>
      <c r="Q246" s="64" t="n"/>
      <c r="R246" s="73" t="str">
        <f>IF(N(Q246)&gt;0,Q246,IF(OR(N(B246)=0,ISNA(MATCH($C246,sup_code,0))),"",IF(ISNUMBER(INDEX(sup_delay,MATCH($C246,sup_code,0))),B246+INDEX(sup_delay,MATCH($C246,sup_code,0)),"")))</f>
        <v/>
      </c>
      <c r="S246" s="64" t="n"/>
      <c r="T246" s="68" t="n"/>
      <c r="U246" s="64" t="n"/>
      <c r="V246" s="65" t="n"/>
      <c r="W246" s="74" t="str">
        <f>IF(AND(A246="",E246=""),"",IF(V246="Oui",0,MAX(0,ROUND(N(H246)-N(T246),6))))</f>
        <v/>
      </c>
      <c r="X246" s="67" t="str">
        <f>IF(AND(A246="",E246=""),"",IF(V246="Oui","Annulé",IF(AND(N(H246)&gt;0,N(T246)&gt;=N(H246)),"Reçu",IF(N(S246)=0,"Brouillon",IF(AND(ISNUMBER(R246),R246&lt;p_today),"En retard",IF(N(T246)&gt;0,"Partiel","Envoyé"))))))</f>
        <v/>
      </c>
      <c r="Y246" s="75" t="str">
        <f>IF(X246="En retard",p_today-R246,IF(AND(X246="Reçu",ISNUMBER(R246)),MAX(0,N(U246)-R246),""))</f>
        <v/>
      </c>
      <c r="Z246" s="67" t="str">
        <f>IF(AND(A246="",E246=""),"",IF(A246="","N° de bon manquant",IF(N(B246)=0,"Date de commande manquante",IF(C246="","Fournisseur manquant",IF(ISNA(MATCH($C246,sup_code,0)),"Fournisseur inconnu",IF(E246="","Article manquant",IF(ISNA(MATCH($E246,art_ref,0)),"Article inconnu",IF(N(H246)&lt;=0,"Quantité invalide",IF(J246="","Prix manquant",IF(OR(N(K246)&lt;0,N(K246)&gt;=1),"Remise invalide",IF(M246="","TVA manquante",IF(ISNA(MATCH(M246,p_tva,0)),"Taux de TVA inconnu",IF(COUNTIFS(po_num,A246,po_sup,"&lt;&gt;"&amp;C246)&gt;0,"Fournisseur différent sur ce bon",IF(COUNTIFS(po_num,A246,po_date,"&lt;&gt;"&amp;B246)&gt;0,"Date différente sur ce bon",IF(COUNTIF(po_num,A246)&gt;25,"Plus de 25 lignes sur ce bon",IF(R246="","Date de livraison manquante",IF(R246&lt;B246,"Livraison avant la commande",IF(AND(N(T246)&gt;0,N(S246)=0),"Date d'envoi manquante",IF(N(T246)&gt;N(H246),"Reçu plus que commandé",IF(AND(N(T246)&gt;0,N(U246)=0),"Date de réception manquante",IF(AND(N(U246)&gt;0,U246&lt;B246),"Réception avant la commande","OK")))))))))))))))))))))</f>
        <v/>
      </c>
      <c r="AA246" s="66" t="str">
        <f>IF(AND(X246="Reçu",ISNUMBER(R246)),IF(N(U246)&lt;=R246,1,0),"")</f>
        <v/>
      </c>
      <c r="AB246" s="76" t="str">
        <f>IF(OR(X246="Envoyé",X246="Partiel",X246="En retard"),IF(ISNUMBER(R246),R246,100000)+ROW()/100000,"")</f>
        <v/>
      </c>
      <c r="AC246" s="66" t="str">
        <f>IF(A246="","",IF(COUNTIF($A$6:A246,A246)=1,1,""))</f>
        <v/>
      </c>
      <c r="AD246" s="66" t="str">
        <f>IF(AC246=1,COUNT($AC$6:AC246),"")</f>
        <v/>
      </c>
      <c r="AE246" s="66" t="str">
        <f>IFERROR(INDEX(po_num,MATCH(241,po_seq,0))&amp;"","")</f>
        <v/>
      </c>
      <c r="AF246" s="66" t="str">
        <f>IF(OR(A246="",p_po=""),"",IF(A246&amp;""=p_po,COUNTIF($A$6:A246,A246),""))</f>
        <v/>
      </c>
      <c r="AG246" s="66" t="str">
        <f>IF(OR(AB246="",A246=""),"",IF(COUNTIFS($A$6:A246,A246,$AB$6:AB246,"&gt;0")=1,1,""))</f>
        <v/>
      </c>
      <c r="AH246" s="70" t="str">
        <f>IF(AB246="","",ROUND(N(W246)*N(J246)*(1-N(K246)),2))</f>
        <v/>
      </c>
      <c r="AI246" s="70" t="str">
        <f>IF(OR(J246="",N(T246)&lt;=0,V246="Oui"),"",ROUND(N(T246)*J246*(1-N(K246)),2))</f>
        <v/>
      </c>
    </row>
    <row r="247">
      <c r="A247" s="63" t="n"/>
      <c r="B247" s="64" t="n"/>
      <c r="C247" s="65" t="n"/>
      <c r="D247" s="66" t="str">
        <f>IF(C247="","",IFERROR(INDEX(sup_name,MATCH($C247,sup_code,0))&amp;"","Fournisseur inconnu"))</f>
        <v/>
      </c>
      <c r="E247" s="63" t="n"/>
      <c r="F247" s="66" t="str">
        <f>IF(E247="","",IFERROR(INDEX(art_des,MATCH($E247,art_ref,0))&amp;"","Article inconnu"))</f>
        <v/>
      </c>
      <c r="G247" s="67" t="str">
        <f>IF(E247="","",IFERROR(INDEX(art_unit,MATCH($E247,art_ref,0))&amp;"",""))</f>
        <v/>
      </c>
      <c r="H247" s="68" t="n"/>
      <c r="I247" s="69" t="n"/>
      <c r="J247" s="70" t="str">
        <f>IF(E247="","",IF(ISNUMBER(I247),I247,IFERROR(IF(ISNUMBER(INDEX(art_price,MATCH($E247,art_ref,0))),INDEX(art_price,MATCH($E247,art_ref,0)),""),"")))</f>
        <v/>
      </c>
      <c r="K247" s="71" t="n"/>
      <c r="L247" s="72" t="n"/>
      <c r="M247" s="72" t="str">
        <f>IF(E247="","",IF(L247&lt;&gt;"",L247,IFERROR(IF(ISNUMBER(INDEX(art_tva,MATCH($E247,art_ref,0))),INDEX(art_tva,MATCH($E247,art_ref,0)),""),"")))</f>
        <v/>
      </c>
      <c r="N247" s="70" t="str">
        <f>IF(OR(E247="",J247=""),"",ROUND(N(H247)*J247*(1-N(K247)),2))</f>
        <v/>
      </c>
      <c r="O247" s="70" t="str">
        <f>IF(OR(N247="",NOT(ISNUMBER(M247))),"",ROUND(N247*M247,2))</f>
        <v/>
      </c>
      <c r="P247" s="70" t="str">
        <f>IF(N247="","",N247+N(O247))</f>
        <v/>
      </c>
      <c r="Q247" s="64" t="n"/>
      <c r="R247" s="73" t="str">
        <f>IF(N(Q247)&gt;0,Q247,IF(OR(N(B247)=0,ISNA(MATCH($C247,sup_code,0))),"",IF(ISNUMBER(INDEX(sup_delay,MATCH($C247,sup_code,0))),B247+INDEX(sup_delay,MATCH($C247,sup_code,0)),"")))</f>
        <v/>
      </c>
      <c r="S247" s="64" t="n"/>
      <c r="T247" s="68" t="n"/>
      <c r="U247" s="64" t="n"/>
      <c r="V247" s="65" t="n"/>
      <c r="W247" s="74" t="str">
        <f>IF(AND(A247="",E247=""),"",IF(V247="Oui",0,MAX(0,ROUND(N(H247)-N(T247),6))))</f>
        <v/>
      </c>
      <c r="X247" s="67" t="str">
        <f>IF(AND(A247="",E247=""),"",IF(V247="Oui","Annulé",IF(AND(N(H247)&gt;0,N(T247)&gt;=N(H247)),"Reçu",IF(N(S247)=0,"Brouillon",IF(AND(ISNUMBER(R247),R247&lt;p_today),"En retard",IF(N(T247)&gt;0,"Partiel","Envoyé"))))))</f>
        <v/>
      </c>
      <c r="Y247" s="75" t="str">
        <f>IF(X247="En retard",p_today-R247,IF(AND(X247="Reçu",ISNUMBER(R247)),MAX(0,N(U247)-R247),""))</f>
        <v/>
      </c>
      <c r="Z247" s="67" t="str">
        <f>IF(AND(A247="",E247=""),"",IF(A247="","N° de bon manquant",IF(N(B247)=0,"Date de commande manquante",IF(C247="","Fournisseur manquant",IF(ISNA(MATCH($C247,sup_code,0)),"Fournisseur inconnu",IF(E247="","Article manquant",IF(ISNA(MATCH($E247,art_ref,0)),"Article inconnu",IF(N(H247)&lt;=0,"Quantité invalide",IF(J247="","Prix manquant",IF(OR(N(K247)&lt;0,N(K247)&gt;=1),"Remise invalide",IF(M247="","TVA manquante",IF(ISNA(MATCH(M247,p_tva,0)),"Taux de TVA inconnu",IF(COUNTIFS(po_num,A247,po_sup,"&lt;&gt;"&amp;C247)&gt;0,"Fournisseur différent sur ce bon",IF(COUNTIFS(po_num,A247,po_date,"&lt;&gt;"&amp;B247)&gt;0,"Date différente sur ce bon",IF(COUNTIF(po_num,A247)&gt;25,"Plus de 25 lignes sur ce bon",IF(R247="","Date de livraison manquante",IF(R247&lt;B247,"Livraison avant la commande",IF(AND(N(T247)&gt;0,N(S247)=0),"Date d'envoi manquante",IF(N(T247)&gt;N(H247),"Reçu plus que commandé",IF(AND(N(T247)&gt;0,N(U247)=0),"Date de réception manquante",IF(AND(N(U247)&gt;0,U247&lt;B247),"Réception avant la commande","OK")))))))))))))))))))))</f>
        <v/>
      </c>
      <c r="AA247" s="66" t="str">
        <f>IF(AND(X247="Reçu",ISNUMBER(R247)),IF(N(U247)&lt;=R247,1,0),"")</f>
        <v/>
      </c>
      <c r="AB247" s="76" t="str">
        <f>IF(OR(X247="Envoyé",X247="Partiel",X247="En retard"),IF(ISNUMBER(R247),R247,100000)+ROW()/100000,"")</f>
        <v/>
      </c>
      <c r="AC247" s="66" t="str">
        <f>IF(A247="","",IF(COUNTIF($A$6:A247,A247)=1,1,""))</f>
        <v/>
      </c>
      <c r="AD247" s="66" t="str">
        <f>IF(AC247=1,COUNT($AC$6:AC247),"")</f>
        <v/>
      </c>
      <c r="AE247" s="66" t="str">
        <f>IFERROR(INDEX(po_num,MATCH(242,po_seq,0))&amp;"","")</f>
        <v/>
      </c>
      <c r="AF247" s="66" t="str">
        <f>IF(OR(A247="",p_po=""),"",IF(A247&amp;""=p_po,COUNTIF($A$6:A247,A247),""))</f>
        <v/>
      </c>
      <c r="AG247" s="66" t="str">
        <f>IF(OR(AB247="",A247=""),"",IF(COUNTIFS($A$6:A247,A247,$AB$6:AB247,"&gt;0")=1,1,""))</f>
        <v/>
      </c>
      <c r="AH247" s="70" t="str">
        <f>IF(AB247="","",ROUND(N(W247)*N(J247)*(1-N(K247)),2))</f>
        <v/>
      </c>
      <c r="AI247" s="70" t="str">
        <f>IF(OR(J247="",N(T247)&lt;=0,V247="Oui"),"",ROUND(N(T247)*J247*(1-N(K247)),2))</f>
        <v/>
      </c>
    </row>
    <row r="248">
      <c r="A248" s="63" t="n"/>
      <c r="B248" s="64" t="n"/>
      <c r="C248" s="65" t="n"/>
      <c r="D248" s="66" t="str">
        <f>IF(C248="","",IFERROR(INDEX(sup_name,MATCH($C248,sup_code,0))&amp;"","Fournisseur inconnu"))</f>
        <v/>
      </c>
      <c r="E248" s="63" t="n"/>
      <c r="F248" s="66" t="str">
        <f>IF(E248="","",IFERROR(INDEX(art_des,MATCH($E248,art_ref,0))&amp;"","Article inconnu"))</f>
        <v/>
      </c>
      <c r="G248" s="67" t="str">
        <f>IF(E248="","",IFERROR(INDEX(art_unit,MATCH($E248,art_ref,0))&amp;"",""))</f>
        <v/>
      </c>
      <c r="H248" s="68" t="n"/>
      <c r="I248" s="69" t="n"/>
      <c r="J248" s="70" t="str">
        <f>IF(E248="","",IF(ISNUMBER(I248),I248,IFERROR(IF(ISNUMBER(INDEX(art_price,MATCH($E248,art_ref,0))),INDEX(art_price,MATCH($E248,art_ref,0)),""),"")))</f>
        <v/>
      </c>
      <c r="K248" s="71" t="n"/>
      <c r="L248" s="72" t="n"/>
      <c r="M248" s="72" t="str">
        <f>IF(E248="","",IF(L248&lt;&gt;"",L248,IFERROR(IF(ISNUMBER(INDEX(art_tva,MATCH($E248,art_ref,0))),INDEX(art_tva,MATCH($E248,art_ref,0)),""),"")))</f>
        <v/>
      </c>
      <c r="N248" s="70" t="str">
        <f>IF(OR(E248="",J248=""),"",ROUND(N(H248)*J248*(1-N(K248)),2))</f>
        <v/>
      </c>
      <c r="O248" s="70" t="str">
        <f>IF(OR(N248="",NOT(ISNUMBER(M248))),"",ROUND(N248*M248,2))</f>
        <v/>
      </c>
      <c r="P248" s="70" t="str">
        <f>IF(N248="","",N248+N(O248))</f>
        <v/>
      </c>
      <c r="Q248" s="64" t="n"/>
      <c r="R248" s="73" t="str">
        <f>IF(N(Q248)&gt;0,Q248,IF(OR(N(B248)=0,ISNA(MATCH($C248,sup_code,0))),"",IF(ISNUMBER(INDEX(sup_delay,MATCH($C248,sup_code,0))),B248+INDEX(sup_delay,MATCH($C248,sup_code,0)),"")))</f>
        <v/>
      </c>
      <c r="S248" s="64" t="n"/>
      <c r="T248" s="68" t="n"/>
      <c r="U248" s="64" t="n"/>
      <c r="V248" s="65" t="n"/>
      <c r="W248" s="74" t="str">
        <f>IF(AND(A248="",E248=""),"",IF(V248="Oui",0,MAX(0,ROUND(N(H248)-N(T248),6))))</f>
        <v/>
      </c>
      <c r="X248" s="67" t="str">
        <f>IF(AND(A248="",E248=""),"",IF(V248="Oui","Annulé",IF(AND(N(H248)&gt;0,N(T248)&gt;=N(H248)),"Reçu",IF(N(S248)=0,"Brouillon",IF(AND(ISNUMBER(R248),R248&lt;p_today),"En retard",IF(N(T248)&gt;0,"Partiel","Envoyé"))))))</f>
        <v/>
      </c>
      <c r="Y248" s="75" t="str">
        <f>IF(X248="En retard",p_today-R248,IF(AND(X248="Reçu",ISNUMBER(R248)),MAX(0,N(U248)-R248),""))</f>
        <v/>
      </c>
      <c r="Z248" s="67" t="str">
        <f>IF(AND(A248="",E248=""),"",IF(A248="","N° de bon manquant",IF(N(B248)=0,"Date de commande manquante",IF(C248="","Fournisseur manquant",IF(ISNA(MATCH($C248,sup_code,0)),"Fournisseur inconnu",IF(E248="","Article manquant",IF(ISNA(MATCH($E248,art_ref,0)),"Article inconnu",IF(N(H248)&lt;=0,"Quantité invalide",IF(J248="","Prix manquant",IF(OR(N(K248)&lt;0,N(K248)&gt;=1),"Remise invalide",IF(M248="","TVA manquante",IF(ISNA(MATCH(M248,p_tva,0)),"Taux de TVA inconnu",IF(COUNTIFS(po_num,A248,po_sup,"&lt;&gt;"&amp;C248)&gt;0,"Fournisseur différent sur ce bon",IF(COUNTIFS(po_num,A248,po_date,"&lt;&gt;"&amp;B248)&gt;0,"Date différente sur ce bon",IF(COUNTIF(po_num,A248)&gt;25,"Plus de 25 lignes sur ce bon",IF(R248="","Date de livraison manquante",IF(R248&lt;B248,"Livraison avant la commande",IF(AND(N(T248)&gt;0,N(S248)=0),"Date d'envoi manquante",IF(N(T248)&gt;N(H248),"Reçu plus que commandé",IF(AND(N(T248)&gt;0,N(U248)=0),"Date de réception manquante",IF(AND(N(U248)&gt;0,U248&lt;B248),"Réception avant la commande","OK")))))))))))))))))))))</f>
        <v/>
      </c>
      <c r="AA248" s="66" t="str">
        <f>IF(AND(X248="Reçu",ISNUMBER(R248)),IF(N(U248)&lt;=R248,1,0),"")</f>
        <v/>
      </c>
      <c r="AB248" s="76" t="str">
        <f>IF(OR(X248="Envoyé",X248="Partiel",X248="En retard"),IF(ISNUMBER(R248),R248,100000)+ROW()/100000,"")</f>
        <v/>
      </c>
      <c r="AC248" s="66" t="str">
        <f>IF(A248="","",IF(COUNTIF($A$6:A248,A248)=1,1,""))</f>
        <v/>
      </c>
      <c r="AD248" s="66" t="str">
        <f>IF(AC248=1,COUNT($AC$6:AC248),"")</f>
        <v/>
      </c>
      <c r="AE248" s="66" t="str">
        <f>IFERROR(INDEX(po_num,MATCH(243,po_seq,0))&amp;"","")</f>
        <v/>
      </c>
      <c r="AF248" s="66" t="str">
        <f>IF(OR(A248="",p_po=""),"",IF(A248&amp;""=p_po,COUNTIF($A$6:A248,A248),""))</f>
        <v/>
      </c>
      <c r="AG248" s="66" t="str">
        <f>IF(OR(AB248="",A248=""),"",IF(COUNTIFS($A$6:A248,A248,$AB$6:AB248,"&gt;0")=1,1,""))</f>
        <v/>
      </c>
      <c r="AH248" s="70" t="str">
        <f>IF(AB248="","",ROUND(N(W248)*N(J248)*(1-N(K248)),2))</f>
        <v/>
      </c>
      <c r="AI248" s="70" t="str">
        <f>IF(OR(J248="",N(T248)&lt;=0,V248="Oui"),"",ROUND(N(T248)*J248*(1-N(K248)),2))</f>
        <v/>
      </c>
    </row>
    <row r="249">
      <c r="A249" s="63" t="n"/>
      <c r="B249" s="64" t="n"/>
      <c r="C249" s="65" t="n"/>
      <c r="D249" s="66" t="str">
        <f>IF(C249="","",IFERROR(INDEX(sup_name,MATCH($C249,sup_code,0))&amp;"","Fournisseur inconnu"))</f>
        <v/>
      </c>
      <c r="E249" s="63" t="n"/>
      <c r="F249" s="66" t="str">
        <f>IF(E249="","",IFERROR(INDEX(art_des,MATCH($E249,art_ref,0))&amp;"","Article inconnu"))</f>
        <v/>
      </c>
      <c r="G249" s="67" t="str">
        <f>IF(E249="","",IFERROR(INDEX(art_unit,MATCH($E249,art_ref,0))&amp;"",""))</f>
        <v/>
      </c>
      <c r="H249" s="68" t="n"/>
      <c r="I249" s="69" t="n"/>
      <c r="J249" s="70" t="str">
        <f>IF(E249="","",IF(ISNUMBER(I249),I249,IFERROR(IF(ISNUMBER(INDEX(art_price,MATCH($E249,art_ref,0))),INDEX(art_price,MATCH($E249,art_ref,0)),""),"")))</f>
        <v/>
      </c>
      <c r="K249" s="71" t="n"/>
      <c r="L249" s="72" t="n"/>
      <c r="M249" s="72" t="str">
        <f>IF(E249="","",IF(L249&lt;&gt;"",L249,IFERROR(IF(ISNUMBER(INDEX(art_tva,MATCH($E249,art_ref,0))),INDEX(art_tva,MATCH($E249,art_ref,0)),""),"")))</f>
        <v/>
      </c>
      <c r="N249" s="70" t="str">
        <f>IF(OR(E249="",J249=""),"",ROUND(N(H249)*J249*(1-N(K249)),2))</f>
        <v/>
      </c>
      <c r="O249" s="70" t="str">
        <f>IF(OR(N249="",NOT(ISNUMBER(M249))),"",ROUND(N249*M249,2))</f>
        <v/>
      </c>
      <c r="P249" s="70" t="str">
        <f>IF(N249="","",N249+N(O249))</f>
        <v/>
      </c>
      <c r="Q249" s="64" t="n"/>
      <c r="R249" s="73" t="str">
        <f>IF(N(Q249)&gt;0,Q249,IF(OR(N(B249)=0,ISNA(MATCH($C249,sup_code,0))),"",IF(ISNUMBER(INDEX(sup_delay,MATCH($C249,sup_code,0))),B249+INDEX(sup_delay,MATCH($C249,sup_code,0)),"")))</f>
        <v/>
      </c>
      <c r="S249" s="64" t="n"/>
      <c r="T249" s="68" t="n"/>
      <c r="U249" s="64" t="n"/>
      <c r="V249" s="65" t="n"/>
      <c r="W249" s="74" t="str">
        <f>IF(AND(A249="",E249=""),"",IF(V249="Oui",0,MAX(0,ROUND(N(H249)-N(T249),6))))</f>
        <v/>
      </c>
      <c r="X249" s="67" t="str">
        <f>IF(AND(A249="",E249=""),"",IF(V249="Oui","Annulé",IF(AND(N(H249)&gt;0,N(T249)&gt;=N(H249)),"Reçu",IF(N(S249)=0,"Brouillon",IF(AND(ISNUMBER(R249),R249&lt;p_today),"En retard",IF(N(T249)&gt;0,"Partiel","Envoyé"))))))</f>
        <v/>
      </c>
      <c r="Y249" s="75" t="str">
        <f>IF(X249="En retard",p_today-R249,IF(AND(X249="Reçu",ISNUMBER(R249)),MAX(0,N(U249)-R249),""))</f>
        <v/>
      </c>
      <c r="Z249" s="67" t="str">
        <f>IF(AND(A249="",E249=""),"",IF(A249="","N° de bon manquant",IF(N(B249)=0,"Date de commande manquante",IF(C249="","Fournisseur manquant",IF(ISNA(MATCH($C249,sup_code,0)),"Fournisseur inconnu",IF(E249="","Article manquant",IF(ISNA(MATCH($E249,art_ref,0)),"Article inconnu",IF(N(H249)&lt;=0,"Quantité invalide",IF(J249="","Prix manquant",IF(OR(N(K249)&lt;0,N(K249)&gt;=1),"Remise invalide",IF(M249="","TVA manquante",IF(ISNA(MATCH(M249,p_tva,0)),"Taux de TVA inconnu",IF(COUNTIFS(po_num,A249,po_sup,"&lt;&gt;"&amp;C249)&gt;0,"Fournisseur différent sur ce bon",IF(COUNTIFS(po_num,A249,po_date,"&lt;&gt;"&amp;B249)&gt;0,"Date différente sur ce bon",IF(COUNTIF(po_num,A249)&gt;25,"Plus de 25 lignes sur ce bon",IF(R249="","Date de livraison manquante",IF(R249&lt;B249,"Livraison avant la commande",IF(AND(N(T249)&gt;0,N(S249)=0),"Date d'envoi manquante",IF(N(T249)&gt;N(H249),"Reçu plus que commandé",IF(AND(N(T249)&gt;0,N(U249)=0),"Date de réception manquante",IF(AND(N(U249)&gt;0,U249&lt;B249),"Réception avant la commande","OK")))))))))))))))))))))</f>
        <v/>
      </c>
      <c r="AA249" s="66" t="str">
        <f>IF(AND(X249="Reçu",ISNUMBER(R249)),IF(N(U249)&lt;=R249,1,0),"")</f>
        <v/>
      </c>
      <c r="AB249" s="76" t="str">
        <f>IF(OR(X249="Envoyé",X249="Partiel",X249="En retard"),IF(ISNUMBER(R249),R249,100000)+ROW()/100000,"")</f>
        <v/>
      </c>
      <c r="AC249" s="66" t="str">
        <f>IF(A249="","",IF(COUNTIF($A$6:A249,A249)=1,1,""))</f>
        <v/>
      </c>
      <c r="AD249" s="66" t="str">
        <f>IF(AC249=1,COUNT($AC$6:AC249),"")</f>
        <v/>
      </c>
      <c r="AE249" s="66" t="str">
        <f>IFERROR(INDEX(po_num,MATCH(244,po_seq,0))&amp;"","")</f>
        <v/>
      </c>
      <c r="AF249" s="66" t="str">
        <f>IF(OR(A249="",p_po=""),"",IF(A249&amp;""=p_po,COUNTIF($A$6:A249,A249),""))</f>
        <v/>
      </c>
      <c r="AG249" s="66" t="str">
        <f>IF(OR(AB249="",A249=""),"",IF(COUNTIFS($A$6:A249,A249,$AB$6:AB249,"&gt;0")=1,1,""))</f>
        <v/>
      </c>
      <c r="AH249" s="70" t="str">
        <f>IF(AB249="","",ROUND(N(W249)*N(J249)*(1-N(K249)),2))</f>
        <v/>
      </c>
      <c r="AI249" s="70" t="str">
        <f>IF(OR(J249="",N(T249)&lt;=0,V249="Oui"),"",ROUND(N(T249)*J249*(1-N(K249)),2))</f>
        <v/>
      </c>
    </row>
    <row r="250">
      <c r="A250" s="63" t="n"/>
      <c r="B250" s="64" t="n"/>
      <c r="C250" s="65" t="n"/>
      <c r="D250" s="66" t="str">
        <f>IF(C250="","",IFERROR(INDEX(sup_name,MATCH($C250,sup_code,0))&amp;"","Fournisseur inconnu"))</f>
        <v/>
      </c>
      <c r="E250" s="63" t="n"/>
      <c r="F250" s="66" t="str">
        <f>IF(E250="","",IFERROR(INDEX(art_des,MATCH($E250,art_ref,0))&amp;"","Article inconnu"))</f>
        <v/>
      </c>
      <c r="G250" s="67" t="str">
        <f>IF(E250="","",IFERROR(INDEX(art_unit,MATCH($E250,art_ref,0))&amp;"",""))</f>
        <v/>
      </c>
      <c r="H250" s="68" t="n"/>
      <c r="I250" s="69" t="n"/>
      <c r="J250" s="70" t="str">
        <f>IF(E250="","",IF(ISNUMBER(I250),I250,IFERROR(IF(ISNUMBER(INDEX(art_price,MATCH($E250,art_ref,0))),INDEX(art_price,MATCH($E250,art_ref,0)),""),"")))</f>
        <v/>
      </c>
      <c r="K250" s="71" t="n"/>
      <c r="L250" s="72" t="n"/>
      <c r="M250" s="72" t="str">
        <f>IF(E250="","",IF(L250&lt;&gt;"",L250,IFERROR(IF(ISNUMBER(INDEX(art_tva,MATCH($E250,art_ref,0))),INDEX(art_tva,MATCH($E250,art_ref,0)),""),"")))</f>
        <v/>
      </c>
      <c r="N250" s="70" t="str">
        <f>IF(OR(E250="",J250=""),"",ROUND(N(H250)*J250*(1-N(K250)),2))</f>
        <v/>
      </c>
      <c r="O250" s="70" t="str">
        <f>IF(OR(N250="",NOT(ISNUMBER(M250))),"",ROUND(N250*M250,2))</f>
        <v/>
      </c>
      <c r="P250" s="70" t="str">
        <f>IF(N250="","",N250+N(O250))</f>
        <v/>
      </c>
      <c r="Q250" s="64" t="n"/>
      <c r="R250" s="73" t="str">
        <f>IF(N(Q250)&gt;0,Q250,IF(OR(N(B250)=0,ISNA(MATCH($C250,sup_code,0))),"",IF(ISNUMBER(INDEX(sup_delay,MATCH($C250,sup_code,0))),B250+INDEX(sup_delay,MATCH($C250,sup_code,0)),"")))</f>
        <v/>
      </c>
      <c r="S250" s="64" t="n"/>
      <c r="T250" s="68" t="n"/>
      <c r="U250" s="64" t="n"/>
      <c r="V250" s="65" t="n"/>
      <c r="W250" s="74" t="str">
        <f>IF(AND(A250="",E250=""),"",IF(V250="Oui",0,MAX(0,ROUND(N(H250)-N(T250),6))))</f>
        <v/>
      </c>
      <c r="X250" s="67" t="str">
        <f>IF(AND(A250="",E250=""),"",IF(V250="Oui","Annulé",IF(AND(N(H250)&gt;0,N(T250)&gt;=N(H250)),"Reçu",IF(N(S250)=0,"Brouillon",IF(AND(ISNUMBER(R250),R250&lt;p_today),"En retard",IF(N(T250)&gt;0,"Partiel","Envoyé"))))))</f>
        <v/>
      </c>
      <c r="Y250" s="75" t="str">
        <f>IF(X250="En retard",p_today-R250,IF(AND(X250="Reçu",ISNUMBER(R250)),MAX(0,N(U250)-R250),""))</f>
        <v/>
      </c>
      <c r="Z250" s="67" t="str">
        <f>IF(AND(A250="",E250=""),"",IF(A250="","N° de bon manquant",IF(N(B250)=0,"Date de commande manquante",IF(C250="","Fournisseur manquant",IF(ISNA(MATCH($C250,sup_code,0)),"Fournisseur inconnu",IF(E250="","Article manquant",IF(ISNA(MATCH($E250,art_ref,0)),"Article inconnu",IF(N(H250)&lt;=0,"Quantité invalide",IF(J250="","Prix manquant",IF(OR(N(K250)&lt;0,N(K250)&gt;=1),"Remise invalide",IF(M250="","TVA manquante",IF(ISNA(MATCH(M250,p_tva,0)),"Taux de TVA inconnu",IF(COUNTIFS(po_num,A250,po_sup,"&lt;&gt;"&amp;C250)&gt;0,"Fournisseur différent sur ce bon",IF(COUNTIFS(po_num,A250,po_date,"&lt;&gt;"&amp;B250)&gt;0,"Date différente sur ce bon",IF(COUNTIF(po_num,A250)&gt;25,"Plus de 25 lignes sur ce bon",IF(R250="","Date de livraison manquante",IF(R250&lt;B250,"Livraison avant la commande",IF(AND(N(T250)&gt;0,N(S250)=0),"Date d'envoi manquante",IF(N(T250)&gt;N(H250),"Reçu plus que commandé",IF(AND(N(T250)&gt;0,N(U250)=0),"Date de réception manquante",IF(AND(N(U250)&gt;0,U250&lt;B250),"Réception avant la commande","OK")))))))))))))))))))))</f>
        <v/>
      </c>
      <c r="AA250" s="66" t="str">
        <f>IF(AND(X250="Reçu",ISNUMBER(R250)),IF(N(U250)&lt;=R250,1,0),"")</f>
        <v/>
      </c>
      <c r="AB250" s="76" t="str">
        <f>IF(OR(X250="Envoyé",X250="Partiel",X250="En retard"),IF(ISNUMBER(R250),R250,100000)+ROW()/100000,"")</f>
        <v/>
      </c>
      <c r="AC250" s="66" t="str">
        <f>IF(A250="","",IF(COUNTIF($A$6:A250,A250)=1,1,""))</f>
        <v/>
      </c>
      <c r="AD250" s="66" t="str">
        <f>IF(AC250=1,COUNT($AC$6:AC250),"")</f>
        <v/>
      </c>
      <c r="AE250" s="66" t="str">
        <f>IFERROR(INDEX(po_num,MATCH(245,po_seq,0))&amp;"","")</f>
        <v/>
      </c>
      <c r="AF250" s="66" t="str">
        <f>IF(OR(A250="",p_po=""),"",IF(A250&amp;""=p_po,COUNTIF($A$6:A250,A250),""))</f>
        <v/>
      </c>
      <c r="AG250" s="66" t="str">
        <f>IF(OR(AB250="",A250=""),"",IF(COUNTIFS($A$6:A250,A250,$AB$6:AB250,"&gt;0")=1,1,""))</f>
        <v/>
      </c>
      <c r="AH250" s="70" t="str">
        <f>IF(AB250="","",ROUND(N(W250)*N(J250)*(1-N(K250)),2))</f>
        <v/>
      </c>
      <c r="AI250" s="70" t="str">
        <f>IF(OR(J250="",N(T250)&lt;=0,V250="Oui"),"",ROUND(N(T250)*J250*(1-N(K250)),2))</f>
        <v/>
      </c>
    </row>
    <row r="251">
      <c r="A251" s="63" t="n"/>
      <c r="B251" s="64" t="n"/>
      <c r="C251" s="65" t="n"/>
      <c r="D251" s="66" t="str">
        <f>IF(C251="","",IFERROR(INDEX(sup_name,MATCH($C251,sup_code,0))&amp;"","Fournisseur inconnu"))</f>
        <v/>
      </c>
      <c r="E251" s="63" t="n"/>
      <c r="F251" s="66" t="str">
        <f>IF(E251="","",IFERROR(INDEX(art_des,MATCH($E251,art_ref,0))&amp;"","Article inconnu"))</f>
        <v/>
      </c>
      <c r="G251" s="67" t="str">
        <f>IF(E251="","",IFERROR(INDEX(art_unit,MATCH($E251,art_ref,0))&amp;"",""))</f>
        <v/>
      </c>
      <c r="H251" s="68" t="n"/>
      <c r="I251" s="69" t="n"/>
      <c r="J251" s="70" t="str">
        <f>IF(E251="","",IF(ISNUMBER(I251),I251,IFERROR(IF(ISNUMBER(INDEX(art_price,MATCH($E251,art_ref,0))),INDEX(art_price,MATCH($E251,art_ref,0)),""),"")))</f>
        <v/>
      </c>
      <c r="K251" s="71" t="n"/>
      <c r="L251" s="72" t="n"/>
      <c r="M251" s="72" t="str">
        <f>IF(E251="","",IF(L251&lt;&gt;"",L251,IFERROR(IF(ISNUMBER(INDEX(art_tva,MATCH($E251,art_ref,0))),INDEX(art_tva,MATCH($E251,art_ref,0)),""),"")))</f>
        <v/>
      </c>
      <c r="N251" s="70" t="str">
        <f>IF(OR(E251="",J251=""),"",ROUND(N(H251)*J251*(1-N(K251)),2))</f>
        <v/>
      </c>
      <c r="O251" s="70" t="str">
        <f>IF(OR(N251="",NOT(ISNUMBER(M251))),"",ROUND(N251*M251,2))</f>
        <v/>
      </c>
      <c r="P251" s="70" t="str">
        <f>IF(N251="","",N251+N(O251))</f>
        <v/>
      </c>
      <c r="Q251" s="64" t="n"/>
      <c r="R251" s="73" t="str">
        <f>IF(N(Q251)&gt;0,Q251,IF(OR(N(B251)=0,ISNA(MATCH($C251,sup_code,0))),"",IF(ISNUMBER(INDEX(sup_delay,MATCH($C251,sup_code,0))),B251+INDEX(sup_delay,MATCH($C251,sup_code,0)),"")))</f>
        <v/>
      </c>
      <c r="S251" s="64" t="n"/>
      <c r="T251" s="68" t="n"/>
      <c r="U251" s="64" t="n"/>
      <c r="V251" s="65" t="n"/>
      <c r="W251" s="74" t="str">
        <f>IF(AND(A251="",E251=""),"",IF(V251="Oui",0,MAX(0,ROUND(N(H251)-N(T251),6))))</f>
        <v/>
      </c>
      <c r="X251" s="67" t="str">
        <f>IF(AND(A251="",E251=""),"",IF(V251="Oui","Annulé",IF(AND(N(H251)&gt;0,N(T251)&gt;=N(H251)),"Reçu",IF(N(S251)=0,"Brouillon",IF(AND(ISNUMBER(R251),R251&lt;p_today),"En retard",IF(N(T251)&gt;0,"Partiel","Envoyé"))))))</f>
        <v/>
      </c>
      <c r="Y251" s="75" t="str">
        <f>IF(X251="En retard",p_today-R251,IF(AND(X251="Reçu",ISNUMBER(R251)),MAX(0,N(U251)-R251),""))</f>
        <v/>
      </c>
      <c r="Z251" s="67" t="str">
        <f>IF(AND(A251="",E251=""),"",IF(A251="","N° de bon manquant",IF(N(B251)=0,"Date de commande manquante",IF(C251="","Fournisseur manquant",IF(ISNA(MATCH($C251,sup_code,0)),"Fournisseur inconnu",IF(E251="","Article manquant",IF(ISNA(MATCH($E251,art_ref,0)),"Article inconnu",IF(N(H251)&lt;=0,"Quantité invalide",IF(J251="","Prix manquant",IF(OR(N(K251)&lt;0,N(K251)&gt;=1),"Remise invalide",IF(M251="","TVA manquante",IF(ISNA(MATCH(M251,p_tva,0)),"Taux de TVA inconnu",IF(COUNTIFS(po_num,A251,po_sup,"&lt;&gt;"&amp;C251)&gt;0,"Fournisseur différent sur ce bon",IF(COUNTIFS(po_num,A251,po_date,"&lt;&gt;"&amp;B251)&gt;0,"Date différente sur ce bon",IF(COUNTIF(po_num,A251)&gt;25,"Plus de 25 lignes sur ce bon",IF(R251="","Date de livraison manquante",IF(R251&lt;B251,"Livraison avant la commande",IF(AND(N(T251)&gt;0,N(S251)=0),"Date d'envoi manquante",IF(N(T251)&gt;N(H251),"Reçu plus que commandé",IF(AND(N(T251)&gt;0,N(U251)=0),"Date de réception manquante",IF(AND(N(U251)&gt;0,U251&lt;B251),"Réception avant la commande","OK")))))))))))))))))))))</f>
        <v/>
      </c>
      <c r="AA251" s="66" t="str">
        <f>IF(AND(X251="Reçu",ISNUMBER(R251)),IF(N(U251)&lt;=R251,1,0),"")</f>
        <v/>
      </c>
      <c r="AB251" s="76" t="str">
        <f>IF(OR(X251="Envoyé",X251="Partiel",X251="En retard"),IF(ISNUMBER(R251),R251,100000)+ROW()/100000,"")</f>
        <v/>
      </c>
      <c r="AC251" s="66" t="str">
        <f>IF(A251="","",IF(COUNTIF($A$6:A251,A251)=1,1,""))</f>
        <v/>
      </c>
      <c r="AD251" s="66" t="str">
        <f>IF(AC251=1,COUNT($AC$6:AC251),"")</f>
        <v/>
      </c>
      <c r="AE251" s="66" t="str">
        <f>IFERROR(INDEX(po_num,MATCH(246,po_seq,0))&amp;"","")</f>
        <v/>
      </c>
      <c r="AF251" s="66" t="str">
        <f>IF(OR(A251="",p_po=""),"",IF(A251&amp;""=p_po,COUNTIF($A$6:A251,A251),""))</f>
        <v/>
      </c>
      <c r="AG251" s="66" t="str">
        <f>IF(OR(AB251="",A251=""),"",IF(COUNTIFS($A$6:A251,A251,$AB$6:AB251,"&gt;0")=1,1,""))</f>
        <v/>
      </c>
      <c r="AH251" s="70" t="str">
        <f>IF(AB251="","",ROUND(N(W251)*N(J251)*(1-N(K251)),2))</f>
        <v/>
      </c>
      <c r="AI251" s="70" t="str">
        <f>IF(OR(J251="",N(T251)&lt;=0,V251="Oui"),"",ROUND(N(T251)*J251*(1-N(K251)),2))</f>
        <v/>
      </c>
    </row>
    <row r="252">
      <c r="A252" s="63" t="n"/>
      <c r="B252" s="64" t="n"/>
      <c r="C252" s="65" t="n"/>
      <c r="D252" s="66" t="str">
        <f>IF(C252="","",IFERROR(INDEX(sup_name,MATCH($C252,sup_code,0))&amp;"","Fournisseur inconnu"))</f>
        <v/>
      </c>
      <c r="E252" s="63" t="n"/>
      <c r="F252" s="66" t="str">
        <f>IF(E252="","",IFERROR(INDEX(art_des,MATCH($E252,art_ref,0))&amp;"","Article inconnu"))</f>
        <v/>
      </c>
      <c r="G252" s="67" t="str">
        <f>IF(E252="","",IFERROR(INDEX(art_unit,MATCH($E252,art_ref,0))&amp;"",""))</f>
        <v/>
      </c>
      <c r="H252" s="68" t="n"/>
      <c r="I252" s="69" t="n"/>
      <c r="J252" s="70" t="str">
        <f>IF(E252="","",IF(ISNUMBER(I252),I252,IFERROR(IF(ISNUMBER(INDEX(art_price,MATCH($E252,art_ref,0))),INDEX(art_price,MATCH($E252,art_ref,0)),""),"")))</f>
        <v/>
      </c>
      <c r="K252" s="71" t="n"/>
      <c r="L252" s="72" t="n"/>
      <c r="M252" s="72" t="str">
        <f>IF(E252="","",IF(L252&lt;&gt;"",L252,IFERROR(IF(ISNUMBER(INDEX(art_tva,MATCH($E252,art_ref,0))),INDEX(art_tva,MATCH($E252,art_ref,0)),""),"")))</f>
        <v/>
      </c>
      <c r="N252" s="70" t="str">
        <f>IF(OR(E252="",J252=""),"",ROUND(N(H252)*J252*(1-N(K252)),2))</f>
        <v/>
      </c>
      <c r="O252" s="70" t="str">
        <f>IF(OR(N252="",NOT(ISNUMBER(M252))),"",ROUND(N252*M252,2))</f>
        <v/>
      </c>
      <c r="P252" s="70" t="str">
        <f>IF(N252="","",N252+N(O252))</f>
        <v/>
      </c>
      <c r="Q252" s="64" t="n"/>
      <c r="R252" s="73" t="str">
        <f>IF(N(Q252)&gt;0,Q252,IF(OR(N(B252)=0,ISNA(MATCH($C252,sup_code,0))),"",IF(ISNUMBER(INDEX(sup_delay,MATCH($C252,sup_code,0))),B252+INDEX(sup_delay,MATCH($C252,sup_code,0)),"")))</f>
        <v/>
      </c>
      <c r="S252" s="64" t="n"/>
      <c r="T252" s="68" t="n"/>
      <c r="U252" s="64" t="n"/>
      <c r="V252" s="65" t="n"/>
      <c r="W252" s="74" t="str">
        <f>IF(AND(A252="",E252=""),"",IF(V252="Oui",0,MAX(0,ROUND(N(H252)-N(T252),6))))</f>
        <v/>
      </c>
      <c r="X252" s="67" t="str">
        <f>IF(AND(A252="",E252=""),"",IF(V252="Oui","Annulé",IF(AND(N(H252)&gt;0,N(T252)&gt;=N(H252)),"Reçu",IF(N(S252)=0,"Brouillon",IF(AND(ISNUMBER(R252),R252&lt;p_today),"En retard",IF(N(T252)&gt;0,"Partiel","Envoyé"))))))</f>
        <v/>
      </c>
      <c r="Y252" s="75" t="str">
        <f>IF(X252="En retard",p_today-R252,IF(AND(X252="Reçu",ISNUMBER(R252)),MAX(0,N(U252)-R252),""))</f>
        <v/>
      </c>
      <c r="Z252" s="67" t="str">
        <f>IF(AND(A252="",E252=""),"",IF(A252="","N° de bon manquant",IF(N(B252)=0,"Date de commande manquante",IF(C252="","Fournisseur manquant",IF(ISNA(MATCH($C252,sup_code,0)),"Fournisseur inconnu",IF(E252="","Article manquant",IF(ISNA(MATCH($E252,art_ref,0)),"Article inconnu",IF(N(H252)&lt;=0,"Quantité invalide",IF(J252="","Prix manquant",IF(OR(N(K252)&lt;0,N(K252)&gt;=1),"Remise invalide",IF(M252="","TVA manquante",IF(ISNA(MATCH(M252,p_tva,0)),"Taux de TVA inconnu",IF(COUNTIFS(po_num,A252,po_sup,"&lt;&gt;"&amp;C252)&gt;0,"Fournisseur différent sur ce bon",IF(COUNTIFS(po_num,A252,po_date,"&lt;&gt;"&amp;B252)&gt;0,"Date différente sur ce bon",IF(COUNTIF(po_num,A252)&gt;25,"Plus de 25 lignes sur ce bon",IF(R252="","Date de livraison manquante",IF(R252&lt;B252,"Livraison avant la commande",IF(AND(N(T252)&gt;0,N(S252)=0),"Date d'envoi manquante",IF(N(T252)&gt;N(H252),"Reçu plus que commandé",IF(AND(N(T252)&gt;0,N(U252)=0),"Date de réception manquante",IF(AND(N(U252)&gt;0,U252&lt;B252),"Réception avant la commande","OK")))))))))))))))))))))</f>
        <v/>
      </c>
      <c r="AA252" s="66" t="str">
        <f>IF(AND(X252="Reçu",ISNUMBER(R252)),IF(N(U252)&lt;=R252,1,0),"")</f>
        <v/>
      </c>
      <c r="AB252" s="76" t="str">
        <f>IF(OR(X252="Envoyé",X252="Partiel",X252="En retard"),IF(ISNUMBER(R252),R252,100000)+ROW()/100000,"")</f>
        <v/>
      </c>
      <c r="AC252" s="66" t="str">
        <f>IF(A252="","",IF(COUNTIF($A$6:A252,A252)=1,1,""))</f>
        <v/>
      </c>
      <c r="AD252" s="66" t="str">
        <f>IF(AC252=1,COUNT($AC$6:AC252),"")</f>
        <v/>
      </c>
      <c r="AE252" s="66" t="str">
        <f>IFERROR(INDEX(po_num,MATCH(247,po_seq,0))&amp;"","")</f>
        <v/>
      </c>
      <c r="AF252" s="66" t="str">
        <f>IF(OR(A252="",p_po=""),"",IF(A252&amp;""=p_po,COUNTIF($A$6:A252,A252),""))</f>
        <v/>
      </c>
      <c r="AG252" s="66" t="str">
        <f>IF(OR(AB252="",A252=""),"",IF(COUNTIFS($A$6:A252,A252,$AB$6:AB252,"&gt;0")=1,1,""))</f>
        <v/>
      </c>
      <c r="AH252" s="70" t="str">
        <f>IF(AB252="","",ROUND(N(W252)*N(J252)*(1-N(K252)),2))</f>
        <v/>
      </c>
      <c r="AI252" s="70" t="str">
        <f>IF(OR(J252="",N(T252)&lt;=0,V252="Oui"),"",ROUND(N(T252)*J252*(1-N(K252)),2))</f>
        <v/>
      </c>
    </row>
    <row r="253">
      <c r="A253" s="63" t="n"/>
      <c r="B253" s="64" t="n"/>
      <c r="C253" s="65" t="n"/>
      <c r="D253" s="66" t="str">
        <f>IF(C253="","",IFERROR(INDEX(sup_name,MATCH($C253,sup_code,0))&amp;"","Fournisseur inconnu"))</f>
        <v/>
      </c>
      <c r="E253" s="63" t="n"/>
      <c r="F253" s="66" t="str">
        <f>IF(E253="","",IFERROR(INDEX(art_des,MATCH($E253,art_ref,0))&amp;"","Article inconnu"))</f>
        <v/>
      </c>
      <c r="G253" s="67" t="str">
        <f>IF(E253="","",IFERROR(INDEX(art_unit,MATCH($E253,art_ref,0))&amp;"",""))</f>
        <v/>
      </c>
      <c r="H253" s="68" t="n"/>
      <c r="I253" s="69" t="n"/>
      <c r="J253" s="70" t="str">
        <f>IF(E253="","",IF(ISNUMBER(I253),I253,IFERROR(IF(ISNUMBER(INDEX(art_price,MATCH($E253,art_ref,0))),INDEX(art_price,MATCH($E253,art_ref,0)),""),"")))</f>
        <v/>
      </c>
      <c r="K253" s="71" t="n"/>
      <c r="L253" s="72" t="n"/>
      <c r="M253" s="72" t="str">
        <f>IF(E253="","",IF(L253&lt;&gt;"",L253,IFERROR(IF(ISNUMBER(INDEX(art_tva,MATCH($E253,art_ref,0))),INDEX(art_tva,MATCH($E253,art_ref,0)),""),"")))</f>
        <v/>
      </c>
      <c r="N253" s="70" t="str">
        <f>IF(OR(E253="",J253=""),"",ROUND(N(H253)*J253*(1-N(K253)),2))</f>
        <v/>
      </c>
      <c r="O253" s="70" t="str">
        <f>IF(OR(N253="",NOT(ISNUMBER(M253))),"",ROUND(N253*M253,2))</f>
        <v/>
      </c>
      <c r="P253" s="70" t="str">
        <f>IF(N253="","",N253+N(O253))</f>
        <v/>
      </c>
      <c r="Q253" s="64" t="n"/>
      <c r="R253" s="73" t="str">
        <f>IF(N(Q253)&gt;0,Q253,IF(OR(N(B253)=0,ISNA(MATCH($C253,sup_code,0))),"",IF(ISNUMBER(INDEX(sup_delay,MATCH($C253,sup_code,0))),B253+INDEX(sup_delay,MATCH($C253,sup_code,0)),"")))</f>
        <v/>
      </c>
      <c r="S253" s="64" t="n"/>
      <c r="T253" s="68" t="n"/>
      <c r="U253" s="64" t="n"/>
      <c r="V253" s="65" t="n"/>
      <c r="W253" s="74" t="str">
        <f>IF(AND(A253="",E253=""),"",IF(V253="Oui",0,MAX(0,ROUND(N(H253)-N(T253),6))))</f>
        <v/>
      </c>
      <c r="X253" s="67" t="str">
        <f>IF(AND(A253="",E253=""),"",IF(V253="Oui","Annulé",IF(AND(N(H253)&gt;0,N(T253)&gt;=N(H253)),"Reçu",IF(N(S253)=0,"Brouillon",IF(AND(ISNUMBER(R253),R253&lt;p_today),"En retard",IF(N(T253)&gt;0,"Partiel","Envoyé"))))))</f>
        <v/>
      </c>
      <c r="Y253" s="75" t="str">
        <f>IF(X253="En retard",p_today-R253,IF(AND(X253="Reçu",ISNUMBER(R253)),MAX(0,N(U253)-R253),""))</f>
        <v/>
      </c>
      <c r="Z253" s="67" t="str">
        <f>IF(AND(A253="",E253=""),"",IF(A253="","N° de bon manquant",IF(N(B253)=0,"Date de commande manquante",IF(C253="","Fournisseur manquant",IF(ISNA(MATCH($C253,sup_code,0)),"Fournisseur inconnu",IF(E253="","Article manquant",IF(ISNA(MATCH($E253,art_ref,0)),"Article inconnu",IF(N(H253)&lt;=0,"Quantité invalide",IF(J253="","Prix manquant",IF(OR(N(K253)&lt;0,N(K253)&gt;=1),"Remise invalide",IF(M253="","TVA manquante",IF(ISNA(MATCH(M253,p_tva,0)),"Taux de TVA inconnu",IF(COUNTIFS(po_num,A253,po_sup,"&lt;&gt;"&amp;C253)&gt;0,"Fournisseur différent sur ce bon",IF(COUNTIFS(po_num,A253,po_date,"&lt;&gt;"&amp;B253)&gt;0,"Date différente sur ce bon",IF(COUNTIF(po_num,A253)&gt;25,"Plus de 25 lignes sur ce bon",IF(R253="","Date de livraison manquante",IF(R253&lt;B253,"Livraison avant la commande",IF(AND(N(T253)&gt;0,N(S253)=0),"Date d'envoi manquante",IF(N(T253)&gt;N(H253),"Reçu plus que commandé",IF(AND(N(T253)&gt;0,N(U253)=0),"Date de réception manquante",IF(AND(N(U253)&gt;0,U253&lt;B253),"Réception avant la commande","OK")))))))))))))))))))))</f>
        <v/>
      </c>
      <c r="AA253" s="66" t="str">
        <f>IF(AND(X253="Reçu",ISNUMBER(R253)),IF(N(U253)&lt;=R253,1,0),"")</f>
        <v/>
      </c>
      <c r="AB253" s="76" t="str">
        <f>IF(OR(X253="Envoyé",X253="Partiel",X253="En retard"),IF(ISNUMBER(R253),R253,100000)+ROW()/100000,"")</f>
        <v/>
      </c>
      <c r="AC253" s="66" t="str">
        <f>IF(A253="","",IF(COUNTIF($A$6:A253,A253)=1,1,""))</f>
        <v/>
      </c>
      <c r="AD253" s="66" t="str">
        <f>IF(AC253=1,COUNT($AC$6:AC253),"")</f>
        <v/>
      </c>
      <c r="AE253" s="66" t="str">
        <f>IFERROR(INDEX(po_num,MATCH(248,po_seq,0))&amp;"","")</f>
        <v/>
      </c>
      <c r="AF253" s="66" t="str">
        <f>IF(OR(A253="",p_po=""),"",IF(A253&amp;""=p_po,COUNTIF($A$6:A253,A253),""))</f>
        <v/>
      </c>
      <c r="AG253" s="66" t="str">
        <f>IF(OR(AB253="",A253=""),"",IF(COUNTIFS($A$6:A253,A253,$AB$6:AB253,"&gt;0")=1,1,""))</f>
        <v/>
      </c>
      <c r="AH253" s="70" t="str">
        <f>IF(AB253="","",ROUND(N(W253)*N(J253)*(1-N(K253)),2))</f>
        <v/>
      </c>
      <c r="AI253" s="70" t="str">
        <f>IF(OR(J253="",N(T253)&lt;=0,V253="Oui"),"",ROUND(N(T253)*J253*(1-N(K253)),2))</f>
        <v/>
      </c>
    </row>
    <row r="254">
      <c r="A254" s="63" t="n"/>
      <c r="B254" s="64" t="n"/>
      <c r="C254" s="65" t="n"/>
      <c r="D254" s="66" t="str">
        <f>IF(C254="","",IFERROR(INDEX(sup_name,MATCH($C254,sup_code,0))&amp;"","Fournisseur inconnu"))</f>
        <v/>
      </c>
      <c r="E254" s="63" t="n"/>
      <c r="F254" s="66" t="str">
        <f>IF(E254="","",IFERROR(INDEX(art_des,MATCH($E254,art_ref,0))&amp;"","Article inconnu"))</f>
        <v/>
      </c>
      <c r="G254" s="67" t="str">
        <f>IF(E254="","",IFERROR(INDEX(art_unit,MATCH($E254,art_ref,0))&amp;"",""))</f>
        <v/>
      </c>
      <c r="H254" s="68" t="n"/>
      <c r="I254" s="69" t="n"/>
      <c r="J254" s="70" t="str">
        <f>IF(E254="","",IF(ISNUMBER(I254),I254,IFERROR(IF(ISNUMBER(INDEX(art_price,MATCH($E254,art_ref,0))),INDEX(art_price,MATCH($E254,art_ref,0)),""),"")))</f>
        <v/>
      </c>
      <c r="K254" s="71" t="n"/>
      <c r="L254" s="72" t="n"/>
      <c r="M254" s="72" t="str">
        <f>IF(E254="","",IF(L254&lt;&gt;"",L254,IFERROR(IF(ISNUMBER(INDEX(art_tva,MATCH($E254,art_ref,0))),INDEX(art_tva,MATCH($E254,art_ref,0)),""),"")))</f>
        <v/>
      </c>
      <c r="N254" s="70" t="str">
        <f>IF(OR(E254="",J254=""),"",ROUND(N(H254)*J254*(1-N(K254)),2))</f>
        <v/>
      </c>
      <c r="O254" s="70" t="str">
        <f>IF(OR(N254="",NOT(ISNUMBER(M254))),"",ROUND(N254*M254,2))</f>
        <v/>
      </c>
      <c r="P254" s="70" t="str">
        <f>IF(N254="","",N254+N(O254))</f>
        <v/>
      </c>
      <c r="Q254" s="64" t="n"/>
      <c r="R254" s="73" t="str">
        <f>IF(N(Q254)&gt;0,Q254,IF(OR(N(B254)=0,ISNA(MATCH($C254,sup_code,0))),"",IF(ISNUMBER(INDEX(sup_delay,MATCH($C254,sup_code,0))),B254+INDEX(sup_delay,MATCH($C254,sup_code,0)),"")))</f>
        <v/>
      </c>
      <c r="S254" s="64" t="n"/>
      <c r="T254" s="68" t="n"/>
      <c r="U254" s="64" t="n"/>
      <c r="V254" s="65" t="n"/>
      <c r="W254" s="74" t="str">
        <f>IF(AND(A254="",E254=""),"",IF(V254="Oui",0,MAX(0,ROUND(N(H254)-N(T254),6))))</f>
        <v/>
      </c>
      <c r="X254" s="67" t="str">
        <f>IF(AND(A254="",E254=""),"",IF(V254="Oui","Annulé",IF(AND(N(H254)&gt;0,N(T254)&gt;=N(H254)),"Reçu",IF(N(S254)=0,"Brouillon",IF(AND(ISNUMBER(R254),R254&lt;p_today),"En retard",IF(N(T254)&gt;0,"Partiel","Envoyé"))))))</f>
        <v/>
      </c>
      <c r="Y254" s="75" t="str">
        <f>IF(X254="En retard",p_today-R254,IF(AND(X254="Reçu",ISNUMBER(R254)),MAX(0,N(U254)-R254),""))</f>
        <v/>
      </c>
      <c r="Z254" s="67" t="str">
        <f>IF(AND(A254="",E254=""),"",IF(A254="","N° de bon manquant",IF(N(B254)=0,"Date de commande manquante",IF(C254="","Fournisseur manquant",IF(ISNA(MATCH($C254,sup_code,0)),"Fournisseur inconnu",IF(E254="","Article manquant",IF(ISNA(MATCH($E254,art_ref,0)),"Article inconnu",IF(N(H254)&lt;=0,"Quantité invalide",IF(J254="","Prix manquant",IF(OR(N(K254)&lt;0,N(K254)&gt;=1),"Remise invalide",IF(M254="","TVA manquante",IF(ISNA(MATCH(M254,p_tva,0)),"Taux de TVA inconnu",IF(COUNTIFS(po_num,A254,po_sup,"&lt;&gt;"&amp;C254)&gt;0,"Fournisseur différent sur ce bon",IF(COUNTIFS(po_num,A254,po_date,"&lt;&gt;"&amp;B254)&gt;0,"Date différente sur ce bon",IF(COUNTIF(po_num,A254)&gt;25,"Plus de 25 lignes sur ce bon",IF(R254="","Date de livraison manquante",IF(R254&lt;B254,"Livraison avant la commande",IF(AND(N(T254)&gt;0,N(S254)=0),"Date d'envoi manquante",IF(N(T254)&gt;N(H254),"Reçu plus que commandé",IF(AND(N(T254)&gt;0,N(U254)=0),"Date de réception manquante",IF(AND(N(U254)&gt;0,U254&lt;B254),"Réception avant la commande","OK")))))))))))))))))))))</f>
        <v/>
      </c>
      <c r="AA254" s="66" t="str">
        <f>IF(AND(X254="Reçu",ISNUMBER(R254)),IF(N(U254)&lt;=R254,1,0),"")</f>
        <v/>
      </c>
      <c r="AB254" s="76" t="str">
        <f>IF(OR(X254="Envoyé",X254="Partiel",X254="En retard"),IF(ISNUMBER(R254),R254,100000)+ROW()/100000,"")</f>
        <v/>
      </c>
      <c r="AC254" s="66" t="str">
        <f>IF(A254="","",IF(COUNTIF($A$6:A254,A254)=1,1,""))</f>
        <v/>
      </c>
      <c r="AD254" s="66" t="str">
        <f>IF(AC254=1,COUNT($AC$6:AC254),"")</f>
        <v/>
      </c>
      <c r="AE254" s="66" t="str">
        <f>IFERROR(INDEX(po_num,MATCH(249,po_seq,0))&amp;"","")</f>
        <v/>
      </c>
      <c r="AF254" s="66" t="str">
        <f>IF(OR(A254="",p_po=""),"",IF(A254&amp;""=p_po,COUNTIF($A$6:A254,A254),""))</f>
        <v/>
      </c>
      <c r="AG254" s="66" t="str">
        <f>IF(OR(AB254="",A254=""),"",IF(COUNTIFS($A$6:A254,A254,$AB$6:AB254,"&gt;0")=1,1,""))</f>
        <v/>
      </c>
      <c r="AH254" s="70" t="str">
        <f>IF(AB254="","",ROUND(N(W254)*N(J254)*(1-N(K254)),2))</f>
        <v/>
      </c>
      <c r="AI254" s="70" t="str">
        <f>IF(OR(J254="",N(T254)&lt;=0,V254="Oui"),"",ROUND(N(T254)*J254*(1-N(K254)),2))</f>
        <v/>
      </c>
    </row>
    <row r="255">
      <c r="A255" s="63" t="n"/>
      <c r="B255" s="64" t="n"/>
      <c r="C255" s="65" t="n"/>
      <c r="D255" s="66" t="str">
        <f>IF(C255="","",IFERROR(INDEX(sup_name,MATCH($C255,sup_code,0))&amp;"","Fournisseur inconnu"))</f>
        <v/>
      </c>
      <c r="E255" s="63" t="n"/>
      <c r="F255" s="66" t="str">
        <f>IF(E255="","",IFERROR(INDEX(art_des,MATCH($E255,art_ref,0))&amp;"","Article inconnu"))</f>
        <v/>
      </c>
      <c r="G255" s="67" t="str">
        <f>IF(E255="","",IFERROR(INDEX(art_unit,MATCH($E255,art_ref,0))&amp;"",""))</f>
        <v/>
      </c>
      <c r="H255" s="68" t="n"/>
      <c r="I255" s="69" t="n"/>
      <c r="J255" s="70" t="str">
        <f>IF(E255="","",IF(ISNUMBER(I255),I255,IFERROR(IF(ISNUMBER(INDEX(art_price,MATCH($E255,art_ref,0))),INDEX(art_price,MATCH($E255,art_ref,0)),""),"")))</f>
        <v/>
      </c>
      <c r="K255" s="71" t="n"/>
      <c r="L255" s="72" t="n"/>
      <c r="M255" s="72" t="str">
        <f>IF(E255="","",IF(L255&lt;&gt;"",L255,IFERROR(IF(ISNUMBER(INDEX(art_tva,MATCH($E255,art_ref,0))),INDEX(art_tva,MATCH($E255,art_ref,0)),""),"")))</f>
        <v/>
      </c>
      <c r="N255" s="70" t="str">
        <f>IF(OR(E255="",J255=""),"",ROUND(N(H255)*J255*(1-N(K255)),2))</f>
        <v/>
      </c>
      <c r="O255" s="70" t="str">
        <f>IF(OR(N255="",NOT(ISNUMBER(M255))),"",ROUND(N255*M255,2))</f>
        <v/>
      </c>
      <c r="P255" s="70" t="str">
        <f>IF(N255="","",N255+N(O255))</f>
        <v/>
      </c>
      <c r="Q255" s="64" t="n"/>
      <c r="R255" s="73" t="str">
        <f>IF(N(Q255)&gt;0,Q255,IF(OR(N(B255)=0,ISNA(MATCH($C255,sup_code,0))),"",IF(ISNUMBER(INDEX(sup_delay,MATCH($C255,sup_code,0))),B255+INDEX(sup_delay,MATCH($C255,sup_code,0)),"")))</f>
        <v/>
      </c>
      <c r="S255" s="64" t="n"/>
      <c r="T255" s="68" t="n"/>
      <c r="U255" s="64" t="n"/>
      <c r="V255" s="65" t="n"/>
      <c r="W255" s="74" t="str">
        <f>IF(AND(A255="",E255=""),"",IF(V255="Oui",0,MAX(0,ROUND(N(H255)-N(T255),6))))</f>
        <v/>
      </c>
      <c r="X255" s="67" t="str">
        <f>IF(AND(A255="",E255=""),"",IF(V255="Oui","Annulé",IF(AND(N(H255)&gt;0,N(T255)&gt;=N(H255)),"Reçu",IF(N(S255)=0,"Brouillon",IF(AND(ISNUMBER(R255),R255&lt;p_today),"En retard",IF(N(T255)&gt;0,"Partiel","Envoyé"))))))</f>
        <v/>
      </c>
      <c r="Y255" s="75" t="str">
        <f>IF(X255="En retard",p_today-R255,IF(AND(X255="Reçu",ISNUMBER(R255)),MAX(0,N(U255)-R255),""))</f>
        <v/>
      </c>
      <c r="Z255" s="67" t="str">
        <f>IF(AND(A255="",E255=""),"",IF(A255="","N° de bon manquant",IF(N(B255)=0,"Date de commande manquante",IF(C255="","Fournisseur manquant",IF(ISNA(MATCH($C255,sup_code,0)),"Fournisseur inconnu",IF(E255="","Article manquant",IF(ISNA(MATCH($E255,art_ref,0)),"Article inconnu",IF(N(H255)&lt;=0,"Quantité invalide",IF(J255="","Prix manquant",IF(OR(N(K255)&lt;0,N(K255)&gt;=1),"Remise invalide",IF(M255="","TVA manquante",IF(ISNA(MATCH(M255,p_tva,0)),"Taux de TVA inconnu",IF(COUNTIFS(po_num,A255,po_sup,"&lt;&gt;"&amp;C255)&gt;0,"Fournisseur différent sur ce bon",IF(COUNTIFS(po_num,A255,po_date,"&lt;&gt;"&amp;B255)&gt;0,"Date différente sur ce bon",IF(COUNTIF(po_num,A255)&gt;25,"Plus de 25 lignes sur ce bon",IF(R255="","Date de livraison manquante",IF(R255&lt;B255,"Livraison avant la commande",IF(AND(N(T255)&gt;0,N(S255)=0),"Date d'envoi manquante",IF(N(T255)&gt;N(H255),"Reçu plus que commandé",IF(AND(N(T255)&gt;0,N(U255)=0),"Date de réception manquante",IF(AND(N(U255)&gt;0,U255&lt;B255),"Réception avant la commande","OK")))))))))))))))))))))</f>
        <v/>
      </c>
      <c r="AA255" s="66" t="str">
        <f>IF(AND(X255="Reçu",ISNUMBER(R255)),IF(N(U255)&lt;=R255,1,0),"")</f>
        <v/>
      </c>
      <c r="AB255" s="76" t="str">
        <f>IF(OR(X255="Envoyé",X255="Partiel",X255="En retard"),IF(ISNUMBER(R255),R255,100000)+ROW()/100000,"")</f>
        <v/>
      </c>
      <c r="AC255" s="66" t="str">
        <f>IF(A255="","",IF(COUNTIF($A$6:A255,A255)=1,1,""))</f>
        <v/>
      </c>
      <c r="AD255" s="66" t="str">
        <f>IF(AC255=1,COUNT($AC$6:AC255),"")</f>
        <v/>
      </c>
      <c r="AE255" s="66" t="str">
        <f>IFERROR(INDEX(po_num,MATCH(250,po_seq,0))&amp;"","")</f>
        <v/>
      </c>
      <c r="AF255" s="66" t="str">
        <f>IF(OR(A255="",p_po=""),"",IF(A255&amp;""=p_po,COUNTIF($A$6:A255,A255),""))</f>
        <v/>
      </c>
      <c r="AG255" s="66" t="str">
        <f>IF(OR(AB255="",A255=""),"",IF(COUNTIFS($A$6:A255,A255,$AB$6:AB255,"&gt;0")=1,1,""))</f>
        <v/>
      </c>
      <c r="AH255" s="70" t="str">
        <f>IF(AB255="","",ROUND(N(W255)*N(J255)*(1-N(K255)),2))</f>
        <v/>
      </c>
      <c r="AI255" s="70" t="str">
        <f>IF(OR(J255="",N(T255)&lt;=0,V255="Oui"),"",ROUND(N(T255)*J255*(1-N(K255)),2))</f>
        <v/>
      </c>
    </row>
    <row r="256">
      <c r="A256" s="63" t="n"/>
      <c r="B256" s="64" t="n"/>
      <c r="C256" s="65" t="n"/>
      <c r="D256" s="66" t="str">
        <f>IF(C256="","",IFERROR(INDEX(sup_name,MATCH($C256,sup_code,0))&amp;"","Fournisseur inconnu"))</f>
        <v/>
      </c>
      <c r="E256" s="63" t="n"/>
      <c r="F256" s="66" t="str">
        <f>IF(E256="","",IFERROR(INDEX(art_des,MATCH($E256,art_ref,0))&amp;"","Article inconnu"))</f>
        <v/>
      </c>
      <c r="G256" s="67" t="str">
        <f>IF(E256="","",IFERROR(INDEX(art_unit,MATCH($E256,art_ref,0))&amp;"",""))</f>
        <v/>
      </c>
      <c r="H256" s="68" t="n"/>
      <c r="I256" s="69" t="n"/>
      <c r="J256" s="70" t="str">
        <f>IF(E256="","",IF(ISNUMBER(I256),I256,IFERROR(IF(ISNUMBER(INDEX(art_price,MATCH($E256,art_ref,0))),INDEX(art_price,MATCH($E256,art_ref,0)),""),"")))</f>
        <v/>
      </c>
      <c r="K256" s="71" t="n"/>
      <c r="L256" s="72" t="n"/>
      <c r="M256" s="72" t="str">
        <f>IF(E256="","",IF(L256&lt;&gt;"",L256,IFERROR(IF(ISNUMBER(INDEX(art_tva,MATCH($E256,art_ref,0))),INDEX(art_tva,MATCH($E256,art_ref,0)),""),"")))</f>
        <v/>
      </c>
      <c r="N256" s="70" t="str">
        <f>IF(OR(E256="",J256=""),"",ROUND(N(H256)*J256*(1-N(K256)),2))</f>
        <v/>
      </c>
      <c r="O256" s="70" t="str">
        <f>IF(OR(N256="",NOT(ISNUMBER(M256))),"",ROUND(N256*M256,2))</f>
        <v/>
      </c>
      <c r="P256" s="70" t="str">
        <f>IF(N256="","",N256+N(O256))</f>
        <v/>
      </c>
      <c r="Q256" s="64" t="n"/>
      <c r="R256" s="73" t="str">
        <f>IF(N(Q256)&gt;0,Q256,IF(OR(N(B256)=0,ISNA(MATCH($C256,sup_code,0))),"",IF(ISNUMBER(INDEX(sup_delay,MATCH($C256,sup_code,0))),B256+INDEX(sup_delay,MATCH($C256,sup_code,0)),"")))</f>
        <v/>
      </c>
      <c r="S256" s="64" t="n"/>
      <c r="T256" s="68" t="n"/>
      <c r="U256" s="64" t="n"/>
      <c r="V256" s="65" t="n"/>
      <c r="W256" s="74" t="str">
        <f>IF(AND(A256="",E256=""),"",IF(V256="Oui",0,MAX(0,ROUND(N(H256)-N(T256),6))))</f>
        <v/>
      </c>
      <c r="X256" s="67" t="str">
        <f>IF(AND(A256="",E256=""),"",IF(V256="Oui","Annulé",IF(AND(N(H256)&gt;0,N(T256)&gt;=N(H256)),"Reçu",IF(N(S256)=0,"Brouillon",IF(AND(ISNUMBER(R256),R256&lt;p_today),"En retard",IF(N(T256)&gt;0,"Partiel","Envoyé"))))))</f>
        <v/>
      </c>
      <c r="Y256" s="75" t="str">
        <f>IF(X256="En retard",p_today-R256,IF(AND(X256="Reçu",ISNUMBER(R256)),MAX(0,N(U256)-R256),""))</f>
        <v/>
      </c>
      <c r="Z256" s="67" t="str">
        <f>IF(AND(A256="",E256=""),"",IF(A256="","N° de bon manquant",IF(N(B256)=0,"Date de commande manquante",IF(C256="","Fournisseur manquant",IF(ISNA(MATCH($C256,sup_code,0)),"Fournisseur inconnu",IF(E256="","Article manquant",IF(ISNA(MATCH($E256,art_ref,0)),"Article inconnu",IF(N(H256)&lt;=0,"Quantité invalide",IF(J256="","Prix manquant",IF(OR(N(K256)&lt;0,N(K256)&gt;=1),"Remise invalide",IF(M256="","TVA manquante",IF(ISNA(MATCH(M256,p_tva,0)),"Taux de TVA inconnu",IF(COUNTIFS(po_num,A256,po_sup,"&lt;&gt;"&amp;C256)&gt;0,"Fournisseur différent sur ce bon",IF(COUNTIFS(po_num,A256,po_date,"&lt;&gt;"&amp;B256)&gt;0,"Date différente sur ce bon",IF(COUNTIF(po_num,A256)&gt;25,"Plus de 25 lignes sur ce bon",IF(R256="","Date de livraison manquante",IF(R256&lt;B256,"Livraison avant la commande",IF(AND(N(T256)&gt;0,N(S256)=0),"Date d'envoi manquante",IF(N(T256)&gt;N(H256),"Reçu plus que commandé",IF(AND(N(T256)&gt;0,N(U256)=0),"Date de réception manquante",IF(AND(N(U256)&gt;0,U256&lt;B256),"Réception avant la commande","OK")))))))))))))))))))))</f>
        <v/>
      </c>
      <c r="AA256" s="66" t="str">
        <f>IF(AND(X256="Reçu",ISNUMBER(R256)),IF(N(U256)&lt;=R256,1,0),"")</f>
        <v/>
      </c>
      <c r="AB256" s="76" t="str">
        <f>IF(OR(X256="Envoyé",X256="Partiel",X256="En retard"),IF(ISNUMBER(R256),R256,100000)+ROW()/100000,"")</f>
        <v/>
      </c>
      <c r="AC256" s="66" t="str">
        <f>IF(A256="","",IF(COUNTIF($A$6:A256,A256)=1,1,""))</f>
        <v/>
      </c>
      <c r="AD256" s="66" t="str">
        <f>IF(AC256=1,COUNT($AC$6:AC256),"")</f>
        <v/>
      </c>
      <c r="AE256" s="66" t="str">
        <f>IFERROR(INDEX(po_num,MATCH(251,po_seq,0))&amp;"","")</f>
        <v/>
      </c>
      <c r="AF256" s="66" t="str">
        <f>IF(OR(A256="",p_po=""),"",IF(A256&amp;""=p_po,COUNTIF($A$6:A256,A256),""))</f>
        <v/>
      </c>
      <c r="AG256" s="66" t="str">
        <f>IF(OR(AB256="",A256=""),"",IF(COUNTIFS($A$6:A256,A256,$AB$6:AB256,"&gt;0")=1,1,""))</f>
        <v/>
      </c>
      <c r="AH256" s="70" t="str">
        <f>IF(AB256="","",ROUND(N(W256)*N(J256)*(1-N(K256)),2))</f>
        <v/>
      </c>
      <c r="AI256" s="70" t="str">
        <f>IF(OR(J256="",N(T256)&lt;=0,V256="Oui"),"",ROUND(N(T256)*J256*(1-N(K256)),2))</f>
        <v/>
      </c>
    </row>
    <row r="257">
      <c r="A257" s="63" t="n"/>
      <c r="B257" s="64" t="n"/>
      <c r="C257" s="65" t="n"/>
      <c r="D257" s="66" t="str">
        <f>IF(C257="","",IFERROR(INDEX(sup_name,MATCH($C257,sup_code,0))&amp;"","Fournisseur inconnu"))</f>
        <v/>
      </c>
      <c r="E257" s="63" t="n"/>
      <c r="F257" s="66" t="str">
        <f>IF(E257="","",IFERROR(INDEX(art_des,MATCH($E257,art_ref,0))&amp;"","Article inconnu"))</f>
        <v/>
      </c>
      <c r="G257" s="67" t="str">
        <f>IF(E257="","",IFERROR(INDEX(art_unit,MATCH($E257,art_ref,0))&amp;"",""))</f>
        <v/>
      </c>
      <c r="H257" s="68" t="n"/>
      <c r="I257" s="69" t="n"/>
      <c r="J257" s="70" t="str">
        <f>IF(E257="","",IF(ISNUMBER(I257),I257,IFERROR(IF(ISNUMBER(INDEX(art_price,MATCH($E257,art_ref,0))),INDEX(art_price,MATCH($E257,art_ref,0)),""),"")))</f>
        <v/>
      </c>
      <c r="K257" s="71" t="n"/>
      <c r="L257" s="72" t="n"/>
      <c r="M257" s="72" t="str">
        <f>IF(E257="","",IF(L257&lt;&gt;"",L257,IFERROR(IF(ISNUMBER(INDEX(art_tva,MATCH($E257,art_ref,0))),INDEX(art_tva,MATCH($E257,art_ref,0)),""),"")))</f>
        <v/>
      </c>
      <c r="N257" s="70" t="str">
        <f>IF(OR(E257="",J257=""),"",ROUND(N(H257)*J257*(1-N(K257)),2))</f>
        <v/>
      </c>
      <c r="O257" s="70" t="str">
        <f>IF(OR(N257="",NOT(ISNUMBER(M257))),"",ROUND(N257*M257,2))</f>
        <v/>
      </c>
      <c r="P257" s="70" t="str">
        <f>IF(N257="","",N257+N(O257))</f>
        <v/>
      </c>
      <c r="Q257" s="64" t="n"/>
      <c r="R257" s="73" t="str">
        <f>IF(N(Q257)&gt;0,Q257,IF(OR(N(B257)=0,ISNA(MATCH($C257,sup_code,0))),"",IF(ISNUMBER(INDEX(sup_delay,MATCH($C257,sup_code,0))),B257+INDEX(sup_delay,MATCH($C257,sup_code,0)),"")))</f>
        <v/>
      </c>
      <c r="S257" s="64" t="n"/>
      <c r="T257" s="68" t="n"/>
      <c r="U257" s="64" t="n"/>
      <c r="V257" s="65" t="n"/>
      <c r="W257" s="74" t="str">
        <f>IF(AND(A257="",E257=""),"",IF(V257="Oui",0,MAX(0,ROUND(N(H257)-N(T257),6))))</f>
        <v/>
      </c>
      <c r="X257" s="67" t="str">
        <f>IF(AND(A257="",E257=""),"",IF(V257="Oui","Annulé",IF(AND(N(H257)&gt;0,N(T257)&gt;=N(H257)),"Reçu",IF(N(S257)=0,"Brouillon",IF(AND(ISNUMBER(R257),R257&lt;p_today),"En retard",IF(N(T257)&gt;0,"Partiel","Envoyé"))))))</f>
        <v/>
      </c>
      <c r="Y257" s="75" t="str">
        <f>IF(X257="En retard",p_today-R257,IF(AND(X257="Reçu",ISNUMBER(R257)),MAX(0,N(U257)-R257),""))</f>
        <v/>
      </c>
      <c r="Z257" s="67" t="str">
        <f>IF(AND(A257="",E257=""),"",IF(A257="","N° de bon manquant",IF(N(B257)=0,"Date de commande manquante",IF(C257="","Fournisseur manquant",IF(ISNA(MATCH($C257,sup_code,0)),"Fournisseur inconnu",IF(E257="","Article manquant",IF(ISNA(MATCH($E257,art_ref,0)),"Article inconnu",IF(N(H257)&lt;=0,"Quantité invalide",IF(J257="","Prix manquant",IF(OR(N(K257)&lt;0,N(K257)&gt;=1),"Remise invalide",IF(M257="","TVA manquante",IF(ISNA(MATCH(M257,p_tva,0)),"Taux de TVA inconnu",IF(COUNTIFS(po_num,A257,po_sup,"&lt;&gt;"&amp;C257)&gt;0,"Fournisseur différent sur ce bon",IF(COUNTIFS(po_num,A257,po_date,"&lt;&gt;"&amp;B257)&gt;0,"Date différente sur ce bon",IF(COUNTIF(po_num,A257)&gt;25,"Plus de 25 lignes sur ce bon",IF(R257="","Date de livraison manquante",IF(R257&lt;B257,"Livraison avant la commande",IF(AND(N(T257)&gt;0,N(S257)=0),"Date d'envoi manquante",IF(N(T257)&gt;N(H257),"Reçu plus que commandé",IF(AND(N(T257)&gt;0,N(U257)=0),"Date de réception manquante",IF(AND(N(U257)&gt;0,U257&lt;B257),"Réception avant la commande","OK")))))))))))))))))))))</f>
        <v/>
      </c>
      <c r="AA257" s="66" t="str">
        <f>IF(AND(X257="Reçu",ISNUMBER(R257)),IF(N(U257)&lt;=R257,1,0),"")</f>
        <v/>
      </c>
      <c r="AB257" s="76" t="str">
        <f>IF(OR(X257="Envoyé",X257="Partiel",X257="En retard"),IF(ISNUMBER(R257),R257,100000)+ROW()/100000,"")</f>
        <v/>
      </c>
      <c r="AC257" s="66" t="str">
        <f>IF(A257="","",IF(COUNTIF($A$6:A257,A257)=1,1,""))</f>
        <v/>
      </c>
      <c r="AD257" s="66" t="str">
        <f>IF(AC257=1,COUNT($AC$6:AC257),"")</f>
        <v/>
      </c>
      <c r="AE257" s="66" t="str">
        <f>IFERROR(INDEX(po_num,MATCH(252,po_seq,0))&amp;"","")</f>
        <v/>
      </c>
      <c r="AF257" s="66" t="str">
        <f>IF(OR(A257="",p_po=""),"",IF(A257&amp;""=p_po,COUNTIF($A$6:A257,A257),""))</f>
        <v/>
      </c>
      <c r="AG257" s="66" t="str">
        <f>IF(OR(AB257="",A257=""),"",IF(COUNTIFS($A$6:A257,A257,$AB$6:AB257,"&gt;0")=1,1,""))</f>
        <v/>
      </c>
      <c r="AH257" s="70" t="str">
        <f>IF(AB257="","",ROUND(N(W257)*N(J257)*(1-N(K257)),2))</f>
        <v/>
      </c>
      <c r="AI257" s="70" t="str">
        <f>IF(OR(J257="",N(T257)&lt;=0,V257="Oui"),"",ROUND(N(T257)*J257*(1-N(K257)),2))</f>
        <v/>
      </c>
    </row>
    <row r="258">
      <c r="A258" s="63" t="n"/>
      <c r="B258" s="64" t="n"/>
      <c r="C258" s="65" t="n"/>
      <c r="D258" s="66" t="str">
        <f>IF(C258="","",IFERROR(INDEX(sup_name,MATCH($C258,sup_code,0))&amp;"","Fournisseur inconnu"))</f>
        <v/>
      </c>
      <c r="E258" s="63" t="n"/>
      <c r="F258" s="66" t="str">
        <f>IF(E258="","",IFERROR(INDEX(art_des,MATCH($E258,art_ref,0))&amp;"","Article inconnu"))</f>
        <v/>
      </c>
      <c r="G258" s="67" t="str">
        <f>IF(E258="","",IFERROR(INDEX(art_unit,MATCH($E258,art_ref,0))&amp;"",""))</f>
        <v/>
      </c>
      <c r="H258" s="68" t="n"/>
      <c r="I258" s="69" t="n"/>
      <c r="J258" s="70" t="str">
        <f>IF(E258="","",IF(ISNUMBER(I258),I258,IFERROR(IF(ISNUMBER(INDEX(art_price,MATCH($E258,art_ref,0))),INDEX(art_price,MATCH($E258,art_ref,0)),""),"")))</f>
        <v/>
      </c>
      <c r="K258" s="71" t="n"/>
      <c r="L258" s="72" t="n"/>
      <c r="M258" s="72" t="str">
        <f>IF(E258="","",IF(L258&lt;&gt;"",L258,IFERROR(IF(ISNUMBER(INDEX(art_tva,MATCH($E258,art_ref,0))),INDEX(art_tva,MATCH($E258,art_ref,0)),""),"")))</f>
        <v/>
      </c>
      <c r="N258" s="70" t="str">
        <f>IF(OR(E258="",J258=""),"",ROUND(N(H258)*J258*(1-N(K258)),2))</f>
        <v/>
      </c>
      <c r="O258" s="70" t="str">
        <f>IF(OR(N258="",NOT(ISNUMBER(M258))),"",ROUND(N258*M258,2))</f>
        <v/>
      </c>
      <c r="P258" s="70" t="str">
        <f>IF(N258="","",N258+N(O258))</f>
        <v/>
      </c>
      <c r="Q258" s="64" t="n"/>
      <c r="R258" s="73" t="str">
        <f>IF(N(Q258)&gt;0,Q258,IF(OR(N(B258)=0,ISNA(MATCH($C258,sup_code,0))),"",IF(ISNUMBER(INDEX(sup_delay,MATCH($C258,sup_code,0))),B258+INDEX(sup_delay,MATCH($C258,sup_code,0)),"")))</f>
        <v/>
      </c>
      <c r="S258" s="64" t="n"/>
      <c r="T258" s="68" t="n"/>
      <c r="U258" s="64" t="n"/>
      <c r="V258" s="65" t="n"/>
      <c r="W258" s="74" t="str">
        <f>IF(AND(A258="",E258=""),"",IF(V258="Oui",0,MAX(0,ROUND(N(H258)-N(T258),6))))</f>
        <v/>
      </c>
      <c r="X258" s="67" t="str">
        <f>IF(AND(A258="",E258=""),"",IF(V258="Oui","Annulé",IF(AND(N(H258)&gt;0,N(T258)&gt;=N(H258)),"Reçu",IF(N(S258)=0,"Brouillon",IF(AND(ISNUMBER(R258),R258&lt;p_today),"En retard",IF(N(T258)&gt;0,"Partiel","Envoyé"))))))</f>
        <v/>
      </c>
      <c r="Y258" s="75" t="str">
        <f>IF(X258="En retard",p_today-R258,IF(AND(X258="Reçu",ISNUMBER(R258)),MAX(0,N(U258)-R258),""))</f>
        <v/>
      </c>
      <c r="Z258" s="67" t="str">
        <f>IF(AND(A258="",E258=""),"",IF(A258="","N° de bon manquant",IF(N(B258)=0,"Date de commande manquante",IF(C258="","Fournisseur manquant",IF(ISNA(MATCH($C258,sup_code,0)),"Fournisseur inconnu",IF(E258="","Article manquant",IF(ISNA(MATCH($E258,art_ref,0)),"Article inconnu",IF(N(H258)&lt;=0,"Quantité invalide",IF(J258="","Prix manquant",IF(OR(N(K258)&lt;0,N(K258)&gt;=1),"Remise invalide",IF(M258="","TVA manquante",IF(ISNA(MATCH(M258,p_tva,0)),"Taux de TVA inconnu",IF(COUNTIFS(po_num,A258,po_sup,"&lt;&gt;"&amp;C258)&gt;0,"Fournisseur différent sur ce bon",IF(COUNTIFS(po_num,A258,po_date,"&lt;&gt;"&amp;B258)&gt;0,"Date différente sur ce bon",IF(COUNTIF(po_num,A258)&gt;25,"Plus de 25 lignes sur ce bon",IF(R258="","Date de livraison manquante",IF(R258&lt;B258,"Livraison avant la commande",IF(AND(N(T258)&gt;0,N(S258)=0),"Date d'envoi manquante",IF(N(T258)&gt;N(H258),"Reçu plus que commandé",IF(AND(N(T258)&gt;0,N(U258)=0),"Date de réception manquante",IF(AND(N(U258)&gt;0,U258&lt;B258),"Réception avant la commande","OK")))))))))))))))))))))</f>
        <v/>
      </c>
      <c r="AA258" s="66" t="str">
        <f>IF(AND(X258="Reçu",ISNUMBER(R258)),IF(N(U258)&lt;=R258,1,0),"")</f>
        <v/>
      </c>
      <c r="AB258" s="76" t="str">
        <f>IF(OR(X258="Envoyé",X258="Partiel",X258="En retard"),IF(ISNUMBER(R258),R258,100000)+ROW()/100000,"")</f>
        <v/>
      </c>
      <c r="AC258" s="66" t="str">
        <f>IF(A258="","",IF(COUNTIF($A$6:A258,A258)=1,1,""))</f>
        <v/>
      </c>
      <c r="AD258" s="66" t="str">
        <f>IF(AC258=1,COUNT($AC$6:AC258),"")</f>
        <v/>
      </c>
      <c r="AE258" s="66" t="str">
        <f>IFERROR(INDEX(po_num,MATCH(253,po_seq,0))&amp;"","")</f>
        <v/>
      </c>
      <c r="AF258" s="66" t="str">
        <f>IF(OR(A258="",p_po=""),"",IF(A258&amp;""=p_po,COUNTIF($A$6:A258,A258),""))</f>
        <v/>
      </c>
      <c r="AG258" s="66" t="str">
        <f>IF(OR(AB258="",A258=""),"",IF(COUNTIFS($A$6:A258,A258,$AB$6:AB258,"&gt;0")=1,1,""))</f>
        <v/>
      </c>
      <c r="AH258" s="70" t="str">
        <f>IF(AB258="","",ROUND(N(W258)*N(J258)*(1-N(K258)),2))</f>
        <v/>
      </c>
      <c r="AI258" s="70" t="str">
        <f>IF(OR(J258="",N(T258)&lt;=0,V258="Oui"),"",ROUND(N(T258)*J258*(1-N(K258)),2))</f>
        <v/>
      </c>
    </row>
    <row r="259">
      <c r="A259" s="63" t="n"/>
      <c r="B259" s="64" t="n"/>
      <c r="C259" s="65" t="n"/>
      <c r="D259" s="66" t="str">
        <f>IF(C259="","",IFERROR(INDEX(sup_name,MATCH($C259,sup_code,0))&amp;"","Fournisseur inconnu"))</f>
        <v/>
      </c>
      <c r="E259" s="63" t="n"/>
      <c r="F259" s="66" t="str">
        <f>IF(E259="","",IFERROR(INDEX(art_des,MATCH($E259,art_ref,0))&amp;"","Article inconnu"))</f>
        <v/>
      </c>
      <c r="G259" s="67" t="str">
        <f>IF(E259="","",IFERROR(INDEX(art_unit,MATCH($E259,art_ref,0))&amp;"",""))</f>
        <v/>
      </c>
      <c r="H259" s="68" t="n"/>
      <c r="I259" s="69" t="n"/>
      <c r="J259" s="70" t="str">
        <f>IF(E259="","",IF(ISNUMBER(I259),I259,IFERROR(IF(ISNUMBER(INDEX(art_price,MATCH($E259,art_ref,0))),INDEX(art_price,MATCH($E259,art_ref,0)),""),"")))</f>
        <v/>
      </c>
      <c r="K259" s="71" t="n"/>
      <c r="L259" s="72" t="n"/>
      <c r="M259" s="72" t="str">
        <f>IF(E259="","",IF(L259&lt;&gt;"",L259,IFERROR(IF(ISNUMBER(INDEX(art_tva,MATCH($E259,art_ref,0))),INDEX(art_tva,MATCH($E259,art_ref,0)),""),"")))</f>
        <v/>
      </c>
      <c r="N259" s="70" t="str">
        <f>IF(OR(E259="",J259=""),"",ROUND(N(H259)*J259*(1-N(K259)),2))</f>
        <v/>
      </c>
      <c r="O259" s="70" t="str">
        <f>IF(OR(N259="",NOT(ISNUMBER(M259))),"",ROUND(N259*M259,2))</f>
        <v/>
      </c>
      <c r="P259" s="70" t="str">
        <f>IF(N259="","",N259+N(O259))</f>
        <v/>
      </c>
      <c r="Q259" s="64" t="n"/>
      <c r="R259" s="73" t="str">
        <f>IF(N(Q259)&gt;0,Q259,IF(OR(N(B259)=0,ISNA(MATCH($C259,sup_code,0))),"",IF(ISNUMBER(INDEX(sup_delay,MATCH($C259,sup_code,0))),B259+INDEX(sup_delay,MATCH($C259,sup_code,0)),"")))</f>
        <v/>
      </c>
      <c r="S259" s="64" t="n"/>
      <c r="T259" s="68" t="n"/>
      <c r="U259" s="64" t="n"/>
      <c r="V259" s="65" t="n"/>
      <c r="W259" s="74" t="str">
        <f>IF(AND(A259="",E259=""),"",IF(V259="Oui",0,MAX(0,ROUND(N(H259)-N(T259),6))))</f>
        <v/>
      </c>
      <c r="X259" s="67" t="str">
        <f>IF(AND(A259="",E259=""),"",IF(V259="Oui","Annulé",IF(AND(N(H259)&gt;0,N(T259)&gt;=N(H259)),"Reçu",IF(N(S259)=0,"Brouillon",IF(AND(ISNUMBER(R259),R259&lt;p_today),"En retard",IF(N(T259)&gt;0,"Partiel","Envoyé"))))))</f>
        <v/>
      </c>
      <c r="Y259" s="75" t="str">
        <f>IF(X259="En retard",p_today-R259,IF(AND(X259="Reçu",ISNUMBER(R259)),MAX(0,N(U259)-R259),""))</f>
        <v/>
      </c>
      <c r="Z259" s="67" t="str">
        <f>IF(AND(A259="",E259=""),"",IF(A259="","N° de bon manquant",IF(N(B259)=0,"Date de commande manquante",IF(C259="","Fournisseur manquant",IF(ISNA(MATCH($C259,sup_code,0)),"Fournisseur inconnu",IF(E259="","Article manquant",IF(ISNA(MATCH($E259,art_ref,0)),"Article inconnu",IF(N(H259)&lt;=0,"Quantité invalide",IF(J259="","Prix manquant",IF(OR(N(K259)&lt;0,N(K259)&gt;=1),"Remise invalide",IF(M259="","TVA manquante",IF(ISNA(MATCH(M259,p_tva,0)),"Taux de TVA inconnu",IF(COUNTIFS(po_num,A259,po_sup,"&lt;&gt;"&amp;C259)&gt;0,"Fournisseur différent sur ce bon",IF(COUNTIFS(po_num,A259,po_date,"&lt;&gt;"&amp;B259)&gt;0,"Date différente sur ce bon",IF(COUNTIF(po_num,A259)&gt;25,"Plus de 25 lignes sur ce bon",IF(R259="","Date de livraison manquante",IF(R259&lt;B259,"Livraison avant la commande",IF(AND(N(T259)&gt;0,N(S259)=0),"Date d'envoi manquante",IF(N(T259)&gt;N(H259),"Reçu plus que commandé",IF(AND(N(T259)&gt;0,N(U259)=0),"Date de réception manquante",IF(AND(N(U259)&gt;0,U259&lt;B259),"Réception avant la commande","OK")))))))))))))))))))))</f>
        <v/>
      </c>
      <c r="AA259" s="66" t="str">
        <f>IF(AND(X259="Reçu",ISNUMBER(R259)),IF(N(U259)&lt;=R259,1,0),"")</f>
        <v/>
      </c>
      <c r="AB259" s="76" t="str">
        <f>IF(OR(X259="Envoyé",X259="Partiel",X259="En retard"),IF(ISNUMBER(R259),R259,100000)+ROW()/100000,"")</f>
        <v/>
      </c>
      <c r="AC259" s="66" t="str">
        <f>IF(A259="","",IF(COUNTIF($A$6:A259,A259)=1,1,""))</f>
        <v/>
      </c>
      <c r="AD259" s="66" t="str">
        <f>IF(AC259=1,COUNT($AC$6:AC259),"")</f>
        <v/>
      </c>
      <c r="AE259" s="66" t="str">
        <f>IFERROR(INDEX(po_num,MATCH(254,po_seq,0))&amp;"","")</f>
        <v/>
      </c>
      <c r="AF259" s="66" t="str">
        <f>IF(OR(A259="",p_po=""),"",IF(A259&amp;""=p_po,COUNTIF($A$6:A259,A259),""))</f>
        <v/>
      </c>
      <c r="AG259" s="66" t="str">
        <f>IF(OR(AB259="",A259=""),"",IF(COUNTIFS($A$6:A259,A259,$AB$6:AB259,"&gt;0")=1,1,""))</f>
        <v/>
      </c>
      <c r="AH259" s="70" t="str">
        <f>IF(AB259="","",ROUND(N(W259)*N(J259)*(1-N(K259)),2))</f>
        <v/>
      </c>
      <c r="AI259" s="70" t="str">
        <f>IF(OR(J259="",N(T259)&lt;=0,V259="Oui"),"",ROUND(N(T259)*J259*(1-N(K259)),2))</f>
        <v/>
      </c>
    </row>
    <row r="260">
      <c r="A260" s="63" t="n"/>
      <c r="B260" s="64" t="n"/>
      <c r="C260" s="65" t="n"/>
      <c r="D260" s="66" t="str">
        <f>IF(C260="","",IFERROR(INDEX(sup_name,MATCH($C260,sup_code,0))&amp;"","Fournisseur inconnu"))</f>
        <v/>
      </c>
      <c r="E260" s="63" t="n"/>
      <c r="F260" s="66" t="str">
        <f>IF(E260="","",IFERROR(INDEX(art_des,MATCH($E260,art_ref,0))&amp;"","Article inconnu"))</f>
        <v/>
      </c>
      <c r="G260" s="67" t="str">
        <f>IF(E260="","",IFERROR(INDEX(art_unit,MATCH($E260,art_ref,0))&amp;"",""))</f>
        <v/>
      </c>
      <c r="H260" s="68" t="n"/>
      <c r="I260" s="69" t="n"/>
      <c r="J260" s="70" t="str">
        <f>IF(E260="","",IF(ISNUMBER(I260),I260,IFERROR(IF(ISNUMBER(INDEX(art_price,MATCH($E260,art_ref,0))),INDEX(art_price,MATCH($E260,art_ref,0)),""),"")))</f>
        <v/>
      </c>
      <c r="K260" s="71" t="n"/>
      <c r="L260" s="72" t="n"/>
      <c r="M260" s="72" t="str">
        <f>IF(E260="","",IF(L260&lt;&gt;"",L260,IFERROR(IF(ISNUMBER(INDEX(art_tva,MATCH($E260,art_ref,0))),INDEX(art_tva,MATCH($E260,art_ref,0)),""),"")))</f>
        <v/>
      </c>
      <c r="N260" s="70" t="str">
        <f>IF(OR(E260="",J260=""),"",ROUND(N(H260)*J260*(1-N(K260)),2))</f>
        <v/>
      </c>
      <c r="O260" s="70" t="str">
        <f>IF(OR(N260="",NOT(ISNUMBER(M260))),"",ROUND(N260*M260,2))</f>
        <v/>
      </c>
      <c r="P260" s="70" t="str">
        <f>IF(N260="","",N260+N(O260))</f>
        <v/>
      </c>
      <c r="Q260" s="64" t="n"/>
      <c r="R260" s="73" t="str">
        <f>IF(N(Q260)&gt;0,Q260,IF(OR(N(B260)=0,ISNA(MATCH($C260,sup_code,0))),"",IF(ISNUMBER(INDEX(sup_delay,MATCH($C260,sup_code,0))),B260+INDEX(sup_delay,MATCH($C260,sup_code,0)),"")))</f>
        <v/>
      </c>
      <c r="S260" s="64" t="n"/>
      <c r="T260" s="68" t="n"/>
      <c r="U260" s="64" t="n"/>
      <c r="V260" s="65" t="n"/>
      <c r="W260" s="74" t="str">
        <f>IF(AND(A260="",E260=""),"",IF(V260="Oui",0,MAX(0,ROUND(N(H260)-N(T260),6))))</f>
        <v/>
      </c>
      <c r="X260" s="67" t="str">
        <f>IF(AND(A260="",E260=""),"",IF(V260="Oui","Annulé",IF(AND(N(H260)&gt;0,N(T260)&gt;=N(H260)),"Reçu",IF(N(S260)=0,"Brouillon",IF(AND(ISNUMBER(R260),R260&lt;p_today),"En retard",IF(N(T260)&gt;0,"Partiel","Envoyé"))))))</f>
        <v/>
      </c>
      <c r="Y260" s="75" t="str">
        <f>IF(X260="En retard",p_today-R260,IF(AND(X260="Reçu",ISNUMBER(R260)),MAX(0,N(U260)-R260),""))</f>
        <v/>
      </c>
      <c r="Z260" s="67" t="str">
        <f>IF(AND(A260="",E260=""),"",IF(A260="","N° de bon manquant",IF(N(B260)=0,"Date de commande manquante",IF(C260="","Fournisseur manquant",IF(ISNA(MATCH($C260,sup_code,0)),"Fournisseur inconnu",IF(E260="","Article manquant",IF(ISNA(MATCH($E260,art_ref,0)),"Article inconnu",IF(N(H260)&lt;=0,"Quantité invalide",IF(J260="","Prix manquant",IF(OR(N(K260)&lt;0,N(K260)&gt;=1),"Remise invalide",IF(M260="","TVA manquante",IF(ISNA(MATCH(M260,p_tva,0)),"Taux de TVA inconnu",IF(COUNTIFS(po_num,A260,po_sup,"&lt;&gt;"&amp;C260)&gt;0,"Fournisseur différent sur ce bon",IF(COUNTIFS(po_num,A260,po_date,"&lt;&gt;"&amp;B260)&gt;0,"Date différente sur ce bon",IF(COUNTIF(po_num,A260)&gt;25,"Plus de 25 lignes sur ce bon",IF(R260="","Date de livraison manquante",IF(R260&lt;B260,"Livraison avant la commande",IF(AND(N(T260)&gt;0,N(S260)=0),"Date d'envoi manquante",IF(N(T260)&gt;N(H260),"Reçu plus que commandé",IF(AND(N(T260)&gt;0,N(U260)=0),"Date de réception manquante",IF(AND(N(U260)&gt;0,U260&lt;B260),"Réception avant la commande","OK")))))))))))))))))))))</f>
        <v/>
      </c>
      <c r="AA260" s="66" t="str">
        <f>IF(AND(X260="Reçu",ISNUMBER(R260)),IF(N(U260)&lt;=R260,1,0),"")</f>
        <v/>
      </c>
      <c r="AB260" s="76" t="str">
        <f>IF(OR(X260="Envoyé",X260="Partiel",X260="En retard"),IF(ISNUMBER(R260),R260,100000)+ROW()/100000,"")</f>
        <v/>
      </c>
      <c r="AC260" s="66" t="str">
        <f>IF(A260="","",IF(COUNTIF($A$6:A260,A260)=1,1,""))</f>
        <v/>
      </c>
      <c r="AD260" s="66" t="str">
        <f>IF(AC260=1,COUNT($AC$6:AC260),"")</f>
        <v/>
      </c>
      <c r="AE260" s="66" t="str">
        <f>IFERROR(INDEX(po_num,MATCH(255,po_seq,0))&amp;"","")</f>
        <v/>
      </c>
      <c r="AF260" s="66" t="str">
        <f>IF(OR(A260="",p_po=""),"",IF(A260&amp;""=p_po,COUNTIF($A$6:A260,A260),""))</f>
        <v/>
      </c>
      <c r="AG260" s="66" t="str">
        <f>IF(OR(AB260="",A260=""),"",IF(COUNTIFS($A$6:A260,A260,$AB$6:AB260,"&gt;0")=1,1,""))</f>
        <v/>
      </c>
      <c r="AH260" s="70" t="str">
        <f>IF(AB260="","",ROUND(N(W260)*N(J260)*(1-N(K260)),2))</f>
        <v/>
      </c>
      <c r="AI260" s="70" t="str">
        <f>IF(OR(J260="",N(T260)&lt;=0,V260="Oui"),"",ROUND(N(T260)*J260*(1-N(K260)),2))</f>
        <v/>
      </c>
    </row>
    <row r="261">
      <c r="A261" s="63" t="n"/>
      <c r="B261" s="64" t="n"/>
      <c r="C261" s="65" t="n"/>
      <c r="D261" s="66" t="str">
        <f>IF(C261="","",IFERROR(INDEX(sup_name,MATCH($C261,sup_code,0))&amp;"","Fournisseur inconnu"))</f>
        <v/>
      </c>
      <c r="E261" s="63" t="n"/>
      <c r="F261" s="66" t="str">
        <f>IF(E261="","",IFERROR(INDEX(art_des,MATCH($E261,art_ref,0))&amp;"","Article inconnu"))</f>
        <v/>
      </c>
      <c r="G261" s="67" t="str">
        <f>IF(E261="","",IFERROR(INDEX(art_unit,MATCH($E261,art_ref,0))&amp;"",""))</f>
        <v/>
      </c>
      <c r="H261" s="68" t="n"/>
      <c r="I261" s="69" t="n"/>
      <c r="J261" s="70" t="str">
        <f>IF(E261="","",IF(ISNUMBER(I261),I261,IFERROR(IF(ISNUMBER(INDEX(art_price,MATCH($E261,art_ref,0))),INDEX(art_price,MATCH($E261,art_ref,0)),""),"")))</f>
        <v/>
      </c>
      <c r="K261" s="71" t="n"/>
      <c r="L261" s="72" t="n"/>
      <c r="M261" s="72" t="str">
        <f>IF(E261="","",IF(L261&lt;&gt;"",L261,IFERROR(IF(ISNUMBER(INDEX(art_tva,MATCH($E261,art_ref,0))),INDEX(art_tva,MATCH($E261,art_ref,0)),""),"")))</f>
        <v/>
      </c>
      <c r="N261" s="70" t="str">
        <f>IF(OR(E261="",J261=""),"",ROUND(N(H261)*J261*(1-N(K261)),2))</f>
        <v/>
      </c>
      <c r="O261" s="70" t="str">
        <f>IF(OR(N261="",NOT(ISNUMBER(M261))),"",ROUND(N261*M261,2))</f>
        <v/>
      </c>
      <c r="P261" s="70" t="str">
        <f>IF(N261="","",N261+N(O261))</f>
        <v/>
      </c>
      <c r="Q261" s="64" t="n"/>
      <c r="R261" s="73" t="str">
        <f>IF(N(Q261)&gt;0,Q261,IF(OR(N(B261)=0,ISNA(MATCH($C261,sup_code,0))),"",IF(ISNUMBER(INDEX(sup_delay,MATCH($C261,sup_code,0))),B261+INDEX(sup_delay,MATCH($C261,sup_code,0)),"")))</f>
        <v/>
      </c>
      <c r="S261" s="64" t="n"/>
      <c r="T261" s="68" t="n"/>
      <c r="U261" s="64" t="n"/>
      <c r="V261" s="65" t="n"/>
      <c r="W261" s="74" t="str">
        <f>IF(AND(A261="",E261=""),"",IF(V261="Oui",0,MAX(0,ROUND(N(H261)-N(T261),6))))</f>
        <v/>
      </c>
      <c r="X261" s="67" t="str">
        <f>IF(AND(A261="",E261=""),"",IF(V261="Oui","Annulé",IF(AND(N(H261)&gt;0,N(T261)&gt;=N(H261)),"Reçu",IF(N(S261)=0,"Brouillon",IF(AND(ISNUMBER(R261),R261&lt;p_today),"En retard",IF(N(T261)&gt;0,"Partiel","Envoyé"))))))</f>
        <v/>
      </c>
      <c r="Y261" s="75" t="str">
        <f>IF(X261="En retard",p_today-R261,IF(AND(X261="Reçu",ISNUMBER(R261)),MAX(0,N(U261)-R261),""))</f>
        <v/>
      </c>
      <c r="Z261" s="67" t="str">
        <f>IF(AND(A261="",E261=""),"",IF(A261="","N° de bon manquant",IF(N(B261)=0,"Date de commande manquante",IF(C261="","Fournisseur manquant",IF(ISNA(MATCH($C261,sup_code,0)),"Fournisseur inconnu",IF(E261="","Article manquant",IF(ISNA(MATCH($E261,art_ref,0)),"Article inconnu",IF(N(H261)&lt;=0,"Quantité invalide",IF(J261="","Prix manquant",IF(OR(N(K261)&lt;0,N(K261)&gt;=1),"Remise invalide",IF(M261="","TVA manquante",IF(ISNA(MATCH(M261,p_tva,0)),"Taux de TVA inconnu",IF(COUNTIFS(po_num,A261,po_sup,"&lt;&gt;"&amp;C261)&gt;0,"Fournisseur différent sur ce bon",IF(COUNTIFS(po_num,A261,po_date,"&lt;&gt;"&amp;B261)&gt;0,"Date différente sur ce bon",IF(COUNTIF(po_num,A261)&gt;25,"Plus de 25 lignes sur ce bon",IF(R261="","Date de livraison manquante",IF(R261&lt;B261,"Livraison avant la commande",IF(AND(N(T261)&gt;0,N(S261)=0),"Date d'envoi manquante",IF(N(T261)&gt;N(H261),"Reçu plus que commandé",IF(AND(N(T261)&gt;0,N(U261)=0),"Date de réception manquante",IF(AND(N(U261)&gt;0,U261&lt;B261),"Réception avant la commande","OK")))))))))))))))))))))</f>
        <v/>
      </c>
      <c r="AA261" s="66" t="str">
        <f>IF(AND(X261="Reçu",ISNUMBER(R261)),IF(N(U261)&lt;=R261,1,0),"")</f>
        <v/>
      </c>
      <c r="AB261" s="76" t="str">
        <f>IF(OR(X261="Envoyé",X261="Partiel",X261="En retard"),IF(ISNUMBER(R261),R261,100000)+ROW()/100000,"")</f>
        <v/>
      </c>
      <c r="AC261" s="66" t="str">
        <f>IF(A261="","",IF(COUNTIF($A$6:A261,A261)=1,1,""))</f>
        <v/>
      </c>
      <c r="AD261" s="66" t="str">
        <f>IF(AC261=1,COUNT($AC$6:AC261),"")</f>
        <v/>
      </c>
      <c r="AE261" s="66" t="str">
        <f>IFERROR(INDEX(po_num,MATCH(256,po_seq,0))&amp;"","")</f>
        <v/>
      </c>
      <c r="AF261" s="66" t="str">
        <f>IF(OR(A261="",p_po=""),"",IF(A261&amp;""=p_po,COUNTIF($A$6:A261,A261),""))</f>
        <v/>
      </c>
      <c r="AG261" s="66" t="str">
        <f>IF(OR(AB261="",A261=""),"",IF(COUNTIFS($A$6:A261,A261,$AB$6:AB261,"&gt;0")=1,1,""))</f>
        <v/>
      </c>
      <c r="AH261" s="70" t="str">
        <f>IF(AB261="","",ROUND(N(W261)*N(J261)*(1-N(K261)),2))</f>
        <v/>
      </c>
      <c r="AI261" s="70" t="str">
        <f>IF(OR(J261="",N(T261)&lt;=0,V261="Oui"),"",ROUND(N(T261)*J261*(1-N(K261)),2))</f>
        <v/>
      </c>
    </row>
    <row r="262">
      <c r="A262" s="63" t="n"/>
      <c r="B262" s="64" t="n"/>
      <c r="C262" s="65" t="n"/>
      <c r="D262" s="66" t="str">
        <f>IF(C262="","",IFERROR(INDEX(sup_name,MATCH($C262,sup_code,0))&amp;"","Fournisseur inconnu"))</f>
        <v/>
      </c>
      <c r="E262" s="63" t="n"/>
      <c r="F262" s="66" t="str">
        <f>IF(E262="","",IFERROR(INDEX(art_des,MATCH($E262,art_ref,0))&amp;"","Article inconnu"))</f>
        <v/>
      </c>
      <c r="G262" s="67" t="str">
        <f>IF(E262="","",IFERROR(INDEX(art_unit,MATCH($E262,art_ref,0))&amp;"",""))</f>
        <v/>
      </c>
      <c r="H262" s="68" t="n"/>
      <c r="I262" s="69" t="n"/>
      <c r="J262" s="70" t="str">
        <f>IF(E262="","",IF(ISNUMBER(I262),I262,IFERROR(IF(ISNUMBER(INDEX(art_price,MATCH($E262,art_ref,0))),INDEX(art_price,MATCH($E262,art_ref,0)),""),"")))</f>
        <v/>
      </c>
      <c r="K262" s="71" t="n"/>
      <c r="L262" s="72" t="n"/>
      <c r="M262" s="72" t="str">
        <f>IF(E262="","",IF(L262&lt;&gt;"",L262,IFERROR(IF(ISNUMBER(INDEX(art_tva,MATCH($E262,art_ref,0))),INDEX(art_tva,MATCH($E262,art_ref,0)),""),"")))</f>
        <v/>
      </c>
      <c r="N262" s="70" t="str">
        <f>IF(OR(E262="",J262=""),"",ROUND(N(H262)*J262*(1-N(K262)),2))</f>
        <v/>
      </c>
      <c r="O262" s="70" t="str">
        <f>IF(OR(N262="",NOT(ISNUMBER(M262))),"",ROUND(N262*M262,2))</f>
        <v/>
      </c>
      <c r="P262" s="70" t="str">
        <f>IF(N262="","",N262+N(O262))</f>
        <v/>
      </c>
      <c r="Q262" s="64" t="n"/>
      <c r="R262" s="73" t="str">
        <f>IF(N(Q262)&gt;0,Q262,IF(OR(N(B262)=0,ISNA(MATCH($C262,sup_code,0))),"",IF(ISNUMBER(INDEX(sup_delay,MATCH($C262,sup_code,0))),B262+INDEX(sup_delay,MATCH($C262,sup_code,0)),"")))</f>
        <v/>
      </c>
      <c r="S262" s="64" t="n"/>
      <c r="T262" s="68" t="n"/>
      <c r="U262" s="64" t="n"/>
      <c r="V262" s="65" t="n"/>
      <c r="W262" s="74" t="str">
        <f>IF(AND(A262="",E262=""),"",IF(V262="Oui",0,MAX(0,ROUND(N(H262)-N(T262),6))))</f>
        <v/>
      </c>
      <c r="X262" s="67" t="str">
        <f>IF(AND(A262="",E262=""),"",IF(V262="Oui","Annulé",IF(AND(N(H262)&gt;0,N(T262)&gt;=N(H262)),"Reçu",IF(N(S262)=0,"Brouillon",IF(AND(ISNUMBER(R262),R262&lt;p_today),"En retard",IF(N(T262)&gt;0,"Partiel","Envoyé"))))))</f>
        <v/>
      </c>
      <c r="Y262" s="75" t="str">
        <f>IF(X262="En retard",p_today-R262,IF(AND(X262="Reçu",ISNUMBER(R262)),MAX(0,N(U262)-R262),""))</f>
        <v/>
      </c>
      <c r="Z262" s="67" t="str">
        <f>IF(AND(A262="",E262=""),"",IF(A262="","N° de bon manquant",IF(N(B262)=0,"Date de commande manquante",IF(C262="","Fournisseur manquant",IF(ISNA(MATCH($C262,sup_code,0)),"Fournisseur inconnu",IF(E262="","Article manquant",IF(ISNA(MATCH($E262,art_ref,0)),"Article inconnu",IF(N(H262)&lt;=0,"Quantité invalide",IF(J262="","Prix manquant",IF(OR(N(K262)&lt;0,N(K262)&gt;=1),"Remise invalide",IF(M262="","TVA manquante",IF(ISNA(MATCH(M262,p_tva,0)),"Taux de TVA inconnu",IF(COUNTIFS(po_num,A262,po_sup,"&lt;&gt;"&amp;C262)&gt;0,"Fournisseur différent sur ce bon",IF(COUNTIFS(po_num,A262,po_date,"&lt;&gt;"&amp;B262)&gt;0,"Date différente sur ce bon",IF(COUNTIF(po_num,A262)&gt;25,"Plus de 25 lignes sur ce bon",IF(R262="","Date de livraison manquante",IF(R262&lt;B262,"Livraison avant la commande",IF(AND(N(T262)&gt;0,N(S262)=0),"Date d'envoi manquante",IF(N(T262)&gt;N(H262),"Reçu plus que commandé",IF(AND(N(T262)&gt;0,N(U262)=0),"Date de réception manquante",IF(AND(N(U262)&gt;0,U262&lt;B262),"Réception avant la commande","OK")))))))))))))))))))))</f>
        <v/>
      </c>
      <c r="AA262" s="66" t="str">
        <f>IF(AND(X262="Reçu",ISNUMBER(R262)),IF(N(U262)&lt;=R262,1,0),"")</f>
        <v/>
      </c>
      <c r="AB262" s="76" t="str">
        <f>IF(OR(X262="Envoyé",X262="Partiel",X262="En retard"),IF(ISNUMBER(R262),R262,100000)+ROW()/100000,"")</f>
        <v/>
      </c>
      <c r="AC262" s="66" t="str">
        <f>IF(A262="","",IF(COUNTIF($A$6:A262,A262)=1,1,""))</f>
        <v/>
      </c>
      <c r="AD262" s="66" t="str">
        <f>IF(AC262=1,COUNT($AC$6:AC262),"")</f>
        <v/>
      </c>
      <c r="AE262" s="66" t="str">
        <f>IFERROR(INDEX(po_num,MATCH(257,po_seq,0))&amp;"","")</f>
        <v/>
      </c>
      <c r="AF262" s="66" t="str">
        <f>IF(OR(A262="",p_po=""),"",IF(A262&amp;""=p_po,COUNTIF($A$6:A262,A262),""))</f>
        <v/>
      </c>
      <c r="AG262" s="66" t="str">
        <f>IF(OR(AB262="",A262=""),"",IF(COUNTIFS($A$6:A262,A262,$AB$6:AB262,"&gt;0")=1,1,""))</f>
        <v/>
      </c>
      <c r="AH262" s="70" t="str">
        <f>IF(AB262="","",ROUND(N(W262)*N(J262)*(1-N(K262)),2))</f>
        <v/>
      </c>
      <c r="AI262" s="70" t="str">
        <f>IF(OR(J262="",N(T262)&lt;=0,V262="Oui"),"",ROUND(N(T262)*J262*(1-N(K262)),2))</f>
        <v/>
      </c>
    </row>
    <row r="263">
      <c r="A263" s="63" t="n"/>
      <c r="B263" s="64" t="n"/>
      <c r="C263" s="65" t="n"/>
      <c r="D263" s="66" t="str">
        <f>IF(C263="","",IFERROR(INDEX(sup_name,MATCH($C263,sup_code,0))&amp;"","Fournisseur inconnu"))</f>
        <v/>
      </c>
      <c r="E263" s="63" t="n"/>
      <c r="F263" s="66" t="str">
        <f>IF(E263="","",IFERROR(INDEX(art_des,MATCH($E263,art_ref,0))&amp;"","Article inconnu"))</f>
        <v/>
      </c>
      <c r="G263" s="67" t="str">
        <f>IF(E263="","",IFERROR(INDEX(art_unit,MATCH($E263,art_ref,0))&amp;"",""))</f>
        <v/>
      </c>
      <c r="H263" s="68" t="n"/>
      <c r="I263" s="69" t="n"/>
      <c r="J263" s="70" t="str">
        <f>IF(E263="","",IF(ISNUMBER(I263),I263,IFERROR(IF(ISNUMBER(INDEX(art_price,MATCH($E263,art_ref,0))),INDEX(art_price,MATCH($E263,art_ref,0)),""),"")))</f>
        <v/>
      </c>
      <c r="K263" s="71" t="n"/>
      <c r="L263" s="72" t="n"/>
      <c r="M263" s="72" t="str">
        <f>IF(E263="","",IF(L263&lt;&gt;"",L263,IFERROR(IF(ISNUMBER(INDEX(art_tva,MATCH($E263,art_ref,0))),INDEX(art_tva,MATCH($E263,art_ref,0)),""),"")))</f>
        <v/>
      </c>
      <c r="N263" s="70" t="str">
        <f>IF(OR(E263="",J263=""),"",ROUND(N(H263)*J263*(1-N(K263)),2))</f>
        <v/>
      </c>
      <c r="O263" s="70" t="str">
        <f>IF(OR(N263="",NOT(ISNUMBER(M263))),"",ROUND(N263*M263,2))</f>
        <v/>
      </c>
      <c r="P263" s="70" t="str">
        <f>IF(N263="","",N263+N(O263))</f>
        <v/>
      </c>
      <c r="Q263" s="64" t="n"/>
      <c r="R263" s="73" t="str">
        <f>IF(N(Q263)&gt;0,Q263,IF(OR(N(B263)=0,ISNA(MATCH($C263,sup_code,0))),"",IF(ISNUMBER(INDEX(sup_delay,MATCH($C263,sup_code,0))),B263+INDEX(sup_delay,MATCH($C263,sup_code,0)),"")))</f>
        <v/>
      </c>
      <c r="S263" s="64" t="n"/>
      <c r="T263" s="68" t="n"/>
      <c r="U263" s="64" t="n"/>
      <c r="V263" s="65" t="n"/>
      <c r="W263" s="74" t="str">
        <f>IF(AND(A263="",E263=""),"",IF(V263="Oui",0,MAX(0,ROUND(N(H263)-N(T263),6))))</f>
        <v/>
      </c>
      <c r="X263" s="67" t="str">
        <f>IF(AND(A263="",E263=""),"",IF(V263="Oui","Annulé",IF(AND(N(H263)&gt;0,N(T263)&gt;=N(H263)),"Reçu",IF(N(S263)=0,"Brouillon",IF(AND(ISNUMBER(R263),R263&lt;p_today),"En retard",IF(N(T263)&gt;0,"Partiel","Envoyé"))))))</f>
        <v/>
      </c>
      <c r="Y263" s="75" t="str">
        <f>IF(X263="En retard",p_today-R263,IF(AND(X263="Reçu",ISNUMBER(R263)),MAX(0,N(U263)-R263),""))</f>
        <v/>
      </c>
      <c r="Z263" s="67" t="str">
        <f>IF(AND(A263="",E263=""),"",IF(A263="","N° de bon manquant",IF(N(B263)=0,"Date de commande manquante",IF(C263="","Fournisseur manquant",IF(ISNA(MATCH($C263,sup_code,0)),"Fournisseur inconnu",IF(E263="","Article manquant",IF(ISNA(MATCH($E263,art_ref,0)),"Article inconnu",IF(N(H263)&lt;=0,"Quantité invalide",IF(J263="","Prix manquant",IF(OR(N(K263)&lt;0,N(K263)&gt;=1),"Remise invalide",IF(M263="","TVA manquante",IF(ISNA(MATCH(M263,p_tva,0)),"Taux de TVA inconnu",IF(COUNTIFS(po_num,A263,po_sup,"&lt;&gt;"&amp;C263)&gt;0,"Fournisseur différent sur ce bon",IF(COUNTIFS(po_num,A263,po_date,"&lt;&gt;"&amp;B263)&gt;0,"Date différente sur ce bon",IF(COUNTIF(po_num,A263)&gt;25,"Plus de 25 lignes sur ce bon",IF(R263="","Date de livraison manquante",IF(R263&lt;B263,"Livraison avant la commande",IF(AND(N(T263)&gt;0,N(S263)=0),"Date d'envoi manquante",IF(N(T263)&gt;N(H263),"Reçu plus que commandé",IF(AND(N(T263)&gt;0,N(U263)=0),"Date de réception manquante",IF(AND(N(U263)&gt;0,U263&lt;B263),"Réception avant la commande","OK")))))))))))))))))))))</f>
        <v/>
      </c>
      <c r="AA263" s="66" t="str">
        <f>IF(AND(X263="Reçu",ISNUMBER(R263)),IF(N(U263)&lt;=R263,1,0),"")</f>
        <v/>
      </c>
      <c r="AB263" s="76" t="str">
        <f>IF(OR(X263="Envoyé",X263="Partiel",X263="En retard"),IF(ISNUMBER(R263),R263,100000)+ROW()/100000,"")</f>
        <v/>
      </c>
      <c r="AC263" s="66" t="str">
        <f>IF(A263="","",IF(COUNTIF($A$6:A263,A263)=1,1,""))</f>
        <v/>
      </c>
      <c r="AD263" s="66" t="str">
        <f>IF(AC263=1,COUNT($AC$6:AC263),"")</f>
        <v/>
      </c>
      <c r="AE263" s="66" t="str">
        <f>IFERROR(INDEX(po_num,MATCH(258,po_seq,0))&amp;"","")</f>
        <v/>
      </c>
      <c r="AF263" s="66" t="str">
        <f>IF(OR(A263="",p_po=""),"",IF(A263&amp;""=p_po,COUNTIF($A$6:A263,A263),""))</f>
        <v/>
      </c>
      <c r="AG263" s="66" t="str">
        <f>IF(OR(AB263="",A263=""),"",IF(COUNTIFS($A$6:A263,A263,$AB$6:AB263,"&gt;0")=1,1,""))</f>
        <v/>
      </c>
      <c r="AH263" s="70" t="str">
        <f>IF(AB263="","",ROUND(N(W263)*N(J263)*(1-N(K263)),2))</f>
        <v/>
      </c>
      <c r="AI263" s="70" t="str">
        <f>IF(OR(J263="",N(T263)&lt;=0,V263="Oui"),"",ROUND(N(T263)*J263*(1-N(K263)),2))</f>
        <v/>
      </c>
    </row>
    <row r="264">
      <c r="A264" s="63" t="n"/>
      <c r="B264" s="64" t="n"/>
      <c r="C264" s="65" t="n"/>
      <c r="D264" s="66" t="str">
        <f>IF(C264="","",IFERROR(INDEX(sup_name,MATCH($C264,sup_code,0))&amp;"","Fournisseur inconnu"))</f>
        <v/>
      </c>
      <c r="E264" s="63" t="n"/>
      <c r="F264" s="66" t="str">
        <f>IF(E264="","",IFERROR(INDEX(art_des,MATCH($E264,art_ref,0))&amp;"","Article inconnu"))</f>
        <v/>
      </c>
      <c r="G264" s="67" t="str">
        <f>IF(E264="","",IFERROR(INDEX(art_unit,MATCH($E264,art_ref,0))&amp;"",""))</f>
        <v/>
      </c>
      <c r="H264" s="68" t="n"/>
      <c r="I264" s="69" t="n"/>
      <c r="J264" s="70" t="str">
        <f>IF(E264="","",IF(ISNUMBER(I264),I264,IFERROR(IF(ISNUMBER(INDEX(art_price,MATCH($E264,art_ref,0))),INDEX(art_price,MATCH($E264,art_ref,0)),""),"")))</f>
        <v/>
      </c>
      <c r="K264" s="71" t="n"/>
      <c r="L264" s="72" t="n"/>
      <c r="M264" s="72" t="str">
        <f>IF(E264="","",IF(L264&lt;&gt;"",L264,IFERROR(IF(ISNUMBER(INDEX(art_tva,MATCH($E264,art_ref,0))),INDEX(art_tva,MATCH($E264,art_ref,0)),""),"")))</f>
        <v/>
      </c>
      <c r="N264" s="70" t="str">
        <f>IF(OR(E264="",J264=""),"",ROUND(N(H264)*J264*(1-N(K264)),2))</f>
        <v/>
      </c>
      <c r="O264" s="70" t="str">
        <f>IF(OR(N264="",NOT(ISNUMBER(M264))),"",ROUND(N264*M264,2))</f>
        <v/>
      </c>
      <c r="P264" s="70" t="str">
        <f>IF(N264="","",N264+N(O264))</f>
        <v/>
      </c>
      <c r="Q264" s="64" t="n"/>
      <c r="R264" s="73" t="str">
        <f>IF(N(Q264)&gt;0,Q264,IF(OR(N(B264)=0,ISNA(MATCH($C264,sup_code,0))),"",IF(ISNUMBER(INDEX(sup_delay,MATCH($C264,sup_code,0))),B264+INDEX(sup_delay,MATCH($C264,sup_code,0)),"")))</f>
        <v/>
      </c>
      <c r="S264" s="64" t="n"/>
      <c r="T264" s="68" t="n"/>
      <c r="U264" s="64" t="n"/>
      <c r="V264" s="65" t="n"/>
      <c r="W264" s="74" t="str">
        <f>IF(AND(A264="",E264=""),"",IF(V264="Oui",0,MAX(0,ROUND(N(H264)-N(T264),6))))</f>
        <v/>
      </c>
      <c r="X264" s="67" t="str">
        <f>IF(AND(A264="",E264=""),"",IF(V264="Oui","Annulé",IF(AND(N(H264)&gt;0,N(T264)&gt;=N(H264)),"Reçu",IF(N(S264)=0,"Brouillon",IF(AND(ISNUMBER(R264),R264&lt;p_today),"En retard",IF(N(T264)&gt;0,"Partiel","Envoyé"))))))</f>
        <v/>
      </c>
      <c r="Y264" s="75" t="str">
        <f>IF(X264="En retard",p_today-R264,IF(AND(X264="Reçu",ISNUMBER(R264)),MAX(0,N(U264)-R264),""))</f>
        <v/>
      </c>
      <c r="Z264" s="67" t="str">
        <f>IF(AND(A264="",E264=""),"",IF(A264="","N° de bon manquant",IF(N(B264)=0,"Date de commande manquante",IF(C264="","Fournisseur manquant",IF(ISNA(MATCH($C264,sup_code,0)),"Fournisseur inconnu",IF(E264="","Article manquant",IF(ISNA(MATCH($E264,art_ref,0)),"Article inconnu",IF(N(H264)&lt;=0,"Quantité invalide",IF(J264="","Prix manquant",IF(OR(N(K264)&lt;0,N(K264)&gt;=1),"Remise invalide",IF(M264="","TVA manquante",IF(ISNA(MATCH(M264,p_tva,0)),"Taux de TVA inconnu",IF(COUNTIFS(po_num,A264,po_sup,"&lt;&gt;"&amp;C264)&gt;0,"Fournisseur différent sur ce bon",IF(COUNTIFS(po_num,A264,po_date,"&lt;&gt;"&amp;B264)&gt;0,"Date différente sur ce bon",IF(COUNTIF(po_num,A264)&gt;25,"Plus de 25 lignes sur ce bon",IF(R264="","Date de livraison manquante",IF(R264&lt;B264,"Livraison avant la commande",IF(AND(N(T264)&gt;0,N(S264)=0),"Date d'envoi manquante",IF(N(T264)&gt;N(H264),"Reçu plus que commandé",IF(AND(N(T264)&gt;0,N(U264)=0),"Date de réception manquante",IF(AND(N(U264)&gt;0,U264&lt;B264),"Réception avant la commande","OK")))))))))))))))))))))</f>
        <v/>
      </c>
      <c r="AA264" s="66" t="str">
        <f>IF(AND(X264="Reçu",ISNUMBER(R264)),IF(N(U264)&lt;=R264,1,0),"")</f>
        <v/>
      </c>
      <c r="AB264" s="76" t="str">
        <f>IF(OR(X264="Envoyé",X264="Partiel",X264="En retard"),IF(ISNUMBER(R264),R264,100000)+ROW()/100000,"")</f>
        <v/>
      </c>
      <c r="AC264" s="66" t="str">
        <f>IF(A264="","",IF(COUNTIF($A$6:A264,A264)=1,1,""))</f>
        <v/>
      </c>
      <c r="AD264" s="66" t="str">
        <f>IF(AC264=1,COUNT($AC$6:AC264),"")</f>
        <v/>
      </c>
      <c r="AE264" s="66" t="str">
        <f>IFERROR(INDEX(po_num,MATCH(259,po_seq,0))&amp;"","")</f>
        <v/>
      </c>
      <c r="AF264" s="66" t="str">
        <f>IF(OR(A264="",p_po=""),"",IF(A264&amp;""=p_po,COUNTIF($A$6:A264,A264),""))</f>
        <v/>
      </c>
      <c r="AG264" s="66" t="str">
        <f>IF(OR(AB264="",A264=""),"",IF(COUNTIFS($A$6:A264,A264,$AB$6:AB264,"&gt;0")=1,1,""))</f>
        <v/>
      </c>
      <c r="AH264" s="70" t="str">
        <f>IF(AB264="","",ROUND(N(W264)*N(J264)*(1-N(K264)),2))</f>
        <v/>
      </c>
      <c r="AI264" s="70" t="str">
        <f>IF(OR(J264="",N(T264)&lt;=0,V264="Oui"),"",ROUND(N(T264)*J264*(1-N(K264)),2))</f>
        <v/>
      </c>
    </row>
    <row r="265">
      <c r="A265" s="63" t="n"/>
      <c r="B265" s="64" t="n"/>
      <c r="C265" s="65" t="n"/>
      <c r="D265" s="66" t="str">
        <f>IF(C265="","",IFERROR(INDEX(sup_name,MATCH($C265,sup_code,0))&amp;"","Fournisseur inconnu"))</f>
        <v/>
      </c>
      <c r="E265" s="63" t="n"/>
      <c r="F265" s="66" t="str">
        <f>IF(E265="","",IFERROR(INDEX(art_des,MATCH($E265,art_ref,0))&amp;"","Article inconnu"))</f>
        <v/>
      </c>
      <c r="G265" s="67" t="str">
        <f>IF(E265="","",IFERROR(INDEX(art_unit,MATCH($E265,art_ref,0))&amp;"",""))</f>
        <v/>
      </c>
      <c r="H265" s="68" t="n"/>
      <c r="I265" s="69" t="n"/>
      <c r="J265" s="70" t="str">
        <f>IF(E265="","",IF(ISNUMBER(I265),I265,IFERROR(IF(ISNUMBER(INDEX(art_price,MATCH($E265,art_ref,0))),INDEX(art_price,MATCH($E265,art_ref,0)),""),"")))</f>
        <v/>
      </c>
      <c r="K265" s="71" t="n"/>
      <c r="L265" s="72" t="n"/>
      <c r="M265" s="72" t="str">
        <f>IF(E265="","",IF(L265&lt;&gt;"",L265,IFERROR(IF(ISNUMBER(INDEX(art_tva,MATCH($E265,art_ref,0))),INDEX(art_tva,MATCH($E265,art_ref,0)),""),"")))</f>
        <v/>
      </c>
      <c r="N265" s="70" t="str">
        <f>IF(OR(E265="",J265=""),"",ROUND(N(H265)*J265*(1-N(K265)),2))</f>
        <v/>
      </c>
      <c r="O265" s="70" t="str">
        <f>IF(OR(N265="",NOT(ISNUMBER(M265))),"",ROUND(N265*M265,2))</f>
        <v/>
      </c>
      <c r="P265" s="70" t="str">
        <f>IF(N265="","",N265+N(O265))</f>
        <v/>
      </c>
      <c r="Q265" s="64" t="n"/>
      <c r="R265" s="73" t="str">
        <f>IF(N(Q265)&gt;0,Q265,IF(OR(N(B265)=0,ISNA(MATCH($C265,sup_code,0))),"",IF(ISNUMBER(INDEX(sup_delay,MATCH($C265,sup_code,0))),B265+INDEX(sup_delay,MATCH($C265,sup_code,0)),"")))</f>
        <v/>
      </c>
      <c r="S265" s="64" t="n"/>
      <c r="T265" s="68" t="n"/>
      <c r="U265" s="64" t="n"/>
      <c r="V265" s="65" t="n"/>
      <c r="W265" s="74" t="str">
        <f>IF(AND(A265="",E265=""),"",IF(V265="Oui",0,MAX(0,ROUND(N(H265)-N(T265),6))))</f>
        <v/>
      </c>
      <c r="X265" s="67" t="str">
        <f>IF(AND(A265="",E265=""),"",IF(V265="Oui","Annulé",IF(AND(N(H265)&gt;0,N(T265)&gt;=N(H265)),"Reçu",IF(N(S265)=0,"Brouillon",IF(AND(ISNUMBER(R265),R265&lt;p_today),"En retard",IF(N(T265)&gt;0,"Partiel","Envoyé"))))))</f>
        <v/>
      </c>
      <c r="Y265" s="75" t="str">
        <f>IF(X265="En retard",p_today-R265,IF(AND(X265="Reçu",ISNUMBER(R265)),MAX(0,N(U265)-R265),""))</f>
        <v/>
      </c>
      <c r="Z265" s="67" t="str">
        <f>IF(AND(A265="",E265=""),"",IF(A265="","N° de bon manquant",IF(N(B265)=0,"Date de commande manquante",IF(C265="","Fournisseur manquant",IF(ISNA(MATCH($C265,sup_code,0)),"Fournisseur inconnu",IF(E265="","Article manquant",IF(ISNA(MATCH($E265,art_ref,0)),"Article inconnu",IF(N(H265)&lt;=0,"Quantité invalide",IF(J265="","Prix manquant",IF(OR(N(K265)&lt;0,N(K265)&gt;=1),"Remise invalide",IF(M265="","TVA manquante",IF(ISNA(MATCH(M265,p_tva,0)),"Taux de TVA inconnu",IF(COUNTIFS(po_num,A265,po_sup,"&lt;&gt;"&amp;C265)&gt;0,"Fournisseur différent sur ce bon",IF(COUNTIFS(po_num,A265,po_date,"&lt;&gt;"&amp;B265)&gt;0,"Date différente sur ce bon",IF(COUNTIF(po_num,A265)&gt;25,"Plus de 25 lignes sur ce bon",IF(R265="","Date de livraison manquante",IF(R265&lt;B265,"Livraison avant la commande",IF(AND(N(T265)&gt;0,N(S265)=0),"Date d'envoi manquante",IF(N(T265)&gt;N(H265),"Reçu plus que commandé",IF(AND(N(T265)&gt;0,N(U265)=0),"Date de réception manquante",IF(AND(N(U265)&gt;0,U265&lt;B265),"Réception avant la commande","OK")))))))))))))))))))))</f>
        <v/>
      </c>
      <c r="AA265" s="66" t="str">
        <f>IF(AND(X265="Reçu",ISNUMBER(R265)),IF(N(U265)&lt;=R265,1,0),"")</f>
        <v/>
      </c>
      <c r="AB265" s="76" t="str">
        <f>IF(OR(X265="Envoyé",X265="Partiel",X265="En retard"),IF(ISNUMBER(R265),R265,100000)+ROW()/100000,"")</f>
        <v/>
      </c>
      <c r="AC265" s="66" t="str">
        <f>IF(A265="","",IF(COUNTIF($A$6:A265,A265)=1,1,""))</f>
        <v/>
      </c>
      <c r="AD265" s="66" t="str">
        <f>IF(AC265=1,COUNT($AC$6:AC265),"")</f>
        <v/>
      </c>
      <c r="AE265" s="66" t="str">
        <f>IFERROR(INDEX(po_num,MATCH(260,po_seq,0))&amp;"","")</f>
        <v/>
      </c>
      <c r="AF265" s="66" t="str">
        <f>IF(OR(A265="",p_po=""),"",IF(A265&amp;""=p_po,COUNTIF($A$6:A265,A265),""))</f>
        <v/>
      </c>
      <c r="AG265" s="66" t="str">
        <f>IF(OR(AB265="",A265=""),"",IF(COUNTIFS($A$6:A265,A265,$AB$6:AB265,"&gt;0")=1,1,""))</f>
        <v/>
      </c>
      <c r="AH265" s="70" t="str">
        <f>IF(AB265="","",ROUND(N(W265)*N(J265)*(1-N(K265)),2))</f>
        <v/>
      </c>
      <c r="AI265" s="70" t="str">
        <f>IF(OR(J265="",N(T265)&lt;=0,V265="Oui"),"",ROUND(N(T265)*J265*(1-N(K265)),2))</f>
        <v/>
      </c>
    </row>
    <row r="266">
      <c r="A266" s="63" t="n"/>
      <c r="B266" s="64" t="n"/>
      <c r="C266" s="65" t="n"/>
      <c r="D266" s="66" t="str">
        <f>IF(C266="","",IFERROR(INDEX(sup_name,MATCH($C266,sup_code,0))&amp;"","Fournisseur inconnu"))</f>
        <v/>
      </c>
      <c r="E266" s="63" t="n"/>
      <c r="F266" s="66" t="str">
        <f>IF(E266="","",IFERROR(INDEX(art_des,MATCH($E266,art_ref,0))&amp;"","Article inconnu"))</f>
        <v/>
      </c>
      <c r="G266" s="67" t="str">
        <f>IF(E266="","",IFERROR(INDEX(art_unit,MATCH($E266,art_ref,0))&amp;"",""))</f>
        <v/>
      </c>
      <c r="H266" s="68" t="n"/>
      <c r="I266" s="69" t="n"/>
      <c r="J266" s="70" t="str">
        <f>IF(E266="","",IF(ISNUMBER(I266),I266,IFERROR(IF(ISNUMBER(INDEX(art_price,MATCH($E266,art_ref,0))),INDEX(art_price,MATCH($E266,art_ref,0)),""),"")))</f>
        <v/>
      </c>
      <c r="K266" s="71" t="n"/>
      <c r="L266" s="72" t="n"/>
      <c r="M266" s="72" t="str">
        <f>IF(E266="","",IF(L266&lt;&gt;"",L266,IFERROR(IF(ISNUMBER(INDEX(art_tva,MATCH($E266,art_ref,0))),INDEX(art_tva,MATCH($E266,art_ref,0)),""),"")))</f>
        <v/>
      </c>
      <c r="N266" s="70" t="str">
        <f>IF(OR(E266="",J266=""),"",ROUND(N(H266)*J266*(1-N(K266)),2))</f>
        <v/>
      </c>
      <c r="O266" s="70" t="str">
        <f>IF(OR(N266="",NOT(ISNUMBER(M266))),"",ROUND(N266*M266,2))</f>
        <v/>
      </c>
      <c r="P266" s="70" t="str">
        <f>IF(N266="","",N266+N(O266))</f>
        <v/>
      </c>
      <c r="Q266" s="64" t="n"/>
      <c r="R266" s="73" t="str">
        <f>IF(N(Q266)&gt;0,Q266,IF(OR(N(B266)=0,ISNA(MATCH($C266,sup_code,0))),"",IF(ISNUMBER(INDEX(sup_delay,MATCH($C266,sup_code,0))),B266+INDEX(sup_delay,MATCH($C266,sup_code,0)),"")))</f>
        <v/>
      </c>
      <c r="S266" s="64" t="n"/>
      <c r="T266" s="68" t="n"/>
      <c r="U266" s="64" t="n"/>
      <c r="V266" s="65" t="n"/>
      <c r="W266" s="74" t="str">
        <f>IF(AND(A266="",E266=""),"",IF(V266="Oui",0,MAX(0,ROUND(N(H266)-N(T266),6))))</f>
        <v/>
      </c>
      <c r="X266" s="67" t="str">
        <f>IF(AND(A266="",E266=""),"",IF(V266="Oui","Annulé",IF(AND(N(H266)&gt;0,N(T266)&gt;=N(H266)),"Reçu",IF(N(S266)=0,"Brouillon",IF(AND(ISNUMBER(R266),R266&lt;p_today),"En retard",IF(N(T266)&gt;0,"Partiel","Envoyé"))))))</f>
        <v/>
      </c>
      <c r="Y266" s="75" t="str">
        <f>IF(X266="En retard",p_today-R266,IF(AND(X266="Reçu",ISNUMBER(R266)),MAX(0,N(U266)-R266),""))</f>
        <v/>
      </c>
      <c r="Z266" s="67" t="str">
        <f>IF(AND(A266="",E266=""),"",IF(A266="","N° de bon manquant",IF(N(B266)=0,"Date de commande manquante",IF(C266="","Fournisseur manquant",IF(ISNA(MATCH($C266,sup_code,0)),"Fournisseur inconnu",IF(E266="","Article manquant",IF(ISNA(MATCH($E266,art_ref,0)),"Article inconnu",IF(N(H266)&lt;=0,"Quantité invalide",IF(J266="","Prix manquant",IF(OR(N(K266)&lt;0,N(K266)&gt;=1),"Remise invalide",IF(M266="","TVA manquante",IF(ISNA(MATCH(M266,p_tva,0)),"Taux de TVA inconnu",IF(COUNTIFS(po_num,A266,po_sup,"&lt;&gt;"&amp;C266)&gt;0,"Fournisseur différent sur ce bon",IF(COUNTIFS(po_num,A266,po_date,"&lt;&gt;"&amp;B266)&gt;0,"Date différente sur ce bon",IF(COUNTIF(po_num,A266)&gt;25,"Plus de 25 lignes sur ce bon",IF(R266="","Date de livraison manquante",IF(R266&lt;B266,"Livraison avant la commande",IF(AND(N(T266)&gt;0,N(S266)=0),"Date d'envoi manquante",IF(N(T266)&gt;N(H266),"Reçu plus que commandé",IF(AND(N(T266)&gt;0,N(U266)=0),"Date de réception manquante",IF(AND(N(U266)&gt;0,U266&lt;B266),"Réception avant la commande","OK")))))))))))))))))))))</f>
        <v/>
      </c>
      <c r="AA266" s="66" t="str">
        <f>IF(AND(X266="Reçu",ISNUMBER(R266)),IF(N(U266)&lt;=R266,1,0),"")</f>
        <v/>
      </c>
      <c r="AB266" s="76" t="str">
        <f>IF(OR(X266="Envoyé",X266="Partiel",X266="En retard"),IF(ISNUMBER(R266),R266,100000)+ROW()/100000,"")</f>
        <v/>
      </c>
      <c r="AC266" s="66" t="str">
        <f>IF(A266="","",IF(COUNTIF($A$6:A266,A266)=1,1,""))</f>
        <v/>
      </c>
      <c r="AD266" s="66" t="str">
        <f>IF(AC266=1,COUNT($AC$6:AC266),"")</f>
        <v/>
      </c>
      <c r="AE266" s="66" t="str">
        <f>IFERROR(INDEX(po_num,MATCH(261,po_seq,0))&amp;"","")</f>
        <v/>
      </c>
      <c r="AF266" s="66" t="str">
        <f>IF(OR(A266="",p_po=""),"",IF(A266&amp;""=p_po,COUNTIF($A$6:A266,A266),""))</f>
        <v/>
      </c>
      <c r="AG266" s="66" t="str">
        <f>IF(OR(AB266="",A266=""),"",IF(COUNTIFS($A$6:A266,A266,$AB$6:AB266,"&gt;0")=1,1,""))</f>
        <v/>
      </c>
      <c r="AH266" s="70" t="str">
        <f>IF(AB266="","",ROUND(N(W266)*N(J266)*(1-N(K266)),2))</f>
        <v/>
      </c>
      <c r="AI266" s="70" t="str">
        <f>IF(OR(J266="",N(T266)&lt;=0,V266="Oui"),"",ROUND(N(T266)*J266*(1-N(K266)),2))</f>
        <v/>
      </c>
    </row>
    <row r="267">
      <c r="A267" s="63" t="n"/>
      <c r="B267" s="64" t="n"/>
      <c r="C267" s="65" t="n"/>
      <c r="D267" s="66" t="str">
        <f>IF(C267="","",IFERROR(INDEX(sup_name,MATCH($C267,sup_code,0))&amp;"","Fournisseur inconnu"))</f>
        <v/>
      </c>
      <c r="E267" s="63" t="n"/>
      <c r="F267" s="66" t="str">
        <f>IF(E267="","",IFERROR(INDEX(art_des,MATCH($E267,art_ref,0))&amp;"","Article inconnu"))</f>
        <v/>
      </c>
      <c r="G267" s="67" t="str">
        <f>IF(E267="","",IFERROR(INDEX(art_unit,MATCH($E267,art_ref,0))&amp;"",""))</f>
        <v/>
      </c>
      <c r="H267" s="68" t="n"/>
      <c r="I267" s="69" t="n"/>
      <c r="J267" s="70" t="str">
        <f>IF(E267="","",IF(ISNUMBER(I267),I267,IFERROR(IF(ISNUMBER(INDEX(art_price,MATCH($E267,art_ref,0))),INDEX(art_price,MATCH($E267,art_ref,0)),""),"")))</f>
        <v/>
      </c>
      <c r="K267" s="71" t="n"/>
      <c r="L267" s="72" t="n"/>
      <c r="M267" s="72" t="str">
        <f>IF(E267="","",IF(L267&lt;&gt;"",L267,IFERROR(IF(ISNUMBER(INDEX(art_tva,MATCH($E267,art_ref,0))),INDEX(art_tva,MATCH($E267,art_ref,0)),""),"")))</f>
        <v/>
      </c>
      <c r="N267" s="70" t="str">
        <f>IF(OR(E267="",J267=""),"",ROUND(N(H267)*J267*(1-N(K267)),2))</f>
        <v/>
      </c>
      <c r="O267" s="70" t="str">
        <f>IF(OR(N267="",NOT(ISNUMBER(M267))),"",ROUND(N267*M267,2))</f>
        <v/>
      </c>
      <c r="P267" s="70" t="str">
        <f>IF(N267="","",N267+N(O267))</f>
        <v/>
      </c>
      <c r="Q267" s="64" t="n"/>
      <c r="R267" s="73" t="str">
        <f>IF(N(Q267)&gt;0,Q267,IF(OR(N(B267)=0,ISNA(MATCH($C267,sup_code,0))),"",IF(ISNUMBER(INDEX(sup_delay,MATCH($C267,sup_code,0))),B267+INDEX(sup_delay,MATCH($C267,sup_code,0)),"")))</f>
        <v/>
      </c>
      <c r="S267" s="64" t="n"/>
      <c r="T267" s="68" t="n"/>
      <c r="U267" s="64" t="n"/>
      <c r="V267" s="65" t="n"/>
      <c r="W267" s="74" t="str">
        <f>IF(AND(A267="",E267=""),"",IF(V267="Oui",0,MAX(0,ROUND(N(H267)-N(T267),6))))</f>
        <v/>
      </c>
      <c r="X267" s="67" t="str">
        <f>IF(AND(A267="",E267=""),"",IF(V267="Oui","Annulé",IF(AND(N(H267)&gt;0,N(T267)&gt;=N(H267)),"Reçu",IF(N(S267)=0,"Brouillon",IF(AND(ISNUMBER(R267),R267&lt;p_today),"En retard",IF(N(T267)&gt;0,"Partiel","Envoyé"))))))</f>
        <v/>
      </c>
      <c r="Y267" s="75" t="str">
        <f>IF(X267="En retard",p_today-R267,IF(AND(X267="Reçu",ISNUMBER(R267)),MAX(0,N(U267)-R267),""))</f>
        <v/>
      </c>
      <c r="Z267" s="67" t="str">
        <f>IF(AND(A267="",E267=""),"",IF(A267="","N° de bon manquant",IF(N(B267)=0,"Date de commande manquante",IF(C267="","Fournisseur manquant",IF(ISNA(MATCH($C267,sup_code,0)),"Fournisseur inconnu",IF(E267="","Article manquant",IF(ISNA(MATCH($E267,art_ref,0)),"Article inconnu",IF(N(H267)&lt;=0,"Quantité invalide",IF(J267="","Prix manquant",IF(OR(N(K267)&lt;0,N(K267)&gt;=1),"Remise invalide",IF(M267="","TVA manquante",IF(ISNA(MATCH(M267,p_tva,0)),"Taux de TVA inconnu",IF(COUNTIFS(po_num,A267,po_sup,"&lt;&gt;"&amp;C267)&gt;0,"Fournisseur différent sur ce bon",IF(COUNTIFS(po_num,A267,po_date,"&lt;&gt;"&amp;B267)&gt;0,"Date différente sur ce bon",IF(COUNTIF(po_num,A267)&gt;25,"Plus de 25 lignes sur ce bon",IF(R267="","Date de livraison manquante",IF(R267&lt;B267,"Livraison avant la commande",IF(AND(N(T267)&gt;0,N(S267)=0),"Date d'envoi manquante",IF(N(T267)&gt;N(H267),"Reçu plus que commandé",IF(AND(N(T267)&gt;0,N(U267)=0),"Date de réception manquante",IF(AND(N(U267)&gt;0,U267&lt;B267),"Réception avant la commande","OK")))))))))))))))))))))</f>
        <v/>
      </c>
      <c r="AA267" s="66" t="str">
        <f>IF(AND(X267="Reçu",ISNUMBER(R267)),IF(N(U267)&lt;=R267,1,0),"")</f>
        <v/>
      </c>
      <c r="AB267" s="76" t="str">
        <f>IF(OR(X267="Envoyé",X267="Partiel",X267="En retard"),IF(ISNUMBER(R267),R267,100000)+ROW()/100000,"")</f>
        <v/>
      </c>
      <c r="AC267" s="66" t="str">
        <f>IF(A267="","",IF(COUNTIF($A$6:A267,A267)=1,1,""))</f>
        <v/>
      </c>
      <c r="AD267" s="66" t="str">
        <f>IF(AC267=1,COUNT($AC$6:AC267),"")</f>
        <v/>
      </c>
      <c r="AE267" s="66" t="str">
        <f>IFERROR(INDEX(po_num,MATCH(262,po_seq,0))&amp;"","")</f>
        <v/>
      </c>
      <c r="AF267" s="66" t="str">
        <f>IF(OR(A267="",p_po=""),"",IF(A267&amp;""=p_po,COUNTIF($A$6:A267,A267),""))</f>
        <v/>
      </c>
      <c r="AG267" s="66" t="str">
        <f>IF(OR(AB267="",A267=""),"",IF(COUNTIFS($A$6:A267,A267,$AB$6:AB267,"&gt;0")=1,1,""))</f>
        <v/>
      </c>
      <c r="AH267" s="70" t="str">
        <f>IF(AB267="","",ROUND(N(W267)*N(J267)*(1-N(K267)),2))</f>
        <v/>
      </c>
      <c r="AI267" s="70" t="str">
        <f>IF(OR(J267="",N(T267)&lt;=0,V267="Oui"),"",ROUND(N(T267)*J267*(1-N(K267)),2))</f>
        <v/>
      </c>
    </row>
    <row r="268">
      <c r="A268" s="63" t="n"/>
      <c r="B268" s="64" t="n"/>
      <c r="C268" s="65" t="n"/>
      <c r="D268" s="66" t="str">
        <f>IF(C268="","",IFERROR(INDEX(sup_name,MATCH($C268,sup_code,0))&amp;"","Fournisseur inconnu"))</f>
        <v/>
      </c>
      <c r="E268" s="63" t="n"/>
      <c r="F268" s="66" t="str">
        <f>IF(E268="","",IFERROR(INDEX(art_des,MATCH($E268,art_ref,0))&amp;"","Article inconnu"))</f>
        <v/>
      </c>
      <c r="G268" s="67" t="str">
        <f>IF(E268="","",IFERROR(INDEX(art_unit,MATCH($E268,art_ref,0))&amp;"",""))</f>
        <v/>
      </c>
      <c r="H268" s="68" t="n"/>
      <c r="I268" s="69" t="n"/>
      <c r="J268" s="70" t="str">
        <f>IF(E268="","",IF(ISNUMBER(I268),I268,IFERROR(IF(ISNUMBER(INDEX(art_price,MATCH($E268,art_ref,0))),INDEX(art_price,MATCH($E268,art_ref,0)),""),"")))</f>
        <v/>
      </c>
      <c r="K268" s="71" t="n"/>
      <c r="L268" s="72" t="n"/>
      <c r="M268" s="72" t="str">
        <f>IF(E268="","",IF(L268&lt;&gt;"",L268,IFERROR(IF(ISNUMBER(INDEX(art_tva,MATCH($E268,art_ref,0))),INDEX(art_tva,MATCH($E268,art_ref,0)),""),"")))</f>
        <v/>
      </c>
      <c r="N268" s="70" t="str">
        <f>IF(OR(E268="",J268=""),"",ROUND(N(H268)*J268*(1-N(K268)),2))</f>
        <v/>
      </c>
      <c r="O268" s="70" t="str">
        <f>IF(OR(N268="",NOT(ISNUMBER(M268))),"",ROUND(N268*M268,2))</f>
        <v/>
      </c>
      <c r="P268" s="70" t="str">
        <f>IF(N268="","",N268+N(O268))</f>
        <v/>
      </c>
      <c r="Q268" s="64" t="n"/>
      <c r="R268" s="73" t="str">
        <f>IF(N(Q268)&gt;0,Q268,IF(OR(N(B268)=0,ISNA(MATCH($C268,sup_code,0))),"",IF(ISNUMBER(INDEX(sup_delay,MATCH($C268,sup_code,0))),B268+INDEX(sup_delay,MATCH($C268,sup_code,0)),"")))</f>
        <v/>
      </c>
      <c r="S268" s="64" t="n"/>
      <c r="T268" s="68" t="n"/>
      <c r="U268" s="64" t="n"/>
      <c r="V268" s="65" t="n"/>
      <c r="W268" s="74" t="str">
        <f>IF(AND(A268="",E268=""),"",IF(V268="Oui",0,MAX(0,ROUND(N(H268)-N(T268),6))))</f>
        <v/>
      </c>
      <c r="X268" s="67" t="str">
        <f>IF(AND(A268="",E268=""),"",IF(V268="Oui","Annulé",IF(AND(N(H268)&gt;0,N(T268)&gt;=N(H268)),"Reçu",IF(N(S268)=0,"Brouillon",IF(AND(ISNUMBER(R268),R268&lt;p_today),"En retard",IF(N(T268)&gt;0,"Partiel","Envoyé"))))))</f>
        <v/>
      </c>
      <c r="Y268" s="75" t="str">
        <f>IF(X268="En retard",p_today-R268,IF(AND(X268="Reçu",ISNUMBER(R268)),MAX(0,N(U268)-R268),""))</f>
        <v/>
      </c>
      <c r="Z268" s="67" t="str">
        <f>IF(AND(A268="",E268=""),"",IF(A268="","N° de bon manquant",IF(N(B268)=0,"Date de commande manquante",IF(C268="","Fournisseur manquant",IF(ISNA(MATCH($C268,sup_code,0)),"Fournisseur inconnu",IF(E268="","Article manquant",IF(ISNA(MATCH($E268,art_ref,0)),"Article inconnu",IF(N(H268)&lt;=0,"Quantité invalide",IF(J268="","Prix manquant",IF(OR(N(K268)&lt;0,N(K268)&gt;=1),"Remise invalide",IF(M268="","TVA manquante",IF(ISNA(MATCH(M268,p_tva,0)),"Taux de TVA inconnu",IF(COUNTIFS(po_num,A268,po_sup,"&lt;&gt;"&amp;C268)&gt;0,"Fournisseur différent sur ce bon",IF(COUNTIFS(po_num,A268,po_date,"&lt;&gt;"&amp;B268)&gt;0,"Date différente sur ce bon",IF(COUNTIF(po_num,A268)&gt;25,"Plus de 25 lignes sur ce bon",IF(R268="","Date de livraison manquante",IF(R268&lt;B268,"Livraison avant la commande",IF(AND(N(T268)&gt;0,N(S268)=0),"Date d'envoi manquante",IF(N(T268)&gt;N(H268),"Reçu plus que commandé",IF(AND(N(T268)&gt;0,N(U268)=0),"Date de réception manquante",IF(AND(N(U268)&gt;0,U268&lt;B268),"Réception avant la commande","OK")))))))))))))))))))))</f>
        <v/>
      </c>
      <c r="AA268" s="66" t="str">
        <f>IF(AND(X268="Reçu",ISNUMBER(R268)),IF(N(U268)&lt;=R268,1,0),"")</f>
        <v/>
      </c>
      <c r="AB268" s="76" t="str">
        <f>IF(OR(X268="Envoyé",X268="Partiel",X268="En retard"),IF(ISNUMBER(R268),R268,100000)+ROW()/100000,"")</f>
        <v/>
      </c>
      <c r="AC268" s="66" t="str">
        <f>IF(A268="","",IF(COUNTIF($A$6:A268,A268)=1,1,""))</f>
        <v/>
      </c>
      <c r="AD268" s="66" t="str">
        <f>IF(AC268=1,COUNT($AC$6:AC268),"")</f>
        <v/>
      </c>
      <c r="AE268" s="66" t="str">
        <f>IFERROR(INDEX(po_num,MATCH(263,po_seq,0))&amp;"","")</f>
        <v/>
      </c>
      <c r="AF268" s="66" t="str">
        <f>IF(OR(A268="",p_po=""),"",IF(A268&amp;""=p_po,COUNTIF($A$6:A268,A268),""))</f>
        <v/>
      </c>
      <c r="AG268" s="66" t="str">
        <f>IF(OR(AB268="",A268=""),"",IF(COUNTIFS($A$6:A268,A268,$AB$6:AB268,"&gt;0")=1,1,""))</f>
        <v/>
      </c>
      <c r="AH268" s="70" t="str">
        <f>IF(AB268="","",ROUND(N(W268)*N(J268)*(1-N(K268)),2))</f>
        <v/>
      </c>
      <c r="AI268" s="70" t="str">
        <f>IF(OR(J268="",N(T268)&lt;=0,V268="Oui"),"",ROUND(N(T268)*J268*(1-N(K268)),2))</f>
        <v/>
      </c>
    </row>
    <row r="269">
      <c r="A269" s="63" t="n"/>
      <c r="B269" s="64" t="n"/>
      <c r="C269" s="65" t="n"/>
      <c r="D269" s="66" t="str">
        <f>IF(C269="","",IFERROR(INDEX(sup_name,MATCH($C269,sup_code,0))&amp;"","Fournisseur inconnu"))</f>
        <v/>
      </c>
      <c r="E269" s="63" t="n"/>
      <c r="F269" s="66" t="str">
        <f>IF(E269="","",IFERROR(INDEX(art_des,MATCH($E269,art_ref,0))&amp;"","Article inconnu"))</f>
        <v/>
      </c>
      <c r="G269" s="67" t="str">
        <f>IF(E269="","",IFERROR(INDEX(art_unit,MATCH($E269,art_ref,0))&amp;"",""))</f>
        <v/>
      </c>
      <c r="H269" s="68" t="n"/>
      <c r="I269" s="69" t="n"/>
      <c r="J269" s="70" t="str">
        <f>IF(E269="","",IF(ISNUMBER(I269),I269,IFERROR(IF(ISNUMBER(INDEX(art_price,MATCH($E269,art_ref,0))),INDEX(art_price,MATCH($E269,art_ref,0)),""),"")))</f>
        <v/>
      </c>
      <c r="K269" s="71" t="n"/>
      <c r="L269" s="72" t="n"/>
      <c r="M269" s="72" t="str">
        <f>IF(E269="","",IF(L269&lt;&gt;"",L269,IFERROR(IF(ISNUMBER(INDEX(art_tva,MATCH($E269,art_ref,0))),INDEX(art_tva,MATCH($E269,art_ref,0)),""),"")))</f>
        <v/>
      </c>
      <c r="N269" s="70" t="str">
        <f>IF(OR(E269="",J269=""),"",ROUND(N(H269)*J269*(1-N(K269)),2))</f>
        <v/>
      </c>
      <c r="O269" s="70" t="str">
        <f>IF(OR(N269="",NOT(ISNUMBER(M269))),"",ROUND(N269*M269,2))</f>
        <v/>
      </c>
      <c r="P269" s="70" t="str">
        <f>IF(N269="","",N269+N(O269))</f>
        <v/>
      </c>
      <c r="Q269" s="64" t="n"/>
      <c r="R269" s="73" t="str">
        <f>IF(N(Q269)&gt;0,Q269,IF(OR(N(B269)=0,ISNA(MATCH($C269,sup_code,0))),"",IF(ISNUMBER(INDEX(sup_delay,MATCH($C269,sup_code,0))),B269+INDEX(sup_delay,MATCH($C269,sup_code,0)),"")))</f>
        <v/>
      </c>
      <c r="S269" s="64" t="n"/>
      <c r="T269" s="68" t="n"/>
      <c r="U269" s="64" t="n"/>
      <c r="V269" s="65" t="n"/>
      <c r="W269" s="74" t="str">
        <f>IF(AND(A269="",E269=""),"",IF(V269="Oui",0,MAX(0,ROUND(N(H269)-N(T269),6))))</f>
        <v/>
      </c>
      <c r="X269" s="67" t="str">
        <f>IF(AND(A269="",E269=""),"",IF(V269="Oui","Annulé",IF(AND(N(H269)&gt;0,N(T269)&gt;=N(H269)),"Reçu",IF(N(S269)=0,"Brouillon",IF(AND(ISNUMBER(R269),R269&lt;p_today),"En retard",IF(N(T269)&gt;0,"Partiel","Envoyé"))))))</f>
        <v/>
      </c>
      <c r="Y269" s="75" t="str">
        <f>IF(X269="En retard",p_today-R269,IF(AND(X269="Reçu",ISNUMBER(R269)),MAX(0,N(U269)-R269),""))</f>
        <v/>
      </c>
      <c r="Z269" s="67" t="str">
        <f>IF(AND(A269="",E269=""),"",IF(A269="","N° de bon manquant",IF(N(B269)=0,"Date de commande manquante",IF(C269="","Fournisseur manquant",IF(ISNA(MATCH($C269,sup_code,0)),"Fournisseur inconnu",IF(E269="","Article manquant",IF(ISNA(MATCH($E269,art_ref,0)),"Article inconnu",IF(N(H269)&lt;=0,"Quantité invalide",IF(J269="","Prix manquant",IF(OR(N(K269)&lt;0,N(K269)&gt;=1),"Remise invalide",IF(M269="","TVA manquante",IF(ISNA(MATCH(M269,p_tva,0)),"Taux de TVA inconnu",IF(COUNTIFS(po_num,A269,po_sup,"&lt;&gt;"&amp;C269)&gt;0,"Fournisseur différent sur ce bon",IF(COUNTIFS(po_num,A269,po_date,"&lt;&gt;"&amp;B269)&gt;0,"Date différente sur ce bon",IF(COUNTIF(po_num,A269)&gt;25,"Plus de 25 lignes sur ce bon",IF(R269="","Date de livraison manquante",IF(R269&lt;B269,"Livraison avant la commande",IF(AND(N(T269)&gt;0,N(S269)=0),"Date d'envoi manquante",IF(N(T269)&gt;N(H269),"Reçu plus que commandé",IF(AND(N(T269)&gt;0,N(U269)=0),"Date de réception manquante",IF(AND(N(U269)&gt;0,U269&lt;B269),"Réception avant la commande","OK")))))))))))))))))))))</f>
        <v/>
      </c>
      <c r="AA269" s="66" t="str">
        <f>IF(AND(X269="Reçu",ISNUMBER(R269)),IF(N(U269)&lt;=R269,1,0),"")</f>
        <v/>
      </c>
      <c r="AB269" s="76" t="str">
        <f>IF(OR(X269="Envoyé",X269="Partiel",X269="En retard"),IF(ISNUMBER(R269),R269,100000)+ROW()/100000,"")</f>
        <v/>
      </c>
      <c r="AC269" s="66" t="str">
        <f>IF(A269="","",IF(COUNTIF($A$6:A269,A269)=1,1,""))</f>
        <v/>
      </c>
      <c r="AD269" s="66" t="str">
        <f>IF(AC269=1,COUNT($AC$6:AC269),"")</f>
        <v/>
      </c>
      <c r="AE269" s="66" t="str">
        <f>IFERROR(INDEX(po_num,MATCH(264,po_seq,0))&amp;"","")</f>
        <v/>
      </c>
      <c r="AF269" s="66" t="str">
        <f>IF(OR(A269="",p_po=""),"",IF(A269&amp;""=p_po,COUNTIF($A$6:A269,A269),""))</f>
        <v/>
      </c>
      <c r="AG269" s="66" t="str">
        <f>IF(OR(AB269="",A269=""),"",IF(COUNTIFS($A$6:A269,A269,$AB$6:AB269,"&gt;0")=1,1,""))</f>
        <v/>
      </c>
      <c r="AH269" s="70" t="str">
        <f>IF(AB269="","",ROUND(N(W269)*N(J269)*(1-N(K269)),2))</f>
        <v/>
      </c>
      <c r="AI269" s="70" t="str">
        <f>IF(OR(J269="",N(T269)&lt;=0,V269="Oui"),"",ROUND(N(T269)*J269*(1-N(K269)),2))</f>
        <v/>
      </c>
    </row>
    <row r="270">
      <c r="A270" s="63" t="n"/>
      <c r="B270" s="64" t="n"/>
      <c r="C270" s="65" t="n"/>
      <c r="D270" s="66" t="str">
        <f>IF(C270="","",IFERROR(INDEX(sup_name,MATCH($C270,sup_code,0))&amp;"","Fournisseur inconnu"))</f>
        <v/>
      </c>
      <c r="E270" s="63" t="n"/>
      <c r="F270" s="66" t="str">
        <f>IF(E270="","",IFERROR(INDEX(art_des,MATCH($E270,art_ref,0))&amp;"","Article inconnu"))</f>
        <v/>
      </c>
      <c r="G270" s="67" t="str">
        <f>IF(E270="","",IFERROR(INDEX(art_unit,MATCH($E270,art_ref,0))&amp;"",""))</f>
        <v/>
      </c>
      <c r="H270" s="68" t="n"/>
      <c r="I270" s="69" t="n"/>
      <c r="J270" s="70" t="str">
        <f>IF(E270="","",IF(ISNUMBER(I270),I270,IFERROR(IF(ISNUMBER(INDEX(art_price,MATCH($E270,art_ref,0))),INDEX(art_price,MATCH($E270,art_ref,0)),""),"")))</f>
        <v/>
      </c>
      <c r="K270" s="71" t="n"/>
      <c r="L270" s="72" t="n"/>
      <c r="M270" s="72" t="str">
        <f>IF(E270="","",IF(L270&lt;&gt;"",L270,IFERROR(IF(ISNUMBER(INDEX(art_tva,MATCH($E270,art_ref,0))),INDEX(art_tva,MATCH($E270,art_ref,0)),""),"")))</f>
        <v/>
      </c>
      <c r="N270" s="70" t="str">
        <f>IF(OR(E270="",J270=""),"",ROUND(N(H270)*J270*(1-N(K270)),2))</f>
        <v/>
      </c>
      <c r="O270" s="70" t="str">
        <f>IF(OR(N270="",NOT(ISNUMBER(M270))),"",ROUND(N270*M270,2))</f>
        <v/>
      </c>
      <c r="P270" s="70" t="str">
        <f>IF(N270="","",N270+N(O270))</f>
        <v/>
      </c>
      <c r="Q270" s="64" t="n"/>
      <c r="R270" s="73" t="str">
        <f>IF(N(Q270)&gt;0,Q270,IF(OR(N(B270)=0,ISNA(MATCH($C270,sup_code,0))),"",IF(ISNUMBER(INDEX(sup_delay,MATCH($C270,sup_code,0))),B270+INDEX(sup_delay,MATCH($C270,sup_code,0)),"")))</f>
        <v/>
      </c>
      <c r="S270" s="64" t="n"/>
      <c r="T270" s="68" t="n"/>
      <c r="U270" s="64" t="n"/>
      <c r="V270" s="65" t="n"/>
      <c r="W270" s="74" t="str">
        <f>IF(AND(A270="",E270=""),"",IF(V270="Oui",0,MAX(0,ROUND(N(H270)-N(T270),6))))</f>
        <v/>
      </c>
      <c r="X270" s="67" t="str">
        <f>IF(AND(A270="",E270=""),"",IF(V270="Oui","Annulé",IF(AND(N(H270)&gt;0,N(T270)&gt;=N(H270)),"Reçu",IF(N(S270)=0,"Brouillon",IF(AND(ISNUMBER(R270),R270&lt;p_today),"En retard",IF(N(T270)&gt;0,"Partiel","Envoyé"))))))</f>
        <v/>
      </c>
      <c r="Y270" s="75" t="str">
        <f>IF(X270="En retard",p_today-R270,IF(AND(X270="Reçu",ISNUMBER(R270)),MAX(0,N(U270)-R270),""))</f>
        <v/>
      </c>
      <c r="Z270" s="67" t="str">
        <f>IF(AND(A270="",E270=""),"",IF(A270="","N° de bon manquant",IF(N(B270)=0,"Date de commande manquante",IF(C270="","Fournisseur manquant",IF(ISNA(MATCH($C270,sup_code,0)),"Fournisseur inconnu",IF(E270="","Article manquant",IF(ISNA(MATCH($E270,art_ref,0)),"Article inconnu",IF(N(H270)&lt;=0,"Quantité invalide",IF(J270="","Prix manquant",IF(OR(N(K270)&lt;0,N(K270)&gt;=1),"Remise invalide",IF(M270="","TVA manquante",IF(ISNA(MATCH(M270,p_tva,0)),"Taux de TVA inconnu",IF(COUNTIFS(po_num,A270,po_sup,"&lt;&gt;"&amp;C270)&gt;0,"Fournisseur différent sur ce bon",IF(COUNTIFS(po_num,A270,po_date,"&lt;&gt;"&amp;B270)&gt;0,"Date différente sur ce bon",IF(COUNTIF(po_num,A270)&gt;25,"Plus de 25 lignes sur ce bon",IF(R270="","Date de livraison manquante",IF(R270&lt;B270,"Livraison avant la commande",IF(AND(N(T270)&gt;0,N(S270)=0),"Date d'envoi manquante",IF(N(T270)&gt;N(H270),"Reçu plus que commandé",IF(AND(N(T270)&gt;0,N(U270)=0),"Date de réception manquante",IF(AND(N(U270)&gt;0,U270&lt;B270),"Réception avant la commande","OK")))))))))))))))))))))</f>
        <v/>
      </c>
      <c r="AA270" s="66" t="str">
        <f>IF(AND(X270="Reçu",ISNUMBER(R270)),IF(N(U270)&lt;=R270,1,0),"")</f>
        <v/>
      </c>
      <c r="AB270" s="76" t="str">
        <f>IF(OR(X270="Envoyé",X270="Partiel",X270="En retard"),IF(ISNUMBER(R270),R270,100000)+ROW()/100000,"")</f>
        <v/>
      </c>
      <c r="AC270" s="66" t="str">
        <f>IF(A270="","",IF(COUNTIF($A$6:A270,A270)=1,1,""))</f>
        <v/>
      </c>
      <c r="AD270" s="66" t="str">
        <f>IF(AC270=1,COUNT($AC$6:AC270),"")</f>
        <v/>
      </c>
      <c r="AE270" s="66" t="str">
        <f>IFERROR(INDEX(po_num,MATCH(265,po_seq,0))&amp;"","")</f>
        <v/>
      </c>
      <c r="AF270" s="66" t="str">
        <f>IF(OR(A270="",p_po=""),"",IF(A270&amp;""=p_po,COUNTIF($A$6:A270,A270),""))</f>
        <v/>
      </c>
      <c r="AG270" s="66" t="str">
        <f>IF(OR(AB270="",A270=""),"",IF(COUNTIFS($A$6:A270,A270,$AB$6:AB270,"&gt;0")=1,1,""))</f>
        <v/>
      </c>
      <c r="AH270" s="70" t="str">
        <f>IF(AB270="","",ROUND(N(W270)*N(J270)*(1-N(K270)),2))</f>
        <v/>
      </c>
      <c r="AI270" s="70" t="str">
        <f>IF(OR(J270="",N(T270)&lt;=0,V270="Oui"),"",ROUND(N(T270)*J270*(1-N(K270)),2))</f>
        <v/>
      </c>
    </row>
    <row r="271">
      <c r="A271" s="63" t="n"/>
      <c r="B271" s="64" t="n"/>
      <c r="C271" s="65" t="n"/>
      <c r="D271" s="66" t="str">
        <f>IF(C271="","",IFERROR(INDEX(sup_name,MATCH($C271,sup_code,0))&amp;"","Fournisseur inconnu"))</f>
        <v/>
      </c>
      <c r="E271" s="63" t="n"/>
      <c r="F271" s="66" t="str">
        <f>IF(E271="","",IFERROR(INDEX(art_des,MATCH($E271,art_ref,0))&amp;"","Article inconnu"))</f>
        <v/>
      </c>
      <c r="G271" s="67" t="str">
        <f>IF(E271="","",IFERROR(INDEX(art_unit,MATCH($E271,art_ref,0))&amp;"",""))</f>
        <v/>
      </c>
      <c r="H271" s="68" t="n"/>
      <c r="I271" s="69" t="n"/>
      <c r="J271" s="70" t="str">
        <f>IF(E271="","",IF(ISNUMBER(I271),I271,IFERROR(IF(ISNUMBER(INDEX(art_price,MATCH($E271,art_ref,0))),INDEX(art_price,MATCH($E271,art_ref,0)),""),"")))</f>
        <v/>
      </c>
      <c r="K271" s="71" t="n"/>
      <c r="L271" s="72" t="n"/>
      <c r="M271" s="72" t="str">
        <f>IF(E271="","",IF(L271&lt;&gt;"",L271,IFERROR(IF(ISNUMBER(INDEX(art_tva,MATCH($E271,art_ref,0))),INDEX(art_tva,MATCH($E271,art_ref,0)),""),"")))</f>
        <v/>
      </c>
      <c r="N271" s="70" t="str">
        <f>IF(OR(E271="",J271=""),"",ROUND(N(H271)*J271*(1-N(K271)),2))</f>
        <v/>
      </c>
      <c r="O271" s="70" t="str">
        <f>IF(OR(N271="",NOT(ISNUMBER(M271))),"",ROUND(N271*M271,2))</f>
        <v/>
      </c>
      <c r="P271" s="70" t="str">
        <f>IF(N271="","",N271+N(O271))</f>
        <v/>
      </c>
      <c r="Q271" s="64" t="n"/>
      <c r="R271" s="73" t="str">
        <f>IF(N(Q271)&gt;0,Q271,IF(OR(N(B271)=0,ISNA(MATCH($C271,sup_code,0))),"",IF(ISNUMBER(INDEX(sup_delay,MATCH($C271,sup_code,0))),B271+INDEX(sup_delay,MATCH($C271,sup_code,0)),"")))</f>
        <v/>
      </c>
      <c r="S271" s="64" t="n"/>
      <c r="T271" s="68" t="n"/>
      <c r="U271" s="64" t="n"/>
      <c r="V271" s="65" t="n"/>
      <c r="W271" s="74" t="str">
        <f>IF(AND(A271="",E271=""),"",IF(V271="Oui",0,MAX(0,ROUND(N(H271)-N(T271),6))))</f>
        <v/>
      </c>
      <c r="X271" s="67" t="str">
        <f>IF(AND(A271="",E271=""),"",IF(V271="Oui","Annulé",IF(AND(N(H271)&gt;0,N(T271)&gt;=N(H271)),"Reçu",IF(N(S271)=0,"Brouillon",IF(AND(ISNUMBER(R271),R271&lt;p_today),"En retard",IF(N(T271)&gt;0,"Partiel","Envoyé"))))))</f>
        <v/>
      </c>
      <c r="Y271" s="75" t="str">
        <f>IF(X271="En retard",p_today-R271,IF(AND(X271="Reçu",ISNUMBER(R271)),MAX(0,N(U271)-R271),""))</f>
        <v/>
      </c>
      <c r="Z271" s="67" t="str">
        <f>IF(AND(A271="",E271=""),"",IF(A271="","N° de bon manquant",IF(N(B271)=0,"Date de commande manquante",IF(C271="","Fournisseur manquant",IF(ISNA(MATCH($C271,sup_code,0)),"Fournisseur inconnu",IF(E271="","Article manquant",IF(ISNA(MATCH($E271,art_ref,0)),"Article inconnu",IF(N(H271)&lt;=0,"Quantité invalide",IF(J271="","Prix manquant",IF(OR(N(K271)&lt;0,N(K271)&gt;=1),"Remise invalide",IF(M271="","TVA manquante",IF(ISNA(MATCH(M271,p_tva,0)),"Taux de TVA inconnu",IF(COUNTIFS(po_num,A271,po_sup,"&lt;&gt;"&amp;C271)&gt;0,"Fournisseur différent sur ce bon",IF(COUNTIFS(po_num,A271,po_date,"&lt;&gt;"&amp;B271)&gt;0,"Date différente sur ce bon",IF(COUNTIF(po_num,A271)&gt;25,"Plus de 25 lignes sur ce bon",IF(R271="","Date de livraison manquante",IF(R271&lt;B271,"Livraison avant la commande",IF(AND(N(T271)&gt;0,N(S271)=0),"Date d'envoi manquante",IF(N(T271)&gt;N(H271),"Reçu plus que commandé",IF(AND(N(T271)&gt;0,N(U271)=0),"Date de réception manquante",IF(AND(N(U271)&gt;0,U271&lt;B271),"Réception avant la commande","OK")))))))))))))))))))))</f>
        <v/>
      </c>
      <c r="AA271" s="66" t="str">
        <f>IF(AND(X271="Reçu",ISNUMBER(R271)),IF(N(U271)&lt;=R271,1,0),"")</f>
        <v/>
      </c>
      <c r="AB271" s="76" t="str">
        <f>IF(OR(X271="Envoyé",X271="Partiel",X271="En retard"),IF(ISNUMBER(R271),R271,100000)+ROW()/100000,"")</f>
        <v/>
      </c>
      <c r="AC271" s="66" t="str">
        <f>IF(A271="","",IF(COUNTIF($A$6:A271,A271)=1,1,""))</f>
        <v/>
      </c>
      <c r="AD271" s="66" t="str">
        <f>IF(AC271=1,COUNT($AC$6:AC271),"")</f>
        <v/>
      </c>
      <c r="AE271" s="66" t="str">
        <f>IFERROR(INDEX(po_num,MATCH(266,po_seq,0))&amp;"","")</f>
        <v/>
      </c>
      <c r="AF271" s="66" t="str">
        <f>IF(OR(A271="",p_po=""),"",IF(A271&amp;""=p_po,COUNTIF($A$6:A271,A271),""))</f>
        <v/>
      </c>
      <c r="AG271" s="66" t="str">
        <f>IF(OR(AB271="",A271=""),"",IF(COUNTIFS($A$6:A271,A271,$AB$6:AB271,"&gt;0")=1,1,""))</f>
        <v/>
      </c>
      <c r="AH271" s="70" t="str">
        <f>IF(AB271="","",ROUND(N(W271)*N(J271)*(1-N(K271)),2))</f>
        <v/>
      </c>
      <c r="AI271" s="70" t="str">
        <f>IF(OR(J271="",N(T271)&lt;=0,V271="Oui"),"",ROUND(N(T271)*J271*(1-N(K271)),2))</f>
        <v/>
      </c>
    </row>
    <row r="272">
      <c r="A272" s="63" t="n"/>
      <c r="B272" s="64" t="n"/>
      <c r="C272" s="65" t="n"/>
      <c r="D272" s="66" t="str">
        <f>IF(C272="","",IFERROR(INDEX(sup_name,MATCH($C272,sup_code,0))&amp;"","Fournisseur inconnu"))</f>
        <v/>
      </c>
      <c r="E272" s="63" t="n"/>
      <c r="F272" s="66" t="str">
        <f>IF(E272="","",IFERROR(INDEX(art_des,MATCH($E272,art_ref,0))&amp;"","Article inconnu"))</f>
        <v/>
      </c>
      <c r="G272" s="67" t="str">
        <f>IF(E272="","",IFERROR(INDEX(art_unit,MATCH($E272,art_ref,0))&amp;"",""))</f>
        <v/>
      </c>
      <c r="H272" s="68" t="n"/>
      <c r="I272" s="69" t="n"/>
      <c r="J272" s="70" t="str">
        <f>IF(E272="","",IF(ISNUMBER(I272),I272,IFERROR(IF(ISNUMBER(INDEX(art_price,MATCH($E272,art_ref,0))),INDEX(art_price,MATCH($E272,art_ref,0)),""),"")))</f>
        <v/>
      </c>
      <c r="K272" s="71" t="n"/>
      <c r="L272" s="72" t="n"/>
      <c r="M272" s="72" t="str">
        <f>IF(E272="","",IF(L272&lt;&gt;"",L272,IFERROR(IF(ISNUMBER(INDEX(art_tva,MATCH($E272,art_ref,0))),INDEX(art_tva,MATCH($E272,art_ref,0)),""),"")))</f>
        <v/>
      </c>
      <c r="N272" s="70" t="str">
        <f>IF(OR(E272="",J272=""),"",ROUND(N(H272)*J272*(1-N(K272)),2))</f>
        <v/>
      </c>
      <c r="O272" s="70" t="str">
        <f>IF(OR(N272="",NOT(ISNUMBER(M272))),"",ROUND(N272*M272,2))</f>
        <v/>
      </c>
      <c r="P272" s="70" t="str">
        <f>IF(N272="","",N272+N(O272))</f>
        <v/>
      </c>
      <c r="Q272" s="64" t="n"/>
      <c r="R272" s="73" t="str">
        <f>IF(N(Q272)&gt;0,Q272,IF(OR(N(B272)=0,ISNA(MATCH($C272,sup_code,0))),"",IF(ISNUMBER(INDEX(sup_delay,MATCH($C272,sup_code,0))),B272+INDEX(sup_delay,MATCH($C272,sup_code,0)),"")))</f>
        <v/>
      </c>
      <c r="S272" s="64" t="n"/>
      <c r="T272" s="68" t="n"/>
      <c r="U272" s="64" t="n"/>
      <c r="V272" s="65" t="n"/>
      <c r="W272" s="74" t="str">
        <f>IF(AND(A272="",E272=""),"",IF(V272="Oui",0,MAX(0,ROUND(N(H272)-N(T272),6))))</f>
        <v/>
      </c>
      <c r="X272" s="67" t="str">
        <f>IF(AND(A272="",E272=""),"",IF(V272="Oui","Annulé",IF(AND(N(H272)&gt;0,N(T272)&gt;=N(H272)),"Reçu",IF(N(S272)=0,"Brouillon",IF(AND(ISNUMBER(R272),R272&lt;p_today),"En retard",IF(N(T272)&gt;0,"Partiel","Envoyé"))))))</f>
        <v/>
      </c>
      <c r="Y272" s="75" t="str">
        <f>IF(X272="En retard",p_today-R272,IF(AND(X272="Reçu",ISNUMBER(R272)),MAX(0,N(U272)-R272),""))</f>
        <v/>
      </c>
      <c r="Z272" s="67" t="str">
        <f>IF(AND(A272="",E272=""),"",IF(A272="","N° de bon manquant",IF(N(B272)=0,"Date de commande manquante",IF(C272="","Fournisseur manquant",IF(ISNA(MATCH($C272,sup_code,0)),"Fournisseur inconnu",IF(E272="","Article manquant",IF(ISNA(MATCH($E272,art_ref,0)),"Article inconnu",IF(N(H272)&lt;=0,"Quantité invalide",IF(J272="","Prix manquant",IF(OR(N(K272)&lt;0,N(K272)&gt;=1),"Remise invalide",IF(M272="","TVA manquante",IF(ISNA(MATCH(M272,p_tva,0)),"Taux de TVA inconnu",IF(COUNTIFS(po_num,A272,po_sup,"&lt;&gt;"&amp;C272)&gt;0,"Fournisseur différent sur ce bon",IF(COUNTIFS(po_num,A272,po_date,"&lt;&gt;"&amp;B272)&gt;0,"Date différente sur ce bon",IF(COUNTIF(po_num,A272)&gt;25,"Plus de 25 lignes sur ce bon",IF(R272="","Date de livraison manquante",IF(R272&lt;B272,"Livraison avant la commande",IF(AND(N(T272)&gt;0,N(S272)=0),"Date d'envoi manquante",IF(N(T272)&gt;N(H272),"Reçu plus que commandé",IF(AND(N(T272)&gt;0,N(U272)=0),"Date de réception manquante",IF(AND(N(U272)&gt;0,U272&lt;B272),"Réception avant la commande","OK")))))))))))))))))))))</f>
        <v/>
      </c>
      <c r="AA272" s="66" t="str">
        <f>IF(AND(X272="Reçu",ISNUMBER(R272)),IF(N(U272)&lt;=R272,1,0),"")</f>
        <v/>
      </c>
      <c r="AB272" s="76" t="str">
        <f>IF(OR(X272="Envoyé",X272="Partiel",X272="En retard"),IF(ISNUMBER(R272),R272,100000)+ROW()/100000,"")</f>
        <v/>
      </c>
      <c r="AC272" s="66" t="str">
        <f>IF(A272="","",IF(COUNTIF($A$6:A272,A272)=1,1,""))</f>
        <v/>
      </c>
      <c r="AD272" s="66" t="str">
        <f>IF(AC272=1,COUNT($AC$6:AC272),"")</f>
        <v/>
      </c>
      <c r="AE272" s="66" t="str">
        <f>IFERROR(INDEX(po_num,MATCH(267,po_seq,0))&amp;"","")</f>
        <v/>
      </c>
      <c r="AF272" s="66" t="str">
        <f>IF(OR(A272="",p_po=""),"",IF(A272&amp;""=p_po,COUNTIF($A$6:A272,A272),""))</f>
        <v/>
      </c>
      <c r="AG272" s="66" t="str">
        <f>IF(OR(AB272="",A272=""),"",IF(COUNTIFS($A$6:A272,A272,$AB$6:AB272,"&gt;0")=1,1,""))</f>
        <v/>
      </c>
      <c r="AH272" s="70" t="str">
        <f>IF(AB272="","",ROUND(N(W272)*N(J272)*(1-N(K272)),2))</f>
        <v/>
      </c>
      <c r="AI272" s="70" t="str">
        <f>IF(OR(J272="",N(T272)&lt;=0,V272="Oui"),"",ROUND(N(T272)*J272*(1-N(K272)),2))</f>
        <v/>
      </c>
    </row>
    <row r="273">
      <c r="A273" s="63" t="n"/>
      <c r="B273" s="64" t="n"/>
      <c r="C273" s="65" t="n"/>
      <c r="D273" s="66" t="str">
        <f>IF(C273="","",IFERROR(INDEX(sup_name,MATCH($C273,sup_code,0))&amp;"","Fournisseur inconnu"))</f>
        <v/>
      </c>
      <c r="E273" s="63" t="n"/>
      <c r="F273" s="66" t="str">
        <f>IF(E273="","",IFERROR(INDEX(art_des,MATCH($E273,art_ref,0))&amp;"","Article inconnu"))</f>
        <v/>
      </c>
      <c r="G273" s="67" t="str">
        <f>IF(E273="","",IFERROR(INDEX(art_unit,MATCH($E273,art_ref,0))&amp;"",""))</f>
        <v/>
      </c>
      <c r="H273" s="68" t="n"/>
      <c r="I273" s="69" t="n"/>
      <c r="J273" s="70" t="str">
        <f>IF(E273="","",IF(ISNUMBER(I273),I273,IFERROR(IF(ISNUMBER(INDEX(art_price,MATCH($E273,art_ref,0))),INDEX(art_price,MATCH($E273,art_ref,0)),""),"")))</f>
        <v/>
      </c>
      <c r="K273" s="71" t="n"/>
      <c r="L273" s="72" t="n"/>
      <c r="M273" s="72" t="str">
        <f>IF(E273="","",IF(L273&lt;&gt;"",L273,IFERROR(IF(ISNUMBER(INDEX(art_tva,MATCH($E273,art_ref,0))),INDEX(art_tva,MATCH($E273,art_ref,0)),""),"")))</f>
        <v/>
      </c>
      <c r="N273" s="70" t="str">
        <f>IF(OR(E273="",J273=""),"",ROUND(N(H273)*J273*(1-N(K273)),2))</f>
        <v/>
      </c>
      <c r="O273" s="70" t="str">
        <f>IF(OR(N273="",NOT(ISNUMBER(M273))),"",ROUND(N273*M273,2))</f>
        <v/>
      </c>
      <c r="P273" s="70" t="str">
        <f>IF(N273="","",N273+N(O273))</f>
        <v/>
      </c>
      <c r="Q273" s="64" t="n"/>
      <c r="R273" s="73" t="str">
        <f>IF(N(Q273)&gt;0,Q273,IF(OR(N(B273)=0,ISNA(MATCH($C273,sup_code,0))),"",IF(ISNUMBER(INDEX(sup_delay,MATCH($C273,sup_code,0))),B273+INDEX(sup_delay,MATCH($C273,sup_code,0)),"")))</f>
        <v/>
      </c>
      <c r="S273" s="64" t="n"/>
      <c r="T273" s="68" t="n"/>
      <c r="U273" s="64" t="n"/>
      <c r="V273" s="65" t="n"/>
      <c r="W273" s="74" t="str">
        <f>IF(AND(A273="",E273=""),"",IF(V273="Oui",0,MAX(0,ROUND(N(H273)-N(T273),6))))</f>
        <v/>
      </c>
      <c r="X273" s="67" t="str">
        <f>IF(AND(A273="",E273=""),"",IF(V273="Oui","Annulé",IF(AND(N(H273)&gt;0,N(T273)&gt;=N(H273)),"Reçu",IF(N(S273)=0,"Brouillon",IF(AND(ISNUMBER(R273),R273&lt;p_today),"En retard",IF(N(T273)&gt;0,"Partiel","Envoyé"))))))</f>
        <v/>
      </c>
      <c r="Y273" s="75" t="str">
        <f>IF(X273="En retard",p_today-R273,IF(AND(X273="Reçu",ISNUMBER(R273)),MAX(0,N(U273)-R273),""))</f>
        <v/>
      </c>
      <c r="Z273" s="67" t="str">
        <f>IF(AND(A273="",E273=""),"",IF(A273="","N° de bon manquant",IF(N(B273)=0,"Date de commande manquante",IF(C273="","Fournisseur manquant",IF(ISNA(MATCH($C273,sup_code,0)),"Fournisseur inconnu",IF(E273="","Article manquant",IF(ISNA(MATCH($E273,art_ref,0)),"Article inconnu",IF(N(H273)&lt;=0,"Quantité invalide",IF(J273="","Prix manquant",IF(OR(N(K273)&lt;0,N(K273)&gt;=1),"Remise invalide",IF(M273="","TVA manquante",IF(ISNA(MATCH(M273,p_tva,0)),"Taux de TVA inconnu",IF(COUNTIFS(po_num,A273,po_sup,"&lt;&gt;"&amp;C273)&gt;0,"Fournisseur différent sur ce bon",IF(COUNTIFS(po_num,A273,po_date,"&lt;&gt;"&amp;B273)&gt;0,"Date différente sur ce bon",IF(COUNTIF(po_num,A273)&gt;25,"Plus de 25 lignes sur ce bon",IF(R273="","Date de livraison manquante",IF(R273&lt;B273,"Livraison avant la commande",IF(AND(N(T273)&gt;0,N(S273)=0),"Date d'envoi manquante",IF(N(T273)&gt;N(H273),"Reçu plus que commandé",IF(AND(N(T273)&gt;0,N(U273)=0),"Date de réception manquante",IF(AND(N(U273)&gt;0,U273&lt;B273),"Réception avant la commande","OK")))))))))))))))))))))</f>
        <v/>
      </c>
      <c r="AA273" s="66" t="str">
        <f>IF(AND(X273="Reçu",ISNUMBER(R273)),IF(N(U273)&lt;=R273,1,0),"")</f>
        <v/>
      </c>
      <c r="AB273" s="76" t="str">
        <f>IF(OR(X273="Envoyé",X273="Partiel",X273="En retard"),IF(ISNUMBER(R273),R273,100000)+ROW()/100000,"")</f>
        <v/>
      </c>
      <c r="AC273" s="66" t="str">
        <f>IF(A273="","",IF(COUNTIF($A$6:A273,A273)=1,1,""))</f>
        <v/>
      </c>
      <c r="AD273" s="66" t="str">
        <f>IF(AC273=1,COUNT($AC$6:AC273),"")</f>
        <v/>
      </c>
      <c r="AE273" s="66" t="str">
        <f>IFERROR(INDEX(po_num,MATCH(268,po_seq,0))&amp;"","")</f>
        <v/>
      </c>
      <c r="AF273" s="66" t="str">
        <f>IF(OR(A273="",p_po=""),"",IF(A273&amp;""=p_po,COUNTIF($A$6:A273,A273),""))</f>
        <v/>
      </c>
      <c r="AG273" s="66" t="str">
        <f>IF(OR(AB273="",A273=""),"",IF(COUNTIFS($A$6:A273,A273,$AB$6:AB273,"&gt;0")=1,1,""))</f>
        <v/>
      </c>
      <c r="AH273" s="70" t="str">
        <f>IF(AB273="","",ROUND(N(W273)*N(J273)*(1-N(K273)),2))</f>
        <v/>
      </c>
      <c r="AI273" s="70" t="str">
        <f>IF(OR(J273="",N(T273)&lt;=0,V273="Oui"),"",ROUND(N(T273)*J273*(1-N(K273)),2))</f>
        <v/>
      </c>
    </row>
    <row r="274">
      <c r="A274" s="63" t="n"/>
      <c r="B274" s="64" t="n"/>
      <c r="C274" s="65" t="n"/>
      <c r="D274" s="66" t="str">
        <f>IF(C274="","",IFERROR(INDEX(sup_name,MATCH($C274,sup_code,0))&amp;"","Fournisseur inconnu"))</f>
        <v/>
      </c>
      <c r="E274" s="63" t="n"/>
      <c r="F274" s="66" t="str">
        <f>IF(E274="","",IFERROR(INDEX(art_des,MATCH($E274,art_ref,0))&amp;"","Article inconnu"))</f>
        <v/>
      </c>
      <c r="G274" s="67" t="str">
        <f>IF(E274="","",IFERROR(INDEX(art_unit,MATCH($E274,art_ref,0))&amp;"",""))</f>
        <v/>
      </c>
      <c r="H274" s="68" t="n"/>
      <c r="I274" s="69" t="n"/>
      <c r="J274" s="70" t="str">
        <f>IF(E274="","",IF(ISNUMBER(I274),I274,IFERROR(IF(ISNUMBER(INDEX(art_price,MATCH($E274,art_ref,0))),INDEX(art_price,MATCH($E274,art_ref,0)),""),"")))</f>
        <v/>
      </c>
      <c r="K274" s="71" t="n"/>
      <c r="L274" s="72" t="n"/>
      <c r="M274" s="72" t="str">
        <f>IF(E274="","",IF(L274&lt;&gt;"",L274,IFERROR(IF(ISNUMBER(INDEX(art_tva,MATCH($E274,art_ref,0))),INDEX(art_tva,MATCH($E274,art_ref,0)),""),"")))</f>
        <v/>
      </c>
      <c r="N274" s="70" t="str">
        <f>IF(OR(E274="",J274=""),"",ROUND(N(H274)*J274*(1-N(K274)),2))</f>
        <v/>
      </c>
      <c r="O274" s="70" t="str">
        <f>IF(OR(N274="",NOT(ISNUMBER(M274))),"",ROUND(N274*M274,2))</f>
        <v/>
      </c>
      <c r="P274" s="70" t="str">
        <f>IF(N274="","",N274+N(O274))</f>
        <v/>
      </c>
      <c r="Q274" s="64" t="n"/>
      <c r="R274" s="73" t="str">
        <f>IF(N(Q274)&gt;0,Q274,IF(OR(N(B274)=0,ISNA(MATCH($C274,sup_code,0))),"",IF(ISNUMBER(INDEX(sup_delay,MATCH($C274,sup_code,0))),B274+INDEX(sup_delay,MATCH($C274,sup_code,0)),"")))</f>
        <v/>
      </c>
      <c r="S274" s="64" t="n"/>
      <c r="T274" s="68" t="n"/>
      <c r="U274" s="64" t="n"/>
      <c r="V274" s="65" t="n"/>
      <c r="W274" s="74" t="str">
        <f>IF(AND(A274="",E274=""),"",IF(V274="Oui",0,MAX(0,ROUND(N(H274)-N(T274),6))))</f>
        <v/>
      </c>
      <c r="X274" s="67" t="str">
        <f>IF(AND(A274="",E274=""),"",IF(V274="Oui","Annulé",IF(AND(N(H274)&gt;0,N(T274)&gt;=N(H274)),"Reçu",IF(N(S274)=0,"Brouillon",IF(AND(ISNUMBER(R274),R274&lt;p_today),"En retard",IF(N(T274)&gt;0,"Partiel","Envoyé"))))))</f>
        <v/>
      </c>
      <c r="Y274" s="75" t="str">
        <f>IF(X274="En retard",p_today-R274,IF(AND(X274="Reçu",ISNUMBER(R274)),MAX(0,N(U274)-R274),""))</f>
        <v/>
      </c>
      <c r="Z274" s="67" t="str">
        <f>IF(AND(A274="",E274=""),"",IF(A274="","N° de bon manquant",IF(N(B274)=0,"Date de commande manquante",IF(C274="","Fournisseur manquant",IF(ISNA(MATCH($C274,sup_code,0)),"Fournisseur inconnu",IF(E274="","Article manquant",IF(ISNA(MATCH($E274,art_ref,0)),"Article inconnu",IF(N(H274)&lt;=0,"Quantité invalide",IF(J274="","Prix manquant",IF(OR(N(K274)&lt;0,N(K274)&gt;=1),"Remise invalide",IF(M274="","TVA manquante",IF(ISNA(MATCH(M274,p_tva,0)),"Taux de TVA inconnu",IF(COUNTIFS(po_num,A274,po_sup,"&lt;&gt;"&amp;C274)&gt;0,"Fournisseur différent sur ce bon",IF(COUNTIFS(po_num,A274,po_date,"&lt;&gt;"&amp;B274)&gt;0,"Date différente sur ce bon",IF(COUNTIF(po_num,A274)&gt;25,"Plus de 25 lignes sur ce bon",IF(R274="","Date de livraison manquante",IF(R274&lt;B274,"Livraison avant la commande",IF(AND(N(T274)&gt;0,N(S274)=0),"Date d'envoi manquante",IF(N(T274)&gt;N(H274),"Reçu plus que commandé",IF(AND(N(T274)&gt;0,N(U274)=0),"Date de réception manquante",IF(AND(N(U274)&gt;0,U274&lt;B274),"Réception avant la commande","OK")))))))))))))))))))))</f>
        <v/>
      </c>
      <c r="AA274" s="66" t="str">
        <f>IF(AND(X274="Reçu",ISNUMBER(R274)),IF(N(U274)&lt;=R274,1,0),"")</f>
        <v/>
      </c>
      <c r="AB274" s="76" t="str">
        <f>IF(OR(X274="Envoyé",X274="Partiel",X274="En retard"),IF(ISNUMBER(R274),R274,100000)+ROW()/100000,"")</f>
        <v/>
      </c>
      <c r="AC274" s="66" t="str">
        <f>IF(A274="","",IF(COUNTIF($A$6:A274,A274)=1,1,""))</f>
        <v/>
      </c>
      <c r="AD274" s="66" t="str">
        <f>IF(AC274=1,COUNT($AC$6:AC274),"")</f>
        <v/>
      </c>
      <c r="AE274" s="66" t="str">
        <f>IFERROR(INDEX(po_num,MATCH(269,po_seq,0))&amp;"","")</f>
        <v/>
      </c>
      <c r="AF274" s="66" t="str">
        <f>IF(OR(A274="",p_po=""),"",IF(A274&amp;""=p_po,COUNTIF($A$6:A274,A274),""))</f>
        <v/>
      </c>
      <c r="AG274" s="66" t="str">
        <f>IF(OR(AB274="",A274=""),"",IF(COUNTIFS($A$6:A274,A274,$AB$6:AB274,"&gt;0")=1,1,""))</f>
        <v/>
      </c>
      <c r="AH274" s="70" t="str">
        <f>IF(AB274="","",ROUND(N(W274)*N(J274)*(1-N(K274)),2))</f>
        <v/>
      </c>
      <c r="AI274" s="70" t="str">
        <f>IF(OR(J274="",N(T274)&lt;=0,V274="Oui"),"",ROUND(N(T274)*J274*(1-N(K274)),2))</f>
        <v/>
      </c>
    </row>
    <row r="275">
      <c r="A275" s="63" t="n"/>
      <c r="B275" s="64" t="n"/>
      <c r="C275" s="65" t="n"/>
      <c r="D275" s="66" t="str">
        <f>IF(C275="","",IFERROR(INDEX(sup_name,MATCH($C275,sup_code,0))&amp;"","Fournisseur inconnu"))</f>
        <v/>
      </c>
      <c r="E275" s="63" t="n"/>
      <c r="F275" s="66" t="str">
        <f>IF(E275="","",IFERROR(INDEX(art_des,MATCH($E275,art_ref,0))&amp;"","Article inconnu"))</f>
        <v/>
      </c>
      <c r="G275" s="67" t="str">
        <f>IF(E275="","",IFERROR(INDEX(art_unit,MATCH($E275,art_ref,0))&amp;"",""))</f>
        <v/>
      </c>
      <c r="H275" s="68" t="n"/>
      <c r="I275" s="69" t="n"/>
      <c r="J275" s="70" t="str">
        <f>IF(E275="","",IF(ISNUMBER(I275),I275,IFERROR(IF(ISNUMBER(INDEX(art_price,MATCH($E275,art_ref,0))),INDEX(art_price,MATCH($E275,art_ref,0)),""),"")))</f>
        <v/>
      </c>
      <c r="K275" s="71" t="n"/>
      <c r="L275" s="72" t="n"/>
      <c r="M275" s="72" t="str">
        <f>IF(E275="","",IF(L275&lt;&gt;"",L275,IFERROR(IF(ISNUMBER(INDEX(art_tva,MATCH($E275,art_ref,0))),INDEX(art_tva,MATCH($E275,art_ref,0)),""),"")))</f>
        <v/>
      </c>
      <c r="N275" s="70" t="str">
        <f>IF(OR(E275="",J275=""),"",ROUND(N(H275)*J275*(1-N(K275)),2))</f>
        <v/>
      </c>
      <c r="O275" s="70" t="str">
        <f>IF(OR(N275="",NOT(ISNUMBER(M275))),"",ROUND(N275*M275,2))</f>
        <v/>
      </c>
      <c r="P275" s="70" t="str">
        <f>IF(N275="","",N275+N(O275))</f>
        <v/>
      </c>
      <c r="Q275" s="64" t="n"/>
      <c r="R275" s="73" t="str">
        <f>IF(N(Q275)&gt;0,Q275,IF(OR(N(B275)=0,ISNA(MATCH($C275,sup_code,0))),"",IF(ISNUMBER(INDEX(sup_delay,MATCH($C275,sup_code,0))),B275+INDEX(sup_delay,MATCH($C275,sup_code,0)),"")))</f>
        <v/>
      </c>
      <c r="S275" s="64" t="n"/>
      <c r="T275" s="68" t="n"/>
      <c r="U275" s="64" t="n"/>
      <c r="V275" s="65" t="n"/>
      <c r="W275" s="74" t="str">
        <f>IF(AND(A275="",E275=""),"",IF(V275="Oui",0,MAX(0,ROUND(N(H275)-N(T275),6))))</f>
        <v/>
      </c>
      <c r="X275" s="67" t="str">
        <f>IF(AND(A275="",E275=""),"",IF(V275="Oui","Annulé",IF(AND(N(H275)&gt;0,N(T275)&gt;=N(H275)),"Reçu",IF(N(S275)=0,"Brouillon",IF(AND(ISNUMBER(R275),R275&lt;p_today),"En retard",IF(N(T275)&gt;0,"Partiel","Envoyé"))))))</f>
        <v/>
      </c>
      <c r="Y275" s="75" t="str">
        <f>IF(X275="En retard",p_today-R275,IF(AND(X275="Reçu",ISNUMBER(R275)),MAX(0,N(U275)-R275),""))</f>
        <v/>
      </c>
      <c r="Z275" s="67" t="str">
        <f>IF(AND(A275="",E275=""),"",IF(A275="","N° de bon manquant",IF(N(B275)=0,"Date de commande manquante",IF(C275="","Fournisseur manquant",IF(ISNA(MATCH($C275,sup_code,0)),"Fournisseur inconnu",IF(E275="","Article manquant",IF(ISNA(MATCH($E275,art_ref,0)),"Article inconnu",IF(N(H275)&lt;=0,"Quantité invalide",IF(J275="","Prix manquant",IF(OR(N(K275)&lt;0,N(K275)&gt;=1),"Remise invalide",IF(M275="","TVA manquante",IF(ISNA(MATCH(M275,p_tva,0)),"Taux de TVA inconnu",IF(COUNTIFS(po_num,A275,po_sup,"&lt;&gt;"&amp;C275)&gt;0,"Fournisseur différent sur ce bon",IF(COUNTIFS(po_num,A275,po_date,"&lt;&gt;"&amp;B275)&gt;0,"Date différente sur ce bon",IF(COUNTIF(po_num,A275)&gt;25,"Plus de 25 lignes sur ce bon",IF(R275="","Date de livraison manquante",IF(R275&lt;B275,"Livraison avant la commande",IF(AND(N(T275)&gt;0,N(S275)=0),"Date d'envoi manquante",IF(N(T275)&gt;N(H275),"Reçu plus que commandé",IF(AND(N(T275)&gt;0,N(U275)=0),"Date de réception manquante",IF(AND(N(U275)&gt;0,U275&lt;B275),"Réception avant la commande","OK")))))))))))))))))))))</f>
        <v/>
      </c>
      <c r="AA275" s="66" t="str">
        <f>IF(AND(X275="Reçu",ISNUMBER(R275)),IF(N(U275)&lt;=R275,1,0),"")</f>
        <v/>
      </c>
      <c r="AB275" s="76" t="str">
        <f>IF(OR(X275="Envoyé",X275="Partiel",X275="En retard"),IF(ISNUMBER(R275),R275,100000)+ROW()/100000,"")</f>
        <v/>
      </c>
      <c r="AC275" s="66" t="str">
        <f>IF(A275="","",IF(COUNTIF($A$6:A275,A275)=1,1,""))</f>
        <v/>
      </c>
      <c r="AD275" s="66" t="str">
        <f>IF(AC275=1,COUNT($AC$6:AC275),"")</f>
        <v/>
      </c>
      <c r="AE275" s="66" t="str">
        <f>IFERROR(INDEX(po_num,MATCH(270,po_seq,0))&amp;"","")</f>
        <v/>
      </c>
      <c r="AF275" s="66" t="str">
        <f>IF(OR(A275="",p_po=""),"",IF(A275&amp;""=p_po,COUNTIF($A$6:A275,A275),""))</f>
        <v/>
      </c>
      <c r="AG275" s="66" t="str">
        <f>IF(OR(AB275="",A275=""),"",IF(COUNTIFS($A$6:A275,A275,$AB$6:AB275,"&gt;0")=1,1,""))</f>
        <v/>
      </c>
      <c r="AH275" s="70" t="str">
        <f>IF(AB275="","",ROUND(N(W275)*N(J275)*(1-N(K275)),2))</f>
        <v/>
      </c>
      <c r="AI275" s="70" t="str">
        <f>IF(OR(J275="",N(T275)&lt;=0,V275="Oui"),"",ROUND(N(T275)*J275*(1-N(K275)),2))</f>
        <v/>
      </c>
    </row>
    <row r="276">
      <c r="A276" s="63" t="n"/>
      <c r="B276" s="64" t="n"/>
      <c r="C276" s="65" t="n"/>
      <c r="D276" s="66" t="str">
        <f>IF(C276="","",IFERROR(INDEX(sup_name,MATCH($C276,sup_code,0))&amp;"","Fournisseur inconnu"))</f>
        <v/>
      </c>
      <c r="E276" s="63" t="n"/>
      <c r="F276" s="66" t="str">
        <f>IF(E276="","",IFERROR(INDEX(art_des,MATCH($E276,art_ref,0))&amp;"","Article inconnu"))</f>
        <v/>
      </c>
      <c r="G276" s="67" t="str">
        <f>IF(E276="","",IFERROR(INDEX(art_unit,MATCH($E276,art_ref,0))&amp;"",""))</f>
        <v/>
      </c>
      <c r="H276" s="68" t="n"/>
      <c r="I276" s="69" t="n"/>
      <c r="J276" s="70" t="str">
        <f>IF(E276="","",IF(ISNUMBER(I276),I276,IFERROR(IF(ISNUMBER(INDEX(art_price,MATCH($E276,art_ref,0))),INDEX(art_price,MATCH($E276,art_ref,0)),""),"")))</f>
        <v/>
      </c>
      <c r="K276" s="71" t="n"/>
      <c r="L276" s="72" t="n"/>
      <c r="M276" s="72" t="str">
        <f>IF(E276="","",IF(L276&lt;&gt;"",L276,IFERROR(IF(ISNUMBER(INDEX(art_tva,MATCH($E276,art_ref,0))),INDEX(art_tva,MATCH($E276,art_ref,0)),""),"")))</f>
        <v/>
      </c>
      <c r="N276" s="70" t="str">
        <f>IF(OR(E276="",J276=""),"",ROUND(N(H276)*J276*(1-N(K276)),2))</f>
        <v/>
      </c>
      <c r="O276" s="70" t="str">
        <f>IF(OR(N276="",NOT(ISNUMBER(M276))),"",ROUND(N276*M276,2))</f>
        <v/>
      </c>
      <c r="P276" s="70" t="str">
        <f>IF(N276="","",N276+N(O276))</f>
        <v/>
      </c>
      <c r="Q276" s="64" t="n"/>
      <c r="R276" s="73" t="str">
        <f>IF(N(Q276)&gt;0,Q276,IF(OR(N(B276)=0,ISNA(MATCH($C276,sup_code,0))),"",IF(ISNUMBER(INDEX(sup_delay,MATCH($C276,sup_code,0))),B276+INDEX(sup_delay,MATCH($C276,sup_code,0)),"")))</f>
        <v/>
      </c>
      <c r="S276" s="64" t="n"/>
      <c r="T276" s="68" t="n"/>
      <c r="U276" s="64" t="n"/>
      <c r="V276" s="65" t="n"/>
      <c r="W276" s="74" t="str">
        <f>IF(AND(A276="",E276=""),"",IF(V276="Oui",0,MAX(0,ROUND(N(H276)-N(T276),6))))</f>
        <v/>
      </c>
      <c r="X276" s="67" t="str">
        <f>IF(AND(A276="",E276=""),"",IF(V276="Oui","Annulé",IF(AND(N(H276)&gt;0,N(T276)&gt;=N(H276)),"Reçu",IF(N(S276)=0,"Brouillon",IF(AND(ISNUMBER(R276),R276&lt;p_today),"En retard",IF(N(T276)&gt;0,"Partiel","Envoyé"))))))</f>
        <v/>
      </c>
      <c r="Y276" s="75" t="str">
        <f>IF(X276="En retard",p_today-R276,IF(AND(X276="Reçu",ISNUMBER(R276)),MAX(0,N(U276)-R276),""))</f>
        <v/>
      </c>
      <c r="Z276" s="67" t="str">
        <f>IF(AND(A276="",E276=""),"",IF(A276="","N° de bon manquant",IF(N(B276)=0,"Date de commande manquante",IF(C276="","Fournisseur manquant",IF(ISNA(MATCH($C276,sup_code,0)),"Fournisseur inconnu",IF(E276="","Article manquant",IF(ISNA(MATCH($E276,art_ref,0)),"Article inconnu",IF(N(H276)&lt;=0,"Quantité invalide",IF(J276="","Prix manquant",IF(OR(N(K276)&lt;0,N(K276)&gt;=1),"Remise invalide",IF(M276="","TVA manquante",IF(ISNA(MATCH(M276,p_tva,0)),"Taux de TVA inconnu",IF(COUNTIFS(po_num,A276,po_sup,"&lt;&gt;"&amp;C276)&gt;0,"Fournisseur différent sur ce bon",IF(COUNTIFS(po_num,A276,po_date,"&lt;&gt;"&amp;B276)&gt;0,"Date différente sur ce bon",IF(COUNTIF(po_num,A276)&gt;25,"Plus de 25 lignes sur ce bon",IF(R276="","Date de livraison manquante",IF(R276&lt;B276,"Livraison avant la commande",IF(AND(N(T276)&gt;0,N(S276)=0),"Date d'envoi manquante",IF(N(T276)&gt;N(H276),"Reçu plus que commandé",IF(AND(N(T276)&gt;0,N(U276)=0),"Date de réception manquante",IF(AND(N(U276)&gt;0,U276&lt;B276),"Réception avant la commande","OK")))))))))))))))))))))</f>
        <v/>
      </c>
      <c r="AA276" s="66" t="str">
        <f>IF(AND(X276="Reçu",ISNUMBER(R276)),IF(N(U276)&lt;=R276,1,0),"")</f>
        <v/>
      </c>
      <c r="AB276" s="76" t="str">
        <f>IF(OR(X276="Envoyé",X276="Partiel",X276="En retard"),IF(ISNUMBER(R276),R276,100000)+ROW()/100000,"")</f>
        <v/>
      </c>
      <c r="AC276" s="66" t="str">
        <f>IF(A276="","",IF(COUNTIF($A$6:A276,A276)=1,1,""))</f>
        <v/>
      </c>
      <c r="AD276" s="66" t="str">
        <f>IF(AC276=1,COUNT($AC$6:AC276),"")</f>
        <v/>
      </c>
      <c r="AE276" s="66" t="str">
        <f>IFERROR(INDEX(po_num,MATCH(271,po_seq,0))&amp;"","")</f>
        <v/>
      </c>
      <c r="AF276" s="66" t="str">
        <f>IF(OR(A276="",p_po=""),"",IF(A276&amp;""=p_po,COUNTIF($A$6:A276,A276),""))</f>
        <v/>
      </c>
      <c r="AG276" s="66" t="str">
        <f>IF(OR(AB276="",A276=""),"",IF(COUNTIFS($A$6:A276,A276,$AB$6:AB276,"&gt;0")=1,1,""))</f>
        <v/>
      </c>
      <c r="AH276" s="70" t="str">
        <f>IF(AB276="","",ROUND(N(W276)*N(J276)*(1-N(K276)),2))</f>
        <v/>
      </c>
      <c r="AI276" s="70" t="str">
        <f>IF(OR(J276="",N(T276)&lt;=0,V276="Oui"),"",ROUND(N(T276)*J276*(1-N(K276)),2))</f>
        <v/>
      </c>
    </row>
    <row r="277">
      <c r="A277" s="63" t="n"/>
      <c r="B277" s="64" t="n"/>
      <c r="C277" s="65" t="n"/>
      <c r="D277" s="66" t="str">
        <f>IF(C277="","",IFERROR(INDEX(sup_name,MATCH($C277,sup_code,0))&amp;"","Fournisseur inconnu"))</f>
        <v/>
      </c>
      <c r="E277" s="63" t="n"/>
      <c r="F277" s="66" t="str">
        <f>IF(E277="","",IFERROR(INDEX(art_des,MATCH($E277,art_ref,0))&amp;"","Article inconnu"))</f>
        <v/>
      </c>
      <c r="G277" s="67" t="str">
        <f>IF(E277="","",IFERROR(INDEX(art_unit,MATCH($E277,art_ref,0))&amp;"",""))</f>
        <v/>
      </c>
      <c r="H277" s="68" t="n"/>
      <c r="I277" s="69" t="n"/>
      <c r="J277" s="70" t="str">
        <f>IF(E277="","",IF(ISNUMBER(I277),I277,IFERROR(IF(ISNUMBER(INDEX(art_price,MATCH($E277,art_ref,0))),INDEX(art_price,MATCH($E277,art_ref,0)),""),"")))</f>
        <v/>
      </c>
      <c r="K277" s="71" t="n"/>
      <c r="L277" s="72" t="n"/>
      <c r="M277" s="72" t="str">
        <f>IF(E277="","",IF(L277&lt;&gt;"",L277,IFERROR(IF(ISNUMBER(INDEX(art_tva,MATCH($E277,art_ref,0))),INDEX(art_tva,MATCH($E277,art_ref,0)),""),"")))</f>
        <v/>
      </c>
      <c r="N277" s="70" t="str">
        <f>IF(OR(E277="",J277=""),"",ROUND(N(H277)*J277*(1-N(K277)),2))</f>
        <v/>
      </c>
      <c r="O277" s="70" t="str">
        <f>IF(OR(N277="",NOT(ISNUMBER(M277))),"",ROUND(N277*M277,2))</f>
        <v/>
      </c>
      <c r="P277" s="70" t="str">
        <f>IF(N277="","",N277+N(O277))</f>
        <v/>
      </c>
      <c r="Q277" s="64" t="n"/>
      <c r="R277" s="73" t="str">
        <f>IF(N(Q277)&gt;0,Q277,IF(OR(N(B277)=0,ISNA(MATCH($C277,sup_code,0))),"",IF(ISNUMBER(INDEX(sup_delay,MATCH($C277,sup_code,0))),B277+INDEX(sup_delay,MATCH($C277,sup_code,0)),"")))</f>
        <v/>
      </c>
      <c r="S277" s="64" t="n"/>
      <c r="T277" s="68" t="n"/>
      <c r="U277" s="64" t="n"/>
      <c r="V277" s="65" t="n"/>
      <c r="W277" s="74" t="str">
        <f>IF(AND(A277="",E277=""),"",IF(V277="Oui",0,MAX(0,ROUND(N(H277)-N(T277),6))))</f>
        <v/>
      </c>
      <c r="X277" s="67" t="str">
        <f>IF(AND(A277="",E277=""),"",IF(V277="Oui","Annulé",IF(AND(N(H277)&gt;0,N(T277)&gt;=N(H277)),"Reçu",IF(N(S277)=0,"Brouillon",IF(AND(ISNUMBER(R277),R277&lt;p_today),"En retard",IF(N(T277)&gt;0,"Partiel","Envoyé"))))))</f>
        <v/>
      </c>
      <c r="Y277" s="75" t="str">
        <f>IF(X277="En retard",p_today-R277,IF(AND(X277="Reçu",ISNUMBER(R277)),MAX(0,N(U277)-R277),""))</f>
        <v/>
      </c>
      <c r="Z277" s="67" t="str">
        <f>IF(AND(A277="",E277=""),"",IF(A277="","N° de bon manquant",IF(N(B277)=0,"Date de commande manquante",IF(C277="","Fournisseur manquant",IF(ISNA(MATCH($C277,sup_code,0)),"Fournisseur inconnu",IF(E277="","Article manquant",IF(ISNA(MATCH($E277,art_ref,0)),"Article inconnu",IF(N(H277)&lt;=0,"Quantité invalide",IF(J277="","Prix manquant",IF(OR(N(K277)&lt;0,N(K277)&gt;=1),"Remise invalide",IF(M277="","TVA manquante",IF(ISNA(MATCH(M277,p_tva,0)),"Taux de TVA inconnu",IF(COUNTIFS(po_num,A277,po_sup,"&lt;&gt;"&amp;C277)&gt;0,"Fournisseur différent sur ce bon",IF(COUNTIFS(po_num,A277,po_date,"&lt;&gt;"&amp;B277)&gt;0,"Date différente sur ce bon",IF(COUNTIF(po_num,A277)&gt;25,"Plus de 25 lignes sur ce bon",IF(R277="","Date de livraison manquante",IF(R277&lt;B277,"Livraison avant la commande",IF(AND(N(T277)&gt;0,N(S277)=0),"Date d'envoi manquante",IF(N(T277)&gt;N(H277),"Reçu plus que commandé",IF(AND(N(T277)&gt;0,N(U277)=0),"Date de réception manquante",IF(AND(N(U277)&gt;0,U277&lt;B277),"Réception avant la commande","OK")))))))))))))))))))))</f>
        <v/>
      </c>
      <c r="AA277" s="66" t="str">
        <f>IF(AND(X277="Reçu",ISNUMBER(R277)),IF(N(U277)&lt;=R277,1,0),"")</f>
        <v/>
      </c>
      <c r="AB277" s="76" t="str">
        <f>IF(OR(X277="Envoyé",X277="Partiel",X277="En retard"),IF(ISNUMBER(R277),R277,100000)+ROW()/100000,"")</f>
        <v/>
      </c>
      <c r="AC277" s="66" t="str">
        <f>IF(A277="","",IF(COUNTIF($A$6:A277,A277)=1,1,""))</f>
        <v/>
      </c>
      <c r="AD277" s="66" t="str">
        <f>IF(AC277=1,COUNT($AC$6:AC277),"")</f>
        <v/>
      </c>
      <c r="AE277" s="66" t="str">
        <f>IFERROR(INDEX(po_num,MATCH(272,po_seq,0))&amp;"","")</f>
        <v/>
      </c>
      <c r="AF277" s="66" t="str">
        <f>IF(OR(A277="",p_po=""),"",IF(A277&amp;""=p_po,COUNTIF($A$6:A277,A277),""))</f>
        <v/>
      </c>
      <c r="AG277" s="66" t="str">
        <f>IF(OR(AB277="",A277=""),"",IF(COUNTIFS($A$6:A277,A277,$AB$6:AB277,"&gt;0")=1,1,""))</f>
        <v/>
      </c>
      <c r="AH277" s="70" t="str">
        <f>IF(AB277="","",ROUND(N(W277)*N(J277)*(1-N(K277)),2))</f>
        <v/>
      </c>
      <c r="AI277" s="70" t="str">
        <f>IF(OR(J277="",N(T277)&lt;=0,V277="Oui"),"",ROUND(N(T277)*J277*(1-N(K277)),2))</f>
        <v/>
      </c>
    </row>
    <row r="278">
      <c r="A278" s="63" t="n"/>
      <c r="B278" s="64" t="n"/>
      <c r="C278" s="65" t="n"/>
      <c r="D278" s="66" t="str">
        <f>IF(C278="","",IFERROR(INDEX(sup_name,MATCH($C278,sup_code,0))&amp;"","Fournisseur inconnu"))</f>
        <v/>
      </c>
      <c r="E278" s="63" t="n"/>
      <c r="F278" s="66" t="str">
        <f>IF(E278="","",IFERROR(INDEX(art_des,MATCH($E278,art_ref,0))&amp;"","Article inconnu"))</f>
        <v/>
      </c>
      <c r="G278" s="67" t="str">
        <f>IF(E278="","",IFERROR(INDEX(art_unit,MATCH($E278,art_ref,0))&amp;"",""))</f>
        <v/>
      </c>
      <c r="H278" s="68" t="n"/>
      <c r="I278" s="69" t="n"/>
      <c r="J278" s="70" t="str">
        <f>IF(E278="","",IF(ISNUMBER(I278),I278,IFERROR(IF(ISNUMBER(INDEX(art_price,MATCH($E278,art_ref,0))),INDEX(art_price,MATCH($E278,art_ref,0)),""),"")))</f>
        <v/>
      </c>
      <c r="K278" s="71" t="n"/>
      <c r="L278" s="72" t="n"/>
      <c r="M278" s="72" t="str">
        <f>IF(E278="","",IF(L278&lt;&gt;"",L278,IFERROR(IF(ISNUMBER(INDEX(art_tva,MATCH($E278,art_ref,0))),INDEX(art_tva,MATCH($E278,art_ref,0)),""),"")))</f>
        <v/>
      </c>
      <c r="N278" s="70" t="str">
        <f>IF(OR(E278="",J278=""),"",ROUND(N(H278)*J278*(1-N(K278)),2))</f>
        <v/>
      </c>
      <c r="O278" s="70" t="str">
        <f>IF(OR(N278="",NOT(ISNUMBER(M278))),"",ROUND(N278*M278,2))</f>
        <v/>
      </c>
      <c r="P278" s="70" t="str">
        <f>IF(N278="","",N278+N(O278))</f>
        <v/>
      </c>
      <c r="Q278" s="64" t="n"/>
      <c r="R278" s="73" t="str">
        <f>IF(N(Q278)&gt;0,Q278,IF(OR(N(B278)=0,ISNA(MATCH($C278,sup_code,0))),"",IF(ISNUMBER(INDEX(sup_delay,MATCH($C278,sup_code,0))),B278+INDEX(sup_delay,MATCH($C278,sup_code,0)),"")))</f>
        <v/>
      </c>
      <c r="S278" s="64" t="n"/>
      <c r="T278" s="68" t="n"/>
      <c r="U278" s="64" t="n"/>
      <c r="V278" s="65" t="n"/>
      <c r="W278" s="74" t="str">
        <f>IF(AND(A278="",E278=""),"",IF(V278="Oui",0,MAX(0,ROUND(N(H278)-N(T278),6))))</f>
        <v/>
      </c>
      <c r="X278" s="67" t="str">
        <f>IF(AND(A278="",E278=""),"",IF(V278="Oui","Annulé",IF(AND(N(H278)&gt;0,N(T278)&gt;=N(H278)),"Reçu",IF(N(S278)=0,"Brouillon",IF(AND(ISNUMBER(R278),R278&lt;p_today),"En retard",IF(N(T278)&gt;0,"Partiel","Envoyé"))))))</f>
        <v/>
      </c>
      <c r="Y278" s="75" t="str">
        <f>IF(X278="En retard",p_today-R278,IF(AND(X278="Reçu",ISNUMBER(R278)),MAX(0,N(U278)-R278),""))</f>
        <v/>
      </c>
      <c r="Z278" s="67" t="str">
        <f>IF(AND(A278="",E278=""),"",IF(A278="","N° de bon manquant",IF(N(B278)=0,"Date de commande manquante",IF(C278="","Fournisseur manquant",IF(ISNA(MATCH($C278,sup_code,0)),"Fournisseur inconnu",IF(E278="","Article manquant",IF(ISNA(MATCH($E278,art_ref,0)),"Article inconnu",IF(N(H278)&lt;=0,"Quantité invalide",IF(J278="","Prix manquant",IF(OR(N(K278)&lt;0,N(K278)&gt;=1),"Remise invalide",IF(M278="","TVA manquante",IF(ISNA(MATCH(M278,p_tva,0)),"Taux de TVA inconnu",IF(COUNTIFS(po_num,A278,po_sup,"&lt;&gt;"&amp;C278)&gt;0,"Fournisseur différent sur ce bon",IF(COUNTIFS(po_num,A278,po_date,"&lt;&gt;"&amp;B278)&gt;0,"Date différente sur ce bon",IF(COUNTIF(po_num,A278)&gt;25,"Plus de 25 lignes sur ce bon",IF(R278="","Date de livraison manquante",IF(R278&lt;B278,"Livraison avant la commande",IF(AND(N(T278)&gt;0,N(S278)=0),"Date d'envoi manquante",IF(N(T278)&gt;N(H278),"Reçu plus que commandé",IF(AND(N(T278)&gt;0,N(U278)=0),"Date de réception manquante",IF(AND(N(U278)&gt;0,U278&lt;B278),"Réception avant la commande","OK")))))))))))))))))))))</f>
        <v/>
      </c>
      <c r="AA278" s="66" t="str">
        <f>IF(AND(X278="Reçu",ISNUMBER(R278)),IF(N(U278)&lt;=R278,1,0),"")</f>
        <v/>
      </c>
      <c r="AB278" s="76" t="str">
        <f>IF(OR(X278="Envoyé",X278="Partiel",X278="En retard"),IF(ISNUMBER(R278),R278,100000)+ROW()/100000,"")</f>
        <v/>
      </c>
      <c r="AC278" s="66" t="str">
        <f>IF(A278="","",IF(COUNTIF($A$6:A278,A278)=1,1,""))</f>
        <v/>
      </c>
      <c r="AD278" s="66" t="str">
        <f>IF(AC278=1,COUNT($AC$6:AC278),"")</f>
        <v/>
      </c>
      <c r="AE278" s="66" t="str">
        <f>IFERROR(INDEX(po_num,MATCH(273,po_seq,0))&amp;"","")</f>
        <v/>
      </c>
      <c r="AF278" s="66" t="str">
        <f>IF(OR(A278="",p_po=""),"",IF(A278&amp;""=p_po,COUNTIF($A$6:A278,A278),""))</f>
        <v/>
      </c>
      <c r="AG278" s="66" t="str">
        <f>IF(OR(AB278="",A278=""),"",IF(COUNTIFS($A$6:A278,A278,$AB$6:AB278,"&gt;0")=1,1,""))</f>
        <v/>
      </c>
      <c r="AH278" s="70" t="str">
        <f>IF(AB278="","",ROUND(N(W278)*N(J278)*(1-N(K278)),2))</f>
        <v/>
      </c>
      <c r="AI278" s="70" t="str">
        <f>IF(OR(J278="",N(T278)&lt;=0,V278="Oui"),"",ROUND(N(T278)*J278*(1-N(K278)),2))</f>
        <v/>
      </c>
    </row>
    <row r="279">
      <c r="A279" s="63" t="n"/>
      <c r="B279" s="64" t="n"/>
      <c r="C279" s="65" t="n"/>
      <c r="D279" s="66" t="str">
        <f>IF(C279="","",IFERROR(INDEX(sup_name,MATCH($C279,sup_code,0))&amp;"","Fournisseur inconnu"))</f>
        <v/>
      </c>
      <c r="E279" s="63" t="n"/>
      <c r="F279" s="66" t="str">
        <f>IF(E279="","",IFERROR(INDEX(art_des,MATCH($E279,art_ref,0))&amp;"","Article inconnu"))</f>
        <v/>
      </c>
      <c r="G279" s="67" t="str">
        <f>IF(E279="","",IFERROR(INDEX(art_unit,MATCH($E279,art_ref,0))&amp;"",""))</f>
        <v/>
      </c>
      <c r="H279" s="68" t="n"/>
      <c r="I279" s="69" t="n"/>
      <c r="J279" s="70" t="str">
        <f>IF(E279="","",IF(ISNUMBER(I279),I279,IFERROR(IF(ISNUMBER(INDEX(art_price,MATCH($E279,art_ref,0))),INDEX(art_price,MATCH($E279,art_ref,0)),""),"")))</f>
        <v/>
      </c>
      <c r="K279" s="71" t="n"/>
      <c r="L279" s="72" t="n"/>
      <c r="M279" s="72" t="str">
        <f>IF(E279="","",IF(L279&lt;&gt;"",L279,IFERROR(IF(ISNUMBER(INDEX(art_tva,MATCH($E279,art_ref,0))),INDEX(art_tva,MATCH($E279,art_ref,0)),""),"")))</f>
        <v/>
      </c>
      <c r="N279" s="70" t="str">
        <f>IF(OR(E279="",J279=""),"",ROUND(N(H279)*J279*(1-N(K279)),2))</f>
        <v/>
      </c>
      <c r="O279" s="70" t="str">
        <f>IF(OR(N279="",NOT(ISNUMBER(M279))),"",ROUND(N279*M279,2))</f>
        <v/>
      </c>
      <c r="P279" s="70" t="str">
        <f>IF(N279="","",N279+N(O279))</f>
        <v/>
      </c>
      <c r="Q279" s="64" t="n"/>
      <c r="R279" s="73" t="str">
        <f>IF(N(Q279)&gt;0,Q279,IF(OR(N(B279)=0,ISNA(MATCH($C279,sup_code,0))),"",IF(ISNUMBER(INDEX(sup_delay,MATCH($C279,sup_code,0))),B279+INDEX(sup_delay,MATCH($C279,sup_code,0)),"")))</f>
        <v/>
      </c>
      <c r="S279" s="64" t="n"/>
      <c r="T279" s="68" t="n"/>
      <c r="U279" s="64" t="n"/>
      <c r="V279" s="65" t="n"/>
      <c r="W279" s="74" t="str">
        <f>IF(AND(A279="",E279=""),"",IF(V279="Oui",0,MAX(0,ROUND(N(H279)-N(T279),6))))</f>
        <v/>
      </c>
      <c r="X279" s="67" t="str">
        <f>IF(AND(A279="",E279=""),"",IF(V279="Oui","Annulé",IF(AND(N(H279)&gt;0,N(T279)&gt;=N(H279)),"Reçu",IF(N(S279)=0,"Brouillon",IF(AND(ISNUMBER(R279),R279&lt;p_today),"En retard",IF(N(T279)&gt;0,"Partiel","Envoyé"))))))</f>
        <v/>
      </c>
      <c r="Y279" s="75" t="str">
        <f>IF(X279="En retard",p_today-R279,IF(AND(X279="Reçu",ISNUMBER(R279)),MAX(0,N(U279)-R279),""))</f>
        <v/>
      </c>
      <c r="Z279" s="67" t="str">
        <f>IF(AND(A279="",E279=""),"",IF(A279="","N° de bon manquant",IF(N(B279)=0,"Date de commande manquante",IF(C279="","Fournisseur manquant",IF(ISNA(MATCH($C279,sup_code,0)),"Fournisseur inconnu",IF(E279="","Article manquant",IF(ISNA(MATCH($E279,art_ref,0)),"Article inconnu",IF(N(H279)&lt;=0,"Quantité invalide",IF(J279="","Prix manquant",IF(OR(N(K279)&lt;0,N(K279)&gt;=1),"Remise invalide",IF(M279="","TVA manquante",IF(ISNA(MATCH(M279,p_tva,0)),"Taux de TVA inconnu",IF(COUNTIFS(po_num,A279,po_sup,"&lt;&gt;"&amp;C279)&gt;0,"Fournisseur différent sur ce bon",IF(COUNTIFS(po_num,A279,po_date,"&lt;&gt;"&amp;B279)&gt;0,"Date différente sur ce bon",IF(COUNTIF(po_num,A279)&gt;25,"Plus de 25 lignes sur ce bon",IF(R279="","Date de livraison manquante",IF(R279&lt;B279,"Livraison avant la commande",IF(AND(N(T279)&gt;0,N(S279)=0),"Date d'envoi manquante",IF(N(T279)&gt;N(H279),"Reçu plus que commandé",IF(AND(N(T279)&gt;0,N(U279)=0),"Date de réception manquante",IF(AND(N(U279)&gt;0,U279&lt;B279),"Réception avant la commande","OK")))))))))))))))))))))</f>
        <v/>
      </c>
      <c r="AA279" s="66" t="str">
        <f>IF(AND(X279="Reçu",ISNUMBER(R279)),IF(N(U279)&lt;=R279,1,0),"")</f>
        <v/>
      </c>
      <c r="AB279" s="76" t="str">
        <f>IF(OR(X279="Envoyé",X279="Partiel",X279="En retard"),IF(ISNUMBER(R279),R279,100000)+ROW()/100000,"")</f>
        <v/>
      </c>
      <c r="AC279" s="66" t="str">
        <f>IF(A279="","",IF(COUNTIF($A$6:A279,A279)=1,1,""))</f>
        <v/>
      </c>
      <c r="AD279" s="66" t="str">
        <f>IF(AC279=1,COUNT($AC$6:AC279),"")</f>
        <v/>
      </c>
      <c r="AE279" s="66" t="str">
        <f>IFERROR(INDEX(po_num,MATCH(274,po_seq,0))&amp;"","")</f>
        <v/>
      </c>
      <c r="AF279" s="66" t="str">
        <f>IF(OR(A279="",p_po=""),"",IF(A279&amp;""=p_po,COUNTIF($A$6:A279,A279),""))</f>
        <v/>
      </c>
      <c r="AG279" s="66" t="str">
        <f>IF(OR(AB279="",A279=""),"",IF(COUNTIFS($A$6:A279,A279,$AB$6:AB279,"&gt;0")=1,1,""))</f>
        <v/>
      </c>
      <c r="AH279" s="70" t="str">
        <f>IF(AB279="","",ROUND(N(W279)*N(J279)*(1-N(K279)),2))</f>
        <v/>
      </c>
      <c r="AI279" s="70" t="str">
        <f>IF(OR(J279="",N(T279)&lt;=0,V279="Oui"),"",ROUND(N(T279)*J279*(1-N(K279)),2))</f>
        <v/>
      </c>
    </row>
    <row r="280">
      <c r="A280" s="63" t="n"/>
      <c r="B280" s="64" t="n"/>
      <c r="C280" s="65" t="n"/>
      <c r="D280" s="66" t="str">
        <f>IF(C280="","",IFERROR(INDEX(sup_name,MATCH($C280,sup_code,0))&amp;"","Fournisseur inconnu"))</f>
        <v/>
      </c>
      <c r="E280" s="63" t="n"/>
      <c r="F280" s="66" t="str">
        <f>IF(E280="","",IFERROR(INDEX(art_des,MATCH($E280,art_ref,0))&amp;"","Article inconnu"))</f>
        <v/>
      </c>
      <c r="G280" s="67" t="str">
        <f>IF(E280="","",IFERROR(INDEX(art_unit,MATCH($E280,art_ref,0))&amp;"",""))</f>
        <v/>
      </c>
      <c r="H280" s="68" t="n"/>
      <c r="I280" s="69" t="n"/>
      <c r="J280" s="70" t="str">
        <f>IF(E280="","",IF(ISNUMBER(I280),I280,IFERROR(IF(ISNUMBER(INDEX(art_price,MATCH($E280,art_ref,0))),INDEX(art_price,MATCH($E280,art_ref,0)),""),"")))</f>
        <v/>
      </c>
      <c r="K280" s="71" t="n"/>
      <c r="L280" s="72" t="n"/>
      <c r="M280" s="72" t="str">
        <f>IF(E280="","",IF(L280&lt;&gt;"",L280,IFERROR(IF(ISNUMBER(INDEX(art_tva,MATCH($E280,art_ref,0))),INDEX(art_tva,MATCH($E280,art_ref,0)),""),"")))</f>
        <v/>
      </c>
      <c r="N280" s="70" t="str">
        <f>IF(OR(E280="",J280=""),"",ROUND(N(H280)*J280*(1-N(K280)),2))</f>
        <v/>
      </c>
      <c r="O280" s="70" t="str">
        <f>IF(OR(N280="",NOT(ISNUMBER(M280))),"",ROUND(N280*M280,2))</f>
        <v/>
      </c>
      <c r="P280" s="70" t="str">
        <f>IF(N280="","",N280+N(O280))</f>
        <v/>
      </c>
      <c r="Q280" s="64" t="n"/>
      <c r="R280" s="73" t="str">
        <f>IF(N(Q280)&gt;0,Q280,IF(OR(N(B280)=0,ISNA(MATCH($C280,sup_code,0))),"",IF(ISNUMBER(INDEX(sup_delay,MATCH($C280,sup_code,0))),B280+INDEX(sup_delay,MATCH($C280,sup_code,0)),"")))</f>
        <v/>
      </c>
      <c r="S280" s="64" t="n"/>
      <c r="T280" s="68" t="n"/>
      <c r="U280" s="64" t="n"/>
      <c r="V280" s="65" t="n"/>
      <c r="W280" s="74" t="str">
        <f>IF(AND(A280="",E280=""),"",IF(V280="Oui",0,MAX(0,ROUND(N(H280)-N(T280),6))))</f>
        <v/>
      </c>
      <c r="X280" s="67" t="str">
        <f>IF(AND(A280="",E280=""),"",IF(V280="Oui","Annulé",IF(AND(N(H280)&gt;0,N(T280)&gt;=N(H280)),"Reçu",IF(N(S280)=0,"Brouillon",IF(AND(ISNUMBER(R280),R280&lt;p_today),"En retard",IF(N(T280)&gt;0,"Partiel","Envoyé"))))))</f>
        <v/>
      </c>
      <c r="Y280" s="75" t="str">
        <f>IF(X280="En retard",p_today-R280,IF(AND(X280="Reçu",ISNUMBER(R280)),MAX(0,N(U280)-R280),""))</f>
        <v/>
      </c>
      <c r="Z280" s="67" t="str">
        <f>IF(AND(A280="",E280=""),"",IF(A280="","N° de bon manquant",IF(N(B280)=0,"Date de commande manquante",IF(C280="","Fournisseur manquant",IF(ISNA(MATCH($C280,sup_code,0)),"Fournisseur inconnu",IF(E280="","Article manquant",IF(ISNA(MATCH($E280,art_ref,0)),"Article inconnu",IF(N(H280)&lt;=0,"Quantité invalide",IF(J280="","Prix manquant",IF(OR(N(K280)&lt;0,N(K280)&gt;=1),"Remise invalide",IF(M280="","TVA manquante",IF(ISNA(MATCH(M280,p_tva,0)),"Taux de TVA inconnu",IF(COUNTIFS(po_num,A280,po_sup,"&lt;&gt;"&amp;C280)&gt;0,"Fournisseur différent sur ce bon",IF(COUNTIFS(po_num,A280,po_date,"&lt;&gt;"&amp;B280)&gt;0,"Date différente sur ce bon",IF(COUNTIF(po_num,A280)&gt;25,"Plus de 25 lignes sur ce bon",IF(R280="","Date de livraison manquante",IF(R280&lt;B280,"Livraison avant la commande",IF(AND(N(T280)&gt;0,N(S280)=0),"Date d'envoi manquante",IF(N(T280)&gt;N(H280),"Reçu plus que commandé",IF(AND(N(T280)&gt;0,N(U280)=0),"Date de réception manquante",IF(AND(N(U280)&gt;0,U280&lt;B280),"Réception avant la commande","OK")))))))))))))))))))))</f>
        <v/>
      </c>
      <c r="AA280" s="66" t="str">
        <f>IF(AND(X280="Reçu",ISNUMBER(R280)),IF(N(U280)&lt;=R280,1,0),"")</f>
        <v/>
      </c>
      <c r="AB280" s="76" t="str">
        <f>IF(OR(X280="Envoyé",X280="Partiel",X280="En retard"),IF(ISNUMBER(R280),R280,100000)+ROW()/100000,"")</f>
        <v/>
      </c>
      <c r="AC280" s="66" t="str">
        <f>IF(A280="","",IF(COUNTIF($A$6:A280,A280)=1,1,""))</f>
        <v/>
      </c>
      <c r="AD280" s="66" t="str">
        <f>IF(AC280=1,COUNT($AC$6:AC280),"")</f>
        <v/>
      </c>
      <c r="AE280" s="66" t="str">
        <f>IFERROR(INDEX(po_num,MATCH(275,po_seq,0))&amp;"","")</f>
        <v/>
      </c>
      <c r="AF280" s="66" t="str">
        <f>IF(OR(A280="",p_po=""),"",IF(A280&amp;""=p_po,COUNTIF($A$6:A280,A280),""))</f>
        <v/>
      </c>
      <c r="AG280" s="66" t="str">
        <f>IF(OR(AB280="",A280=""),"",IF(COUNTIFS($A$6:A280,A280,$AB$6:AB280,"&gt;0")=1,1,""))</f>
        <v/>
      </c>
      <c r="AH280" s="70" t="str">
        <f>IF(AB280="","",ROUND(N(W280)*N(J280)*(1-N(K280)),2))</f>
        <v/>
      </c>
      <c r="AI280" s="70" t="str">
        <f>IF(OR(J280="",N(T280)&lt;=0,V280="Oui"),"",ROUND(N(T280)*J280*(1-N(K280)),2))</f>
        <v/>
      </c>
    </row>
    <row r="281">
      <c r="A281" s="63" t="n"/>
      <c r="B281" s="64" t="n"/>
      <c r="C281" s="65" t="n"/>
      <c r="D281" s="66" t="str">
        <f>IF(C281="","",IFERROR(INDEX(sup_name,MATCH($C281,sup_code,0))&amp;"","Fournisseur inconnu"))</f>
        <v/>
      </c>
      <c r="E281" s="63" t="n"/>
      <c r="F281" s="66" t="str">
        <f>IF(E281="","",IFERROR(INDEX(art_des,MATCH($E281,art_ref,0))&amp;"","Article inconnu"))</f>
        <v/>
      </c>
      <c r="G281" s="67" t="str">
        <f>IF(E281="","",IFERROR(INDEX(art_unit,MATCH($E281,art_ref,0))&amp;"",""))</f>
        <v/>
      </c>
      <c r="H281" s="68" t="n"/>
      <c r="I281" s="69" t="n"/>
      <c r="J281" s="70" t="str">
        <f>IF(E281="","",IF(ISNUMBER(I281),I281,IFERROR(IF(ISNUMBER(INDEX(art_price,MATCH($E281,art_ref,0))),INDEX(art_price,MATCH($E281,art_ref,0)),""),"")))</f>
        <v/>
      </c>
      <c r="K281" s="71" t="n"/>
      <c r="L281" s="72" t="n"/>
      <c r="M281" s="72" t="str">
        <f>IF(E281="","",IF(L281&lt;&gt;"",L281,IFERROR(IF(ISNUMBER(INDEX(art_tva,MATCH($E281,art_ref,0))),INDEX(art_tva,MATCH($E281,art_ref,0)),""),"")))</f>
        <v/>
      </c>
      <c r="N281" s="70" t="str">
        <f>IF(OR(E281="",J281=""),"",ROUND(N(H281)*J281*(1-N(K281)),2))</f>
        <v/>
      </c>
      <c r="O281" s="70" t="str">
        <f>IF(OR(N281="",NOT(ISNUMBER(M281))),"",ROUND(N281*M281,2))</f>
        <v/>
      </c>
      <c r="P281" s="70" t="str">
        <f>IF(N281="","",N281+N(O281))</f>
        <v/>
      </c>
      <c r="Q281" s="64" t="n"/>
      <c r="R281" s="73" t="str">
        <f>IF(N(Q281)&gt;0,Q281,IF(OR(N(B281)=0,ISNA(MATCH($C281,sup_code,0))),"",IF(ISNUMBER(INDEX(sup_delay,MATCH($C281,sup_code,0))),B281+INDEX(sup_delay,MATCH($C281,sup_code,0)),"")))</f>
        <v/>
      </c>
      <c r="S281" s="64" t="n"/>
      <c r="T281" s="68" t="n"/>
      <c r="U281" s="64" t="n"/>
      <c r="V281" s="65" t="n"/>
      <c r="W281" s="74" t="str">
        <f>IF(AND(A281="",E281=""),"",IF(V281="Oui",0,MAX(0,ROUND(N(H281)-N(T281),6))))</f>
        <v/>
      </c>
      <c r="X281" s="67" t="str">
        <f>IF(AND(A281="",E281=""),"",IF(V281="Oui","Annulé",IF(AND(N(H281)&gt;0,N(T281)&gt;=N(H281)),"Reçu",IF(N(S281)=0,"Brouillon",IF(AND(ISNUMBER(R281),R281&lt;p_today),"En retard",IF(N(T281)&gt;0,"Partiel","Envoyé"))))))</f>
        <v/>
      </c>
      <c r="Y281" s="75" t="str">
        <f>IF(X281="En retard",p_today-R281,IF(AND(X281="Reçu",ISNUMBER(R281)),MAX(0,N(U281)-R281),""))</f>
        <v/>
      </c>
      <c r="Z281" s="67" t="str">
        <f>IF(AND(A281="",E281=""),"",IF(A281="","N° de bon manquant",IF(N(B281)=0,"Date de commande manquante",IF(C281="","Fournisseur manquant",IF(ISNA(MATCH($C281,sup_code,0)),"Fournisseur inconnu",IF(E281="","Article manquant",IF(ISNA(MATCH($E281,art_ref,0)),"Article inconnu",IF(N(H281)&lt;=0,"Quantité invalide",IF(J281="","Prix manquant",IF(OR(N(K281)&lt;0,N(K281)&gt;=1),"Remise invalide",IF(M281="","TVA manquante",IF(ISNA(MATCH(M281,p_tva,0)),"Taux de TVA inconnu",IF(COUNTIFS(po_num,A281,po_sup,"&lt;&gt;"&amp;C281)&gt;0,"Fournisseur différent sur ce bon",IF(COUNTIFS(po_num,A281,po_date,"&lt;&gt;"&amp;B281)&gt;0,"Date différente sur ce bon",IF(COUNTIF(po_num,A281)&gt;25,"Plus de 25 lignes sur ce bon",IF(R281="","Date de livraison manquante",IF(R281&lt;B281,"Livraison avant la commande",IF(AND(N(T281)&gt;0,N(S281)=0),"Date d'envoi manquante",IF(N(T281)&gt;N(H281),"Reçu plus que commandé",IF(AND(N(T281)&gt;0,N(U281)=0),"Date de réception manquante",IF(AND(N(U281)&gt;0,U281&lt;B281),"Réception avant la commande","OK")))))))))))))))))))))</f>
        <v/>
      </c>
      <c r="AA281" s="66" t="str">
        <f>IF(AND(X281="Reçu",ISNUMBER(R281)),IF(N(U281)&lt;=R281,1,0),"")</f>
        <v/>
      </c>
      <c r="AB281" s="76" t="str">
        <f>IF(OR(X281="Envoyé",X281="Partiel",X281="En retard"),IF(ISNUMBER(R281),R281,100000)+ROW()/100000,"")</f>
        <v/>
      </c>
      <c r="AC281" s="66" t="str">
        <f>IF(A281="","",IF(COUNTIF($A$6:A281,A281)=1,1,""))</f>
        <v/>
      </c>
      <c r="AD281" s="66" t="str">
        <f>IF(AC281=1,COUNT($AC$6:AC281),"")</f>
        <v/>
      </c>
      <c r="AE281" s="66" t="str">
        <f>IFERROR(INDEX(po_num,MATCH(276,po_seq,0))&amp;"","")</f>
        <v/>
      </c>
      <c r="AF281" s="66" t="str">
        <f>IF(OR(A281="",p_po=""),"",IF(A281&amp;""=p_po,COUNTIF($A$6:A281,A281),""))</f>
        <v/>
      </c>
      <c r="AG281" s="66" t="str">
        <f>IF(OR(AB281="",A281=""),"",IF(COUNTIFS($A$6:A281,A281,$AB$6:AB281,"&gt;0")=1,1,""))</f>
        <v/>
      </c>
      <c r="AH281" s="70" t="str">
        <f>IF(AB281="","",ROUND(N(W281)*N(J281)*(1-N(K281)),2))</f>
        <v/>
      </c>
      <c r="AI281" s="70" t="str">
        <f>IF(OR(J281="",N(T281)&lt;=0,V281="Oui"),"",ROUND(N(T281)*J281*(1-N(K281)),2))</f>
        <v/>
      </c>
    </row>
    <row r="282">
      <c r="A282" s="63" t="n"/>
      <c r="B282" s="64" t="n"/>
      <c r="C282" s="65" t="n"/>
      <c r="D282" s="66" t="str">
        <f>IF(C282="","",IFERROR(INDEX(sup_name,MATCH($C282,sup_code,0))&amp;"","Fournisseur inconnu"))</f>
        <v/>
      </c>
      <c r="E282" s="63" t="n"/>
      <c r="F282" s="66" t="str">
        <f>IF(E282="","",IFERROR(INDEX(art_des,MATCH($E282,art_ref,0))&amp;"","Article inconnu"))</f>
        <v/>
      </c>
      <c r="G282" s="67" t="str">
        <f>IF(E282="","",IFERROR(INDEX(art_unit,MATCH($E282,art_ref,0))&amp;"",""))</f>
        <v/>
      </c>
      <c r="H282" s="68" t="n"/>
      <c r="I282" s="69" t="n"/>
      <c r="J282" s="70" t="str">
        <f>IF(E282="","",IF(ISNUMBER(I282),I282,IFERROR(IF(ISNUMBER(INDEX(art_price,MATCH($E282,art_ref,0))),INDEX(art_price,MATCH($E282,art_ref,0)),""),"")))</f>
        <v/>
      </c>
      <c r="K282" s="71" t="n"/>
      <c r="L282" s="72" t="n"/>
      <c r="M282" s="72" t="str">
        <f>IF(E282="","",IF(L282&lt;&gt;"",L282,IFERROR(IF(ISNUMBER(INDEX(art_tva,MATCH($E282,art_ref,0))),INDEX(art_tva,MATCH($E282,art_ref,0)),""),"")))</f>
        <v/>
      </c>
      <c r="N282" s="70" t="str">
        <f>IF(OR(E282="",J282=""),"",ROUND(N(H282)*J282*(1-N(K282)),2))</f>
        <v/>
      </c>
      <c r="O282" s="70" t="str">
        <f>IF(OR(N282="",NOT(ISNUMBER(M282))),"",ROUND(N282*M282,2))</f>
        <v/>
      </c>
      <c r="P282" s="70" t="str">
        <f>IF(N282="","",N282+N(O282))</f>
        <v/>
      </c>
      <c r="Q282" s="64" t="n"/>
      <c r="R282" s="73" t="str">
        <f>IF(N(Q282)&gt;0,Q282,IF(OR(N(B282)=0,ISNA(MATCH($C282,sup_code,0))),"",IF(ISNUMBER(INDEX(sup_delay,MATCH($C282,sup_code,0))),B282+INDEX(sup_delay,MATCH($C282,sup_code,0)),"")))</f>
        <v/>
      </c>
      <c r="S282" s="64" t="n"/>
      <c r="T282" s="68" t="n"/>
      <c r="U282" s="64" t="n"/>
      <c r="V282" s="65" t="n"/>
      <c r="W282" s="74" t="str">
        <f>IF(AND(A282="",E282=""),"",IF(V282="Oui",0,MAX(0,ROUND(N(H282)-N(T282),6))))</f>
        <v/>
      </c>
      <c r="X282" s="67" t="str">
        <f>IF(AND(A282="",E282=""),"",IF(V282="Oui","Annulé",IF(AND(N(H282)&gt;0,N(T282)&gt;=N(H282)),"Reçu",IF(N(S282)=0,"Brouillon",IF(AND(ISNUMBER(R282),R282&lt;p_today),"En retard",IF(N(T282)&gt;0,"Partiel","Envoyé"))))))</f>
        <v/>
      </c>
      <c r="Y282" s="75" t="str">
        <f>IF(X282="En retard",p_today-R282,IF(AND(X282="Reçu",ISNUMBER(R282)),MAX(0,N(U282)-R282),""))</f>
        <v/>
      </c>
      <c r="Z282" s="67" t="str">
        <f>IF(AND(A282="",E282=""),"",IF(A282="","N° de bon manquant",IF(N(B282)=0,"Date de commande manquante",IF(C282="","Fournisseur manquant",IF(ISNA(MATCH($C282,sup_code,0)),"Fournisseur inconnu",IF(E282="","Article manquant",IF(ISNA(MATCH($E282,art_ref,0)),"Article inconnu",IF(N(H282)&lt;=0,"Quantité invalide",IF(J282="","Prix manquant",IF(OR(N(K282)&lt;0,N(K282)&gt;=1),"Remise invalide",IF(M282="","TVA manquante",IF(ISNA(MATCH(M282,p_tva,0)),"Taux de TVA inconnu",IF(COUNTIFS(po_num,A282,po_sup,"&lt;&gt;"&amp;C282)&gt;0,"Fournisseur différent sur ce bon",IF(COUNTIFS(po_num,A282,po_date,"&lt;&gt;"&amp;B282)&gt;0,"Date différente sur ce bon",IF(COUNTIF(po_num,A282)&gt;25,"Plus de 25 lignes sur ce bon",IF(R282="","Date de livraison manquante",IF(R282&lt;B282,"Livraison avant la commande",IF(AND(N(T282)&gt;0,N(S282)=0),"Date d'envoi manquante",IF(N(T282)&gt;N(H282),"Reçu plus que commandé",IF(AND(N(T282)&gt;0,N(U282)=0),"Date de réception manquante",IF(AND(N(U282)&gt;0,U282&lt;B282),"Réception avant la commande","OK")))))))))))))))))))))</f>
        <v/>
      </c>
      <c r="AA282" s="66" t="str">
        <f>IF(AND(X282="Reçu",ISNUMBER(R282)),IF(N(U282)&lt;=R282,1,0),"")</f>
        <v/>
      </c>
      <c r="AB282" s="76" t="str">
        <f>IF(OR(X282="Envoyé",X282="Partiel",X282="En retard"),IF(ISNUMBER(R282),R282,100000)+ROW()/100000,"")</f>
        <v/>
      </c>
      <c r="AC282" s="66" t="str">
        <f>IF(A282="","",IF(COUNTIF($A$6:A282,A282)=1,1,""))</f>
        <v/>
      </c>
      <c r="AD282" s="66" t="str">
        <f>IF(AC282=1,COUNT($AC$6:AC282),"")</f>
        <v/>
      </c>
      <c r="AE282" s="66" t="str">
        <f>IFERROR(INDEX(po_num,MATCH(277,po_seq,0))&amp;"","")</f>
        <v/>
      </c>
      <c r="AF282" s="66" t="str">
        <f>IF(OR(A282="",p_po=""),"",IF(A282&amp;""=p_po,COUNTIF($A$6:A282,A282),""))</f>
        <v/>
      </c>
      <c r="AG282" s="66" t="str">
        <f>IF(OR(AB282="",A282=""),"",IF(COUNTIFS($A$6:A282,A282,$AB$6:AB282,"&gt;0")=1,1,""))</f>
        <v/>
      </c>
      <c r="AH282" s="70" t="str">
        <f>IF(AB282="","",ROUND(N(W282)*N(J282)*(1-N(K282)),2))</f>
        <v/>
      </c>
      <c r="AI282" s="70" t="str">
        <f>IF(OR(J282="",N(T282)&lt;=0,V282="Oui"),"",ROUND(N(T282)*J282*(1-N(K282)),2))</f>
        <v/>
      </c>
    </row>
    <row r="283">
      <c r="A283" s="63" t="n"/>
      <c r="B283" s="64" t="n"/>
      <c r="C283" s="65" t="n"/>
      <c r="D283" s="66" t="str">
        <f>IF(C283="","",IFERROR(INDEX(sup_name,MATCH($C283,sup_code,0))&amp;"","Fournisseur inconnu"))</f>
        <v/>
      </c>
      <c r="E283" s="63" t="n"/>
      <c r="F283" s="66" t="str">
        <f>IF(E283="","",IFERROR(INDEX(art_des,MATCH($E283,art_ref,0))&amp;"","Article inconnu"))</f>
        <v/>
      </c>
      <c r="G283" s="67" t="str">
        <f>IF(E283="","",IFERROR(INDEX(art_unit,MATCH($E283,art_ref,0))&amp;"",""))</f>
        <v/>
      </c>
      <c r="H283" s="68" t="n"/>
      <c r="I283" s="69" t="n"/>
      <c r="J283" s="70" t="str">
        <f>IF(E283="","",IF(ISNUMBER(I283),I283,IFERROR(IF(ISNUMBER(INDEX(art_price,MATCH($E283,art_ref,0))),INDEX(art_price,MATCH($E283,art_ref,0)),""),"")))</f>
        <v/>
      </c>
      <c r="K283" s="71" t="n"/>
      <c r="L283" s="72" t="n"/>
      <c r="M283" s="72" t="str">
        <f>IF(E283="","",IF(L283&lt;&gt;"",L283,IFERROR(IF(ISNUMBER(INDEX(art_tva,MATCH($E283,art_ref,0))),INDEX(art_tva,MATCH($E283,art_ref,0)),""),"")))</f>
        <v/>
      </c>
      <c r="N283" s="70" t="str">
        <f>IF(OR(E283="",J283=""),"",ROUND(N(H283)*J283*(1-N(K283)),2))</f>
        <v/>
      </c>
      <c r="O283" s="70" t="str">
        <f>IF(OR(N283="",NOT(ISNUMBER(M283))),"",ROUND(N283*M283,2))</f>
        <v/>
      </c>
      <c r="P283" s="70" t="str">
        <f>IF(N283="","",N283+N(O283))</f>
        <v/>
      </c>
      <c r="Q283" s="64" t="n"/>
      <c r="R283" s="73" t="str">
        <f>IF(N(Q283)&gt;0,Q283,IF(OR(N(B283)=0,ISNA(MATCH($C283,sup_code,0))),"",IF(ISNUMBER(INDEX(sup_delay,MATCH($C283,sup_code,0))),B283+INDEX(sup_delay,MATCH($C283,sup_code,0)),"")))</f>
        <v/>
      </c>
      <c r="S283" s="64" t="n"/>
      <c r="T283" s="68" t="n"/>
      <c r="U283" s="64" t="n"/>
      <c r="V283" s="65" t="n"/>
      <c r="W283" s="74" t="str">
        <f>IF(AND(A283="",E283=""),"",IF(V283="Oui",0,MAX(0,ROUND(N(H283)-N(T283),6))))</f>
        <v/>
      </c>
      <c r="X283" s="67" t="str">
        <f>IF(AND(A283="",E283=""),"",IF(V283="Oui","Annulé",IF(AND(N(H283)&gt;0,N(T283)&gt;=N(H283)),"Reçu",IF(N(S283)=0,"Brouillon",IF(AND(ISNUMBER(R283),R283&lt;p_today),"En retard",IF(N(T283)&gt;0,"Partiel","Envoyé"))))))</f>
        <v/>
      </c>
      <c r="Y283" s="75" t="str">
        <f>IF(X283="En retard",p_today-R283,IF(AND(X283="Reçu",ISNUMBER(R283)),MAX(0,N(U283)-R283),""))</f>
        <v/>
      </c>
      <c r="Z283" s="67" t="str">
        <f>IF(AND(A283="",E283=""),"",IF(A283="","N° de bon manquant",IF(N(B283)=0,"Date de commande manquante",IF(C283="","Fournisseur manquant",IF(ISNA(MATCH($C283,sup_code,0)),"Fournisseur inconnu",IF(E283="","Article manquant",IF(ISNA(MATCH($E283,art_ref,0)),"Article inconnu",IF(N(H283)&lt;=0,"Quantité invalide",IF(J283="","Prix manquant",IF(OR(N(K283)&lt;0,N(K283)&gt;=1),"Remise invalide",IF(M283="","TVA manquante",IF(ISNA(MATCH(M283,p_tva,0)),"Taux de TVA inconnu",IF(COUNTIFS(po_num,A283,po_sup,"&lt;&gt;"&amp;C283)&gt;0,"Fournisseur différent sur ce bon",IF(COUNTIFS(po_num,A283,po_date,"&lt;&gt;"&amp;B283)&gt;0,"Date différente sur ce bon",IF(COUNTIF(po_num,A283)&gt;25,"Plus de 25 lignes sur ce bon",IF(R283="","Date de livraison manquante",IF(R283&lt;B283,"Livraison avant la commande",IF(AND(N(T283)&gt;0,N(S283)=0),"Date d'envoi manquante",IF(N(T283)&gt;N(H283),"Reçu plus que commandé",IF(AND(N(T283)&gt;0,N(U283)=0),"Date de réception manquante",IF(AND(N(U283)&gt;0,U283&lt;B283),"Réception avant la commande","OK")))))))))))))))))))))</f>
        <v/>
      </c>
      <c r="AA283" s="66" t="str">
        <f>IF(AND(X283="Reçu",ISNUMBER(R283)),IF(N(U283)&lt;=R283,1,0),"")</f>
        <v/>
      </c>
      <c r="AB283" s="76" t="str">
        <f>IF(OR(X283="Envoyé",X283="Partiel",X283="En retard"),IF(ISNUMBER(R283),R283,100000)+ROW()/100000,"")</f>
        <v/>
      </c>
      <c r="AC283" s="66" t="str">
        <f>IF(A283="","",IF(COUNTIF($A$6:A283,A283)=1,1,""))</f>
        <v/>
      </c>
      <c r="AD283" s="66" t="str">
        <f>IF(AC283=1,COUNT($AC$6:AC283),"")</f>
        <v/>
      </c>
      <c r="AE283" s="66" t="str">
        <f>IFERROR(INDEX(po_num,MATCH(278,po_seq,0))&amp;"","")</f>
        <v/>
      </c>
      <c r="AF283" s="66" t="str">
        <f>IF(OR(A283="",p_po=""),"",IF(A283&amp;""=p_po,COUNTIF($A$6:A283,A283),""))</f>
        <v/>
      </c>
      <c r="AG283" s="66" t="str">
        <f>IF(OR(AB283="",A283=""),"",IF(COUNTIFS($A$6:A283,A283,$AB$6:AB283,"&gt;0")=1,1,""))</f>
        <v/>
      </c>
      <c r="AH283" s="70" t="str">
        <f>IF(AB283="","",ROUND(N(W283)*N(J283)*(1-N(K283)),2))</f>
        <v/>
      </c>
      <c r="AI283" s="70" t="str">
        <f>IF(OR(J283="",N(T283)&lt;=0,V283="Oui"),"",ROUND(N(T283)*J283*(1-N(K283)),2))</f>
        <v/>
      </c>
    </row>
    <row r="284">
      <c r="A284" s="63" t="n"/>
      <c r="B284" s="64" t="n"/>
      <c r="C284" s="65" t="n"/>
      <c r="D284" s="66" t="str">
        <f>IF(C284="","",IFERROR(INDEX(sup_name,MATCH($C284,sup_code,0))&amp;"","Fournisseur inconnu"))</f>
        <v/>
      </c>
      <c r="E284" s="63" t="n"/>
      <c r="F284" s="66" t="str">
        <f>IF(E284="","",IFERROR(INDEX(art_des,MATCH($E284,art_ref,0))&amp;"","Article inconnu"))</f>
        <v/>
      </c>
      <c r="G284" s="67" t="str">
        <f>IF(E284="","",IFERROR(INDEX(art_unit,MATCH($E284,art_ref,0))&amp;"",""))</f>
        <v/>
      </c>
      <c r="H284" s="68" t="n"/>
      <c r="I284" s="69" t="n"/>
      <c r="J284" s="70" t="str">
        <f>IF(E284="","",IF(ISNUMBER(I284),I284,IFERROR(IF(ISNUMBER(INDEX(art_price,MATCH($E284,art_ref,0))),INDEX(art_price,MATCH($E284,art_ref,0)),""),"")))</f>
        <v/>
      </c>
      <c r="K284" s="71" t="n"/>
      <c r="L284" s="72" t="n"/>
      <c r="M284" s="72" t="str">
        <f>IF(E284="","",IF(L284&lt;&gt;"",L284,IFERROR(IF(ISNUMBER(INDEX(art_tva,MATCH($E284,art_ref,0))),INDEX(art_tva,MATCH($E284,art_ref,0)),""),"")))</f>
        <v/>
      </c>
      <c r="N284" s="70" t="str">
        <f>IF(OR(E284="",J284=""),"",ROUND(N(H284)*J284*(1-N(K284)),2))</f>
        <v/>
      </c>
      <c r="O284" s="70" t="str">
        <f>IF(OR(N284="",NOT(ISNUMBER(M284))),"",ROUND(N284*M284,2))</f>
        <v/>
      </c>
      <c r="P284" s="70" t="str">
        <f>IF(N284="","",N284+N(O284))</f>
        <v/>
      </c>
      <c r="Q284" s="64" t="n"/>
      <c r="R284" s="73" t="str">
        <f>IF(N(Q284)&gt;0,Q284,IF(OR(N(B284)=0,ISNA(MATCH($C284,sup_code,0))),"",IF(ISNUMBER(INDEX(sup_delay,MATCH($C284,sup_code,0))),B284+INDEX(sup_delay,MATCH($C284,sup_code,0)),"")))</f>
        <v/>
      </c>
      <c r="S284" s="64" t="n"/>
      <c r="T284" s="68" t="n"/>
      <c r="U284" s="64" t="n"/>
      <c r="V284" s="65" t="n"/>
      <c r="W284" s="74" t="str">
        <f>IF(AND(A284="",E284=""),"",IF(V284="Oui",0,MAX(0,ROUND(N(H284)-N(T284),6))))</f>
        <v/>
      </c>
      <c r="X284" s="67" t="str">
        <f>IF(AND(A284="",E284=""),"",IF(V284="Oui","Annulé",IF(AND(N(H284)&gt;0,N(T284)&gt;=N(H284)),"Reçu",IF(N(S284)=0,"Brouillon",IF(AND(ISNUMBER(R284),R284&lt;p_today),"En retard",IF(N(T284)&gt;0,"Partiel","Envoyé"))))))</f>
        <v/>
      </c>
      <c r="Y284" s="75" t="str">
        <f>IF(X284="En retard",p_today-R284,IF(AND(X284="Reçu",ISNUMBER(R284)),MAX(0,N(U284)-R284),""))</f>
        <v/>
      </c>
      <c r="Z284" s="67" t="str">
        <f>IF(AND(A284="",E284=""),"",IF(A284="","N° de bon manquant",IF(N(B284)=0,"Date de commande manquante",IF(C284="","Fournisseur manquant",IF(ISNA(MATCH($C284,sup_code,0)),"Fournisseur inconnu",IF(E284="","Article manquant",IF(ISNA(MATCH($E284,art_ref,0)),"Article inconnu",IF(N(H284)&lt;=0,"Quantité invalide",IF(J284="","Prix manquant",IF(OR(N(K284)&lt;0,N(K284)&gt;=1),"Remise invalide",IF(M284="","TVA manquante",IF(ISNA(MATCH(M284,p_tva,0)),"Taux de TVA inconnu",IF(COUNTIFS(po_num,A284,po_sup,"&lt;&gt;"&amp;C284)&gt;0,"Fournisseur différent sur ce bon",IF(COUNTIFS(po_num,A284,po_date,"&lt;&gt;"&amp;B284)&gt;0,"Date différente sur ce bon",IF(COUNTIF(po_num,A284)&gt;25,"Plus de 25 lignes sur ce bon",IF(R284="","Date de livraison manquante",IF(R284&lt;B284,"Livraison avant la commande",IF(AND(N(T284)&gt;0,N(S284)=0),"Date d'envoi manquante",IF(N(T284)&gt;N(H284),"Reçu plus que commandé",IF(AND(N(T284)&gt;0,N(U284)=0),"Date de réception manquante",IF(AND(N(U284)&gt;0,U284&lt;B284),"Réception avant la commande","OK")))))))))))))))))))))</f>
        <v/>
      </c>
      <c r="AA284" s="66" t="str">
        <f>IF(AND(X284="Reçu",ISNUMBER(R284)),IF(N(U284)&lt;=R284,1,0),"")</f>
        <v/>
      </c>
      <c r="AB284" s="76" t="str">
        <f>IF(OR(X284="Envoyé",X284="Partiel",X284="En retard"),IF(ISNUMBER(R284),R284,100000)+ROW()/100000,"")</f>
        <v/>
      </c>
      <c r="AC284" s="66" t="str">
        <f>IF(A284="","",IF(COUNTIF($A$6:A284,A284)=1,1,""))</f>
        <v/>
      </c>
      <c r="AD284" s="66" t="str">
        <f>IF(AC284=1,COUNT($AC$6:AC284),"")</f>
        <v/>
      </c>
      <c r="AE284" s="66" t="str">
        <f>IFERROR(INDEX(po_num,MATCH(279,po_seq,0))&amp;"","")</f>
        <v/>
      </c>
      <c r="AF284" s="66" t="str">
        <f>IF(OR(A284="",p_po=""),"",IF(A284&amp;""=p_po,COUNTIF($A$6:A284,A284),""))</f>
        <v/>
      </c>
      <c r="AG284" s="66" t="str">
        <f>IF(OR(AB284="",A284=""),"",IF(COUNTIFS($A$6:A284,A284,$AB$6:AB284,"&gt;0")=1,1,""))</f>
        <v/>
      </c>
      <c r="AH284" s="70" t="str">
        <f>IF(AB284="","",ROUND(N(W284)*N(J284)*(1-N(K284)),2))</f>
        <v/>
      </c>
      <c r="AI284" s="70" t="str">
        <f>IF(OR(J284="",N(T284)&lt;=0,V284="Oui"),"",ROUND(N(T284)*J284*(1-N(K284)),2))</f>
        <v/>
      </c>
    </row>
    <row r="285">
      <c r="A285" s="63" t="n"/>
      <c r="B285" s="64" t="n"/>
      <c r="C285" s="65" t="n"/>
      <c r="D285" s="66" t="str">
        <f>IF(C285="","",IFERROR(INDEX(sup_name,MATCH($C285,sup_code,0))&amp;"","Fournisseur inconnu"))</f>
        <v/>
      </c>
      <c r="E285" s="63" t="n"/>
      <c r="F285" s="66" t="str">
        <f>IF(E285="","",IFERROR(INDEX(art_des,MATCH($E285,art_ref,0))&amp;"","Article inconnu"))</f>
        <v/>
      </c>
      <c r="G285" s="67" t="str">
        <f>IF(E285="","",IFERROR(INDEX(art_unit,MATCH($E285,art_ref,0))&amp;"",""))</f>
        <v/>
      </c>
      <c r="H285" s="68" t="n"/>
      <c r="I285" s="69" t="n"/>
      <c r="J285" s="70" t="str">
        <f>IF(E285="","",IF(ISNUMBER(I285),I285,IFERROR(IF(ISNUMBER(INDEX(art_price,MATCH($E285,art_ref,0))),INDEX(art_price,MATCH($E285,art_ref,0)),""),"")))</f>
        <v/>
      </c>
      <c r="K285" s="71" t="n"/>
      <c r="L285" s="72" t="n"/>
      <c r="M285" s="72" t="str">
        <f>IF(E285="","",IF(L285&lt;&gt;"",L285,IFERROR(IF(ISNUMBER(INDEX(art_tva,MATCH($E285,art_ref,0))),INDEX(art_tva,MATCH($E285,art_ref,0)),""),"")))</f>
        <v/>
      </c>
      <c r="N285" s="70" t="str">
        <f>IF(OR(E285="",J285=""),"",ROUND(N(H285)*J285*(1-N(K285)),2))</f>
        <v/>
      </c>
      <c r="O285" s="70" t="str">
        <f>IF(OR(N285="",NOT(ISNUMBER(M285))),"",ROUND(N285*M285,2))</f>
        <v/>
      </c>
      <c r="P285" s="70" t="str">
        <f>IF(N285="","",N285+N(O285))</f>
        <v/>
      </c>
      <c r="Q285" s="64" t="n"/>
      <c r="R285" s="73" t="str">
        <f>IF(N(Q285)&gt;0,Q285,IF(OR(N(B285)=0,ISNA(MATCH($C285,sup_code,0))),"",IF(ISNUMBER(INDEX(sup_delay,MATCH($C285,sup_code,0))),B285+INDEX(sup_delay,MATCH($C285,sup_code,0)),"")))</f>
        <v/>
      </c>
      <c r="S285" s="64" t="n"/>
      <c r="T285" s="68" t="n"/>
      <c r="U285" s="64" t="n"/>
      <c r="V285" s="65" t="n"/>
      <c r="W285" s="74" t="str">
        <f>IF(AND(A285="",E285=""),"",IF(V285="Oui",0,MAX(0,ROUND(N(H285)-N(T285),6))))</f>
        <v/>
      </c>
      <c r="X285" s="67" t="str">
        <f>IF(AND(A285="",E285=""),"",IF(V285="Oui","Annulé",IF(AND(N(H285)&gt;0,N(T285)&gt;=N(H285)),"Reçu",IF(N(S285)=0,"Brouillon",IF(AND(ISNUMBER(R285),R285&lt;p_today),"En retard",IF(N(T285)&gt;0,"Partiel","Envoyé"))))))</f>
        <v/>
      </c>
      <c r="Y285" s="75" t="str">
        <f>IF(X285="En retard",p_today-R285,IF(AND(X285="Reçu",ISNUMBER(R285)),MAX(0,N(U285)-R285),""))</f>
        <v/>
      </c>
      <c r="Z285" s="67" t="str">
        <f>IF(AND(A285="",E285=""),"",IF(A285="","N° de bon manquant",IF(N(B285)=0,"Date de commande manquante",IF(C285="","Fournisseur manquant",IF(ISNA(MATCH($C285,sup_code,0)),"Fournisseur inconnu",IF(E285="","Article manquant",IF(ISNA(MATCH($E285,art_ref,0)),"Article inconnu",IF(N(H285)&lt;=0,"Quantité invalide",IF(J285="","Prix manquant",IF(OR(N(K285)&lt;0,N(K285)&gt;=1),"Remise invalide",IF(M285="","TVA manquante",IF(ISNA(MATCH(M285,p_tva,0)),"Taux de TVA inconnu",IF(COUNTIFS(po_num,A285,po_sup,"&lt;&gt;"&amp;C285)&gt;0,"Fournisseur différent sur ce bon",IF(COUNTIFS(po_num,A285,po_date,"&lt;&gt;"&amp;B285)&gt;0,"Date différente sur ce bon",IF(COUNTIF(po_num,A285)&gt;25,"Plus de 25 lignes sur ce bon",IF(R285="","Date de livraison manquante",IF(R285&lt;B285,"Livraison avant la commande",IF(AND(N(T285)&gt;0,N(S285)=0),"Date d'envoi manquante",IF(N(T285)&gt;N(H285),"Reçu plus que commandé",IF(AND(N(T285)&gt;0,N(U285)=0),"Date de réception manquante",IF(AND(N(U285)&gt;0,U285&lt;B285),"Réception avant la commande","OK")))))))))))))))))))))</f>
        <v/>
      </c>
      <c r="AA285" s="66" t="str">
        <f>IF(AND(X285="Reçu",ISNUMBER(R285)),IF(N(U285)&lt;=R285,1,0),"")</f>
        <v/>
      </c>
      <c r="AB285" s="76" t="str">
        <f>IF(OR(X285="Envoyé",X285="Partiel",X285="En retard"),IF(ISNUMBER(R285),R285,100000)+ROW()/100000,"")</f>
        <v/>
      </c>
      <c r="AC285" s="66" t="str">
        <f>IF(A285="","",IF(COUNTIF($A$6:A285,A285)=1,1,""))</f>
        <v/>
      </c>
      <c r="AD285" s="66" t="str">
        <f>IF(AC285=1,COUNT($AC$6:AC285),"")</f>
        <v/>
      </c>
      <c r="AE285" s="66" t="str">
        <f>IFERROR(INDEX(po_num,MATCH(280,po_seq,0))&amp;"","")</f>
        <v/>
      </c>
      <c r="AF285" s="66" t="str">
        <f>IF(OR(A285="",p_po=""),"",IF(A285&amp;""=p_po,COUNTIF($A$6:A285,A285),""))</f>
        <v/>
      </c>
      <c r="AG285" s="66" t="str">
        <f>IF(OR(AB285="",A285=""),"",IF(COUNTIFS($A$6:A285,A285,$AB$6:AB285,"&gt;0")=1,1,""))</f>
        <v/>
      </c>
      <c r="AH285" s="70" t="str">
        <f>IF(AB285="","",ROUND(N(W285)*N(J285)*(1-N(K285)),2))</f>
        <v/>
      </c>
      <c r="AI285" s="70" t="str">
        <f>IF(OR(J285="",N(T285)&lt;=0,V285="Oui"),"",ROUND(N(T285)*J285*(1-N(K285)),2))</f>
        <v/>
      </c>
    </row>
    <row r="286">
      <c r="A286" s="63" t="n"/>
      <c r="B286" s="64" t="n"/>
      <c r="C286" s="65" t="n"/>
      <c r="D286" s="66" t="str">
        <f>IF(C286="","",IFERROR(INDEX(sup_name,MATCH($C286,sup_code,0))&amp;"","Fournisseur inconnu"))</f>
        <v/>
      </c>
      <c r="E286" s="63" t="n"/>
      <c r="F286" s="66" t="str">
        <f>IF(E286="","",IFERROR(INDEX(art_des,MATCH($E286,art_ref,0))&amp;"","Article inconnu"))</f>
        <v/>
      </c>
      <c r="G286" s="67" t="str">
        <f>IF(E286="","",IFERROR(INDEX(art_unit,MATCH($E286,art_ref,0))&amp;"",""))</f>
        <v/>
      </c>
      <c r="H286" s="68" t="n"/>
      <c r="I286" s="69" t="n"/>
      <c r="J286" s="70" t="str">
        <f>IF(E286="","",IF(ISNUMBER(I286),I286,IFERROR(IF(ISNUMBER(INDEX(art_price,MATCH($E286,art_ref,0))),INDEX(art_price,MATCH($E286,art_ref,0)),""),"")))</f>
        <v/>
      </c>
      <c r="K286" s="71" t="n"/>
      <c r="L286" s="72" t="n"/>
      <c r="M286" s="72" t="str">
        <f>IF(E286="","",IF(L286&lt;&gt;"",L286,IFERROR(IF(ISNUMBER(INDEX(art_tva,MATCH($E286,art_ref,0))),INDEX(art_tva,MATCH($E286,art_ref,0)),""),"")))</f>
        <v/>
      </c>
      <c r="N286" s="70" t="str">
        <f>IF(OR(E286="",J286=""),"",ROUND(N(H286)*J286*(1-N(K286)),2))</f>
        <v/>
      </c>
      <c r="O286" s="70" t="str">
        <f>IF(OR(N286="",NOT(ISNUMBER(M286))),"",ROUND(N286*M286,2))</f>
        <v/>
      </c>
      <c r="P286" s="70" t="str">
        <f>IF(N286="","",N286+N(O286))</f>
        <v/>
      </c>
      <c r="Q286" s="64" t="n"/>
      <c r="R286" s="73" t="str">
        <f>IF(N(Q286)&gt;0,Q286,IF(OR(N(B286)=0,ISNA(MATCH($C286,sup_code,0))),"",IF(ISNUMBER(INDEX(sup_delay,MATCH($C286,sup_code,0))),B286+INDEX(sup_delay,MATCH($C286,sup_code,0)),"")))</f>
        <v/>
      </c>
      <c r="S286" s="64" t="n"/>
      <c r="T286" s="68" t="n"/>
      <c r="U286" s="64" t="n"/>
      <c r="V286" s="65" t="n"/>
      <c r="W286" s="74" t="str">
        <f>IF(AND(A286="",E286=""),"",IF(V286="Oui",0,MAX(0,ROUND(N(H286)-N(T286),6))))</f>
        <v/>
      </c>
      <c r="X286" s="67" t="str">
        <f>IF(AND(A286="",E286=""),"",IF(V286="Oui","Annulé",IF(AND(N(H286)&gt;0,N(T286)&gt;=N(H286)),"Reçu",IF(N(S286)=0,"Brouillon",IF(AND(ISNUMBER(R286),R286&lt;p_today),"En retard",IF(N(T286)&gt;0,"Partiel","Envoyé"))))))</f>
        <v/>
      </c>
      <c r="Y286" s="75" t="str">
        <f>IF(X286="En retard",p_today-R286,IF(AND(X286="Reçu",ISNUMBER(R286)),MAX(0,N(U286)-R286),""))</f>
        <v/>
      </c>
      <c r="Z286" s="67" t="str">
        <f>IF(AND(A286="",E286=""),"",IF(A286="","N° de bon manquant",IF(N(B286)=0,"Date de commande manquante",IF(C286="","Fournisseur manquant",IF(ISNA(MATCH($C286,sup_code,0)),"Fournisseur inconnu",IF(E286="","Article manquant",IF(ISNA(MATCH($E286,art_ref,0)),"Article inconnu",IF(N(H286)&lt;=0,"Quantité invalide",IF(J286="","Prix manquant",IF(OR(N(K286)&lt;0,N(K286)&gt;=1),"Remise invalide",IF(M286="","TVA manquante",IF(ISNA(MATCH(M286,p_tva,0)),"Taux de TVA inconnu",IF(COUNTIFS(po_num,A286,po_sup,"&lt;&gt;"&amp;C286)&gt;0,"Fournisseur différent sur ce bon",IF(COUNTIFS(po_num,A286,po_date,"&lt;&gt;"&amp;B286)&gt;0,"Date différente sur ce bon",IF(COUNTIF(po_num,A286)&gt;25,"Plus de 25 lignes sur ce bon",IF(R286="","Date de livraison manquante",IF(R286&lt;B286,"Livraison avant la commande",IF(AND(N(T286)&gt;0,N(S286)=0),"Date d'envoi manquante",IF(N(T286)&gt;N(H286),"Reçu plus que commandé",IF(AND(N(T286)&gt;0,N(U286)=0),"Date de réception manquante",IF(AND(N(U286)&gt;0,U286&lt;B286),"Réception avant la commande","OK")))))))))))))))))))))</f>
        <v/>
      </c>
      <c r="AA286" s="66" t="str">
        <f>IF(AND(X286="Reçu",ISNUMBER(R286)),IF(N(U286)&lt;=R286,1,0),"")</f>
        <v/>
      </c>
      <c r="AB286" s="76" t="str">
        <f>IF(OR(X286="Envoyé",X286="Partiel",X286="En retard"),IF(ISNUMBER(R286),R286,100000)+ROW()/100000,"")</f>
        <v/>
      </c>
      <c r="AC286" s="66" t="str">
        <f>IF(A286="","",IF(COUNTIF($A$6:A286,A286)=1,1,""))</f>
        <v/>
      </c>
      <c r="AD286" s="66" t="str">
        <f>IF(AC286=1,COUNT($AC$6:AC286),"")</f>
        <v/>
      </c>
      <c r="AE286" s="66" t="str">
        <f>IFERROR(INDEX(po_num,MATCH(281,po_seq,0))&amp;"","")</f>
        <v/>
      </c>
      <c r="AF286" s="66" t="str">
        <f>IF(OR(A286="",p_po=""),"",IF(A286&amp;""=p_po,COUNTIF($A$6:A286,A286),""))</f>
        <v/>
      </c>
      <c r="AG286" s="66" t="str">
        <f>IF(OR(AB286="",A286=""),"",IF(COUNTIFS($A$6:A286,A286,$AB$6:AB286,"&gt;0")=1,1,""))</f>
        <v/>
      </c>
      <c r="AH286" s="70" t="str">
        <f>IF(AB286="","",ROUND(N(W286)*N(J286)*(1-N(K286)),2))</f>
        <v/>
      </c>
      <c r="AI286" s="70" t="str">
        <f>IF(OR(J286="",N(T286)&lt;=0,V286="Oui"),"",ROUND(N(T286)*J286*(1-N(K286)),2))</f>
        <v/>
      </c>
    </row>
    <row r="287">
      <c r="A287" s="63" t="n"/>
      <c r="B287" s="64" t="n"/>
      <c r="C287" s="65" t="n"/>
      <c r="D287" s="66" t="str">
        <f>IF(C287="","",IFERROR(INDEX(sup_name,MATCH($C287,sup_code,0))&amp;"","Fournisseur inconnu"))</f>
        <v/>
      </c>
      <c r="E287" s="63" t="n"/>
      <c r="F287" s="66" t="str">
        <f>IF(E287="","",IFERROR(INDEX(art_des,MATCH($E287,art_ref,0))&amp;"","Article inconnu"))</f>
        <v/>
      </c>
      <c r="G287" s="67" t="str">
        <f>IF(E287="","",IFERROR(INDEX(art_unit,MATCH($E287,art_ref,0))&amp;"",""))</f>
        <v/>
      </c>
      <c r="H287" s="68" t="n"/>
      <c r="I287" s="69" t="n"/>
      <c r="J287" s="70" t="str">
        <f>IF(E287="","",IF(ISNUMBER(I287),I287,IFERROR(IF(ISNUMBER(INDEX(art_price,MATCH($E287,art_ref,0))),INDEX(art_price,MATCH($E287,art_ref,0)),""),"")))</f>
        <v/>
      </c>
      <c r="K287" s="71" t="n"/>
      <c r="L287" s="72" t="n"/>
      <c r="M287" s="72" t="str">
        <f>IF(E287="","",IF(L287&lt;&gt;"",L287,IFERROR(IF(ISNUMBER(INDEX(art_tva,MATCH($E287,art_ref,0))),INDEX(art_tva,MATCH($E287,art_ref,0)),""),"")))</f>
        <v/>
      </c>
      <c r="N287" s="70" t="str">
        <f>IF(OR(E287="",J287=""),"",ROUND(N(H287)*J287*(1-N(K287)),2))</f>
        <v/>
      </c>
      <c r="O287" s="70" t="str">
        <f>IF(OR(N287="",NOT(ISNUMBER(M287))),"",ROUND(N287*M287,2))</f>
        <v/>
      </c>
      <c r="P287" s="70" t="str">
        <f>IF(N287="","",N287+N(O287))</f>
        <v/>
      </c>
      <c r="Q287" s="64" t="n"/>
      <c r="R287" s="73" t="str">
        <f>IF(N(Q287)&gt;0,Q287,IF(OR(N(B287)=0,ISNA(MATCH($C287,sup_code,0))),"",IF(ISNUMBER(INDEX(sup_delay,MATCH($C287,sup_code,0))),B287+INDEX(sup_delay,MATCH($C287,sup_code,0)),"")))</f>
        <v/>
      </c>
      <c r="S287" s="64" t="n"/>
      <c r="T287" s="68" t="n"/>
      <c r="U287" s="64" t="n"/>
      <c r="V287" s="65" t="n"/>
      <c r="W287" s="74" t="str">
        <f>IF(AND(A287="",E287=""),"",IF(V287="Oui",0,MAX(0,ROUND(N(H287)-N(T287),6))))</f>
        <v/>
      </c>
      <c r="X287" s="67" t="str">
        <f>IF(AND(A287="",E287=""),"",IF(V287="Oui","Annulé",IF(AND(N(H287)&gt;0,N(T287)&gt;=N(H287)),"Reçu",IF(N(S287)=0,"Brouillon",IF(AND(ISNUMBER(R287),R287&lt;p_today),"En retard",IF(N(T287)&gt;0,"Partiel","Envoyé"))))))</f>
        <v/>
      </c>
      <c r="Y287" s="75" t="str">
        <f>IF(X287="En retard",p_today-R287,IF(AND(X287="Reçu",ISNUMBER(R287)),MAX(0,N(U287)-R287),""))</f>
        <v/>
      </c>
      <c r="Z287" s="67" t="str">
        <f>IF(AND(A287="",E287=""),"",IF(A287="","N° de bon manquant",IF(N(B287)=0,"Date de commande manquante",IF(C287="","Fournisseur manquant",IF(ISNA(MATCH($C287,sup_code,0)),"Fournisseur inconnu",IF(E287="","Article manquant",IF(ISNA(MATCH($E287,art_ref,0)),"Article inconnu",IF(N(H287)&lt;=0,"Quantité invalide",IF(J287="","Prix manquant",IF(OR(N(K287)&lt;0,N(K287)&gt;=1),"Remise invalide",IF(M287="","TVA manquante",IF(ISNA(MATCH(M287,p_tva,0)),"Taux de TVA inconnu",IF(COUNTIFS(po_num,A287,po_sup,"&lt;&gt;"&amp;C287)&gt;0,"Fournisseur différent sur ce bon",IF(COUNTIFS(po_num,A287,po_date,"&lt;&gt;"&amp;B287)&gt;0,"Date différente sur ce bon",IF(COUNTIF(po_num,A287)&gt;25,"Plus de 25 lignes sur ce bon",IF(R287="","Date de livraison manquante",IF(R287&lt;B287,"Livraison avant la commande",IF(AND(N(T287)&gt;0,N(S287)=0),"Date d'envoi manquante",IF(N(T287)&gt;N(H287),"Reçu plus que commandé",IF(AND(N(T287)&gt;0,N(U287)=0),"Date de réception manquante",IF(AND(N(U287)&gt;0,U287&lt;B287),"Réception avant la commande","OK")))))))))))))))))))))</f>
        <v/>
      </c>
      <c r="AA287" s="66" t="str">
        <f>IF(AND(X287="Reçu",ISNUMBER(R287)),IF(N(U287)&lt;=R287,1,0),"")</f>
        <v/>
      </c>
      <c r="AB287" s="76" t="str">
        <f>IF(OR(X287="Envoyé",X287="Partiel",X287="En retard"),IF(ISNUMBER(R287),R287,100000)+ROW()/100000,"")</f>
        <v/>
      </c>
      <c r="AC287" s="66" t="str">
        <f>IF(A287="","",IF(COUNTIF($A$6:A287,A287)=1,1,""))</f>
        <v/>
      </c>
      <c r="AD287" s="66" t="str">
        <f>IF(AC287=1,COUNT($AC$6:AC287),"")</f>
        <v/>
      </c>
      <c r="AE287" s="66" t="str">
        <f>IFERROR(INDEX(po_num,MATCH(282,po_seq,0))&amp;"","")</f>
        <v/>
      </c>
      <c r="AF287" s="66" t="str">
        <f>IF(OR(A287="",p_po=""),"",IF(A287&amp;""=p_po,COUNTIF($A$6:A287,A287),""))</f>
        <v/>
      </c>
      <c r="AG287" s="66" t="str">
        <f>IF(OR(AB287="",A287=""),"",IF(COUNTIFS($A$6:A287,A287,$AB$6:AB287,"&gt;0")=1,1,""))</f>
        <v/>
      </c>
      <c r="AH287" s="70" t="str">
        <f>IF(AB287="","",ROUND(N(W287)*N(J287)*(1-N(K287)),2))</f>
        <v/>
      </c>
      <c r="AI287" s="70" t="str">
        <f>IF(OR(J287="",N(T287)&lt;=0,V287="Oui"),"",ROUND(N(T287)*J287*(1-N(K287)),2))</f>
        <v/>
      </c>
    </row>
    <row r="288">
      <c r="A288" s="63" t="n"/>
      <c r="B288" s="64" t="n"/>
      <c r="C288" s="65" t="n"/>
      <c r="D288" s="66" t="str">
        <f>IF(C288="","",IFERROR(INDEX(sup_name,MATCH($C288,sup_code,0))&amp;"","Fournisseur inconnu"))</f>
        <v/>
      </c>
      <c r="E288" s="63" t="n"/>
      <c r="F288" s="66" t="str">
        <f>IF(E288="","",IFERROR(INDEX(art_des,MATCH($E288,art_ref,0))&amp;"","Article inconnu"))</f>
        <v/>
      </c>
      <c r="G288" s="67" t="str">
        <f>IF(E288="","",IFERROR(INDEX(art_unit,MATCH($E288,art_ref,0))&amp;"",""))</f>
        <v/>
      </c>
      <c r="H288" s="68" t="n"/>
      <c r="I288" s="69" t="n"/>
      <c r="J288" s="70" t="str">
        <f>IF(E288="","",IF(ISNUMBER(I288),I288,IFERROR(IF(ISNUMBER(INDEX(art_price,MATCH($E288,art_ref,0))),INDEX(art_price,MATCH($E288,art_ref,0)),""),"")))</f>
        <v/>
      </c>
      <c r="K288" s="71" t="n"/>
      <c r="L288" s="72" t="n"/>
      <c r="M288" s="72" t="str">
        <f>IF(E288="","",IF(L288&lt;&gt;"",L288,IFERROR(IF(ISNUMBER(INDEX(art_tva,MATCH($E288,art_ref,0))),INDEX(art_tva,MATCH($E288,art_ref,0)),""),"")))</f>
        <v/>
      </c>
      <c r="N288" s="70" t="str">
        <f>IF(OR(E288="",J288=""),"",ROUND(N(H288)*J288*(1-N(K288)),2))</f>
        <v/>
      </c>
      <c r="O288" s="70" t="str">
        <f>IF(OR(N288="",NOT(ISNUMBER(M288))),"",ROUND(N288*M288,2))</f>
        <v/>
      </c>
      <c r="P288" s="70" t="str">
        <f>IF(N288="","",N288+N(O288))</f>
        <v/>
      </c>
      <c r="Q288" s="64" t="n"/>
      <c r="R288" s="73" t="str">
        <f>IF(N(Q288)&gt;0,Q288,IF(OR(N(B288)=0,ISNA(MATCH($C288,sup_code,0))),"",IF(ISNUMBER(INDEX(sup_delay,MATCH($C288,sup_code,0))),B288+INDEX(sup_delay,MATCH($C288,sup_code,0)),"")))</f>
        <v/>
      </c>
      <c r="S288" s="64" t="n"/>
      <c r="T288" s="68" t="n"/>
      <c r="U288" s="64" t="n"/>
      <c r="V288" s="65" t="n"/>
      <c r="W288" s="74" t="str">
        <f>IF(AND(A288="",E288=""),"",IF(V288="Oui",0,MAX(0,ROUND(N(H288)-N(T288),6))))</f>
        <v/>
      </c>
      <c r="X288" s="67" t="str">
        <f>IF(AND(A288="",E288=""),"",IF(V288="Oui","Annulé",IF(AND(N(H288)&gt;0,N(T288)&gt;=N(H288)),"Reçu",IF(N(S288)=0,"Brouillon",IF(AND(ISNUMBER(R288),R288&lt;p_today),"En retard",IF(N(T288)&gt;0,"Partiel","Envoyé"))))))</f>
        <v/>
      </c>
      <c r="Y288" s="75" t="str">
        <f>IF(X288="En retard",p_today-R288,IF(AND(X288="Reçu",ISNUMBER(R288)),MAX(0,N(U288)-R288),""))</f>
        <v/>
      </c>
      <c r="Z288" s="67" t="str">
        <f>IF(AND(A288="",E288=""),"",IF(A288="","N° de bon manquant",IF(N(B288)=0,"Date de commande manquante",IF(C288="","Fournisseur manquant",IF(ISNA(MATCH($C288,sup_code,0)),"Fournisseur inconnu",IF(E288="","Article manquant",IF(ISNA(MATCH($E288,art_ref,0)),"Article inconnu",IF(N(H288)&lt;=0,"Quantité invalide",IF(J288="","Prix manquant",IF(OR(N(K288)&lt;0,N(K288)&gt;=1),"Remise invalide",IF(M288="","TVA manquante",IF(ISNA(MATCH(M288,p_tva,0)),"Taux de TVA inconnu",IF(COUNTIFS(po_num,A288,po_sup,"&lt;&gt;"&amp;C288)&gt;0,"Fournisseur différent sur ce bon",IF(COUNTIFS(po_num,A288,po_date,"&lt;&gt;"&amp;B288)&gt;0,"Date différente sur ce bon",IF(COUNTIF(po_num,A288)&gt;25,"Plus de 25 lignes sur ce bon",IF(R288="","Date de livraison manquante",IF(R288&lt;B288,"Livraison avant la commande",IF(AND(N(T288)&gt;0,N(S288)=0),"Date d'envoi manquante",IF(N(T288)&gt;N(H288),"Reçu plus que commandé",IF(AND(N(T288)&gt;0,N(U288)=0),"Date de réception manquante",IF(AND(N(U288)&gt;0,U288&lt;B288),"Réception avant la commande","OK")))))))))))))))))))))</f>
        <v/>
      </c>
      <c r="AA288" s="66" t="str">
        <f>IF(AND(X288="Reçu",ISNUMBER(R288)),IF(N(U288)&lt;=R288,1,0),"")</f>
        <v/>
      </c>
      <c r="AB288" s="76" t="str">
        <f>IF(OR(X288="Envoyé",X288="Partiel",X288="En retard"),IF(ISNUMBER(R288),R288,100000)+ROW()/100000,"")</f>
        <v/>
      </c>
      <c r="AC288" s="66" t="str">
        <f>IF(A288="","",IF(COUNTIF($A$6:A288,A288)=1,1,""))</f>
        <v/>
      </c>
      <c r="AD288" s="66" t="str">
        <f>IF(AC288=1,COUNT($AC$6:AC288),"")</f>
        <v/>
      </c>
      <c r="AE288" s="66" t="str">
        <f>IFERROR(INDEX(po_num,MATCH(283,po_seq,0))&amp;"","")</f>
        <v/>
      </c>
      <c r="AF288" s="66" t="str">
        <f>IF(OR(A288="",p_po=""),"",IF(A288&amp;""=p_po,COUNTIF($A$6:A288,A288),""))</f>
        <v/>
      </c>
      <c r="AG288" s="66" t="str">
        <f>IF(OR(AB288="",A288=""),"",IF(COUNTIFS($A$6:A288,A288,$AB$6:AB288,"&gt;0")=1,1,""))</f>
        <v/>
      </c>
      <c r="AH288" s="70" t="str">
        <f>IF(AB288="","",ROUND(N(W288)*N(J288)*(1-N(K288)),2))</f>
        <v/>
      </c>
      <c r="AI288" s="70" t="str">
        <f>IF(OR(J288="",N(T288)&lt;=0,V288="Oui"),"",ROUND(N(T288)*J288*(1-N(K288)),2))</f>
        <v/>
      </c>
    </row>
    <row r="289">
      <c r="A289" s="63" t="n"/>
      <c r="B289" s="64" t="n"/>
      <c r="C289" s="65" t="n"/>
      <c r="D289" s="66" t="str">
        <f>IF(C289="","",IFERROR(INDEX(sup_name,MATCH($C289,sup_code,0))&amp;"","Fournisseur inconnu"))</f>
        <v/>
      </c>
      <c r="E289" s="63" t="n"/>
      <c r="F289" s="66" t="str">
        <f>IF(E289="","",IFERROR(INDEX(art_des,MATCH($E289,art_ref,0))&amp;"","Article inconnu"))</f>
        <v/>
      </c>
      <c r="G289" s="67" t="str">
        <f>IF(E289="","",IFERROR(INDEX(art_unit,MATCH($E289,art_ref,0))&amp;"",""))</f>
        <v/>
      </c>
      <c r="H289" s="68" t="n"/>
      <c r="I289" s="69" t="n"/>
      <c r="J289" s="70" t="str">
        <f>IF(E289="","",IF(ISNUMBER(I289),I289,IFERROR(IF(ISNUMBER(INDEX(art_price,MATCH($E289,art_ref,0))),INDEX(art_price,MATCH($E289,art_ref,0)),""),"")))</f>
        <v/>
      </c>
      <c r="K289" s="71" t="n"/>
      <c r="L289" s="72" t="n"/>
      <c r="M289" s="72" t="str">
        <f>IF(E289="","",IF(L289&lt;&gt;"",L289,IFERROR(IF(ISNUMBER(INDEX(art_tva,MATCH($E289,art_ref,0))),INDEX(art_tva,MATCH($E289,art_ref,0)),""),"")))</f>
        <v/>
      </c>
      <c r="N289" s="70" t="str">
        <f>IF(OR(E289="",J289=""),"",ROUND(N(H289)*J289*(1-N(K289)),2))</f>
        <v/>
      </c>
      <c r="O289" s="70" t="str">
        <f>IF(OR(N289="",NOT(ISNUMBER(M289))),"",ROUND(N289*M289,2))</f>
        <v/>
      </c>
      <c r="P289" s="70" t="str">
        <f>IF(N289="","",N289+N(O289))</f>
        <v/>
      </c>
      <c r="Q289" s="64" t="n"/>
      <c r="R289" s="73" t="str">
        <f>IF(N(Q289)&gt;0,Q289,IF(OR(N(B289)=0,ISNA(MATCH($C289,sup_code,0))),"",IF(ISNUMBER(INDEX(sup_delay,MATCH($C289,sup_code,0))),B289+INDEX(sup_delay,MATCH($C289,sup_code,0)),"")))</f>
        <v/>
      </c>
      <c r="S289" s="64" t="n"/>
      <c r="T289" s="68" t="n"/>
      <c r="U289" s="64" t="n"/>
      <c r="V289" s="65" t="n"/>
      <c r="W289" s="74" t="str">
        <f>IF(AND(A289="",E289=""),"",IF(V289="Oui",0,MAX(0,ROUND(N(H289)-N(T289),6))))</f>
        <v/>
      </c>
      <c r="X289" s="67" t="str">
        <f>IF(AND(A289="",E289=""),"",IF(V289="Oui","Annulé",IF(AND(N(H289)&gt;0,N(T289)&gt;=N(H289)),"Reçu",IF(N(S289)=0,"Brouillon",IF(AND(ISNUMBER(R289),R289&lt;p_today),"En retard",IF(N(T289)&gt;0,"Partiel","Envoyé"))))))</f>
        <v/>
      </c>
      <c r="Y289" s="75" t="str">
        <f>IF(X289="En retard",p_today-R289,IF(AND(X289="Reçu",ISNUMBER(R289)),MAX(0,N(U289)-R289),""))</f>
        <v/>
      </c>
      <c r="Z289" s="67" t="str">
        <f>IF(AND(A289="",E289=""),"",IF(A289="","N° de bon manquant",IF(N(B289)=0,"Date de commande manquante",IF(C289="","Fournisseur manquant",IF(ISNA(MATCH($C289,sup_code,0)),"Fournisseur inconnu",IF(E289="","Article manquant",IF(ISNA(MATCH($E289,art_ref,0)),"Article inconnu",IF(N(H289)&lt;=0,"Quantité invalide",IF(J289="","Prix manquant",IF(OR(N(K289)&lt;0,N(K289)&gt;=1),"Remise invalide",IF(M289="","TVA manquante",IF(ISNA(MATCH(M289,p_tva,0)),"Taux de TVA inconnu",IF(COUNTIFS(po_num,A289,po_sup,"&lt;&gt;"&amp;C289)&gt;0,"Fournisseur différent sur ce bon",IF(COUNTIFS(po_num,A289,po_date,"&lt;&gt;"&amp;B289)&gt;0,"Date différente sur ce bon",IF(COUNTIF(po_num,A289)&gt;25,"Plus de 25 lignes sur ce bon",IF(R289="","Date de livraison manquante",IF(R289&lt;B289,"Livraison avant la commande",IF(AND(N(T289)&gt;0,N(S289)=0),"Date d'envoi manquante",IF(N(T289)&gt;N(H289),"Reçu plus que commandé",IF(AND(N(T289)&gt;0,N(U289)=0),"Date de réception manquante",IF(AND(N(U289)&gt;0,U289&lt;B289),"Réception avant la commande","OK")))))))))))))))))))))</f>
        <v/>
      </c>
      <c r="AA289" s="66" t="str">
        <f>IF(AND(X289="Reçu",ISNUMBER(R289)),IF(N(U289)&lt;=R289,1,0),"")</f>
        <v/>
      </c>
      <c r="AB289" s="76" t="str">
        <f>IF(OR(X289="Envoyé",X289="Partiel",X289="En retard"),IF(ISNUMBER(R289),R289,100000)+ROW()/100000,"")</f>
        <v/>
      </c>
      <c r="AC289" s="66" t="str">
        <f>IF(A289="","",IF(COUNTIF($A$6:A289,A289)=1,1,""))</f>
        <v/>
      </c>
      <c r="AD289" s="66" t="str">
        <f>IF(AC289=1,COUNT($AC$6:AC289),"")</f>
        <v/>
      </c>
      <c r="AE289" s="66" t="str">
        <f>IFERROR(INDEX(po_num,MATCH(284,po_seq,0))&amp;"","")</f>
        <v/>
      </c>
      <c r="AF289" s="66" t="str">
        <f>IF(OR(A289="",p_po=""),"",IF(A289&amp;""=p_po,COUNTIF($A$6:A289,A289),""))</f>
        <v/>
      </c>
      <c r="AG289" s="66" t="str">
        <f>IF(OR(AB289="",A289=""),"",IF(COUNTIFS($A$6:A289,A289,$AB$6:AB289,"&gt;0")=1,1,""))</f>
        <v/>
      </c>
      <c r="AH289" s="70" t="str">
        <f>IF(AB289="","",ROUND(N(W289)*N(J289)*(1-N(K289)),2))</f>
        <v/>
      </c>
      <c r="AI289" s="70" t="str">
        <f>IF(OR(J289="",N(T289)&lt;=0,V289="Oui"),"",ROUND(N(T289)*J289*(1-N(K289)),2))</f>
        <v/>
      </c>
    </row>
    <row r="290">
      <c r="A290" s="63" t="n"/>
      <c r="B290" s="64" t="n"/>
      <c r="C290" s="65" t="n"/>
      <c r="D290" s="66" t="str">
        <f>IF(C290="","",IFERROR(INDEX(sup_name,MATCH($C290,sup_code,0))&amp;"","Fournisseur inconnu"))</f>
        <v/>
      </c>
      <c r="E290" s="63" t="n"/>
      <c r="F290" s="66" t="str">
        <f>IF(E290="","",IFERROR(INDEX(art_des,MATCH($E290,art_ref,0))&amp;"","Article inconnu"))</f>
        <v/>
      </c>
      <c r="G290" s="67" t="str">
        <f>IF(E290="","",IFERROR(INDEX(art_unit,MATCH($E290,art_ref,0))&amp;"",""))</f>
        <v/>
      </c>
      <c r="H290" s="68" t="n"/>
      <c r="I290" s="69" t="n"/>
      <c r="J290" s="70" t="str">
        <f>IF(E290="","",IF(ISNUMBER(I290),I290,IFERROR(IF(ISNUMBER(INDEX(art_price,MATCH($E290,art_ref,0))),INDEX(art_price,MATCH($E290,art_ref,0)),""),"")))</f>
        <v/>
      </c>
      <c r="K290" s="71" t="n"/>
      <c r="L290" s="72" t="n"/>
      <c r="M290" s="72" t="str">
        <f>IF(E290="","",IF(L290&lt;&gt;"",L290,IFERROR(IF(ISNUMBER(INDEX(art_tva,MATCH($E290,art_ref,0))),INDEX(art_tva,MATCH($E290,art_ref,0)),""),"")))</f>
        <v/>
      </c>
      <c r="N290" s="70" t="str">
        <f>IF(OR(E290="",J290=""),"",ROUND(N(H290)*J290*(1-N(K290)),2))</f>
        <v/>
      </c>
      <c r="O290" s="70" t="str">
        <f>IF(OR(N290="",NOT(ISNUMBER(M290))),"",ROUND(N290*M290,2))</f>
        <v/>
      </c>
      <c r="P290" s="70" t="str">
        <f>IF(N290="","",N290+N(O290))</f>
        <v/>
      </c>
      <c r="Q290" s="64" t="n"/>
      <c r="R290" s="73" t="str">
        <f>IF(N(Q290)&gt;0,Q290,IF(OR(N(B290)=0,ISNA(MATCH($C290,sup_code,0))),"",IF(ISNUMBER(INDEX(sup_delay,MATCH($C290,sup_code,0))),B290+INDEX(sup_delay,MATCH($C290,sup_code,0)),"")))</f>
        <v/>
      </c>
      <c r="S290" s="64" t="n"/>
      <c r="T290" s="68" t="n"/>
      <c r="U290" s="64" t="n"/>
      <c r="V290" s="65" t="n"/>
      <c r="W290" s="74" t="str">
        <f>IF(AND(A290="",E290=""),"",IF(V290="Oui",0,MAX(0,ROUND(N(H290)-N(T290),6))))</f>
        <v/>
      </c>
      <c r="X290" s="67" t="str">
        <f>IF(AND(A290="",E290=""),"",IF(V290="Oui","Annulé",IF(AND(N(H290)&gt;0,N(T290)&gt;=N(H290)),"Reçu",IF(N(S290)=0,"Brouillon",IF(AND(ISNUMBER(R290),R290&lt;p_today),"En retard",IF(N(T290)&gt;0,"Partiel","Envoyé"))))))</f>
        <v/>
      </c>
      <c r="Y290" s="75" t="str">
        <f>IF(X290="En retard",p_today-R290,IF(AND(X290="Reçu",ISNUMBER(R290)),MAX(0,N(U290)-R290),""))</f>
        <v/>
      </c>
      <c r="Z290" s="67" t="str">
        <f>IF(AND(A290="",E290=""),"",IF(A290="","N° de bon manquant",IF(N(B290)=0,"Date de commande manquante",IF(C290="","Fournisseur manquant",IF(ISNA(MATCH($C290,sup_code,0)),"Fournisseur inconnu",IF(E290="","Article manquant",IF(ISNA(MATCH($E290,art_ref,0)),"Article inconnu",IF(N(H290)&lt;=0,"Quantité invalide",IF(J290="","Prix manquant",IF(OR(N(K290)&lt;0,N(K290)&gt;=1),"Remise invalide",IF(M290="","TVA manquante",IF(ISNA(MATCH(M290,p_tva,0)),"Taux de TVA inconnu",IF(COUNTIFS(po_num,A290,po_sup,"&lt;&gt;"&amp;C290)&gt;0,"Fournisseur différent sur ce bon",IF(COUNTIFS(po_num,A290,po_date,"&lt;&gt;"&amp;B290)&gt;0,"Date différente sur ce bon",IF(COUNTIF(po_num,A290)&gt;25,"Plus de 25 lignes sur ce bon",IF(R290="","Date de livraison manquante",IF(R290&lt;B290,"Livraison avant la commande",IF(AND(N(T290)&gt;0,N(S290)=0),"Date d'envoi manquante",IF(N(T290)&gt;N(H290),"Reçu plus que commandé",IF(AND(N(T290)&gt;0,N(U290)=0),"Date de réception manquante",IF(AND(N(U290)&gt;0,U290&lt;B290),"Réception avant la commande","OK")))))))))))))))))))))</f>
        <v/>
      </c>
      <c r="AA290" s="66" t="str">
        <f>IF(AND(X290="Reçu",ISNUMBER(R290)),IF(N(U290)&lt;=R290,1,0),"")</f>
        <v/>
      </c>
      <c r="AB290" s="76" t="str">
        <f>IF(OR(X290="Envoyé",X290="Partiel",X290="En retard"),IF(ISNUMBER(R290),R290,100000)+ROW()/100000,"")</f>
        <v/>
      </c>
      <c r="AC290" s="66" t="str">
        <f>IF(A290="","",IF(COUNTIF($A$6:A290,A290)=1,1,""))</f>
        <v/>
      </c>
      <c r="AD290" s="66" t="str">
        <f>IF(AC290=1,COUNT($AC$6:AC290),"")</f>
        <v/>
      </c>
      <c r="AE290" s="66" t="str">
        <f>IFERROR(INDEX(po_num,MATCH(285,po_seq,0))&amp;"","")</f>
        <v/>
      </c>
      <c r="AF290" s="66" t="str">
        <f>IF(OR(A290="",p_po=""),"",IF(A290&amp;""=p_po,COUNTIF($A$6:A290,A290),""))</f>
        <v/>
      </c>
      <c r="AG290" s="66" t="str">
        <f>IF(OR(AB290="",A290=""),"",IF(COUNTIFS($A$6:A290,A290,$AB$6:AB290,"&gt;0")=1,1,""))</f>
        <v/>
      </c>
      <c r="AH290" s="70" t="str">
        <f>IF(AB290="","",ROUND(N(W290)*N(J290)*(1-N(K290)),2))</f>
        <v/>
      </c>
      <c r="AI290" s="70" t="str">
        <f>IF(OR(J290="",N(T290)&lt;=0,V290="Oui"),"",ROUND(N(T290)*J290*(1-N(K290)),2))</f>
        <v/>
      </c>
    </row>
    <row r="291">
      <c r="A291" s="63" t="n"/>
      <c r="B291" s="64" t="n"/>
      <c r="C291" s="65" t="n"/>
      <c r="D291" s="66" t="str">
        <f>IF(C291="","",IFERROR(INDEX(sup_name,MATCH($C291,sup_code,0))&amp;"","Fournisseur inconnu"))</f>
        <v/>
      </c>
      <c r="E291" s="63" t="n"/>
      <c r="F291" s="66" t="str">
        <f>IF(E291="","",IFERROR(INDEX(art_des,MATCH($E291,art_ref,0))&amp;"","Article inconnu"))</f>
        <v/>
      </c>
      <c r="G291" s="67" t="str">
        <f>IF(E291="","",IFERROR(INDEX(art_unit,MATCH($E291,art_ref,0))&amp;"",""))</f>
        <v/>
      </c>
      <c r="H291" s="68" t="n"/>
      <c r="I291" s="69" t="n"/>
      <c r="J291" s="70" t="str">
        <f>IF(E291="","",IF(ISNUMBER(I291),I291,IFERROR(IF(ISNUMBER(INDEX(art_price,MATCH($E291,art_ref,0))),INDEX(art_price,MATCH($E291,art_ref,0)),""),"")))</f>
        <v/>
      </c>
      <c r="K291" s="71" t="n"/>
      <c r="L291" s="72" t="n"/>
      <c r="M291" s="72" t="str">
        <f>IF(E291="","",IF(L291&lt;&gt;"",L291,IFERROR(IF(ISNUMBER(INDEX(art_tva,MATCH($E291,art_ref,0))),INDEX(art_tva,MATCH($E291,art_ref,0)),""),"")))</f>
        <v/>
      </c>
      <c r="N291" s="70" t="str">
        <f>IF(OR(E291="",J291=""),"",ROUND(N(H291)*J291*(1-N(K291)),2))</f>
        <v/>
      </c>
      <c r="O291" s="70" t="str">
        <f>IF(OR(N291="",NOT(ISNUMBER(M291))),"",ROUND(N291*M291,2))</f>
        <v/>
      </c>
      <c r="P291" s="70" t="str">
        <f>IF(N291="","",N291+N(O291))</f>
        <v/>
      </c>
      <c r="Q291" s="64" t="n"/>
      <c r="R291" s="73" t="str">
        <f>IF(N(Q291)&gt;0,Q291,IF(OR(N(B291)=0,ISNA(MATCH($C291,sup_code,0))),"",IF(ISNUMBER(INDEX(sup_delay,MATCH($C291,sup_code,0))),B291+INDEX(sup_delay,MATCH($C291,sup_code,0)),"")))</f>
        <v/>
      </c>
      <c r="S291" s="64" t="n"/>
      <c r="T291" s="68" t="n"/>
      <c r="U291" s="64" t="n"/>
      <c r="V291" s="65" t="n"/>
      <c r="W291" s="74" t="str">
        <f>IF(AND(A291="",E291=""),"",IF(V291="Oui",0,MAX(0,ROUND(N(H291)-N(T291),6))))</f>
        <v/>
      </c>
      <c r="X291" s="67" t="str">
        <f>IF(AND(A291="",E291=""),"",IF(V291="Oui","Annulé",IF(AND(N(H291)&gt;0,N(T291)&gt;=N(H291)),"Reçu",IF(N(S291)=0,"Brouillon",IF(AND(ISNUMBER(R291),R291&lt;p_today),"En retard",IF(N(T291)&gt;0,"Partiel","Envoyé"))))))</f>
        <v/>
      </c>
      <c r="Y291" s="75" t="str">
        <f>IF(X291="En retard",p_today-R291,IF(AND(X291="Reçu",ISNUMBER(R291)),MAX(0,N(U291)-R291),""))</f>
        <v/>
      </c>
      <c r="Z291" s="67" t="str">
        <f>IF(AND(A291="",E291=""),"",IF(A291="","N° de bon manquant",IF(N(B291)=0,"Date de commande manquante",IF(C291="","Fournisseur manquant",IF(ISNA(MATCH($C291,sup_code,0)),"Fournisseur inconnu",IF(E291="","Article manquant",IF(ISNA(MATCH($E291,art_ref,0)),"Article inconnu",IF(N(H291)&lt;=0,"Quantité invalide",IF(J291="","Prix manquant",IF(OR(N(K291)&lt;0,N(K291)&gt;=1),"Remise invalide",IF(M291="","TVA manquante",IF(ISNA(MATCH(M291,p_tva,0)),"Taux de TVA inconnu",IF(COUNTIFS(po_num,A291,po_sup,"&lt;&gt;"&amp;C291)&gt;0,"Fournisseur différent sur ce bon",IF(COUNTIFS(po_num,A291,po_date,"&lt;&gt;"&amp;B291)&gt;0,"Date différente sur ce bon",IF(COUNTIF(po_num,A291)&gt;25,"Plus de 25 lignes sur ce bon",IF(R291="","Date de livraison manquante",IF(R291&lt;B291,"Livraison avant la commande",IF(AND(N(T291)&gt;0,N(S291)=0),"Date d'envoi manquante",IF(N(T291)&gt;N(H291),"Reçu plus que commandé",IF(AND(N(T291)&gt;0,N(U291)=0),"Date de réception manquante",IF(AND(N(U291)&gt;0,U291&lt;B291),"Réception avant la commande","OK")))))))))))))))))))))</f>
        <v/>
      </c>
      <c r="AA291" s="66" t="str">
        <f>IF(AND(X291="Reçu",ISNUMBER(R291)),IF(N(U291)&lt;=R291,1,0),"")</f>
        <v/>
      </c>
      <c r="AB291" s="76" t="str">
        <f>IF(OR(X291="Envoyé",X291="Partiel",X291="En retard"),IF(ISNUMBER(R291),R291,100000)+ROW()/100000,"")</f>
        <v/>
      </c>
      <c r="AC291" s="66" t="str">
        <f>IF(A291="","",IF(COUNTIF($A$6:A291,A291)=1,1,""))</f>
        <v/>
      </c>
      <c r="AD291" s="66" t="str">
        <f>IF(AC291=1,COUNT($AC$6:AC291),"")</f>
        <v/>
      </c>
      <c r="AE291" s="66" t="str">
        <f>IFERROR(INDEX(po_num,MATCH(286,po_seq,0))&amp;"","")</f>
        <v/>
      </c>
      <c r="AF291" s="66" t="str">
        <f>IF(OR(A291="",p_po=""),"",IF(A291&amp;""=p_po,COUNTIF($A$6:A291,A291),""))</f>
        <v/>
      </c>
      <c r="AG291" s="66" t="str">
        <f>IF(OR(AB291="",A291=""),"",IF(COUNTIFS($A$6:A291,A291,$AB$6:AB291,"&gt;0")=1,1,""))</f>
        <v/>
      </c>
      <c r="AH291" s="70" t="str">
        <f>IF(AB291="","",ROUND(N(W291)*N(J291)*(1-N(K291)),2))</f>
        <v/>
      </c>
      <c r="AI291" s="70" t="str">
        <f>IF(OR(J291="",N(T291)&lt;=0,V291="Oui"),"",ROUND(N(T291)*J291*(1-N(K291)),2))</f>
        <v/>
      </c>
    </row>
    <row r="292">
      <c r="A292" s="63" t="n"/>
      <c r="B292" s="64" t="n"/>
      <c r="C292" s="65" t="n"/>
      <c r="D292" s="66" t="str">
        <f>IF(C292="","",IFERROR(INDEX(sup_name,MATCH($C292,sup_code,0))&amp;"","Fournisseur inconnu"))</f>
        <v/>
      </c>
      <c r="E292" s="63" t="n"/>
      <c r="F292" s="66" t="str">
        <f>IF(E292="","",IFERROR(INDEX(art_des,MATCH($E292,art_ref,0))&amp;"","Article inconnu"))</f>
        <v/>
      </c>
      <c r="G292" s="67" t="str">
        <f>IF(E292="","",IFERROR(INDEX(art_unit,MATCH($E292,art_ref,0))&amp;"",""))</f>
        <v/>
      </c>
      <c r="H292" s="68" t="n"/>
      <c r="I292" s="69" t="n"/>
      <c r="J292" s="70" t="str">
        <f>IF(E292="","",IF(ISNUMBER(I292),I292,IFERROR(IF(ISNUMBER(INDEX(art_price,MATCH($E292,art_ref,0))),INDEX(art_price,MATCH($E292,art_ref,0)),""),"")))</f>
        <v/>
      </c>
      <c r="K292" s="71" t="n"/>
      <c r="L292" s="72" t="n"/>
      <c r="M292" s="72" t="str">
        <f>IF(E292="","",IF(L292&lt;&gt;"",L292,IFERROR(IF(ISNUMBER(INDEX(art_tva,MATCH($E292,art_ref,0))),INDEX(art_tva,MATCH($E292,art_ref,0)),""),"")))</f>
        <v/>
      </c>
      <c r="N292" s="70" t="str">
        <f>IF(OR(E292="",J292=""),"",ROUND(N(H292)*J292*(1-N(K292)),2))</f>
        <v/>
      </c>
      <c r="O292" s="70" t="str">
        <f>IF(OR(N292="",NOT(ISNUMBER(M292))),"",ROUND(N292*M292,2))</f>
        <v/>
      </c>
      <c r="P292" s="70" t="str">
        <f>IF(N292="","",N292+N(O292))</f>
        <v/>
      </c>
      <c r="Q292" s="64" t="n"/>
      <c r="R292" s="73" t="str">
        <f>IF(N(Q292)&gt;0,Q292,IF(OR(N(B292)=0,ISNA(MATCH($C292,sup_code,0))),"",IF(ISNUMBER(INDEX(sup_delay,MATCH($C292,sup_code,0))),B292+INDEX(sup_delay,MATCH($C292,sup_code,0)),"")))</f>
        <v/>
      </c>
      <c r="S292" s="64" t="n"/>
      <c r="T292" s="68" t="n"/>
      <c r="U292" s="64" t="n"/>
      <c r="V292" s="65" t="n"/>
      <c r="W292" s="74" t="str">
        <f>IF(AND(A292="",E292=""),"",IF(V292="Oui",0,MAX(0,ROUND(N(H292)-N(T292),6))))</f>
        <v/>
      </c>
      <c r="X292" s="67" t="str">
        <f>IF(AND(A292="",E292=""),"",IF(V292="Oui","Annulé",IF(AND(N(H292)&gt;0,N(T292)&gt;=N(H292)),"Reçu",IF(N(S292)=0,"Brouillon",IF(AND(ISNUMBER(R292),R292&lt;p_today),"En retard",IF(N(T292)&gt;0,"Partiel","Envoyé"))))))</f>
        <v/>
      </c>
      <c r="Y292" s="75" t="str">
        <f>IF(X292="En retard",p_today-R292,IF(AND(X292="Reçu",ISNUMBER(R292)),MAX(0,N(U292)-R292),""))</f>
        <v/>
      </c>
      <c r="Z292" s="67" t="str">
        <f>IF(AND(A292="",E292=""),"",IF(A292="","N° de bon manquant",IF(N(B292)=0,"Date de commande manquante",IF(C292="","Fournisseur manquant",IF(ISNA(MATCH($C292,sup_code,0)),"Fournisseur inconnu",IF(E292="","Article manquant",IF(ISNA(MATCH($E292,art_ref,0)),"Article inconnu",IF(N(H292)&lt;=0,"Quantité invalide",IF(J292="","Prix manquant",IF(OR(N(K292)&lt;0,N(K292)&gt;=1),"Remise invalide",IF(M292="","TVA manquante",IF(ISNA(MATCH(M292,p_tva,0)),"Taux de TVA inconnu",IF(COUNTIFS(po_num,A292,po_sup,"&lt;&gt;"&amp;C292)&gt;0,"Fournisseur différent sur ce bon",IF(COUNTIFS(po_num,A292,po_date,"&lt;&gt;"&amp;B292)&gt;0,"Date différente sur ce bon",IF(COUNTIF(po_num,A292)&gt;25,"Plus de 25 lignes sur ce bon",IF(R292="","Date de livraison manquante",IF(R292&lt;B292,"Livraison avant la commande",IF(AND(N(T292)&gt;0,N(S292)=0),"Date d'envoi manquante",IF(N(T292)&gt;N(H292),"Reçu plus que commandé",IF(AND(N(T292)&gt;0,N(U292)=0),"Date de réception manquante",IF(AND(N(U292)&gt;0,U292&lt;B292),"Réception avant la commande","OK")))))))))))))))))))))</f>
        <v/>
      </c>
      <c r="AA292" s="66" t="str">
        <f>IF(AND(X292="Reçu",ISNUMBER(R292)),IF(N(U292)&lt;=R292,1,0),"")</f>
        <v/>
      </c>
      <c r="AB292" s="76" t="str">
        <f>IF(OR(X292="Envoyé",X292="Partiel",X292="En retard"),IF(ISNUMBER(R292),R292,100000)+ROW()/100000,"")</f>
        <v/>
      </c>
      <c r="AC292" s="66" t="str">
        <f>IF(A292="","",IF(COUNTIF($A$6:A292,A292)=1,1,""))</f>
        <v/>
      </c>
      <c r="AD292" s="66" t="str">
        <f>IF(AC292=1,COUNT($AC$6:AC292),"")</f>
        <v/>
      </c>
      <c r="AE292" s="66" t="str">
        <f>IFERROR(INDEX(po_num,MATCH(287,po_seq,0))&amp;"","")</f>
        <v/>
      </c>
      <c r="AF292" s="66" t="str">
        <f>IF(OR(A292="",p_po=""),"",IF(A292&amp;""=p_po,COUNTIF($A$6:A292,A292),""))</f>
        <v/>
      </c>
      <c r="AG292" s="66" t="str">
        <f>IF(OR(AB292="",A292=""),"",IF(COUNTIFS($A$6:A292,A292,$AB$6:AB292,"&gt;0")=1,1,""))</f>
        <v/>
      </c>
      <c r="AH292" s="70" t="str">
        <f>IF(AB292="","",ROUND(N(W292)*N(J292)*(1-N(K292)),2))</f>
        <v/>
      </c>
      <c r="AI292" s="70" t="str">
        <f>IF(OR(J292="",N(T292)&lt;=0,V292="Oui"),"",ROUND(N(T292)*J292*(1-N(K292)),2))</f>
        <v/>
      </c>
    </row>
    <row r="293">
      <c r="A293" s="63" t="n"/>
      <c r="B293" s="64" t="n"/>
      <c r="C293" s="65" t="n"/>
      <c r="D293" s="66" t="str">
        <f>IF(C293="","",IFERROR(INDEX(sup_name,MATCH($C293,sup_code,0))&amp;"","Fournisseur inconnu"))</f>
        <v/>
      </c>
      <c r="E293" s="63" t="n"/>
      <c r="F293" s="66" t="str">
        <f>IF(E293="","",IFERROR(INDEX(art_des,MATCH($E293,art_ref,0))&amp;"","Article inconnu"))</f>
        <v/>
      </c>
      <c r="G293" s="67" t="str">
        <f>IF(E293="","",IFERROR(INDEX(art_unit,MATCH($E293,art_ref,0))&amp;"",""))</f>
        <v/>
      </c>
      <c r="H293" s="68" t="n"/>
      <c r="I293" s="69" t="n"/>
      <c r="J293" s="70" t="str">
        <f>IF(E293="","",IF(ISNUMBER(I293),I293,IFERROR(IF(ISNUMBER(INDEX(art_price,MATCH($E293,art_ref,0))),INDEX(art_price,MATCH($E293,art_ref,0)),""),"")))</f>
        <v/>
      </c>
      <c r="K293" s="71" t="n"/>
      <c r="L293" s="72" t="n"/>
      <c r="M293" s="72" t="str">
        <f>IF(E293="","",IF(L293&lt;&gt;"",L293,IFERROR(IF(ISNUMBER(INDEX(art_tva,MATCH($E293,art_ref,0))),INDEX(art_tva,MATCH($E293,art_ref,0)),""),"")))</f>
        <v/>
      </c>
      <c r="N293" s="70" t="str">
        <f>IF(OR(E293="",J293=""),"",ROUND(N(H293)*J293*(1-N(K293)),2))</f>
        <v/>
      </c>
      <c r="O293" s="70" t="str">
        <f>IF(OR(N293="",NOT(ISNUMBER(M293))),"",ROUND(N293*M293,2))</f>
        <v/>
      </c>
      <c r="P293" s="70" t="str">
        <f>IF(N293="","",N293+N(O293))</f>
        <v/>
      </c>
      <c r="Q293" s="64" t="n"/>
      <c r="R293" s="73" t="str">
        <f>IF(N(Q293)&gt;0,Q293,IF(OR(N(B293)=0,ISNA(MATCH($C293,sup_code,0))),"",IF(ISNUMBER(INDEX(sup_delay,MATCH($C293,sup_code,0))),B293+INDEX(sup_delay,MATCH($C293,sup_code,0)),"")))</f>
        <v/>
      </c>
      <c r="S293" s="64" t="n"/>
      <c r="T293" s="68" t="n"/>
      <c r="U293" s="64" t="n"/>
      <c r="V293" s="65" t="n"/>
      <c r="W293" s="74" t="str">
        <f>IF(AND(A293="",E293=""),"",IF(V293="Oui",0,MAX(0,ROUND(N(H293)-N(T293),6))))</f>
        <v/>
      </c>
      <c r="X293" s="67" t="str">
        <f>IF(AND(A293="",E293=""),"",IF(V293="Oui","Annulé",IF(AND(N(H293)&gt;0,N(T293)&gt;=N(H293)),"Reçu",IF(N(S293)=0,"Brouillon",IF(AND(ISNUMBER(R293),R293&lt;p_today),"En retard",IF(N(T293)&gt;0,"Partiel","Envoyé"))))))</f>
        <v/>
      </c>
      <c r="Y293" s="75" t="str">
        <f>IF(X293="En retard",p_today-R293,IF(AND(X293="Reçu",ISNUMBER(R293)),MAX(0,N(U293)-R293),""))</f>
        <v/>
      </c>
      <c r="Z293" s="67" t="str">
        <f>IF(AND(A293="",E293=""),"",IF(A293="","N° de bon manquant",IF(N(B293)=0,"Date de commande manquante",IF(C293="","Fournisseur manquant",IF(ISNA(MATCH($C293,sup_code,0)),"Fournisseur inconnu",IF(E293="","Article manquant",IF(ISNA(MATCH($E293,art_ref,0)),"Article inconnu",IF(N(H293)&lt;=0,"Quantité invalide",IF(J293="","Prix manquant",IF(OR(N(K293)&lt;0,N(K293)&gt;=1),"Remise invalide",IF(M293="","TVA manquante",IF(ISNA(MATCH(M293,p_tva,0)),"Taux de TVA inconnu",IF(COUNTIFS(po_num,A293,po_sup,"&lt;&gt;"&amp;C293)&gt;0,"Fournisseur différent sur ce bon",IF(COUNTIFS(po_num,A293,po_date,"&lt;&gt;"&amp;B293)&gt;0,"Date différente sur ce bon",IF(COUNTIF(po_num,A293)&gt;25,"Plus de 25 lignes sur ce bon",IF(R293="","Date de livraison manquante",IF(R293&lt;B293,"Livraison avant la commande",IF(AND(N(T293)&gt;0,N(S293)=0),"Date d'envoi manquante",IF(N(T293)&gt;N(H293),"Reçu plus que commandé",IF(AND(N(T293)&gt;0,N(U293)=0),"Date de réception manquante",IF(AND(N(U293)&gt;0,U293&lt;B293),"Réception avant la commande","OK")))))))))))))))))))))</f>
        <v/>
      </c>
      <c r="AA293" s="66" t="str">
        <f>IF(AND(X293="Reçu",ISNUMBER(R293)),IF(N(U293)&lt;=R293,1,0),"")</f>
        <v/>
      </c>
      <c r="AB293" s="76" t="str">
        <f>IF(OR(X293="Envoyé",X293="Partiel",X293="En retard"),IF(ISNUMBER(R293),R293,100000)+ROW()/100000,"")</f>
        <v/>
      </c>
      <c r="AC293" s="66" t="str">
        <f>IF(A293="","",IF(COUNTIF($A$6:A293,A293)=1,1,""))</f>
        <v/>
      </c>
      <c r="AD293" s="66" t="str">
        <f>IF(AC293=1,COUNT($AC$6:AC293),"")</f>
        <v/>
      </c>
      <c r="AE293" s="66" t="str">
        <f>IFERROR(INDEX(po_num,MATCH(288,po_seq,0))&amp;"","")</f>
        <v/>
      </c>
      <c r="AF293" s="66" t="str">
        <f>IF(OR(A293="",p_po=""),"",IF(A293&amp;""=p_po,COUNTIF($A$6:A293,A293),""))</f>
        <v/>
      </c>
      <c r="AG293" s="66" t="str">
        <f>IF(OR(AB293="",A293=""),"",IF(COUNTIFS($A$6:A293,A293,$AB$6:AB293,"&gt;0")=1,1,""))</f>
        <v/>
      </c>
      <c r="AH293" s="70" t="str">
        <f>IF(AB293="","",ROUND(N(W293)*N(J293)*(1-N(K293)),2))</f>
        <v/>
      </c>
      <c r="AI293" s="70" t="str">
        <f>IF(OR(J293="",N(T293)&lt;=0,V293="Oui"),"",ROUND(N(T293)*J293*(1-N(K293)),2))</f>
        <v/>
      </c>
    </row>
    <row r="294">
      <c r="A294" s="63" t="n"/>
      <c r="B294" s="64" t="n"/>
      <c r="C294" s="65" t="n"/>
      <c r="D294" s="66" t="str">
        <f>IF(C294="","",IFERROR(INDEX(sup_name,MATCH($C294,sup_code,0))&amp;"","Fournisseur inconnu"))</f>
        <v/>
      </c>
      <c r="E294" s="63" t="n"/>
      <c r="F294" s="66" t="str">
        <f>IF(E294="","",IFERROR(INDEX(art_des,MATCH($E294,art_ref,0))&amp;"","Article inconnu"))</f>
        <v/>
      </c>
      <c r="G294" s="67" t="str">
        <f>IF(E294="","",IFERROR(INDEX(art_unit,MATCH($E294,art_ref,0))&amp;"",""))</f>
        <v/>
      </c>
      <c r="H294" s="68" t="n"/>
      <c r="I294" s="69" t="n"/>
      <c r="J294" s="70" t="str">
        <f>IF(E294="","",IF(ISNUMBER(I294),I294,IFERROR(IF(ISNUMBER(INDEX(art_price,MATCH($E294,art_ref,0))),INDEX(art_price,MATCH($E294,art_ref,0)),""),"")))</f>
        <v/>
      </c>
      <c r="K294" s="71" t="n"/>
      <c r="L294" s="72" t="n"/>
      <c r="M294" s="72" t="str">
        <f>IF(E294="","",IF(L294&lt;&gt;"",L294,IFERROR(IF(ISNUMBER(INDEX(art_tva,MATCH($E294,art_ref,0))),INDEX(art_tva,MATCH($E294,art_ref,0)),""),"")))</f>
        <v/>
      </c>
      <c r="N294" s="70" t="str">
        <f>IF(OR(E294="",J294=""),"",ROUND(N(H294)*J294*(1-N(K294)),2))</f>
        <v/>
      </c>
      <c r="O294" s="70" t="str">
        <f>IF(OR(N294="",NOT(ISNUMBER(M294))),"",ROUND(N294*M294,2))</f>
        <v/>
      </c>
      <c r="P294" s="70" t="str">
        <f>IF(N294="","",N294+N(O294))</f>
        <v/>
      </c>
      <c r="Q294" s="64" t="n"/>
      <c r="R294" s="73" t="str">
        <f>IF(N(Q294)&gt;0,Q294,IF(OR(N(B294)=0,ISNA(MATCH($C294,sup_code,0))),"",IF(ISNUMBER(INDEX(sup_delay,MATCH($C294,sup_code,0))),B294+INDEX(sup_delay,MATCH($C294,sup_code,0)),"")))</f>
        <v/>
      </c>
      <c r="S294" s="64" t="n"/>
      <c r="T294" s="68" t="n"/>
      <c r="U294" s="64" t="n"/>
      <c r="V294" s="65" t="n"/>
      <c r="W294" s="74" t="str">
        <f>IF(AND(A294="",E294=""),"",IF(V294="Oui",0,MAX(0,ROUND(N(H294)-N(T294),6))))</f>
        <v/>
      </c>
      <c r="X294" s="67" t="str">
        <f>IF(AND(A294="",E294=""),"",IF(V294="Oui","Annulé",IF(AND(N(H294)&gt;0,N(T294)&gt;=N(H294)),"Reçu",IF(N(S294)=0,"Brouillon",IF(AND(ISNUMBER(R294),R294&lt;p_today),"En retard",IF(N(T294)&gt;0,"Partiel","Envoyé"))))))</f>
        <v/>
      </c>
      <c r="Y294" s="75" t="str">
        <f>IF(X294="En retard",p_today-R294,IF(AND(X294="Reçu",ISNUMBER(R294)),MAX(0,N(U294)-R294),""))</f>
        <v/>
      </c>
      <c r="Z294" s="67" t="str">
        <f>IF(AND(A294="",E294=""),"",IF(A294="","N° de bon manquant",IF(N(B294)=0,"Date de commande manquante",IF(C294="","Fournisseur manquant",IF(ISNA(MATCH($C294,sup_code,0)),"Fournisseur inconnu",IF(E294="","Article manquant",IF(ISNA(MATCH($E294,art_ref,0)),"Article inconnu",IF(N(H294)&lt;=0,"Quantité invalide",IF(J294="","Prix manquant",IF(OR(N(K294)&lt;0,N(K294)&gt;=1),"Remise invalide",IF(M294="","TVA manquante",IF(ISNA(MATCH(M294,p_tva,0)),"Taux de TVA inconnu",IF(COUNTIFS(po_num,A294,po_sup,"&lt;&gt;"&amp;C294)&gt;0,"Fournisseur différent sur ce bon",IF(COUNTIFS(po_num,A294,po_date,"&lt;&gt;"&amp;B294)&gt;0,"Date différente sur ce bon",IF(COUNTIF(po_num,A294)&gt;25,"Plus de 25 lignes sur ce bon",IF(R294="","Date de livraison manquante",IF(R294&lt;B294,"Livraison avant la commande",IF(AND(N(T294)&gt;0,N(S294)=0),"Date d'envoi manquante",IF(N(T294)&gt;N(H294),"Reçu plus que commandé",IF(AND(N(T294)&gt;0,N(U294)=0),"Date de réception manquante",IF(AND(N(U294)&gt;0,U294&lt;B294),"Réception avant la commande","OK")))))))))))))))))))))</f>
        <v/>
      </c>
      <c r="AA294" s="66" t="str">
        <f>IF(AND(X294="Reçu",ISNUMBER(R294)),IF(N(U294)&lt;=R294,1,0),"")</f>
        <v/>
      </c>
      <c r="AB294" s="76" t="str">
        <f>IF(OR(X294="Envoyé",X294="Partiel",X294="En retard"),IF(ISNUMBER(R294),R294,100000)+ROW()/100000,"")</f>
        <v/>
      </c>
      <c r="AC294" s="66" t="str">
        <f>IF(A294="","",IF(COUNTIF($A$6:A294,A294)=1,1,""))</f>
        <v/>
      </c>
      <c r="AD294" s="66" t="str">
        <f>IF(AC294=1,COUNT($AC$6:AC294),"")</f>
        <v/>
      </c>
      <c r="AE294" s="66" t="str">
        <f>IFERROR(INDEX(po_num,MATCH(289,po_seq,0))&amp;"","")</f>
        <v/>
      </c>
      <c r="AF294" s="66" t="str">
        <f>IF(OR(A294="",p_po=""),"",IF(A294&amp;""=p_po,COUNTIF($A$6:A294,A294),""))</f>
        <v/>
      </c>
      <c r="AG294" s="66" t="str">
        <f>IF(OR(AB294="",A294=""),"",IF(COUNTIFS($A$6:A294,A294,$AB$6:AB294,"&gt;0")=1,1,""))</f>
        <v/>
      </c>
      <c r="AH294" s="70" t="str">
        <f>IF(AB294="","",ROUND(N(W294)*N(J294)*(1-N(K294)),2))</f>
        <v/>
      </c>
      <c r="AI294" s="70" t="str">
        <f>IF(OR(J294="",N(T294)&lt;=0,V294="Oui"),"",ROUND(N(T294)*J294*(1-N(K294)),2))</f>
        <v/>
      </c>
    </row>
    <row r="295">
      <c r="A295" s="63" t="n"/>
      <c r="B295" s="64" t="n"/>
      <c r="C295" s="65" t="n"/>
      <c r="D295" s="66" t="str">
        <f>IF(C295="","",IFERROR(INDEX(sup_name,MATCH($C295,sup_code,0))&amp;"","Fournisseur inconnu"))</f>
        <v/>
      </c>
      <c r="E295" s="63" t="n"/>
      <c r="F295" s="66" t="str">
        <f>IF(E295="","",IFERROR(INDEX(art_des,MATCH($E295,art_ref,0))&amp;"","Article inconnu"))</f>
        <v/>
      </c>
      <c r="G295" s="67" t="str">
        <f>IF(E295="","",IFERROR(INDEX(art_unit,MATCH($E295,art_ref,0))&amp;"",""))</f>
        <v/>
      </c>
      <c r="H295" s="68" t="n"/>
      <c r="I295" s="69" t="n"/>
      <c r="J295" s="70" t="str">
        <f>IF(E295="","",IF(ISNUMBER(I295),I295,IFERROR(IF(ISNUMBER(INDEX(art_price,MATCH($E295,art_ref,0))),INDEX(art_price,MATCH($E295,art_ref,0)),""),"")))</f>
        <v/>
      </c>
      <c r="K295" s="71" t="n"/>
      <c r="L295" s="72" t="n"/>
      <c r="M295" s="72" t="str">
        <f>IF(E295="","",IF(L295&lt;&gt;"",L295,IFERROR(IF(ISNUMBER(INDEX(art_tva,MATCH($E295,art_ref,0))),INDEX(art_tva,MATCH($E295,art_ref,0)),""),"")))</f>
        <v/>
      </c>
      <c r="N295" s="70" t="str">
        <f>IF(OR(E295="",J295=""),"",ROUND(N(H295)*J295*(1-N(K295)),2))</f>
        <v/>
      </c>
      <c r="O295" s="70" t="str">
        <f>IF(OR(N295="",NOT(ISNUMBER(M295))),"",ROUND(N295*M295,2))</f>
        <v/>
      </c>
      <c r="P295" s="70" t="str">
        <f>IF(N295="","",N295+N(O295))</f>
        <v/>
      </c>
      <c r="Q295" s="64" t="n"/>
      <c r="R295" s="73" t="str">
        <f>IF(N(Q295)&gt;0,Q295,IF(OR(N(B295)=0,ISNA(MATCH($C295,sup_code,0))),"",IF(ISNUMBER(INDEX(sup_delay,MATCH($C295,sup_code,0))),B295+INDEX(sup_delay,MATCH($C295,sup_code,0)),"")))</f>
        <v/>
      </c>
      <c r="S295" s="64" t="n"/>
      <c r="T295" s="68" t="n"/>
      <c r="U295" s="64" t="n"/>
      <c r="V295" s="65" t="n"/>
      <c r="W295" s="74" t="str">
        <f>IF(AND(A295="",E295=""),"",IF(V295="Oui",0,MAX(0,ROUND(N(H295)-N(T295),6))))</f>
        <v/>
      </c>
      <c r="X295" s="67" t="str">
        <f>IF(AND(A295="",E295=""),"",IF(V295="Oui","Annulé",IF(AND(N(H295)&gt;0,N(T295)&gt;=N(H295)),"Reçu",IF(N(S295)=0,"Brouillon",IF(AND(ISNUMBER(R295),R295&lt;p_today),"En retard",IF(N(T295)&gt;0,"Partiel","Envoyé"))))))</f>
        <v/>
      </c>
      <c r="Y295" s="75" t="str">
        <f>IF(X295="En retard",p_today-R295,IF(AND(X295="Reçu",ISNUMBER(R295)),MAX(0,N(U295)-R295),""))</f>
        <v/>
      </c>
      <c r="Z295" s="67" t="str">
        <f>IF(AND(A295="",E295=""),"",IF(A295="","N° de bon manquant",IF(N(B295)=0,"Date de commande manquante",IF(C295="","Fournisseur manquant",IF(ISNA(MATCH($C295,sup_code,0)),"Fournisseur inconnu",IF(E295="","Article manquant",IF(ISNA(MATCH($E295,art_ref,0)),"Article inconnu",IF(N(H295)&lt;=0,"Quantité invalide",IF(J295="","Prix manquant",IF(OR(N(K295)&lt;0,N(K295)&gt;=1),"Remise invalide",IF(M295="","TVA manquante",IF(ISNA(MATCH(M295,p_tva,0)),"Taux de TVA inconnu",IF(COUNTIFS(po_num,A295,po_sup,"&lt;&gt;"&amp;C295)&gt;0,"Fournisseur différent sur ce bon",IF(COUNTIFS(po_num,A295,po_date,"&lt;&gt;"&amp;B295)&gt;0,"Date différente sur ce bon",IF(COUNTIF(po_num,A295)&gt;25,"Plus de 25 lignes sur ce bon",IF(R295="","Date de livraison manquante",IF(R295&lt;B295,"Livraison avant la commande",IF(AND(N(T295)&gt;0,N(S295)=0),"Date d'envoi manquante",IF(N(T295)&gt;N(H295),"Reçu plus que commandé",IF(AND(N(T295)&gt;0,N(U295)=0),"Date de réception manquante",IF(AND(N(U295)&gt;0,U295&lt;B295),"Réception avant la commande","OK")))))))))))))))))))))</f>
        <v/>
      </c>
      <c r="AA295" s="66" t="str">
        <f>IF(AND(X295="Reçu",ISNUMBER(R295)),IF(N(U295)&lt;=R295,1,0),"")</f>
        <v/>
      </c>
      <c r="AB295" s="76" t="str">
        <f>IF(OR(X295="Envoyé",X295="Partiel",X295="En retard"),IF(ISNUMBER(R295),R295,100000)+ROW()/100000,"")</f>
        <v/>
      </c>
      <c r="AC295" s="66" t="str">
        <f>IF(A295="","",IF(COUNTIF($A$6:A295,A295)=1,1,""))</f>
        <v/>
      </c>
      <c r="AD295" s="66" t="str">
        <f>IF(AC295=1,COUNT($AC$6:AC295),"")</f>
        <v/>
      </c>
      <c r="AE295" s="66" t="str">
        <f>IFERROR(INDEX(po_num,MATCH(290,po_seq,0))&amp;"","")</f>
        <v/>
      </c>
      <c r="AF295" s="66" t="str">
        <f>IF(OR(A295="",p_po=""),"",IF(A295&amp;""=p_po,COUNTIF($A$6:A295,A295),""))</f>
        <v/>
      </c>
      <c r="AG295" s="66" t="str">
        <f>IF(OR(AB295="",A295=""),"",IF(COUNTIFS($A$6:A295,A295,$AB$6:AB295,"&gt;0")=1,1,""))</f>
        <v/>
      </c>
      <c r="AH295" s="70" t="str">
        <f>IF(AB295="","",ROUND(N(W295)*N(J295)*(1-N(K295)),2))</f>
        <v/>
      </c>
      <c r="AI295" s="70" t="str">
        <f>IF(OR(J295="",N(T295)&lt;=0,V295="Oui"),"",ROUND(N(T295)*J295*(1-N(K295)),2))</f>
        <v/>
      </c>
    </row>
    <row r="296">
      <c r="A296" s="63" t="n"/>
      <c r="B296" s="64" t="n"/>
      <c r="C296" s="65" t="n"/>
      <c r="D296" s="66" t="str">
        <f>IF(C296="","",IFERROR(INDEX(sup_name,MATCH($C296,sup_code,0))&amp;"","Fournisseur inconnu"))</f>
        <v/>
      </c>
      <c r="E296" s="63" t="n"/>
      <c r="F296" s="66" t="str">
        <f>IF(E296="","",IFERROR(INDEX(art_des,MATCH($E296,art_ref,0))&amp;"","Article inconnu"))</f>
        <v/>
      </c>
      <c r="G296" s="67" t="str">
        <f>IF(E296="","",IFERROR(INDEX(art_unit,MATCH($E296,art_ref,0))&amp;"",""))</f>
        <v/>
      </c>
      <c r="H296" s="68" t="n"/>
      <c r="I296" s="69" t="n"/>
      <c r="J296" s="70" t="str">
        <f>IF(E296="","",IF(ISNUMBER(I296),I296,IFERROR(IF(ISNUMBER(INDEX(art_price,MATCH($E296,art_ref,0))),INDEX(art_price,MATCH($E296,art_ref,0)),""),"")))</f>
        <v/>
      </c>
      <c r="K296" s="71" t="n"/>
      <c r="L296" s="72" t="n"/>
      <c r="M296" s="72" t="str">
        <f>IF(E296="","",IF(L296&lt;&gt;"",L296,IFERROR(IF(ISNUMBER(INDEX(art_tva,MATCH($E296,art_ref,0))),INDEX(art_tva,MATCH($E296,art_ref,0)),""),"")))</f>
        <v/>
      </c>
      <c r="N296" s="70" t="str">
        <f>IF(OR(E296="",J296=""),"",ROUND(N(H296)*J296*(1-N(K296)),2))</f>
        <v/>
      </c>
      <c r="O296" s="70" t="str">
        <f>IF(OR(N296="",NOT(ISNUMBER(M296))),"",ROUND(N296*M296,2))</f>
        <v/>
      </c>
      <c r="P296" s="70" t="str">
        <f>IF(N296="","",N296+N(O296))</f>
        <v/>
      </c>
      <c r="Q296" s="64" t="n"/>
      <c r="R296" s="73" t="str">
        <f>IF(N(Q296)&gt;0,Q296,IF(OR(N(B296)=0,ISNA(MATCH($C296,sup_code,0))),"",IF(ISNUMBER(INDEX(sup_delay,MATCH($C296,sup_code,0))),B296+INDEX(sup_delay,MATCH($C296,sup_code,0)),"")))</f>
        <v/>
      </c>
      <c r="S296" s="64" t="n"/>
      <c r="T296" s="68" t="n"/>
      <c r="U296" s="64" t="n"/>
      <c r="V296" s="65" t="n"/>
      <c r="W296" s="74" t="str">
        <f>IF(AND(A296="",E296=""),"",IF(V296="Oui",0,MAX(0,ROUND(N(H296)-N(T296),6))))</f>
        <v/>
      </c>
      <c r="X296" s="67" t="str">
        <f>IF(AND(A296="",E296=""),"",IF(V296="Oui","Annulé",IF(AND(N(H296)&gt;0,N(T296)&gt;=N(H296)),"Reçu",IF(N(S296)=0,"Brouillon",IF(AND(ISNUMBER(R296),R296&lt;p_today),"En retard",IF(N(T296)&gt;0,"Partiel","Envoyé"))))))</f>
        <v/>
      </c>
      <c r="Y296" s="75" t="str">
        <f>IF(X296="En retard",p_today-R296,IF(AND(X296="Reçu",ISNUMBER(R296)),MAX(0,N(U296)-R296),""))</f>
        <v/>
      </c>
      <c r="Z296" s="67" t="str">
        <f>IF(AND(A296="",E296=""),"",IF(A296="","N° de bon manquant",IF(N(B296)=0,"Date de commande manquante",IF(C296="","Fournisseur manquant",IF(ISNA(MATCH($C296,sup_code,0)),"Fournisseur inconnu",IF(E296="","Article manquant",IF(ISNA(MATCH($E296,art_ref,0)),"Article inconnu",IF(N(H296)&lt;=0,"Quantité invalide",IF(J296="","Prix manquant",IF(OR(N(K296)&lt;0,N(K296)&gt;=1),"Remise invalide",IF(M296="","TVA manquante",IF(ISNA(MATCH(M296,p_tva,0)),"Taux de TVA inconnu",IF(COUNTIFS(po_num,A296,po_sup,"&lt;&gt;"&amp;C296)&gt;0,"Fournisseur différent sur ce bon",IF(COUNTIFS(po_num,A296,po_date,"&lt;&gt;"&amp;B296)&gt;0,"Date différente sur ce bon",IF(COUNTIF(po_num,A296)&gt;25,"Plus de 25 lignes sur ce bon",IF(R296="","Date de livraison manquante",IF(R296&lt;B296,"Livraison avant la commande",IF(AND(N(T296)&gt;0,N(S296)=0),"Date d'envoi manquante",IF(N(T296)&gt;N(H296),"Reçu plus que commandé",IF(AND(N(T296)&gt;0,N(U296)=0),"Date de réception manquante",IF(AND(N(U296)&gt;0,U296&lt;B296),"Réception avant la commande","OK")))))))))))))))))))))</f>
        <v/>
      </c>
      <c r="AA296" s="66" t="str">
        <f>IF(AND(X296="Reçu",ISNUMBER(R296)),IF(N(U296)&lt;=R296,1,0),"")</f>
        <v/>
      </c>
      <c r="AB296" s="76" t="str">
        <f>IF(OR(X296="Envoyé",X296="Partiel",X296="En retard"),IF(ISNUMBER(R296),R296,100000)+ROW()/100000,"")</f>
        <v/>
      </c>
      <c r="AC296" s="66" t="str">
        <f>IF(A296="","",IF(COUNTIF($A$6:A296,A296)=1,1,""))</f>
        <v/>
      </c>
      <c r="AD296" s="66" t="str">
        <f>IF(AC296=1,COUNT($AC$6:AC296),"")</f>
        <v/>
      </c>
      <c r="AE296" s="66" t="str">
        <f>IFERROR(INDEX(po_num,MATCH(291,po_seq,0))&amp;"","")</f>
        <v/>
      </c>
      <c r="AF296" s="66" t="str">
        <f>IF(OR(A296="",p_po=""),"",IF(A296&amp;""=p_po,COUNTIF($A$6:A296,A296),""))</f>
        <v/>
      </c>
      <c r="AG296" s="66" t="str">
        <f>IF(OR(AB296="",A296=""),"",IF(COUNTIFS($A$6:A296,A296,$AB$6:AB296,"&gt;0")=1,1,""))</f>
        <v/>
      </c>
      <c r="AH296" s="70" t="str">
        <f>IF(AB296="","",ROUND(N(W296)*N(J296)*(1-N(K296)),2))</f>
        <v/>
      </c>
      <c r="AI296" s="70" t="str">
        <f>IF(OR(J296="",N(T296)&lt;=0,V296="Oui"),"",ROUND(N(T296)*J296*(1-N(K296)),2))</f>
        <v/>
      </c>
    </row>
    <row r="297">
      <c r="A297" s="63" t="n"/>
      <c r="B297" s="64" t="n"/>
      <c r="C297" s="65" t="n"/>
      <c r="D297" s="66" t="str">
        <f>IF(C297="","",IFERROR(INDEX(sup_name,MATCH($C297,sup_code,0))&amp;"","Fournisseur inconnu"))</f>
        <v/>
      </c>
      <c r="E297" s="63" t="n"/>
      <c r="F297" s="66" t="str">
        <f>IF(E297="","",IFERROR(INDEX(art_des,MATCH($E297,art_ref,0))&amp;"","Article inconnu"))</f>
        <v/>
      </c>
      <c r="G297" s="67" t="str">
        <f>IF(E297="","",IFERROR(INDEX(art_unit,MATCH($E297,art_ref,0))&amp;"",""))</f>
        <v/>
      </c>
      <c r="H297" s="68" t="n"/>
      <c r="I297" s="69" t="n"/>
      <c r="J297" s="70" t="str">
        <f>IF(E297="","",IF(ISNUMBER(I297),I297,IFERROR(IF(ISNUMBER(INDEX(art_price,MATCH($E297,art_ref,0))),INDEX(art_price,MATCH($E297,art_ref,0)),""),"")))</f>
        <v/>
      </c>
      <c r="K297" s="71" t="n"/>
      <c r="L297" s="72" t="n"/>
      <c r="M297" s="72" t="str">
        <f>IF(E297="","",IF(L297&lt;&gt;"",L297,IFERROR(IF(ISNUMBER(INDEX(art_tva,MATCH($E297,art_ref,0))),INDEX(art_tva,MATCH($E297,art_ref,0)),""),"")))</f>
        <v/>
      </c>
      <c r="N297" s="70" t="str">
        <f>IF(OR(E297="",J297=""),"",ROUND(N(H297)*J297*(1-N(K297)),2))</f>
        <v/>
      </c>
      <c r="O297" s="70" t="str">
        <f>IF(OR(N297="",NOT(ISNUMBER(M297))),"",ROUND(N297*M297,2))</f>
        <v/>
      </c>
      <c r="P297" s="70" t="str">
        <f>IF(N297="","",N297+N(O297))</f>
        <v/>
      </c>
      <c r="Q297" s="64" t="n"/>
      <c r="R297" s="73" t="str">
        <f>IF(N(Q297)&gt;0,Q297,IF(OR(N(B297)=0,ISNA(MATCH($C297,sup_code,0))),"",IF(ISNUMBER(INDEX(sup_delay,MATCH($C297,sup_code,0))),B297+INDEX(sup_delay,MATCH($C297,sup_code,0)),"")))</f>
        <v/>
      </c>
      <c r="S297" s="64" t="n"/>
      <c r="T297" s="68" t="n"/>
      <c r="U297" s="64" t="n"/>
      <c r="V297" s="65" t="n"/>
      <c r="W297" s="74" t="str">
        <f>IF(AND(A297="",E297=""),"",IF(V297="Oui",0,MAX(0,ROUND(N(H297)-N(T297),6))))</f>
        <v/>
      </c>
      <c r="X297" s="67" t="str">
        <f>IF(AND(A297="",E297=""),"",IF(V297="Oui","Annulé",IF(AND(N(H297)&gt;0,N(T297)&gt;=N(H297)),"Reçu",IF(N(S297)=0,"Brouillon",IF(AND(ISNUMBER(R297),R297&lt;p_today),"En retard",IF(N(T297)&gt;0,"Partiel","Envoyé"))))))</f>
        <v/>
      </c>
      <c r="Y297" s="75" t="str">
        <f>IF(X297="En retard",p_today-R297,IF(AND(X297="Reçu",ISNUMBER(R297)),MAX(0,N(U297)-R297),""))</f>
        <v/>
      </c>
      <c r="Z297" s="67" t="str">
        <f>IF(AND(A297="",E297=""),"",IF(A297="","N° de bon manquant",IF(N(B297)=0,"Date de commande manquante",IF(C297="","Fournisseur manquant",IF(ISNA(MATCH($C297,sup_code,0)),"Fournisseur inconnu",IF(E297="","Article manquant",IF(ISNA(MATCH($E297,art_ref,0)),"Article inconnu",IF(N(H297)&lt;=0,"Quantité invalide",IF(J297="","Prix manquant",IF(OR(N(K297)&lt;0,N(K297)&gt;=1),"Remise invalide",IF(M297="","TVA manquante",IF(ISNA(MATCH(M297,p_tva,0)),"Taux de TVA inconnu",IF(COUNTIFS(po_num,A297,po_sup,"&lt;&gt;"&amp;C297)&gt;0,"Fournisseur différent sur ce bon",IF(COUNTIFS(po_num,A297,po_date,"&lt;&gt;"&amp;B297)&gt;0,"Date différente sur ce bon",IF(COUNTIF(po_num,A297)&gt;25,"Plus de 25 lignes sur ce bon",IF(R297="","Date de livraison manquante",IF(R297&lt;B297,"Livraison avant la commande",IF(AND(N(T297)&gt;0,N(S297)=0),"Date d'envoi manquante",IF(N(T297)&gt;N(H297),"Reçu plus que commandé",IF(AND(N(T297)&gt;0,N(U297)=0),"Date de réception manquante",IF(AND(N(U297)&gt;0,U297&lt;B297),"Réception avant la commande","OK")))))))))))))))))))))</f>
        <v/>
      </c>
      <c r="AA297" s="66" t="str">
        <f>IF(AND(X297="Reçu",ISNUMBER(R297)),IF(N(U297)&lt;=R297,1,0),"")</f>
        <v/>
      </c>
      <c r="AB297" s="76" t="str">
        <f>IF(OR(X297="Envoyé",X297="Partiel",X297="En retard"),IF(ISNUMBER(R297),R297,100000)+ROW()/100000,"")</f>
        <v/>
      </c>
      <c r="AC297" s="66" t="str">
        <f>IF(A297="","",IF(COUNTIF($A$6:A297,A297)=1,1,""))</f>
        <v/>
      </c>
      <c r="AD297" s="66" t="str">
        <f>IF(AC297=1,COUNT($AC$6:AC297),"")</f>
        <v/>
      </c>
      <c r="AE297" s="66" t="str">
        <f>IFERROR(INDEX(po_num,MATCH(292,po_seq,0))&amp;"","")</f>
        <v/>
      </c>
      <c r="AF297" s="66" t="str">
        <f>IF(OR(A297="",p_po=""),"",IF(A297&amp;""=p_po,COUNTIF($A$6:A297,A297),""))</f>
        <v/>
      </c>
      <c r="AG297" s="66" t="str">
        <f>IF(OR(AB297="",A297=""),"",IF(COUNTIFS($A$6:A297,A297,$AB$6:AB297,"&gt;0")=1,1,""))</f>
        <v/>
      </c>
      <c r="AH297" s="70" t="str">
        <f>IF(AB297="","",ROUND(N(W297)*N(J297)*(1-N(K297)),2))</f>
        <v/>
      </c>
      <c r="AI297" s="70" t="str">
        <f>IF(OR(J297="",N(T297)&lt;=0,V297="Oui"),"",ROUND(N(T297)*J297*(1-N(K297)),2))</f>
        <v/>
      </c>
    </row>
    <row r="298">
      <c r="A298" s="63" t="n"/>
      <c r="B298" s="64" t="n"/>
      <c r="C298" s="65" t="n"/>
      <c r="D298" s="66" t="str">
        <f>IF(C298="","",IFERROR(INDEX(sup_name,MATCH($C298,sup_code,0))&amp;"","Fournisseur inconnu"))</f>
        <v/>
      </c>
      <c r="E298" s="63" t="n"/>
      <c r="F298" s="66" t="str">
        <f>IF(E298="","",IFERROR(INDEX(art_des,MATCH($E298,art_ref,0))&amp;"","Article inconnu"))</f>
        <v/>
      </c>
      <c r="G298" s="67" t="str">
        <f>IF(E298="","",IFERROR(INDEX(art_unit,MATCH($E298,art_ref,0))&amp;"",""))</f>
        <v/>
      </c>
      <c r="H298" s="68" t="n"/>
      <c r="I298" s="69" t="n"/>
      <c r="J298" s="70" t="str">
        <f>IF(E298="","",IF(ISNUMBER(I298),I298,IFERROR(IF(ISNUMBER(INDEX(art_price,MATCH($E298,art_ref,0))),INDEX(art_price,MATCH($E298,art_ref,0)),""),"")))</f>
        <v/>
      </c>
      <c r="K298" s="71" t="n"/>
      <c r="L298" s="72" t="n"/>
      <c r="M298" s="72" t="str">
        <f>IF(E298="","",IF(L298&lt;&gt;"",L298,IFERROR(IF(ISNUMBER(INDEX(art_tva,MATCH($E298,art_ref,0))),INDEX(art_tva,MATCH($E298,art_ref,0)),""),"")))</f>
        <v/>
      </c>
      <c r="N298" s="70" t="str">
        <f>IF(OR(E298="",J298=""),"",ROUND(N(H298)*J298*(1-N(K298)),2))</f>
        <v/>
      </c>
      <c r="O298" s="70" t="str">
        <f>IF(OR(N298="",NOT(ISNUMBER(M298))),"",ROUND(N298*M298,2))</f>
        <v/>
      </c>
      <c r="P298" s="70" t="str">
        <f>IF(N298="","",N298+N(O298))</f>
        <v/>
      </c>
      <c r="Q298" s="64" t="n"/>
      <c r="R298" s="73" t="str">
        <f>IF(N(Q298)&gt;0,Q298,IF(OR(N(B298)=0,ISNA(MATCH($C298,sup_code,0))),"",IF(ISNUMBER(INDEX(sup_delay,MATCH($C298,sup_code,0))),B298+INDEX(sup_delay,MATCH($C298,sup_code,0)),"")))</f>
        <v/>
      </c>
      <c r="S298" s="64" t="n"/>
      <c r="T298" s="68" t="n"/>
      <c r="U298" s="64" t="n"/>
      <c r="V298" s="65" t="n"/>
      <c r="W298" s="74" t="str">
        <f>IF(AND(A298="",E298=""),"",IF(V298="Oui",0,MAX(0,ROUND(N(H298)-N(T298),6))))</f>
        <v/>
      </c>
      <c r="X298" s="67" t="str">
        <f>IF(AND(A298="",E298=""),"",IF(V298="Oui","Annulé",IF(AND(N(H298)&gt;0,N(T298)&gt;=N(H298)),"Reçu",IF(N(S298)=0,"Brouillon",IF(AND(ISNUMBER(R298),R298&lt;p_today),"En retard",IF(N(T298)&gt;0,"Partiel","Envoyé"))))))</f>
        <v/>
      </c>
      <c r="Y298" s="75" t="str">
        <f>IF(X298="En retard",p_today-R298,IF(AND(X298="Reçu",ISNUMBER(R298)),MAX(0,N(U298)-R298),""))</f>
        <v/>
      </c>
      <c r="Z298" s="67" t="str">
        <f>IF(AND(A298="",E298=""),"",IF(A298="","N° de bon manquant",IF(N(B298)=0,"Date de commande manquante",IF(C298="","Fournisseur manquant",IF(ISNA(MATCH($C298,sup_code,0)),"Fournisseur inconnu",IF(E298="","Article manquant",IF(ISNA(MATCH($E298,art_ref,0)),"Article inconnu",IF(N(H298)&lt;=0,"Quantité invalide",IF(J298="","Prix manquant",IF(OR(N(K298)&lt;0,N(K298)&gt;=1),"Remise invalide",IF(M298="","TVA manquante",IF(ISNA(MATCH(M298,p_tva,0)),"Taux de TVA inconnu",IF(COUNTIFS(po_num,A298,po_sup,"&lt;&gt;"&amp;C298)&gt;0,"Fournisseur différent sur ce bon",IF(COUNTIFS(po_num,A298,po_date,"&lt;&gt;"&amp;B298)&gt;0,"Date différente sur ce bon",IF(COUNTIF(po_num,A298)&gt;25,"Plus de 25 lignes sur ce bon",IF(R298="","Date de livraison manquante",IF(R298&lt;B298,"Livraison avant la commande",IF(AND(N(T298)&gt;0,N(S298)=0),"Date d'envoi manquante",IF(N(T298)&gt;N(H298),"Reçu plus que commandé",IF(AND(N(T298)&gt;0,N(U298)=0),"Date de réception manquante",IF(AND(N(U298)&gt;0,U298&lt;B298),"Réception avant la commande","OK")))))))))))))))))))))</f>
        <v/>
      </c>
      <c r="AA298" s="66" t="str">
        <f>IF(AND(X298="Reçu",ISNUMBER(R298)),IF(N(U298)&lt;=R298,1,0),"")</f>
        <v/>
      </c>
      <c r="AB298" s="76" t="str">
        <f>IF(OR(X298="Envoyé",X298="Partiel",X298="En retard"),IF(ISNUMBER(R298),R298,100000)+ROW()/100000,"")</f>
        <v/>
      </c>
      <c r="AC298" s="66" t="str">
        <f>IF(A298="","",IF(COUNTIF($A$6:A298,A298)=1,1,""))</f>
        <v/>
      </c>
      <c r="AD298" s="66" t="str">
        <f>IF(AC298=1,COUNT($AC$6:AC298),"")</f>
        <v/>
      </c>
      <c r="AE298" s="66" t="str">
        <f>IFERROR(INDEX(po_num,MATCH(293,po_seq,0))&amp;"","")</f>
        <v/>
      </c>
      <c r="AF298" s="66" t="str">
        <f>IF(OR(A298="",p_po=""),"",IF(A298&amp;""=p_po,COUNTIF($A$6:A298,A298),""))</f>
        <v/>
      </c>
      <c r="AG298" s="66" t="str">
        <f>IF(OR(AB298="",A298=""),"",IF(COUNTIFS($A$6:A298,A298,$AB$6:AB298,"&gt;0")=1,1,""))</f>
        <v/>
      </c>
      <c r="AH298" s="70" t="str">
        <f>IF(AB298="","",ROUND(N(W298)*N(J298)*(1-N(K298)),2))</f>
        <v/>
      </c>
      <c r="AI298" s="70" t="str">
        <f>IF(OR(J298="",N(T298)&lt;=0,V298="Oui"),"",ROUND(N(T298)*J298*(1-N(K298)),2))</f>
        <v/>
      </c>
    </row>
    <row r="299">
      <c r="A299" s="63" t="n"/>
      <c r="B299" s="64" t="n"/>
      <c r="C299" s="65" t="n"/>
      <c r="D299" s="66" t="str">
        <f>IF(C299="","",IFERROR(INDEX(sup_name,MATCH($C299,sup_code,0))&amp;"","Fournisseur inconnu"))</f>
        <v/>
      </c>
      <c r="E299" s="63" t="n"/>
      <c r="F299" s="66" t="str">
        <f>IF(E299="","",IFERROR(INDEX(art_des,MATCH($E299,art_ref,0))&amp;"","Article inconnu"))</f>
        <v/>
      </c>
      <c r="G299" s="67" t="str">
        <f>IF(E299="","",IFERROR(INDEX(art_unit,MATCH($E299,art_ref,0))&amp;"",""))</f>
        <v/>
      </c>
      <c r="H299" s="68" t="n"/>
      <c r="I299" s="69" t="n"/>
      <c r="J299" s="70" t="str">
        <f>IF(E299="","",IF(ISNUMBER(I299),I299,IFERROR(IF(ISNUMBER(INDEX(art_price,MATCH($E299,art_ref,0))),INDEX(art_price,MATCH($E299,art_ref,0)),""),"")))</f>
        <v/>
      </c>
      <c r="K299" s="71" t="n"/>
      <c r="L299" s="72" t="n"/>
      <c r="M299" s="72" t="str">
        <f>IF(E299="","",IF(L299&lt;&gt;"",L299,IFERROR(IF(ISNUMBER(INDEX(art_tva,MATCH($E299,art_ref,0))),INDEX(art_tva,MATCH($E299,art_ref,0)),""),"")))</f>
        <v/>
      </c>
      <c r="N299" s="70" t="str">
        <f>IF(OR(E299="",J299=""),"",ROUND(N(H299)*J299*(1-N(K299)),2))</f>
        <v/>
      </c>
      <c r="O299" s="70" t="str">
        <f>IF(OR(N299="",NOT(ISNUMBER(M299))),"",ROUND(N299*M299,2))</f>
        <v/>
      </c>
      <c r="P299" s="70" t="str">
        <f>IF(N299="","",N299+N(O299))</f>
        <v/>
      </c>
      <c r="Q299" s="64" t="n"/>
      <c r="R299" s="73" t="str">
        <f>IF(N(Q299)&gt;0,Q299,IF(OR(N(B299)=0,ISNA(MATCH($C299,sup_code,0))),"",IF(ISNUMBER(INDEX(sup_delay,MATCH($C299,sup_code,0))),B299+INDEX(sup_delay,MATCH($C299,sup_code,0)),"")))</f>
        <v/>
      </c>
      <c r="S299" s="64" t="n"/>
      <c r="T299" s="68" t="n"/>
      <c r="U299" s="64" t="n"/>
      <c r="V299" s="65" t="n"/>
      <c r="W299" s="74" t="str">
        <f>IF(AND(A299="",E299=""),"",IF(V299="Oui",0,MAX(0,ROUND(N(H299)-N(T299),6))))</f>
        <v/>
      </c>
      <c r="X299" s="67" t="str">
        <f>IF(AND(A299="",E299=""),"",IF(V299="Oui","Annulé",IF(AND(N(H299)&gt;0,N(T299)&gt;=N(H299)),"Reçu",IF(N(S299)=0,"Brouillon",IF(AND(ISNUMBER(R299),R299&lt;p_today),"En retard",IF(N(T299)&gt;0,"Partiel","Envoyé"))))))</f>
        <v/>
      </c>
      <c r="Y299" s="75" t="str">
        <f>IF(X299="En retard",p_today-R299,IF(AND(X299="Reçu",ISNUMBER(R299)),MAX(0,N(U299)-R299),""))</f>
        <v/>
      </c>
      <c r="Z299" s="67" t="str">
        <f>IF(AND(A299="",E299=""),"",IF(A299="","N° de bon manquant",IF(N(B299)=0,"Date de commande manquante",IF(C299="","Fournisseur manquant",IF(ISNA(MATCH($C299,sup_code,0)),"Fournisseur inconnu",IF(E299="","Article manquant",IF(ISNA(MATCH($E299,art_ref,0)),"Article inconnu",IF(N(H299)&lt;=0,"Quantité invalide",IF(J299="","Prix manquant",IF(OR(N(K299)&lt;0,N(K299)&gt;=1),"Remise invalide",IF(M299="","TVA manquante",IF(ISNA(MATCH(M299,p_tva,0)),"Taux de TVA inconnu",IF(COUNTIFS(po_num,A299,po_sup,"&lt;&gt;"&amp;C299)&gt;0,"Fournisseur différent sur ce bon",IF(COUNTIFS(po_num,A299,po_date,"&lt;&gt;"&amp;B299)&gt;0,"Date différente sur ce bon",IF(COUNTIF(po_num,A299)&gt;25,"Plus de 25 lignes sur ce bon",IF(R299="","Date de livraison manquante",IF(R299&lt;B299,"Livraison avant la commande",IF(AND(N(T299)&gt;0,N(S299)=0),"Date d'envoi manquante",IF(N(T299)&gt;N(H299),"Reçu plus que commandé",IF(AND(N(T299)&gt;0,N(U299)=0),"Date de réception manquante",IF(AND(N(U299)&gt;0,U299&lt;B299),"Réception avant la commande","OK")))))))))))))))))))))</f>
        <v/>
      </c>
      <c r="AA299" s="66" t="str">
        <f>IF(AND(X299="Reçu",ISNUMBER(R299)),IF(N(U299)&lt;=R299,1,0),"")</f>
        <v/>
      </c>
      <c r="AB299" s="76" t="str">
        <f>IF(OR(X299="Envoyé",X299="Partiel",X299="En retard"),IF(ISNUMBER(R299),R299,100000)+ROW()/100000,"")</f>
        <v/>
      </c>
      <c r="AC299" s="66" t="str">
        <f>IF(A299="","",IF(COUNTIF($A$6:A299,A299)=1,1,""))</f>
        <v/>
      </c>
      <c r="AD299" s="66" t="str">
        <f>IF(AC299=1,COUNT($AC$6:AC299),"")</f>
        <v/>
      </c>
      <c r="AE299" s="66" t="str">
        <f>IFERROR(INDEX(po_num,MATCH(294,po_seq,0))&amp;"","")</f>
        <v/>
      </c>
      <c r="AF299" s="66" t="str">
        <f>IF(OR(A299="",p_po=""),"",IF(A299&amp;""=p_po,COUNTIF($A$6:A299,A299),""))</f>
        <v/>
      </c>
      <c r="AG299" s="66" t="str">
        <f>IF(OR(AB299="",A299=""),"",IF(COUNTIFS($A$6:A299,A299,$AB$6:AB299,"&gt;0")=1,1,""))</f>
        <v/>
      </c>
      <c r="AH299" s="70" t="str">
        <f>IF(AB299="","",ROUND(N(W299)*N(J299)*(1-N(K299)),2))</f>
        <v/>
      </c>
      <c r="AI299" s="70" t="str">
        <f>IF(OR(J299="",N(T299)&lt;=0,V299="Oui"),"",ROUND(N(T299)*J299*(1-N(K299)),2))</f>
        <v/>
      </c>
    </row>
    <row r="300">
      <c r="A300" s="63" t="n"/>
      <c r="B300" s="64" t="n"/>
      <c r="C300" s="65" t="n"/>
      <c r="D300" s="66" t="str">
        <f>IF(C300="","",IFERROR(INDEX(sup_name,MATCH($C300,sup_code,0))&amp;"","Fournisseur inconnu"))</f>
        <v/>
      </c>
      <c r="E300" s="63" t="n"/>
      <c r="F300" s="66" t="str">
        <f>IF(E300="","",IFERROR(INDEX(art_des,MATCH($E300,art_ref,0))&amp;"","Article inconnu"))</f>
        <v/>
      </c>
      <c r="G300" s="67" t="str">
        <f>IF(E300="","",IFERROR(INDEX(art_unit,MATCH($E300,art_ref,0))&amp;"",""))</f>
        <v/>
      </c>
      <c r="H300" s="68" t="n"/>
      <c r="I300" s="69" t="n"/>
      <c r="J300" s="70" t="str">
        <f>IF(E300="","",IF(ISNUMBER(I300),I300,IFERROR(IF(ISNUMBER(INDEX(art_price,MATCH($E300,art_ref,0))),INDEX(art_price,MATCH($E300,art_ref,0)),""),"")))</f>
        <v/>
      </c>
      <c r="K300" s="71" t="n"/>
      <c r="L300" s="72" t="n"/>
      <c r="M300" s="72" t="str">
        <f>IF(E300="","",IF(L300&lt;&gt;"",L300,IFERROR(IF(ISNUMBER(INDEX(art_tva,MATCH($E300,art_ref,0))),INDEX(art_tva,MATCH($E300,art_ref,0)),""),"")))</f>
        <v/>
      </c>
      <c r="N300" s="70" t="str">
        <f>IF(OR(E300="",J300=""),"",ROUND(N(H300)*J300*(1-N(K300)),2))</f>
        <v/>
      </c>
      <c r="O300" s="70" t="str">
        <f>IF(OR(N300="",NOT(ISNUMBER(M300))),"",ROUND(N300*M300,2))</f>
        <v/>
      </c>
      <c r="P300" s="70" t="str">
        <f>IF(N300="","",N300+N(O300))</f>
        <v/>
      </c>
      <c r="Q300" s="64" t="n"/>
      <c r="R300" s="73" t="str">
        <f>IF(N(Q300)&gt;0,Q300,IF(OR(N(B300)=0,ISNA(MATCH($C300,sup_code,0))),"",IF(ISNUMBER(INDEX(sup_delay,MATCH($C300,sup_code,0))),B300+INDEX(sup_delay,MATCH($C300,sup_code,0)),"")))</f>
        <v/>
      </c>
      <c r="S300" s="64" t="n"/>
      <c r="T300" s="68" t="n"/>
      <c r="U300" s="64" t="n"/>
      <c r="V300" s="65" t="n"/>
      <c r="W300" s="74" t="str">
        <f>IF(AND(A300="",E300=""),"",IF(V300="Oui",0,MAX(0,ROUND(N(H300)-N(T300),6))))</f>
        <v/>
      </c>
      <c r="X300" s="67" t="str">
        <f>IF(AND(A300="",E300=""),"",IF(V300="Oui","Annulé",IF(AND(N(H300)&gt;0,N(T300)&gt;=N(H300)),"Reçu",IF(N(S300)=0,"Brouillon",IF(AND(ISNUMBER(R300),R300&lt;p_today),"En retard",IF(N(T300)&gt;0,"Partiel","Envoyé"))))))</f>
        <v/>
      </c>
      <c r="Y300" s="75" t="str">
        <f>IF(X300="En retard",p_today-R300,IF(AND(X300="Reçu",ISNUMBER(R300)),MAX(0,N(U300)-R300),""))</f>
        <v/>
      </c>
      <c r="Z300" s="67" t="str">
        <f>IF(AND(A300="",E300=""),"",IF(A300="","N° de bon manquant",IF(N(B300)=0,"Date de commande manquante",IF(C300="","Fournisseur manquant",IF(ISNA(MATCH($C300,sup_code,0)),"Fournisseur inconnu",IF(E300="","Article manquant",IF(ISNA(MATCH($E300,art_ref,0)),"Article inconnu",IF(N(H300)&lt;=0,"Quantité invalide",IF(J300="","Prix manquant",IF(OR(N(K300)&lt;0,N(K300)&gt;=1),"Remise invalide",IF(M300="","TVA manquante",IF(ISNA(MATCH(M300,p_tva,0)),"Taux de TVA inconnu",IF(COUNTIFS(po_num,A300,po_sup,"&lt;&gt;"&amp;C300)&gt;0,"Fournisseur différent sur ce bon",IF(COUNTIFS(po_num,A300,po_date,"&lt;&gt;"&amp;B300)&gt;0,"Date différente sur ce bon",IF(COUNTIF(po_num,A300)&gt;25,"Plus de 25 lignes sur ce bon",IF(R300="","Date de livraison manquante",IF(R300&lt;B300,"Livraison avant la commande",IF(AND(N(T300)&gt;0,N(S300)=0),"Date d'envoi manquante",IF(N(T300)&gt;N(H300),"Reçu plus que commandé",IF(AND(N(T300)&gt;0,N(U300)=0),"Date de réception manquante",IF(AND(N(U300)&gt;0,U300&lt;B300),"Réception avant la commande","OK")))))))))))))))))))))</f>
        <v/>
      </c>
      <c r="AA300" s="66" t="str">
        <f>IF(AND(X300="Reçu",ISNUMBER(R300)),IF(N(U300)&lt;=R300,1,0),"")</f>
        <v/>
      </c>
      <c r="AB300" s="76" t="str">
        <f>IF(OR(X300="Envoyé",X300="Partiel",X300="En retard"),IF(ISNUMBER(R300),R300,100000)+ROW()/100000,"")</f>
        <v/>
      </c>
      <c r="AC300" s="66" t="str">
        <f>IF(A300="","",IF(COUNTIF($A$6:A300,A300)=1,1,""))</f>
        <v/>
      </c>
      <c r="AD300" s="66" t="str">
        <f>IF(AC300=1,COUNT($AC$6:AC300),"")</f>
        <v/>
      </c>
      <c r="AE300" s="66" t="str">
        <f>IFERROR(INDEX(po_num,MATCH(295,po_seq,0))&amp;"","")</f>
        <v/>
      </c>
      <c r="AF300" s="66" t="str">
        <f>IF(OR(A300="",p_po=""),"",IF(A300&amp;""=p_po,COUNTIF($A$6:A300,A300),""))</f>
        <v/>
      </c>
      <c r="AG300" s="66" t="str">
        <f>IF(OR(AB300="",A300=""),"",IF(COUNTIFS($A$6:A300,A300,$AB$6:AB300,"&gt;0")=1,1,""))</f>
        <v/>
      </c>
      <c r="AH300" s="70" t="str">
        <f>IF(AB300="","",ROUND(N(W300)*N(J300)*(1-N(K300)),2))</f>
        <v/>
      </c>
      <c r="AI300" s="70" t="str">
        <f>IF(OR(J300="",N(T300)&lt;=0,V300="Oui"),"",ROUND(N(T300)*J300*(1-N(K300)),2))</f>
        <v/>
      </c>
    </row>
    <row r="301">
      <c r="A301" s="63" t="n"/>
      <c r="B301" s="64" t="n"/>
      <c r="C301" s="65" t="n"/>
      <c r="D301" s="66" t="str">
        <f>IF(C301="","",IFERROR(INDEX(sup_name,MATCH($C301,sup_code,0))&amp;"","Fournisseur inconnu"))</f>
        <v/>
      </c>
      <c r="E301" s="63" t="n"/>
      <c r="F301" s="66" t="str">
        <f>IF(E301="","",IFERROR(INDEX(art_des,MATCH($E301,art_ref,0))&amp;"","Article inconnu"))</f>
        <v/>
      </c>
      <c r="G301" s="67" t="str">
        <f>IF(E301="","",IFERROR(INDEX(art_unit,MATCH($E301,art_ref,0))&amp;"",""))</f>
        <v/>
      </c>
      <c r="H301" s="68" t="n"/>
      <c r="I301" s="69" t="n"/>
      <c r="J301" s="70" t="str">
        <f>IF(E301="","",IF(ISNUMBER(I301),I301,IFERROR(IF(ISNUMBER(INDEX(art_price,MATCH($E301,art_ref,0))),INDEX(art_price,MATCH($E301,art_ref,0)),""),"")))</f>
        <v/>
      </c>
      <c r="K301" s="71" t="n"/>
      <c r="L301" s="72" t="n"/>
      <c r="M301" s="72" t="str">
        <f>IF(E301="","",IF(L301&lt;&gt;"",L301,IFERROR(IF(ISNUMBER(INDEX(art_tva,MATCH($E301,art_ref,0))),INDEX(art_tva,MATCH($E301,art_ref,0)),""),"")))</f>
        <v/>
      </c>
      <c r="N301" s="70" t="str">
        <f>IF(OR(E301="",J301=""),"",ROUND(N(H301)*J301*(1-N(K301)),2))</f>
        <v/>
      </c>
      <c r="O301" s="70" t="str">
        <f>IF(OR(N301="",NOT(ISNUMBER(M301))),"",ROUND(N301*M301,2))</f>
        <v/>
      </c>
      <c r="P301" s="70" t="str">
        <f>IF(N301="","",N301+N(O301))</f>
        <v/>
      </c>
      <c r="Q301" s="64" t="n"/>
      <c r="R301" s="73" t="str">
        <f>IF(N(Q301)&gt;0,Q301,IF(OR(N(B301)=0,ISNA(MATCH($C301,sup_code,0))),"",IF(ISNUMBER(INDEX(sup_delay,MATCH($C301,sup_code,0))),B301+INDEX(sup_delay,MATCH($C301,sup_code,0)),"")))</f>
        <v/>
      </c>
      <c r="S301" s="64" t="n"/>
      <c r="T301" s="68" t="n"/>
      <c r="U301" s="64" t="n"/>
      <c r="V301" s="65" t="n"/>
      <c r="W301" s="74" t="str">
        <f>IF(AND(A301="",E301=""),"",IF(V301="Oui",0,MAX(0,ROUND(N(H301)-N(T301),6))))</f>
        <v/>
      </c>
      <c r="X301" s="67" t="str">
        <f>IF(AND(A301="",E301=""),"",IF(V301="Oui","Annulé",IF(AND(N(H301)&gt;0,N(T301)&gt;=N(H301)),"Reçu",IF(N(S301)=0,"Brouillon",IF(AND(ISNUMBER(R301),R301&lt;p_today),"En retard",IF(N(T301)&gt;0,"Partiel","Envoyé"))))))</f>
        <v/>
      </c>
      <c r="Y301" s="75" t="str">
        <f>IF(X301="En retard",p_today-R301,IF(AND(X301="Reçu",ISNUMBER(R301)),MAX(0,N(U301)-R301),""))</f>
        <v/>
      </c>
      <c r="Z301" s="67" t="str">
        <f>IF(AND(A301="",E301=""),"",IF(A301="","N° de bon manquant",IF(N(B301)=0,"Date de commande manquante",IF(C301="","Fournisseur manquant",IF(ISNA(MATCH($C301,sup_code,0)),"Fournisseur inconnu",IF(E301="","Article manquant",IF(ISNA(MATCH($E301,art_ref,0)),"Article inconnu",IF(N(H301)&lt;=0,"Quantité invalide",IF(J301="","Prix manquant",IF(OR(N(K301)&lt;0,N(K301)&gt;=1),"Remise invalide",IF(M301="","TVA manquante",IF(ISNA(MATCH(M301,p_tva,0)),"Taux de TVA inconnu",IF(COUNTIFS(po_num,A301,po_sup,"&lt;&gt;"&amp;C301)&gt;0,"Fournisseur différent sur ce bon",IF(COUNTIFS(po_num,A301,po_date,"&lt;&gt;"&amp;B301)&gt;0,"Date différente sur ce bon",IF(COUNTIF(po_num,A301)&gt;25,"Plus de 25 lignes sur ce bon",IF(R301="","Date de livraison manquante",IF(R301&lt;B301,"Livraison avant la commande",IF(AND(N(T301)&gt;0,N(S301)=0),"Date d'envoi manquante",IF(N(T301)&gt;N(H301),"Reçu plus que commandé",IF(AND(N(T301)&gt;0,N(U301)=0),"Date de réception manquante",IF(AND(N(U301)&gt;0,U301&lt;B301),"Réception avant la commande","OK")))))))))))))))))))))</f>
        <v/>
      </c>
      <c r="AA301" s="66" t="str">
        <f>IF(AND(X301="Reçu",ISNUMBER(R301)),IF(N(U301)&lt;=R301,1,0),"")</f>
        <v/>
      </c>
      <c r="AB301" s="76" t="str">
        <f>IF(OR(X301="Envoyé",X301="Partiel",X301="En retard"),IF(ISNUMBER(R301),R301,100000)+ROW()/100000,"")</f>
        <v/>
      </c>
      <c r="AC301" s="66" t="str">
        <f>IF(A301="","",IF(COUNTIF($A$6:A301,A301)=1,1,""))</f>
        <v/>
      </c>
      <c r="AD301" s="66" t="str">
        <f>IF(AC301=1,COUNT($AC$6:AC301),"")</f>
        <v/>
      </c>
      <c r="AE301" s="66" t="str">
        <f>IFERROR(INDEX(po_num,MATCH(296,po_seq,0))&amp;"","")</f>
        <v/>
      </c>
      <c r="AF301" s="66" t="str">
        <f>IF(OR(A301="",p_po=""),"",IF(A301&amp;""=p_po,COUNTIF($A$6:A301,A301),""))</f>
        <v/>
      </c>
      <c r="AG301" s="66" t="str">
        <f>IF(OR(AB301="",A301=""),"",IF(COUNTIFS($A$6:A301,A301,$AB$6:AB301,"&gt;0")=1,1,""))</f>
        <v/>
      </c>
      <c r="AH301" s="70" t="str">
        <f>IF(AB301="","",ROUND(N(W301)*N(J301)*(1-N(K301)),2))</f>
        <v/>
      </c>
      <c r="AI301" s="70" t="str">
        <f>IF(OR(J301="",N(T301)&lt;=0,V301="Oui"),"",ROUND(N(T301)*J301*(1-N(K301)),2))</f>
        <v/>
      </c>
    </row>
    <row r="302">
      <c r="A302" s="63" t="n"/>
      <c r="B302" s="64" t="n"/>
      <c r="C302" s="65" t="n"/>
      <c r="D302" s="66" t="str">
        <f>IF(C302="","",IFERROR(INDEX(sup_name,MATCH($C302,sup_code,0))&amp;"","Fournisseur inconnu"))</f>
        <v/>
      </c>
      <c r="E302" s="63" t="n"/>
      <c r="F302" s="66" t="str">
        <f>IF(E302="","",IFERROR(INDEX(art_des,MATCH($E302,art_ref,0))&amp;"","Article inconnu"))</f>
        <v/>
      </c>
      <c r="G302" s="67" t="str">
        <f>IF(E302="","",IFERROR(INDEX(art_unit,MATCH($E302,art_ref,0))&amp;"",""))</f>
        <v/>
      </c>
      <c r="H302" s="68" t="n"/>
      <c r="I302" s="69" t="n"/>
      <c r="J302" s="70" t="str">
        <f>IF(E302="","",IF(ISNUMBER(I302),I302,IFERROR(IF(ISNUMBER(INDEX(art_price,MATCH($E302,art_ref,0))),INDEX(art_price,MATCH($E302,art_ref,0)),""),"")))</f>
        <v/>
      </c>
      <c r="K302" s="71" t="n"/>
      <c r="L302" s="72" t="n"/>
      <c r="M302" s="72" t="str">
        <f>IF(E302="","",IF(L302&lt;&gt;"",L302,IFERROR(IF(ISNUMBER(INDEX(art_tva,MATCH($E302,art_ref,0))),INDEX(art_tva,MATCH($E302,art_ref,0)),""),"")))</f>
        <v/>
      </c>
      <c r="N302" s="70" t="str">
        <f>IF(OR(E302="",J302=""),"",ROUND(N(H302)*J302*(1-N(K302)),2))</f>
        <v/>
      </c>
      <c r="O302" s="70" t="str">
        <f>IF(OR(N302="",NOT(ISNUMBER(M302))),"",ROUND(N302*M302,2))</f>
        <v/>
      </c>
      <c r="P302" s="70" t="str">
        <f>IF(N302="","",N302+N(O302))</f>
        <v/>
      </c>
      <c r="Q302" s="64" t="n"/>
      <c r="R302" s="73" t="str">
        <f>IF(N(Q302)&gt;0,Q302,IF(OR(N(B302)=0,ISNA(MATCH($C302,sup_code,0))),"",IF(ISNUMBER(INDEX(sup_delay,MATCH($C302,sup_code,0))),B302+INDEX(sup_delay,MATCH($C302,sup_code,0)),"")))</f>
        <v/>
      </c>
      <c r="S302" s="64" t="n"/>
      <c r="T302" s="68" t="n"/>
      <c r="U302" s="64" t="n"/>
      <c r="V302" s="65" t="n"/>
      <c r="W302" s="74" t="str">
        <f>IF(AND(A302="",E302=""),"",IF(V302="Oui",0,MAX(0,ROUND(N(H302)-N(T302),6))))</f>
        <v/>
      </c>
      <c r="X302" s="67" t="str">
        <f>IF(AND(A302="",E302=""),"",IF(V302="Oui","Annulé",IF(AND(N(H302)&gt;0,N(T302)&gt;=N(H302)),"Reçu",IF(N(S302)=0,"Brouillon",IF(AND(ISNUMBER(R302),R302&lt;p_today),"En retard",IF(N(T302)&gt;0,"Partiel","Envoyé"))))))</f>
        <v/>
      </c>
      <c r="Y302" s="75" t="str">
        <f>IF(X302="En retard",p_today-R302,IF(AND(X302="Reçu",ISNUMBER(R302)),MAX(0,N(U302)-R302),""))</f>
        <v/>
      </c>
      <c r="Z302" s="67" t="str">
        <f>IF(AND(A302="",E302=""),"",IF(A302="","N° de bon manquant",IF(N(B302)=0,"Date de commande manquante",IF(C302="","Fournisseur manquant",IF(ISNA(MATCH($C302,sup_code,0)),"Fournisseur inconnu",IF(E302="","Article manquant",IF(ISNA(MATCH($E302,art_ref,0)),"Article inconnu",IF(N(H302)&lt;=0,"Quantité invalide",IF(J302="","Prix manquant",IF(OR(N(K302)&lt;0,N(K302)&gt;=1),"Remise invalide",IF(M302="","TVA manquante",IF(ISNA(MATCH(M302,p_tva,0)),"Taux de TVA inconnu",IF(COUNTIFS(po_num,A302,po_sup,"&lt;&gt;"&amp;C302)&gt;0,"Fournisseur différent sur ce bon",IF(COUNTIFS(po_num,A302,po_date,"&lt;&gt;"&amp;B302)&gt;0,"Date différente sur ce bon",IF(COUNTIF(po_num,A302)&gt;25,"Plus de 25 lignes sur ce bon",IF(R302="","Date de livraison manquante",IF(R302&lt;B302,"Livraison avant la commande",IF(AND(N(T302)&gt;0,N(S302)=0),"Date d'envoi manquante",IF(N(T302)&gt;N(H302),"Reçu plus que commandé",IF(AND(N(T302)&gt;0,N(U302)=0),"Date de réception manquante",IF(AND(N(U302)&gt;0,U302&lt;B302),"Réception avant la commande","OK")))))))))))))))))))))</f>
        <v/>
      </c>
      <c r="AA302" s="66" t="str">
        <f>IF(AND(X302="Reçu",ISNUMBER(R302)),IF(N(U302)&lt;=R302,1,0),"")</f>
        <v/>
      </c>
      <c r="AB302" s="76" t="str">
        <f>IF(OR(X302="Envoyé",X302="Partiel",X302="En retard"),IF(ISNUMBER(R302),R302,100000)+ROW()/100000,"")</f>
        <v/>
      </c>
      <c r="AC302" s="66" t="str">
        <f>IF(A302="","",IF(COUNTIF($A$6:A302,A302)=1,1,""))</f>
        <v/>
      </c>
      <c r="AD302" s="66" t="str">
        <f>IF(AC302=1,COUNT($AC$6:AC302),"")</f>
        <v/>
      </c>
      <c r="AE302" s="66" t="str">
        <f>IFERROR(INDEX(po_num,MATCH(297,po_seq,0))&amp;"","")</f>
        <v/>
      </c>
      <c r="AF302" s="66" t="str">
        <f>IF(OR(A302="",p_po=""),"",IF(A302&amp;""=p_po,COUNTIF($A$6:A302,A302),""))</f>
        <v/>
      </c>
      <c r="AG302" s="66" t="str">
        <f>IF(OR(AB302="",A302=""),"",IF(COUNTIFS($A$6:A302,A302,$AB$6:AB302,"&gt;0")=1,1,""))</f>
        <v/>
      </c>
      <c r="AH302" s="70" t="str">
        <f>IF(AB302="","",ROUND(N(W302)*N(J302)*(1-N(K302)),2))</f>
        <v/>
      </c>
      <c r="AI302" s="70" t="str">
        <f>IF(OR(J302="",N(T302)&lt;=0,V302="Oui"),"",ROUND(N(T302)*J302*(1-N(K302)),2))</f>
        <v/>
      </c>
    </row>
    <row r="303">
      <c r="A303" s="63" t="n"/>
      <c r="B303" s="64" t="n"/>
      <c r="C303" s="65" t="n"/>
      <c r="D303" s="66" t="str">
        <f>IF(C303="","",IFERROR(INDEX(sup_name,MATCH($C303,sup_code,0))&amp;"","Fournisseur inconnu"))</f>
        <v/>
      </c>
      <c r="E303" s="63" t="n"/>
      <c r="F303" s="66" t="str">
        <f>IF(E303="","",IFERROR(INDEX(art_des,MATCH($E303,art_ref,0))&amp;"","Article inconnu"))</f>
        <v/>
      </c>
      <c r="G303" s="67" t="str">
        <f>IF(E303="","",IFERROR(INDEX(art_unit,MATCH($E303,art_ref,0))&amp;"",""))</f>
        <v/>
      </c>
      <c r="H303" s="68" t="n"/>
      <c r="I303" s="69" t="n"/>
      <c r="J303" s="70" t="str">
        <f>IF(E303="","",IF(ISNUMBER(I303),I303,IFERROR(IF(ISNUMBER(INDEX(art_price,MATCH($E303,art_ref,0))),INDEX(art_price,MATCH($E303,art_ref,0)),""),"")))</f>
        <v/>
      </c>
      <c r="K303" s="71" t="n"/>
      <c r="L303" s="72" t="n"/>
      <c r="M303" s="72" t="str">
        <f>IF(E303="","",IF(L303&lt;&gt;"",L303,IFERROR(IF(ISNUMBER(INDEX(art_tva,MATCH($E303,art_ref,0))),INDEX(art_tva,MATCH($E303,art_ref,0)),""),"")))</f>
        <v/>
      </c>
      <c r="N303" s="70" t="str">
        <f>IF(OR(E303="",J303=""),"",ROUND(N(H303)*J303*(1-N(K303)),2))</f>
        <v/>
      </c>
      <c r="O303" s="70" t="str">
        <f>IF(OR(N303="",NOT(ISNUMBER(M303))),"",ROUND(N303*M303,2))</f>
        <v/>
      </c>
      <c r="P303" s="70" t="str">
        <f>IF(N303="","",N303+N(O303))</f>
        <v/>
      </c>
      <c r="Q303" s="64" t="n"/>
      <c r="R303" s="73" t="str">
        <f>IF(N(Q303)&gt;0,Q303,IF(OR(N(B303)=0,ISNA(MATCH($C303,sup_code,0))),"",IF(ISNUMBER(INDEX(sup_delay,MATCH($C303,sup_code,0))),B303+INDEX(sup_delay,MATCH($C303,sup_code,0)),"")))</f>
        <v/>
      </c>
      <c r="S303" s="64" t="n"/>
      <c r="T303" s="68" t="n"/>
      <c r="U303" s="64" t="n"/>
      <c r="V303" s="65" t="n"/>
      <c r="W303" s="74" t="str">
        <f>IF(AND(A303="",E303=""),"",IF(V303="Oui",0,MAX(0,ROUND(N(H303)-N(T303),6))))</f>
        <v/>
      </c>
      <c r="X303" s="67" t="str">
        <f>IF(AND(A303="",E303=""),"",IF(V303="Oui","Annulé",IF(AND(N(H303)&gt;0,N(T303)&gt;=N(H303)),"Reçu",IF(N(S303)=0,"Brouillon",IF(AND(ISNUMBER(R303),R303&lt;p_today),"En retard",IF(N(T303)&gt;0,"Partiel","Envoyé"))))))</f>
        <v/>
      </c>
      <c r="Y303" s="75" t="str">
        <f>IF(X303="En retard",p_today-R303,IF(AND(X303="Reçu",ISNUMBER(R303)),MAX(0,N(U303)-R303),""))</f>
        <v/>
      </c>
      <c r="Z303" s="67" t="str">
        <f>IF(AND(A303="",E303=""),"",IF(A303="","N° de bon manquant",IF(N(B303)=0,"Date de commande manquante",IF(C303="","Fournisseur manquant",IF(ISNA(MATCH($C303,sup_code,0)),"Fournisseur inconnu",IF(E303="","Article manquant",IF(ISNA(MATCH($E303,art_ref,0)),"Article inconnu",IF(N(H303)&lt;=0,"Quantité invalide",IF(J303="","Prix manquant",IF(OR(N(K303)&lt;0,N(K303)&gt;=1),"Remise invalide",IF(M303="","TVA manquante",IF(ISNA(MATCH(M303,p_tva,0)),"Taux de TVA inconnu",IF(COUNTIFS(po_num,A303,po_sup,"&lt;&gt;"&amp;C303)&gt;0,"Fournisseur différent sur ce bon",IF(COUNTIFS(po_num,A303,po_date,"&lt;&gt;"&amp;B303)&gt;0,"Date différente sur ce bon",IF(COUNTIF(po_num,A303)&gt;25,"Plus de 25 lignes sur ce bon",IF(R303="","Date de livraison manquante",IF(R303&lt;B303,"Livraison avant la commande",IF(AND(N(T303)&gt;0,N(S303)=0),"Date d'envoi manquante",IF(N(T303)&gt;N(H303),"Reçu plus que commandé",IF(AND(N(T303)&gt;0,N(U303)=0),"Date de réception manquante",IF(AND(N(U303)&gt;0,U303&lt;B303),"Réception avant la commande","OK")))))))))))))))))))))</f>
        <v/>
      </c>
      <c r="AA303" s="66" t="str">
        <f>IF(AND(X303="Reçu",ISNUMBER(R303)),IF(N(U303)&lt;=R303,1,0),"")</f>
        <v/>
      </c>
      <c r="AB303" s="76" t="str">
        <f>IF(OR(X303="Envoyé",X303="Partiel",X303="En retard"),IF(ISNUMBER(R303),R303,100000)+ROW()/100000,"")</f>
        <v/>
      </c>
      <c r="AC303" s="66" t="str">
        <f>IF(A303="","",IF(COUNTIF($A$6:A303,A303)=1,1,""))</f>
        <v/>
      </c>
      <c r="AD303" s="66" t="str">
        <f>IF(AC303=1,COUNT($AC$6:AC303),"")</f>
        <v/>
      </c>
      <c r="AE303" s="66" t="str">
        <f>IFERROR(INDEX(po_num,MATCH(298,po_seq,0))&amp;"","")</f>
        <v/>
      </c>
      <c r="AF303" s="66" t="str">
        <f>IF(OR(A303="",p_po=""),"",IF(A303&amp;""=p_po,COUNTIF($A$6:A303,A303),""))</f>
        <v/>
      </c>
      <c r="AG303" s="66" t="str">
        <f>IF(OR(AB303="",A303=""),"",IF(COUNTIFS($A$6:A303,A303,$AB$6:AB303,"&gt;0")=1,1,""))</f>
        <v/>
      </c>
      <c r="AH303" s="70" t="str">
        <f>IF(AB303="","",ROUND(N(W303)*N(J303)*(1-N(K303)),2))</f>
        <v/>
      </c>
      <c r="AI303" s="70" t="str">
        <f>IF(OR(J303="",N(T303)&lt;=0,V303="Oui"),"",ROUND(N(T303)*J303*(1-N(K303)),2))</f>
        <v/>
      </c>
    </row>
    <row r="304">
      <c r="A304" s="63" t="n"/>
      <c r="B304" s="64" t="n"/>
      <c r="C304" s="65" t="n"/>
      <c r="D304" s="66" t="str">
        <f>IF(C304="","",IFERROR(INDEX(sup_name,MATCH($C304,sup_code,0))&amp;"","Fournisseur inconnu"))</f>
        <v/>
      </c>
      <c r="E304" s="63" t="n"/>
      <c r="F304" s="66" t="str">
        <f>IF(E304="","",IFERROR(INDEX(art_des,MATCH($E304,art_ref,0))&amp;"","Article inconnu"))</f>
        <v/>
      </c>
      <c r="G304" s="67" t="str">
        <f>IF(E304="","",IFERROR(INDEX(art_unit,MATCH($E304,art_ref,0))&amp;"",""))</f>
        <v/>
      </c>
      <c r="H304" s="68" t="n"/>
      <c r="I304" s="69" t="n"/>
      <c r="J304" s="70" t="str">
        <f>IF(E304="","",IF(ISNUMBER(I304),I304,IFERROR(IF(ISNUMBER(INDEX(art_price,MATCH($E304,art_ref,0))),INDEX(art_price,MATCH($E304,art_ref,0)),""),"")))</f>
        <v/>
      </c>
      <c r="K304" s="71" t="n"/>
      <c r="L304" s="72" t="n"/>
      <c r="M304" s="72" t="str">
        <f>IF(E304="","",IF(L304&lt;&gt;"",L304,IFERROR(IF(ISNUMBER(INDEX(art_tva,MATCH($E304,art_ref,0))),INDEX(art_tva,MATCH($E304,art_ref,0)),""),"")))</f>
        <v/>
      </c>
      <c r="N304" s="70" t="str">
        <f>IF(OR(E304="",J304=""),"",ROUND(N(H304)*J304*(1-N(K304)),2))</f>
        <v/>
      </c>
      <c r="O304" s="70" t="str">
        <f>IF(OR(N304="",NOT(ISNUMBER(M304))),"",ROUND(N304*M304,2))</f>
        <v/>
      </c>
      <c r="P304" s="70" t="str">
        <f>IF(N304="","",N304+N(O304))</f>
        <v/>
      </c>
      <c r="Q304" s="64" t="n"/>
      <c r="R304" s="73" t="str">
        <f>IF(N(Q304)&gt;0,Q304,IF(OR(N(B304)=0,ISNA(MATCH($C304,sup_code,0))),"",IF(ISNUMBER(INDEX(sup_delay,MATCH($C304,sup_code,0))),B304+INDEX(sup_delay,MATCH($C304,sup_code,0)),"")))</f>
        <v/>
      </c>
      <c r="S304" s="64" t="n"/>
      <c r="T304" s="68" t="n"/>
      <c r="U304" s="64" t="n"/>
      <c r="V304" s="65" t="n"/>
      <c r="W304" s="74" t="str">
        <f>IF(AND(A304="",E304=""),"",IF(V304="Oui",0,MAX(0,ROUND(N(H304)-N(T304),6))))</f>
        <v/>
      </c>
      <c r="X304" s="67" t="str">
        <f>IF(AND(A304="",E304=""),"",IF(V304="Oui","Annulé",IF(AND(N(H304)&gt;0,N(T304)&gt;=N(H304)),"Reçu",IF(N(S304)=0,"Brouillon",IF(AND(ISNUMBER(R304),R304&lt;p_today),"En retard",IF(N(T304)&gt;0,"Partiel","Envoyé"))))))</f>
        <v/>
      </c>
      <c r="Y304" s="75" t="str">
        <f>IF(X304="En retard",p_today-R304,IF(AND(X304="Reçu",ISNUMBER(R304)),MAX(0,N(U304)-R304),""))</f>
        <v/>
      </c>
      <c r="Z304" s="67" t="str">
        <f>IF(AND(A304="",E304=""),"",IF(A304="","N° de bon manquant",IF(N(B304)=0,"Date de commande manquante",IF(C304="","Fournisseur manquant",IF(ISNA(MATCH($C304,sup_code,0)),"Fournisseur inconnu",IF(E304="","Article manquant",IF(ISNA(MATCH($E304,art_ref,0)),"Article inconnu",IF(N(H304)&lt;=0,"Quantité invalide",IF(J304="","Prix manquant",IF(OR(N(K304)&lt;0,N(K304)&gt;=1),"Remise invalide",IF(M304="","TVA manquante",IF(ISNA(MATCH(M304,p_tva,0)),"Taux de TVA inconnu",IF(COUNTIFS(po_num,A304,po_sup,"&lt;&gt;"&amp;C304)&gt;0,"Fournisseur différent sur ce bon",IF(COUNTIFS(po_num,A304,po_date,"&lt;&gt;"&amp;B304)&gt;0,"Date différente sur ce bon",IF(COUNTIF(po_num,A304)&gt;25,"Plus de 25 lignes sur ce bon",IF(R304="","Date de livraison manquante",IF(R304&lt;B304,"Livraison avant la commande",IF(AND(N(T304)&gt;0,N(S304)=0),"Date d'envoi manquante",IF(N(T304)&gt;N(H304),"Reçu plus que commandé",IF(AND(N(T304)&gt;0,N(U304)=0),"Date de réception manquante",IF(AND(N(U304)&gt;0,U304&lt;B304),"Réception avant la commande","OK")))))))))))))))))))))</f>
        <v/>
      </c>
      <c r="AA304" s="66" t="str">
        <f>IF(AND(X304="Reçu",ISNUMBER(R304)),IF(N(U304)&lt;=R304,1,0),"")</f>
        <v/>
      </c>
      <c r="AB304" s="76" t="str">
        <f>IF(OR(X304="Envoyé",X304="Partiel",X304="En retard"),IF(ISNUMBER(R304),R304,100000)+ROW()/100000,"")</f>
        <v/>
      </c>
      <c r="AC304" s="66" t="str">
        <f>IF(A304="","",IF(COUNTIF($A$6:A304,A304)=1,1,""))</f>
        <v/>
      </c>
      <c r="AD304" s="66" t="str">
        <f>IF(AC304=1,COUNT($AC$6:AC304),"")</f>
        <v/>
      </c>
      <c r="AE304" s="66" t="str">
        <f>IFERROR(INDEX(po_num,MATCH(299,po_seq,0))&amp;"","")</f>
        <v/>
      </c>
      <c r="AF304" s="66" t="str">
        <f>IF(OR(A304="",p_po=""),"",IF(A304&amp;""=p_po,COUNTIF($A$6:A304,A304),""))</f>
        <v/>
      </c>
      <c r="AG304" s="66" t="str">
        <f>IF(OR(AB304="",A304=""),"",IF(COUNTIFS($A$6:A304,A304,$AB$6:AB304,"&gt;0")=1,1,""))</f>
        <v/>
      </c>
      <c r="AH304" s="70" t="str">
        <f>IF(AB304="","",ROUND(N(W304)*N(J304)*(1-N(K304)),2))</f>
        <v/>
      </c>
      <c r="AI304" s="70" t="str">
        <f>IF(OR(J304="",N(T304)&lt;=0,V304="Oui"),"",ROUND(N(T304)*J304*(1-N(K304)),2))</f>
        <v/>
      </c>
    </row>
    <row r="305">
      <c r="A305" s="63" t="n"/>
      <c r="B305" s="64" t="n"/>
      <c r="C305" s="65" t="n"/>
      <c r="D305" s="66" t="str">
        <f>IF(C305="","",IFERROR(INDEX(sup_name,MATCH($C305,sup_code,0))&amp;"","Fournisseur inconnu"))</f>
        <v/>
      </c>
      <c r="E305" s="63" t="n"/>
      <c r="F305" s="66" t="str">
        <f>IF(E305="","",IFERROR(INDEX(art_des,MATCH($E305,art_ref,0))&amp;"","Article inconnu"))</f>
        <v/>
      </c>
      <c r="G305" s="67" t="str">
        <f>IF(E305="","",IFERROR(INDEX(art_unit,MATCH($E305,art_ref,0))&amp;"",""))</f>
        <v/>
      </c>
      <c r="H305" s="68" t="n"/>
      <c r="I305" s="69" t="n"/>
      <c r="J305" s="70" t="str">
        <f>IF(E305="","",IF(ISNUMBER(I305),I305,IFERROR(IF(ISNUMBER(INDEX(art_price,MATCH($E305,art_ref,0))),INDEX(art_price,MATCH($E305,art_ref,0)),""),"")))</f>
        <v/>
      </c>
      <c r="K305" s="71" t="n"/>
      <c r="L305" s="72" t="n"/>
      <c r="M305" s="72" t="str">
        <f>IF(E305="","",IF(L305&lt;&gt;"",L305,IFERROR(IF(ISNUMBER(INDEX(art_tva,MATCH($E305,art_ref,0))),INDEX(art_tva,MATCH($E305,art_ref,0)),""),"")))</f>
        <v/>
      </c>
      <c r="N305" s="70" t="str">
        <f>IF(OR(E305="",J305=""),"",ROUND(N(H305)*J305*(1-N(K305)),2))</f>
        <v/>
      </c>
      <c r="O305" s="70" t="str">
        <f>IF(OR(N305="",NOT(ISNUMBER(M305))),"",ROUND(N305*M305,2))</f>
        <v/>
      </c>
      <c r="P305" s="70" t="str">
        <f>IF(N305="","",N305+N(O305))</f>
        <v/>
      </c>
      <c r="Q305" s="64" t="n"/>
      <c r="R305" s="73" t="str">
        <f>IF(N(Q305)&gt;0,Q305,IF(OR(N(B305)=0,ISNA(MATCH($C305,sup_code,0))),"",IF(ISNUMBER(INDEX(sup_delay,MATCH($C305,sup_code,0))),B305+INDEX(sup_delay,MATCH($C305,sup_code,0)),"")))</f>
        <v/>
      </c>
      <c r="S305" s="64" t="n"/>
      <c r="T305" s="68" t="n"/>
      <c r="U305" s="64" t="n"/>
      <c r="V305" s="65" t="n"/>
      <c r="W305" s="74" t="str">
        <f>IF(AND(A305="",E305=""),"",IF(V305="Oui",0,MAX(0,ROUND(N(H305)-N(T305),6))))</f>
        <v/>
      </c>
      <c r="X305" s="67" t="str">
        <f>IF(AND(A305="",E305=""),"",IF(V305="Oui","Annulé",IF(AND(N(H305)&gt;0,N(T305)&gt;=N(H305)),"Reçu",IF(N(S305)=0,"Brouillon",IF(AND(ISNUMBER(R305),R305&lt;p_today),"En retard",IF(N(T305)&gt;0,"Partiel","Envoyé"))))))</f>
        <v/>
      </c>
      <c r="Y305" s="75" t="str">
        <f>IF(X305="En retard",p_today-R305,IF(AND(X305="Reçu",ISNUMBER(R305)),MAX(0,N(U305)-R305),""))</f>
        <v/>
      </c>
      <c r="Z305" s="67" t="str">
        <f>IF(AND(A305="",E305=""),"",IF(A305="","N° de bon manquant",IF(N(B305)=0,"Date de commande manquante",IF(C305="","Fournisseur manquant",IF(ISNA(MATCH($C305,sup_code,0)),"Fournisseur inconnu",IF(E305="","Article manquant",IF(ISNA(MATCH($E305,art_ref,0)),"Article inconnu",IF(N(H305)&lt;=0,"Quantité invalide",IF(J305="","Prix manquant",IF(OR(N(K305)&lt;0,N(K305)&gt;=1),"Remise invalide",IF(M305="","TVA manquante",IF(ISNA(MATCH(M305,p_tva,0)),"Taux de TVA inconnu",IF(COUNTIFS(po_num,A305,po_sup,"&lt;&gt;"&amp;C305)&gt;0,"Fournisseur différent sur ce bon",IF(COUNTIFS(po_num,A305,po_date,"&lt;&gt;"&amp;B305)&gt;0,"Date différente sur ce bon",IF(COUNTIF(po_num,A305)&gt;25,"Plus de 25 lignes sur ce bon",IF(R305="","Date de livraison manquante",IF(R305&lt;B305,"Livraison avant la commande",IF(AND(N(T305)&gt;0,N(S305)=0),"Date d'envoi manquante",IF(N(T305)&gt;N(H305),"Reçu plus que commandé",IF(AND(N(T305)&gt;0,N(U305)=0),"Date de réception manquante",IF(AND(N(U305)&gt;0,U305&lt;B305),"Réception avant la commande","OK")))))))))))))))))))))</f>
        <v/>
      </c>
      <c r="AA305" s="66" t="str">
        <f>IF(AND(X305="Reçu",ISNUMBER(R305)),IF(N(U305)&lt;=R305,1,0),"")</f>
        <v/>
      </c>
      <c r="AB305" s="76" t="str">
        <f>IF(OR(X305="Envoyé",X305="Partiel",X305="En retard"),IF(ISNUMBER(R305),R305,100000)+ROW()/100000,"")</f>
        <v/>
      </c>
      <c r="AC305" s="66" t="str">
        <f>IF(A305="","",IF(COUNTIF($A$6:A305,A305)=1,1,""))</f>
        <v/>
      </c>
      <c r="AD305" s="66" t="str">
        <f>IF(AC305=1,COUNT($AC$6:AC305),"")</f>
        <v/>
      </c>
      <c r="AE305" s="66" t="str">
        <f>IFERROR(INDEX(po_num,MATCH(300,po_seq,0))&amp;"","")</f>
        <v/>
      </c>
      <c r="AF305" s="66" t="str">
        <f>IF(OR(A305="",p_po=""),"",IF(A305&amp;""=p_po,COUNTIF($A$6:A305,A305),""))</f>
        <v/>
      </c>
      <c r="AG305" s="66" t="str">
        <f>IF(OR(AB305="",A305=""),"",IF(COUNTIFS($A$6:A305,A305,$AB$6:AB305,"&gt;0")=1,1,""))</f>
        <v/>
      </c>
      <c r="AH305" s="70" t="str">
        <f>IF(AB305="","",ROUND(N(W305)*N(J305)*(1-N(K305)),2))</f>
        <v/>
      </c>
      <c r="AI305" s="70" t="str">
        <f>IF(OR(J305="",N(T305)&lt;=0,V305="Oui"),"",ROUND(N(T305)*J305*(1-N(K305)),2))</f>
        <v/>
      </c>
    </row>
    <row r="306">
      <c r="A306" s="63" t="n"/>
      <c r="B306" s="64" t="n"/>
      <c r="C306" s="65" t="n"/>
      <c r="D306" s="66" t="str">
        <f>IF(C306="","",IFERROR(INDEX(sup_name,MATCH($C306,sup_code,0))&amp;"","Fournisseur inconnu"))</f>
        <v/>
      </c>
      <c r="E306" s="63" t="n"/>
      <c r="F306" s="66" t="str">
        <f>IF(E306="","",IFERROR(INDEX(art_des,MATCH($E306,art_ref,0))&amp;"","Article inconnu"))</f>
        <v/>
      </c>
      <c r="G306" s="67" t="str">
        <f>IF(E306="","",IFERROR(INDEX(art_unit,MATCH($E306,art_ref,0))&amp;"",""))</f>
        <v/>
      </c>
      <c r="H306" s="68" t="n"/>
      <c r="I306" s="69" t="n"/>
      <c r="J306" s="70" t="str">
        <f>IF(E306="","",IF(ISNUMBER(I306),I306,IFERROR(IF(ISNUMBER(INDEX(art_price,MATCH($E306,art_ref,0))),INDEX(art_price,MATCH($E306,art_ref,0)),""),"")))</f>
        <v/>
      </c>
      <c r="K306" s="71" t="n"/>
      <c r="L306" s="72" t="n"/>
      <c r="M306" s="72" t="str">
        <f>IF(E306="","",IF(L306&lt;&gt;"",L306,IFERROR(IF(ISNUMBER(INDEX(art_tva,MATCH($E306,art_ref,0))),INDEX(art_tva,MATCH($E306,art_ref,0)),""),"")))</f>
        <v/>
      </c>
      <c r="N306" s="70" t="str">
        <f>IF(OR(E306="",J306=""),"",ROUND(N(H306)*J306*(1-N(K306)),2))</f>
        <v/>
      </c>
      <c r="O306" s="70" t="str">
        <f>IF(OR(N306="",NOT(ISNUMBER(M306))),"",ROUND(N306*M306,2))</f>
        <v/>
      </c>
      <c r="P306" s="70" t="str">
        <f>IF(N306="","",N306+N(O306))</f>
        <v/>
      </c>
      <c r="Q306" s="64" t="n"/>
      <c r="R306" s="73" t="str">
        <f>IF(N(Q306)&gt;0,Q306,IF(OR(N(B306)=0,ISNA(MATCH($C306,sup_code,0))),"",IF(ISNUMBER(INDEX(sup_delay,MATCH($C306,sup_code,0))),B306+INDEX(sup_delay,MATCH($C306,sup_code,0)),"")))</f>
        <v/>
      </c>
      <c r="S306" s="64" t="n"/>
      <c r="T306" s="68" t="n"/>
      <c r="U306" s="64" t="n"/>
      <c r="V306" s="65" t="n"/>
      <c r="W306" s="74" t="str">
        <f>IF(AND(A306="",E306=""),"",IF(V306="Oui",0,MAX(0,ROUND(N(H306)-N(T306),6))))</f>
        <v/>
      </c>
      <c r="X306" s="67" t="str">
        <f>IF(AND(A306="",E306=""),"",IF(V306="Oui","Annulé",IF(AND(N(H306)&gt;0,N(T306)&gt;=N(H306)),"Reçu",IF(N(S306)=0,"Brouillon",IF(AND(ISNUMBER(R306),R306&lt;p_today),"En retard",IF(N(T306)&gt;0,"Partiel","Envoyé"))))))</f>
        <v/>
      </c>
      <c r="Y306" s="75" t="str">
        <f>IF(X306="En retard",p_today-R306,IF(AND(X306="Reçu",ISNUMBER(R306)),MAX(0,N(U306)-R306),""))</f>
        <v/>
      </c>
      <c r="Z306" s="67" t="str">
        <f>IF(AND(A306="",E306=""),"",IF(A306="","N° de bon manquant",IF(N(B306)=0,"Date de commande manquante",IF(C306="","Fournisseur manquant",IF(ISNA(MATCH($C306,sup_code,0)),"Fournisseur inconnu",IF(E306="","Article manquant",IF(ISNA(MATCH($E306,art_ref,0)),"Article inconnu",IF(N(H306)&lt;=0,"Quantité invalide",IF(J306="","Prix manquant",IF(OR(N(K306)&lt;0,N(K306)&gt;=1),"Remise invalide",IF(M306="","TVA manquante",IF(ISNA(MATCH(M306,p_tva,0)),"Taux de TVA inconnu",IF(COUNTIFS(po_num,A306,po_sup,"&lt;&gt;"&amp;C306)&gt;0,"Fournisseur différent sur ce bon",IF(COUNTIFS(po_num,A306,po_date,"&lt;&gt;"&amp;B306)&gt;0,"Date différente sur ce bon",IF(COUNTIF(po_num,A306)&gt;25,"Plus de 25 lignes sur ce bon",IF(R306="","Date de livraison manquante",IF(R306&lt;B306,"Livraison avant la commande",IF(AND(N(T306)&gt;0,N(S306)=0),"Date d'envoi manquante",IF(N(T306)&gt;N(H306),"Reçu plus que commandé",IF(AND(N(T306)&gt;0,N(U306)=0),"Date de réception manquante",IF(AND(N(U306)&gt;0,U306&lt;B306),"Réception avant la commande","OK")))))))))))))))))))))</f>
        <v/>
      </c>
      <c r="AA306" s="66" t="str">
        <f>IF(AND(X306="Reçu",ISNUMBER(R306)),IF(N(U306)&lt;=R306,1,0),"")</f>
        <v/>
      </c>
      <c r="AB306" s="76" t="str">
        <f>IF(OR(X306="Envoyé",X306="Partiel",X306="En retard"),IF(ISNUMBER(R306),R306,100000)+ROW()/100000,"")</f>
        <v/>
      </c>
      <c r="AC306" s="66" t="str">
        <f>IF(A306="","",IF(COUNTIF($A$6:A306,A306)=1,1,""))</f>
        <v/>
      </c>
      <c r="AD306" s="66" t="str">
        <f>IF(AC306=1,COUNT($AC$6:AC306),"")</f>
        <v/>
      </c>
      <c r="AE306" s="66" t="str">
        <f>IFERROR(INDEX(po_num,MATCH(301,po_seq,0))&amp;"","")</f>
        <v/>
      </c>
      <c r="AF306" s="66" t="str">
        <f>IF(OR(A306="",p_po=""),"",IF(A306&amp;""=p_po,COUNTIF($A$6:A306,A306),""))</f>
        <v/>
      </c>
      <c r="AG306" s="66" t="str">
        <f>IF(OR(AB306="",A306=""),"",IF(COUNTIFS($A$6:A306,A306,$AB$6:AB306,"&gt;0")=1,1,""))</f>
        <v/>
      </c>
      <c r="AH306" s="70" t="str">
        <f>IF(AB306="","",ROUND(N(W306)*N(J306)*(1-N(K306)),2))</f>
        <v/>
      </c>
      <c r="AI306" s="70" t="str">
        <f>IF(OR(J306="",N(T306)&lt;=0,V306="Oui"),"",ROUND(N(T306)*J306*(1-N(K306)),2))</f>
        <v/>
      </c>
    </row>
    <row r="307">
      <c r="A307" s="63" t="n"/>
      <c r="B307" s="64" t="n"/>
      <c r="C307" s="65" t="n"/>
      <c r="D307" s="66" t="str">
        <f>IF(C307="","",IFERROR(INDEX(sup_name,MATCH($C307,sup_code,0))&amp;"","Fournisseur inconnu"))</f>
        <v/>
      </c>
      <c r="E307" s="63" t="n"/>
      <c r="F307" s="66" t="str">
        <f>IF(E307="","",IFERROR(INDEX(art_des,MATCH($E307,art_ref,0))&amp;"","Article inconnu"))</f>
        <v/>
      </c>
      <c r="G307" s="67" t="str">
        <f>IF(E307="","",IFERROR(INDEX(art_unit,MATCH($E307,art_ref,0))&amp;"",""))</f>
        <v/>
      </c>
      <c r="H307" s="68" t="n"/>
      <c r="I307" s="69" t="n"/>
      <c r="J307" s="70" t="str">
        <f>IF(E307="","",IF(ISNUMBER(I307),I307,IFERROR(IF(ISNUMBER(INDEX(art_price,MATCH($E307,art_ref,0))),INDEX(art_price,MATCH($E307,art_ref,0)),""),"")))</f>
        <v/>
      </c>
      <c r="K307" s="71" t="n"/>
      <c r="L307" s="72" t="n"/>
      <c r="M307" s="72" t="str">
        <f>IF(E307="","",IF(L307&lt;&gt;"",L307,IFERROR(IF(ISNUMBER(INDEX(art_tva,MATCH($E307,art_ref,0))),INDEX(art_tva,MATCH($E307,art_ref,0)),""),"")))</f>
        <v/>
      </c>
      <c r="N307" s="70" t="str">
        <f>IF(OR(E307="",J307=""),"",ROUND(N(H307)*J307*(1-N(K307)),2))</f>
        <v/>
      </c>
      <c r="O307" s="70" t="str">
        <f>IF(OR(N307="",NOT(ISNUMBER(M307))),"",ROUND(N307*M307,2))</f>
        <v/>
      </c>
      <c r="P307" s="70" t="str">
        <f>IF(N307="","",N307+N(O307))</f>
        <v/>
      </c>
      <c r="Q307" s="64" t="n"/>
      <c r="R307" s="73" t="str">
        <f>IF(N(Q307)&gt;0,Q307,IF(OR(N(B307)=0,ISNA(MATCH($C307,sup_code,0))),"",IF(ISNUMBER(INDEX(sup_delay,MATCH($C307,sup_code,0))),B307+INDEX(sup_delay,MATCH($C307,sup_code,0)),"")))</f>
        <v/>
      </c>
      <c r="S307" s="64" t="n"/>
      <c r="T307" s="68" t="n"/>
      <c r="U307" s="64" t="n"/>
      <c r="V307" s="65" t="n"/>
      <c r="W307" s="74" t="str">
        <f>IF(AND(A307="",E307=""),"",IF(V307="Oui",0,MAX(0,ROUND(N(H307)-N(T307),6))))</f>
        <v/>
      </c>
      <c r="X307" s="67" t="str">
        <f>IF(AND(A307="",E307=""),"",IF(V307="Oui","Annulé",IF(AND(N(H307)&gt;0,N(T307)&gt;=N(H307)),"Reçu",IF(N(S307)=0,"Brouillon",IF(AND(ISNUMBER(R307),R307&lt;p_today),"En retard",IF(N(T307)&gt;0,"Partiel","Envoyé"))))))</f>
        <v/>
      </c>
      <c r="Y307" s="75" t="str">
        <f>IF(X307="En retard",p_today-R307,IF(AND(X307="Reçu",ISNUMBER(R307)),MAX(0,N(U307)-R307),""))</f>
        <v/>
      </c>
      <c r="Z307" s="67" t="str">
        <f>IF(AND(A307="",E307=""),"",IF(A307="","N° de bon manquant",IF(N(B307)=0,"Date de commande manquante",IF(C307="","Fournisseur manquant",IF(ISNA(MATCH($C307,sup_code,0)),"Fournisseur inconnu",IF(E307="","Article manquant",IF(ISNA(MATCH($E307,art_ref,0)),"Article inconnu",IF(N(H307)&lt;=0,"Quantité invalide",IF(J307="","Prix manquant",IF(OR(N(K307)&lt;0,N(K307)&gt;=1),"Remise invalide",IF(M307="","TVA manquante",IF(ISNA(MATCH(M307,p_tva,0)),"Taux de TVA inconnu",IF(COUNTIFS(po_num,A307,po_sup,"&lt;&gt;"&amp;C307)&gt;0,"Fournisseur différent sur ce bon",IF(COUNTIFS(po_num,A307,po_date,"&lt;&gt;"&amp;B307)&gt;0,"Date différente sur ce bon",IF(COUNTIF(po_num,A307)&gt;25,"Plus de 25 lignes sur ce bon",IF(R307="","Date de livraison manquante",IF(R307&lt;B307,"Livraison avant la commande",IF(AND(N(T307)&gt;0,N(S307)=0),"Date d'envoi manquante",IF(N(T307)&gt;N(H307),"Reçu plus que commandé",IF(AND(N(T307)&gt;0,N(U307)=0),"Date de réception manquante",IF(AND(N(U307)&gt;0,U307&lt;B307),"Réception avant la commande","OK")))))))))))))))))))))</f>
        <v/>
      </c>
      <c r="AA307" s="66" t="str">
        <f>IF(AND(X307="Reçu",ISNUMBER(R307)),IF(N(U307)&lt;=R307,1,0),"")</f>
        <v/>
      </c>
      <c r="AB307" s="76" t="str">
        <f>IF(OR(X307="Envoyé",X307="Partiel",X307="En retard"),IF(ISNUMBER(R307),R307,100000)+ROW()/100000,"")</f>
        <v/>
      </c>
      <c r="AC307" s="66" t="str">
        <f>IF(A307="","",IF(COUNTIF($A$6:A307,A307)=1,1,""))</f>
        <v/>
      </c>
      <c r="AD307" s="66" t="str">
        <f>IF(AC307=1,COUNT($AC$6:AC307),"")</f>
        <v/>
      </c>
      <c r="AE307" s="66" t="str">
        <f>IFERROR(INDEX(po_num,MATCH(302,po_seq,0))&amp;"","")</f>
        <v/>
      </c>
      <c r="AF307" s="66" t="str">
        <f>IF(OR(A307="",p_po=""),"",IF(A307&amp;""=p_po,COUNTIF($A$6:A307,A307),""))</f>
        <v/>
      </c>
      <c r="AG307" s="66" t="str">
        <f>IF(OR(AB307="",A307=""),"",IF(COUNTIFS($A$6:A307,A307,$AB$6:AB307,"&gt;0")=1,1,""))</f>
        <v/>
      </c>
      <c r="AH307" s="70" t="str">
        <f>IF(AB307="","",ROUND(N(W307)*N(J307)*(1-N(K307)),2))</f>
        <v/>
      </c>
      <c r="AI307" s="70" t="str">
        <f>IF(OR(J307="",N(T307)&lt;=0,V307="Oui"),"",ROUND(N(T307)*J307*(1-N(K307)),2))</f>
        <v/>
      </c>
    </row>
    <row r="308">
      <c r="A308" s="63" t="n"/>
      <c r="B308" s="64" t="n"/>
      <c r="C308" s="65" t="n"/>
      <c r="D308" s="66" t="str">
        <f>IF(C308="","",IFERROR(INDEX(sup_name,MATCH($C308,sup_code,0))&amp;"","Fournisseur inconnu"))</f>
        <v/>
      </c>
      <c r="E308" s="63" t="n"/>
      <c r="F308" s="66" t="str">
        <f>IF(E308="","",IFERROR(INDEX(art_des,MATCH($E308,art_ref,0))&amp;"","Article inconnu"))</f>
        <v/>
      </c>
      <c r="G308" s="67" t="str">
        <f>IF(E308="","",IFERROR(INDEX(art_unit,MATCH($E308,art_ref,0))&amp;"",""))</f>
        <v/>
      </c>
      <c r="H308" s="68" t="n"/>
      <c r="I308" s="69" t="n"/>
      <c r="J308" s="70" t="str">
        <f>IF(E308="","",IF(ISNUMBER(I308),I308,IFERROR(IF(ISNUMBER(INDEX(art_price,MATCH($E308,art_ref,0))),INDEX(art_price,MATCH($E308,art_ref,0)),""),"")))</f>
        <v/>
      </c>
      <c r="K308" s="71" t="n"/>
      <c r="L308" s="72" t="n"/>
      <c r="M308" s="72" t="str">
        <f>IF(E308="","",IF(L308&lt;&gt;"",L308,IFERROR(IF(ISNUMBER(INDEX(art_tva,MATCH($E308,art_ref,0))),INDEX(art_tva,MATCH($E308,art_ref,0)),""),"")))</f>
        <v/>
      </c>
      <c r="N308" s="70" t="str">
        <f>IF(OR(E308="",J308=""),"",ROUND(N(H308)*J308*(1-N(K308)),2))</f>
        <v/>
      </c>
      <c r="O308" s="70" t="str">
        <f>IF(OR(N308="",NOT(ISNUMBER(M308))),"",ROUND(N308*M308,2))</f>
        <v/>
      </c>
      <c r="P308" s="70" t="str">
        <f>IF(N308="","",N308+N(O308))</f>
        <v/>
      </c>
      <c r="Q308" s="64" t="n"/>
      <c r="R308" s="73" t="str">
        <f>IF(N(Q308)&gt;0,Q308,IF(OR(N(B308)=0,ISNA(MATCH($C308,sup_code,0))),"",IF(ISNUMBER(INDEX(sup_delay,MATCH($C308,sup_code,0))),B308+INDEX(sup_delay,MATCH($C308,sup_code,0)),"")))</f>
        <v/>
      </c>
      <c r="S308" s="64" t="n"/>
      <c r="T308" s="68" t="n"/>
      <c r="U308" s="64" t="n"/>
      <c r="V308" s="65" t="n"/>
      <c r="W308" s="74" t="str">
        <f>IF(AND(A308="",E308=""),"",IF(V308="Oui",0,MAX(0,ROUND(N(H308)-N(T308),6))))</f>
        <v/>
      </c>
      <c r="X308" s="67" t="str">
        <f>IF(AND(A308="",E308=""),"",IF(V308="Oui","Annulé",IF(AND(N(H308)&gt;0,N(T308)&gt;=N(H308)),"Reçu",IF(N(S308)=0,"Brouillon",IF(AND(ISNUMBER(R308),R308&lt;p_today),"En retard",IF(N(T308)&gt;0,"Partiel","Envoyé"))))))</f>
        <v/>
      </c>
      <c r="Y308" s="75" t="str">
        <f>IF(X308="En retard",p_today-R308,IF(AND(X308="Reçu",ISNUMBER(R308)),MAX(0,N(U308)-R308),""))</f>
        <v/>
      </c>
      <c r="Z308" s="67" t="str">
        <f>IF(AND(A308="",E308=""),"",IF(A308="","N° de bon manquant",IF(N(B308)=0,"Date de commande manquante",IF(C308="","Fournisseur manquant",IF(ISNA(MATCH($C308,sup_code,0)),"Fournisseur inconnu",IF(E308="","Article manquant",IF(ISNA(MATCH($E308,art_ref,0)),"Article inconnu",IF(N(H308)&lt;=0,"Quantité invalide",IF(J308="","Prix manquant",IF(OR(N(K308)&lt;0,N(K308)&gt;=1),"Remise invalide",IF(M308="","TVA manquante",IF(ISNA(MATCH(M308,p_tva,0)),"Taux de TVA inconnu",IF(COUNTIFS(po_num,A308,po_sup,"&lt;&gt;"&amp;C308)&gt;0,"Fournisseur différent sur ce bon",IF(COUNTIFS(po_num,A308,po_date,"&lt;&gt;"&amp;B308)&gt;0,"Date différente sur ce bon",IF(COUNTIF(po_num,A308)&gt;25,"Plus de 25 lignes sur ce bon",IF(R308="","Date de livraison manquante",IF(R308&lt;B308,"Livraison avant la commande",IF(AND(N(T308)&gt;0,N(S308)=0),"Date d'envoi manquante",IF(N(T308)&gt;N(H308),"Reçu plus que commandé",IF(AND(N(T308)&gt;0,N(U308)=0),"Date de réception manquante",IF(AND(N(U308)&gt;0,U308&lt;B308),"Réception avant la commande","OK")))))))))))))))))))))</f>
        <v/>
      </c>
      <c r="AA308" s="66" t="str">
        <f>IF(AND(X308="Reçu",ISNUMBER(R308)),IF(N(U308)&lt;=R308,1,0),"")</f>
        <v/>
      </c>
      <c r="AB308" s="76" t="str">
        <f>IF(OR(X308="Envoyé",X308="Partiel",X308="En retard"),IF(ISNUMBER(R308),R308,100000)+ROW()/100000,"")</f>
        <v/>
      </c>
      <c r="AC308" s="66" t="str">
        <f>IF(A308="","",IF(COUNTIF($A$6:A308,A308)=1,1,""))</f>
        <v/>
      </c>
      <c r="AD308" s="66" t="str">
        <f>IF(AC308=1,COUNT($AC$6:AC308),"")</f>
        <v/>
      </c>
      <c r="AE308" s="66" t="str">
        <f>IFERROR(INDEX(po_num,MATCH(303,po_seq,0))&amp;"","")</f>
        <v/>
      </c>
      <c r="AF308" s="66" t="str">
        <f>IF(OR(A308="",p_po=""),"",IF(A308&amp;""=p_po,COUNTIF($A$6:A308,A308),""))</f>
        <v/>
      </c>
      <c r="AG308" s="66" t="str">
        <f>IF(OR(AB308="",A308=""),"",IF(COUNTIFS($A$6:A308,A308,$AB$6:AB308,"&gt;0")=1,1,""))</f>
        <v/>
      </c>
      <c r="AH308" s="70" t="str">
        <f>IF(AB308="","",ROUND(N(W308)*N(J308)*(1-N(K308)),2))</f>
        <v/>
      </c>
      <c r="AI308" s="70" t="str">
        <f>IF(OR(J308="",N(T308)&lt;=0,V308="Oui"),"",ROUND(N(T308)*J308*(1-N(K308)),2))</f>
        <v/>
      </c>
    </row>
    <row r="309">
      <c r="A309" s="63" t="n"/>
      <c r="B309" s="64" t="n"/>
      <c r="C309" s="65" t="n"/>
      <c r="D309" s="66" t="str">
        <f>IF(C309="","",IFERROR(INDEX(sup_name,MATCH($C309,sup_code,0))&amp;"","Fournisseur inconnu"))</f>
        <v/>
      </c>
      <c r="E309" s="63" t="n"/>
      <c r="F309" s="66" t="str">
        <f>IF(E309="","",IFERROR(INDEX(art_des,MATCH($E309,art_ref,0))&amp;"","Article inconnu"))</f>
        <v/>
      </c>
      <c r="G309" s="67" t="str">
        <f>IF(E309="","",IFERROR(INDEX(art_unit,MATCH($E309,art_ref,0))&amp;"",""))</f>
        <v/>
      </c>
      <c r="H309" s="68" t="n"/>
      <c r="I309" s="69" t="n"/>
      <c r="J309" s="70" t="str">
        <f>IF(E309="","",IF(ISNUMBER(I309),I309,IFERROR(IF(ISNUMBER(INDEX(art_price,MATCH($E309,art_ref,0))),INDEX(art_price,MATCH($E309,art_ref,0)),""),"")))</f>
        <v/>
      </c>
      <c r="K309" s="71" t="n"/>
      <c r="L309" s="72" t="n"/>
      <c r="M309" s="72" t="str">
        <f>IF(E309="","",IF(L309&lt;&gt;"",L309,IFERROR(IF(ISNUMBER(INDEX(art_tva,MATCH($E309,art_ref,0))),INDEX(art_tva,MATCH($E309,art_ref,0)),""),"")))</f>
        <v/>
      </c>
      <c r="N309" s="70" t="str">
        <f>IF(OR(E309="",J309=""),"",ROUND(N(H309)*J309*(1-N(K309)),2))</f>
        <v/>
      </c>
      <c r="O309" s="70" t="str">
        <f>IF(OR(N309="",NOT(ISNUMBER(M309))),"",ROUND(N309*M309,2))</f>
        <v/>
      </c>
      <c r="P309" s="70" t="str">
        <f>IF(N309="","",N309+N(O309))</f>
        <v/>
      </c>
      <c r="Q309" s="64" t="n"/>
      <c r="R309" s="73" t="str">
        <f>IF(N(Q309)&gt;0,Q309,IF(OR(N(B309)=0,ISNA(MATCH($C309,sup_code,0))),"",IF(ISNUMBER(INDEX(sup_delay,MATCH($C309,sup_code,0))),B309+INDEX(sup_delay,MATCH($C309,sup_code,0)),"")))</f>
        <v/>
      </c>
      <c r="S309" s="64" t="n"/>
      <c r="T309" s="68" t="n"/>
      <c r="U309" s="64" t="n"/>
      <c r="V309" s="65" t="n"/>
      <c r="W309" s="74" t="str">
        <f>IF(AND(A309="",E309=""),"",IF(V309="Oui",0,MAX(0,ROUND(N(H309)-N(T309),6))))</f>
        <v/>
      </c>
      <c r="X309" s="67" t="str">
        <f>IF(AND(A309="",E309=""),"",IF(V309="Oui","Annulé",IF(AND(N(H309)&gt;0,N(T309)&gt;=N(H309)),"Reçu",IF(N(S309)=0,"Brouillon",IF(AND(ISNUMBER(R309),R309&lt;p_today),"En retard",IF(N(T309)&gt;0,"Partiel","Envoyé"))))))</f>
        <v/>
      </c>
      <c r="Y309" s="75" t="str">
        <f>IF(X309="En retard",p_today-R309,IF(AND(X309="Reçu",ISNUMBER(R309)),MAX(0,N(U309)-R309),""))</f>
        <v/>
      </c>
      <c r="Z309" s="67" t="str">
        <f>IF(AND(A309="",E309=""),"",IF(A309="","N° de bon manquant",IF(N(B309)=0,"Date de commande manquante",IF(C309="","Fournisseur manquant",IF(ISNA(MATCH($C309,sup_code,0)),"Fournisseur inconnu",IF(E309="","Article manquant",IF(ISNA(MATCH($E309,art_ref,0)),"Article inconnu",IF(N(H309)&lt;=0,"Quantité invalide",IF(J309="","Prix manquant",IF(OR(N(K309)&lt;0,N(K309)&gt;=1),"Remise invalide",IF(M309="","TVA manquante",IF(ISNA(MATCH(M309,p_tva,0)),"Taux de TVA inconnu",IF(COUNTIFS(po_num,A309,po_sup,"&lt;&gt;"&amp;C309)&gt;0,"Fournisseur différent sur ce bon",IF(COUNTIFS(po_num,A309,po_date,"&lt;&gt;"&amp;B309)&gt;0,"Date différente sur ce bon",IF(COUNTIF(po_num,A309)&gt;25,"Plus de 25 lignes sur ce bon",IF(R309="","Date de livraison manquante",IF(R309&lt;B309,"Livraison avant la commande",IF(AND(N(T309)&gt;0,N(S309)=0),"Date d'envoi manquante",IF(N(T309)&gt;N(H309),"Reçu plus que commandé",IF(AND(N(T309)&gt;0,N(U309)=0),"Date de réception manquante",IF(AND(N(U309)&gt;0,U309&lt;B309),"Réception avant la commande","OK")))))))))))))))))))))</f>
        <v/>
      </c>
      <c r="AA309" s="66" t="str">
        <f>IF(AND(X309="Reçu",ISNUMBER(R309)),IF(N(U309)&lt;=R309,1,0),"")</f>
        <v/>
      </c>
      <c r="AB309" s="76" t="str">
        <f>IF(OR(X309="Envoyé",X309="Partiel",X309="En retard"),IF(ISNUMBER(R309),R309,100000)+ROW()/100000,"")</f>
        <v/>
      </c>
      <c r="AC309" s="66" t="str">
        <f>IF(A309="","",IF(COUNTIF($A$6:A309,A309)=1,1,""))</f>
        <v/>
      </c>
      <c r="AD309" s="66" t="str">
        <f>IF(AC309=1,COUNT($AC$6:AC309),"")</f>
        <v/>
      </c>
      <c r="AE309" s="66" t="str">
        <f>IFERROR(INDEX(po_num,MATCH(304,po_seq,0))&amp;"","")</f>
        <v/>
      </c>
      <c r="AF309" s="66" t="str">
        <f>IF(OR(A309="",p_po=""),"",IF(A309&amp;""=p_po,COUNTIF($A$6:A309,A309),""))</f>
        <v/>
      </c>
      <c r="AG309" s="66" t="str">
        <f>IF(OR(AB309="",A309=""),"",IF(COUNTIFS($A$6:A309,A309,$AB$6:AB309,"&gt;0")=1,1,""))</f>
        <v/>
      </c>
      <c r="AH309" s="70" t="str">
        <f>IF(AB309="","",ROUND(N(W309)*N(J309)*(1-N(K309)),2))</f>
        <v/>
      </c>
      <c r="AI309" s="70" t="str">
        <f>IF(OR(J309="",N(T309)&lt;=0,V309="Oui"),"",ROUND(N(T309)*J309*(1-N(K309)),2))</f>
        <v/>
      </c>
    </row>
    <row r="310">
      <c r="A310" s="63" t="n"/>
      <c r="B310" s="64" t="n"/>
      <c r="C310" s="65" t="n"/>
      <c r="D310" s="66" t="str">
        <f>IF(C310="","",IFERROR(INDEX(sup_name,MATCH($C310,sup_code,0))&amp;"","Fournisseur inconnu"))</f>
        <v/>
      </c>
      <c r="E310" s="63" t="n"/>
      <c r="F310" s="66" t="str">
        <f>IF(E310="","",IFERROR(INDEX(art_des,MATCH($E310,art_ref,0))&amp;"","Article inconnu"))</f>
        <v/>
      </c>
      <c r="G310" s="67" t="str">
        <f>IF(E310="","",IFERROR(INDEX(art_unit,MATCH($E310,art_ref,0))&amp;"",""))</f>
        <v/>
      </c>
      <c r="H310" s="68" t="n"/>
      <c r="I310" s="69" t="n"/>
      <c r="J310" s="70" t="str">
        <f>IF(E310="","",IF(ISNUMBER(I310),I310,IFERROR(IF(ISNUMBER(INDEX(art_price,MATCH($E310,art_ref,0))),INDEX(art_price,MATCH($E310,art_ref,0)),""),"")))</f>
        <v/>
      </c>
      <c r="K310" s="71" t="n"/>
      <c r="L310" s="72" t="n"/>
      <c r="M310" s="72" t="str">
        <f>IF(E310="","",IF(L310&lt;&gt;"",L310,IFERROR(IF(ISNUMBER(INDEX(art_tva,MATCH($E310,art_ref,0))),INDEX(art_tva,MATCH($E310,art_ref,0)),""),"")))</f>
        <v/>
      </c>
      <c r="N310" s="70" t="str">
        <f>IF(OR(E310="",J310=""),"",ROUND(N(H310)*J310*(1-N(K310)),2))</f>
        <v/>
      </c>
      <c r="O310" s="70" t="str">
        <f>IF(OR(N310="",NOT(ISNUMBER(M310))),"",ROUND(N310*M310,2))</f>
        <v/>
      </c>
      <c r="P310" s="70" t="str">
        <f>IF(N310="","",N310+N(O310))</f>
        <v/>
      </c>
      <c r="Q310" s="64" t="n"/>
      <c r="R310" s="73" t="str">
        <f>IF(N(Q310)&gt;0,Q310,IF(OR(N(B310)=0,ISNA(MATCH($C310,sup_code,0))),"",IF(ISNUMBER(INDEX(sup_delay,MATCH($C310,sup_code,0))),B310+INDEX(sup_delay,MATCH($C310,sup_code,0)),"")))</f>
        <v/>
      </c>
      <c r="S310" s="64" t="n"/>
      <c r="T310" s="68" t="n"/>
      <c r="U310" s="64" t="n"/>
      <c r="V310" s="65" t="n"/>
      <c r="W310" s="74" t="str">
        <f>IF(AND(A310="",E310=""),"",IF(V310="Oui",0,MAX(0,ROUND(N(H310)-N(T310),6))))</f>
        <v/>
      </c>
      <c r="X310" s="67" t="str">
        <f>IF(AND(A310="",E310=""),"",IF(V310="Oui","Annulé",IF(AND(N(H310)&gt;0,N(T310)&gt;=N(H310)),"Reçu",IF(N(S310)=0,"Brouillon",IF(AND(ISNUMBER(R310),R310&lt;p_today),"En retard",IF(N(T310)&gt;0,"Partiel","Envoyé"))))))</f>
        <v/>
      </c>
      <c r="Y310" s="75" t="str">
        <f>IF(X310="En retard",p_today-R310,IF(AND(X310="Reçu",ISNUMBER(R310)),MAX(0,N(U310)-R310),""))</f>
        <v/>
      </c>
      <c r="Z310" s="67" t="str">
        <f>IF(AND(A310="",E310=""),"",IF(A310="","N° de bon manquant",IF(N(B310)=0,"Date de commande manquante",IF(C310="","Fournisseur manquant",IF(ISNA(MATCH($C310,sup_code,0)),"Fournisseur inconnu",IF(E310="","Article manquant",IF(ISNA(MATCH($E310,art_ref,0)),"Article inconnu",IF(N(H310)&lt;=0,"Quantité invalide",IF(J310="","Prix manquant",IF(OR(N(K310)&lt;0,N(K310)&gt;=1),"Remise invalide",IF(M310="","TVA manquante",IF(ISNA(MATCH(M310,p_tva,0)),"Taux de TVA inconnu",IF(COUNTIFS(po_num,A310,po_sup,"&lt;&gt;"&amp;C310)&gt;0,"Fournisseur différent sur ce bon",IF(COUNTIFS(po_num,A310,po_date,"&lt;&gt;"&amp;B310)&gt;0,"Date différente sur ce bon",IF(COUNTIF(po_num,A310)&gt;25,"Plus de 25 lignes sur ce bon",IF(R310="","Date de livraison manquante",IF(R310&lt;B310,"Livraison avant la commande",IF(AND(N(T310)&gt;0,N(S310)=0),"Date d'envoi manquante",IF(N(T310)&gt;N(H310),"Reçu plus que commandé",IF(AND(N(T310)&gt;0,N(U310)=0),"Date de réception manquante",IF(AND(N(U310)&gt;0,U310&lt;B310),"Réception avant la commande","OK")))))))))))))))))))))</f>
        <v/>
      </c>
      <c r="AA310" s="66" t="str">
        <f>IF(AND(X310="Reçu",ISNUMBER(R310)),IF(N(U310)&lt;=R310,1,0),"")</f>
        <v/>
      </c>
      <c r="AB310" s="76" t="str">
        <f>IF(OR(X310="Envoyé",X310="Partiel",X310="En retard"),IF(ISNUMBER(R310),R310,100000)+ROW()/100000,"")</f>
        <v/>
      </c>
      <c r="AC310" s="66" t="str">
        <f>IF(A310="","",IF(COUNTIF($A$6:A310,A310)=1,1,""))</f>
        <v/>
      </c>
      <c r="AD310" s="66" t="str">
        <f>IF(AC310=1,COUNT($AC$6:AC310),"")</f>
        <v/>
      </c>
      <c r="AE310" s="66" t="str">
        <f>IFERROR(INDEX(po_num,MATCH(305,po_seq,0))&amp;"","")</f>
        <v/>
      </c>
      <c r="AF310" s="66" t="str">
        <f>IF(OR(A310="",p_po=""),"",IF(A310&amp;""=p_po,COUNTIF($A$6:A310,A310),""))</f>
        <v/>
      </c>
      <c r="AG310" s="66" t="str">
        <f>IF(OR(AB310="",A310=""),"",IF(COUNTIFS($A$6:A310,A310,$AB$6:AB310,"&gt;0")=1,1,""))</f>
        <v/>
      </c>
      <c r="AH310" s="70" t="str">
        <f>IF(AB310="","",ROUND(N(W310)*N(J310)*(1-N(K310)),2))</f>
        <v/>
      </c>
      <c r="AI310" s="70" t="str">
        <f>IF(OR(J310="",N(T310)&lt;=0,V310="Oui"),"",ROUND(N(T310)*J310*(1-N(K310)),2))</f>
        <v/>
      </c>
    </row>
    <row r="311">
      <c r="A311" s="63" t="n"/>
      <c r="B311" s="64" t="n"/>
      <c r="C311" s="65" t="n"/>
      <c r="D311" s="66" t="str">
        <f>IF(C311="","",IFERROR(INDEX(sup_name,MATCH($C311,sup_code,0))&amp;"","Fournisseur inconnu"))</f>
        <v/>
      </c>
      <c r="E311" s="63" t="n"/>
      <c r="F311" s="66" t="str">
        <f>IF(E311="","",IFERROR(INDEX(art_des,MATCH($E311,art_ref,0))&amp;"","Article inconnu"))</f>
        <v/>
      </c>
      <c r="G311" s="67" t="str">
        <f>IF(E311="","",IFERROR(INDEX(art_unit,MATCH($E311,art_ref,0))&amp;"",""))</f>
        <v/>
      </c>
      <c r="H311" s="68" t="n"/>
      <c r="I311" s="69" t="n"/>
      <c r="J311" s="70" t="str">
        <f>IF(E311="","",IF(ISNUMBER(I311),I311,IFERROR(IF(ISNUMBER(INDEX(art_price,MATCH($E311,art_ref,0))),INDEX(art_price,MATCH($E311,art_ref,0)),""),"")))</f>
        <v/>
      </c>
      <c r="K311" s="71" t="n"/>
      <c r="L311" s="72" t="n"/>
      <c r="M311" s="72" t="str">
        <f>IF(E311="","",IF(L311&lt;&gt;"",L311,IFERROR(IF(ISNUMBER(INDEX(art_tva,MATCH($E311,art_ref,0))),INDEX(art_tva,MATCH($E311,art_ref,0)),""),"")))</f>
        <v/>
      </c>
      <c r="N311" s="70" t="str">
        <f>IF(OR(E311="",J311=""),"",ROUND(N(H311)*J311*(1-N(K311)),2))</f>
        <v/>
      </c>
      <c r="O311" s="70" t="str">
        <f>IF(OR(N311="",NOT(ISNUMBER(M311))),"",ROUND(N311*M311,2))</f>
        <v/>
      </c>
      <c r="P311" s="70" t="str">
        <f>IF(N311="","",N311+N(O311))</f>
        <v/>
      </c>
      <c r="Q311" s="64" t="n"/>
      <c r="R311" s="73" t="str">
        <f>IF(N(Q311)&gt;0,Q311,IF(OR(N(B311)=0,ISNA(MATCH($C311,sup_code,0))),"",IF(ISNUMBER(INDEX(sup_delay,MATCH($C311,sup_code,0))),B311+INDEX(sup_delay,MATCH($C311,sup_code,0)),"")))</f>
        <v/>
      </c>
      <c r="S311" s="64" t="n"/>
      <c r="T311" s="68" t="n"/>
      <c r="U311" s="64" t="n"/>
      <c r="V311" s="65" t="n"/>
      <c r="W311" s="74" t="str">
        <f>IF(AND(A311="",E311=""),"",IF(V311="Oui",0,MAX(0,ROUND(N(H311)-N(T311),6))))</f>
        <v/>
      </c>
      <c r="X311" s="67" t="str">
        <f>IF(AND(A311="",E311=""),"",IF(V311="Oui","Annulé",IF(AND(N(H311)&gt;0,N(T311)&gt;=N(H311)),"Reçu",IF(N(S311)=0,"Brouillon",IF(AND(ISNUMBER(R311),R311&lt;p_today),"En retard",IF(N(T311)&gt;0,"Partiel","Envoyé"))))))</f>
        <v/>
      </c>
      <c r="Y311" s="75" t="str">
        <f>IF(X311="En retard",p_today-R311,IF(AND(X311="Reçu",ISNUMBER(R311)),MAX(0,N(U311)-R311),""))</f>
        <v/>
      </c>
      <c r="Z311" s="67" t="str">
        <f>IF(AND(A311="",E311=""),"",IF(A311="","N° de bon manquant",IF(N(B311)=0,"Date de commande manquante",IF(C311="","Fournisseur manquant",IF(ISNA(MATCH($C311,sup_code,0)),"Fournisseur inconnu",IF(E311="","Article manquant",IF(ISNA(MATCH($E311,art_ref,0)),"Article inconnu",IF(N(H311)&lt;=0,"Quantité invalide",IF(J311="","Prix manquant",IF(OR(N(K311)&lt;0,N(K311)&gt;=1),"Remise invalide",IF(M311="","TVA manquante",IF(ISNA(MATCH(M311,p_tva,0)),"Taux de TVA inconnu",IF(COUNTIFS(po_num,A311,po_sup,"&lt;&gt;"&amp;C311)&gt;0,"Fournisseur différent sur ce bon",IF(COUNTIFS(po_num,A311,po_date,"&lt;&gt;"&amp;B311)&gt;0,"Date différente sur ce bon",IF(COUNTIF(po_num,A311)&gt;25,"Plus de 25 lignes sur ce bon",IF(R311="","Date de livraison manquante",IF(R311&lt;B311,"Livraison avant la commande",IF(AND(N(T311)&gt;0,N(S311)=0),"Date d'envoi manquante",IF(N(T311)&gt;N(H311),"Reçu plus que commandé",IF(AND(N(T311)&gt;0,N(U311)=0),"Date de réception manquante",IF(AND(N(U311)&gt;0,U311&lt;B311),"Réception avant la commande","OK")))))))))))))))))))))</f>
        <v/>
      </c>
      <c r="AA311" s="66" t="str">
        <f>IF(AND(X311="Reçu",ISNUMBER(R311)),IF(N(U311)&lt;=R311,1,0),"")</f>
        <v/>
      </c>
      <c r="AB311" s="76" t="str">
        <f>IF(OR(X311="Envoyé",X311="Partiel",X311="En retard"),IF(ISNUMBER(R311),R311,100000)+ROW()/100000,"")</f>
        <v/>
      </c>
      <c r="AC311" s="66" t="str">
        <f>IF(A311="","",IF(COUNTIF($A$6:A311,A311)=1,1,""))</f>
        <v/>
      </c>
      <c r="AD311" s="66" t="str">
        <f>IF(AC311=1,COUNT($AC$6:AC311),"")</f>
        <v/>
      </c>
      <c r="AE311" s="66" t="str">
        <f>IFERROR(INDEX(po_num,MATCH(306,po_seq,0))&amp;"","")</f>
        <v/>
      </c>
      <c r="AF311" s="66" t="str">
        <f>IF(OR(A311="",p_po=""),"",IF(A311&amp;""=p_po,COUNTIF($A$6:A311,A311),""))</f>
        <v/>
      </c>
      <c r="AG311" s="66" t="str">
        <f>IF(OR(AB311="",A311=""),"",IF(COUNTIFS($A$6:A311,A311,$AB$6:AB311,"&gt;0")=1,1,""))</f>
        <v/>
      </c>
      <c r="AH311" s="70" t="str">
        <f>IF(AB311="","",ROUND(N(W311)*N(J311)*(1-N(K311)),2))</f>
        <v/>
      </c>
      <c r="AI311" s="70" t="str">
        <f>IF(OR(J311="",N(T311)&lt;=0,V311="Oui"),"",ROUND(N(T311)*J311*(1-N(K311)),2))</f>
        <v/>
      </c>
    </row>
    <row r="312">
      <c r="A312" s="63" t="n"/>
      <c r="B312" s="64" t="n"/>
      <c r="C312" s="65" t="n"/>
      <c r="D312" s="66" t="str">
        <f>IF(C312="","",IFERROR(INDEX(sup_name,MATCH($C312,sup_code,0))&amp;"","Fournisseur inconnu"))</f>
        <v/>
      </c>
      <c r="E312" s="63" t="n"/>
      <c r="F312" s="66" t="str">
        <f>IF(E312="","",IFERROR(INDEX(art_des,MATCH($E312,art_ref,0))&amp;"","Article inconnu"))</f>
        <v/>
      </c>
      <c r="G312" s="67" t="str">
        <f>IF(E312="","",IFERROR(INDEX(art_unit,MATCH($E312,art_ref,0))&amp;"",""))</f>
        <v/>
      </c>
      <c r="H312" s="68" t="n"/>
      <c r="I312" s="69" t="n"/>
      <c r="J312" s="70" t="str">
        <f>IF(E312="","",IF(ISNUMBER(I312),I312,IFERROR(IF(ISNUMBER(INDEX(art_price,MATCH($E312,art_ref,0))),INDEX(art_price,MATCH($E312,art_ref,0)),""),"")))</f>
        <v/>
      </c>
      <c r="K312" s="71" t="n"/>
      <c r="L312" s="72" t="n"/>
      <c r="M312" s="72" t="str">
        <f>IF(E312="","",IF(L312&lt;&gt;"",L312,IFERROR(IF(ISNUMBER(INDEX(art_tva,MATCH($E312,art_ref,0))),INDEX(art_tva,MATCH($E312,art_ref,0)),""),"")))</f>
        <v/>
      </c>
      <c r="N312" s="70" t="str">
        <f>IF(OR(E312="",J312=""),"",ROUND(N(H312)*J312*(1-N(K312)),2))</f>
        <v/>
      </c>
      <c r="O312" s="70" t="str">
        <f>IF(OR(N312="",NOT(ISNUMBER(M312))),"",ROUND(N312*M312,2))</f>
        <v/>
      </c>
      <c r="P312" s="70" t="str">
        <f>IF(N312="","",N312+N(O312))</f>
        <v/>
      </c>
      <c r="Q312" s="64" t="n"/>
      <c r="R312" s="73" t="str">
        <f>IF(N(Q312)&gt;0,Q312,IF(OR(N(B312)=0,ISNA(MATCH($C312,sup_code,0))),"",IF(ISNUMBER(INDEX(sup_delay,MATCH($C312,sup_code,0))),B312+INDEX(sup_delay,MATCH($C312,sup_code,0)),"")))</f>
        <v/>
      </c>
      <c r="S312" s="64" t="n"/>
      <c r="T312" s="68" t="n"/>
      <c r="U312" s="64" t="n"/>
      <c r="V312" s="65" t="n"/>
      <c r="W312" s="74" t="str">
        <f>IF(AND(A312="",E312=""),"",IF(V312="Oui",0,MAX(0,ROUND(N(H312)-N(T312),6))))</f>
        <v/>
      </c>
      <c r="X312" s="67" t="str">
        <f>IF(AND(A312="",E312=""),"",IF(V312="Oui","Annulé",IF(AND(N(H312)&gt;0,N(T312)&gt;=N(H312)),"Reçu",IF(N(S312)=0,"Brouillon",IF(AND(ISNUMBER(R312),R312&lt;p_today),"En retard",IF(N(T312)&gt;0,"Partiel","Envoyé"))))))</f>
        <v/>
      </c>
      <c r="Y312" s="75" t="str">
        <f>IF(X312="En retard",p_today-R312,IF(AND(X312="Reçu",ISNUMBER(R312)),MAX(0,N(U312)-R312),""))</f>
        <v/>
      </c>
      <c r="Z312" s="67" t="str">
        <f>IF(AND(A312="",E312=""),"",IF(A312="","N° de bon manquant",IF(N(B312)=0,"Date de commande manquante",IF(C312="","Fournisseur manquant",IF(ISNA(MATCH($C312,sup_code,0)),"Fournisseur inconnu",IF(E312="","Article manquant",IF(ISNA(MATCH($E312,art_ref,0)),"Article inconnu",IF(N(H312)&lt;=0,"Quantité invalide",IF(J312="","Prix manquant",IF(OR(N(K312)&lt;0,N(K312)&gt;=1),"Remise invalide",IF(M312="","TVA manquante",IF(ISNA(MATCH(M312,p_tva,0)),"Taux de TVA inconnu",IF(COUNTIFS(po_num,A312,po_sup,"&lt;&gt;"&amp;C312)&gt;0,"Fournisseur différent sur ce bon",IF(COUNTIFS(po_num,A312,po_date,"&lt;&gt;"&amp;B312)&gt;0,"Date différente sur ce bon",IF(COUNTIF(po_num,A312)&gt;25,"Plus de 25 lignes sur ce bon",IF(R312="","Date de livraison manquante",IF(R312&lt;B312,"Livraison avant la commande",IF(AND(N(T312)&gt;0,N(S312)=0),"Date d'envoi manquante",IF(N(T312)&gt;N(H312),"Reçu plus que commandé",IF(AND(N(T312)&gt;0,N(U312)=0),"Date de réception manquante",IF(AND(N(U312)&gt;0,U312&lt;B312),"Réception avant la commande","OK")))))))))))))))))))))</f>
        <v/>
      </c>
      <c r="AA312" s="66" t="str">
        <f>IF(AND(X312="Reçu",ISNUMBER(R312)),IF(N(U312)&lt;=R312,1,0),"")</f>
        <v/>
      </c>
      <c r="AB312" s="76" t="str">
        <f>IF(OR(X312="Envoyé",X312="Partiel",X312="En retard"),IF(ISNUMBER(R312),R312,100000)+ROW()/100000,"")</f>
        <v/>
      </c>
      <c r="AC312" s="66" t="str">
        <f>IF(A312="","",IF(COUNTIF($A$6:A312,A312)=1,1,""))</f>
        <v/>
      </c>
      <c r="AD312" s="66" t="str">
        <f>IF(AC312=1,COUNT($AC$6:AC312),"")</f>
        <v/>
      </c>
      <c r="AE312" s="66" t="str">
        <f>IFERROR(INDEX(po_num,MATCH(307,po_seq,0))&amp;"","")</f>
        <v/>
      </c>
      <c r="AF312" s="66" t="str">
        <f>IF(OR(A312="",p_po=""),"",IF(A312&amp;""=p_po,COUNTIF($A$6:A312,A312),""))</f>
        <v/>
      </c>
      <c r="AG312" s="66" t="str">
        <f>IF(OR(AB312="",A312=""),"",IF(COUNTIFS($A$6:A312,A312,$AB$6:AB312,"&gt;0")=1,1,""))</f>
        <v/>
      </c>
      <c r="AH312" s="70" t="str">
        <f>IF(AB312="","",ROUND(N(W312)*N(J312)*(1-N(K312)),2))</f>
        <v/>
      </c>
      <c r="AI312" s="70" t="str">
        <f>IF(OR(J312="",N(T312)&lt;=0,V312="Oui"),"",ROUND(N(T312)*J312*(1-N(K312)),2))</f>
        <v/>
      </c>
    </row>
    <row r="313">
      <c r="A313" s="63" t="n"/>
      <c r="B313" s="64" t="n"/>
      <c r="C313" s="65" t="n"/>
      <c r="D313" s="66" t="str">
        <f>IF(C313="","",IFERROR(INDEX(sup_name,MATCH($C313,sup_code,0))&amp;"","Fournisseur inconnu"))</f>
        <v/>
      </c>
      <c r="E313" s="63" t="n"/>
      <c r="F313" s="66" t="str">
        <f>IF(E313="","",IFERROR(INDEX(art_des,MATCH($E313,art_ref,0))&amp;"","Article inconnu"))</f>
        <v/>
      </c>
      <c r="G313" s="67" t="str">
        <f>IF(E313="","",IFERROR(INDEX(art_unit,MATCH($E313,art_ref,0))&amp;"",""))</f>
        <v/>
      </c>
      <c r="H313" s="68" t="n"/>
      <c r="I313" s="69" t="n"/>
      <c r="J313" s="70" t="str">
        <f>IF(E313="","",IF(ISNUMBER(I313),I313,IFERROR(IF(ISNUMBER(INDEX(art_price,MATCH($E313,art_ref,0))),INDEX(art_price,MATCH($E313,art_ref,0)),""),"")))</f>
        <v/>
      </c>
      <c r="K313" s="71" t="n"/>
      <c r="L313" s="72" t="n"/>
      <c r="M313" s="72" t="str">
        <f>IF(E313="","",IF(L313&lt;&gt;"",L313,IFERROR(IF(ISNUMBER(INDEX(art_tva,MATCH($E313,art_ref,0))),INDEX(art_tva,MATCH($E313,art_ref,0)),""),"")))</f>
        <v/>
      </c>
      <c r="N313" s="70" t="str">
        <f>IF(OR(E313="",J313=""),"",ROUND(N(H313)*J313*(1-N(K313)),2))</f>
        <v/>
      </c>
      <c r="O313" s="70" t="str">
        <f>IF(OR(N313="",NOT(ISNUMBER(M313))),"",ROUND(N313*M313,2))</f>
        <v/>
      </c>
      <c r="P313" s="70" t="str">
        <f>IF(N313="","",N313+N(O313))</f>
        <v/>
      </c>
      <c r="Q313" s="64" t="n"/>
      <c r="R313" s="73" t="str">
        <f>IF(N(Q313)&gt;0,Q313,IF(OR(N(B313)=0,ISNA(MATCH($C313,sup_code,0))),"",IF(ISNUMBER(INDEX(sup_delay,MATCH($C313,sup_code,0))),B313+INDEX(sup_delay,MATCH($C313,sup_code,0)),"")))</f>
        <v/>
      </c>
      <c r="S313" s="64" t="n"/>
      <c r="T313" s="68" t="n"/>
      <c r="U313" s="64" t="n"/>
      <c r="V313" s="65" t="n"/>
      <c r="W313" s="74" t="str">
        <f>IF(AND(A313="",E313=""),"",IF(V313="Oui",0,MAX(0,ROUND(N(H313)-N(T313),6))))</f>
        <v/>
      </c>
      <c r="X313" s="67" t="str">
        <f>IF(AND(A313="",E313=""),"",IF(V313="Oui","Annulé",IF(AND(N(H313)&gt;0,N(T313)&gt;=N(H313)),"Reçu",IF(N(S313)=0,"Brouillon",IF(AND(ISNUMBER(R313),R313&lt;p_today),"En retard",IF(N(T313)&gt;0,"Partiel","Envoyé"))))))</f>
        <v/>
      </c>
      <c r="Y313" s="75" t="str">
        <f>IF(X313="En retard",p_today-R313,IF(AND(X313="Reçu",ISNUMBER(R313)),MAX(0,N(U313)-R313),""))</f>
        <v/>
      </c>
      <c r="Z313" s="67" t="str">
        <f>IF(AND(A313="",E313=""),"",IF(A313="","N° de bon manquant",IF(N(B313)=0,"Date de commande manquante",IF(C313="","Fournisseur manquant",IF(ISNA(MATCH($C313,sup_code,0)),"Fournisseur inconnu",IF(E313="","Article manquant",IF(ISNA(MATCH($E313,art_ref,0)),"Article inconnu",IF(N(H313)&lt;=0,"Quantité invalide",IF(J313="","Prix manquant",IF(OR(N(K313)&lt;0,N(K313)&gt;=1),"Remise invalide",IF(M313="","TVA manquante",IF(ISNA(MATCH(M313,p_tva,0)),"Taux de TVA inconnu",IF(COUNTIFS(po_num,A313,po_sup,"&lt;&gt;"&amp;C313)&gt;0,"Fournisseur différent sur ce bon",IF(COUNTIFS(po_num,A313,po_date,"&lt;&gt;"&amp;B313)&gt;0,"Date différente sur ce bon",IF(COUNTIF(po_num,A313)&gt;25,"Plus de 25 lignes sur ce bon",IF(R313="","Date de livraison manquante",IF(R313&lt;B313,"Livraison avant la commande",IF(AND(N(T313)&gt;0,N(S313)=0),"Date d'envoi manquante",IF(N(T313)&gt;N(H313),"Reçu plus que commandé",IF(AND(N(T313)&gt;0,N(U313)=0),"Date de réception manquante",IF(AND(N(U313)&gt;0,U313&lt;B313),"Réception avant la commande","OK")))))))))))))))))))))</f>
        <v/>
      </c>
      <c r="AA313" s="66" t="str">
        <f>IF(AND(X313="Reçu",ISNUMBER(R313)),IF(N(U313)&lt;=R313,1,0),"")</f>
        <v/>
      </c>
      <c r="AB313" s="76" t="str">
        <f>IF(OR(X313="Envoyé",X313="Partiel",X313="En retard"),IF(ISNUMBER(R313),R313,100000)+ROW()/100000,"")</f>
        <v/>
      </c>
      <c r="AC313" s="66" t="str">
        <f>IF(A313="","",IF(COUNTIF($A$6:A313,A313)=1,1,""))</f>
        <v/>
      </c>
      <c r="AD313" s="66" t="str">
        <f>IF(AC313=1,COUNT($AC$6:AC313),"")</f>
        <v/>
      </c>
      <c r="AE313" s="66" t="str">
        <f>IFERROR(INDEX(po_num,MATCH(308,po_seq,0))&amp;"","")</f>
        <v/>
      </c>
      <c r="AF313" s="66" t="str">
        <f>IF(OR(A313="",p_po=""),"",IF(A313&amp;""=p_po,COUNTIF($A$6:A313,A313),""))</f>
        <v/>
      </c>
      <c r="AG313" s="66" t="str">
        <f>IF(OR(AB313="",A313=""),"",IF(COUNTIFS($A$6:A313,A313,$AB$6:AB313,"&gt;0")=1,1,""))</f>
        <v/>
      </c>
      <c r="AH313" s="70" t="str">
        <f>IF(AB313="","",ROUND(N(W313)*N(J313)*(1-N(K313)),2))</f>
        <v/>
      </c>
      <c r="AI313" s="70" t="str">
        <f>IF(OR(J313="",N(T313)&lt;=0,V313="Oui"),"",ROUND(N(T313)*J313*(1-N(K313)),2))</f>
        <v/>
      </c>
    </row>
    <row r="314">
      <c r="A314" s="63" t="n"/>
      <c r="B314" s="64" t="n"/>
      <c r="C314" s="65" t="n"/>
      <c r="D314" s="66" t="str">
        <f>IF(C314="","",IFERROR(INDEX(sup_name,MATCH($C314,sup_code,0))&amp;"","Fournisseur inconnu"))</f>
        <v/>
      </c>
      <c r="E314" s="63" t="n"/>
      <c r="F314" s="66" t="str">
        <f>IF(E314="","",IFERROR(INDEX(art_des,MATCH($E314,art_ref,0))&amp;"","Article inconnu"))</f>
        <v/>
      </c>
      <c r="G314" s="67" t="str">
        <f>IF(E314="","",IFERROR(INDEX(art_unit,MATCH($E314,art_ref,0))&amp;"",""))</f>
        <v/>
      </c>
      <c r="H314" s="68" t="n"/>
      <c r="I314" s="69" t="n"/>
      <c r="J314" s="70" t="str">
        <f>IF(E314="","",IF(ISNUMBER(I314),I314,IFERROR(IF(ISNUMBER(INDEX(art_price,MATCH($E314,art_ref,0))),INDEX(art_price,MATCH($E314,art_ref,0)),""),"")))</f>
        <v/>
      </c>
      <c r="K314" s="71" t="n"/>
      <c r="L314" s="72" t="n"/>
      <c r="M314" s="72" t="str">
        <f>IF(E314="","",IF(L314&lt;&gt;"",L314,IFERROR(IF(ISNUMBER(INDEX(art_tva,MATCH($E314,art_ref,0))),INDEX(art_tva,MATCH($E314,art_ref,0)),""),"")))</f>
        <v/>
      </c>
      <c r="N314" s="70" t="str">
        <f>IF(OR(E314="",J314=""),"",ROUND(N(H314)*J314*(1-N(K314)),2))</f>
        <v/>
      </c>
      <c r="O314" s="70" t="str">
        <f>IF(OR(N314="",NOT(ISNUMBER(M314))),"",ROUND(N314*M314,2))</f>
        <v/>
      </c>
      <c r="P314" s="70" t="str">
        <f>IF(N314="","",N314+N(O314))</f>
        <v/>
      </c>
      <c r="Q314" s="64" t="n"/>
      <c r="R314" s="73" t="str">
        <f>IF(N(Q314)&gt;0,Q314,IF(OR(N(B314)=0,ISNA(MATCH($C314,sup_code,0))),"",IF(ISNUMBER(INDEX(sup_delay,MATCH($C314,sup_code,0))),B314+INDEX(sup_delay,MATCH($C314,sup_code,0)),"")))</f>
        <v/>
      </c>
      <c r="S314" s="64" t="n"/>
      <c r="T314" s="68" t="n"/>
      <c r="U314" s="64" t="n"/>
      <c r="V314" s="65" t="n"/>
      <c r="W314" s="74" t="str">
        <f>IF(AND(A314="",E314=""),"",IF(V314="Oui",0,MAX(0,ROUND(N(H314)-N(T314),6))))</f>
        <v/>
      </c>
      <c r="X314" s="67" t="str">
        <f>IF(AND(A314="",E314=""),"",IF(V314="Oui","Annulé",IF(AND(N(H314)&gt;0,N(T314)&gt;=N(H314)),"Reçu",IF(N(S314)=0,"Brouillon",IF(AND(ISNUMBER(R314),R314&lt;p_today),"En retard",IF(N(T314)&gt;0,"Partiel","Envoyé"))))))</f>
        <v/>
      </c>
      <c r="Y314" s="75" t="str">
        <f>IF(X314="En retard",p_today-R314,IF(AND(X314="Reçu",ISNUMBER(R314)),MAX(0,N(U314)-R314),""))</f>
        <v/>
      </c>
      <c r="Z314" s="67" t="str">
        <f>IF(AND(A314="",E314=""),"",IF(A314="","N° de bon manquant",IF(N(B314)=0,"Date de commande manquante",IF(C314="","Fournisseur manquant",IF(ISNA(MATCH($C314,sup_code,0)),"Fournisseur inconnu",IF(E314="","Article manquant",IF(ISNA(MATCH($E314,art_ref,0)),"Article inconnu",IF(N(H314)&lt;=0,"Quantité invalide",IF(J314="","Prix manquant",IF(OR(N(K314)&lt;0,N(K314)&gt;=1),"Remise invalide",IF(M314="","TVA manquante",IF(ISNA(MATCH(M314,p_tva,0)),"Taux de TVA inconnu",IF(COUNTIFS(po_num,A314,po_sup,"&lt;&gt;"&amp;C314)&gt;0,"Fournisseur différent sur ce bon",IF(COUNTIFS(po_num,A314,po_date,"&lt;&gt;"&amp;B314)&gt;0,"Date différente sur ce bon",IF(COUNTIF(po_num,A314)&gt;25,"Plus de 25 lignes sur ce bon",IF(R314="","Date de livraison manquante",IF(R314&lt;B314,"Livraison avant la commande",IF(AND(N(T314)&gt;0,N(S314)=0),"Date d'envoi manquante",IF(N(T314)&gt;N(H314),"Reçu plus que commandé",IF(AND(N(T314)&gt;0,N(U314)=0),"Date de réception manquante",IF(AND(N(U314)&gt;0,U314&lt;B314),"Réception avant la commande","OK")))))))))))))))))))))</f>
        <v/>
      </c>
      <c r="AA314" s="66" t="str">
        <f>IF(AND(X314="Reçu",ISNUMBER(R314)),IF(N(U314)&lt;=R314,1,0),"")</f>
        <v/>
      </c>
      <c r="AB314" s="76" t="str">
        <f>IF(OR(X314="Envoyé",X314="Partiel",X314="En retard"),IF(ISNUMBER(R314),R314,100000)+ROW()/100000,"")</f>
        <v/>
      </c>
      <c r="AC314" s="66" t="str">
        <f>IF(A314="","",IF(COUNTIF($A$6:A314,A314)=1,1,""))</f>
        <v/>
      </c>
      <c r="AD314" s="66" t="str">
        <f>IF(AC314=1,COUNT($AC$6:AC314),"")</f>
        <v/>
      </c>
      <c r="AE314" s="66" t="str">
        <f>IFERROR(INDEX(po_num,MATCH(309,po_seq,0))&amp;"","")</f>
        <v/>
      </c>
      <c r="AF314" s="66" t="str">
        <f>IF(OR(A314="",p_po=""),"",IF(A314&amp;""=p_po,COUNTIF($A$6:A314,A314),""))</f>
        <v/>
      </c>
      <c r="AG314" s="66" t="str">
        <f>IF(OR(AB314="",A314=""),"",IF(COUNTIFS($A$6:A314,A314,$AB$6:AB314,"&gt;0")=1,1,""))</f>
        <v/>
      </c>
      <c r="AH314" s="70" t="str">
        <f>IF(AB314="","",ROUND(N(W314)*N(J314)*(1-N(K314)),2))</f>
        <v/>
      </c>
      <c r="AI314" s="70" t="str">
        <f>IF(OR(J314="",N(T314)&lt;=0,V314="Oui"),"",ROUND(N(T314)*J314*(1-N(K314)),2))</f>
        <v/>
      </c>
    </row>
    <row r="315">
      <c r="A315" s="63" t="n"/>
      <c r="B315" s="64" t="n"/>
      <c r="C315" s="65" t="n"/>
      <c r="D315" s="66" t="str">
        <f>IF(C315="","",IFERROR(INDEX(sup_name,MATCH($C315,sup_code,0))&amp;"","Fournisseur inconnu"))</f>
        <v/>
      </c>
      <c r="E315" s="63" t="n"/>
      <c r="F315" s="66" t="str">
        <f>IF(E315="","",IFERROR(INDEX(art_des,MATCH($E315,art_ref,0))&amp;"","Article inconnu"))</f>
        <v/>
      </c>
      <c r="G315" s="67" t="str">
        <f>IF(E315="","",IFERROR(INDEX(art_unit,MATCH($E315,art_ref,0))&amp;"",""))</f>
        <v/>
      </c>
      <c r="H315" s="68" t="n"/>
      <c r="I315" s="69" t="n"/>
      <c r="J315" s="70" t="str">
        <f>IF(E315="","",IF(ISNUMBER(I315),I315,IFERROR(IF(ISNUMBER(INDEX(art_price,MATCH($E315,art_ref,0))),INDEX(art_price,MATCH($E315,art_ref,0)),""),"")))</f>
        <v/>
      </c>
      <c r="K315" s="71" t="n"/>
      <c r="L315" s="72" t="n"/>
      <c r="M315" s="72" t="str">
        <f>IF(E315="","",IF(L315&lt;&gt;"",L315,IFERROR(IF(ISNUMBER(INDEX(art_tva,MATCH($E315,art_ref,0))),INDEX(art_tva,MATCH($E315,art_ref,0)),""),"")))</f>
        <v/>
      </c>
      <c r="N315" s="70" t="str">
        <f>IF(OR(E315="",J315=""),"",ROUND(N(H315)*J315*(1-N(K315)),2))</f>
        <v/>
      </c>
      <c r="O315" s="70" t="str">
        <f>IF(OR(N315="",NOT(ISNUMBER(M315))),"",ROUND(N315*M315,2))</f>
        <v/>
      </c>
      <c r="P315" s="70" t="str">
        <f>IF(N315="","",N315+N(O315))</f>
        <v/>
      </c>
      <c r="Q315" s="64" t="n"/>
      <c r="R315" s="73" t="str">
        <f>IF(N(Q315)&gt;0,Q315,IF(OR(N(B315)=0,ISNA(MATCH($C315,sup_code,0))),"",IF(ISNUMBER(INDEX(sup_delay,MATCH($C315,sup_code,0))),B315+INDEX(sup_delay,MATCH($C315,sup_code,0)),"")))</f>
        <v/>
      </c>
      <c r="S315" s="64" t="n"/>
      <c r="T315" s="68" t="n"/>
      <c r="U315" s="64" t="n"/>
      <c r="V315" s="65" t="n"/>
      <c r="W315" s="74" t="str">
        <f>IF(AND(A315="",E315=""),"",IF(V315="Oui",0,MAX(0,ROUND(N(H315)-N(T315),6))))</f>
        <v/>
      </c>
      <c r="X315" s="67" t="str">
        <f>IF(AND(A315="",E315=""),"",IF(V315="Oui","Annulé",IF(AND(N(H315)&gt;0,N(T315)&gt;=N(H315)),"Reçu",IF(N(S315)=0,"Brouillon",IF(AND(ISNUMBER(R315),R315&lt;p_today),"En retard",IF(N(T315)&gt;0,"Partiel","Envoyé"))))))</f>
        <v/>
      </c>
      <c r="Y315" s="75" t="str">
        <f>IF(X315="En retard",p_today-R315,IF(AND(X315="Reçu",ISNUMBER(R315)),MAX(0,N(U315)-R315),""))</f>
        <v/>
      </c>
      <c r="Z315" s="67" t="str">
        <f>IF(AND(A315="",E315=""),"",IF(A315="","N° de bon manquant",IF(N(B315)=0,"Date de commande manquante",IF(C315="","Fournisseur manquant",IF(ISNA(MATCH($C315,sup_code,0)),"Fournisseur inconnu",IF(E315="","Article manquant",IF(ISNA(MATCH($E315,art_ref,0)),"Article inconnu",IF(N(H315)&lt;=0,"Quantité invalide",IF(J315="","Prix manquant",IF(OR(N(K315)&lt;0,N(K315)&gt;=1),"Remise invalide",IF(M315="","TVA manquante",IF(ISNA(MATCH(M315,p_tva,0)),"Taux de TVA inconnu",IF(COUNTIFS(po_num,A315,po_sup,"&lt;&gt;"&amp;C315)&gt;0,"Fournisseur différent sur ce bon",IF(COUNTIFS(po_num,A315,po_date,"&lt;&gt;"&amp;B315)&gt;0,"Date différente sur ce bon",IF(COUNTIF(po_num,A315)&gt;25,"Plus de 25 lignes sur ce bon",IF(R315="","Date de livraison manquante",IF(R315&lt;B315,"Livraison avant la commande",IF(AND(N(T315)&gt;0,N(S315)=0),"Date d'envoi manquante",IF(N(T315)&gt;N(H315),"Reçu plus que commandé",IF(AND(N(T315)&gt;0,N(U315)=0),"Date de réception manquante",IF(AND(N(U315)&gt;0,U315&lt;B315),"Réception avant la commande","OK")))))))))))))))))))))</f>
        <v/>
      </c>
      <c r="AA315" s="66" t="str">
        <f>IF(AND(X315="Reçu",ISNUMBER(R315)),IF(N(U315)&lt;=R315,1,0),"")</f>
        <v/>
      </c>
      <c r="AB315" s="76" t="str">
        <f>IF(OR(X315="Envoyé",X315="Partiel",X315="En retard"),IF(ISNUMBER(R315),R315,100000)+ROW()/100000,"")</f>
        <v/>
      </c>
      <c r="AC315" s="66" t="str">
        <f>IF(A315="","",IF(COUNTIF($A$6:A315,A315)=1,1,""))</f>
        <v/>
      </c>
      <c r="AD315" s="66" t="str">
        <f>IF(AC315=1,COUNT($AC$6:AC315),"")</f>
        <v/>
      </c>
      <c r="AE315" s="66" t="str">
        <f>IFERROR(INDEX(po_num,MATCH(310,po_seq,0))&amp;"","")</f>
        <v/>
      </c>
      <c r="AF315" s="66" t="str">
        <f>IF(OR(A315="",p_po=""),"",IF(A315&amp;""=p_po,COUNTIF($A$6:A315,A315),""))</f>
        <v/>
      </c>
      <c r="AG315" s="66" t="str">
        <f>IF(OR(AB315="",A315=""),"",IF(COUNTIFS($A$6:A315,A315,$AB$6:AB315,"&gt;0")=1,1,""))</f>
        <v/>
      </c>
      <c r="AH315" s="70" t="str">
        <f>IF(AB315="","",ROUND(N(W315)*N(J315)*(1-N(K315)),2))</f>
        <v/>
      </c>
      <c r="AI315" s="70" t="str">
        <f>IF(OR(J315="",N(T315)&lt;=0,V315="Oui"),"",ROUND(N(T315)*J315*(1-N(K315)),2))</f>
        <v/>
      </c>
    </row>
    <row r="316">
      <c r="A316" s="63" t="n"/>
      <c r="B316" s="64" t="n"/>
      <c r="C316" s="65" t="n"/>
      <c r="D316" s="66" t="str">
        <f>IF(C316="","",IFERROR(INDEX(sup_name,MATCH($C316,sup_code,0))&amp;"","Fournisseur inconnu"))</f>
        <v/>
      </c>
      <c r="E316" s="63" t="n"/>
      <c r="F316" s="66" t="str">
        <f>IF(E316="","",IFERROR(INDEX(art_des,MATCH($E316,art_ref,0))&amp;"","Article inconnu"))</f>
        <v/>
      </c>
      <c r="G316" s="67" t="str">
        <f>IF(E316="","",IFERROR(INDEX(art_unit,MATCH($E316,art_ref,0))&amp;"",""))</f>
        <v/>
      </c>
      <c r="H316" s="68" t="n"/>
      <c r="I316" s="69" t="n"/>
      <c r="J316" s="70" t="str">
        <f>IF(E316="","",IF(ISNUMBER(I316),I316,IFERROR(IF(ISNUMBER(INDEX(art_price,MATCH($E316,art_ref,0))),INDEX(art_price,MATCH($E316,art_ref,0)),""),"")))</f>
        <v/>
      </c>
      <c r="K316" s="71" t="n"/>
      <c r="L316" s="72" t="n"/>
      <c r="M316" s="72" t="str">
        <f>IF(E316="","",IF(L316&lt;&gt;"",L316,IFERROR(IF(ISNUMBER(INDEX(art_tva,MATCH($E316,art_ref,0))),INDEX(art_tva,MATCH($E316,art_ref,0)),""),"")))</f>
        <v/>
      </c>
      <c r="N316" s="70" t="str">
        <f>IF(OR(E316="",J316=""),"",ROUND(N(H316)*J316*(1-N(K316)),2))</f>
        <v/>
      </c>
      <c r="O316" s="70" t="str">
        <f>IF(OR(N316="",NOT(ISNUMBER(M316))),"",ROUND(N316*M316,2))</f>
        <v/>
      </c>
      <c r="P316" s="70" t="str">
        <f>IF(N316="","",N316+N(O316))</f>
        <v/>
      </c>
      <c r="Q316" s="64" t="n"/>
      <c r="R316" s="73" t="str">
        <f>IF(N(Q316)&gt;0,Q316,IF(OR(N(B316)=0,ISNA(MATCH($C316,sup_code,0))),"",IF(ISNUMBER(INDEX(sup_delay,MATCH($C316,sup_code,0))),B316+INDEX(sup_delay,MATCH($C316,sup_code,0)),"")))</f>
        <v/>
      </c>
      <c r="S316" s="64" t="n"/>
      <c r="T316" s="68" t="n"/>
      <c r="U316" s="64" t="n"/>
      <c r="V316" s="65" t="n"/>
      <c r="W316" s="74" t="str">
        <f>IF(AND(A316="",E316=""),"",IF(V316="Oui",0,MAX(0,ROUND(N(H316)-N(T316),6))))</f>
        <v/>
      </c>
      <c r="X316" s="67" t="str">
        <f>IF(AND(A316="",E316=""),"",IF(V316="Oui","Annulé",IF(AND(N(H316)&gt;0,N(T316)&gt;=N(H316)),"Reçu",IF(N(S316)=0,"Brouillon",IF(AND(ISNUMBER(R316),R316&lt;p_today),"En retard",IF(N(T316)&gt;0,"Partiel","Envoyé"))))))</f>
        <v/>
      </c>
      <c r="Y316" s="75" t="str">
        <f>IF(X316="En retard",p_today-R316,IF(AND(X316="Reçu",ISNUMBER(R316)),MAX(0,N(U316)-R316),""))</f>
        <v/>
      </c>
      <c r="Z316" s="67" t="str">
        <f>IF(AND(A316="",E316=""),"",IF(A316="","N° de bon manquant",IF(N(B316)=0,"Date de commande manquante",IF(C316="","Fournisseur manquant",IF(ISNA(MATCH($C316,sup_code,0)),"Fournisseur inconnu",IF(E316="","Article manquant",IF(ISNA(MATCH($E316,art_ref,0)),"Article inconnu",IF(N(H316)&lt;=0,"Quantité invalide",IF(J316="","Prix manquant",IF(OR(N(K316)&lt;0,N(K316)&gt;=1),"Remise invalide",IF(M316="","TVA manquante",IF(ISNA(MATCH(M316,p_tva,0)),"Taux de TVA inconnu",IF(COUNTIFS(po_num,A316,po_sup,"&lt;&gt;"&amp;C316)&gt;0,"Fournisseur différent sur ce bon",IF(COUNTIFS(po_num,A316,po_date,"&lt;&gt;"&amp;B316)&gt;0,"Date différente sur ce bon",IF(COUNTIF(po_num,A316)&gt;25,"Plus de 25 lignes sur ce bon",IF(R316="","Date de livraison manquante",IF(R316&lt;B316,"Livraison avant la commande",IF(AND(N(T316)&gt;0,N(S316)=0),"Date d'envoi manquante",IF(N(T316)&gt;N(H316),"Reçu plus que commandé",IF(AND(N(T316)&gt;0,N(U316)=0),"Date de réception manquante",IF(AND(N(U316)&gt;0,U316&lt;B316),"Réception avant la commande","OK")))))))))))))))))))))</f>
        <v/>
      </c>
      <c r="AA316" s="66" t="str">
        <f>IF(AND(X316="Reçu",ISNUMBER(R316)),IF(N(U316)&lt;=R316,1,0),"")</f>
        <v/>
      </c>
      <c r="AB316" s="76" t="str">
        <f>IF(OR(X316="Envoyé",X316="Partiel",X316="En retard"),IF(ISNUMBER(R316),R316,100000)+ROW()/100000,"")</f>
        <v/>
      </c>
      <c r="AC316" s="66" t="str">
        <f>IF(A316="","",IF(COUNTIF($A$6:A316,A316)=1,1,""))</f>
        <v/>
      </c>
      <c r="AD316" s="66" t="str">
        <f>IF(AC316=1,COUNT($AC$6:AC316),"")</f>
        <v/>
      </c>
      <c r="AE316" s="66" t="str">
        <f>IFERROR(INDEX(po_num,MATCH(311,po_seq,0))&amp;"","")</f>
        <v/>
      </c>
      <c r="AF316" s="66" t="str">
        <f>IF(OR(A316="",p_po=""),"",IF(A316&amp;""=p_po,COUNTIF($A$6:A316,A316),""))</f>
        <v/>
      </c>
      <c r="AG316" s="66" t="str">
        <f>IF(OR(AB316="",A316=""),"",IF(COUNTIFS($A$6:A316,A316,$AB$6:AB316,"&gt;0")=1,1,""))</f>
        <v/>
      </c>
      <c r="AH316" s="70" t="str">
        <f>IF(AB316="","",ROUND(N(W316)*N(J316)*(1-N(K316)),2))</f>
        <v/>
      </c>
      <c r="AI316" s="70" t="str">
        <f>IF(OR(J316="",N(T316)&lt;=0,V316="Oui"),"",ROUND(N(T316)*J316*(1-N(K316)),2))</f>
        <v/>
      </c>
    </row>
    <row r="317">
      <c r="A317" s="63" t="n"/>
      <c r="B317" s="64" t="n"/>
      <c r="C317" s="65" t="n"/>
      <c r="D317" s="66" t="str">
        <f>IF(C317="","",IFERROR(INDEX(sup_name,MATCH($C317,sup_code,0))&amp;"","Fournisseur inconnu"))</f>
        <v/>
      </c>
      <c r="E317" s="63" t="n"/>
      <c r="F317" s="66" t="str">
        <f>IF(E317="","",IFERROR(INDEX(art_des,MATCH($E317,art_ref,0))&amp;"","Article inconnu"))</f>
        <v/>
      </c>
      <c r="G317" s="67" t="str">
        <f>IF(E317="","",IFERROR(INDEX(art_unit,MATCH($E317,art_ref,0))&amp;"",""))</f>
        <v/>
      </c>
      <c r="H317" s="68" t="n"/>
      <c r="I317" s="69" t="n"/>
      <c r="J317" s="70" t="str">
        <f>IF(E317="","",IF(ISNUMBER(I317),I317,IFERROR(IF(ISNUMBER(INDEX(art_price,MATCH($E317,art_ref,0))),INDEX(art_price,MATCH($E317,art_ref,0)),""),"")))</f>
        <v/>
      </c>
      <c r="K317" s="71" t="n"/>
      <c r="L317" s="72" t="n"/>
      <c r="M317" s="72" t="str">
        <f>IF(E317="","",IF(L317&lt;&gt;"",L317,IFERROR(IF(ISNUMBER(INDEX(art_tva,MATCH($E317,art_ref,0))),INDEX(art_tva,MATCH($E317,art_ref,0)),""),"")))</f>
        <v/>
      </c>
      <c r="N317" s="70" t="str">
        <f>IF(OR(E317="",J317=""),"",ROUND(N(H317)*J317*(1-N(K317)),2))</f>
        <v/>
      </c>
      <c r="O317" s="70" t="str">
        <f>IF(OR(N317="",NOT(ISNUMBER(M317))),"",ROUND(N317*M317,2))</f>
        <v/>
      </c>
      <c r="P317" s="70" t="str">
        <f>IF(N317="","",N317+N(O317))</f>
        <v/>
      </c>
      <c r="Q317" s="64" t="n"/>
      <c r="R317" s="73" t="str">
        <f>IF(N(Q317)&gt;0,Q317,IF(OR(N(B317)=0,ISNA(MATCH($C317,sup_code,0))),"",IF(ISNUMBER(INDEX(sup_delay,MATCH($C317,sup_code,0))),B317+INDEX(sup_delay,MATCH($C317,sup_code,0)),"")))</f>
        <v/>
      </c>
      <c r="S317" s="64" t="n"/>
      <c r="T317" s="68" t="n"/>
      <c r="U317" s="64" t="n"/>
      <c r="V317" s="65" t="n"/>
      <c r="W317" s="74" t="str">
        <f>IF(AND(A317="",E317=""),"",IF(V317="Oui",0,MAX(0,ROUND(N(H317)-N(T317),6))))</f>
        <v/>
      </c>
      <c r="X317" s="67" t="str">
        <f>IF(AND(A317="",E317=""),"",IF(V317="Oui","Annulé",IF(AND(N(H317)&gt;0,N(T317)&gt;=N(H317)),"Reçu",IF(N(S317)=0,"Brouillon",IF(AND(ISNUMBER(R317),R317&lt;p_today),"En retard",IF(N(T317)&gt;0,"Partiel","Envoyé"))))))</f>
        <v/>
      </c>
      <c r="Y317" s="75" t="str">
        <f>IF(X317="En retard",p_today-R317,IF(AND(X317="Reçu",ISNUMBER(R317)),MAX(0,N(U317)-R317),""))</f>
        <v/>
      </c>
      <c r="Z317" s="67" t="str">
        <f>IF(AND(A317="",E317=""),"",IF(A317="","N° de bon manquant",IF(N(B317)=0,"Date de commande manquante",IF(C317="","Fournisseur manquant",IF(ISNA(MATCH($C317,sup_code,0)),"Fournisseur inconnu",IF(E317="","Article manquant",IF(ISNA(MATCH($E317,art_ref,0)),"Article inconnu",IF(N(H317)&lt;=0,"Quantité invalide",IF(J317="","Prix manquant",IF(OR(N(K317)&lt;0,N(K317)&gt;=1),"Remise invalide",IF(M317="","TVA manquante",IF(ISNA(MATCH(M317,p_tva,0)),"Taux de TVA inconnu",IF(COUNTIFS(po_num,A317,po_sup,"&lt;&gt;"&amp;C317)&gt;0,"Fournisseur différent sur ce bon",IF(COUNTIFS(po_num,A317,po_date,"&lt;&gt;"&amp;B317)&gt;0,"Date différente sur ce bon",IF(COUNTIF(po_num,A317)&gt;25,"Plus de 25 lignes sur ce bon",IF(R317="","Date de livraison manquante",IF(R317&lt;B317,"Livraison avant la commande",IF(AND(N(T317)&gt;0,N(S317)=0),"Date d'envoi manquante",IF(N(T317)&gt;N(H317),"Reçu plus que commandé",IF(AND(N(T317)&gt;0,N(U317)=0),"Date de réception manquante",IF(AND(N(U317)&gt;0,U317&lt;B317),"Réception avant la commande","OK")))))))))))))))))))))</f>
        <v/>
      </c>
      <c r="AA317" s="66" t="str">
        <f>IF(AND(X317="Reçu",ISNUMBER(R317)),IF(N(U317)&lt;=R317,1,0),"")</f>
        <v/>
      </c>
      <c r="AB317" s="76" t="str">
        <f>IF(OR(X317="Envoyé",X317="Partiel",X317="En retard"),IF(ISNUMBER(R317),R317,100000)+ROW()/100000,"")</f>
        <v/>
      </c>
      <c r="AC317" s="66" t="str">
        <f>IF(A317="","",IF(COUNTIF($A$6:A317,A317)=1,1,""))</f>
        <v/>
      </c>
      <c r="AD317" s="66" t="str">
        <f>IF(AC317=1,COUNT($AC$6:AC317),"")</f>
        <v/>
      </c>
      <c r="AE317" s="66" t="str">
        <f>IFERROR(INDEX(po_num,MATCH(312,po_seq,0))&amp;"","")</f>
        <v/>
      </c>
      <c r="AF317" s="66" t="str">
        <f>IF(OR(A317="",p_po=""),"",IF(A317&amp;""=p_po,COUNTIF($A$6:A317,A317),""))</f>
        <v/>
      </c>
      <c r="AG317" s="66" t="str">
        <f>IF(OR(AB317="",A317=""),"",IF(COUNTIFS($A$6:A317,A317,$AB$6:AB317,"&gt;0")=1,1,""))</f>
        <v/>
      </c>
      <c r="AH317" s="70" t="str">
        <f>IF(AB317="","",ROUND(N(W317)*N(J317)*(1-N(K317)),2))</f>
        <v/>
      </c>
      <c r="AI317" s="70" t="str">
        <f>IF(OR(J317="",N(T317)&lt;=0,V317="Oui"),"",ROUND(N(T317)*J317*(1-N(K317)),2))</f>
        <v/>
      </c>
    </row>
    <row r="318">
      <c r="A318" s="63" t="n"/>
      <c r="B318" s="64" t="n"/>
      <c r="C318" s="65" t="n"/>
      <c r="D318" s="66" t="str">
        <f>IF(C318="","",IFERROR(INDEX(sup_name,MATCH($C318,sup_code,0))&amp;"","Fournisseur inconnu"))</f>
        <v/>
      </c>
      <c r="E318" s="63" t="n"/>
      <c r="F318" s="66" t="str">
        <f>IF(E318="","",IFERROR(INDEX(art_des,MATCH($E318,art_ref,0))&amp;"","Article inconnu"))</f>
        <v/>
      </c>
      <c r="G318" s="67" t="str">
        <f>IF(E318="","",IFERROR(INDEX(art_unit,MATCH($E318,art_ref,0))&amp;"",""))</f>
        <v/>
      </c>
      <c r="H318" s="68" t="n"/>
      <c r="I318" s="69" t="n"/>
      <c r="J318" s="70" t="str">
        <f>IF(E318="","",IF(ISNUMBER(I318),I318,IFERROR(IF(ISNUMBER(INDEX(art_price,MATCH($E318,art_ref,0))),INDEX(art_price,MATCH($E318,art_ref,0)),""),"")))</f>
        <v/>
      </c>
      <c r="K318" s="71" t="n"/>
      <c r="L318" s="72" t="n"/>
      <c r="M318" s="72" t="str">
        <f>IF(E318="","",IF(L318&lt;&gt;"",L318,IFERROR(IF(ISNUMBER(INDEX(art_tva,MATCH($E318,art_ref,0))),INDEX(art_tva,MATCH($E318,art_ref,0)),""),"")))</f>
        <v/>
      </c>
      <c r="N318" s="70" t="str">
        <f>IF(OR(E318="",J318=""),"",ROUND(N(H318)*J318*(1-N(K318)),2))</f>
        <v/>
      </c>
      <c r="O318" s="70" t="str">
        <f>IF(OR(N318="",NOT(ISNUMBER(M318))),"",ROUND(N318*M318,2))</f>
        <v/>
      </c>
      <c r="P318" s="70" t="str">
        <f>IF(N318="","",N318+N(O318))</f>
        <v/>
      </c>
      <c r="Q318" s="64" t="n"/>
      <c r="R318" s="73" t="str">
        <f>IF(N(Q318)&gt;0,Q318,IF(OR(N(B318)=0,ISNA(MATCH($C318,sup_code,0))),"",IF(ISNUMBER(INDEX(sup_delay,MATCH($C318,sup_code,0))),B318+INDEX(sup_delay,MATCH($C318,sup_code,0)),"")))</f>
        <v/>
      </c>
      <c r="S318" s="64" t="n"/>
      <c r="T318" s="68" t="n"/>
      <c r="U318" s="64" t="n"/>
      <c r="V318" s="65" t="n"/>
      <c r="W318" s="74" t="str">
        <f>IF(AND(A318="",E318=""),"",IF(V318="Oui",0,MAX(0,ROUND(N(H318)-N(T318),6))))</f>
        <v/>
      </c>
      <c r="X318" s="67" t="str">
        <f>IF(AND(A318="",E318=""),"",IF(V318="Oui","Annulé",IF(AND(N(H318)&gt;0,N(T318)&gt;=N(H318)),"Reçu",IF(N(S318)=0,"Brouillon",IF(AND(ISNUMBER(R318),R318&lt;p_today),"En retard",IF(N(T318)&gt;0,"Partiel","Envoyé"))))))</f>
        <v/>
      </c>
      <c r="Y318" s="75" t="str">
        <f>IF(X318="En retard",p_today-R318,IF(AND(X318="Reçu",ISNUMBER(R318)),MAX(0,N(U318)-R318),""))</f>
        <v/>
      </c>
      <c r="Z318" s="67" t="str">
        <f>IF(AND(A318="",E318=""),"",IF(A318="","N° de bon manquant",IF(N(B318)=0,"Date de commande manquante",IF(C318="","Fournisseur manquant",IF(ISNA(MATCH($C318,sup_code,0)),"Fournisseur inconnu",IF(E318="","Article manquant",IF(ISNA(MATCH($E318,art_ref,0)),"Article inconnu",IF(N(H318)&lt;=0,"Quantité invalide",IF(J318="","Prix manquant",IF(OR(N(K318)&lt;0,N(K318)&gt;=1),"Remise invalide",IF(M318="","TVA manquante",IF(ISNA(MATCH(M318,p_tva,0)),"Taux de TVA inconnu",IF(COUNTIFS(po_num,A318,po_sup,"&lt;&gt;"&amp;C318)&gt;0,"Fournisseur différent sur ce bon",IF(COUNTIFS(po_num,A318,po_date,"&lt;&gt;"&amp;B318)&gt;0,"Date différente sur ce bon",IF(COUNTIF(po_num,A318)&gt;25,"Plus de 25 lignes sur ce bon",IF(R318="","Date de livraison manquante",IF(R318&lt;B318,"Livraison avant la commande",IF(AND(N(T318)&gt;0,N(S318)=0),"Date d'envoi manquante",IF(N(T318)&gt;N(H318),"Reçu plus que commandé",IF(AND(N(T318)&gt;0,N(U318)=0),"Date de réception manquante",IF(AND(N(U318)&gt;0,U318&lt;B318),"Réception avant la commande","OK")))))))))))))))))))))</f>
        <v/>
      </c>
      <c r="AA318" s="66" t="str">
        <f>IF(AND(X318="Reçu",ISNUMBER(R318)),IF(N(U318)&lt;=R318,1,0),"")</f>
        <v/>
      </c>
      <c r="AB318" s="76" t="str">
        <f>IF(OR(X318="Envoyé",X318="Partiel",X318="En retard"),IF(ISNUMBER(R318),R318,100000)+ROW()/100000,"")</f>
        <v/>
      </c>
      <c r="AC318" s="66" t="str">
        <f>IF(A318="","",IF(COUNTIF($A$6:A318,A318)=1,1,""))</f>
        <v/>
      </c>
      <c r="AD318" s="66" t="str">
        <f>IF(AC318=1,COUNT($AC$6:AC318),"")</f>
        <v/>
      </c>
      <c r="AE318" s="66" t="str">
        <f>IFERROR(INDEX(po_num,MATCH(313,po_seq,0))&amp;"","")</f>
        <v/>
      </c>
      <c r="AF318" s="66" t="str">
        <f>IF(OR(A318="",p_po=""),"",IF(A318&amp;""=p_po,COUNTIF($A$6:A318,A318),""))</f>
        <v/>
      </c>
      <c r="AG318" s="66" t="str">
        <f>IF(OR(AB318="",A318=""),"",IF(COUNTIFS($A$6:A318,A318,$AB$6:AB318,"&gt;0")=1,1,""))</f>
        <v/>
      </c>
      <c r="AH318" s="70" t="str">
        <f>IF(AB318="","",ROUND(N(W318)*N(J318)*(1-N(K318)),2))</f>
        <v/>
      </c>
      <c r="AI318" s="70" t="str">
        <f>IF(OR(J318="",N(T318)&lt;=0,V318="Oui"),"",ROUND(N(T318)*J318*(1-N(K318)),2))</f>
        <v/>
      </c>
    </row>
    <row r="319">
      <c r="A319" s="63" t="n"/>
      <c r="B319" s="64" t="n"/>
      <c r="C319" s="65" t="n"/>
      <c r="D319" s="66" t="str">
        <f>IF(C319="","",IFERROR(INDEX(sup_name,MATCH($C319,sup_code,0))&amp;"","Fournisseur inconnu"))</f>
        <v/>
      </c>
      <c r="E319" s="63" t="n"/>
      <c r="F319" s="66" t="str">
        <f>IF(E319="","",IFERROR(INDEX(art_des,MATCH($E319,art_ref,0))&amp;"","Article inconnu"))</f>
        <v/>
      </c>
      <c r="G319" s="67" t="str">
        <f>IF(E319="","",IFERROR(INDEX(art_unit,MATCH($E319,art_ref,0))&amp;"",""))</f>
        <v/>
      </c>
      <c r="H319" s="68" t="n"/>
      <c r="I319" s="69" t="n"/>
      <c r="J319" s="70" t="str">
        <f>IF(E319="","",IF(ISNUMBER(I319),I319,IFERROR(IF(ISNUMBER(INDEX(art_price,MATCH($E319,art_ref,0))),INDEX(art_price,MATCH($E319,art_ref,0)),""),"")))</f>
        <v/>
      </c>
      <c r="K319" s="71" t="n"/>
      <c r="L319" s="72" t="n"/>
      <c r="M319" s="72" t="str">
        <f>IF(E319="","",IF(L319&lt;&gt;"",L319,IFERROR(IF(ISNUMBER(INDEX(art_tva,MATCH($E319,art_ref,0))),INDEX(art_tva,MATCH($E319,art_ref,0)),""),"")))</f>
        <v/>
      </c>
      <c r="N319" s="70" t="str">
        <f>IF(OR(E319="",J319=""),"",ROUND(N(H319)*J319*(1-N(K319)),2))</f>
        <v/>
      </c>
      <c r="O319" s="70" t="str">
        <f>IF(OR(N319="",NOT(ISNUMBER(M319))),"",ROUND(N319*M319,2))</f>
        <v/>
      </c>
      <c r="P319" s="70" t="str">
        <f>IF(N319="","",N319+N(O319))</f>
        <v/>
      </c>
      <c r="Q319" s="64" t="n"/>
      <c r="R319" s="73" t="str">
        <f>IF(N(Q319)&gt;0,Q319,IF(OR(N(B319)=0,ISNA(MATCH($C319,sup_code,0))),"",IF(ISNUMBER(INDEX(sup_delay,MATCH($C319,sup_code,0))),B319+INDEX(sup_delay,MATCH($C319,sup_code,0)),"")))</f>
        <v/>
      </c>
      <c r="S319" s="64" t="n"/>
      <c r="T319" s="68" t="n"/>
      <c r="U319" s="64" t="n"/>
      <c r="V319" s="65" t="n"/>
      <c r="W319" s="74" t="str">
        <f>IF(AND(A319="",E319=""),"",IF(V319="Oui",0,MAX(0,ROUND(N(H319)-N(T319),6))))</f>
        <v/>
      </c>
      <c r="X319" s="67" t="str">
        <f>IF(AND(A319="",E319=""),"",IF(V319="Oui","Annulé",IF(AND(N(H319)&gt;0,N(T319)&gt;=N(H319)),"Reçu",IF(N(S319)=0,"Brouillon",IF(AND(ISNUMBER(R319),R319&lt;p_today),"En retard",IF(N(T319)&gt;0,"Partiel","Envoyé"))))))</f>
        <v/>
      </c>
      <c r="Y319" s="75" t="str">
        <f>IF(X319="En retard",p_today-R319,IF(AND(X319="Reçu",ISNUMBER(R319)),MAX(0,N(U319)-R319),""))</f>
        <v/>
      </c>
      <c r="Z319" s="67" t="str">
        <f>IF(AND(A319="",E319=""),"",IF(A319="","N° de bon manquant",IF(N(B319)=0,"Date de commande manquante",IF(C319="","Fournisseur manquant",IF(ISNA(MATCH($C319,sup_code,0)),"Fournisseur inconnu",IF(E319="","Article manquant",IF(ISNA(MATCH($E319,art_ref,0)),"Article inconnu",IF(N(H319)&lt;=0,"Quantité invalide",IF(J319="","Prix manquant",IF(OR(N(K319)&lt;0,N(K319)&gt;=1),"Remise invalide",IF(M319="","TVA manquante",IF(ISNA(MATCH(M319,p_tva,0)),"Taux de TVA inconnu",IF(COUNTIFS(po_num,A319,po_sup,"&lt;&gt;"&amp;C319)&gt;0,"Fournisseur différent sur ce bon",IF(COUNTIFS(po_num,A319,po_date,"&lt;&gt;"&amp;B319)&gt;0,"Date différente sur ce bon",IF(COUNTIF(po_num,A319)&gt;25,"Plus de 25 lignes sur ce bon",IF(R319="","Date de livraison manquante",IF(R319&lt;B319,"Livraison avant la commande",IF(AND(N(T319)&gt;0,N(S319)=0),"Date d'envoi manquante",IF(N(T319)&gt;N(H319),"Reçu plus que commandé",IF(AND(N(T319)&gt;0,N(U319)=0),"Date de réception manquante",IF(AND(N(U319)&gt;0,U319&lt;B319),"Réception avant la commande","OK")))))))))))))))))))))</f>
        <v/>
      </c>
      <c r="AA319" s="66" t="str">
        <f>IF(AND(X319="Reçu",ISNUMBER(R319)),IF(N(U319)&lt;=R319,1,0),"")</f>
        <v/>
      </c>
      <c r="AB319" s="76" t="str">
        <f>IF(OR(X319="Envoyé",X319="Partiel",X319="En retard"),IF(ISNUMBER(R319),R319,100000)+ROW()/100000,"")</f>
        <v/>
      </c>
      <c r="AC319" s="66" t="str">
        <f>IF(A319="","",IF(COUNTIF($A$6:A319,A319)=1,1,""))</f>
        <v/>
      </c>
      <c r="AD319" s="66" t="str">
        <f>IF(AC319=1,COUNT($AC$6:AC319),"")</f>
        <v/>
      </c>
      <c r="AE319" s="66" t="str">
        <f>IFERROR(INDEX(po_num,MATCH(314,po_seq,0))&amp;"","")</f>
        <v/>
      </c>
      <c r="AF319" s="66" t="str">
        <f>IF(OR(A319="",p_po=""),"",IF(A319&amp;""=p_po,COUNTIF($A$6:A319,A319),""))</f>
        <v/>
      </c>
      <c r="AG319" s="66" t="str">
        <f>IF(OR(AB319="",A319=""),"",IF(COUNTIFS($A$6:A319,A319,$AB$6:AB319,"&gt;0")=1,1,""))</f>
        <v/>
      </c>
      <c r="AH319" s="70" t="str">
        <f>IF(AB319="","",ROUND(N(W319)*N(J319)*(1-N(K319)),2))</f>
        <v/>
      </c>
      <c r="AI319" s="70" t="str">
        <f>IF(OR(J319="",N(T319)&lt;=0,V319="Oui"),"",ROUND(N(T319)*J319*(1-N(K319)),2))</f>
        <v/>
      </c>
    </row>
    <row r="320">
      <c r="A320" s="63" t="n"/>
      <c r="B320" s="64" t="n"/>
      <c r="C320" s="65" t="n"/>
      <c r="D320" s="66" t="str">
        <f>IF(C320="","",IFERROR(INDEX(sup_name,MATCH($C320,sup_code,0))&amp;"","Fournisseur inconnu"))</f>
        <v/>
      </c>
      <c r="E320" s="63" t="n"/>
      <c r="F320" s="66" t="str">
        <f>IF(E320="","",IFERROR(INDEX(art_des,MATCH($E320,art_ref,0))&amp;"","Article inconnu"))</f>
        <v/>
      </c>
      <c r="G320" s="67" t="str">
        <f>IF(E320="","",IFERROR(INDEX(art_unit,MATCH($E320,art_ref,0))&amp;"",""))</f>
        <v/>
      </c>
      <c r="H320" s="68" t="n"/>
      <c r="I320" s="69" t="n"/>
      <c r="J320" s="70" t="str">
        <f>IF(E320="","",IF(ISNUMBER(I320),I320,IFERROR(IF(ISNUMBER(INDEX(art_price,MATCH($E320,art_ref,0))),INDEX(art_price,MATCH($E320,art_ref,0)),""),"")))</f>
        <v/>
      </c>
      <c r="K320" s="71" t="n"/>
      <c r="L320" s="72" t="n"/>
      <c r="M320" s="72" t="str">
        <f>IF(E320="","",IF(L320&lt;&gt;"",L320,IFERROR(IF(ISNUMBER(INDEX(art_tva,MATCH($E320,art_ref,0))),INDEX(art_tva,MATCH($E320,art_ref,0)),""),"")))</f>
        <v/>
      </c>
      <c r="N320" s="70" t="str">
        <f>IF(OR(E320="",J320=""),"",ROUND(N(H320)*J320*(1-N(K320)),2))</f>
        <v/>
      </c>
      <c r="O320" s="70" t="str">
        <f>IF(OR(N320="",NOT(ISNUMBER(M320))),"",ROUND(N320*M320,2))</f>
        <v/>
      </c>
      <c r="P320" s="70" t="str">
        <f>IF(N320="","",N320+N(O320))</f>
        <v/>
      </c>
      <c r="Q320" s="64" t="n"/>
      <c r="R320" s="73" t="str">
        <f>IF(N(Q320)&gt;0,Q320,IF(OR(N(B320)=0,ISNA(MATCH($C320,sup_code,0))),"",IF(ISNUMBER(INDEX(sup_delay,MATCH($C320,sup_code,0))),B320+INDEX(sup_delay,MATCH($C320,sup_code,0)),"")))</f>
        <v/>
      </c>
      <c r="S320" s="64" t="n"/>
      <c r="T320" s="68" t="n"/>
      <c r="U320" s="64" t="n"/>
      <c r="V320" s="65" t="n"/>
      <c r="W320" s="74" t="str">
        <f>IF(AND(A320="",E320=""),"",IF(V320="Oui",0,MAX(0,ROUND(N(H320)-N(T320),6))))</f>
        <v/>
      </c>
      <c r="X320" s="67" t="str">
        <f>IF(AND(A320="",E320=""),"",IF(V320="Oui","Annulé",IF(AND(N(H320)&gt;0,N(T320)&gt;=N(H320)),"Reçu",IF(N(S320)=0,"Brouillon",IF(AND(ISNUMBER(R320),R320&lt;p_today),"En retard",IF(N(T320)&gt;0,"Partiel","Envoyé"))))))</f>
        <v/>
      </c>
      <c r="Y320" s="75" t="str">
        <f>IF(X320="En retard",p_today-R320,IF(AND(X320="Reçu",ISNUMBER(R320)),MAX(0,N(U320)-R320),""))</f>
        <v/>
      </c>
      <c r="Z320" s="67" t="str">
        <f>IF(AND(A320="",E320=""),"",IF(A320="","N° de bon manquant",IF(N(B320)=0,"Date de commande manquante",IF(C320="","Fournisseur manquant",IF(ISNA(MATCH($C320,sup_code,0)),"Fournisseur inconnu",IF(E320="","Article manquant",IF(ISNA(MATCH($E320,art_ref,0)),"Article inconnu",IF(N(H320)&lt;=0,"Quantité invalide",IF(J320="","Prix manquant",IF(OR(N(K320)&lt;0,N(K320)&gt;=1),"Remise invalide",IF(M320="","TVA manquante",IF(ISNA(MATCH(M320,p_tva,0)),"Taux de TVA inconnu",IF(COUNTIFS(po_num,A320,po_sup,"&lt;&gt;"&amp;C320)&gt;0,"Fournisseur différent sur ce bon",IF(COUNTIFS(po_num,A320,po_date,"&lt;&gt;"&amp;B320)&gt;0,"Date différente sur ce bon",IF(COUNTIF(po_num,A320)&gt;25,"Plus de 25 lignes sur ce bon",IF(R320="","Date de livraison manquante",IF(R320&lt;B320,"Livraison avant la commande",IF(AND(N(T320)&gt;0,N(S320)=0),"Date d'envoi manquante",IF(N(T320)&gt;N(H320),"Reçu plus que commandé",IF(AND(N(T320)&gt;0,N(U320)=0),"Date de réception manquante",IF(AND(N(U320)&gt;0,U320&lt;B320),"Réception avant la commande","OK")))))))))))))))))))))</f>
        <v/>
      </c>
      <c r="AA320" s="66" t="str">
        <f>IF(AND(X320="Reçu",ISNUMBER(R320)),IF(N(U320)&lt;=R320,1,0),"")</f>
        <v/>
      </c>
      <c r="AB320" s="76" t="str">
        <f>IF(OR(X320="Envoyé",X320="Partiel",X320="En retard"),IF(ISNUMBER(R320),R320,100000)+ROW()/100000,"")</f>
        <v/>
      </c>
      <c r="AC320" s="66" t="str">
        <f>IF(A320="","",IF(COUNTIF($A$6:A320,A320)=1,1,""))</f>
        <v/>
      </c>
      <c r="AD320" s="66" t="str">
        <f>IF(AC320=1,COUNT($AC$6:AC320),"")</f>
        <v/>
      </c>
      <c r="AE320" s="66" t="str">
        <f>IFERROR(INDEX(po_num,MATCH(315,po_seq,0))&amp;"","")</f>
        <v/>
      </c>
      <c r="AF320" s="66" t="str">
        <f>IF(OR(A320="",p_po=""),"",IF(A320&amp;""=p_po,COUNTIF($A$6:A320,A320),""))</f>
        <v/>
      </c>
      <c r="AG320" s="66" t="str">
        <f>IF(OR(AB320="",A320=""),"",IF(COUNTIFS($A$6:A320,A320,$AB$6:AB320,"&gt;0")=1,1,""))</f>
        <v/>
      </c>
      <c r="AH320" s="70" t="str">
        <f>IF(AB320="","",ROUND(N(W320)*N(J320)*(1-N(K320)),2))</f>
        <v/>
      </c>
      <c r="AI320" s="70" t="str">
        <f>IF(OR(J320="",N(T320)&lt;=0,V320="Oui"),"",ROUND(N(T320)*J320*(1-N(K320)),2))</f>
        <v/>
      </c>
    </row>
    <row r="321">
      <c r="A321" s="63" t="n"/>
      <c r="B321" s="64" t="n"/>
      <c r="C321" s="65" t="n"/>
      <c r="D321" s="66" t="str">
        <f>IF(C321="","",IFERROR(INDEX(sup_name,MATCH($C321,sup_code,0))&amp;"","Fournisseur inconnu"))</f>
        <v/>
      </c>
      <c r="E321" s="63" t="n"/>
      <c r="F321" s="66" t="str">
        <f>IF(E321="","",IFERROR(INDEX(art_des,MATCH($E321,art_ref,0))&amp;"","Article inconnu"))</f>
        <v/>
      </c>
      <c r="G321" s="67" t="str">
        <f>IF(E321="","",IFERROR(INDEX(art_unit,MATCH($E321,art_ref,0))&amp;"",""))</f>
        <v/>
      </c>
      <c r="H321" s="68" t="n"/>
      <c r="I321" s="69" t="n"/>
      <c r="J321" s="70" t="str">
        <f>IF(E321="","",IF(ISNUMBER(I321),I321,IFERROR(IF(ISNUMBER(INDEX(art_price,MATCH($E321,art_ref,0))),INDEX(art_price,MATCH($E321,art_ref,0)),""),"")))</f>
        <v/>
      </c>
      <c r="K321" s="71" t="n"/>
      <c r="L321" s="72" t="n"/>
      <c r="M321" s="72" t="str">
        <f>IF(E321="","",IF(L321&lt;&gt;"",L321,IFERROR(IF(ISNUMBER(INDEX(art_tva,MATCH($E321,art_ref,0))),INDEX(art_tva,MATCH($E321,art_ref,0)),""),"")))</f>
        <v/>
      </c>
      <c r="N321" s="70" t="str">
        <f>IF(OR(E321="",J321=""),"",ROUND(N(H321)*J321*(1-N(K321)),2))</f>
        <v/>
      </c>
      <c r="O321" s="70" t="str">
        <f>IF(OR(N321="",NOT(ISNUMBER(M321))),"",ROUND(N321*M321,2))</f>
        <v/>
      </c>
      <c r="P321" s="70" t="str">
        <f>IF(N321="","",N321+N(O321))</f>
        <v/>
      </c>
      <c r="Q321" s="64" t="n"/>
      <c r="R321" s="73" t="str">
        <f>IF(N(Q321)&gt;0,Q321,IF(OR(N(B321)=0,ISNA(MATCH($C321,sup_code,0))),"",IF(ISNUMBER(INDEX(sup_delay,MATCH($C321,sup_code,0))),B321+INDEX(sup_delay,MATCH($C321,sup_code,0)),"")))</f>
        <v/>
      </c>
      <c r="S321" s="64" t="n"/>
      <c r="T321" s="68" t="n"/>
      <c r="U321" s="64" t="n"/>
      <c r="V321" s="65" t="n"/>
      <c r="W321" s="74" t="str">
        <f>IF(AND(A321="",E321=""),"",IF(V321="Oui",0,MAX(0,ROUND(N(H321)-N(T321),6))))</f>
        <v/>
      </c>
      <c r="X321" s="67" t="str">
        <f>IF(AND(A321="",E321=""),"",IF(V321="Oui","Annulé",IF(AND(N(H321)&gt;0,N(T321)&gt;=N(H321)),"Reçu",IF(N(S321)=0,"Brouillon",IF(AND(ISNUMBER(R321),R321&lt;p_today),"En retard",IF(N(T321)&gt;0,"Partiel","Envoyé"))))))</f>
        <v/>
      </c>
      <c r="Y321" s="75" t="str">
        <f>IF(X321="En retard",p_today-R321,IF(AND(X321="Reçu",ISNUMBER(R321)),MAX(0,N(U321)-R321),""))</f>
        <v/>
      </c>
      <c r="Z321" s="67" t="str">
        <f>IF(AND(A321="",E321=""),"",IF(A321="","N° de bon manquant",IF(N(B321)=0,"Date de commande manquante",IF(C321="","Fournisseur manquant",IF(ISNA(MATCH($C321,sup_code,0)),"Fournisseur inconnu",IF(E321="","Article manquant",IF(ISNA(MATCH($E321,art_ref,0)),"Article inconnu",IF(N(H321)&lt;=0,"Quantité invalide",IF(J321="","Prix manquant",IF(OR(N(K321)&lt;0,N(K321)&gt;=1),"Remise invalide",IF(M321="","TVA manquante",IF(ISNA(MATCH(M321,p_tva,0)),"Taux de TVA inconnu",IF(COUNTIFS(po_num,A321,po_sup,"&lt;&gt;"&amp;C321)&gt;0,"Fournisseur différent sur ce bon",IF(COUNTIFS(po_num,A321,po_date,"&lt;&gt;"&amp;B321)&gt;0,"Date différente sur ce bon",IF(COUNTIF(po_num,A321)&gt;25,"Plus de 25 lignes sur ce bon",IF(R321="","Date de livraison manquante",IF(R321&lt;B321,"Livraison avant la commande",IF(AND(N(T321)&gt;0,N(S321)=0),"Date d'envoi manquante",IF(N(T321)&gt;N(H321),"Reçu plus que commandé",IF(AND(N(T321)&gt;0,N(U321)=0),"Date de réception manquante",IF(AND(N(U321)&gt;0,U321&lt;B321),"Réception avant la commande","OK")))))))))))))))))))))</f>
        <v/>
      </c>
      <c r="AA321" s="66" t="str">
        <f>IF(AND(X321="Reçu",ISNUMBER(R321)),IF(N(U321)&lt;=R321,1,0),"")</f>
        <v/>
      </c>
      <c r="AB321" s="76" t="str">
        <f>IF(OR(X321="Envoyé",X321="Partiel",X321="En retard"),IF(ISNUMBER(R321),R321,100000)+ROW()/100000,"")</f>
        <v/>
      </c>
      <c r="AC321" s="66" t="str">
        <f>IF(A321="","",IF(COUNTIF($A$6:A321,A321)=1,1,""))</f>
        <v/>
      </c>
      <c r="AD321" s="66" t="str">
        <f>IF(AC321=1,COUNT($AC$6:AC321),"")</f>
        <v/>
      </c>
      <c r="AE321" s="66" t="str">
        <f>IFERROR(INDEX(po_num,MATCH(316,po_seq,0))&amp;"","")</f>
        <v/>
      </c>
      <c r="AF321" s="66" t="str">
        <f>IF(OR(A321="",p_po=""),"",IF(A321&amp;""=p_po,COUNTIF($A$6:A321,A321),""))</f>
        <v/>
      </c>
      <c r="AG321" s="66" t="str">
        <f>IF(OR(AB321="",A321=""),"",IF(COUNTIFS($A$6:A321,A321,$AB$6:AB321,"&gt;0")=1,1,""))</f>
        <v/>
      </c>
      <c r="AH321" s="70" t="str">
        <f>IF(AB321="","",ROUND(N(W321)*N(J321)*(1-N(K321)),2))</f>
        <v/>
      </c>
      <c r="AI321" s="70" t="str">
        <f>IF(OR(J321="",N(T321)&lt;=0,V321="Oui"),"",ROUND(N(T321)*J321*(1-N(K321)),2))</f>
        <v/>
      </c>
    </row>
    <row r="322">
      <c r="A322" s="63" t="n"/>
      <c r="B322" s="64" t="n"/>
      <c r="C322" s="65" t="n"/>
      <c r="D322" s="66" t="str">
        <f>IF(C322="","",IFERROR(INDEX(sup_name,MATCH($C322,sup_code,0))&amp;"","Fournisseur inconnu"))</f>
        <v/>
      </c>
      <c r="E322" s="63" t="n"/>
      <c r="F322" s="66" t="str">
        <f>IF(E322="","",IFERROR(INDEX(art_des,MATCH($E322,art_ref,0))&amp;"","Article inconnu"))</f>
        <v/>
      </c>
      <c r="G322" s="67" t="str">
        <f>IF(E322="","",IFERROR(INDEX(art_unit,MATCH($E322,art_ref,0))&amp;"",""))</f>
        <v/>
      </c>
      <c r="H322" s="68" t="n"/>
      <c r="I322" s="69" t="n"/>
      <c r="J322" s="70" t="str">
        <f>IF(E322="","",IF(ISNUMBER(I322),I322,IFERROR(IF(ISNUMBER(INDEX(art_price,MATCH($E322,art_ref,0))),INDEX(art_price,MATCH($E322,art_ref,0)),""),"")))</f>
        <v/>
      </c>
      <c r="K322" s="71" t="n"/>
      <c r="L322" s="72" t="n"/>
      <c r="M322" s="72" t="str">
        <f>IF(E322="","",IF(L322&lt;&gt;"",L322,IFERROR(IF(ISNUMBER(INDEX(art_tva,MATCH($E322,art_ref,0))),INDEX(art_tva,MATCH($E322,art_ref,0)),""),"")))</f>
        <v/>
      </c>
      <c r="N322" s="70" t="str">
        <f>IF(OR(E322="",J322=""),"",ROUND(N(H322)*J322*(1-N(K322)),2))</f>
        <v/>
      </c>
      <c r="O322" s="70" t="str">
        <f>IF(OR(N322="",NOT(ISNUMBER(M322))),"",ROUND(N322*M322,2))</f>
        <v/>
      </c>
      <c r="P322" s="70" t="str">
        <f>IF(N322="","",N322+N(O322))</f>
        <v/>
      </c>
      <c r="Q322" s="64" t="n"/>
      <c r="R322" s="73" t="str">
        <f>IF(N(Q322)&gt;0,Q322,IF(OR(N(B322)=0,ISNA(MATCH($C322,sup_code,0))),"",IF(ISNUMBER(INDEX(sup_delay,MATCH($C322,sup_code,0))),B322+INDEX(sup_delay,MATCH($C322,sup_code,0)),"")))</f>
        <v/>
      </c>
      <c r="S322" s="64" t="n"/>
      <c r="T322" s="68" t="n"/>
      <c r="U322" s="64" t="n"/>
      <c r="V322" s="65" t="n"/>
      <c r="W322" s="74" t="str">
        <f>IF(AND(A322="",E322=""),"",IF(V322="Oui",0,MAX(0,ROUND(N(H322)-N(T322),6))))</f>
        <v/>
      </c>
      <c r="X322" s="67" t="str">
        <f>IF(AND(A322="",E322=""),"",IF(V322="Oui","Annulé",IF(AND(N(H322)&gt;0,N(T322)&gt;=N(H322)),"Reçu",IF(N(S322)=0,"Brouillon",IF(AND(ISNUMBER(R322),R322&lt;p_today),"En retard",IF(N(T322)&gt;0,"Partiel","Envoyé"))))))</f>
        <v/>
      </c>
      <c r="Y322" s="75" t="str">
        <f>IF(X322="En retard",p_today-R322,IF(AND(X322="Reçu",ISNUMBER(R322)),MAX(0,N(U322)-R322),""))</f>
        <v/>
      </c>
      <c r="Z322" s="67" t="str">
        <f>IF(AND(A322="",E322=""),"",IF(A322="","N° de bon manquant",IF(N(B322)=0,"Date de commande manquante",IF(C322="","Fournisseur manquant",IF(ISNA(MATCH($C322,sup_code,0)),"Fournisseur inconnu",IF(E322="","Article manquant",IF(ISNA(MATCH($E322,art_ref,0)),"Article inconnu",IF(N(H322)&lt;=0,"Quantité invalide",IF(J322="","Prix manquant",IF(OR(N(K322)&lt;0,N(K322)&gt;=1),"Remise invalide",IF(M322="","TVA manquante",IF(ISNA(MATCH(M322,p_tva,0)),"Taux de TVA inconnu",IF(COUNTIFS(po_num,A322,po_sup,"&lt;&gt;"&amp;C322)&gt;0,"Fournisseur différent sur ce bon",IF(COUNTIFS(po_num,A322,po_date,"&lt;&gt;"&amp;B322)&gt;0,"Date différente sur ce bon",IF(COUNTIF(po_num,A322)&gt;25,"Plus de 25 lignes sur ce bon",IF(R322="","Date de livraison manquante",IF(R322&lt;B322,"Livraison avant la commande",IF(AND(N(T322)&gt;0,N(S322)=0),"Date d'envoi manquante",IF(N(T322)&gt;N(H322),"Reçu plus que commandé",IF(AND(N(T322)&gt;0,N(U322)=0),"Date de réception manquante",IF(AND(N(U322)&gt;0,U322&lt;B322),"Réception avant la commande","OK")))))))))))))))))))))</f>
        <v/>
      </c>
      <c r="AA322" s="66" t="str">
        <f>IF(AND(X322="Reçu",ISNUMBER(R322)),IF(N(U322)&lt;=R322,1,0),"")</f>
        <v/>
      </c>
      <c r="AB322" s="76" t="str">
        <f>IF(OR(X322="Envoyé",X322="Partiel",X322="En retard"),IF(ISNUMBER(R322),R322,100000)+ROW()/100000,"")</f>
        <v/>
      </c>
      <c r="AC322" s="66" t="str">
        <f>IF(A322="","",IF(COUNTIF($A$6:A322,A322)=1,1,""))</f>
        <v/>
      </c>
      <c r="AD322" s="66" t="str">
        <f>IF(AC322=1,COUNT($AC$6:AC322),"")</f>
        <v/>
      </c>
      <c r="AE322" s="66" t="str">
        <f>IFERROR(INDEX(po_num,MATCH(317,po_seq,0))&amp;"","")</f>
        <v/>
      </c>
      <c r="AF322" s="66" t="str">
        <f>IF(OR(A322="",p_po=""),"",IF(A322&amp;""=p_po,COUNTIF($A$6:A322,A322),""))</f>
        <v/>
      </c>
      <c r="AG322" s="66" t="str">
        <f>IF(OR(AB322="",A322=""),"",IF(COUNTIFS($A$6:A322,A322,$AB$6:AB322,"&gt;0")=1,1,""))</f>
        <v/>
      </c>
      <c r="AH322" s="70" t="str">
        <f>IF(AB322="","",ROUND(N(W322)*N(J322)*(1-N(K322)),2))</f>
        <v/>
      </c>
      <c r="AI322" s="70" t="str">
        <f>IF(OR(J322="",N(T322)&lt;=0,V322="Oui"),"",ROUND(N(T322)*J322*(1-N(K322)),2))</f>
        <v/>
      </c>
    </row>
    <row r="323">
      <c r="A323" s="63" t="n"/>
      <c r="B323" s="64" t="n"/>
      <c r="C323" s="65" t="n"/>
      <c r="D323" s="66" t="str">
        <f>IF(C323="","",IFERROR(INDEX(sup_name,MATCH($C323,sup_code,0))&amp;"","Fournisseur inconnu"))</f>
        <v/>
      </c>
      <c r="E323" s="63" t="n"/>
      <c r="F323" s="66" t="str">
        <f>IF(E323="","",IFERROR(INDEX(art_des,MATCH($E323,art_ref,0))&amp;"","Article inconnu"))</f>
        <v/>
      </c>
      <c r="G323" s="67" t="str">
        <f>IF(E323="","",IFERROR(INDEX(art_unit,MATCH($E323,art_ref,0))&amp;"",""))</f>
        <v/>
      </c>
      <c r="H323" s="68" t="n"/>
      <c r="I323" s="69" t="n"/>
      <c r="J323" s="70" t="str">
        <f>IF(E323="","",IF(ISNUMBER(I323),I323,IFERROR(IF(ISNUMBER(INDEX(art_price,MATCH($E323,art_ref,0))),INDEX(art_price,MATCH($E323,art_ref,0)),""),"")))</f>
        <v/>
      </c>
      <c r="K323" s="71" t="n"/>
      <c r="L323" s="72" t="n"/>
      <c r="M323" s="72" t="str">
        <f>IF(E323="","",IF(L323&lt;&gt;"",L323,IFERROR(IF(ISNUMBER(INDEX(art_tva,MATCH($E323,art_ref,0))),INDEX(art_tva,MATCH($E323,art_ref,0)),""),"")))</f>
        <v/>
      </c>
      <c r="N323" s="70" t="str">
        <f>IF(OR(E323="",J323=""),"",ROUND(N(H323)*J323*(1-N(K323)),2))</f>
        <v/>
      </c>
      <c r="O323" s="70" t="str">
        <f>IF(OR(N323="",NOT(ISNUMBER(M323))),"",ROUND(N323*M323,2))</f>
        <v/>
      </c>
      <c r="P323" s="70" t="str">
        <f>IF(N323="","",N323+N(O323))</f>
        <v/>
      </c>
      <c r="Q323" s="64" t="n"/>
      <c r="R323" s="73" t="str">
        <f>IF(N(Q323)&gt;0,Q323,IF(OR(N(B323)=0,ISNA(MATCH($C323,sup_code,0))),"",IF(ISNUMBER(INDEX(sup_delay,MATCH($C323,sup_code,0))),B323+INDEX(sup_delay,MATCH($C323,sup_code,0)),"")))</f>
        <v/>
      </c>
      <c r="S323" s="64" t="n"/>
      <c r="T323" s="68" t="n"/>
      <c r="U323" s="64" t="n"/>
      <c r="V323" s="65" t="n"/>
      <c r="W323" s="74" t="str">
        <f>IF(AND(A323="",E323=""),"",IF(V323="Oui",0,MAX(0,ROUND(N(H323)-N(T323),6))))</f>
        <v/>
      </c>
      <c r="X323" s="67" t="str">
        <f>IF(AND(A323="",E323=""),"",IF(V323="Oui","Annulé",IF(AND(N(H323)&gt;0,N(T323)&gt;=N(H323)),"Reçu",IF(N(S323)=0,"Brouillon",IF(AND(ISNUMBER(R323),R323&lt;p_today),"En retard",IF(N(T323)&gt;0,"Partiel","Envoyé"))))))</f>
        <v/>
      </c>
      <c r="Y323" s="75" t="str">
        <f>IF(X323="En retard",p_today-R323,IF(AND(X323="Reçu",ISNUMBER(R323)),MAX(0,N(U323)-R323),""))</f>
        <v/>
      </c>
      <c r="Z323" s="67" t="str">
        <f>IF(AND(A323="",E323=""),"",IF(A323="","N° de bon manquant",IF(N(B323)=0,"Date de commande manquante",IF(C323="","Fournisseur manquant",IF(ISNA(MATCH($C323,sup_code,0)),"Fournisseur inconnu",IF(E323="","Article manquant",IF(ISNA(MATCH($E323,art_ref,0)),"Article inconnu",IF(N(H323)&lt;=0,"Quantité invalide",IF(J323="","Prix manquant",IF(OR(N(K323)&lt;0,N(K323)&gt;=1),"Remise invalide",IF(M323="","TVA manquante",IF(ISNA(MATCH(M323,p_tva,0)),"Taux de TVA inconnu",IF(COUNTIFS(po_num,A323,po_sup,"&lt;&gt;"&amp;C323)&gt;0,"Fournisseur différent sur ce bon",IF(COUNTIFS(po_num,A323,po_date,"&lt;&gt;"&amp;B323)&gt;0,"Date différente sur ce bon",IF(COUNTIF(po_num,A323)&gt;25,"Plus de 25 lignes sur ce bon",IF(R323="","Date de livraison manquante",IF(R323&lt;B323,"Livraison avant la commande",IF(AND(N(T323)&gt;0,N(S323)=0),"Date d'envoi manquante",IF(N(T323)&gt;N(H323),"Reçu plus que commandé",IF(AND(N(T323)&gt;0,N(U323)=0),"Date de réception manquante",IF(AND(N(U323)&gt;0,U323&lt;B323),"Réception avant la commande","OK")))))))))))))))))))))</f>
        <v/>
      </c>
      <c r="AA323" s="66" t="str">
        <f>IF(AND(X323="Reçu",ISNUMBER(R323)),IF(N(U323)&lt;=R323,1,0),"")</f>
        <v/>
      </c>
      <c r="AB323" s="76" t="str">
        <f>IF(OR(X323="Envoyé",X323="Partiel",X323="En retard"),IF(ISNUMBER(R323),R323,100000)+ROW()/100000,"")</f>
        <v/>
      </c>
      <c r="AC323" s="66" t="str">
        <f>IF(A323="","",IF(COUNTIF($A$6:A323,A323)=1,1,""))</f>
        <v/>
      </c>
      <c r="AD323" s="66" t="str">
        <f>IF(AC323=1,COUNT($AC$6:AC323),"")</f>
        <v/>
      </c>
      <c r="AE323" s="66" t="str">
        <f>IFERROR(INDEX(po_num,MATCH(318,po_seq,0))&amp;"","")</f>
        <v/>
      </c>
      <c r="AF323" s="66" t="str">
        <f>IF(OR(A323="",p_po=""),"",IF(A323&amp;""=p_po,COUNTIF($A$6:A323,A323),""))</f>
        <v/>
      </c>
      <c r="AG323" s="66" t="str">
        <f>IF(OR(AB323="",A323=""),"",IF(COUNTIFS($A$6:A323,A323,$AB$6:AB323,"&gt;0")=1,1,""))</f>
        <v/>
      </c>
      <c r="AH323" s="70" t="str">
        <f>IF(AB323="","",ROUND(N(W323)*N(J323)*(1-N(K323)),2))</f>
        <v/>
      </c>
      <c r="AI323" s="70" t="str">
        <f>IF(OR(J323="",N(T323)&lt;=0,V323="Oui"),"",ROUND(N(T323)*J323*(1-N(K323)),2))</f>
        <v/>
      </c>
    </row>
    <row r="324">
      <c r="A324" s="63" t="n"/>
      <c r="B324" s="64" t="n"/>
      <c r="C324" s="65" t="n"/>
      <c r="D324" s="66" t="str">
        <f>IF(C324="","",IFERROR(INDEX(sup_name,MATCH($C324,sup_code,0))&amp;"","Fournisseur inconnu"))</f>
        <v/>
      </c>
      <c r="E324" s="63" t="n"/>
      <c r="F324" s="66" t="str">
        <f>IF(E324="","",IFERROR(INDEX(art_des,MATCH($E324,art_ref,0))&amp;"","Article inconnu"))</f>
        <v/>
      </c>
      <c r="G324" s="67" t="str">
        <f>IF(E324="","",IFERROR(INDEX(art_unit,MATCH($E324,art_ref,0))&amp;"",""))</f>
        <v/>
      </c>
      <c r="H324" s="68" t="n"/>
      <c r="I324" s="69" t="n"/>
      <c r="J324" s="70" t="str">
        <f>IF(E324="","",IF(ISNUMBER(I324),I324,IFERROR(IF(ISNUMBER(INDEX(art_price,MATCH($E324,art_ref,0))),INDEX(art_price,MATCH($E324,art_ref,0)),""),"")))</f>
        <v/>
      </c>
      <c r="K324" s="71" t="n"/>
      <c r="L324" s="72" t="n"/>
      <c r="M324" s="72" t="str">
        <f>IF(E324="","",IF(L324&lt;&gt;"",L324,IFERROR(IF(ISNUMBER(INDEX(art_tva,MATCH($E324,art_ref,0))),INDEX(art_tva,MATCH($E324,art_ref,0)),""),"")))</f>
        <v/>
      </c>
      <c r="N324" s="70" t="str">
        <f>IF(OR(E324="",J324=""),"",ROUND(N(H324)*J324*(1-N(K324)),2))</f>
        <v/>
      </c>
      <c r="O324" s="70" t="str">
        <f>IF(OR(N324="",NOT(ISNUMBER(M324))),"",ROUND(N324*M324,2))</f>
        <v/>
      </c>
      <c r="P324" s="70" t="str">
        <f>IF(N324="","",N324+N(O324))</f>
        <v/>
      </c>
      <c r="Q324" s="64" t="n"/>
      <c r="R324" s="73" t="str">
        <f>IF(N(Q324)&gt;0,Q324,IF(OR(N(B324)=0,ISNA(MATCH($C324,sup_code,0))),"",IF(ISNUMBER(INDEX(sup_delay,MATCH($C324,sup_code,0))),B324+INDEX(sup_delay,MATCH($C324,sup_code,0)),"")))</f>
        <v/>
      </c>
      <c r="S324" s="64" t="n"/>
      <c r="T324" s="68" t="n"/>
      <c r="U324" s="64" t="n"/>
      <c r="V324" s="65" t="n"/>
      <c r="W324" s="74" t="str">
        <f>IF(AND(A324="",E324=""),"",IF(V324="Oui",0,MAX(0,ROUND(N(H324)-N(T324),6))))</f>
        <v/>
      </c>
      <c r="X324" s="67" t="str">
        <f>IF(AND(A324="",E324=""),"",IF(V324="Oui","Annulé",IF(AND(N(H324)&gt;0,N(T324)&gt;=N(H324)),"Reçu",IF(N(S324)=0,"Brouillon",IF(AND(ISNUMBER(R324),R324&lt;p_today),"En retard",IF(N(T324)&gt;0,"Partiel","Envoyé"))))))</f>
        <v/>
      </c>
      <c r="Y324" s="75" t="str">
        <f>IF(X324="En retard",p_today-R324,IF(AND(X324="Reçu",ISNUMBER(R324)),MAX(0,N(U324)-R324),""))</f>
        <v/>
      </c>
      <c r="Z324" s="67" t="str">
        <f>IF(AND(A324="",E324=""),"",IF(A324="","N° de bon manquant",IF(N(B324)=0,"Date de commande manquante",IF(C324="","Fournisseur manquant",IF(ISNA(MATCH($C324,sup_code,0)),"Fournisseur inconnu",IF(E324="","Article manquant",IF(ISNA(MATCH($E324,art_ref,0)),"Article inconnu",IF(N(H324)&lt;=0,"Quantité invalide",IF(J324="","Prix manquant",IF(OR(N(K324)&lt;0,N(K324)&gt;=1),"Remise invalide",IF(M324="","TVA manquante",IF(ISNA(MATCH(M324,p_tva,0)),"Taux de TVA inconnu",IF(COUNTIFS(po_num,A324,po_sup,"&lt;&gt;"&amp;C324)&gt;0,"Fournisseur différent sur ce bon",IF(COUNTIFS(po_num,A324,po_date,"&lt;&gt;"&amp;B324)&gt;0,"Date différente sur ce bon",IF(COUNTIF(po_num,A324)&gt;25,"Plus de 25 lignes sur ce bon",IF(R324="","Date de livraison manquante",IF(R324&lt;B324,"Livraison avant la commande",IF(AND(N(T324)&gt;0,N(S324)=0),"Date d'envoi manquante",IF(N(T324)&gt;N(H324),"Reçu plus que commandé",IF(AND(N(T324)&gt;0,N(U324)=0),"Date de réception manquante",IF(AND(N(U324)&gt;0,U324&lt;B324),"Réception avant la commande","OK")))))))))))))))))))))</f>
        <v/>
      </c>
      <c r="AA324" s="66" t="str">
        <f>IF(AND(X324="Reçu",ISNUMBER(R324)),IF(N(U324)&lt;=R324,1,0),"")</f>
        <v/>
      </c>
      <c r="AB324" s="76" t="str">
        <f>IF(OR(X324="Envoyé",X324="Partiel",X324="En retard"),IF(ISNUMBER(R324),R324,100000)+ROW()/100000,"")</f>
        <v/>
      </c>
      <c r="AC324" s="66" t="str">
        <f>IF(A324="","",IF(COUNTIF($A$6:A324,A324)=1,1,""))</f>
        <v/>
      </c>
      <c r="AD324" s="66" t="str">
        <f>IF(AC324=1,COUNT($AC$6:AC324),"")</f>
        <v/>
      </c>
      <c r="AE324" s="66" t="str">
        <f>IFERROR(INDEX(po_num,MATCH(319,po_seq,0))&amp;"","")</f>
        <v/>
      </c>
      <c r="AF324" s="66" t="str">
        <f>IF(OR(A324="",p_po=""),"",IF(A324&amp;""=p_po,COUNTIF($A$6:A324,A324),""))</f>
        <v/>
      </c>
      <c r="AG324" s="66" t="str">
        <f>IF(OR(AB324="",A324=""),"",IF(COUNTIFS($A$6:A324,A324,$AB$6:AB324,"&gt;0")=1,1,""))</f>
        <v/>
      </c>
      <c r="AH324" s="70" t="str">
        <f>IF(AB324="","",ROUND(N(W324)*N(J324)*(1-N(K324)),2))</f>
        <v/>
      </c>
      <c r="AI324" s="70" t="str">
        <f>IF(OR(J324="",N(T324)&lt;=0,V324="Oui"),"",ROUND(N(T324)*J324*(1-N(K324)),2))</f>
        <v/>
      </c>
    </row>
    <row r="325">
      <c r="A325" s="63" t="n"/>
      <c r="B325" s="64" t="n"/>
      <c r="C325" s="65" t="n"/>
      <c r="D325" s="66" t="str">
        <f>IF(C325="","",IFERROR(INDEX(sup_name,MATCH($C325,sup_code,0))&amp;"","Fournisseur inconnu"))</f>
        <v/>
      </c>
      <c r="E325" s="63" t="n"/>
      <c r="F325" s="66" t="str">
        <f>IF(E325="","",IFERROR(INDEX(art_des,MATCH($E325,art_ref,0))&amp;"","Article inconnu"))</f>
        <v/>
      </c>
      <c r="G325" s="67" t="str">
        <f>IF(E325="","",IFERROR(INDEX(art_unit,MATCH($E325,art_ref,0))&amp;"",""))</f>
        <v/>
      </c>
      <c r="H325" s="68" t="n"/>
      <c r="I325" s="69" t="n"/>
      <c r="J325" s="70" t="str">
        <f>IF(E325="","",IF(ISNUMBER(I325),I325,IFERROR(IF(ISNUMBER(INDEX(art_price,MATCH($E325,art_ref,0))),INDEX(art_price,MATCH($E325,art_ref,0)),""),"")))</f>
        <v/>
      </c>
      <c r="K325" s="71" t="n"/>
      <c r="L325" s="72" t="n"/>
      <c r="M325" s="72" t="str">
        <f>IF(E325="","",IF(L325&lt;&gt;"",L325,IFERROR(IF(ISNUMBER(INDEX(art_tva,MATCH($E325,art_ref,0))),INDEX(art_tva,MATCH($E325,art_ref,0)),""),"")))</f>
        <v/>
      </c>
      <c r="N325" s="70" t="str">
        <f>IF(OR(E325="",J325=""),"",ROUND(N(H325)*J325*(1-N(K325)),2))</f>
        <v/>
      </c>
      <c r="O325" s="70" t="str">
        <f>IF(OR(N325="",NOT(ISNUMBER(M325))),"",ROUND(N325*M325,2))</f>
        <v/>
      </c>
      <c r="P325" s="70" t="str">
        <f>IF(N325="","",N325+N(O325))</f>
        <v/>
      </c>
      <c r="Q325" s="64" t="n"/>
      <c r="R325" s="73" t="str">
        <f>IF(N(Q325)&gt;0,Q325,IF(OR(N(B325)=0,ISNA(MATCH($C325,sup_code,0))),"",IF(ISNUMBER(INDEX(sup_delay,MATCH($C325,sup_code,0))),B325+INDEX(sup_delay,MATCH($C325,sup_code,0)),"")))</f>
        <v/>
      </c>
      <c r="S325" s="64" t="n"/>
      <c r="T325" s="68" t="n"/>
      <c r="U325" s="64" t="n"/>
      <c r="V325" s="65" t="n"/>
      <c r="W325" s="74" t="str">
        <f>IF(AND(A325="",E325=""),"",IF(V325="Oui",0,MAX(0,ROUND(N(H325)-N(T325),6))))</f>
        <v/>
      </c>
      <c r="X325" s="67" t="str">
        <f>IF(AND(A325="",E325=""),"",IF(V325="Oui","Annulé",IF(AND(N(H325)&gt;0,N(T325)&gt;=N(H325)),"Reçu",IF(N(S325)=0,"Brouillon",IF(AND(ISNUMBER(R325),R325&lt;p_today),"En retard",IF(N(T325)&gt;0,"Partiel","Envoyé"))))))</f>
        <v/>
      </c>
      <c r="Y325" s="75" t="str">
        <f>IF(X325="En retard",p_today-R325,IF(AND(X325="Reçu",ISNUMBER(R325)),MAX(0,N(U325)-R325),""))</f>
        <v/>
      </c>
      <c r="Z325" s="67" t="str">
        <f>IF(AND(A325="",E325=""),"",IF(A325="","N° de bon manquant",IF(N(B325)=0,"Date de commande manquante",IF(C325="","Fournisseur manquant",IF(ISNA(MATCH($C325,sup_code,0)),"Fournisseur inconnu",IF(E325="","Article manquant",IF(ISNA(MATCH($E325,art_ref,0)),"Article inconnu",IF(N(H325)&lt;=0,"Quantité invalide",IF(J325="","Prix manquant",IF(OR(N(K325)&lt;0,N(K325)&gt;=1),"Remise invalide",IF(M325="","TVA manquante",IF(ISNA(MATCH(M325,p_tva,0)),"Taux de TVA inconnu",IF(COUNTIFS(po_num,A325,po_sup,"&lt;&gt;"&amp;C325)&gt;0,"Fournisseur différent sur ce bon",IF(COUNTIFS(po_num,A325,po_date,"&lt;&gt;"&amp;B325)&gt;0,"Date différente sur ce bon",IF(COUNTIF(po_num,A325)&gt;25,"Plus de 25 lignes sur ce bon",IF(R325="","Date de livraison manquante",IF(R325&lt;B325,"Livraison avant la commande",IF(AND(N(T325)&gt;0,N(S325)=0),"Date d'envoi manquante",IF(N(T325)&gt;N(H325),"Reçu plus que commandé",IF(AND(N(T325)&gt;0,N(U325)=0),"Date de réception manquante",IF(AND(N(U325)&gt;0,U325&lt;B325),"Réception avant la commande","OK")))))))))))))))))))))</f>
        <v/>
      </c>
      <c r="AA325" s="66" t="str">
        <f>IF(AND(X325="Reçu",ISNUMBER(R325)),IF(N(U325)&lt;=R325,1,0),"")</f>
        <v/>
      </c>
      <c r="AB325" s="76" t="str">
        <f>IF(OR(X325="Envoyé",X325="Partiel",X325="En retard"),IF(ISNUMBER(R325),R325,100000)+ROW()/100000,"")</f>
        <v/>
      </c>
      <c r="AC325" s="66" t="str">
        <f>IF(A325="","",IF(COUNTIF($A$6:A325,A325)=1,1,""))</f>
        <v/>
      </c>
      <c r="AD325" s="66" t="str">
        <f>IF(AC325=1,COUNT($AC$6:AC325),"")</f>
        <v/>
      </c>
      <c r="AE325" s="66" t="str">
        <f>IFERROR(INDEX(po_num,MATCH(320,po_seq,0))&amp;"","")</f>
        <v/>
      </c>
      <c r="AF325" s="66" t="str">
        <f>IF(OR(A325="",p_po=""),"",IF(A325&amp;""=p_po,COUNTIF($A$6:A325,A325),""))</f>
        <v/>
      </c>
      <c r="AG325" s="66" t="str">
        <f>IF(OR(AB325="",A325=""),"",IF(COUNTIFS($A$6:A325,A325,$AB$6:AB325,"&gt;0")=1,1,""))</f>
        <v/>
      </c>
      <c r="AH325" s="70" t="str">
        <f>IF(AB325="","",ROUND(N(W325)*N(J325)*(1-N(K325)),2))</f>
        <v/>
      </c>
      <c r="AI325" s="70" t="str">
        <f>IF(OR(J325="",N(T325)&lt;=0,V325="Oui"),"",ROUND(N(T325)*J325*(1-N(K325)),2))</f>
        <v/>
      </c>
    </row>
    <row r="326">
      <c r="A326" s="63" t="n"/>
      <c r="B326" s="64" t="n"/>
      <c r="C326" s="65" t="n"/>
      <c r="D326" s="66" t="str">
        <f>IF(C326="","",IFERROR(INDEX(sup_name,MATCH($C326,sup_code,0))&amp;"","Fournisseur inconnu"))</f>
        <v/>
      </c>
      <c r="E326" s="63" t="n"/>
      <c r="F326" s="66" t="str">
        <f>IF(E326="","",IFERROR(INDEX(art_des,MATCH($E326,art_ref,0))&amp;"","Article inconnu"))</f>
        <v/>
      </c>
      <c r="G326" s="67" t="str">
        <f>IF(E326="","",IFERROR(INDEX(art_unit,MATCH($E326,art_ref,0))&amp;"",""))</f>
        <v/>
      </c>
      <c r="H326" s="68" t="n"/>
      <c r="I326" s="69" t="n"/>
      <c r="J326" s="70" t="str">
        <f>IF(E326="","",IF(ISNUMBER(I326),I326,IFERROR(IF(ISNUMBER(INDEX(art_price,MATCH($E326,art_ref,0))),INDEX(art_price,MATCH($E326,art_ref,0)),""),"")))</f>
        <v/>
      </c>
      <c r="K326" s="71" t="n"/>
      <c r="L326" s="72" t="n"/>
      <c r="M326" s="72" t="str">
        <f>IF(E326="","",IF(L326&lt;&gt;"",L326,IFERROR(IF(ISNUMBER(INDEX(art_tva,MATCH($E326,art_ref,0))),INDEX(art_tva,MATCH($E326,art_ref,0)),""),"")))</f>
        <v/>
      </c>
      <c r="N326" s="70" t="str">
        <f>IF(OR(E326="",J326=""),"",ROUND(N(H326)*J326*(1-N(K326)),2))</f>
        <v/>
      </c>
      <c r="O326" s="70" t="str">
        <f>IF(OR(N326="",NOT(ISNUMBER(M326))),"",ROUND(N326*M326,2))</f>
        <v/>
      </c>
      <c r="P326" s="70" t="str">
        <f>IF(N326="","",N326+N(O326))</f>
        <v/>
      </c>
      <c r="Q326" s="64" t="n"/>
      <c r="R326" s="73" t="str">
        <f>IF(N(Q326)&gt;0,Q326,IF(OR(N(B326)=0,ISNA(MATCH($C326,sup_code,0))),"",IF(ISNUMBER(INDEX(sup_delay,MATCH($C326,sup_code,0))),B326+INDEX(sup_delay,MATCH($C326,sup_code,0)),"")))</f>
        <v/>
      </c>
      <c r="S326" s="64" t="n"/>
      <c r="T326" s="68" t="n"/>
      <c r="U326" s="64" t="n"/>
      <c r="V326" s="65" t="n"/>
      <c r="W326" s="74" t="str">
        <f>IF(AND(A326="",E326=""),"",IF(V326="Oui",0,MAX(0,ROUND(N(H326)-N(T326),6))))</f>
        <v/>
      </c>
      <c r="X326" s="67" t="str">
        <f>IF(AND(A326="",E326=""),"",IF(V326="Oui","Annulé",IF(AND(N(H326)&gt;0,N(T326)&gt;=N(H326)),"Reçu",IF(N(S326)=0,"Brouillon",IF(AND(ISNUMBER(R326),R326&lt;p_today),"En retard",IF(N(T326)&gt;0,"Partiel","Envoyé"))))))</f>
        <v/>
      </c>
      <c r="Y326" s="75" t="str">
        <f>IF(X326="En retard",p_today-R326,IF(AND(X326="Reçu",ISNUMBER(R326)),MAX(0,N(U326)-R326),""))</f>
        <v/>
      </c>
      <c r="Z326" s="67" t="str">
        <f>IF(AND(A326="",E326=""),"",IF(A326="","N° de bon manquant",IF(N(B326)=0,"Date de commande manquante",IF(C326="","Fournisseur manquant",IF(ISNA(MATCH($C326,sup_code,0)),"Fournisseur inconnu",IF(E326="","Article manquant",IF(ISNA(MATCH($E326,art_ref,0)),"Article inconnu",IF(N(H326)&lt;=0,"Quantité invalide",IF(J326="","Prix manquant",IF(OR(N(K326)&lt;0,N(K326)&gt;=1),"Remise invalide",IF(M326="","TVA manquante",IF(ISNA(MATCH(M326,p_tva,0)),"Taux de TVA inconnu",IF(COUNTIFS(po_num,A326,po_sup,"&lt;&gt;"&amp;C326)&gt;0,"Fournisseur différent sur ce bon",IF(COUNTIFS(po_num,A326,po_date,"&lt;&gt;"&amp;B326)&gt;0,"Date différente sur ce bon",IF(COUNTIF(po_num,A326)&gt;25,"Plus de 25 lignes sur ce bon",IF(R326="","Date de livraison manquante",IF(R326&lt;B326,"Livraison avant la commande",IF(AND(N(T326)&gt;0,N(S326)=0),"Date d'envoi manquante",IF(N(T326)&gt;N(H326),"Reçu plus que commandé",IF(AND(N(T326)&gt;0,N(U326)=0),"Date de réception manquante",IF(AND(N(U326)&gt;0,U326&lt;B326),"Réception avant la commande","OK")))))))))))))))))))))</f>
        <v/>
      </c>
      <c r="AA326" s="66" t="str">
        <f>IF(AND(X326="Reçu",ISNUMBER(R326)),IF(N(U326)&lt;=R326,1,0),"")</f>
        <v/>
      </c>
      <c r="AB326" s="76" t="str">
        <f>IF(OR(X326="Envoyé",X326="Partiel",X326="En retard"),IF(ISNUMBER(R326),R326,100000)+ROW()/100000,"")</f>
        <v/>
      </c>
      <c r="AC326" s="66" t="str">
        <f>IF(A326="","",IF(COUNTIF($A$6:A326,A326)=1,1,""))</f>
        <v/>
      </c>
      <c r="AD326" s="66" t="str">
        <f>IF(AC326=1,COUNT($AC$6:AC326),"")</f>
        <v/>
      </c>
      <c r="AE326" s="66" t="str">
        <f>IFERROR(INDEX(po_num,MATCH(321,po_seq,0))&amp;"","")</f>
        <v/>
      </c>
      <c r="AF326" s="66" t="str">
        <f>IF(OR(A326="",p_po=""),"",IF(A326&amp;""=p_po,COUNTIF($A$6:A326,A326),""))</f>
        <v/>
      </c>
      <c r="AG326" s="66" t="str">
        <f>IF(OR(AB326="",A326=""),"",IF(COUNTIFS($A$6:A326,A326,$AB$6:AB326,"&gt;0")=1,1,""))</f>
        <v/>
      </c>
      <c r="AH326" s="70" t="str">
        <f>IF(AB326="","",ROUND(N(W326)*N(J326)*(1-N(K326)),2))</f>
        <v/>
      </c>
      <c r="AI326" s="70" t="str">
        <f>IF(OR(J326="",N(T326)&lt;=0,V326="Oui"),"",ROUND(N(T326)*J326*(1-N(K326)),2))</f>
        <v/>
      </c>
    </row>
    <row r="327">
      <c r="A327" s="63" t="n"/>
      <c r="B327" s="64" t="n"/>
      <c r="C327" s="65" t="n"/>
      <c r="D327" s="66" t="str">
        <f>IF(C327="","",IFERROR(INDEX(sup_name,MATCH($C327,sup_code,0))&amp;"","Fournisseur inconnu"))</f>
        <v/>
      </c>
      <c r="E327" s="63" t="n"/>
      <c r="F327" s="66" t="str">
        <f>IF(E327="","",IFERROR(INDEX(art_des,MATCH($E327,art_ref,0))&amp;"","Article inconnu"))</f>
        <v/>
      </c>
      <c r="G327" s="67" t="str">
        <f>IF(E327="","",IFERROR(INDEX(art_unit,MATCH($E327,art_ref,0))&amp;"",""))</f>
        <v/>
      </c>
      <c r="H327" s="68" t="n"/>
      <c r="I327" s="69" t="n"/>
      <c r="J327" s="70" t="str">
        <f>IF(E327="","",IF(ISNUMBER(I327),I327,IFERROR(IF(ISNUMBER(INDEX(art_price,MATCH($E327,art_ref,0))),INDEX(art_price,MATCH($E327,art_ref,0)),""),"")))</f>
        <v/>
      </c>
      <c r="K327" s="71" t="n"/>
      <c r="L327" s="72" t="n"/>
      <c r="M327" s="72" t="str">
        <f>IF(E327="","",IF(L327&lt;&gt;"",L327,IFERROR(IF(ISNUMBER(INDEX(art_tva,MATCH($E327,art_ref,0))),INDEX(art_tva,MATCH($E327,art_ref,0)),""),"")))</f>
        <v/>
      </c>
      <c r="N327" s="70" t="str">
        <f>IF(OR(E327="",J327=""),"",ROUND(N(H327)*J327*(1-N(K327)),2))</f>
        <v/>
      </c>
      <c r="O327" s="70" t="str">
        <f>IF(OR(N327="",NOT(ISNUMBER(M327))),"",ROUND(N327*M327,2))</f>
        <v/>
      </c>
      <c r="P327" s="70" t="str">
        <f>IF(N327="","",N327+N(O327))</f>
        <v/>
      </c>
      <c r="Q327" s="64" t="n"/>
      <c r="R327" s="73" t="str">
        <f>IF(N(Q327)&gt;0,Q327,IF(OR(N(B327)=0,ISNA(MATCH($C327,sup_code,0))),"",IF(ISNUMBER(INDEX(sup_delay,MATCH($C327,sup_code,0))),B327+INDEX(sup_delay,MATCH($C327,sup_code,0)),"")))</f>
        <v/>
      </c>
      <c r="S327" s="64" t="n"/>
      <c r="T327" s="68" t="n"/>
      <c r="U327" s="64" t="n"/>
      <c r="V327" s="65" t="n"/>
      <c r="W327" s="74" t="str">
        <f>IF(AND(A327="",E327=""),"",IF(V327="Oui",0,MAX(0,ROUND(N(H327)-N(T327),6))))</f>
        <v/>
      </c>
      <c r="X327" s="67" t="str">
        <f>IF(AND(A327="",E327=""),"",IF(V327="Oui","Annulé",IF(AND(N(H327)&gt;0,N(T327)&gt;=N(H327)),"Reçu",IF(N(S327)=0,"Brouillon",IF(AND(ISNUMBER(R327),R327&lt;p_today),"En retard",IF(N(T327)&gt;0,"Partiel","Envoyé"))))))</f>
        <v/>
      </c>
      <c r="Y327" s="75" t="str">
        <f>IF(X327="En retard",p_today-R327,IF(AND(X327="Reçu",ISNUMBER(R327)),MAX(0,N(U327)-R327),""))</f>
        <v/>
      </c>
      <c r="Z327" s="67" t="str">
        <f>IF(AND(A327="",E327=""),"",IF(A327="","N° de bon manquant",IF(N(B327)=0,"Date de commande manquante",IF(C327="","Fournisseur manquant",IF(ISNA(MATCH($C327,sup_code,0)),"Fournisseur inconnu",IF(E327="","Article manquant",IF(ISNA(MATCH($E327,art_ref,0)),"Article inconnu",IF(N(H327)&lt;=0,"Quantité invalide",IF(J327="","Prix manquant",IF(OR(N(K327)&lt;0,N(K327)&gt;=1),"Remise invalide",IF(M327="","TVA manquante",IF(ISNA(MATCH(M327,p_tva,0)),"Taux de TVA inconnu",IF(COUNTIFS(po_num,A327,po_sup,"&lt;&gt;"&amp;C327)&gt;0,"Fournisseur différent sur ce bon",IF(COUNTIFS(po_num,A327,po_date,"&lt;&gt;"&amp;B327)&gt;0,"Date différente sur ce bon",IF(COUNTIF(po_num,A327)&gt;25,"Plus de 25 lignes sur ce bon",IF(R327="","Date de livraison manquante",IF(R327&lt;B327,"Livraison avant la commande",IF(AND(N(T327)&gt;0,N(S327)=0),"Date d'envoi manquante",IF(N(T327)&gt;N(H327),"Reçu plus que commandé",IF(AND(N(T327)&gt;0,N(U327)=0),"Date de réception manquante",IF(AND(N(U327)&gt;0,U327&lt;B327),"Réception avant la commande","OK")))))))))))))))))))))</f>
        <v/>
      </c>
      <c r="AA327" s="66" t="str">
        <f>IF(AND(X327="Reçu",ISNUMBER(R327)),IF(N(U327)&lt;=R327,1,0),"")</f>
        <v/>
      </c>
      <c r="AB327" s="76" t="str">
        <f>IF(OR(X327="Envoyé",X327="Partiel",X327="En retard"),IF(ISNUMBER(R327),R327,100000)+ROW()/100000,"")</f>
        <v/>
      </c>
      <c r="AC327" s="66" t="str">
        <f>IF(A327="","",IF(COUNTIF($A$6:A327,A327)=1,1,""))</f>
        <v/>
      </c>
      <c r="AD327" s="66" t="str">
        <f>IF(AC327=1,COUNT($AC$6:AC327),"")</f>
        <v/>
      </c>
      <c r="AE327" s="66" t="str">
        <f>IFERROR(INDEX(po_num,MATCH(322,po_seq,0))&amp;"","")</f>
        <v/>
      </c>
      <c r="AF327" s="66" t="str">
        <f>IF(OR(A327="",p_po=""),"",IF(A327&amp;""=p_po,COUNTIF($A$6:A327,A327),""))</f>
        <v/>
      </c>
      <c r="AG327" s="66" t="str">
        <f>IF(OR(AB327="",A327=""),"",IF(COUNTIFS($A$6:A327,A327,$AB$6:AB327,"&gt;0")=1,1,""))</f>
        <v/>
      </c>
      <c r="AH327" s="70" t="str">
        <f>IF(AB327="","",ROUND(N(W327)*N(J327)*(1-N(K327)),2))</f>
        <v/>
      </c>
      <c r="AI327" s="70" t="str">
        <f>IF(OR(J327="",N(T327)&lt;=0,V327="Oui"),"",ROUND(N(T327)*J327*(1-N(K327)),2))</f>
        <v/>
      </c>
    </row>
    <row r="328">
      <c r="A328" s="63" t="n"/>
      <c r="B328" s="64" t="n"/>
      <c r="C328" s="65" t="n"/>
      <c r="D328" s="66" t="str">
        <f>IF(C328="","",IFERROR(INDEX(sup_name,MATCH($C328,sup_code,0))&amp;"","Fournisseur inconnu"))</f>
        <v/>
      </c>
      <c r="E328" s="63" t="n"/>
      <c r="F328" s="66" t="str">
        <f>IF(E328="","",IFERROR(INDEX(art_des,MATCH($E328,art_ref,0))&amp;"","Article inconnu"))</f>
        <v/>
      </c>
      <c r="G328" s="67" t="str">
        <f>IF(E328="","",IFERROR(INDEX(art_unit,MATCH($E328,art_ref,0))&amp;"",""))</f>
        <v/>
      </c>
      <c r="H328" s="68" t="n"/>
      <c r="I328" s="69" t="n"/>
      <c r="J328" s="70" t="str">
        <f>IF(E328="","",IF(ISNUMBER(I328),I328,IFERROR(IF(ISNUMBER(INDEX(art_price,MATCH($E328,art_ref,0))),INDEX(art_price,MATCH($E328,art_ref,0)),""),"")))</f>
        <v/>
      </c>
      <c r="K328" s="71" t="n"/>
      <c r="L328" s="72" t="n"/>
      <c r="M328" s="72" t="str">
        <f>IF(E328="","",IF(L328&lt;&gt;"",L328,IFERROR(IF(ISNUMBER(INDEX(art_tva,MATCH($E328,art_ref,0))),INDEX(art_tva,MATCH($E328,art_ref,0)),""),"")))</f>
        <v/>
      </c>
      <c r="N328" s="70" t="str">
        <f>IF(OR(E328="",J328=""),"",ROUND(N(H328)*J328*(1-N(K328)),2))</f>
        <v/>
      </c>
      <c r="O328" s="70" t="str">
        <f>IF(OR(N328="",NOT(ISNUMBER(M328))),"",ROUND(N328*M328,2))</f>
        <v/>
      </c>
      <c r="P328" s="70" t="str">
        <f>IF(N328="","",N328+N(O328))</f>
        <v/>
      </c>
      <c r="Q328" s="64" t="n"/>
      <c r="R328" s="73" t="str">
        <f>IF(N(Q328)&gt;0,Q328,IF(OR(N(B328)=0,ISNA(MATCH($C328,sup_code,0))),"",IF(ISNUMBER(INDEX(sup_delay,MATCH($C328,sup_code,0))),B328+INDEX(sup_delay,MATCH($C328,sup_code,0)),"")))</f>
        <v/>
      </c>
      <c r="S328" s="64" t="n"/>
      <c r="T328" s="68" t="n"/>
      <c r="U328" s="64" t="n"/>
      <c r="V328" s="65" t="n"/>
      <c r="W328" s="74" t="str">
        <f>IF(AND(A328="",E328=""),"",IF(V328="Oui",0,MAX(0,ROUND(N(H328)-N(T328),6))))</f>
        <v/>
      </c>
      <c r="X328" s="67" t="str">
        <f>IF(AND(A328="",E328=""),"",IF(V328="Oui","Annulé",IF(AND(N(H328)&gt;0,N(T328)&gt;=N(H328)),"Reçu",IF(N(S328)=0,"Brouillon",IF(AND(ISNUMBER(R328),R328&lt;p_today),"En retard",IF(N(T328)&gt;0,"Partiel","Envoyé"))))))</f>
        <v/>
      </c>
      <c r="Y328" s="75" t="str">
        <f>IF(X328="En retard",p_today-R328,IF(AND(X328="Reçu",ISNUMBER(R328)),MAX(0,N(U328)-R328),""))</f>
        <v/>
      </c>
      <c r="Z328" s="67" t="str">
        <f>IF(AND(A328="",E328=""),"",IF(A328="","N° de bon manquant",IF(N(B328)=0,"Date de commande manquante",IF(C328="","Fournisseur manquant",IF(ISNA(MATCH($C328,sup_code,0)),"Fournisseur inconnu",IF(E328="","Article manquant",IF(ISNA(MATCH($E328,art_ref,0)),"Article inconnu",IF(N(H328)&lt;=0,"Quantité invalide",IF(J328="","Prix manquant",IF(OR(N(K328)&lt;0,N(K328)&gt;=1),"Remise invalide",IF(M328="","TVA manquante",IF(ISNA(MATCH(M328,p_tva,0)),"Taux de TVA inconnu",IF(COUNTIFS(po_num,A328,po_sup,"&lt;&gt;"&amp;C328)&gt;0,"Fournisseur différent sur ce bon",IF(COUNTIFS(po_num,A328,po_date,"&lt;&gt;"&amp;B328)&gt;0,"Date différente sur ce bon",IF(COUNTIF(po_num,A328)&gt;25,"Plus de 25 lignes sur ce bon",IF(R328="","Date de livraison manquante",IF(R328&lt;B328,"Livraison avant la commande",IF(AND(N(T328)&gt;0,N(S328)=0),"Date d'envoi manquante",IF(N(T328)&gt;N(H328),"Reçu plus que commandé",IF(AND(N(T328)&gt;0,N(U328)=0),"Date de réception manquante",IF(AND(N(U328)&gt;0,U328&lt;B328),"Réception avant la commande","OK")))))))))))))))))))))</f>
        <v/>
      </c>
      <c r="AA328" s="66" t="str">
        <f>IF(AND(X328="Reçu",ISNUMBER(R328)),IF(N(U328)&lt;=R328,1,0),"")</f>
        <v/>
      </c>
      <c r="AB328" s="76" t="str">
        <f>IF(OR(X328="Envoyé",X328="Partiel",X328="En retard"),IF(ISNUMBER(R328),R328,100000)+ROW()/100000,"")</f>
        <v/>
      </c>
      <c r="AC328" s="66" t="str">
        <f>IF(A328="","",IF(COUNTIF($A$6:A328,A328)=1,1,""))</f>
        <v/>
      </c>
      <c r="AD328" s="66" t="str">
        <f>IF(AC328=1,COUNT($AC$6:AC328),"")</f>
        <v/>
      </c>
      <c r="AE328" s="66" t="str">
        <f>IFERROR(INDEX(po_num,MATCH(323,po_seq,0))&amp;"","")</f>
        <v/>
      </c>
      <c r="AF328" s="66" t="str">
        <f>IF(OR(A328="",p_po=""),"",IF(A328&amp;""=p_po,COUNTIF($A$6:A328,A328),""))</f>
        <v/>
      </c>
      <c r="AG328" s="66" t="str">
        <f>IF(OR(AB328="",A328=""),"",IF(COUNTIFS($A$6:A328,A328,$AB$6:AB328,"&gt;0")=1,1,""))</f>
        <v/>
      </c>
      <c r="AH328" s="70" t="str">
        <f>IF(AB328="","",ROUND(N(W328)*N(J328)*(1-N(K328)),2))</f>
        <v/>
      </c>
      <c r="AI328" s="70" t="str">
        <f>IF(OR(J328="",N(T328)&lt;=0,V328="Oui"),"",ROUND(N(T328)*J328*(1-N(K328)),2))</f>
        <v/>
      </c>
    </row>
    <row r="329">
      <c r="A329" s="63" t="n"/>
      <c r="B329" s="64" t="n"/>
      <c r="C329" s="65" t="n"/>
      <c r="D329" s="66" t="str">
        <f>IF(C329="","",IFERROR(INDEX(sup_name,MATCH($C329,sup_code,0))&amp;"","Fournisseur inconnu"))</f>
        <v/>
      </c>
      <c r="E329" s="63" t="n"/>
      <c r="F329" s="66" t="str">
        <f>IF(E329="","",IFERROR(INDEX(art_des,MATCH($E329,art_ref,0))&amp;"","Article inconnu"))</f>
        <v/>
      </c>
      <c r="G329" s="67" t="str">
        <f>IF(E329="","",IFERROR(INDEX(art_unit,MATCH($E329,art_ref,0))&amp;"",""))</f>
        <v/>
      </c>
      <c r="H329" s="68" t="n"/>
      <c r="I329" s="69" t="n"/>
      <c r="J329" s="70" t="str">
        <f>IF(E329="","",IF(ISNUMBER(I329),I329,IFERROR(IF(ISNUMBER(INDEX(art_price,MATCH($E329,art_ref,0))),INDEX(art_price,MATCH($E329,art_ref,0)),""),"")))</f>
        <v/>
      </c>
      <c r="K329" s="71" t="n"/>
      <c r="L329" s="72" t="n"/>
      <c r="M329" s="72" t="str">
        <f>IF(E329="","",IF(L329&lt;&gt;"",L329,IFERROR(IF(ISNUMBER(INDEX(art_tva,MATCH($E329,art_ref,0))),INDEX(art_tva,MATCH($E329,art_ref,0)),""),"")))</f>
        <v/>
      </c>
      <c r="N329" s="70" t="str">
        <f>IF(OR(E329="",J329=""),"",ROUND(N(H329)*J329*(1-N(K329)),2))</f>
        <v/>
      </c>
      <c r="O329" s="70" t="str">
        <f>IF(OR(N329="",NOT(ISNUMBER(M329))),"",ROUND(N329*M329,2))</f>
        <v/>
      </c>
      <c r="P329" s="70" t="str">
        <f>IF(N329="","",N329+N(O329))</f>
        <v/>
      </c>
      <c r="Q329" s="64" t="n"/>
      <c r="R329" s="73" t="str">
        <f>IF(N(Q329)&gt;0,Q329,IF(OR(N(B329)=0,ISNA(MATCH($C329,sup_code,0))),"",IF(ISNUMBER(INDEX(sup_delay,MATCH($C329,sup_code,0))),B329+INDEX(sup_delay,MATCH($C329,sup_code,0)),"")))</f>
        <v/>
      </c>
      <c r="S329" s="64" t="n"/>
      <c r="T329" s="68" t="n"/>
      <c r="U329" s="64" t="n"/>
      <c r="V329" s="65" t="n"/>
      <c r="W329" s="74" t="str">
        <f>IF(AND(A329="",E329=""),"",IF(V329="Oui",0,MAX(0,ROUND(N(H329)-N(T329),6))))</f>
        <v/>
      </c>
      <c r="X329" s="67" t="str">
        <f>IF(AND(A329="",E329=""),"",IF(V329="Oui","Annulé",IF(AND(N(H329)&gt;0,N(T329)&gt;=N(H329)),"Reçu",IF(N(S329)=0,"Brouillon",IF(AND(ISNUMBER(R329),R329&lt;p_today),"En retard",IF(N(T329)&gt;0,"Partiel","Envoyé"))))))</f>
        <v/>
      </c>
      <c r="Y329" s="75" t="str">
        <f>IF(X329="En retard",p_today-R329,IF(AND(X329="Reçu",ISNUMBER(R329)),MAX(0,N(U329)-R329),""))</f>
        <v/>
      </c>
      <c r="Z329" s="67" t="str">
        <f>IF(AND(A329="",E329=""),"",IF(A329="","N° de bon manquant",IF(N(B329)=0,"Date de commande manquante",IF(C329="","Fournisseur manquant",IF(ISNA(MATCH($C329,sup_code,0)),"Fournisseur inconnu",IF(E329="","Article manquant",IF(ISNA(MATCH($E329,art_ref,0)),"Article inconnu",IF(N(H329)&lt;=0,"Quantité invalide",IF(J329="","Prix manquant",IF(OR(N(K329)&lt;0,N(K329)&gt;=1),"Remise invalide",IF(M329="","TVA manquante",IF(ISNA(MATCH(M329,p_tva,0)),"Taux de TVA inconnu",IF(COUNTIFS(po_num,A329,po_sup,"&lt;&gt;"&amp;C329)&gt;0,"Fournisseur différent sur ce bon",IF(COUNTIFS(po_num,A329,po_date,"&lt;&gt;"&amp;B329)&gt;0,"Date différente sur ce bon",IF(COUNTIF(po_num,A329)&gt;25,"Plus de 25 lignes sur ce bon",IF(R329="","Date de livraison manquante",IF(R329&lt;B329,"Livraison avant la commande",IF(AND(N(T329)&gt;0,N(S329)=0),"Date d'envoi manquante",IF(N(T329)&gt;N(H329),"Reçu plus que commandé",IF(AND(N(T329)&gt;0,N(U329)=0),"Date de réception manquante",IF(AND(N(U329)&gt;0,U329&lt;B329),"Réception avant la commande","OK")))))))))))))))))))))</f>
        <v/>
      </c>
      <c r="AA329" s="66" t="str">
        <f>IF(AND(X329="Reçu",ISNUMBER(R329)),IF(N(U329)&lt;=R329,1,0),"")</f>
        <v/>
      </c>
      <c r="AB329" s="76" t="str">
        <f>IF(OR(X329="Envoyé",X329="Partiel",X329="En retard"),IF(ISNUMBER(R329),R329,100000)+ROW()/100000,"")</f>
        <v/>
      </c>
      <c r="AC329" s="66" t="str">
        <f>IF(A329="","",IF(COUNTIF($A$6:A329,A329)=1,1,""))</f>
        <v/>
      </c>
      <c r="AD329" s="66" t="str">
        <f>IF(AC329=1,COUNT($AC$6:AC329),"")</f>
        <v/>
      </c>
      <c r="AE329" s="66" t="str">
        <f>IFERROR(INDEX(po_num,MATCH(324,po_seq,0))&amp;"","")</f>
        <v/>
      </c>
      <c r="AF329" s="66" t="str">
        <f>IF(OR(A329="",p_po=""),"",IF(A329&amp;""=p_po,COUNTIF($A$6:A329,A329),""))</f>
        <v/>
      </c>
      <c r="AG329" s="66" t="str">
        <f>IF(OR(AB329="",A329=""),"",IF(COUNTIFS($A$6:A329,A329,$AB$6:AB329,"&gt;0")=1,1,""))</f>
        <v/>
      </c>
      <c r="AH329" s="70" t="str">
        <f>IF(AB329="","",ROUND(N(W329)*N(J329)*(1-N(K329)),2))</f>
        <v/>
      </c>
      <c r="AI329" s="70" t="str">
        <f>IF(OR(J329="",N(T329)&lt;=0,V329="Oui"),"",ROUND(N(T329)*J329*(1-N(K329)),2))</f>
        <v/>
      </c>
    </row>
    <row r="330">
      <c r="A330" s="63" t="n"/>
      <c r="B330" s="64" t="n"/>
      <c r="C330" s="65" t="n"/>
      <c r="D330" s="66" t="str">
        <f>IF(C330="","",IFERROR(INDEX(sup_name,MATCH($C330,sup_code,0))&amp;"","Fournisseur inconnu"))</f>
        <v/>
      </c>
      <c r="E330" s="63" t="n"/>
      <c r="F330" s="66" t="str">
        <f>IF(E330="","",IFERROR(INDEX(art_des,MATCH($E330,art_ref,0))&amp;"","Article inconnu"))</f>
        <v/>
      </c>
      <c r="G330" s="67" t="str">
        <f>IF(E330="","",IFERROR(INDEX(art_unit,MATCH($E330,art_ref,0))&amp;"",""))</f>
        <v/>
      </c>
      <c r="H330" s="68" t="n"/>
      <c r="I330" s="69" t="n"/>
      <c r="J330" s="70" t="str">
        <f>IF(E330="","",IF(ISNUMBER(I330),I330,IFERROR(IF(ISNUMBER(INDEX(art_price,MATCH($E330,art_ref,0))),INDEX(art_price,MATCH($E330,art_ref,0)),""),"")))</f>
        <v/>
      </c>
      <c r="K330" s="71" t="n"/>
      <c r="L330" s="72" t="n"/>
      <c r="M330" s="72" t="str">
        <f>IF(E330="","",IF(L330&lt;&gt;"",L330,IFERROR(IF(ISNUMBER(INDEX(art_tva,MATCH($E330,art_ref,0))),INDEX(art_tva,MATCH($E330,art_ref,0)),""),"")))</f>
        <v/>
      </c>
      <c r="N330" s="70" t="str">
        <f>IF(OR(E330="",J330=""),"",ROUND(N(H330)*J330*(1-N(K330)),2))</f>
        <v/>
      </c>
      <c r="O330" s="70" t="str">
        <f>IF(OR(N330="",NOT(ISNUMBER(M330))),"",ROUND(N330*M330,2))</f>
        <v/>
      </c>
      <c r="P330" s="70" t="str">
        <f>IF(N330="","",N330+N(O330))</f>
        <v/>
      </c>
      <c r="Q330" s="64" t="n"/>
      <c r="R330" s="73" t="str">
        <f>IF(N(Q330)&gt;0,Q330,IF(OR(N(B330)=0,ISNA(MATCH($C330,sup_code,0))),"",IF(ISNUMBER(INDEX(sup_delay,MATCH($C330,sup_code,0))),B330+INDEX(sup_delay,MATCH($C330,sup_code,0)),"")))</f>
        <v/>
      </c>
      <c r="S330" s="64" t="n"/>
      <c r="T330" s="68" t="n"/>
      <c r="U330" s="64" t="n"/>
      <c r="V330" s="65" t="n"/>
      <c r="W330" s="74" t="str">
        <f>IF(AND(A330="",E330=""),"",IF(V330="Oui",0,MAX(0,ROUND(N(H330)-N(T330),6))))</f>
        <v/>
      </c>
      <c r="X330" s="67" t="str">
        <f>IF(AND(A330="",E330=""),"",IF(V330="Oui","Annulé",IF(AND(N(H330)&gt;0,N(T330)&gt;=N(H330)),"Reçu",IF(N(S330)=0,"Brouillon",IF(AND(ISNUMBER(R330),R330&lt;p_today),"En retard",IF(N(T330)&gt;0,"Partiel","Envoyé"))))))</f>
        <v/>
      </c>
      <c r="Y330" s="75" t="str">
        <f>IF(X330="En retard",p_today-R330,IF(AND(X330="Reçu",ISNUMBER(R330)),MAX(0,N(U330)-R330),""))</f>
        <v/>
      </c>
      <c r="Z330" s="67" t="str">
        <f>IF(AND(A330="",E330=""),"",IF(A330="","N° de bon manquant",IF(N(B330)=0,"Date de commande manquante",IF(C330="","Fournisseur manquant",IF(ISNA(MATCH($C330,sup_code,0)),"Fournisseur inconnu",IF(E330="","Article manquant",IF(ISNA(MATCH($E330,art_ref,0)),"Article inconnu",IF(N(H330)&lt;=0,"Quantité invalide",IF(J330="","Prix manquant",IF(OR(N(K330)&lt;0,N(K330)&gt;=1),"Remise invalide",IF(M330="","TVA manquante",IF(ISNA(MATCH(M330,p_tva,0)),"Taux de TVA inconnu",IF(COUNTIFS(po_num,A330,po_sup,"&lt;&gt;"&amp;C330)&gt;0,"Fournisseur différent sur ce bon",IF(COUNTIFS(po_num,A330,po_date,"&lt;&gt;"&amp;B330)&gt;0,"Date différente sur ce bon",IF(COUNTIF(po_num,A330)&gt;25,"Plus de 25 lignes sur ce bon",IF(R330="","Date de livraison manquante",IF(R330&lt;B330,"Livraison avant la commande",IF(AND(N(T330)&gt;0,N(S330)=0),"Date d'envoi manquante",IF(N(T330)&gt;N(H330),"Reçu plus que commandé",IF(AND(N(T330)&gt;0,N(U330)=0),"Date de réception manquante",IF(AND(N(U330)&gt;0,U330&lt;B330),"Réception avant la commande","OK")))))))))))))))))))))</f>
        <v/>
      </c>
      <c r="AA330" s="66" t="str">
        <f>IF(AND(X330="Reçu",ISNUMBER(R330)),IF(N(U330)&lt;=R330,1,0),"")</f>
        <v/>
      </c>
      <c r="AB330" s="76" t="str">
        <f>IF(OR(X330="Envoyé",X330="Partiel",X330="En retard"),IF(ISNUMBER(R330),R330,100000)+ROW()/100000,"")</f>
        <v/>
      </c>
      <c r="AC330" s="66" t="str">
        <f>IF(A330="","",IF(COUNTIF($A$6:A330,A330)=1,1,""))</f>
        <v/>
      </c>
      <c r="AD330" s="66" t="str">
        <f>IF(AC330=1,COUNT($AC$6:AC330),"")</f>
        <v/>
      </c>
      <c r="AE330" s="66" t="str">
        <f>IFERROR(INDEX(po_num,MATCH(325,po_seq,0))&amp;"","")</f>
        <v/>
      </c>
      <c r="AF330" s="66" t="str">
        <f>IF(OR(A330="",p_po=""),"",IF(A330&amp;""=p_po,COUNTIF($A$6:A330,A330),""))</f>
        <v/>
      </c>
      <c r="AG330" s="66" t="str">
        <f>IF(OR(AB330="",A330=""),"",IF(COUNTIFS($A$6:A330,A330,$AB$6:AB330,"&gt;0")=1,1,""))</f>
        <v/>
      </c>
      <c r="AH330" s="70" t="str">
        <f>IF(AB330="","",ROUND(N(W330)*N(J330)*(1-N(K330)),2))</f>
        <v/>
      </c>
      <c r="AI330" s="70" t="str">
        <f>IF(OR(J330="",N(T330)&lt;=0,V330="Oui"),"",ROUND(N(T330)*J330*(1-N(K330)),2))</f>
        <v/>
      </c>
    </row>
    <row r="331">
      <c r="A331" s="63" t="n"/>
      <c r="B331" s="64" t="n"/>
      <c r="C331" s="65" t="n"/>
      <c r="D331" s="66" t="str">
        <f>IF(C331="","",IFERROR(INDEX(sup_name,MATCH($C331,sup_code,0))&amp;"","Fournisseur inconnu"))</f>
        <v/>
      </c>
      <c r="E331" s="63" t="n"/>
      <c r="F331" s="66" t="str">
        <f>IF(E331="","",IFERROR(INDEX(art_des,MATCH($E331,art_ref,0))&amp;"","Article inconnu"))</f>
        <v/>
      </c>
      <c r="G331" s="67" t="str">
        <f>IF(E331="","",IFERROR(INDEX(art_unit,MATCH($E331,art_ref,0))&amp;"",""))</f>
        <v/>
      </c>
      <c r="H331" s="68" t="n"/>
      <c r="I331" s="69" t="n"/>
      <c r="J331" s="70" t="str">
        <f>IF(E331="","",IF(ISNUMBER(I331),I331,IFERROR(IF(ISNUMBER(INDEX(art_price,MATCH($E331,art_ref,0))),INDEX(art_price,MATCH($E331,art_ref,0)),""),"")))</f>
        <v/>
      </c>
      <c r="K331" s="71" t="n"/>
      <c r="L331" s="72" t="n"/>
      <c r="M331" s="72" t="str">
        <f>IF(E331="","",IF(L331&lt;&gt;"",L331,IFERROR(IF(ISNUMBER(INDEX(art_tva,MATCH($E331,art_ref,0))),INDEX(art_tva,MATCH($E331,art_ref,0)),""),"")))</f>
        <v/>
      </c>
      <c r="N331" s="70" t="str">
        <f>IF(OR(E331="",J331=""),"",ROUND(N(H331)*J331*(1-N(K331)),2))</f>
        <v/>
      </c>
      <c r="O331" s="70" t="str">
        <f>IF(OR(N331="",NOT(ISNUMBER(M331))),"",ROUND(N331*M331,2))</f>
        <v/>
      </c>
      <c r="P331" s="70" t="str">
        <f>IF(N331="","",N331+N(O331))</f>
        <v/>
      </c>
      <c r="Q331" s="64" t="n"/>
      <c r="R331" s="73" t="str">
        <f>IF(N(Q331)&gt;0,Q331,IF(OR(N(B331)=0,ISNA(MATCH($C331,sup_code,0))),"",IF(ISNUMBER(INDEX(sup_delay,MATCH($C331,sup_code,0))),B331+INDEX(sup_delay,MATCH($C331,sup_code,0)),"")))</f>
        <v/>
      </c>
      <c r="S331" s="64" t="n"/>
      <c r="T331" s="68" t="n"/>
      <c r="U331" s="64" t="n"/>
      <c r="V331" s="65" t="n"/>
      <c r="W331" s="74" t="str">
        <f>IF(AND(A331="",E331=""),"",IF(V331="Oui",0,MAX(0,ROUND(N(H331)-N(T331),6))))</f>
        <v/>
      </c>
      <c r="X331" s="67" t="str">
        <f>IF(AND(A331="",E331=""),"",IF(V331="Oui","Annulé",IF(AND(N(H331)&gt;0,N(T331)&gt;=N(H331)),"Reçu",IF(N(S331)=0,"Brouillon",IF(AND(ISNUMBER(R331),R331&lt;p_today),"En retard",IF(N(T331)&gt;0,"Partiel","Envoyé"))))))</f>
        <v/>
      </c>
      <c r="Y331" s="75" t="str">
        <f>IF(X331="En retard",p_today-R331,IF(AND(X331="Reçu",ISNUMBER(R331)),MAX(0,N(U331)-R331),""))</f>
        <v/>
      </c>
      <c r="Z331" s="67" t="str">
        <f>IF(AND(A331="",E331=""),"",IF(A331="","N° de bon manquant",IF(N(B331)=0,"Date de commande manquante",IF(C331="","Fournisseur manquant",IF(ISNA(MATCH($C331,sup_code,0)),"Fournisseur inconnu",IF(E331="","Article manquant",IF(ISNA(MATCH($E331,art_ref,0)),"Article inconnu",IF(N(H331)&lt;=0,"Quantité invalide",IF(J331="","Prix manquant",IF(OR(N(K331)&lt;0,N(K331)&gt;=1),"Remise invalide",IF(M331="","TVA manquante",IF(ISNA(MATCH(M331,p_tva,0)),"Taux de TVA inconnu",IF(COUNTIFS(po_num,A331,po_sup,"&lt;&gt;"&amp;C331)&gt;0,"Fournisseur différent sur ce bon",IF(COUNTIFS(po_num,A331,po_date,"&lt;&gt;"&amp;B331)&gt;0,"Date différente sur ce bon",IF(COUNTIF(po_num,A331)&gt;25,"Plus de 25 lignes sur ce bon",IF(R331="","Date de livraison manquante",IF(R331&lt;B331,"Livraison avant la commande",IF(AND(N(T331)&gt;0,N(S331)=0),"Date d'envoi manquante",IF(N(T331)&gt;N(H331),"Reçu plus que commandé",IF(AND(N(T331)&gt;0,N(U331)=0),"Date de réception manquante",IF(AND(N(U331)&gt;0,U331&lt;B331),"Réception avant la commande","OK")))))))))))))))))))))</f>
        <v/>
      </c>
      <c r="AA331" s="66" t="str">
        <f>IF(AND(X331="Reçu",ISNUMBER(R331)),IF(N(U331)&lt;=R331,1,0),"")</f>
        <v/>
      </c>
      <c r="AB331" s="76" t="str">
        <f>IF(OR(X331="Envoyé",X331="Partiel",X331="En retard"),IF(ISNUMBER(R331),R331,100000)+ROW()/100000,"")</f>
        <v/>
      </c>
      <c r="AC331" s="66" t="str">
        <f>IF(A331="","",IF(COUNTIF($A$6:A331,A331)=1,1,""))</f>
        <v/>
      </c>
      <c r="AD331" s="66" t="str">
        <f>IF(AC331=1,COUNT($AC$6:AC331),"")</f>
        <v/>
      </c>
      <c r="AE331" s="66" t="str">
        <f>IFERROR(INDEX(po_num,MATCH(326,po_seq,0))&amp;"","")</f>
        <v/>
      </c>
      <c r="AF331" s="66" t="str">
        <f>IF(OR(A331="",p_po=""),"",IF(A331&amp;""=p_po,COUNTIF($A$6:A331,A331),""))</f>
        <v/>
      </c>
      <c r="AG331" s="66" t="str">
        <f>IF(OR(AB331="",A331=""),"",IF(COUNTIFS($A$6:A331,A331,$AB$6:AB331,"&gt;0")=1,1,""))</f>
        <v/>
      </c>
      <c r="AH331" s="70" t="str">
        <f>IF(AB331="","",ROUND(N(W331)*N(J331)*(1-N(K331)),2))</f>
        <v/>
      </c>
      <c r="AI331" s="70" t="str">
        <f>IF(OR(J331="",N(T331)&lt;=0,V331="Oui"),"",ROUND(N(T331)*J331*(1-N(K331)),2))</f>
        <v/>
      </c>
    </row>
    <row r="332">
      <c r="A332" s="63" t="n"/>
      <c r="B332" s="64" t="n"/>
      <c r="C332" s="65" t="n"/>
      <c r="D332" s="66" t="str">
        <f>IF(C332="","",IFERROR(INDEX(sup_name,MATCH($C332,sup_code,0))&amp;"","Fournisseur inconnu"))</f>
        <v/>
      </c>
      <c r="E332" s="63" t="n"/>
      <c r="F332" s="66" t="str">
        <f>IF(E332="","",IFERROR(INDEX(art_des,MATCH($E332,art_ref,0))&amp;"","Article inconnu"))</f>
        <v/>
      </c>
      <c r="G332" s="67" t="str">
        <f>IF(E332="","",IFERROR(INDEX(art_unit,MATCH($E332,art_ref,0))&amp;"",""))</f>
        <v/>
      </c>
      <c r="H332" s="68" t="n"/>
      <c r="I332" s="69" t="n"/>
      <c r="J332" s="70" t="str">
        <f>IF(E332="","",IF(ISNUMBER(I332),I332,IFERROR(IF(ISNUMBER(INDEX(art_price,MATCH($E332,art_ref,0))),INDEX(art_price,MATCH($E332,art_ref,0)),""),"")))</f>
        <v/>
      </c>
      <c r="K332" s="71" t="n"/>
      <c r="L332" s="72" t="n"/>
      <c r="M332" s="72" t="str">
        <f>IF(E332="","",IF(L332&lt;&gt;"",L332,IFERROR(IF(ISNUMBER(INDEX(art_tva,MATCH($E332,art_ref,0))),INDEX(art_tva,MATCH($E332,art_ref,0)),""),"")))</f>
        <v/>
      </c>
      <c r="N332" s="70" t="str">
        <f>IF(OR(E332="",J332=""),"",ROUND(N(H332)*J332*(1-N(K332)),2))</f>
        <v/>
      </c>
      <c r="O332" s="70" t="str">
        <f>IF(OR(N332="",NOT(ISNUMBER(M332))),"",ROUND(N332*M332,2))</f>
        <v/>
      </c>
      <c r="P332" s="70" t="str">
        <f>IF(N332="","",N332+N(O332))</f>
        <v/>
      </c>
      <c r="Q332" s="64" t="n"/>
      <c r="R332" s="73" t="str">
        <f>IF(N(Q332)&gt;0,Q332,IF(OR(N(B332)=0,ISNA(MATCH($C332,sup_code,0))),"",IF(ISNUMBER(INDEX(sup_delay,MATCH($C332,sup_code,0))),B332+INDEX(sup_delay,MATCH($C332,sup_code,0)),"")))</f>
        <v/>
      </c>
      <c r="S332" s="64" t="n"/>
      <c r="T332" s="68" t="n"/>
      <c r="U332" s="64" t="n"/>
      <c r="V332" s="65" t="n"/>
      <c r="W332" s="74" t="str">
        <f>IF(AND(A332="",E332=""),"",IF(V332="Oui",0,MAX(0,ROUND(N(H332)-N(T332),6))))</f>
        <v/>
      </c>
      <c r="X332" s="67" t="str">
        <f>IF(AND(A332="",E332=""),"",IF(V332="Oui","Annulé",IF(AND(N(H332)&gt;0,N(T332)&gt;=N(H332)),"Reçu",IF(N(S332)=0,"Brouillon",IF(AND(ISNUMBER(R332),R332&lt;p_today),"En retard",IF(N(T332)&gt;0,"Partiel","Envoyé"))))))</f>
        <v/>
      </c>
      <c r="Y332" s="75" t="str">
        <f>IF(X332="En retard",p_today-R332,IF(AND(X332="Reçu",ISNUMBER(R332)),MAX(0,N(U332)-R332),""))</f>
        <v/>
      </c>
      <c r="Z332" s="67" t="str">
        <f>IF(AND(A332="",E332=""),"",IF(A332="","N° de bon manquant",IF(N(B332)=0,"Date de commande manquante",IF(C332="","Fournisseur manquant",IF(ISNA(MATCH($C332,sup_code,0)),"Fournisseur inconnu",IF(E332="","Article manquant",IF(ISNA(MATCH($E332,art_ref,0)),"Article inconnu",IF(N(H332)&lt;=0,"Quantité invalide",IF(J332="","Prix manquant",IF(OR(N(K332)&lt;0,N(K332)&gt;=1),"Remise invalide",IF(M332="","TVA manquante",IF(ISNA(MATCH(M332,p_tva,0)),"Taux de TVA inconnu",IF(COUNTIFS(po_num,A332,po_sup,"&lt;&gt;"&amp;C332)&gt;0,"Fournisseur différent sur ce bon",IF(COUNTIFS(po_num,A332,po_date,"&lt;&gt;"&amp;B332)&gt;0,"Date différente sur ce bon",IF(COUNTIF(po_num,A332)&gt;25,"Plus de 25 lignes sur ce bon",IF(R332="","Date de livraison manquante",IF(R332&lt;B332,"Livraison avant la commande",IF(AND(N(T332)&gt;0,N(S332)=0),"Date d'envoi manquante",IF(N(T332)&gt;N(H332),"Reçu plus que commandé",IF(AND(N(T332)&gt;0,N(U332)=0),"Date de réception manquante",IF(AND(N(U332)&gt;0,U332&lt;B332),"Réception avant la commande","OK")))))))))))))))))))))</f>
        <v/>
      </c>
      <c r="AA332" s="66" t="str">
        <f>IF(AND(X332="Reçu",ISNUMBER(R332)),IF(N(U332)&lt;=R332,1,0),"")</f>
        <v/>
      </c>
      <c r="AB332" s="76" t="str">
        <f>IF(OR(X332="Envoyé",X332="Partiel",X332="En retard"),IF(ISNUMBER(R332),R332,100000)+ROW()/100000,"")</f>
        <v/>
      </c>
      <c r="AC332" s="66" t="str">
        <f>IF(A332="","",IF(COUNTIF($A$6:A332,A332)=1,1,""))</f>
        <v/>
      </c>
      <c r="AD332" s="66" t="str">
        <f>IF(AC332=1,COUNT($AC$6:AC332),"")</f>
        <v/>
      </c>
      <c r="AE332" s="66" t="str">
        <f>IFERROR(INDEX(po_num,MATCH(327,po_seq,0))&amp;"","")</f>
        <v/>
      </c>
      <c r="AF332" s="66" t="str">
        <f>IF(OR(A332="",p_po=""),"",IF(A332&amp;""=p_po,COUNTIF($A$6:A332,A332),""))</f>
        <v/>
      </c>
      <c r="AG332" s="66" t="str">
        <f>IF(OR(AB332="",A332=""),"",IF(COUNTIFS($A$6:A332,A332,$AB$6:AB332,"&gt;0")=1,1,""))</f>
        <v/>
      </c>
      <c r="AH332" s="70" t="str">
        <f>IF(AB332="","",ROUND(N(W332)*N(J332)*(1-N(K332)),2))</f>
        <v/>
      </c>
      <c r="AI332" s="70" t="str">
        <f>IF(OR(J332="",N(T332)&lt;=0,V332="Oui"),"",ROUND(N(T332)*J332*(1-N(K332)),2))</f>
        <v/>
      </c>
    </row>
    <row r="333">
      <c r="A333" s="63" t="n"/>
      <c r="B333" s="64" t="n"/>
      <c r="C333" s="65" t="n"/>
      <c r="D333" s="66" t="str">
        <f>IF(C333="","",IFERROR(INDEX(sup_name,MATCH($C333,sup_code,0))&amp;"","Fournisseur inconnu"))</f>
        <v/>
      </c>
      <c r="E333" s="63" t="n"/>
      <c r="F333" s="66" t="str">
        <f>IF(E333="","",IFERROR(INDEX(art_des,MATCH($E333,art_ref,0))&amp;"","Article inconnu"))</f>
        <v/>
      </c>
      <c r="G333" s="67" t="str">
        <f>IF(E333="","",IFERROR(INDEX(art_unit,MATCH($E333,art_ref,0))&amp;"",""))</f>
        <v/>
      </c>
      <c r="H333" s="68" t="n"/>
      <c r="I333" s="69" t="n"/>
      <c r="J333" s="70" t="str">
        <f>IF(E333="","",IF(ISNUMBER(I333),I333,IFERROR(IF(ISNUMBER(INDEX(art_price,MATCH($E333,art_ref,0))),INDEX(art_price,MATCH($E333,art_ref,0)),""),"")))</f>
        <v/>
      </c>
      <c r="K333" s="71" t="n"/>
      <c r="L333" s="72" t="n"/>
      <c r="M333" s="72" t="str">
        <f>IF(E333="","",IF(L333&lt;&gt;"",L333,IFERROR(IF(ISNUMBER(INDEX(art_tva,MATCH($E333,art_ref,0))),INDEX(art_tva,MATCH($E333,art_ref,0)),""),"")))</f>
        <v/>
      </c>
      <c r="N333" s="70" t="str">
        <f>IF(OR(E333="",J333=""),"",ROUND(N(H333)*J333*(1-N(K333)),2))</f>
        <v/>
      </c>
      <c r="O333" s="70" t="str">
        <f>IF(OR(N333="",NOT(ISNUMBER(M333))),"",ROUND(N333*M333,2))</f>
        <v/>
      </c>
      <c r="P333" s="70" t="str">
        <f>IF(N333="","",N333+N(O333))</f>
        <v/>
      </c>
      <c r="Q333" s="64" t="n"/>
      <c r="R333" s="73" t="str">
        <f>IF(N(Q333)&gt;0,Q333,IF(OR(N(B333)=0,ISNA(MATCH($C333,sup_code,0))),"",IF(ISNUMBER(INDEX(sup_delay,MATCH($C333,sup_code,0))),B333+INDEX(sup_delay,MATCH($C333,sup_code,0)),"")))</f>
        <v/>
      </c>
      <c r="S333" s="64" t="n"/>
      <c r="T333" s="68" t="n"/>
      <c r="U333" s="64" t="n"/>
      <c r="V333" s="65" t="n"/>
      <c r="W333" s="74" t="str">
        <f>IF(AND(A333="",E333=""),"",IF(V333="Oui",0,MAX(0,ROUND(N(H333)-N(T333),6))))</f>
        <v/>
      </c>
      <c r="X333" s="67" t="str">
        <f>IF(AND(A333="",E333=""),"",IF(V333="Oui","Annulé",IF(AND(N(H333)&gt;0,N(T333)&gt;=N(H333)),"Reçu",IF(N(S333)=0,"Brouillon",IF(AND(ISNUMBER(R333),R333&lt;p_today),"En retard",IF(N(T333)&gt;0,"Partiel","Envoyé"))))))</f>
        <v/>
      </c>
      <c r="Y333" s="75" t="str">
        <f>IF(X333="En retard",p_today-R333,IF(AND(X333="Reçu",ISNUMBER(R333)),MAX(0,N(U333)-R333),""))</f>
        <v/>
      </c>
      <c r="Z333" s="67" t="str">
        <f>IF(AND(A333="",E333=""),"",IF(A333="","N° de bon manquant",IF(N(B333)=0,"Date de commande manquante",IF(C333="","Fournisseur manquant",IF(ISNA(MATCH($C333,sup_code,0)),"Fournisseur inconnu",IF(E333="","Article manquant",IF(ISNA(MATCH($E333,art_ref,0)),"Article inconnu",IF(N(H333)&lt;=0,"Quantité invalide",IF(J333="","Prix manquant",IF(OR(N(K333)&lt;0,N(K333)&gt;=1),"Remise invalide",IF(M333="","TVA manquante",IF(ISNA(MATCH(M333,p_tva,0)),"Taux de TVA inconnu",IF(COUNTIFS(po_num,A333,po_sup,"&lt;&gt;"&amp;C333)&gt;0,"Fournisseur différent sur ce bon",IF(COUNTIFS(po_num,A333,po_date,"&lt;&gt;"&amp;B333)&gt;0,"Date différente sur ce bon",IF(COUNTIF(po_num,A333)&gt;25,"Plus de 25 lignes sur ce bon",IF(R333="","Date de livraison manquante",IF(R333&lt;B333,"Livraison avant la commande",IF(AND(N(T333)&gt;0,N(S333)=0),"Date d'envoi manquante",IF(N(T333)&gt;N(H333),"Reçu plus que commandé",IF(AND(N(T333)&gt;0,N(U333)=0),"Date de réception manquante",IF(AND(N(U333)&gt;0,U333&lt;B333),"Réception avant la commande","OK")))))))))))))))))))))</f>
        <v/>
      </c>
      <c r="AA333" s="66" t="str">
        <f>IF(AND(X333="Reçu",ISNUMBER(R333)),IF(N(U333)&lt;=R333,1,0),"")</f>
        <v/>
      </c>
      <c r="AB333" s="76" t="str">
        <f>IF(OR(X333="Envoyé",X333="Partiel",X333="En retard"),IF(ISNUMBER(R333),R333,100000)+ROW()/100000,"")</f>
        <v/>
      </c>
      <c r="AC333" s="66" t="str">
        <f>IF(A333="","",IF(COUNTIF($A$6:A333,A333)=1,1,""))</f>
        <v/>
      </c>
      <c r="AD333" s="66" t="str">
        <f>IF(AC333=1,COUNT($AC$6:AC333),"")</f>
        <v/>
      </c>
      <c r="AE333" s="66" t="str">
        <f>IFERROR(INDEX(po_num,MATCH(328,po_seq,0))&amp;"","")</f>
        <v/>
      </c>
      <c r="AF333" s="66" t="str">
        <f>IF(OR(A333="",p_po=""),"",IF(A333&amp;""=p_po,COUNTIF($A$6:A333,A333),""))</f>
        <v/>
      </c>
      <c r="AG333" s="66" t="str">
        <f>IF(OR(AB333="",A333=""),"",IF(COUNTIFS($A$6:A333,A333,$AB$6:AB333,"&gt;0")=1,1,""))</f>
        <v/>
      </c>
      <c r="AH333" s="70" t="str">
        <f>IF(AB333="","",ROUND(N(W333)*N(J333)*(1-N(K333)),2))</f>
        <v/>
      </c>
      <c r="AI333" s="70" t="str">
        <f>IF(OR(J333="",N(T333)&lt;=0,V333="Oui"),"",ROUND(N(T333)*J333*(1-N(K333)),2))</f>
        <v/>
      </c>
    </row>
    <row r="334">
      <c r="A334" s="63" t="n"/>
      <c r="B334" s="64" t="n"/>
      <c r="C334" s="65" t="n"/>
      <c r="D334" s="66" t="str">
        <f>IF(C334="","",IFERROR(INDEX(sup_name,MATCH($C334,sup_code,0))&amp;"","Fournisseur inconnu"))</f>
        <v/>
      </c>
      <c r="E334" s="63" t="n"/>
      <c r="F334" s="66" t="str">
        <f>IF(E334="","",IFERROR(INDEX(art_des,MATCH($E334,art_ref,0))&amp;"","Article inconnu"))</f>
        <v/>
      </c>
      <c r="G334" s="67" t="str">
        <f>IF(E334="","",IFERROR(INDEX(art_unit,MATCH($E334,art_ref,0))&amp;"",""))</f>
        <v/>
      </c>
      <c r="H334" s="68" t="n"/>
      <c r="I334" s="69" t="n"/>
      <c r="J334" s="70" t="str">
        <f>IF(E334="","",IF(ISNUMBER(I334),I334,IFERROR(IF(ISNUMBER(INDEX(art_price,MATCH($E334,art_ref,0))),INDEX(art_price,MATCH($E334,art_ref,0)),""),"")))</f>
        <v/>
      </c>
      <c r="K334" s="71" t="n"/>
      <c r="L334" s="72" t="n"/>
      <c r="M334" s="72" t="str">
        <f>IF(E334="","",IF(L334&lt;&gt;"",L334,IFERROR(IF(ISNUMBER(INDEX(art_tva,MATCH($E334,art_ref,0))),INDEX(art_tva,MATCH($E334,art_ref,0)),""),"")))</f>
        <v/>
      </c>
      <c r="N334" s="70" t="str">
        <f>IF(OR(E334="",J334=""),"",ROUND(N(H334)*J334*(1-N(K334)),2))</f>
        <v/>
      </c>
      <c r="O334" s="70" t="str">
        <f>IF(OR(N334="",NOT(ISNUMBER(M334))),"",ROUND(N334*M334,2))</f>
        <v/>
      </c>
      <c r="P334" s="70" t="str">
        <f>IF(N334="","",N334+N(O334))</f>
        <v/>
      </c>
      <c r="Q334" s="64" t="n"/>
      <c r="R334" s="73" t="str">
        <f>IF(N(Q334)&gt;0,Q334,IF(OR(N(B334)=0,ISNA(MATCH($C334,sup_code,0))),"",IF(ISNUMBER(INDEX(sup_delay,MATCH($C334,sup_code,0))),B334+INDEX(sup_delay,MATCH($C334,sup_code,0)),"")))</f>
        <v/>
      </c>
      <c r="S334" s="64" t="n"/>
      <c r="T334" s="68" t="n"/>
      <c r="U334" s="64" t="n"/>
      <c r="V334" s="65" t="n"/>
      <c r="W334" s="74" t="str">
        <f>IF(AND(A334="",E334=""),"",IF(V334="Oui",0,MAX(0,ROUND(N(H334)-N(T334),6))))</f>
        <v/>
      </c>
      <c r="X334" s="67" t="str">
        <f>IF(AND(A334="",E334=""),"",IF(V334="Oui","Annulé",IF(AND(N(H334)&gt;0,N(T334)&gt;=N(H334)),"Reçu",IF(N(S334)=0,"Brouillon",IF(AND(ISNUMBER(R334),R334&lt;p_today),"En retard",IF(N(T334)&gt;0,"Partiel","Envoyé"))))))</f>
        <v/>
      </c>
      <c r="Y334" s="75" t="str">
        <f>IF(X334="En retard",p_today-R334,IF(AND(X334="Reçu",ISNUMBER(R334)),MAX(0,N(U334)-R334),""))</f>
        <v/>
      </c>
      <c r="Z334" s="67" t="str">
        <f>IF(AND(A334="",E334=""),"",IF(A334="","N° de bon manquant",IF(N(B334)=0,"Date de commande manquante",IF(C334="","Fournisseur manquant",IF(ISNA(MATCH($C334,sup_code,0)),"Fournisseur inconnu",IF(E334="","Article manquant",IF(ISNA(MATCH($E334,art_ref,0)),"Article inconnu",IF(N(H334)&lt;=0,"Quantité invalide",IF(J334="","Prix manquant",IF(OR(N(K334)&lt;0,N(K334)&gt;=1),"Remise invalide",IF(M334="","TVA manquante",IF(ISNA(MATCH(M334,p_tva,0)),"Taux de TVA inconnu",IF(COUNTIFS(po_num,A334,po_sup,"&lt;&gt;"&amp;C334)&gt;0,"Fournisseur différent sur ce bon",IF(COUNTIFS(po_num,A334,po_date,"&lt;&gt;"&amp;B334)&gt;0,"Date différente sur ce bon",IF(COUNTIF(po_num,A334)&gt;25,"Plus de 25 lignes sur ce bon",IF(R334="","Date de livraison manquante",IF(R334&lt;B334,"Livraison avant la commande",IF(AND(N(T334)&gt;0,N(S334)=0),"Date d'envoi manquante",IF(N(T334)&gt;N(H334),"Reçu plus que commandé",IF(AND(N(T334)&gt;0,N(U334)=0),"Date de réception manquante",IF(AND(N(U334)&gt;0,U334&lt;B334),"Réception avant la commande","OK")))))))))))))))))))))</f>
        <v/>
      </c>
      <c r="AA334" s="66" t="str">
        <f>IF(AND(X334="Reçu",ISNUMBER(R334)),IF(N(U334)&lt;=R334,1,0),"")</f>
        <v/>
      </c>
      <c r="AB334" s="76" t="str">
        <f>IF(OR(X334="Envoyé",X334="Partiel",X334="En retard"),IF(ISNUMBER(R334),R334,100000)+ROW()/100000,"")</f>
        <v/>
      </c>
      <c r="AC334" s="66" t="str">
        <f>IF(A334="","",IF(COUNTIF($A$6:A334,A334)=1,1,""))</f>
        <v/>
      </c>
      <c r="AD334" s="66" t="str">
        <f>IF(AC334=1,COUNT($AC$6:AC334),"")</f>
        <v/>
      </c>
      <c r="AE334" s="66" t="str">
        <f>IFERROR(INDEX(po_num,MATCH(329,po_seq,0))&amp;"","")</f>
        <v/>
      </c>
      <c r="AF334" s="66" t="str">
        <f>IF(OR(A334="",p_po=""),"",IF(A334&amp;""=p_po,COUNTIF($A$6:A334,A334),""))</f>
        <v/>
      </c>
      <c r="AG334" s="66" t="str">
        <f>IF(OR(AB334="",A334=""),"",IF(COUNTIFS($A$6:A334,A334,$AB$6:AB334,"&gt;0")=1,1,""))</f>
        <v/>
      </c>
      <c r="AH334" s="70" t="str">
        <f>IF(AB334="","",ROUND(N(W334)*N(J334)*(1-N(K334)),2))</f>
        <v/>
      </c>
      <c r="AI334" s="70" t="str">
        <f>IF(OR(J334="",N(T334)&lt;=0,V334="Oui"),"",ROUND(N(T334)*J334*(1-N(K334)),2))</f>
        <v/>
      </c>
    </row>
    <row r="335">
      <c r="A335" s="63" t="n"/>
      <c r="B335" s="64" t="n"/>
      <c r="C335" s="65" t="n"/>
      <c r="D335" s="66" t="str">
        <f>IF(C335="","",IFERROR(INDEX(sup_name,MATCH($C335,sup_code,0))&amp;"","Fournisseur inconnu"))</f>
        <v/>
      </c>
      <c r="E335" s="63" t="n"/>
      <c r="F335" s="66" t="str">
        <f>IF(E335="","",IFERROR(INDEX(art_des,MATCH($E335,art_ref,0))&amp;"","Article inconnu"))</f>
        <v/>
      </c>
      <c r="G335" s="67" t="str">
        <f>IF(E335="","",IFERROR(INDEX(art_unit,MATCH($E335,art_ref,0))&amp;"",""))</f>
        <v/>
      </c>
      <c r="H335" s="68" t="n"/>
      <c r="I335" s="69" t="n"/>
      <c r="J335" s="70" t="str">
        <f>IF(E335="","",IF(ISNUMBER(I335),I335,IFERROR(IF(ISNUMBER(INDEX(art_price,MATCH($E335,art_ref,0))),INDEX(art_price,MATCH($E335,art_ref,0)),""),"")))</f>
        <v/>
      </c>
      <c r="K335" s="71" t="n"/>
      <c r="L335" s="72" t="n"/>
      <c r="M335" s="72" t="str">
        <f>IF(E335="","",IF(L335&lt;&gt;"",L335,IFERROR(IF(ISNUMBER(INDEX(art_tva,MATCH($E335,art_ref,0))),INDEX(art_tva,MATCH($E335,art_ref,0)),""),"")))</f>
        <v/>
      </c>
      <c r="N335" s="70" t="str">
        <f>IF(OR(E335="",J335=""),"",ROUND(N(H335)*J335*(1-N(K335)),2))</f>
        <v/>
      </c>
      <c r="O335" s="70" t="str">
        <f>IF(OR(N335="",NOT(ISNUMBER(M335))),"",ROUND(N335*M335,2))</f>
        <v/>
      </c>
      <c r="P335" s="70" t="str">
        <f>IF(N335="","",N335+N(O335))</f>
        <v/>
      </c>
      <c r="Q335" s="64" t="n"/>
      <c r="R335" s="73" t="str">
        <f>IF(N(Q335)&gt;0,Q335,IF(OR(N(B335)=0,ISNA(MATCH($C335,sup_code,0))),"",IF(ISNUMBER(INDEX(sup_delay,MATCH($C335,sup_code,0))),B335+INDEX(sup_delay,MATCH($C335,sup_code,0)),"")))</f>
        <v/>
      </c>
      <c r="S335" s="64" t="n"/>
      <c r="T335" s="68" t="n"/>
      <c r="U335" s="64" t="n"/>
      <c r="V335" s="65" t="n"/>
      <c r="W335" s="74" t="str">
        <f>IF(AND(A335="",E335=""),"",IF(V335="Oui",0,MAX(0,ROUND(N(H335)-N(T335),6))))</f>
        <v/>
      </c>
      <c r="X335" s="67" t="str">
        <f>IF(AND(A335="",E335=""),"",IF(V335="Oui","Annulé",IF(AND(N(H335)&gt;0,N(T335)&gt;=N(H335)),"Reçu",IF(N(S335)=0,"Brouillon",IF(AND(ISNUMBER(R335),R335&lt;p_today),"En retard",IF(N(T335)&gt;0,"Partiel","Envoyé"))))))</f>
        <v/>
      </c>
      <c r="Y335" s="75" t="str">
        <f>IF(X335="En retard",p_today-R335,IF(AND(X335="Reçu",ISNUMBER(R335)),MAX(0,N(U335)-R335),""))</f>
        <v/>
      </c>
      <c r="Z335" s="67" t="str">
        <f>IF(AND(A335="",E335=""),"",IF(A335="","N° de bon manquant",IF(N(B335)=0,"Date de commande manquante",IF(C335="","Fournisseur manquant",IF(ISNA(MATCH($C335,sup_code,0)),"Fournisseur inconnu",IF(E335="","Article manquant",IF(ISNA(MATCH($E335,art_ref,0)),"Article inconnu",IF(N(H335)&lt;=0,"Quantité invalide",IF(J335="","Prix manquant",IF(OR(N(K335)&lt;0,N(K335)&gt;=1),"Remise invalide",IF(M335="","TVA manquante",IF(ISNA(MATCH(M335,p_tva,0)),"Taux de TVA inconnu",IF(COUNTIFS(po_num,A335,po_sup,"&lt;&gt;"&amp;C335)&gt;0,"Fournisseur différent sur ce bon",IF(COUNTIFS(po_num,A335,po_date,"&lt;&gt;"&amp;B335)&gt;0,"Date différente sur ce bon",IF(COUNTIF(po_num,A335)&gt;25,"Plus de 25 lignes sur ce bon",IF(R335="","Date de livraison manquante",IF(R335&lt;B335,"Livraison avant la commande",IF(AND(N(T335)&gt;0,N(S335)=0),"Date d'envoi manquante",IF(N(T335)&gt;N(H335),"Reçu plus que commandé",IF(AND(N(T335)&gt;0,N(U335)=0),"Date de réception manquante",IF(AND(N(U335)&gt;0,U335&lt;B335),"Réception avant la commande","OK")))))))))))))))))))))</f>
        <v/>
      </c>
      <c r="AA335" s="66" t="str">
        <f>IF(AND(X335="Reçu",ISNUMBER(R335)),IF(N(U335)&lt;=R335,1,0),"")</f>
        <v/>
      </c>
      <c r="AB335" s="76" t="str">
        <f>IF(OR(X335="Envoyé",X335="Partiel",X335="En retard"),IF(ISNUMBER(R335),R335,100000)+ROW()/100000,"")</f>
        <v/>
      </c>
      <c r="AC335" s="66" t="str">
        <f>IF(A335="","",IF(COUNTIF($A$6:A335,A335)=1,1,""))</f>
        <v/>
      </c>
      <c r="AD335" s="66" t="str">
        <f>IF(AC335=1,COUNT($AC$6:AC335),"")</f>
        <v/>
      </c>
      <c r="AE335" s="66" t="str">
        <f>IFERROR(INDEX(po_num,MATCH(330,po_seq,0))&amp;"","")</f>
        <v/>
      </c>
      <c r="AF335" s="66" t="str">
        <f>IF(OR(A335="",p_po=""),"",IF(A335&amp;""=p_po,COUNTIF($A$6:A335,A335),""))</f>
        <v/>
      </c>
      <c r="AG335" s="66" t="str">
        <f>IF(OR(AB335="",A335=""),"",IF(COUNTIFS($A$6:A335,A335,$AB$6:AB335,"&gt;0")=1,1,""))</f>
        <v/>
      </c>
      <c r="AH335" s="70" t="str">
        <f>IF(AB335="","",ROUND(N(W335)*N(J335)*(1-N(K335)),2))</f>
        <v/>
      </c>
      <c r="AI335" s="70" t="str">
        <f>IF(OR(J335="",N(T335)&lt;=0,V335="Oui"),"",ROUND(N(T335)*J335*(1-N(K335)),2))</f>
        <v/>
      </c>
    </row>
    <row r="336">
      <c r="A336" s="63" t="n"/>
      <c r="B336" s="64" t="n"/>
      <c r="C336" s="65" t="n"/>
      <c r="D336" s="66" t="str">
        <f>IF(C336="","",IFERROR(INDEX(sup_name,MATCH($C336,sup_code,0))&amp;"","Fournisseur inconnu"))</f>
        <v/>
      </c>
      <c r="E336" s="63" t="n"/>
      <c r="F336" s="66" t="str">
        <f>IF(E336="","",IFERROR(INDEX(art_des,MATCH($E336,art_ref,0))&amp;"","Article inconnu"))</f>
        <v/>
      </c>
      <c r="G336" s="67" t="str">
        <f>IF(E336="","",IFERROR(INDEX(art_unit,MATCH($E336,art_ref,0))&amp;"",""))</f>
        <v/>
      </c>
      <c r="H336" s="68" t="n"/>
      <c r="I336" s="69" t="n"/>
      <c r="J336" s="70" t="str">
        <f>IF(E336="","",IF(ISNUMBER(I336),I336,IFERROR(IF(ISNUMBER(INDEX(art_price,MATCH($E336,art_ref,0))),INDEX(art_price,MATCH($E336,art_ref,0)),""),"")))</f>
        <v/>
      </c>
      <c r="K336" s="71" t="n"/>
      <c r="L336" s="72" t="n"/>
      <c r="M336" s="72" t="str">
        <f>IF(E336="","",IF(L336&lt;&gt;"",L336,IFERROR(IF(ISNUMBER(INDEX(art_tva,MATCH($E336,art_ref,0))),INDEX(art_tva,MATCH($E336,art_ref,0)),""),"")))</f>
        <v/>
      </c>
      <c r="N336" s="70" t="str">
        <f>IF(OR(E336="",J336=""),"",ROUND(N(H336)*J336*(1-N(K336)),2))</f>
        <v/>
      </c>
      <c r="O336" s="70" t="str">
        <f>IF(OR(N336="",NOT(ISNUMBER(M336))),"",ROUND(N336*M336,2))</f>
        <v/>
      </c>
      <c r="P336" s="70" t="str">
        <f>IF(N336="","",N336+N(O336))</f>
        <v/>
      </c>
      <c r="Q336" s="64" t="n"/>
      <c r="R336" s="73" t="str">
        <f>IF(N(Q336)&gt;0,Q336,IF(OR(N(B336)=0,ISNA(MATCH($C336,sup_code,0))),"",IF(ISNUMBER(INDEX(sup_delay,MATCH($C336,sup_code,0))),B336+INDEX(sup_delay,MATCH($C336,sup_code,0)),"")))</f>
        <v/>
      </c>
      <c r="S336" s="64" t="n"/>
      <c r="T336" s="68" t="n"/>
      <c r="U336" s="64" t="n"/>
      <c r="V336" s="65" t="n"/>
      <c r="W336" s="74" t="str">
        <f>IF(AND(A336="",E336=""),"",IF(V336="Oui",0,MAX(0,ROUND(N(H336)-N(T336),6))))</f>
        <v/>
      </c>
      <c r="X336" s="67" t="str">
        <f>IF(AND(A336="",E336=""),"",IF(V336="Oui","Annulé",IF(AND(N(H336)&gt;0,N(T336)&gt;=N(H336)),"Reçu",IF(N(S336)=0,"Brouillon",IF(AND(ISNUMBER(R336),R336&lt;p_today),"En retard",IF(N(T336)&gt;0,"Partiel","Envoyé"))))))</f>
        <v/>
      </c>
      <c r="Y336" s="75" t="str">
        <f>IF(X336="En retard",p_today-R336,IF(AND(X336="Reçu",ISNUMBER(R336)),MAX(0,N(U336)-R336),""))</f>
        <v/>
      </c>
      <c r="Z336" s="67" t="str">
        <f>IF(AND(A336="",E336=""),"",IF(A336="","N° de bon manquant",IF(N(B336)=0,"Date de commande manquante",IF(C336="","Fournisseur manquant",IF(ISNA(MATCH($C336,sup_code,0)),"Fournisseur inconnu",IF(E336="","Article manquant",IF(ISNA(MATCH($E336,art_ref,0)),"Article inconnu",IF(N(H336)&lt;=0,"Quantité invalide",IF(J336="","Prix manquant",IF(OR(N(K336)&lt;0,N(K336)&gt;=1),"Remise invalide",IF(M336="","TVA manquante",IF(ISNA(MATCH(M336,p_tva,0)),"Taux de TVA inconnu",IF(COUNTIFS(po_num,A336,po_sup,"&lt;&gt;"&amp;C336)&gt;0,"Fournisseur différent sur ce bon",IF(COUNTIFS(po_num,A336,po_date,"&lt;&gt;"&amp;B336)&gt;0,"Date différente sur ce bon",IF(COUNTIF(po_num,A336)&gt;25,"Plus de 25 lignes sur ce bon",IF(R336="","Date de livraison manquante",IF(R336&lt;B336,"Livraison avant la commande",IF(AND(N(T336)&gt;0,N(S336)=0),"Date d'envoi manquante",IF(N(T336)&gt;N(H336),"Reçu plus que commandé",IF(AND(N(T336)&gt;0,N(U336)=0),"Date de réception manquante",IF(AND(N(U336)&gt;0,U336&lt;B336),"Réception avant la commande","OK")))))))))))))))))))))</f>
        <v/>
      </c>
      <c r="AA336" s="66" t="str">
        <f>IF(AND(X336="Reçu",ISNUMBER(R336)),IF(N(U336)&lt;=R336,1,0),"")</f>
        <v/>
      </c>
      <c r="AB336" s="76" t="str">
        <f>IF(OR(X336="Envoyé",X336="Partiel",X336="En retard"),IF(ISNUMBER(R336),R336,100000)+ROW()/100000,"")</f>
        <v/>
      </c>
      <c r="AC336" s="66" t="str">
        <f>IF(A336="","",IF(COUNTIF($A$6:A336,A336)=1,1,""))</f>
        <v/>
      </c>
      <c r="AD336" s="66" t="str">
        <f>IF(AC336=1,COUNT($AC$6:AC336),"")</f>
        <v/>
      </c>
      <c r="AE336" s="66" t="str">
        <f>IFERROR(INDEX(po_num,MATCH(331,po_seq,0))&amp;"","")</f>
        <v/>
      </c>
      <c r="AF336" s="66" t="str">
        <f>IF(OR(A336="",p_po=""),"",IF(A336&amp;""=p_po,COUNTIF($A$6:A336,A336),""))</f>
        <v/>
      </c>
      <c r="AG336" s="66" t="str">
        <f>IF(OR(AB336="",A336=""),"",IF(COUNTIFS($A$6:A336,A336,$AB$6:AB336,"&gt;0")=1,1,""))</f>
        <v/>
      </c>
      <c r="AH336" s="70" t="str">
        <f>IF(AB336="","",ROUND(N(W336)*N(J336)*(1-N(K336)),2))</f>
        <v/>
      </c>
      <c r="AI336" s="70" t="str">
        <f>IF(OR(J336="",N(T336)&lt;=0,V336="Oui"),"",ROUND(N(T336)*J336*(1-N(K336)),2))</f>
        <v/>
      </c>
    </row>
    <row r="337">
      <c r="A337" s="63" t="n"/>
      <c r="B337" s="64" t="n"/>
      <c r="C337" s="65" t="n"/>
      <c r="D337" s="66" t="str">
        <f>IF(C337="","",IFERROR(INDEX(sup_name,MATCH($C337,sup_code,0))&amp;"","Fournisseur inconnu"))</f>
        <v/>
      </c>
      <c r="E337" s="63" t="n"/>
      <c r="F337" s="66" t="str">
        <f>IF(E337="","",IFERROR(INDEX(art_des,MATCH($E337,art_ref,0))&amp;"","Article inconnu"))</f>
        <v/>
      </c>
      <c r="G337" s="67" t="str">
        <f>IF(E337="","",IFERROR(INDEX(art_unit,MATCH($E337,art_ref,0))&amp;"",""))</f>
        <v/>
      </c>
      <c r="H337" s="68" t="n"/>
      <c r="I337" s="69" t="n"/>
      <c r="J337" s="70" t="str">
        <f>IF(E337="","",IF(ISNUMBER(I337),I337,IFERROR(IF(ISNUMBER(INDEX(art_price,MATCH($E337,art_ref,0))),INDEX(art_price,MATCH($E337,art_ref,0)),""),"")))</f>
        <v/>
      </c>
      <c r="K337" s="71" t="n"/>
      <c r="L337" s="72" t="n"/>
      <c r="M337" s="72" t="str">
        <f>IF(E337="","",IF(L337&lt;&gt;"",L337,IFERROR(IF(ISNUMBER(INDEX(art_tva,MATCH($E337,art_ref,0))),INDEX(art_tva,MATCH($E337,art_ref,0)),""),"")))</f>
        <v/>
      </c>
      <c r="N337" s="70" t="str">
        <f>IF(OR(E337="",J337=""),"",ROUND(N(H337)*J337*(1-N(K337)),2))</f>
        <v/>
      </c>
      <c r="O337" s="70" t="str">
        <f>IF(OR(N337="",NOT(ISNUMBER(M337))),"",ROUND(N337*M337,2))</f>
        <v/>
      </c>
      <c r="P337" s="70" t="str">
        <f>IF(N337="","",N337+N(O337))</f>
        <v/>
      </c>
      <c r="Q337" s="64" t="n"/>
      <c r="R337" s="73" t="str">
        <f>IF(N(Q337)&gt;0,Q337,IF(OR(N(B337)=0,ISNA(MATCH($C337,sup_code,0))),"",IF(ISNUMBER(INDEX(sup_delay,MATCH($C337,sup_code,0))),B337+INDEX(sup_delay,MATCH($C337,sup_code,0)),"")))</f>
        <v/>
      </c>
      <c r="S337" s="64" t="n"/>
      <c r="T337" s="68" t="n"/>
      <c r="U337" s="64" t="n"/>
      <c r="V337" s="65" t="n"/>
      <c r="W337" s="74" t="str">
        <f>IF(AND(A337="",E337=""),"",IF(V337="Oui",0,MAX(0,ROUND(N(H337)-N(T337),6))))</f>
        <v/>
      </c>
      <c r="X337" s="67" t="str">
        <f>IF(AND(A337="",E337=""),"",IF(V337="Oui","Annulé",IF(AND(N(H337)&gt;0,N(T337)&gt;=N(H337)),"Reçu",IF(N(S337)=0,"Brouillon",IF(AND(ISNUMBER(R337),R337&lt;p_today),"En retard",IF(N(T337)&gt;0,"Partiel","Envoyé"))))))</f>
        <v/>
      </c>
      <c r="Y337" s="75" t="str">
        <f>IF(X337="En retard",p_today-R337,IF(AND(X337="Reçu",ISNUMBER(R337)),MAX(0,N(U337)-R337),""))</f>
        <v/>
      </c>
      <c r="Z337" s="67" t="str">
        <f>IF(AND(A337="",E337=""),"",IF(A337="","N° de bon manquant",IF(N(B337)=0,"Date de commande manquante",IF(C337="","Fournisseur manquant",IF(ISNA(MATCH($C337,sup_code,0)),"Fournisseur inconnu",IF(E337="","Article manquant",IF(ISNA(MATCH($E337,art_ref,0)),"Article inconnu",IF(N(H337)&lt;=0,"Quantité invalide",IF(J337="","Prix manquant",IF(OR(N(K337)&lt;0,N(K337)&gt;=1),"Remise invalide",IF(M337="","TVA manquante",IF(ISNA(MATCH(M337,p_tva,0)),"Taux de TVA inconnu",IF(COUNTIFS(po_num,A337,po_sup,"&lt;&gt;"&amp;C337)&gt;0,"Fournisseur différent sur ce bon",IF(COUNTIFS(po_num,A337,po_date,"&lt;&gt;"&amp;B337)&gt;0,"Date différente sur ce bon",IF(COUNTIF(po_num,A337)&gt;25,"Plus de 25 lignes sur ce bon",IF(R337="","Date de livraison manquante",IF(R337&lt;B337,"Livraison avant la commande",IF(AND(N(T337)&gt;0,N(S337)=0),"Date d'envoi manquante",IF(N(T337)&gt;N(H337),"Reçu plus que commandé",IF(AND(N(T337)&gt;0,N(U337)=0),"Date de réception manquante",IF(AND(N(U337)&gt;0,U337&lt;B337),"Réception avant la commande","OK")))))))))))))))))))))</f>
        <v/>
      </c>
      <c r="AA337" s="66" t="str">
        <f>IF(AND(X337="Reçu",ISNUMBER(R337)),IF(N(U337)&lt;=R337,1,0),"")</f>
        <v/>
      </c>
      <c r="AB337" s="76" t="str">
        <f>IF(OR(X337="Envoyé",X337="Partiel",X337="En retard"),IF(ISNUMBER(R337),R337,100000)+ROW()/100000,"")</f>
        <v/>
      </c>
      <c r="AC337" s="66" t="str">
        <f>IF(A337="","",IF(COUNTIF($A$6:A337,A337)=1,1,""))</f>
        <v/>
      </c>
      <c r="AD337" s="66" t="str">
        <f>IF(AC337=1,COUNT($AC$6:AC337),"")</f>
        <v/>
      </c>
      <c r="AE337" s="66" t="str">
        <f>IFERROR(INDEX(po_num,MATCH(332,po_seq,0))&amp;"","")</f>
        <v/>
      </c>
      <c r="AF337" s="66" t="str">
        <f>IF(OR(A337="",p_po=""),"",IF(A337&amp;""=p_po,COUNTIF($A$6:A337,A337),""))</f>
        <v/>
      </c>
      <c r="AG337" s="66" t="str">
        <f>IF(OR(AB337="",A337=""),"",IF(COUNTIFS($A$6:A337,A337,$AB$6:AB337,"&gt;0")=1,1,""))</f>
        <v/>
      </c>
      <c r="AH337" s="70" t="str">
        <f>IF(AB337="","",ROUND(N(W337)*N(J337)*(1-N(K337)),2))</f>
        <v/>
      </c>
      <c r="AI337" s="70" t="str">
        <f>IF(OR(J337="",N(T337)&lt;=0,V337="Oui"),"",ROUND(N(T337)*J337*(1-N(K337)),2))</f>
        <v/>
      </c>
    </row>
    <row r="338">
      <c r="A338" s="63" t="n"/>
      <c r="B338" s="64" t="n"/>
      <c r="C338" s="65" t="n"/>
      <c r="D338" s="66" t="str">
        <f>IF(C338="","",IFERROR(INDEX(sup_name,MATCH($C338,sup_code,0))&amp;"","Fournisseur inconnu"))</f>
        <v/>
      </c>
      <c r="E338" s="63" t="n"/>
      <c r="F338" s="66" t="str">
        <f>IF(E338="","",IFERROR(INDEX(art_des,MATCH($E338,art_ref,0))&amp;"","Article inconnu"))</f>
        <v/>
      </c>
      <c r="G338" s="67" t="str">
        <f>IF(E338="","",IFERROR(INDEX(art_unit,MATCH($E338,art_ref,0))&amp;"",""))</f>
        <v/>
      </c>
      <c r="H338" s="68" t="n"/>
      <c r="I338" s="69" t="n"/>
      <c r="J338" s="70" t="str">
        <f>IF(E338="","",IF(ISNUMBER(I338),I338,IFERROR(IF(ISNUMBER(INDEX(art_price,MATCH($E338,art_ref,0))),INDEX(art_price,MATCH($E338,art_ref,0)),""),"")))</f>
        <v/>
      </c>
      <c r="K338" s="71" t="n"/>
      <c r="L338" s="72" t="n"/>
      <c r="M338" s="72" t="str">
        <f>IF(E338="","",IF(L338&lt;&gt;"",L338,IFERROR(IF(ISNUMBER(INDEX(art_tva,MATCH($E338,art_ref,0))),INDEX(art_tva,MATCH($E338,art_ref,0)),""),"")))</f>
        <v/>
      </c>
      <c r="N338" s="70" t="str">
        <f>IF(OR(E338="",J338=""),"",ROUND(N(H338)*J338*(1-N(K338)),2))</f>
        <v/>
      </c>
      <c r="O338" s="70" t="str">
        <f>IF(OR(N338="",NOT(ISNUMBER(M338))),"",ROUND(N338*M338,2))</f>
        <v/>
      </c>
      <c r="P338" s="70" t="str">
        <f>IF(N338="","",N338+N(O338))</f>
        <v/>
      </c>
      <c r="Q338" s="64" t="n"/>
      <c r="R338" s="73" t="str">
        <f>IF(N(Q338)&gt;0,Q338,IF(OR(N(B338)=0,ISNA(MATCH($C338,sup_code,0))),"",IF(ISNUMBER(INDEX(sup_delay,MATCH($C338,sup_code,0))),B338+INDEX(sup_delay,MATCH($C338,sup_code,0)),"")))</f>
        <v/>
      </c>
      <c r="S338" s="64" t="n"/>
      <c r="T338" s="68" t="n"/>
      <c r="U338" s="64" t="n"/>
      <c r="V338" s="65" t="n"/>
      <c r="W338" s="74" t="str">
        <f>IF(AND(A338="",E338=""),"",IF(V338="Oui",0,MAX(0,ROUND(N(H338)-N(T338),6))))</f>
        <v/>
      </c>
      <c r="X338" s="67" t="str">
        <f>IF(AND(A338="",E338=""),"",IF(V338="Oui","Annulé",IF(AND(N(H338)&gt;0,N(T338)&gt;=N(H338)),"Reçu",IF(N(S338)=0,"Brouillon",IF(AND(ISNUMBER(R338),R338&lt;p_today),"En retard",IF(N(T338)&gt;0,"Partiel","Envoyé"))))))</f>
        <v/>
      </c>
      <c r="Y338" s="75" t="str">
        <f>IF(X338="En retard",p_today-R338,IF(AND(X338="Reçu",ISNUMBER(R338)),MAX(0,N(U338)-R338),""))</f>
        <v/>
      </c>
      <c r="Z338" s="67" t="str">
        <f>IF(AND(A338="",E338=""),"",IF(A338="","N° de bon manquant",IF(N(B338)=0,"Date de commande manquante",IF(C338="","Fournisseur manquant",IF(ISNA(MATCH($C338,sup_code,0)),"Fournisseur inconnu",IF(E338="","Article manquant",IF(ISNA(MATCH($E338,art_ref,0)),"Article inconnu",IF(N(H338)&lt;=0,"Quantité invalide",IF(J338="","Prix manquant",IF(OR(N(K338)&lt;0,N(K338)&gt;=1),"Remise invalide",IF(M338="","TVA manquante",IF(ISNA(MATCH(M338,p_tva,0)),"Taux de TVA inconnu",IF(COUNTIFS(po_num,A338,po_sup,"&lt;&gt;"&amp;C338)&gt;0,"Fournisseur différent sur ce bon",IF(COUNTIFS(po_num,A338,po_date,"&lt;&gt;"&amp;B338)&gt;0,"Date différente sur ce bon",IF(COUNTIF(po_num,A338)&gt;25,"Plus de 25 lignes sur ce bon",IF(R338="","Date de livraison manquante",IF(R338&lt;B338,"Livraison avant la commande",IF(AND(N(T338)&gt;0,N(S338)=0),"Date d'envoi manquante",IF(N(T338)&gt;N(H338),"Reçu plus que commandé",IF(AND(N(T338)&gt;0,N(U338)=0),"Date de réception manquante",IF(AND(N(U338)&gt;0,U338&lt;B338),"Réception avant la commande","OK")))))))))))))))))))))</f>
        <v/>
      </c>
      <c r="AA338" s="66" t="str">
        <f>IF(AND(X338="Reçu",ISNUMBER(R338)),IF(N(U338)&lt;=R338,1,0),"")</f>
        <v/>
      </c>
      <c r="AB338" s="76" t="str">
        <f>IF(OR(X338="Envoyé",X338="Partiel",X338="En retard"),IF(ISNUMBER(R338),R338,100000)+ROW()/100000,"")</f>
        <v/>
      </c>
      <c r="AC338" s="66" t="str">
        <f>IF(A338="","",IF(COUNTIF($A$6:A338,A338)=1,1,""))</f>
        <v/>
      </c>
      <c r="AD338" s="66" t="str">
        <f>IF(AC338=1,COUNT($AC$6:AC338),"")</f>
        <v/>
      </c>
      <c r="AE338" s="66" t="str">
        <f>IFERROR(INDEX(po_num,MATCH(333,po_seq,0))&amp;"","")</f>
        <v/>
      </c>
      <c r="AF338" s="66" t="str">
        <f>IF(OR(A338="",p_po=""),"",IF(A338&amp;""=p_po,COUNTIF($A$6:A338,A338),""))</f>
        <v/>
      </c>
      <c r="AG338" s="66" t="str">
        <f>IF(OR(AB338="",A338=""),"",IF(COUNTIFS($A$6:A338,A338,$AB$6:AB338,"&gt;0")=1,1,""))</f>
        <v/>
      </c>
      <c r="AH338" s="70" t="str">
        <f>IF(AB338="","",ROUND(N(W338)*N(J338)*(1-N(K338)),2))</f>
        <v/>
      </c>
      <c r="AI338" s="70" t="str">
        <f>IF(OR(J338="",N(T338)&lt;=0,V338="Oui"),"",ROUND(N(T338)*J338*(1-N(K338)),2))</f>
        <v/>
      </c>
    </row>
    <row r="339">
      <c r="A339" s="63" t="n"/>
      <c r="B339" s="64" t="n"/>
      <c r="C339" s="65" t="n"/>
      <c r="D339" s="66" t="str">
        <f>IF(C339="","",IFERROR(INDEX(sup_name,MATCH($C339,sup_code,0))&amp;"","Fournisseur inconnu"))</f>
        <v/>
      </c>
      <c r="E339" s="63" t="n"/>
      <c r="F339" s="66" t="str">
        <f>IF(E339="","",IFERROR(INDEX(art_des,MATCH($E339,art_ref,0))&amp;"","Article inconnu"))</f>
        <v/>
      </c>
      <c r="G339" s="67" t="str">
        <f>IF(E339="","",IFERROR(INDEX(art_unit,MATCH($E339,art_ref,0))&amp;"",""))</f>
        <v/>
      </c>
      <c r="H339" s="68" t="n"/>
      <c r="I339" s="69" t="n"/>
      <c r="J339" s="70" t="str">
        <f>IF(E339="","",IF(ISNUMBER(I339),I339,IFERROR(IF(ISNUMBER(INDEX(art_price,MATCH($E339,art_ref,0))),INDEX(art_price,MATCH($E339,art_ref,0)),""),"")))</f>
        <v/>
      </c>
      <c r="K339" s="71" t="n"/>
      <c r="L339" s="72" t="n"/>
      <c r="M339" s="72" t="str">
        <f>IF(E339="","",IF(L339&lt;&gt;"",L339,IFERROR(IF(ISNUMBER(INDEX(art_tva,MATCH($E339,art_ref,0))),INDEX(art_tva,MATCH($E339,art_ref,0)),""),"")))</f>
        <v/>
      </c>
      <c r="N339" s="70" t="str">
        <f>IF(OR(E339="",J339=""),"",ROUND(N(H339)*J339*(1-N(K339)),2))</f>
        <v/>
      </c>
      <c r="O339" s="70" t="str">
        <f>IF(OR(N339="",NOT(ISNUMBER(M339))),"",ROUND(N339*M339,2))</f>
        <v/>
      </c>
      <c r="P339" s="70" t="str">
        <f>IF(N339="","",N339+N(O339))</f>
        <v/>
      </c>
      <c r="Q339" s="64" t="n"/>
      <c r="R339" s="73" t="str">
        <f>IF(N(Q339)&gt;0,Q339,IF(OR(N(B339)=0,ISNA(MATCH($C339,sup_code,0))),"",IF(ISNUMBER(INDEX(sup_delay,MATCH($C339,sup_code,0))),B339+INDEX(sup_delay,MATCH($C339,sup_code,0)),"")))</f>
        <v/>
      </c>
      <c r="S339" s="64" t="n"/>
      <c r="T339" s="68" t="n"/>
      <c r="U339" s="64" t="n"/>
      <c r="V339" s="65" t="n"/>
      <c r="W339" s="74" t="str">
        <f>IF(AND(A339="",E339=""),"",IF(V339="Oui",0,MAX(0,ROUND(N(H339)-N(T339),6))))</f>
        <v/>
      </c>
      <c r="X339" s="67" t="str">
        <f>IF(AND(A339="",E339=""),"",IF(V339="Oui","Annulé",IF(AND(N(H339)&gt;0,N(T339)&gt;=N(H339)),"Reçu",IF(N(S339)=0,"Brouillon",IF(AND(ISNUMBER(R339),R339&lt;p_today),"En retard",IF(N(T339)&gt;0,"Partiel","Envoyé"))))))</f>
        <v/>
      </c>
      <c r="Y339" s="75" t="str">
        <f>IF(X339="En retard",p_today-R339,IF(AND(X339="Reçu",ISNUMBER(R339)),MAX(0,N(U339)-R339),""))</f>
        <v/>
      </c>
      <c r="Z339" s="67" t="str">
        <f>IF(AND(A339="",E339=""),"",IF(A339="","N° de bon manquant",IF(N(B339)=0,"Date de commande manquante",IF(C339="","Fournisseur manquant",IF(ISNA(MATCH($C339,sup_code,0)),"Fournisseur inconnu",IF(E339="","Article manquant",IF(ISNA(MATCH($E339,art_ref,0)),"Article inconnu",IF(N(H339)&lt;=0,"Quantité invalide",IF(J339="","Prix manquant",IF(OR(N(K339)&lt;0,N(K339)&gt;=1),"Remise invalide",IF(M339="","TVA manquante",IF(ISNA(MATCH(M339,p_tva,0)),"Taux de TVA inconnu",IF(COUNTIFS(po_num,A339,po_sup,"&lt;&gt;"&amp;C339)&gt;0,"Fournisseur différent sur ce bon",IF(COUNTIFS(po_num,A339,po_date,"&lt;&gt;"&amp;B339)&gt;0,"Date différente sur ce bon",IF(COUNTIF(po_num,A339)&gt;25,"Plus de 25 lignes sur ce bon",IF(R339="","Date de livraison manquante",IF(R339&lt;B339,"Livraison avant la commande",IF(AND(N(T339)&gt;0,N(S339)=0),"Date d'envoi manquante",IF(N(T339)&gt;N(H339),"Reçu plus que commandé",IF(AND(N(T339)&gt;0,N(U339)=0),"Date de réception manquante",IF(AND(N(U339)&gt;0,U339&lt;B339),"Réception avant la commande","OK")))))))))))))))))))))</f>
        <v/>
      </c>
      <c r="AA339" s="66" t="str">
        <f>IF(AND(X339="Reçu",ISNUMBER(R339)),IF(N(U339)&lt;=R339,1,0),"")</f>
        <v/>
      </c>
      <c r="AB339" s="76" t="str">
        <f>IF(OR(X339="Envoyé",X339="Partiel",X339="En retard"),IF(ISNUMBER(R339),R339,100000)+ROW()/100000,"")</f>
        <v/>
      </c>
      <c r="AC339" s="66" t="str">
        <f>IF(A339="","",IF(COUNTIF($A$6:A339,A339)=1,1,""))</f>
        <v/>
      </c>
      <c r="AD339" s="66" t="str">
        <f>IF(AC339=1,COUNT($AC$6:AC339),"")</f>
        <v/>
      </c>
      <c r="AE339" s="66" t="str">
        <f>IFERROR(INDEX(po_num,MATCH(334,po_seq,0))&amp;"","")</f>
        <v/>
      </c>
      <c r="AF339" s="66" t="str">
        <f>IF(OR(A339="",p_po=""),"",IF(A339&amp;""=p_po,COUNTIF($A$6:A339,A339),""))</f>
        <v/>
      </c>
      <c r="AG339" s="66" t="str">
        <f>IF(OR(AB339="",A339=""),"",IF(COUNTIFS($A$6:A339,A339,$AB$6:AB339,"&gt;0")=1,1,""))</f>
        <v/>
      </c>
      <c r="AH339" s="70" t="str">
        <f>IF(AB339="","",ROUND(N(W339)*N(J339)*(1-N(K339)),2))</f>
        <v/>
      </c>
      <c r="AI339" s="70" t="str">
        <f>IF(OR(J339="",N(T339)&lt;=0,V339="Oui"),"",ROUND(N(T339)*J339*(1-N(K339)),2))</f>
        <v/>
      </c>
    </row>
    <row r="340">
      <c r="A340" s="63" t="n"/>
      <c r="B340" s="64" t="n"/>
      <c r="C340" s="65" t="n"/>
      <c r="D340" s="66" t="str">
        <f>IF(C340="","",IFERROR(INDEX(sup_name,MATCH($C340,sup_code,0))&amp;"","Fournisseur inconnu"))</f>
        <v/>
      </c>
      <c r="E340" s="63" t="n"/>
      <c r="F340" s="66" t="str">
        <f>IF(E340="","",IFERROR(INDEX(art_des,MATCH($E340,art_ref,0))&amp;"","Article inconnu"))</f>
        <v/>
      </c>
      <c r="G340" s="67" t="str">
        <f>IF(E340="","",IFERROR(INDEX(art_unit,MATCH($E340,art_ref,0))&amp;"",""))</f>
        <v/>
      </c>
      <c r="H340" s="68" t="n"/>
      <c r="I340" s="69" t="n"/>
      <c r="J340" s="70" t="str">
        <f>IF(E340="","",IF(ISNUMBER(I340),I340,IFERROR(IF(ISNUMBER(INDEX(art_price,MATCH($E340,art_ref,0))),INDEX(art_price,MATCH($E340,art_ref,0)),""),"")))</f>
        <v/>
      </c>
      <c r="K340" s="71" t="n"/>
      <c r="L340" s="72" t="n"/>
      <c r="M340" s="72" t="str">
        <f>IF(E340="","",IF(L340&lt;&gt;"",L340,IFERROR(IF(ISNUMBER(INDEX(art_tva,MATCH($E340,art_ref,0))),INDEX(art_tva,MATCH($E340,art_ref,0)),""),"")))</f>
        <v/>
      </c>
      <c r="N340" s="70" t="str">
        <f>IF(OR(E340="",J340=""),"",ROUND(N(H340)*J340*(1-N(K340)),2))</f>
        <v/>
      </c>
      <c r="O340" s="70" t="str">
        <f>IF(OR(N340="",NOT(ISNUMBER(M340))),"",ROUND(N340*M340,2))</f>
        <v/>
      </c>
      <c r="P340" s="70" t="str">
        <f>IF(N340="","",N340+N(O340))</f>
        <v/>
      </c>
      <c r="Q340" s="64" t="n"/>
      <c r="R340" s="73" t="str">
        <f>IF(N(Q340)&gt;0,Q340,IF(OR(N(B340)=0,ISNA(MATCH($C340,sup_code,0))),"",IF(ISNUMBER(INDEX(sup_delay,MATCH($C340,sup_code,0))),B340+INDEX(sup_delay,MATCH($C340,sup_code,0)),"")))</f>
        <v/>
      </c>
      <c r="S340" s="64" t="n"/>
      <c r="T340" s="68" t="n"/>
      <c r="U340" s="64" t="n"/>
      <c r="V340" s="65" t="n"/>
      <c r="W340" s="74" t="str">
        <f>IF(AND(A340="",E340=""),"",IF(V340="Oui",0,MAX(0,ROUND(N(H340)-N(T340),6))))</f>
        <v/>
      </c>
      <c r="X340" s="67" t="str">
        <f>IF(AND(A340="",E340=""),"",IF(V340="Oui","Annulé",IF(AND(N(H340)&gt;0,N(T340)&gt;=N(H340)),"Reçu",IF(N(S340)=0,"Brouillon",IF(AND(ISNUMBER(R340),R340&lt;p_today),"En retard",IF(N(T340)&gt;0,"Partiel","Envoyé"))))))</f>
        <v/>
      </c>
      <c r="Y340" s="75" t="str">
        <f>IF(X340="En retard",p_today-R340,IF(AND(X340="Reçu",ISNUMBER(R340)),MAX(0,N(U340)-R340),""))</f>
        <v/>
      </c>
      <c r="Z340" s="67" t="str">
        <f>IF(AND(A340="",E340=""),"",IF(A340="","N° de bon manquant",IF(N(B340)=0,"Date de commande manquante",IF(C340="","Fournisseur manquant",IF(ISNA(MATCH($C340,sup_code,0)),"Fournisseur inconnu",IF(E340="","Article manquant",IF(ISNA(MATCH($E340,art_ref,0)),"Article inconnu",IF(N(H340)&lt;=0,"Quantité invalide",IF(J340="","Prix manquant",IF(OR(N(K340)&lt;0,N(K340)&gt;=1),"Remise invalide",IF(M340="","TVA manquante",IF(ISNA(MATCH(M340,p_tva,0)),"Taux de TVA inconnu",IF(COUNTIFS(po_num,A340,po_sup,"&lt;&gt;"&amp;C340)&gt;0,"Fournisseur différent sur ce bon",IF(COUNTIFS(po_num,A340,po_date,"&lt;&gt;"&amp;B340)&gt;0,"Date différente sur ce bon",IF(COUNTIF(po_num,A340)&gt;25,"Plus de 25 lignes sur ce bon",IF(R340="","Date de livraison manquante",IF(R340&lt;B340,"Livraison avant la commande",IF(AND(N(T340)&gt;0,N(S340)=0),"Date d'envoi manquante",IF(N(T340)&gt;N(H340),"Reçu plus que commandé",IF(AND(N(T340)&gt;0,N(U340)=0),"Date de réception manquante",IF(AND(N(U340)&gt;0,U340&lt;B340),"Réception avant la commande","OK")))))))))))))))))))))</f>
        <v/>
      </c>
      <c r="AA340" s="66" t="str">
        <f>IF(AND(X340="Reçu",ISNUMBER(R340)),IF(N(U340)&lt;=R340,1,0),"")</f>
        <v/>
      </c>
      <c r="AB340" s="76" t="str">
        <f>IF(OR(X340="Envoyé",X340="Partiel",X340="En retard"),IF(ISNUMBER(R340),R340,100000)+ROW()/100000,"")</f>
        <v/>
      </c>
      <c r="AC340" s="66" t="str">
        <f>IF(A340="","",IF(COUNTIF($A$6:A340,A340)=1,1,""))</f>
        <v/>
      </c>
      <c r="AD340" s="66" t="str">
        <f>IF(AC340=1,COUNT($AC$6:AC340),"")</f>
        <v/>
      </c>
      <c r="AE340" s="66" t="str">
        <f>IFERROR(INDEX(po_num,MATCH(335,po_seq,0))&amp;"","")</f>
        <v/>
      </c>
      <c r="AF340" s="66" t="str">
        <f>IF(OR(A340="",p_po=""),"",IF(A340&amp;""=p_po,COUNTIF($A$6:A340,A340),""))</f>
        <v/>
      </c>
      <c r="AG340" s="66" t="str">
        <f>IF(OR(AB340="",A340=""),"",IF(COUNTIFS($A$6:A340,A340,$AB$6:AB340,"&gt;0")=1,1,""))</f>
        <v/>
      </c>
      <c r="AH340" s="70" t="str">
        <f>IF(AB340="","",ROUND(N(W340)*N(J340)*(1-N(K340)),2))</f>
        <v/>
      </c>
      <c r="AI340" s="70" t="str">
        <f>IF(OR(J340="",N(T340)&lt;=0,V340="Oui"),"",ROUND(N(T340)*J340*(1-N(K340)),2))</f>
        <v/>
      </c>
    </row>
    <row r="341">
      <c r="A341" s="63" t="n"/>
      <c r="B341" s="64" t="n"/>
      <c r="C341" s="65" t="n"/>
      <c r="D341" s="66" t="str">
        <f>IF(C341="","",IFERROR(INDEX(sup_name,MATCH($C341,sup_code,0))&amp;"","Fournisseur inconnu"))</f>
        <v/>
      </c>
      <c r="E341" s="63" t="n"/>
      <c r="F341" s="66" t="str">
        <f>IF(E341="","",IFERROR(INDEX(art_des,MATCH($E341,art_ref,0))&amp;"","Article inconnu"))</f>
        <v/>
      </c>
      <c r="G341" s="67" t="str">
        <f>IF(E341="","",IFERROR(INDEX(art_unit,MATCH($E341,art_ref,0))&amp;"",""))</f>
        <v/>
      </c>
      <c r="H341" s="68" t="n"/>
      <c r="I341" s="69" t="n"/>
      <c r="J341" s="70" t="str">
        <f>IF(E341="","",IF(ISNUMBER(I341),I341,IFERROR(IF(ISNUMBER(INDEX(art_price,MATCH($E341,art_ref,0))),INDEX(art_price,MATCH($E341,art_ref,0)),""),"")))</f>
        <v/>
      </c>
      <c r="K341" s="71" t="n"/>
      <c r="L341" s="72" t="n"/>
      <c r="M341" s="72" t="str">
        <f>IF(E341="","",IF(L341&lt;&gt;"",L341,IFERROR(IF(ISNUMBER(INDEX(art_tva,MATCH($E341,art_ref,0))),INDEX(art_tva,MATCH($E341,art_ref,0)),""),"")))</f>
        <v/>
      </c>
      <c r="N341" s="70" t="str">
        <f>IF(OR(E341="",J341=""),"",ROUND(N(H341)*J341*(1-N(K341)),2))</f>
        <v/>
      </c>
      <c r="O341" s="70" t="str">
        <f>IF(OR(N341="",NOT(ISNUMBER(M341))),"",ROUND(N341*M341,2))</f>
        <v/>
      </c>
      <c r="P341" s="70" t="str">
        <f>IF(N341="","",N341+N(O341))</f>
        <v/>
      </c>
      <c r="Q341" s="64" t="n"/>
      <c r="R341" s="73" t="str">
        <f>IF(N(Q341)&gt;0,Q341,IF(OR(N(B341)=0,ISNA(MATCH($C341,sup_code,0))),"",IF(ISNUMBER(INDEX(sup_delay,MATCH($C341,sup_code,0))),B341+INDEX(sup_delay,MATCH($C341,sup_code,0)),"")))</f>
        <v/>
      </c>
      <c r="S341" s="64" t="n"/>
      <c r="T341" s="68" t="n"/>
      <c r="U341" s="64" t="n"/>
      <c r="V341" s="65" t="n"/>
      <c r="W341" s="74" t="str">
        <f>IF(AND(A341="",E341=""),"",IF(V341="Oui",0,MAX(0,ROUND(N(H341)-N(T341),6))))</f>
        <v/>
      </c>
      <c r="X341" s="67" t="str">
        <f>IF(AND(A341="",E341=""),"",IF(V341="Oui","Annulé",IF(AND(N(H341)&gt;0,N(T341)&gt;=N(H341)),"Reçu",IF(N(S341)=0,"Brouillon",IF(AND(ISNUMBER(R341),R341&lt;p_today),"En retard",IF(N(T341)&gt;0,"Partiel","Envoyé"))))))</f>
        <v/>
      </c>
      <c r="Y341" s="75" t="str">
        <f>IF(X341="En retard",p_today-R341,IF(AND(X341="Reçu",ISNUMBER(R341)),MAX(0,N(U341)-R341),""))</f>
        <v/>
      </c>
      <c r="Z341" s="67" t="str">
        <f>IF(AND(A341="",E341=""),"",IF(A341="","N° de bon manquant",IF(N(B341)=0,"Date de commande manquante",IF(C341="","Fournisseur manquant",IF(ISNA(MATCH($C341,sup_code,0)),"Fournisseur inconnu",IF(E341="","Article manquant",IF(ISNA(MATCH($E341,art_ref,0)),"Article inconnu",IF(N(H341)&lt;=0,"Quantité invalide",IF(J341="","Prix manquant",IF(OR(N(K341)&lt;0,N(K341)&gt;=1),"Remise invalide",IF(M341="","TVA manquante",IF(ISNA(MATCH(M341,p_tva,0)),"Taux de TVA inconnu",IF(COUNTIFS(po_num,A341,po_sup,"&lt;&gt;"&amp;C341)&gt;0,"Fournisseur différent sur ce bon",IF(COUNTIFS(po_num,A341,po_date,"&lt;&gt;"&amp;B341)&gt;0,"Date différente sur ce bon",IF(COUNTIF(po_num,A341)&gt;25,"Plus de 25 lignes sur ce bon",IF(R341="","Date de livraison manquante",IF(R341&lt;B341,"Livraison avant la commande",IF(AND(N(T341)&gt;0,N(S341)=0),"Date d'envoi manquante",IF(N(T341)&gt;N(H341),"Reçu plus que commandé",IF(AND(N(T341)&gt;0,N(U341)=0),"Date de réception manquante",IF(AND(N(U341)&gt;0,U341&lt;B341),"Réception avant la commande","OK")))))))))))))))))))))</f>
        <v/>
      </c>
      <c r="AA341" s="66" t="str">
        <f>IF(AND(X341="Reçu",ISNUMBER(R341)),IF(N(U341)&lt;=R341,1,0),"")</f>
        <v/>
      </c>
      <c r="AB341" s="76" t="str">
        <f>IF(OR(X341="Envoyé",X341="Partiel",X341="En retard"),IF(ISNUMBER(R341),R341,100000)+ROW()/100000,"")</f>
        <v/>
      </c>
      <c r="AC341" s="66" t="str">
        <f>IF(A341="","",IF(COUNTIF($A$6:A341,A341)=1,1,""))</f>
        <v/>
      </c>
      <c r="AD341" s="66" t="str">
        <f>IF(AC341=1,COUNT($AC$6:AC341),"")</f>
        <v/>
      </c>
      <c r="AE341" s="66" t="str">
        <f>IFERROR(INDEX(po_num,MATCH(336,po_seq,0))&amp;"","")</f>
        <v/>
      </c>
      <c r="AF341" s="66" t="str">
        <f>IF(OR(A341="",p_po=""),"",IF(A341&amp;""=p_po,COUNTIF($A$6:A341,A341),""))</f>
        <v/>
      </c>
      <c r="AG341" s="66" t="str">
        <f>IF(OR(AB341="",A341=""),"",IF(COUNTIFS($A$6:A341,A341,$AB$6:AB341,"&gt;0")=1,1,""))</f>
        <v/>
      </c>
      <c r="AH341" s="70" t="str">
        <f>IF(AB341="","",ROUND(N(W341)*N(J341)*(1-N(K341)),2))</f>
        <v/>
      </c>
      <c r="AI341" s="70" t="str">
        <f>IF(OR(J341="",N(T341)&lt;=0,V341="Oui"),"",ROUND(N(T341)*J341*(1-N(K341)),2))</f>
        <v/>
      </c>
    </row>
    <row r="342">
      <c r="A342" s="63" t="n"/>
      <c r="B342" s="64" t="n"/>
      <c r="C342" s="65" t="n"/>
      <c r="D342" s="66" t="str">
        <f>IF(C342="","",IFERROR(INDEX(sup_name,MATCH($C342,sup_code,0))&amp;"","Fournisseur inconnu"))</f>
        <v/>
      </c>
      <c r="E342" s="63" t="n"/>
      <c r="F342" s="66" t="str">
        <f>IF(E342="","",IFERROR(INDEX(art_des,MATCH($E342,art_ref,0))&amp;"","Article inconnu"))</f>
        <v/>
      </c>
      <c r="G342" s="67" t="str">
        <f>IF(E342="","",IFERROR(INDEX(art_unit,MATCH($E342,art_ref,0))&amp;"",""))</f>
        <v/>
      </c>
      <c r="H342" s="68" t="n"/>
      <c r="I342" s="69" t="n"/>
      <c r="J342" s="70" t="str">
        <f>IF(E342="","",IF(ISNUMBER(I342),I342,IFERROR(IF(ISNUMBER(INDEX(art_price,MATCH($E342,art_ref,0))),INDEX(art_price,MATCH($E342,art_ref,0)),""),"")))</f>
        <v/>
      </c>
      <c r="K342" s="71" t="n"/>
      <c r="L342" s="72" t="n"/>
      <c r="M342" s="72" t="str">
        <f>IF(E342="","",IF(L342&lt;&gt;"",L342,IFERROR(IF(ISNUMBER(INDEX(art_tva,MATCH($E342,art_ref,0))),INDEX(art_tva,MATCH($E342,art_ref,0)),""),"")))</f>
        <v/>
      </c>
      <c r="N342" s="70" t="str">
        <f>IF(OR(E342="",J342=""),"",ROUND(N(H342)*J342*(1-N(K342)),2))</f>
        <v/>
      </c>
      <c r="O342" s="70" t="str">
        <f>IF(OR(N342="",NOT(ISNUMBER(M342))),"",ROUND(N342*M342,2))</f>
        <v/>
      </c>
      <c r="P342" s="70" t="str">
        <f>IF(N342="","",N342+N(O342))</f>
        <v/>
      </c>
      <c r="Q342" s="64" t="n"/>
      <c r="R342" s="73" t="str">
        <f>IF(N(Q342)&gt;0,Q342,IF(OR(N(B342)=0,ISNA(MATCH($C342,sup_code,0))),"",IF(ISNUMBER(INDEX(sup_delay,MATCH($C342,sup_code,0))),B342+INDEX(sup_delay,MATCH($C342,sup_code,0)),"")))</f>
        <v/>
      </c>
      <c r="S342" s="64" t="n"/>
      <c r="T342" s="68" t="n"/>
      <c r="U342" s="64" t="n"/>
      <c r="V342" s="65" t="n"/>
      <c r="W342" s="74" t="str">
        <f>IF(AND(A342="",E342=""),"",IF(V342="Oui",0,MAX(0,ROUND(N(H342)-N(T342),6))))</f>
        <v/>
      </c>
      <c r="X342" s="67" t="str">
        <f>IF(AND(A342="",E342=""),"",IF(V342="Oui","Annulé",IF(AND(N(H342)&gt;0,N(T342)&gt;=N(H342)),"Reçu",IF(N(S342)=0,"Brouillon",IF(AND(ISNUMBER(R342),R342&lt;p_today),"En retard",IF(N(T342)&gt;0,"Partiel","Envoyé"))))))</f>
        <v/>
      </c>
      <c r="Y342" s="75" t="str">
        <f>IF(X342="En retard",p_today-R342,IF(AND(X342="Reçu",ISNUMBER(R342)),MAX(0,N(U342)-R342),""))</f>
        <v/>
      </c>
      <c r="Z342" s="67" t="str">
        <f>IF(AND(A342="",E342=""),"",IF(A342="","N° de bon manquant",IF(N(B342)=0,"Date de commande manquante",IF(C342="","Fournisseur manquant",IF(ISNA(MATCH($C342,sup_code,0)),"Fournisseur inconnu",IF(E342="","Article manquant",IF(ISNA(MATCH($E342,art_ref,0)),"Article inconnu",IF(N(H342)&lt;=0,"Quantité invalide",IF(J342="","Prix manquant",IF(OR(N(K342)&lt;0,N(K342)&gt;=1),"Remise invalide",IF(M342="","TVA manquante",IF(ISNA(MATCH(M342,p_tva,0)),"Taux de TVA inconnu",IF(COUNTIFS(po_num,A342,po_sup,"&lt;&gt;"&amp;C342)&gt;0,"Fournisseur différent sur ce bon",IF(COUNTIFS(po_num,A342,po_date,"&lt;&gt;"&amp;B342)&gt;0,"Date différente sur ce bon",IF(COUNTIF(po_num,A342)&gt;25,"Plus de 25 lignes sur ce bon",IF(R342="","Date de livraison manquante",IF(R342&lt;B342,"Livraison avant la commande",IF(AND(N(T342)&gt;0,N(S342)=0),"Date d'envoi manquante",IF(N(T342)&gt;N(H342),"Reçu plus que commandé",IF(AND(N(T342)&gt;0,N(U342)=0),"Date de réception manquante",IF(AND(N(U342)&gt;0,U342&lt;B342),"Réception avant la commande","OK")))))))))))))))))))))</f>
        <v/>
      </c>
      <c r="AA342" s="66" t="str">
        <f>IF(AND(X342="Reçu",ISNUMBER(R342)),IF(N(U342)&lt;=R342,1,0),"")</f>
        <v/>
      </c>
      <c r="AB342" s="76" t="str">
        <f>IF(OR(X342="Envoyé",X342="Partiel",X342="En retard"),IF(ISNUMBER(R342),R342,100000)+ROW()/100000,"")</f>
        <v/>
      </c>
      <c r="AC342" s="66" t="str">
        <f>IF(A342="","",IF(COUNTIF($A$6:A342,A342)=1,1,""))</f>
        <v/>
      </c>
      <c r="AD342" s="66" t="str">
        <f>IF(AC342=1,COUNT($AC$6:AC342),"")</f>
        <v/>
      </c>
      <c r="AE342" s="66" t="str">
        <f>IFERROR(INDEX(po_num,MATCH(337,po_seq,0))&amp;"","")</f>
        <v/>
      </c>
      <c r="AF342" s="66" t="str">
        <f>IF(OR(A342="",p_po=""),"",IF(A342&amp;""=p_po,COUNTIF($A$6:A342,A342),""))</f>
        <v/>
      </c>
      <c r="AG342" s="66" t="str">
        <f>IF(OR(AB342="",A342=""),"",IF(COUNTIFS($A$6:A342,A342,$AB$6:AB342,"&gt;0")=1,1,""))</f>
        <v/>
      </c>
      <c r="AH342" s="70" t="str">
        <f>IF(AB342="","",ROUND(N(W342)*N(J342)*(1-N(K342)),2))</f>
        <v/>
      </c>
      <c r="AI342" s="70" t="str">
        <f>IF(OR(J342="",N(T342)&lt;=0,V342="Oui"),"",ROUND(N(T342)*J342*(1-N(K342)),2))</f>
        <v/>
      </c>
    </row>
    <row r="343">
      <c r="A343" s="63" t="n"/>
      <c r="B343" s="64" t="n"/>
      <c r="C343" s="65" t="n"/>
      <c r="D343" s="66" t="str">
        <f>IF(C343="","",IFERROR(INDEX(sup_name,MATCH($C343,sup_code,0))&amp;"","Fournisseur inconnu"))</f>
        <v/>
      </c>
      <c r="E343" s="63" t="n"/>
      <c r="F343" s="66" t="str">
        <f>IF(E343="","",IFERROR(INDEX(art_des,MATCH($E343,art_ref,0))&amp;"","Article inconnu"))</f>
        <v/>
      </c>
      <c r="G343" s="67" t="str">
        <f>IF(E343="","",IFERROR(INDEX(art_unit,MATCH($E343,art_ref,0))&amp;"",""))</f>
        <v/>
      </c>
      <c r="H343" s="68" t="n"/>
      <c r="I343" s="69" t="n"/>
      <c r="J343" s="70" t="str">
        <f>IF(E343="","",IF(ISNUMBER(I343),I343,IFERROR(IF(ISNUMBER(INDEX(art_price,MATCH($E343,art_ref,0))),INDEX(art_price,MATCH($E343,art_ref,0)),""),"")))</f>
        <v/>
      </c>
      <c r="K343" s="71" t="n"/>
      <c r="L343" s="72" t="n"/>
      <c r="M343" s="72" t="str">
        <f>IF(E343="","",IF(L343&lt;&gt;"",L343,IFERROR(IF(ISNUMBER(INDEX(art_tva,MATCH($E343,art_ref,0))),INDEX(art_tva,MATCH($E343,art_ref,0)),""),"")))</f>
        <v/>
      </c>
      <c r="N343" s="70" t="str">
        <f>IF(OR(E343="",J343=""),"",ROUND(N(H343)*J343*(1-N(K343)),2))</f>
        <v/>
      </c>
      <c r="O343" s="70" t="str">
        <f>IF(OR(N343="",NOT(ISNUMBER(M343))),"",ROUND(N343*M343,2))</f>
        <v/>
      </c>
      <c r="P343" s="70" t="str">
        <f>IF(N343="","",N343+N(O343))</f>
        <v/>
      </c>
      <c r="Q343" s="64" t="n"/>
      <c r="R343" s="73" t="str">
        <f>IF(N(Q343)&gt;0,Q343,IF(OR(N(B343)=0,ISNA(MATCH($C343,sup_code,0))),"",IF(ISNUMBER(INDEX(sup_delay,MATCH($C343,sup_code,0))),B343+INDEX(sup_delay,MATCH($C343,sup_code,0)),"")))</f>
        <v/>
      </c>
      <c r="S343" s="64" t="n"/>
      <c r="T343" s="68" t="n"/>
      <c r="U343" s="64" t="n"/>
      <c r="V343" s="65" t="n"/>
      <c r="W343" s="74" t="str">
        <f>IF(AND(A343="",E343=""),"",IF(V343="Oui",0,MAX(0,ROUND(N(H343)-N(T343),6))))</f>
        <v/>
      </c>
      <c r="X343" s="67" t="str">
        <f>IF(AND(A343="",E343=""),"",IF(V343="Oui","Annulé",IF(AND(N(H343)&gt;0,N(T343)&gt;=N(H343)),"Reçu",IF(N(S343)=0,"Brouillon",IF(AND(ISNUMBER(R343),R343&lt;p_today),"En retard",IF(N(T343)&gt;0,"Partiel","Envoyé"))))))</f>
        <v/>
      </c>
      <c r="Y343" s="75" t="str">
        <f>IF(X343="En retard",p_today-R343,IF(AND(X343="Reçu",ISNUMBER(R343)),MAX(0,N(U343)-R343),""))</f>
        <v/>
      </c>
      <c r="Z343" s="67" t="str">
        <f>IF(AND(A343="",E343=""),"",IF(A343="","N° de bon manquant",IF(N(B343)=0,"Date de commande manquante",IF(C343="","Fournisseur manquant",IF(ISNA(MATCH($C343,sup_code,0)),"Fournisseur inconnu",IF(E343="","Article manquant",IF(ISNA(MATCH($E343,art_ref,0)),"Article inconnu",IF(N(H343)&lt;=0,"Quantité invalide",IF(J343="","Prix manquant",IF(OR(N(K343)&lt;0,N(K343)&gt;=1),"Remise invalide",IF(M343="","TVA manquante",IF(ISNA(MATCH(M343,p_tva,0)),"Taux de TVA inconnu",IF(COUNTIFS(po_num,A343,po_sup,"&lt;&gt;"&amp;C343)&gt;0,"Fournisseur différent sur ce bon",IF(COUNTIFS(po_num,A343,po_date,"&lt;&gt;"&amp;B343)&gt;0,"Date différente sur ce bon",IF(COUNTIF(po_num,A343)&gt;25,"Plus de 25 lignes sur ce bon",IF(R343="","Date de livraison manquante",IF(R343&lt;B343,"Livraison avant la commande",IF(AND(N(T343)&gt;0,N(S343)=0),"Date d'envoi manquante",IF(N(T343)&gt;N(H343),"Reçu plus que commandé",IF(AND(N(T343)&gt;0,N(U343)=0),"Date de réception manquante",IF(AND(N(U343)&gt;0,U343&lt;B343),"Réception avant la commande","OK")))))))))))))))))))))</f>
        <v/>
      </c>
      <c r="AA343" s="66" t="str">
        <f>IF(AND(X343="Reçu",ISNUMBER(R343)),IF(N(U343)&lt;=R343,1,0),"")</f>
        <v/>
      </c>
      <c r="AB343" s="76" t="str">
        <f>IF(OR(X343="Envoyé",X343="Partiel",X343="En retard"),IF(ISNUMBER(R343),R343,100000)+ROW()/100000,"")</f>
        <v/>
      </c>
      <c r="AC343" s="66" t="str">
        <f>IF(A343="","",IF(COUNTIF($A$6:A343,A343)=1,1,""))</f>
        <v/>
      </c>
      <c r="AD343" s="66" t="str">
        <f>IF(AC343=1,COUNT($AC$6:AC343),"")</f>
        <v/>
      </c>
      <c r="AE343" s="66" t="str">
        <f>IFERROR(INDEX(po_num,MATCH(338,po_seq,0))&amp;"","")</f>
        <v/>
      </c>
      <c r="AF343" s="66" t="str">
        <f>IF(OR(A343="",p_po=""),"",IF(A343&amp;""=p_po,COUNTIF($A$6:A343,A343),""))</f>
        <v/>
      </c>
      <c r="AG343" s="66" t="str">
        <f>IF(OR(AB343="",A343=""),"",IF(COUNTIFS($A$6:A343,A343,$AB$6:AB343,"&gt;0")=1,1,""))</f>
        <v/>
      </c>
      <c r="AH343" s="70" t="str">
        <f>IF(AB343="","",ROUND(N(W343)*N(J343)*(1-N(K343)),2))</f>
        <v/>
      </c>
      <c r="AI343" s="70" t="str">
        <f>IF(OR(J343="",N(T343)&lt;=0,V343="Oui"),"",ROUND(N(T343)*J343*(1-N(K343)),2))</f>
        <v/>
      </c>
    </row>
    <row r="344">
      <c r="A344" s="63" t="n"/>
      <c r="B344" s="64" t="n"/>
      <c r="C344" s="65" t="n"/>
      <c r="D344" s="66" t="str">
        <f>IF(C344="","",IFERROR(INDEX(sup_name,MATCH($C344,sup_code,0))&amp;"","Fournisseur inconnu"))</f>
        <v/>
      </c>
      <c r="E344" s="63" t="n"/>
      <c r="F344" s="66" t="str">
        <f>IF(E344="","",IFERROR(INDEX(art_des,MATCH($E344,art_ref,0))&amp;"","Article inconnu"))</f>
        <v/>
      </c>
      <c r="G344" s="67" t="str">
        <f>IF(E344="","",IFERROR(INDEX(art_unit,MATCH($E344,art_ref,0))&amp;"",""))</f>
        <v/>
      </c>
      <c r="H344" s="68" t="n"/>
      <c r="I344" s="69" t="n"/>
      <c r="J344" s="70" t="str">
        <f>IF(E344="","",IF(ISNUMBER(I344),I344,IFERROR(IF(ISNUMBER(INDEX(art_price,MATCH($E344,art_ref,0))),INDEX(art_price,MATCH($E344,art_ref,0)),""),"")))</f>
        <v/>
      </c>
      <c r="K344" s="71" t="n"/>
      <c r="L344" s="72" t="n"/>
      <c r="M344" s="72" t="str">
        <f>IF(E344="","",IF(L344&lt;&gt;"",L344,IFERROR(IF(ISNUMBER(INDEX(art_tva,MATCH($E344,art_ref,0))),INDEX(art_tva,MATCH($E344,art_ref,0)),""),"")))</f>
        <v/>
      </c>
      <c r="N344" s="70" t="str">
        <f>IF(OR(E344="",J344=""),"",ROUND(N(H344)*J344*(1-N(K344)),2))</f>
        <v/>
      </c>
      <c r="O344" s="70" t="str">
        <f>IF(OR(N344="",NOT(ISNUMBER(M344))),"",ROUND(N344*M344,2))</f>
        <v/>
      </c>
      <c r="P344" s="70" t="str">
        <f>IF(N344="","",N344+N(O344))</f>
        <v/>
      </c>
      <c r="Q344" s="64" t="n"/>
      <c r="R344" s="73" t="str">
        <f>IF(N(Q344)&gt;0,Q344,IF(OR(N(B344)=0,ISNA(MATCH($C344,sup_code,0))),"",IF(ISNUMBER(INDEX(sup_delay,MATCH($C344,sup_code,0))),B344+INDEX(sup_delay,MATCH($C344,sup_code,0)),"")))</f>
        <v/>
      </c>
      <c r="S344" s="64" t="n"/>
      <c r="T344" s="68" t="n"/>
      <c r="U344" s="64" t="n"/>
      <c r="V344" s="65" t="n"/>
      <c r="W344" s="74" t="str">
        <f>IF(AND(A344="",E344=""),"",IF(V344="Oui",0,MAX(0,ROUND(N(H344)-N(T344),6))))</f>
        <v/>
      </c>
      <c r="X344" s="67" t="str">
        <f>IF(AND(A344="",E344=""),"",IF(V344="Oui","Annulé",IF(AND(N(H344)&gt;0,N(T344)&gt;=N(H344)),"Reçu",IF(N(S344)=0,"Brouillon",IF(AND(ISNUMBER(R344),R344&lt;p_today),"En retard",IF(N(T344)&gt;0,"Partiel","Envoyé"))))))</f>
        <v/>
      </c>
      <c r="Y344" s="75" t="str">
        <f>IF(X344="En retard",p_today-R344,IF(AND(X344="Reçu",ISNUMBER(R344)),MAX(0,N(U344)-R344),""))</f>
        <v/>
      </c>
      <c r="Z344" s="67" t="str">
        <f>IF(AND(A344="",E344=""),"",IF(A344="","N° de bon manquant",IF(N(B344)=0,"Date de commande manquante",IF(C344="","Fournisseur manquant",IF(ISNA(MATCH($C344,sup_code,0)),"Fournisseur inconnu",IF(E344="","Article manquant",IF(ISNA(MATCH($E344,art_ref,0)),"Article inconnu",IF(N(H344)&lt;=0,"Quantité invalide",IF(J344="","Prix manquant",IF(OR(N(K344)&lt;0,N(K344)&gt;=1),"Remise invalide",IF(M344="","TVA manquante",IF(ISNA(MATCH(M344,p_tva,0)),"Taux de TVA inconnu",IF(COUNTIFS(po_num,A344,po_sup,"&lt;&gt;"&amp;C344)&gt;0,"Fournisseur différent sur ce bon",IF(COUNTIFS(po_num,A344,po_date,"&lt;&gt;"&amp;B344)&gt;0,"Date différente sur ce bon",IF(COUNTIF(po_num,A344)&gt;25,"Plus de 25 lignes sur ce bon",IF(R344="","Date de livraison manquante",IF(R344&lt;B344,"Livraison avant la commande",IF(AND(N(T344)&gt;0,N(S344)=0),"Date d'envoi manquante",IF(N(T344)&gt;N(H344),"Reçu plus que commandé",IF(AND(N(T344)&gt;0,N(U344)=0),"Date de réception manquante",IF(AND(N(U344)&gt;0,U344&lt;B344),"Réception avant la commande","OK")))))))))))))))))))))</f>
        <v/>
      </c>
      <c r="AA344" s="66" t="str">
        <f>IF(AND(X344="Reçu",ISNUMBER(R344)),IF(N(U344)&lt;=R344,1,0),"")</f>
        <v/>
      </c>
      <c r="AB344" s="76" t="str">
        <f>IF(OR(X344="Envoyé",X344="Partiel",X344="En retard"),IF(ISNUMBER(R344),R344,100000)+ROW()/100000,"")</f>
        <v/>
      </c>
      <c r="AC344" s="66" t="str">
        <f>IF(A344="","",IF(COUNTIF($A$6:A344,A344)=1,1,""))</f>
        <v/>
      </c>
      <c r="AD344" s="66" t="str">
        <f>IF(AC344=1,COUNT($AC$6:AC344),"")</f>
        <v/>
      </c>
      <c r="AE344" s="66" t="str">
        <f>IFERROR(INDEX(po_num,MATCH(339,po_seq,0))&amp;"","")</f>
        <v/>
      </c>
      <c r="AF344" s="66" t="str">
        <f>IF(OR(A344="",p_po=""),"",IF(A344&amp;""=p_po,COUNTIF($A$6:A344,A344),""))</f>
        <v/>
      </c>
      <c r="AG344" s="66" t="str">
        <f>IF(OR(AB344="",A344=""),"",IF(COUNTIFS($A$6:A344,A344,$AB$6:AB344,"&gt;0")=1,1,""))</f>
        <v/>
      </c>
      <c r="AH344" s="70" t="str">
        <f>IF(AB344="","",ROUND(N(W344)*N(J344)*(1-N(K344)),2))</f>
        <v/>
      </c>
      <c r="AI344" s="70" t="str">
        <f>IF(OR(J344="",N(T344)&lt;=0,V344="Oui"),"",ROUND(N(T344)*J344*(1-N(K344)),2))</f>
        <v/>
      </c>
    </row>
    <row r="345">
      <c r="A345" s="63" t="n"/>
      <c r="B345" s="64" t="n"/>
      <c r="C345" s="65" t="n"/>
      <c r="D345" s="66" t="str">
        <f>IF(C345="","",IFERROR(INDEX(sup_name,MATCH($C345,sup_code,0))&amp;"","Fournisseur inconnu"))</f>
        <v/>
      </c>
      <c r="E345" s="63" t="n"/>
      <c r="F345" s="66" t="str">
        <f>IF(E345="","",IFERROR(INDEX(art_des,MATCH($E345,art_ref,0))&amp;"","Article inconnu"))</f>
        <v/>
      </c>
      <c r="G345" s="67" t="str">
        <f>IF(E345="","",IFERROR(INDEX(art_unit,MATCH($E345,art_ref,0))&amp;"",""))</f>
        <v/>
      </c>
      <c r="H345" s="68" t="n"/>
      <c r="I345" s="69" t="n"/>
      <c r="J345" s="70" t="str">
        <f>IF(E345="","",IF(ISNUMBER(I345),I345,IFERROR(IF(ISNUMBER(INDEX(art_price,MATCH($E345,art_ref,0))),INDEX(art_price,MATCH($E345,art_ref,0)),""),"")))</f>
        <v/>
      </c>
      <c r="K345" s="71" t="n"/>
      <c r="L345" s="72" t="n"/>
      <c r="M345" s="72" t="str">
        <f>IF(E345="","",IF(L345&lt;&gt;"",L345,IFERROR(IF(ISNUMBER(INDEX(art_tva,MATCH($E345,art_ref,0))),INDEX(art_tva,MATCH($E345,art_ref,0)),""),"")))</f>
        <v/>
      </c>
      <c r="N345" s="70" t="str">
        <f>IF(OR(E345="",J345=""),"",ROUND(N(H345)*J345*(1-N(K345)),2))</f>
        <v/>
      </c>
      <c r="O345" s="70" t="str">
        <f>IF(OR(N345="",NOT(ISNUMBER(M345))),"",ROUND(N345*M345,2))</f>
        <v/>
      </c>
      <c r="P345" s="70" t="str">
        <f>IF(N345="","",N345+N(O345))</f>
        <v/>
      </c>
      <c r="Q345" s="64" t="n"/>
      <c r="R345" s="73" t="str">
        <f>IF(N(Q345)&gt;0,Q345,IF(OR(N(B345)=0,ISNA(MATCH($C345,sup_code,0))),"",IF(ISNUMBER(INDEX(sup_delay,MATCH($C345,sup_code,0))),B345+INDEX(sup_delay,MATCH($C345,sup_code,0)),"")))</f>
        <v/>
      </c>
      <c r="S345" s="64" t="n"/>
      <c r="T345" s="68" t="n"/>
      <c r="U345" s="64" t="n"/>
      <c r="V345" s="65" t="n"/>
      <c r="W345" s="74" t="str">
        <f>IF(AND(A345="",E345=""),"",IF(V345="Oui",0,MAX(0,ROUND(N(H345)-N(T345),6))))</f>
        <v/>
      </c>
      <c r="X345" s="67" t="str">
        <f>IF(AND(A345="",E345=""),"",IF(V345="Oui","Annulé",IF(AND(N(H345)&gt;0,N(T345)&gt;=N(H345)),"Reçu",IF(N(S345)=0,"Brouillon",IF(AND(ISNUMBER(R345),R345&lt;p_today),"En retard",IF(N(T345)&gt;0,"Partiel","Envoyé"))))))</f>
        <v/>
      </c>
      <c r="Y345" s="75" t="str">
        <f>IF(X345="En retard",p_today-R345,IF(AND(X345="Reçu",ISNUMBER(R345)),MAX(0,N(U345)-R345),""))</f>
        <v/>
      </c>
      <c r="Z345" s="67" t="str">
        <f>IF(AND(A345="",E345=""),"",IF(A345="","N° de bon manquant",IF(N(B345)=0,"Date de commande manquante",IF(C345="","Fournisseur manquant",IF(ISNA(MATCH($C345,sup_code,0)),"Fournisseur inconnu",IF(E345="","Article manquant",IF(ISNA(MATCH($E345,art_ref,0)),"Article inconnu",IF(N(H345)&lt;=0,"Quantité invalide",IF(J345="","Prix manquant",IF(OR(N(K345)&lt;0,N(K345)&gt;=1),"Remise invalide",IF(M345="","TVA manquante",IF(ISNA(MATCH(M345,p_tva,0)),"Taux de TVA inconnu",IF(COUNTIFS(po_num,A345,po_sup,"&lt;&gt;"&amp;C345)&gt;0,"Fournisseur différent sur ce bon",IF(COUNTIFS(po_num,A345,po_date,"&lt;&gt;"&amp;B345)&gt;0,"Date différente sur ce bon",IF(COUNTIF(po_num,A345)&gt;25,"Plus de 25 lignes sur ce bon",IF(R345="","Date de livraison manquante",IF(R345&lt;B345,"Livraison avant la commande",IF(AND(N(T345)&gt;0,N(S345)=0),"Date d'envoi manquante",IF(N(T345)&gt;N(H345),"Reçu plus que commandé",IF(AND(N(T345)&gt;0,N(U345)=0),"Date de réception manquante",IF(AND(N(U345)&gt;0,U345&lt;B345),"Réception avant la commande","OK")))))))))))))))))))))</f>
        <v/>
      </c>
      <c r="AA345" s="66" t="str">
        <f>IF(AND(X345="Reçu",ISNUMBER(R345)),IF(N(U345)&lt;=R345,1,0),"")</f>
        <v/>
      </c>
      <c r="AB345" s="76" t="str">
        <f>IF(OR(X345="Envoyé",X345="Partiel",X345="En retard"),IF(ISNUMBER(R345),R345,100000)+ROW()/100000,"")</f>
        <v/>
      </c>
      <c r="AC345" s="66" t="str">
        <f>IF(A345="","",IF(COUNTIF($A$6:A345,A345)=1,1,""))</f>
        <v/>
      </c>
      <c r="AD345" s="66" t="str">
        <f>IF(AC345=1,COUNT($AC$6:AC345),"")</f>
        <v/>
      </c>
      <c r="AE345" s="66" t="str">
        <f>IFERROR(INDEX(po_num,MATCH(340,po_seq,0))&amp;"","")</f>
        <v/>
      </c>
      <c r="AF345" s="66" t="str">
        <f>IF(OR(A345="",p_po=""),"",IF(A345&amp;""=p_po,COUNTIF($A$6:A345,A345),""))</f>
        <v/>
      </c>
      <c r="AG345" s="66" t="str">
        <f>IF(OR(AB345="",A345=""),"",IF(COUNTIFS($A$6:A345,A345,$AB$6:AB345,"&gt;0")=1,1,""))</f>
        <v/>
      </c>
      <c r="AH345" s="70" t="str">
        <f>IF(AB345="","",ROUND(N(W345)*N(J345)*(1-N(K345)),2))</f>
        <v/>
      </c>
      <c r="AI345" s="70" t="str">
        <f>IF(OR(J345="",N(T345)&lt;=0,V345="Oui"),"",ROUND(N(T345)*J345*(1-N(K345)),2))</f>
        <v/>
      </c>
    </row>
    <row r="346">
      <c r="A346" s="63" t="n"/>
      <c r="B346" s="64" t="n"/>
      <c r="C346" s="65" t="n"/>
      <c r="D346" s="66" t="str">
        <f>IF(C346="","",IFERROR(INDEX(sup_name,MATCH($C346,sup_code,0))&amp;"","Fournisseur inconnu"))</f>
        <v/>
      </c>
      <c r="E346" s="63" t="n"/>
      <c r="F346" s="66" t="str">
        <f>IF(E346="","",IFERROR(INDEX(art_des,MATCH($E346,art_ref,0))&amp;"","Article inconnu"))</f>
        <v/>
      </c>
      <c r="G346" s="67" t="str">
        <f>IF(E346="","",IFERROR(INDEX(art_unit,MATCH($E346,art_ref,0))&amp;"",""))</f>
        <v/>
      </c>
      <c r="H346" s="68" t="n"/>
      <c r="I346" s="69" t="n"/>
      <c r="J346" s="70" t="str">
        <f>IF(E346="","",IF(ISNUMBER(I346),I346,IFERROR(IF(ISNUMBER(INDEX(art_price,MATCH($E346,art_ref,0))),INDEX(art_price,MATCH($E346,art_ref,0)),""),"")))</f>
        <v/>
      </c>
      <c r="K346" s="71" t="n"/>
      <c r="L346" s="72" t="n"/>
      <c r="M346" s="72" t="str">
        <f>IF(E346="","",IF(L346&lt;&gt;"",L346,IFERROR(IF(ISNUMBER(INDEX(art_tva,MATCH($E346,art_ref,0))),INDEX(art_tva,MATCH($E346,art_ref,0)),""),"")))</f>
        <v/>
      </c>
      <c r="N346" s="70" t="str">
        <f>IF(OR(E346="",J346=""),"",ROUND(N(H346)*J346*(1-N(K346)),2))</f>
        <v/>
      </c>
      <c r="O346" s="70" t="str">
        <f>IF(OR(N346="",NOT(ISNUMBER(M346))),"",ROUND(N346*M346,2))</f>
        <v/>
      </c>
      <c r="P346" s="70" t="str">
        <f>IF(N346="","",N346+N(O346))</f>
        <v/>
      </c>
      <c r="Q346" s="64" t="n"/>
      <c r="R346" s="73" t="str">
        <f>IF(N(Q346)&gt;0,Q346,IF(OR(N(B346)=0,ISNA(MATCH($C346,sup_code,0))),"",IF(ISNUMBER(INDEX(sup_delay,MATCH($C346,sup_code,0))),B346+INDEX(sup_delay,MATCH($C346,sup_code,0)),"")))</f>
        <v/>
      </c>
      <c r="S346" s="64" t="n"/>
      <c r="T346" s="68" t="n"/>
      <c r="U346" s="64" t="n"/>
      <c r="V346" s="65" t="n"/>
      <c r="W346" s="74" t="str">
        <f>IF(AND(A346="",E346=""),"",IF(V346="Oui",0,MAX(0,ROUND(N(H346)-N(T346),6))))</f>
        <v/>
      </c>
      <c r="X346" s="67" t="str">
        <f>IF(AND(A346="",E346=""),"",IF(V346="Oui","Annulé",IF(AND(N(H346)&gt;0,N(T346)&gt;=N(H346)),"Reçu",IF(N(S346)=0,"Brouillon",IF(AND(ISNUMBER(R346),R346&lt;p_today),"En retard",IF(N(T346)&gt;0,"Partiel","Envoyé"))))))</f>
        <v/>
      </c>
      <c r="Y346" s="75" t="str">
        <f>IF(X346="En retard",p_today-R346,IF(AND(X346="Reçu",ISNUMBER(R346)),MAX(0,N(U346)-R346),""))</f>
        <v/>
      </c>
      <c r="Z346" s="67" t="str">
        <f>IF(AND(A346="",E346=""),"",IF(A346="","N° de bon manquant",IF(N(B346)=0,"Date de commande manquante",IF(C346="","Fournisseur manquant",IF(ISNA(MATCH($C346,sup_code,0)),"Fournisseur inconnu",IF(E346="","Article manquant",IF(ISNA(MATCH($E346,art_ref,0)),"Article inconnu",IF(N(H346)&lt;=0,"Quantité invalide",IF(J346="","Prix manquant",IF(OR(N(K346)&lt;0,N(K346)&gt;=1),"Remise invalide",IF(M346="","TVA manquante",IF(ISNA(MATCH(M346,p_tva,0)),"Taux de TVA inconnu",IF(COUNTIFS(po_num,A346,po_sup,"&lt;&gt;"&amp;C346)&gt;0,"Fournisseur différent sur ce bon",IF(COUNTIFS(po_num,A346,po_date,"&lt;&gt;"&amp;B346)&gt;0,"Date différente sur ce bon",IF(COUNTIF(po_num,A346)&gt;25,"Plus de 25 lignes sur ce bon",IF(R346="","Date de livraison manquante",IF(R346&lt;B346,"Livraison avant la commande",IF(AND(N(T346)&gt;0,N(S346)=0),"Date d'envoi manquante",IF(N(T346)&gt;N(H346),"Reçu plus que commandé",IF(AND(N(T346)&gt;0,N(U346)=0),"Date de réception manquante",IF(AND(N(U346)&gt;0,U346&lt;B346),"Réception avant la commande","OK")))))))))))))))))))))</f>
        <v/>
      </c>
      <c r="AA346" s="66" t="str">
        <f>IF(AND(X346="Reçu",ISNUMBER(R346)),IF(N(U346)&lt;=R346,1,0),"")</f>
        <v/>
      </c>
      <c r="AB346" s="76" t="str">
        <f>IF(OR(X346="Envoyé",X346="Partiel",X346="En retard"),IF(ISNUMBER(R346),R346,100000)+ROW()/100000,"")</f>
        <v/>
      </c>
      <c r="AC346" s="66" t="str">
        <f>IF(A346="","",IF(COUNTIF($A$6:A346,A346)=1,1,""))</f>
        <v/>
      </c>
      <c r="AD346" s="66" t="str">
        <f>IF(AC346=1,COUNT($AC$6:AC346),"")</f>
        <v/>
      </c>
      <c r="AE346" s="66" t="str">
        <f>IFERROR(INDEX(po_num,MATCH(341,po_seq,0))&amp;"","")</f>
        <v/>
      </c>
      <c r="AF346" s="66" t="str">
        <f>IF(OR(A346="",p_po=""),"",IF(A346&amp;""=p_po,COUNTIF($A$6:A346,A346),""))</f>
        <v/>
      </c>
      <c r="AG346" s="66" t="str">
        <f>IF(OR(AB346="",A346=""),"",IF(COUNTIFS($A$6:A346,A346,$AB$6:AB346,"&gt;0")=1,1,""))</f>
        <v/>
      </c>
      <c r="AH346" s="70" t="str">
        <f>IF(AB346="","",ROUND(N(W346)*N(J346)*(1-N(K346)),2))</f>
        <v/>
      </c>
      <c r="AI346" s="70" t="str">
        <f>IF(OR(J346="",N(T346)&lt;=0,V346="Oui"),"",ROUND(N(T346)*J346*(1-N(K346)),2))</f>
        <v/>
      </c>
    </row>
    <row r="347">
      <c r="A347" s="63" t="n"/>
      <c r="B347" s="64" t="n"/>
      <c r="C347" s="65" t="n"/>
      <c r="D347" s="66" t="str">
        <f>IF(C347="","",IFERROR(INDEX(sup_name,MATCH($C347,sup_code,0))&amp;"","Fournisseur inconnu"))</f>
        <v/>
      </c>
      <c r="E347" s="63" t="n"/>
      <c r="F347" s="66" t="str">
        <f>IF(E347="","",IFERROR(INDEX(art_des,MATCH($E347,art_ref,0))&amp;"","Article inconnu"))</f>
        <v/>
      </c>
      <c r="G347" s="67" t="str">
        <f>IF(E347="","",IFERROR(INDEX(art_unit,MATCH($E347,art_ref,0))&amp;"",""))</f>
        <v/>
      </c>
      <c r="H347" s="68" t="n"/>
      <c r="I347" s="69" t="n"/>
      <c r="J347" s="70" t="str">
        <f>IF(E347="","",IF(ISNUMBER(I347),I347,IFERROR(IF(ISNUMBER(INDEX(art_price,MATCH($E347,art_ref,0))),INDEX(art_price,MATCH($E347,art_ref,0)),""),"")))</f>
        <v/>
      </c>
      <c r="K347" s="71" t="n"/>
      <c r="L347" s="72" t="n"/>
      <c r="M347" s="72" t="str">
        <f>IF(E347="","",IF(L347&lt;&gt;"",L347,IFERROR(IF(ISNUMBER(INDEX(art_tva,MATCH($E347,art_ref,0))),INDEX(art_tva,MATCH($E347,art_ref,0)),""),"")))</f>
        <v/>
      </c>
      <c r="N347" s="70" t="str">
        <f>IF(OR(E347="",J347=""),"",ROUND(N(H347)*J347*(1-N(K347)),2))</f>
        <v/>
      </c>
      <c r="O347" s="70" t="str">
        <f>IF(OR(N347="",NOT(ISNUMBER(M347))),"",ROUND(N347*M347,2))</f>
        <v/>
      </c>
      <c r="P347" s="70" t="str">
        <f>IF(N347="","",N347+N(O347))</f>
        <v/>
      </c>
      <c r="Q347" s="64" t="n"/>
      <c r="R347" s="73" t="str">
        <f>IF(N(Q347)&gt;0,Q347,IF(OR(N(B347)=0,ISNA(MATCH($C347,sup_code,0))),"",IF(ISNUMBER(INDEX(sup_delay,MATCH($C347,sup_code,0))),B347+INDEX(sup_delay,MATCH($C347,sup_code,0)),"")))</f>
        <v/>
      </c>
      <c r="S347" s="64" t="n"/>
      <c r="T347" s="68" t="n"/>
      <c r="U347" s="64" t="n"/>
      <c r="V347" s="65" t="n"/>
      <c r="W347" s="74" t="str">
        <f>IF(AND(A347="",E347=""),"",IF(V347="Oui",0,MAX(0,ROUND(N(H347)-N(T347),6))))</f>
        <v/>
      </c>
      <c r="X347" s="67" t="str">
        <f>IF(AND(A347="",E347=""),"",IF(V347="Oui","Annulé",IF(AND(N(H347)&gt;0,N(T347)&gt;=N(H347)),"Reçu",IF(N(S347)=0,"Brouillon",IF(AND(ISNUMBER(R347),R347&lt;p_today),"En retard",IF(N(T347)&gt;0,"Partiel","Envoyé"))))))</f>
        <v/>
      </c>
      <c r="Y347" s="75" t="str">
        <f>IF(X347="En retard",p_today-R347,IF(AND(X347="Reçu",ISNUMBER(R347)),MAX(0,N(U347)-R347),""))</f>
        <v/>
      </c>
      <c r="Z347" s="67" t="str">
        <f>IF(AND(A347="",E347=""),"",IF(A347="","N° de bon manquant",IF(N(B347)=0,"Date de commande manquante",IF(C347="","Fournisseur manquant",IF(ISNA(MATCH($C347,sup_code,0)),"Fournisseur inconnu",IF(E347="","Article manquant",IF(ISNA(MATCH($E347,art_ref,0)),"Article inconnu",IF(N(H347)&lt;=0,"Quantité invalide",IF(J347="","Prix manquant",IF(OR(N(K347)&lt;0,N(K347)&gt;=1),"Remise invalide",IF(M347="","TVA manquante",IF(ISNA(MATCH(M347,p_tva,0)),"Taux de TVA inconnu",IF(COUNTIFS(po_num,A347,po_sup,"&lt;&gt;"&amp;C347)&gt;0,"Fournisseur différent sur ce bon",IF(COUNTIFS(po_num,A347,po_date,"&lt;&gt;"&amp;B347)&gt;0,"Date différente sur ce bon",IF(COUNTIF(po_num,A347)&gt;25,"Plus de 25 lignes sur ce bon",IF(R347="","Date de livraison manquante",IF(R347&lt;B347,"Livraison avant la commande",IF(AND(N(T347)&gt;0,N(S347)=0),"Date d'envoi manquante",IF(N(T347)&gt;N(H347),"Reçu plus que commandé",IF(AND(N(T347)&gt;0,N(U347)=0),"Date de réception manquante",IF(AND(N(U347)&gt;0,U347&lt;B347),"Réception avant la commande","OK")))))))))))))))))))))</f>
        <v/>
      </c>
      <c r="AA347" s="66" t="str">
        <f>IF(AND(X347="Reçu",ISNUMBER(R347)),IF(N(U347)&lt;=R347,1,0),"")</f>
        <v/>
      </c>
      <c r="AB347" s="76" t="str">
        <f>IF(OR(X347="Envoyé",X347="Partiel",X347="En retard"),IF(ISNUMBER(R347),R347,100000)+ROW()/100000,"")</f>
        <v/>
      </c>
      <c r="AC347" s="66" t="str">
        <f>IF(A347="","",IF(COUNTIF($A$6:A347,A347)=1,1,""))</f>
        <v/>
      </c>
      <c r="AD347" s="66" t="str">
        <f>IF(AC347=1,COUNT($AC$6:AC347),"")</f>
        <v/>
      </c>
      <c r="AE347" s="66" t="str">
        <f>IFERROR(INDEX(po_num,MATCH(342,po_seq,0))&amp;"","")</f>
        <v/>
      </c>
      <c r="AF347" s="66" t="str">
        <f>IF(OR(A347="",p_po=""),"",IF(A347&amp;""=p_po,COUNTIF($A$6:A347,A347),""))</f>
        <v/>
      </c>
      <c r="AG347" s="66" t="str">
        <f>IF(OR(AB347="",A347=""),"",IF(COUNTIFS($A$6:A347,A347,$AB$6:AB347,"&gt;0")=1,1,""))</f>
        <v/>
      </c>
      <c r="AH347" s="70" t="str">
        <f>IF(AB347="","",ROUND(N(W347)*N(J347)*(1-N(K347)),2))</f>
        <v/>
      </c>
      <c r="AI347" s="70" t="str">
        <f>IF(OR(J347="",N(T347)&lt;=0,V347="Oui"),"",ROUND(N(T347)*J347*(1-N(K347)),2))</f>
        <v/>
      </c>
    </row>
    <row r="348">
      <c r="A348" s="63" t="n"/>
      <c r="B348" s="64" t="n"/>
      <c r="C348" s="65" t="n"/>
      <c r="D348" s="66" t="str">
        <f>IF(C348="","",IFERROR(INDEX(sup_name,MATCH($C348,sup_code,0))&amp;"","Fournisseur inconnu"))</f>
        <v/>
      </c>
      <c r="E348" s="63" t="n"/>
      <c r="F348" s="66" t="str">
        <f>IF(E348="","",IFERROR(INDEX(art_des,MATCH($E348,art_ref,0))&amp;"","Article inconnu"))</f>
        <v/>
      </c>
      <c r="G348" s="67" t="str">
        <f>IF(E348="","",IFERROR(INDEX(art_unit,MATCH($E348,art_ref,0))&amp;"",""))</f>
        <v/>
      </c>
      <c r="H348" s="68" t="n"/>
      <c r="I348" s="69" t="n"/>
      <c r="J348" s="70" t="str">
        <f>IF(E348="","",IF(ISNUMBER(I348),I348,IFERROR(IF(ISNUMBER(INDEX(art_price,MATCH($E348,art_ref,0))),INDEX(art_price,MATCH($E348,art_ref,0)),""),"")))</f>
        <v/>
      </c>
      <c r="K348" s="71" t="n"/>
      <c r="L348" s="72" t="n"/>
      <c r="M348" s="72" t="str">
        <f>IF(E348="","",IF(L348&lt;&gt;"",L348,IFERROR(IF(ISNUMBER(INDEX(art_tva,MATCH($E348,art_ref,0))),INDEX(art_tva,MATCH($E348,art_ref,0)),""),"")))</f>
        <v/>
      </c>
      <c r="N348" s="70" t="str">
        <f>IF(OR(E348="",J348=""),"",ROUND(N(H348)*J348*(1-N(K348)),2))</f>
        <v/>
      </c>
      <c r="O348" s="70" t="str">
        <f>IF(OR(N348="",NOT(ISNUMBER(M348))),"",ROUND(N348*M348,2))</f>
        <v/>
      </c>
      <c r="P348" s="70" t="str">
        <f>IF(N348="","",N348+N(O348))</f>
        <v/>
      </c>
      <c r="Q348" s="64" t="n"/>
      <c r="R348" s="73" t="str">
        <f>IF(N(Q348)&gt;0,Q348,IF(OR(N(B348)=0,ISNA(MATCH($C348,sup_code,0))),"",IF(ISNUMBER(INDEX(sup_delay,MATCH($C348,sup_code,0))),B348+INDEX(sup_delay,MATCH($C348,sup_code,0)),"")))</f>
        <v/>
      </c>
      <c r="S348" s="64" t="n"/>
      <c r="T348" s="68" t="n"/>
      <c r="U348" s="64" t="n"/>
      <c r="V348" s="65" t="n"/>
      <c r="W348" s="74" t="str">
        <f>IF(AND(A348="",E348=""),"",IF(V348="Oui",0,MAX(0,ROUND(N(H348)-N(T348),6))))</f>
        <v/>
      </c>
      <c r="X348" s="67" t="str">
        <f>IF(AND(A348="",E348=""),"",IF(V348="Oui","Annulé",IF(AND(N(H348)&gt;0,N(T348)&gt;=N(H348)),"Reçu",IF(N(S348)=0,"Brouillon",IF(AND(ISNUMBER(R348),R348&lt;p_today),"En retard",IF(N(T348)&gt;0,"Partiel","Envoyé"))))))</f>
        <v/>
      </c>
      <c r="Y348" s="75" t="str">
        <f>IF(X348="En retard",p_today-R348,IF(AND(X348="Reçu",ISNUMBER(R348)),MAX(0,N(U348)-R348),""))</f>
        <v/>
      </c>
      <c r="Z348" s="67" t="str">
        <f>IF(AND(A348="",E348=""),"",IF(A348="","N° de bon manquant",IF(N(B348)=0,"Date de commande manquante",IF(C348="","Fournisseur manquant",IF(ISNA(MATCH($C348,sup_code,0)),"Fournisseur inconnu",IF(E348="","Article manquant",IF(ISNA(MATCH($E348,art_ref,0)),"Article inconnu",IF(N(H348)&lt;=0,"Quantité invalide",IF(J348="","Prix manquant",IF(OR(N(K348)&lt;0,N(K348)&gt;=1),"Remise invalide",IF(M348="","TVA manquante",IF(ISNA(MATCH(M348,p_tva,0)),"Taux de TVA inconnu",IF(COUNTIFS(po_num,A348,po_sup,"&lt;&gt;"&amp;C348)&gt;0,"Fournisseur différent sur ce bon",IF(COUNTIFS(po_num,A348,po_date,"&lt;&gt;"&amp;B348)&gt;0,"Date différente sur ce bon",IF(COUNTIF(po_num,A348)&gt;25,"Plus de 25 lignes sur ce bon",IF(R348="","Date de livraison manquante",IF(R348&lt;B348,"Livraison avant la commande",IF(AND(N(T348)&gt;0,N(S348)=0),"Date d'envoi manquante",IF(N(T348)&gt;N(H348),"Reçu plus que commandé",IF(AND(N(T348)&gt;0,N(U348)=0),"Date de réception manquante",IF(AND(N(U348)&gt;0,U348&lt;B348),"Réception avant la commande","OK")))))))))))))))))))))</f>
        <v/>
      </c>
      <c r="AA348" s="66" t="str">
        <f>IF(AND(X348="Reçu",ISNUMBER(R348)),IF(N(U348)&lt;=R348,1,0),"")</f>
        <v/>
      </c>
      <c r="AB348" s="76" t="str">
        <f>IF(OR(X348="Envoyé",X348="Partiel",X348="En retard"),IF(ISNUMBER(R348),R348,100000)+ROW()/100000,"")</f>
        <v/>
      </c>
      <c r="AC348" s="66" t="str">
        <f>IF(A348="","",IF(COUNTIF($A$6:A348,A348)=1,1,""))</f>
        <v/>
      </c>
      <c r="AD348" s="66" t="str">
        <f>IF(AC348=1,COUNT($AC$6:AC348),"")</f>
        <v/>
      </c>
      <c r="AE348" s="66" t="str">
        <f>IFERROR(INDEX(po_num,MATCH(343,po_seq,0))&amp;"","")</f>
        <v/>
      </c>
      <c r="AF348" s="66" t="str">
        <f>IF(OR(A348="",p_po=""),"",IF(A348&amp;""=p_po,COUNTIF($A$6:A348,A348),""))</f>
        <v/>
      </c>
      <c r="AG348" s="66" t="str">
        <f>IF(OR(AB348="",A348=""),"",IF(COUNTIFS($A$6:A348,A348,$AB$6:AB348,"&gt;0")=1,1,""))</f>
        <v/>
      </c>
      <c r="AH348" s="70" t="str">
        <f>IF(AB348="","",ROUND(N(W348)*N(J348)*(1-N(K348)),2))</f>
        <v/>
      </c>
      <c r="AI348" s="70" t="str">
        <f>IF(OR(J348="",N(T348)&lt;=0,V348="Oui"),"",ROUND(N(T348)*J348*(1-N(K348)),2))</f>
        <v/>
      </c>
    </row>
    <row r="349">
      <c r="A349" s="63" t="n"/>
      <c r="B349" s="64" t="n"/>
      <c r="C349" s="65" t="n"/>
      <c r="D349" s="66" t="str">
        <f>IF(C349="","",IFERROR(INDEX(sup_name,MATCH($C349,sup_code,0))&amp;"","Fournisseur inconnu"))</f>
        <v/>
      </c>
      <c r="E349" s="63" t="n"/>
      <c r="F349" s="66" t="str">
        <f>IF(E349="","",IFERROR(INDEX(art_des,MATCH($E349,art_ref,0))&amp;"","Article inconnu"))</f>
        <v/>
      </c>
      <c r="G349" s="67" t="str">
        <f>IF(E349="","",IFERROR(INDEX(art_unit,MATCH($E349,art_ref,0))&amp;"",""))</f>
        <v/>
      </c>
      <c r="H349" s="68" t="n"/>
      <c r="I349" s="69" t="n"/>
      <c r="J349" s="70" t="str">
        <f>IF(E349="","",IF(ISNUMBER(I349),I349,IFERROR(IF(ISNUMBER(INDEX(art_price,MATCH($E349,art_ref,0))),INDEX(art_price,MATCH($E349,art_ref,0)),""),"")))</f>
        <v/>
      </c>
      <c r="K349" s="71" t="n"/>
      <c r="L349" s="72" t="n"/>
      <c r="M349" s="72" t="str">
        <f>IF(E349="","",IF(L349&lt;&gt;"",L349,IFERROR(IF(ISNUMBER(INDEX(art_tva,MATCH($E349,art_ref,0))),INDEX(art_tva,MATCH($E349,art_ref,0)),""),"")))</f>
        <v/>
      </c>
      <c r="N349" s="70" t="str">
        <f>IF(OR(E349="",J349=""),"",ROUND(N(H349)*J349*(1-N(K349)),2))</f>
        <v/>
      </c>
      <c r="O349" s="70" t="str">
        <f>IF(OR(N349="",NOT(ISNUMBER(M349))),"",ROUND(N349*M349,2))</f>
        <v/>
      </c>
      <c r="P349" s="70" t="str">
        <f>IF(N349="","",N349+N(O349))</f>
        <v/>
      </c>
      <c r="Q349" s="64" t="n"/>
      <c r="R349" s="73" t="str">
        <f>IF(N(Q349)&gt;0,Q349,IF(OR(N(B349)=0,ISNA(MATCH($C349,sup_code,0))),"",IF(ISNUMBER(INDEX(sup_delay,MATCH($C349,sup_code,0))),B349+INDEX(sup_delay,MATCH($C349,sup_code,0)),"")))</f>
        <v/>
      </c>
      <c r="S349" s="64" t="n"/>
      <c r="T349" s="68" t="n"/>
      <c r="U349" s="64" t="n"/>
      <c r="V349" s="65" t="n"/>
      <c r="W349" s="74" t="str">
        <f>IF(AND(A349="",E349=""),"",IF(V349="Oui",0,MAX(0,ROUND(N(H349)-N(T349),6))))</f>
        <v/>
      </c>
      <c r="X349" s="67" t="str">
        <f>IF(AND(A349="",E349=""),"",IF(V349="Oui","Annulé",IF(AND(N(H349)&gt;0,N(T349)&gt;=N(H349)),"Reçu",IF(N(S349)=0,"Brouillon",IF(AND(ISNUMBER(R349),R349&lt;p_today),"En retard",IF(N(T349)&gt;0,"Partiel","Envoyé"))))))</f>
        <v/>
      </c>
      <c r="Y349" s="75" t="str">
        <f>IF(X349="En retard",p_today-R349,IF(AND(X349="Reçu",ISNUMBER(R349)),MAX(0,N(U349)-R349),""))</f>
        <v/>
      </c>
      <c r="Z349" s="67" t="str">
        <f>IF(AND(A349="",E349=""),"",IF(A349="","N° de bon manquant",IF(N(B349)=0,"Date de commande manquante",IF(C349="","Fournisseur manquant",IF(ISNA(MATCH($C349,sup_code,0)),"Fournisseur inconnu",IF(E349="","Article manquant",IF(ISNA(MATCH($E349,art_ref,0)),"Article inconnu",IF(N(H349)&lt;=0,"Quantité invalide",IF(J349="","Prix manquant",IF(OR(N(K349)&lt;0,N(K349)&gt;=1),"Remise invalide",IF(M349="","TVA manquante",IF(ISNA(MATCH(M349,p_tva,0)),"Taux de TVA inconnu",IF(COUNTIFS(po_num,A349,po_sup,"&lt;&gt;"&amp;C349)&gt;0,"Fournisseur différent sur ce bon",IF(COUNTIFS(po_num,A349,po_date,"&lt;&gt;"&amp;B349)&gt;0,"Date différente sur ce bon",IF(COUNTIF(po_num,A349)&gt;25,"Plus de 25 lignes sur ce bon",IF(R349="","Date de livraison manquante",IF(R349&lt;B349,"Livraison avant la commande",IF(AND(N(T349)&gt;0,N(S349)=0),"Date d'envoi manquante",IF(N(T349)&gt;N(H349),"Reçu plus que commandé",IF(AND(N(T349)&gt;0,N(U349)=0),"Date de réception manquante",IF(AND(N(U349)&gt;0,U349&lt;B349),"Réception avant la commande","OK")))))))))))))))))))))</f>
        <v/>
      </c>
      <c r="AA349" s="66" t="str">
        <f>IF(AND(X349="Reçu",ISNUMBER(R349)),IF(N(U349)&lt;=R349,1,0),"")</f>
        <v/>
      </c>
      <c r="AB349" s="76" t="str">
        <f>IF(OR(X349="Envoyé",X349="Partiel",X349="En retard"),IF(ISNUMBER(R349),R349,100000)+ROW()/100000,"")</f>
        <v/>
      </c>
      <c r="AC349" s="66" t="str">
        <f>IF(A349="","",IF(COUNTIF($A$6:A349,A349)=1,1,""))</f>
        <v/>
      </c>
      <c r="AD349" s="66" t="str">
        <f>IF(AC349=1,COUNT($AC$6:AC349),"")</f>
        <v/>
      </c>
      <c r="AE349" s="66" t="str">
        <f>IFERROR(INDEX(po_num,MATCH(344,po_seq,0))&amp;"","")</f>
        <v/>
      </c>
      <c r="AF349" s="66" t="str">
        <f>IF(OR(A349="",p_po=""),"",IF(A349&amp;""=p_po,COUNTIF($A$6:A349,A349),""))</f>
        <v/>
      </c>
      <c r="AG349" s="66" t="str">
        <f>IF(OR(AB349="",A349=""),"",IF(COUNTIFS($A$6:A349,A349,$AB$6:AB349,"&gt;0")=1,1,""))</f>
        <v/>
      </c>
      <c r="AH349" s="70" t="str">
        <f>IF(AB349="","",ROUND(N(W349)*N(J349)*(1-N(K349)),2))</f>
        <v/>
      </c>
      <c r="AI349" s="70" t="str">
        <f>IF(OR(J349="",N(T349)&lt;=0,V349="Oui"),"",ROUND(N(T349)*J349*(1-N(K349)),2))</f>
        <v/>
      </c>
    </row>
    <row r="350">
      <c r="A350" s="63" t="n"/>
      <c r="B350" s="64" t="n"/>
      <c r="C350" s="65" t="n"/>
      <c r="D350" s="66" t="str">
        <f>IF(C350="","",IFERROR(INDEX(sup_name,MATCH($C350,sup_code,0))&amp;"","Fournisseur inconnu"))</f>
        <v/>
      </c>
      <c r="E350" s="63" t="n"/>
      <c r="F350" s="66" t="str">
        <f>IF(E350="","",IFERROR(INDEX(art_des,MATCH($E350,art_ref,0))&amp;"","Article inconnu"))</f>
        <v/>
      </c>
      <c r="G350" s="67" t="str">
        <f>IF(E350="","",IFERROR(INDEX(art_unit,MATCH($E350,art_ref,0))&amp;"",""))</f>
        <v/>
      </c>
      <c r="H350" s="68" t="n"/>
      <c r="I350" s="69" t="n"/>
      <c r="J350" s="70" t="str">
        <f>IF(E350="","",IF(ISNUMBER(I350),I350,IFERROR(IF(ISNUMBER(INDEX(art_price,MATCH($E350,art_ref,0))),INDEX(art_price,MATCH($E350,art_ref,0)),""),"")))</f>
        <v/>
      </c>
      <c r="K350" s="71" t="n"/>
      <c r="L350" s="72" t="n"/>
      <c r="M350" s="72" t="str">
        <f>IF(E350="","",IF(L350&lt;&gt;"",L350,IFERROR(IF(ISNUMBER(INDEX(art_tva,MATCH($E350,art_ref,0))),INDEX(art_tva,MATCH($E350,art_ref,0)),""),"")))</f>
        <v/>
      </c>
      <c r="N350" s="70" t="str">
        <f>IF(OR(E350="",J350=""),"",ROUND(N(H350)*J350*(1-N(K350)),2))</f>
        <v/>
      </c>
      <c r="O350" s="70" t="str">
        <f>IF(OR(N350="",NOT(ISNUMBER(M350))),"",ROUND(N350*M350,2))</f>
        <v/>
      </c>
      <c r="P350" s="70" t="str">
        <f>IF(N350="","",N350+N(O350))</f>
        <v/>
      </c>
      <c r="Q350" s="64" t="n"/>
      <c r="R350" s="73" t="str">
        <f>IF(N(Q350)&gt;0,Q350,IF(OR(N(B350)=0,ISNA(MATCH($C350,sup_code,0))),"",IF(ISNUMBER(INDEX(sup_delay,MATCH($C350,sup_code,0))),B350+INDEX(sup_delay,MATCH($C350,sup_code,0)),"")))</f>
        <v/>
      </c>
      <c r="S350" s="64" t="n"/>
      <c r="T350" s="68" t="n"/>
      <c r="U350" s="64" t="n"/>
      <c r="V350" s="65" t="n"/>
      <c r="W350" s="74" t="str">
        <f>IF(AND(A350="",E350=""),"",IF(V350="Oui",0,MAX(0,ROUND(N(H350)-N(T350),6))))</f>
        <v/>
      </c>
      <c r="X350" s="67" t="str">
        <f>IF(AND(A350="",E350=""),"",IF(V350="Oui","Annulé",IF(AND(N(H350)&gt;0,N(T350)&gt;=N(H350)),"Reçu",IF(N(S350)=0,"Brouillon",IF(AND(ISNUMBER(R350),R350&lt;p_today),"En retard",IF(N(T350)&gt;0,"Partiel","Envoyé"))))))</f>
        <v/>
      </c>
      <c r="Y350" s="75" t="str">
        <f>IF(X350="En retard",p_today-R350,IF(AND(X350="Reçu",ISNUMBER(R350)),MAX(0,N(U350)-R350),""))</f>
        <v/>
      </c>
      <c r="Z350" s="67" t="str">
        <f>IF(AND(A350="",E350=""),"",IF(A350="","N° de bon manquant",IF(N(B350)=0,"Date de commande manquante",IF(C350="","Fournisseur manquant",IF(ISNA(MATCH($C350,sup_code,0)),"Fournisseur inconnu",IF(E350="","Article manquant",IF(ISNA(MATCH($E350,art_ref,0)),"Article inconnu",IF(N(H350)&lt;=0,"Quantité invalide",IF(J350="","Prix manquant",IF(OR(N(K350)&lt;0,N(K350)&gt;=1),"Remise invalide",IF(M350="","TVA manquante",IF(ISNA(MATCH(M350,p_tva,0)),"Taux de TVA inconnu",IF(COUNTIFS(po_num,A350,po_sup,"&lt;&gt;"&amp;C350)&gt;0,"Fournisseur différent sur ce bon",IF(COUNTIFS(po_num,A350,po_date,"&lt;&gt;"&amp;B350)&gt;0,"Date différente sur ce bon",IF(COUNTIF(po_num,A350)&gt;25,"Plus de 25 lignes sur ce bon",IF(R350="","Date de livraison manquante",IF(R350&lt;B350,"Livraison avant la commande",IF(AND(N(T350)&gt;0,N(S350)=0),"Date d'envoi manquante",IF(N(T350)&gt;N(H350),"Reçu plus que commandé",IF(AND(N(T350)&gt;0,N(U350)=0),"Date de réception manquante",IF(AND(N(U350)&gt;0,U350&lt;B350),"Réception avant la commande","OK")))))))))))))))))))))</f>
        <v/>
      </c>
      <c r="AA350" s="66" t="str">
        <f>IF(AND(X350="Reçu",ISNUMBER(R350)),IF(N(U350)&lt;=R350,1,0),"")</f>
        <v/>
      </c>
      <c r="AB350" s="76" t="str">
        <f>IF(OR(X350="Envoyé",X350="Partiel",X350="En retard"),IF(ISNUMBER(R350),R350,100000)+ROW()/100000,"")</f>
        <v/>
      </c>
      <c r="AC350" s="66" t="str">
        <f>IF(A350="","",IF(COUNTIF($A$6:A350,A350)=1,1,""))</f>
        <v/>
      </c>
      <c r="AD350" s="66" t="str">
        <f>IF(AC350=1,COUNT($AC$6:AC350),"")</f>
        <v/>
      </c>
      <c r="AE350" s="66" t="str">
        <f>IFERROR(INDEX(po_num,MATCH(345,po_seq,0))&amp;"","")</f>
        <v/>
      </c>
      <c r="AF350" s="66" t="str">
        <f>IF(OR(A350="",p_po=""),"",IF(A350&amp;""=p_po,COUNTIF($A$6:A350,A350),""))</f>
        <v/>
      </c>
      <c r="AG350" s="66" t="str">
        <f>IF(OR(AB350="",A350=""),"",IF(COUNTIFS($A$6:A350,A350,$AB$6:AB350,"&gt;0")=1,1,""))</f>
        <v/>
      </c>
      <c r="AH350" s="70" t="str">
        <f>IF(AB350="","",ROUND(N(W350)*N(J350)*(1-N(K350)),2))</f>
        <v/>
      </c>
      <c r="AI350" s="70" t="str">
        <f>IF(OR(J350="",N(T350)&lt;=0,V350="Oui"),"",ROUND(N(T350)*J350*(1-N(K350)),2))</f>
        <v/>
      </c>
    </row>
    <row r="351">
      <c r="A351" s="63" t="n"/>
      <c r="B351" s="64" t="n"/>
      <c r="C351" s="65" t="n"/>
      <c r="D351" s="66" t="str">
        <f>IF(C351="","",IFERROR(INDEX(sup_name,MATCH($C351,sup_code,0))&amp;"","Fournisseur inconnu"))</f>
        <v/>
      </c>
      <c r="E351" s="63" t="n"/>
      <c r="F351" s="66" t="str">
        <f>IF(E351="","",IFERROR(INDEX(art_des,MATCH($E351,art_ref,0))&amp;"","Article inconnu"))</f>
        <v/>
      </c>
      <c r="G351" s="67" t="str">
        <f>IF(E351="","",IFERROR(INDEX(art_unit,MATCH($E351,art_ref,0))&amp;"",""))</f>
        <v/>
      </c>
      <c r="H351" s="68" t="n"/>
      <c r="I351" s="69" t="n"/>
      <c r="J351" s="70" t="str">
        <f>IF(E351="","",IF(ISNUMBER(I351),I351,IFERROR(IF(ISNUMBER(INDEX(art_price,MATCH($E351,art_ref,0))),INDEX(art_price,MATCH($E351,art_ref,0)),""),"")))</f>
        <v/>
      </c>
      <c r="K351" s="71" t="n"/>
      <c r="L351" s="72" t="n"/>
      <c r="M351" s="72" t="str">
        <f>IF(E351="","",IF(L351&lt;&gt;"",L351,IFERROR(IF(ISNUMBER(INDEX(art_tva,MATCH($E351,art_ref,0))),INDEX(art_tva,MATCH($E351,art_ref,0)),""),"")))</f>
        <v/>
      </c>
      <c r="N351" s="70" t="str">
        <f>IF(OR(E351="",J351=""),"",ROUND(N(H351)*J351*(1-N(K351)),2))</f>
        <v/>
      </c>
      <c r="O351" s="70" t="str">
        <f>IF(OR(N351="",NOT(ISNUMBER(M351))),"",ROUND(N351*M351,2))</f>
        <v/>
      </c>
      <c r="P351" s="70" t="str">
        <f>IF(N351="","",N351+N(O351))</f>
        <v/>
      </c>
      <c r="Q351" s="64" t="n"/>
      <c r="R351" s="73" t="str">
        <f>IF(N(Q351)&gt;0,Q351,IF(OR(N(B351)=0,ISNA(MATCH($C351,sup_code,0))),"",IF(ISNUMBER(INDEX(sup_delay,MATCH($C351,sup_code,0))),B351+INDEX(sup_delay,MATCH($C351,sup_code,0)),"")))</f>
        <v/>
      </c>
      <c r="S351" s="64" t="n"/>
      <c r="T351" s="68" t="n"/>
      <c r="U351" s="64" t="n"/>
      <c r="V351" s="65" t="n"/>
      <c r="W351" s="74" t="str">
        <f>IF(AND(A351="",E351=""),"",IF(V351="Oui",0,MAX(0,ROUND(N(H351)-N(T351),6))))</f>
        <v/>
      </c>
      <c r="X351" s="67" t="str">
        <f>IF(AND(A351="",E351=""),"",IF(V351="Oui","Annulé",IF(AND(N(H351)&gt;0,N(T351)&gt;=N(H351)),"Reçu",IF(N(S351)=0,"Brouillon",IF(AND(ISNUMBER(R351),R351&lt;p_today),"En retard",IF(N(T351)&gt;0,"Partiel","Envoyé"))))))</f>
        <v/>
      </c>
      <c r="Y351" s="75" t="str">
        <f>IF(X351="En retard",p_today-R351,IF(AND(X351="Reçu",ISNUMBER(R351)),MAX(0,N(U351)-R351),""))</f>
        <v/>
      </c>
      <c r="Z351" s="67" t="str">
        <f>IF(AND(A351="",E351=""),"",IF(A351="","N° de bon manquant",IF(N(B351)=0,"Date de commande manquante",IF(C351="","Fournisseur manquant",IF(ISNA(MATCH($C351,sup_code,0)),"Fournisseur inconnu",IF(E351="","Article manquant",IF(ISNA(MATCH($E351,art_ref,0)),"Article inconnu",IF(N(H351)&lt;=0,"Quantité invalide",IF(J351="","Prix manquant",IF(OR(N(K351)&lt;0,N(K351)&gt;=1),"Remise invalide",IF(M351="","TVA manquante",IF(ISNA(MATCH(M351,p_tva,0)),"Taux de TVA inconnu",IF(COUNTIFS(po_num,A351,po_sup,"&lt;&gt;"&amp;C351)&gt;0,"Fournisseur différent sur ce bon",IF(COUNTIFS(po_num,A351,po_date,"&lt;&gt;"&amp;B351)&gt;0,"Date différente sur ce bon",IF(COUNTIF(po_num,A351)&gt;25,"Plus de 25 lignes sur ce bon",IF(R351="","Date de livraison manquante",IF(R351&lt;B351,"Livraison avant la commande",IF(AND(N(T351)&gt;0,N(S351)=0),"Date d'envoi manquante",IF(N(T351)&gt;N(H351),"Reçu plus que commandé",IF(AND(N(T351)&gt;0,N(U351)=0),"Date de réception manquante",IF(AND(N(U351)&gt;0,U351&lt;B351),"Réception avant la commande","OK")))))))))))))))))))))</f>
        <v/>
      </c>
      <c r="AA351" s="66" t="str">
        <f>IF(AND(X351="Reçu",ISNUMBER(R351)),IF(N(U351)&lt;=R351,1,0),"")</f>
        <v/>
      </c>
      <c r="AB351" s="76" t="str">
        <f>IF(OR(X351="Envoyé",X351="Partiel",X351="En retard"),IF(ISNUMBER(R351),R351,100000)+ROW()/100000,"")</f>
        <v/>
      </c>
      <c r="AC351" s="66" t="str">
        <f>IF(A351="","",IF(COUNTIF($A$6:A351,A351)=1,1,""))</f>
        <v/>
      </c>
      <c r="AD351" s="66" t="str">
        <f>IF(AC351=1,COUNT($AC$6:AC351),"")</f>
        <v/>
      </c>
      <c r="AE351" s="66" t="str">
        <f>IFERROR(INDEX(po_num,MATCH(346,po_seq,0))&amp;"","")</f>
        <v/>
      </c>
      <c r="AF351" s="66" t="str">
        <f>IF(OR(A351="",p_po=""),"",IF(A351&amp;""=p_po,COUNTIF($A$6:A351,A351),""))</f>
        <v/>
      </c>
      <c r="AG351" s="66" t="str">
        <f>IF(OR(AB351="",A351=""),"",IF(COUNTIFS($A$6:A351,A351,$AB$6:AB351,"&gt;0")=1,1,""))</f>
        <v/>
      </c>
      <c r="AH351" s="70" t="str">
        <f>IF(AB351="","",ROUND(N(W351)*N(J351)*(1-N(K351)),2))</f>
        <v/>
      </c>
      <c r="AI351" s="70" t="str">
        <f>IF(OR(J351="",N(T351)&lt;=0,V351="Oui"),"",ROUND(N(T351)*J351*(1-N(K351)),2))</f>
        <v/>
      </c>
    </row>
    <row r="352">
      <c r="A352" s="63" t="n"/>
      <c r="B352" s="64" t="n"/>
      <c r="C352" s="65" t="n"/>
      <c r="D352" s="66" t="str">
        <f>IF(C352="","",IFERROR(INDEX(sup_name,MATCH($C352,sup_code,0))&amp;"","Fournisseur inconnu"))</f>
        <v/>
      </c>
      <c r="E352" s="63" t="n"/>
      <c r="F352" s="66" t="str">
        <f>IF(E352="","",IFERROR(INDEX(art_des,MATCH($E352,art_ref,0))&amp;"","Article inconnu"))</f>
        <v/>
      </c>
      <c r="G352" s="67" t="str">
        <f>IF(E352="","",IFERROR(INDEX(art_unit,MATCH($E352,art_ref,0))&amp;"",""))</f>
        <v/>
      </c>
      <c r="H352" s="68" t="n"/>
      <c r="I352" s="69" t="n"/>
      <c r="J352" s="70" t="str">
        <f>IF(E352="","",IF(ISNUMBER(I352),I352,IFERROR(IF(ISNUMBER(INDEX(art_price,MATCH($E352,art_ref,0))),INDEX(art_price,MATCH($E352,art_ref,0)),""),"")))</f>
        <v/>
      </c>
      <c r="K352" s="71" t="n"/>
      <c r="L352" s="72" t="n"/>
      <c r="M352" s="72" t="str">
        <f>IF(E352="","",IF(L352&lt;&gt;"",L352,IFERROR(IF(ISNUMBER(INDEX(art_tva,MATCH($E352,art_ref,0))),INDEX(art_tva,MATCH($E352,art_ref,0)),""),"")))</f>
        <v/>
      </c>
      <c r="N352" s="70" t="str">
        <f>IF(OR(E352="",J352=""),"",ROUND(N(H352)*J352*(1-N(K352)),2))</f>
        <v/>
      </c>
      <c r="O352" s="70" t="str">
        <f>IF(OR(N352="",NOT(ISNUMBER(M352))),"",ROUND(N352*M352,2))</f>
        <v/>
      </c>
      <c r="P352" s="70" t="str">
        <f>IF(N352="","",N352+N(O352))</f>
        <v/>
      </c>
      <c r="Q352" s="64" t="n"/>
      <c r="R352" s="73" t="str">
        <f>IF(N(Q352)&gt;0,Q352,IF(OR(N(B352)=0,ISNA(MATCH($C352,sup_code,0))),"",IF(ISNUMBER(INDEX(sup_delay,MATCH($C352,sup_code,0))),B352+INDEX(sup_delay,MATCH($C352,sup_code,0)),"")))</f>
        <v/>
      </c>
      <c r="S352" s="64" t="n"/>
      <c r="T352" s="68" t="n"/>
      <c r="U352" s="64" t="n"/>
      <c r="V352" s="65" t="n"/>
      <c r="W352" s="74" t="str">
        <f>IF(AND(A352="",E352=""),"",IF(V352="Oui",0,MAX(0,ROUND(N(H352)-N(T352),6))))</f>
        <v/>
      </c>
      <c r="X352" s="67" t="str">
        <f>IF(AND(A352="",E352=""),"",IF(V352="Oui","Annulé",IF(AND(N(H352)&gt;0,N(T352)&gt;=N(H352)),"Reçu",IF(N(S352)=0,"Brouillon",IF(AND(ISNUMBER(R352),R352&lt;p_today),"En retard",IF(N(T352)&gt;0,"Partiel","Envoyé"))))))</f>
        <v/>
      </c>
      <c r="Y352" s="75" t="str">
        <f>IF(X352="En retard",p_today-R352,IF(AND(X352="Reçu",ISNUMBER(R352)),MAX(0,N(U352)-R352),""))</f>
        <v/>
      </c>
      <c r="Z352" s="67" t="str">
        <f>IF(AND(A352="",E352=""),"",IF(A352="","N° de bon manquant",IF(N(B352)=0,"Date de commande manquante",IF(C352="","Fournisseur manquant",IF(ISNA(MATCH($C352,sup_code,0)),"Fournisseur inconnu",IF(E352="","Article manquant",IF(ISNA(MATCH($E352,art_ref,0)),"Article inconnu",IF(N(H352)&lt;=0,"Quantité invalide",IF(J352="","Prix manquant",IF(OR(N(K352)&lt;0,N(K352)&gt;=1),"Remise invalide",IF(M352="","TVA manquante",IF(ISNA(MATCH(M352,p_tva,0)),"Taux de TVA inconnu",IF(COUNTIFS(po_num,A352,po_sup,"&lt;&gt;"&amp;C352)&gt;0,"Fournisseur différent sur ce bon",IF(COUNTIFS(po_num,A352,po_date,"&lt;&gt;"&amp;B352)&gt;0,"Date différente sur ce bon",IF(COUNTIF(po_num,A352)&gt;25,"Plus de 25 lignes sur ce bon",IF(R352="","Date de livraison manquante",IF(R352&lt;B352,"Livraison avant la commande",IF(AND(N(T352)&gt;0,N(S352)=0),"Date d'envoi manquante",IF(N(T352)&gt;N(H352),"Reçu plus que commandé",IF(AND(N(T352)&gt;0,N(U352)=0),"Date de réception manquante",IF(AND(N(U352)&gt;0,U352&lt;B352),"Réception avant la commande","OK")))))))))))))))))))))</f>
        <v/>
      </c>
      <c r="AA352" s="66" t="str">
        <f>IF(AND(X352="Reçu",ISNUMBER(R352)),IF(N(U352)&lt;=R352,1,0),"")</f>
        <v/>
      </c>
      <c r="AB352" s="76" t="str">
        <f>IF(OR(X352="Envoyé",X352="Partiel",X352="En retard"),IF(ISNUMBER(R352),R352,100000)+ROW()/100000,"")</f>
        <v/>
      </c>
      <c r="AC352" s="66" t="str">
        <f>IF(A352="","",IF(COUNTIF($A$6:A352,A352)=1,1,""))</f>
        <v/>
      </c>
      <c r="AD352" s="66" t="str">
        <f>IF(AC352=1,COUNT($AC$6:AC352),"")</f>
        <v/>
      </c>
      <c r="AE352" s="66" t="str">
        <f>IFERROR(INDEX(po_num,MATCH(347,po_seq,0))&amp;"","")</f>
        <v/>
      </c>
      <c r="AF352" s="66" t="str">
        <f>IF(OR(A352="",p_po=""),"",IF(A352&amp;""=p_po,COUNTIF($A$6:A352,A352),""))</f>
        <v/>
      </c>
      <c r="AG352" s="66" t="str">
        <f>IF(OR(AB352="",A352=""),"",IF(COUNTIFS($A$6:A352,A352,$AB$6:AB352,"&gt;0")=1,1,""))</f>
        <v/>
      </c>
      <c r="AH352" s="70" t="str">
        <f>IF(AB352="","",ROUND(N(W352)*N(J352)*(1-N(K352)),2))</f>
        <v/>
      </c>
      <c r="AI352" s="70" t="str">
        <f>IF(OR(J352="",N(T352)&lt;=0,V352="Oui"),"",ROUND(N(T352)*J352*(1-N(K352)),2))</f>
        <v/>
      </c>
    </row>
    <row r="353">
      <c r="A353" s="63" t="n"/>
      <c r="B353" s="64" t="n"/>
      <c r="C353" s="65" t="n"/>
      <c r="D353" s="66" t="str">
        <f>IF(C353="","",IFERROR(INDEX(sup_name,MATCH($C353,sup_code,0))&amp;"","Fournisseur inconnu"))</f>
        <v/>
      </c>
      <c r="E353" s="63" t="n"/>
      <c r="F353" s="66" t="str">
        <f>IF(E353="","",IFERROR(INDEX(art_des,MATCH($E353,art_ref,0))&amp;"","Article inconnu"))</f>
        <v/>
      </c>
      <c r="G353" s="67" t="str">
        <f>IF(E353="","",IFERROR(INDEX(art_unit,MATCH($E353,art_ref,0))&amp;"",""))</f>
        <v/>
      </c>
      <c r="H353" s="68" t="n"/>
      <c r="I353" s="69" t="n"/>
      <c r="J353" s="70" t="str">
        <f>IF(E353="","",IF(ISNUMBER(I353),I353,IFERROR(IF(ISNUMBER(INDEX(art_price,MATCH($E353,art_ref,0))),INDEX(art_price,MATCH($E353,art_ref,0)),""),"")))</f>
        <v/>
      </c>
      <c r="K353" s="71" t="n"/>
      <c r="L353" s="72" t="n"/>
      <c r="M353" s="72" t="str">
        <f>IF(E353="","",IF(L353&lt;&gt;"",L353,IFERROR(IF(ISNUMBER(INDEX(art_tva,MATCH($E353,art_ref,0))),INDEX(art_tva,MATCH($E353,art_ref,0)),""),"")))</f>
        <v/>
      </c>
      <c r="N353" s="70" t="str">
        <f>IF(OR(E353="",J353=""),"",ROUND(N(H353)*J353*(1-N(K353)),2))</f>
        <v/>
      </c>
      <c r="O353" s="70" t="str">
        <f>IF(OR(N353="",NOT(ISNUMBER(M353))),"",ROUND(N353*M353,2))</f>
        <v/>
      </c>
      <c r="P353" s="70" t="str">
        <f>IF(N353="","",N353+N(O353))</f>
        <v/>
      </c>
      <c r="Q353" s="64" t="n"/>
      <c r="R353" s="73" t="str">
        <f>IF(N(Q353)&gt;0,Q353,IF(OR(N(B353)=0,ISNA(MATCH($C353,sup_code,0))),"",IF(ISNUMBER(INDEX(sup_delay,MATCH($C353,sup_code,0))),B353+INDEX(sup_delay,MATCH($C353,sup_code,0)),"")))</f>
        <v/>
      </c>
      <c r="S353" s="64" t="n"/>
      <c r="T353" s="68" t="n"/>
      <c r="U353" s="64" t="n"/>
      <c r="V353" s="65" t="n"/>
      <c r="W353" s="74" t="str">
        <f>IF(AND(A353="",E353=""),"",IF(V353="Oui",0,MAX(0,ROUND(N(H353)-N(T353),6))))</f>
        <v/>
      </c>
      <c r="X353" s="67" t="str">
        <f>IF(AND(A353="",E353=""),"",IF(V353="Oui","Annulé",IF(AND(N(H353)&gt;0,N(T353)&gt;=N(H353)),"Reçu",IF(N(S353)=0,"Brouillon",IF(AND(ISNUMBER(R353),R353&lt;p_today),"En retard",IF(N(T353)&gt;0,"Partiel","Envoyé"))))))</f>
        <v/>
      </c>
      <c r="Y353" s="75" t="str">
        <f>IF(X353="En retard",p_today-R353,IF(AND(X353="Reçu",ISNUMBER(R353)),MAX(0,N(U353)-R353),""))</f>
        <v/>
      </c>
      <c r="Z353" s="67" t="str">
        <f>IF(AND(A353="",E353=""),"",IF(A353="","N° de bon manquant",IF(N(B353)=0,"Date de commande manquante",IF(C353="","Fournisseur manquant",IF(ISNA(MATCH($C353,sup_code,0)),"Fournisseur inconnu",IF(E353="","Article manquant",IF(ISNA(MATCH($E353,art_ref,0)),"Article inconnu",IF(N(H353)&lt;=0,"Quantité invalide",IF(J353="","Prix manquant",IF(OR(N(K353)&lt;0,N(K353)&gt;=1),"Remise invalide",IF(M353="","TVA manquante",IF(ISNA(MATCH(M353,p_tva,0)),"Taux de TVA inconnu",IF(COUNTIFS(po_num,A353,po_sup,"&lt;&gt;"&amp;C353)&gt;0,"Fournisseur différent sur ce bon",IF(COUNTIFS(po_num,A353,po_date,"&lt;&gt;"&amp;B353)&gt;0,"Date différente sur ce bon",IF(COUNTIF(po_num,A353)&gt;25,"Plus de 25 lignes sur ce bon",IF(R353="","Date de livraison manquante",IF(R353&lt;B353,"Livraison avant la commande",IF(AND(N(T353)&gt;0,N(S353)=0),"Date d'envoi manquante",IF(N(T353)&gt;N(H353),"Reçu plus que commandé",IF(AND(N(T353)&gt;0,N(U353)=0),"Date de réception manquante",IF(AND(N(U353)&gt;0,U353&lt;B353),"Réception avant la commande","OK")))))))))))))))))))))</f>
        <v/>
      </c>
      <c r="AA353" s="66" t="str">
        <f>IF(AND(X353="Reçu",ISNUMBER(R353)),IF(N(U353)&lt;=R353,1,0),"")</f>
        <v/>
      </c>
      <c r="AB353" s="76" t="str">
        <f>IF(OR(X353="Envoyé",X353="Partiel",X353="En retard"),IF(ISNUMBER(R353),R353,100000)+ROW()/100000,"")</f>
        <v/>
      </c>
      <c r="AC353" s="66" t="str">
        <f>IF(A353="","",IF(COUNTIF($A$6:A353,A353)=1,1,""))</f>
        <v/>
      </c>
      <c r="AD353" s="66" t="str">
        <f>IF(AC353=1,COUNT($AC$6:AC353),"")</f>
        <v/>
      </c>
      <c r="AE353" s="66" t="str">
        <f>IFERROR(INDEX(po_num,MATCH(348,po_seq,0))&amp;"","")</f>
        <v/>
      </c>
      <c r="AF353" s="66" t="str">
        <f>IF(OR(A353="",p_po=""),"",IF(A353&amp;""=p_po,COUNTIF($A$6:A353,A353),""))</f>
        <v/>
      </c>
      <c r="AG353" s="66" t="str">
        <f>IF(OR(AB353="",A353=""),"",IF(COUNTIFS($A$6:A353,A353,$AB$6:AB353,"&gt;0")=1,1,""))</f>
        <v/>
      </c>
      <c r="AH353" s="70" t="str">
        <f>IF(AB353="","",ROUND(N(W353)*N(J353)*(1-N(K353)),2))</f>
        <v/>
      </c>
      <c r="AI353" s="70" t="str">
        <f>IF(OR(J353="",N(T353)&lt;=0,V353="Oui"),"",ROUND(N(T353)*J353*(1-N(K353)),2))</f>
        <v/>
      </c>
    </row>
    <row r="354">
      <c r="A354" s="63" t="n"/>
      <c r="B354" s="64" t="n"/>
      <c r="C354" s="65" t="n"/>
      <c r="D354" s="66" t="str">
        <f>IF(C354="","",IFERROR(INDEX(sup_name,MATCH($C354,sup_code,0))&amp;"","Fournisseur inconnu"))</f>
        <v/>
      </c>
      <c r="E354" s="63" t="n"/>
      <c r="F354" s="66" t="str">
        <f>IF(E354="","",IFERROR(INDEX(art_des,MATCH($E354,art_ref,0))&amp;"","Article inconnu"))</f>
        <v/>
      </c>
      <c r="G354" s="67" t="str">
        <f>IF(E354="","",IFERROR(INDEX(art_unit,MATCH($E354,art_ref,0))&amp;"",""))</f>
        <v/>
      </c>
      <c r="H354" s="68" t="n"/>
      <c r="I354" s="69" t="n"/>
      <c r="J354" s="70" t="str">
        <f>IF(E354="","",IF(ISNUMBER(I354),I354,IFERROR(IF(ISNUMBER(INDEX(art_price,MATCH($E354,art_ref,0))),INDEX(art_price,MATCH($E354,art_ref,0)),""),"")))</f>
        <v/>
      </c>
      <c r="K354" s="71" t="n"/>
      <c r="L354" s="72" t="n"/>
      <c r="M354" s="72" t="str">
        <f>IF(E354="","",IF(L354&lt;&gt;"",L354,IFERROR(IF(ISNUMBER(INDEX(art_tva,MATCH($E354,art_ref,0))),INDEX(art_tva,MATCH($E354,art_ref,0)),""),"")))</f>
        <v/>
      </c>
      <c r="N354" s="70" t="str">
        <f>IF(OR(E354="",J354=""),"",ROUND(N(H354)*J354*(1-N(K354)),2))</f>
        <v/>
      </c>
      <c r="O354" s="70" t="str">
        <f>IF(OR(N354="",NOT(ISNUMBER(M354))),"",ROUND(N354*M354,2))</f>
        <v/>
      </c>
      <c r="P354" s="70" t="str">
        <f>IF(N354="","",N354+N(O354))</f>
        <v/>
      </c>
      <c r="Q354" s="64" t="n"/>
      <c r="R354" s="73" t="str">
        <f>IF(N(Q354)&gt;0,Q354,IF(OR(N(B354)=0,ISNA(MATCH($C354,sup_code,0))),"",IF(ISNUMBER(INDEX(sup_delay,MATCH($C354,sup_code,0))),B354+INDEX(sup_delay,MATCH($C354,sup_code,0)),"")))</f>
        <v/>
      </c>
      <c r="S354" s="64" t="n"/>
      <c r="T354" s="68" t="n"/>
      <c r="U354" s="64" t="n"/>
      <c r="V354" s="65" t="n"/>
      <c r="W354" s="74" t="str">
        <f>IF(AND(A354="",E354=""),"",IF(V354="Oui",0,MAX(0,ROUND(N(H354)-N(T354),6))))</f>
        <v/>
      </c>
      <c r="X354" s="67" t="str">
        <f>IF(AND(A354="",E354=""),"",IF(V354="Oui","Annulé",IF(AND(N(H354)&gt;0,N(T354)&gt;=N(H354)),"Reçu",IF(N(S354)=0,"Brouillon",IF(AND(ISNUMBER(R354),R354&lt;p_today),"En retard",IF(N(T354)&gt;0,"Partiel","Envoyé"))))))</f>
        <v/>
      </c>
      <c r="Y354" s="75" t="str">
        <f>IF(X354="En retard",p_today-R354,IF(AND(X354="Reçu",ISNUMBER(R354)),MAX(0,N(U354)-R354),""))</f>
        <v/>
      </c>
      <c r="Z354" s="67" t="str">
        <f>IF(AND(A354="",E354=""),"",IF(A354="","N° de bon manquant",IF(N(B354)=0,"Date de commande manquante",IF(C354="","Fournisseur manquant",IF(ISNA(MATCH($C354,sup_code,0)),"Fournisseur inconnu",IF(E354="","Article manquant",IF(ISNA(MATCH($E354,art_ref,0)),"Article inconnu",IF(N(H354)&lt;=0,"Quantité invalide",IF(J354="","Prix manquant",IF(OR(N(K354)&lt;0,N(K354)&gt;=1),"Remise invalide",IF(M354="","TVA manquante",IF(ISNA(MATCH(M354,p_tva,0)),"Taux de TVA inconnu",IF(COUNTIFS(po_num,A354,po_sup,"&lt;&gt;"&amp;C354)&gt;0,"Fournisseur différent sur ce bon",IF(COUNTIFS(po_num,A354,po_date,"&lt;&gt;"&amp;B354)&gt;0,"Date différente sur ce bon",IF(COUNTIF(po_num,A354)&gt;25,"Plus de 25 lignes sur ce bon",IF(R354="","Date de livraison manquante",IF(R354&lt;B354,"Livraison avant la commande",IF(AND(N(T354)&gt;0,N(S354)=0),"Date d'envoi manquante",IF(N(T354)&gt;N(H354),"Reçu plus que commandé",IF(AND(N(T354)&gt;0,N(U354)=0),"Date de réception manquante",IF(AND(N(U354)&gt;0,U354&lt;B354),"Réception avant la commande","OK")))))))))))))))))))))</f>
        <v/>
      </c>
      <c r="AA354" s="66" t="str">
        <f>IF(AND(X354="Reçu",ISNUMBER(R354)),IF(N(U354)&lt;=R354,1,0),"")</f>
        <v/>
      </c>
      <c r="AB354" s="76" t="str">
        <f>IF(OR(X354="Envoyé",X354="Partiel",X354="En retard"),IF(ISNUMBER(R354),R354,100000)+ROW()/100000,"")</f>
        <v/>
      </c>
      <c r="AC354" s="66" t="str">
        <f>IF(A354="","",IF(COUNTIF($A$6:A354,A354)=1,1,""))</f>
        <v/>
      </c>
      <c r="AD354" s="66" t="str">
        <f>IF(AC354=1,COUNT($AC$6:AC354),"")</f>
        <v/>
      </c>
      <c r="AE354" s="66" t="str">
        <f>IFERROR(INDEX(po_num,MATCH(349,po_seq,0))&amp;"","")</f>
        <v/>
      </c>
      <c r="AF354" s="66" t="str">
        <f>IF(OR(A354="",p_po=""),"",IF(A354&amp;""=p_po,COUNTIF($A$6:A354,A354),""))</f>
        <v/>
      </c>
      <c r="AG354" s="66" t="str">
        <f>IF(OR(AB354="",A354=""),"",IF(COUNTIFS($A$6:A354,A354,$AB$6:AB354,"&gt;0")=1,1,""))</f>
        <v/>
      </c>
      <c r="AH354" s="70" t="str">
        <f>IF(AB354="","",ROUND(N(W354)*N(J354)*(1-N(K354)),2))</f>
        <v/>
      </c>
      <c r="AI354" s="70" t="str">
        <f>IF(OR(J354="",N(T354)&lt;=0,V354="Oui"),"",ROUND(N(T354)*J354*(1-N(K354)),2))</f>
        <v/>
      </c>
    </row>
    <row r="355">
      <c r="A355" s="63" t="n"/>
      <c r="B355" s="64" t="n"/>
      <c r="C355" s="65" t="n"/>
      <c r="D355" s="66" t="str">
        <f>IF(C355="","",IFERROR(INDEX(sup_name,MATCH($C355,sup_code,0))&amp;"","Fournisseur inconnu"))</f>
        <v/>
      </c>
      <c r="E355" s="63" t="n"/>
      <c r="F355" s="66" t="str">
        <f>IF(E355="","",IFERROR(INDEX(art_des,MATCH($E355,art_ref,0))&amp;"","Article inconnu"))</f>
        <v/>
      </c>
      <c r="G355" s="67" t="str">
        <f>IF(E355="","",IFERROR(INDEX(art_unit,MATCH($E355,art_ref,0))&amp;"",""))</f>
        <v/>
      </c>
      <c r="H355" s="68" t="n"/>
      <c r="I355" s="69" t="n"/>
      <c r="J355" s="70" t="str">
        <f>IF(E355="","",IF(ISNUMBER(I355),I355,IFERROR(IF(ISNUMBER(INDEX(art_price,MATCH($E355,art_ref,0))),INDEX(art_price,MATCH($E355,art_ref,0)),""),"")))</f>
        <v/>
      </c>
      <c r="K355" s="71" t="n"/>
      <c r="L355" s="72" t="n"/>
      <c r="M355" s="72" t="str">
        <f>IF(E355="","",IF(L355&lt;&gt;"",L355,IFERROR(IF(ISNUMBER(INDEX(art_tva,MATCH($E355,art_ref,0))),INDEX(art_tva,MATCH($E355,art_ref,0)),""),"")))</f>
        <v/>
      </c>
      <c r="N355" s="70" t="str">
        <f>IF(OR(E355="",J355=""),"",ROUND(N(H355)*J355*(1-N(K355)),2))</f>
        <v/>
      </c>
      <c r="O355" s="70" t="str">
        <f>IF(OR(N355="",NOT(ISNUMBER(M355))),"",ROUND(N355*M355,2))</f>
        <v/>
      </c>
      <c r="P355" s="70" t="str">
        <f>IF(N355="","",N355+N(O355))</f>
        <v/>
      </c>
      <c r="Q355" s="64" t="n"/>
      <c r="R355" s="73" t="str">
        <f>IF(N(Q355)&gt;0,Q355,IF(OR(N(B355)=0,ISNA(MATCH($C355,sup_code,0))),"",IF(ISNUMBER(INDEX(sup_delay,MATCH($C355,sup_code,0))),B355+INDEX(sup_delay,MATCH($C355,sup_code,0)),"")))</f>
        <v/>
      </c>
      <c r="S355" s="64" t="n"/>
      <c r="T355" s="68" t="n"/>
      <c r="U355" s="64" t="n"/>
      <c r="V355" s="65" t="n"/>
      <c r="W355" s="74" t="str">
        <f>IF(AND(A355="",E355=""),"",IF(V355="Oui",0,MAX(0,ROUND(N(H355)-N(T355),6))))</f>
        <v/>
      </c>
      <c r="X355" s="67" t="str">
        <f>IF(AND(A355="",E355=""),"",IF(V355="Oui","Annulé",IF(AND(N(H355)&gt;0,N(T355)&gt;=N(H355)),"Reçu",IF(N(S355)=0,"Brouillon",IF(AND(ISNUMBER(R355),R355&lt;p_today),"En retard",IF(N(T355)&gt;0,"Partiel","Envoyé"))))))</f>
        <v/>
      </c>
      <c r="Y355" s="75" t="str">
        <f>IF(X355="En retard",p_today-R355,IF(AND(X355="Reçu",ISNUMBER(R355)),MAX(0,N(U355)-R355),""))</f>
        <v/>
      </c>
      <c r="Z355" s="67" t="str">
        <f>IF(AND(A355="",E355=""),"",IF(A355="","N° de bon manquant",IF(N(B355)=0,"Date de commande manquante",IF(C355="","Fournisseur manquant",IF(ISNA(MATCH($C355,sup_code,0)),"Fournisseur inconnu",IF(E355="","Article manquant",IF(ISNA(MATCH($E355,art_ref,0)),"Article inconnu",IF(N(H355)&lt;=0,"Quantité invalide",IF(J355="","Prix manquant",IF(OR(N(K355)&lt;0,N(K355)&gt;=1),"Remise invalide",IF(M355="","TVA manquante",IF(ISNA(MATCH(M355,p_tva,0)),"Taux de TVA inconnu",IF(COUNTIFS(po_num,A355,po_sup,"&lt;&gt;"&amp;C355)&gt;0,"Fournisseur différent sur ce bon",IF(COUNTIFS(po_num,A355,po_date,"&lt;&gt;"&amp;B355)&gt;0,"Date différente sur ce bon",IF(COUNTIF(po_num,A355)&gt;25,"Plus de 25 lignes sur ce bon",IF(R355="","Date de livraison manquante",IF(R355&lt;B355,"Livraison avant la commande",IF(AND(N(T355)&gt;0,N(S355)=0),"Date d'envoi manquante",IF(N(T355)&gt;N(H355),"Reçu plus que commandé",IF(AND(N(T355)&gt;0,N(U355)=0),"Date de réception manquante",IF(AND(N(U355)&gt;0,U355&lt;B355),"Réception avant la commande","OK")))))))))))))))))))))</f>
        <v/>
      </c>
      <c r="AA355" s="66" t="str">
        <f>IF(AND(X355="Reçu",ISNUMBER(R355)),IF(N(U355)&lt;=R355,1,0),"")</f>
        <v/>
      </c>
      <c r="AB355" s="76" t="str">
        <f>IF(OR(X355="Envoyé",X355="Partiel",X355="En retard"),IF(ISNUMBER(R355),R355,100000)+ROW()/100000,"")</f>
        <v/>
      </c>
      <c r="AC355" s="66" t="str">
        <f>IF(A355="","",IF(COUNTIF($A$6:A355,A355)=1,1,""))</f>
        <v/>
      </c>
      <c r="AD355" s="66" t="str">
        <f>IF(AC355=1,COUNT($AC$6:AC355),"")</f>
        <v/>
      </c>
      <c r="AE355" s="66" t="str">
        <f>IFERROR(INDEX(po_num,MATCH(350,po_seq,0))&amp;"","")</f>
        <v/>
      </c>
      <c r="AF355" s="66" t="str">
        <f>IF(OR(A355="",p_po=""),"",IF(A355&amp;""=p_po,COUNTIF($A$6:A355,A355),""))</f>
        <v/>
      </c>
      <c r="AG355" s="66" t="str">
        <f>IF(OR(AB355="",A355=""),"",IF(COUNTIFS($A$6:A355,A355,$AB$6:AB355,"&gt;0")=1,1,""))</f>
        <v/>
      </c>
      <c r="AH355" s="70" t="str">
        <f>IF(AB355="","",ROUND(N(W355)*N(J355)*(1-N(K355)),2))</f>
        <v/>
      </c>
      <c r="AI355" s="70" t="str">
        <f>IF(OR(J355="",N(T355)&lt;=0,V355="Oui"),"",ROUND(N(T355)*J355*(1-N(K355)),2))</f>
        <v/>
      </c>
    </row>
    <row r="356">
      <c r="A356" s="63" t="n"/>
      <c r="B356" s="64" t="n"/>
      <c r="C356" s="65" t="n"/>
      <c r="D356" s="66" t="str">
        <f>IF(C356="","",IFERROR(INDEX(sup_name,MATCH($C356,sup_code,0))&amp;"","Fournisseur inconnu"))</f>
        <v/>
      </c>
      <c r="E356" s="63" t="n"/>
      <c r="F356" s="66" t="str">
        <f>IF(E356="","",IFERROR(INDEX(art_des,MATCH($E356,art_ref,0))&amp;"","Article inconnu"))</f>
        <v/>
      </c>
      <c r="G356" s="67" t="str">
        <f>IF(E356="","",IFERROR(INDEX(art_unit,MATCH($E356,art_ref,0))&amp;"",""))</f>
        <v/>
      </c>
      <c r="H356" s="68" t="n"/>
      <c r="I356" s="69" t="n"/>
      <c r="J356" s="70" t="str">
        <f>IF(E356="","",IF(ISNUMBER(I356),I356,IFERROR(IF(ISNUMBER(INDEX(art_price,MATCH($E356,art_ref,0))),INDEX(art_price,MATCH($E356,art_ref,0)),""),"")))</f>
        <v/>
      </c>
      <c r="K356" s="71" t="n"/>
      <c r="L356" s="72" t="n"/>
      <c r="M356" s="72" t="str">
        <f>IF(E356="","",IF(L356&lt;&gt;"",L356,IFERROR(IF(ISNUMBER(INDEX(art_tva,MATCH($E356,art_ref,0))),INDEX(art_tva,MATCH($E356,art_ref,0)),""),"")))</f>
        <v/>
      </c>
      <c r="N356" s="70" t="str">
        <f>IF(OR(E356="",J356=""),"",ROUND(N(H356)*J356*(1-N(K356)),2))</f>
        <v/>
      </c>
      <c r="O356" s="70" t="str">
        <f>IF(OR(N356="",NOT(ISNUMBER(M356))),"",ROUND(N356*M356,2))</f>
        <v/>
      </c>
      <c r="P356" s="70" t="str">
        <f>IF(N356="","",N356+N(O356))</f>
        <v/>
      </c>
      <c r="Q356" s="64" t="n"/>
      <c r="R356" s="73" t="str">
        <f>IF(N(Q356)&gt;0,Q356,IF(OR(N(B356)=0,ISNA(MATCH($C356,sup_code,0))),"",IF(ISNUMBER(INDEX(sup_delay,MATCH($C356,sup_code,0))),B356+INDEX(sup_delay,MATCH($C356,sup_code,0)),"")))</f>
        <v/>
      </c>
      <c r="S356" s="64" t="n"/>
      <c r="T356" s="68" t="n"/>
      <c r="U356" s="64" t="n"/>
      <c r="V356" s="65" t="n"/>
      <c r="W356" s="74" t="str">
        <f>IF(AND(A356="",E356=""),"",IF(V356="Oui",0,MAX(0,ROUND(N(H356)-N(T356),6))))</f>
        <v/>
      </c>
      <c r="X356" s="67" t="str">
        <f>IF(AND(A356="",E356=""),"",IF(V356="Oui","Annulé",IF(AND(N(H356)&gt;0,N(T356)&gt;=N(H356)),"Reçu",IF(N(S356)=0,"Brouillon",IF(AND(ISNUMBER(R356),R356&lt;p_today),"En retard",IF(N(T356)&gt;0,"Partiel","Envoyé"))))))</f>
        <v/>
      </c>
      <c r="Y356" s="75" t="str">
        <f>IF(X356="En retard",p_today-R356,IF(AND(X356="Reçu",ISNUMBER(R356)),MAX(0,N(U356)-R356),""))</f>
        <v/>
      </c>
      <c r="Z356" s="67" t="str">
        <f>IF(AND(A356="",E356=""),"",IF(A356="","N° de bon manquant",IF(N(B356)=0,"Date de commande manquante",IF(C356="","Fournisseur manquant",IF(ISNA(MATCH($C356,sup_code,0)),"Fournisseur inconnu",IF(E356="","Article manquant",IF(ISNA(MATCH($E356,art_ref,0)),"Article inconnu",IF(N(H356)&lt;=0,"Quantité invalide",IF(J356="","Prix manquant",IF(OR(N(K356)&lt;0,N(K356)&gt;=1),"Remise invalide",IF(M356="","TVA manquante",IF(ISNA(MATCH(M356,p_tva,0)),"Taux de TVA inconnu",IF(COUNTIFS(po_num,A356,po_sup,"&lt;&gt;"&amp;C356)&gt;0,"Fournisseur différent sur ce bon",IF(COUNTIFS(po_num,A356,po_date,"&lt;&gt;"&amp;B356)&gt;0,"Date différente sur ce bon",IF(COUNTIF(po_num,A356)&gt;25,"Plus de 25 lignes sur ce bon",IF(R356="","Date de livraison manquante",IF(R356&lt;B356,"Livraison avant la commande",IF(AND(N(T356)&gt;0,N(S356)=0),"Date d'envoi manquante",IF(N(T356)&gt;N(H356),"Reçu plus que commandé",IF(AND(N(T356)&gt;0,N(U356)=0),"Date de réception manquante",IF(AND(N(U356)&gt;0,U356&lt;B356),"Réception avant la commande","OK")))))))))))))))))))))</f>
        <v/>
      </c>
      <c r="AA356" s="66" t="str">
        <f>IF(AND(X356="Reçu",ISNUMBER(R356)),IF(N(U356)&lt;=R356,1,0),"")</f>
        <v/>
      </c>
      <c r="AB356" s="76" t="str">
        <f>IF(OR(X356="Envoyé",X356="Partiel",X356="En retard"),IF(ISNUMBER(R356),R356,100000)+ROW()/100000,"")</f>
        <v/>
      </c>
      <c r="AC356" s="66" t="str">
        <f>IF(A356="","",IF(COUNTIF($A$6:A356,A356)=1,1,""))</f>
        <v/>
      </c>
      <c r="AD356" s="66" t="str">
        <f>IF(AC356=1,COUNT($AC$6:AC356),"")</f>
        <v/>
      </c>
      <c r="AE356" s="66" t="str">
        <f>IFERROR(INDEX(po_num,MATCH(351,po_seq,0))&amp;"","")</f>
        <v/>
      </c>
      <c r="AF356" s="66" t="str">
        <f>IF(OR(A356="",p_po=""),"",IF(A356&amp;""=p_po,COUNTIF($A$6:A356,A356),""))</f>
        <v/>
      </c>
      <c r="AG356" s="66" t="str">
        <f>IF(OR(AB356="",A356=""),"",IF(COUNTIFS($A$6:A356,A356,$AB$6:AB356,"&gt;0")=1,1,""))</f>
        <v/>
      </c>
      <c r="AH356" s="70" t="str">
        <f>IF(AB356="","",ROUND(N(W356)*N(J356)*(1-N(K356)),2))</f>
        <v/>
      </c>
      <c r="AI356" s="70" t="str">
        <f>IF(OR(J356="",N(T356)&lt;=0,V356="Oui"),"",ROUND(N(T356)*J356*(1-N(K356)),2))</f>
        <v/>
      </c>
    </row>
    <row r="357">
      <c r="A357" s="63" t="n"/>
      <c r="B357" s="64" t="n"/>
      <c r="C357" s="65" t="n"/>
      <c r="D357" s="66" t="str">
        <f>IF(C357="","",IFERROR(INDEX(sup_name,MATCH($C357,sup_code,0))&amp;"","Fournisseur inconnu"))</f>
        <v/>
      </c>
      <c r="E357" s="63" t="n"/>
      <c r="F357" s="66" t="str">
        <f>IF(E357="","",IFERROR(INDEX(art_des,MATCH($E357,art_ref,0))&amp;"","Article inconnu"))</f>
        <v/>
      </c>
      <c r="G357" s="67" t="str">
        <f>IF(E357="","",IFERROR(INDEX(art_unit,MATCH($E357,art_ref,0))&amp;"",""))</f>
        <v/>
      </c>
      <c r="H357" s="68" t="n"/>
      <c r="I357" s="69" t="n"/>
      <c r="J357" s="70" t="str">
        <f>IF(E357="","",IF(ISNUMBER(I357),I357,IFERROR(IF(ISNUMBER(INDEX(art_price,MATCH($E357,art_ref,0))),INDEX(art_price,MATCH($E357,art_ref,0)),""),"")))</f>
        <v/>
      </c>
      <c r="K357" s="71" t="n"/>
      <c r="L357" s="72" t="n"/>
      <c r="M357" s="72" t="str">
        <f>IF(E357="","",IF(L357&lt;&gt;"",L357,IFERROR(IF(ISNUMBER(INDEX(art_tva,MATCH($E357,art_ref,0))),INDEX(art_tva,MATCH($E357,art_ref,0)),""),"")))</f>
        <v/>
      </c>
      <c r="N357" s="70" t="str">
        <f>IF(OR(E357="",J357=""),"",ROUND(N(H357)*J357*(1-N(K357)),2))</f>
        <v/>
      </c>
      <c r="O357" s="70" t="str">
        <f>IF(OR(N357="",NOT(ISNUMBER(M357))),"",ROUND(N357*M357,2))</f>
        <v/>
      </c>
      <c r="P357" s="70" t="str">
        <f>IF(N357="","",N357+N(O357))</f>
        <v/>
      </c>
      <c r="Q357" s="64" t="n"/>
      <c r="R357" s="73" t="str">
        <f>IF(N(Q357)&gt;0,Q357,IF(OR(N(B357)=0,ISNA(MATCH($C357,sup_code,0))),"",IF(ISNUMBER(INDEX(sup_delay,MATCH($C357,sup_code,0))),B357+INDEX(sup_delay,MATCH($C357,sup_code,0)),"")))</f>
        <v/>
      </c>
      <c r="S357" s="64" t="n"/>
      <c r="T357" s="68" t="n"/>
      <c r="U357" s="64" t="n"/>
      <c r="V357" s="65" t="n"/>
      <c r="W357" s="74" t="str">
        <f>IF(AND(A357="",E357=""),"",IF(V357="Oui",0,MAX(0,ROUND(N(H357)-N(T357),6))))</f>
        <v/>
      </c>
      <c r="X357" s="67" t="str">
        <f>IF(AND(A357="",E357=""),"",IF(V357="Oui","Annulé",IF(AND(N(H357)&gt;0,N(T357)&gt;=N(H357)),"Reçu",IF(N(S357)=0,"Brouillon",IF(AND(ISNUMBER(R357),R357&lt;p_today),"En retard",IF(N(T357)&gt;0,"Partiel","Envoyé"))))))</f>
        <v/>
      </c>
      <c r="Y357" s="75" t="str">
        <f>IF(X357="En retard",p_today-R357,IF(AND(X357="Reçu",ISNUMBER(R357)),MAX(0,N(U357)-R357),""))</f>
        <v/>
      </c>
      <c r="Z357" s="67" t="str">
        <f>IF(AND(A357="",E357=""),"",IF(A357="","N° de bon manquant",IF(N(B357)=0,"Date de commande manquante",IF(C357="","Fournisseur manquant",IF(ISNA(MATCH($C357,sup_code,0)),"Fournisseur inconnu",IF(E357="","Article manquant",IF(ISNA(MATCH($E357,art_ref,0)),"Article inconnu",IF(N(H357)&lt;=0,"Quantité invalide",IF(J357="","Prix manquant",IF(OR(N(K357)&lt;0,N(K357)&gt;=1),"Remise invalide",IF(M357="","TVA manquante",IF(ISNA(MATCH(M357,p_tva,0)),"Taux de TVA inconnu",IF(COUNTIFS(po_num,A357,po_sup,"&lt;&gt;"&amp;C357)&gt;0,"Fournisseur différent sur ce bon",IF(COUNTIFS(po_num,A357,po_date,"&lt;&gt;"&amp;B357)&gt;0,"Date différente sur ce bon",IF(COUNTIF(po_num,A357)&gt;25,"Plus de 25 lignes sur ce bon",IF(R357="","Date de livraison manquante",IF(R357&lt;B357,"Livraison avant la commande",IF(AND(N(T357)&gt;0,N(S357)=0),"Date d'envoi manquante",IF(N(T357)&gt;N(H357),"Reçu plus que commandé",IF(AND(N(T357)&gt;0,N(U357)=0),"Date de réception manquante",IF(AND(N(U357)&gt;0,U357&lt;B357),"Réception avant la commande","OK")))))))))))))))))))))</f>
        <v/>
      </c>
      <c r="AA357" s="66" t="str">
        <f>IF(AND(X357="Reçu",ISNUMBER(R357)),IF(N(U357)&lt;=R357,1,0),"")</f>
        <v/>
      </c>
      <c r="AB357" s="76" t="str">
        <f>IF(OR(X357="Envoyé",X357="Partiel",X357="En retard"),IF(ISNUMBER(R357),R357,100000)+ROW()/100000,"")</f>
        <v/>
      </c>
      <c r="AC357" s="66" t="str">
        <f>IF(A357="","",IF(COUNTIF($A$6:A357,A357)=1,1,""))</f>
        <v/>
      </c>
      <c r="AD357" s="66" t="str">
        <f>IF(AC357=1,COUNT($AC$6:AC357),"")</f>
        <v/>
      </c>
      <c r="AE357" s="66" t="str">
        <f>IFERROR(INDEX(po_num,MATCH(352,po_seq,0))&amp;"","")</f>
        <v/>
      </c>
      <c r="AF357" s="66" t="str">
        <f>IF(OR(A357="",p_po=""),"",IF(A357&amp;""=p_po,COUNTIF($A$6:A357,A357),""))</f>
        <v/>
      </c>
      <c r="AG357" s="66" t="str">
        <f>IF(OR(AB357="",A357=""),"",IF(COUNTIFS($A$6:A357,A357,$AB$6:AB357,"&gt;0")=1,1,""))</f>
        <v/>
      </c>
      <c r="AH357" s="70" t="str">
        <f>IF(AB357="","",ROUND(N(W357)*N(J357)*(1-N(K357)),2))</f>
        <v/>
      </c>
      <c r="AI357" s="70" t="str">
        <f>IF(OR(J357="",N(T357)&lt;=0,V357="Oui"),"",ROUND(N(T357)*J357*(1-N(K357)),2))</f>
        <v/>
      </c>
    </row>
    <row r="358">
      <c r="A358" s="63" t="n"/>
      <c r="B358" s="64" t="n"/>
      <c r="C358" s="65" t="n"/>
      <c r="D358" s="66" t="str">
        <f>IF(C358="","",IFERROR(INDEX(sup_name,MATCH($C358,sup_code,0))&amp;"","Fournisseur inconnu"))</f>
        <v/>
      </c>
      <c r="E358" s="63" t="n"/>
      <c r="F358" s="66" t="str">
        <f>IF(E358="","",IFERROR(INDEX(art_des,MATCH($E358,art_ref,0))&amp;"","Article inconnu"))</f>
        <v/>
      </c>
      <c r="G358" s="67" t="str">
        <f>IF(E358="","",IFERROR(INDEX(art_unit,MATCH($E358,art_ref,0))&amp;"",""))</f>
        <v/>
      </c>
      <c r="H358" s="68" t="n"/>
      <c r="I358" s="69" t="n"/>
      <c r="J358" s="70" t="str">
        <f>IF(E358="","",IF(ISNUMBER(I358),I358,IFERROR(IF(ISNUMBER(INDEX(art_price,MATCH($E358,art_ref,0))),INDEX(art_price,MATCH($E358,art_ref,0)),""),"")))</f>
        <v/>
      </c>
      <c r="K358" s="71" t="n"/>
      <c r="L358" s="72" t="n"/>
      <c r="M358" s="72" t="str">
        <f>IF(E358="","",IF(L358&lt;&gt;"",L358,IFERROR(IF(ISNUMBER(INDEX(art_tva,MATCH($E358,art_ref,0))),INDEX(art_tva,MATCH($E358,art_ref,0)),""),"")))</f>
        <v/>
      </c>
      <c r="N358" s="70" t="str">
        <f>IF(OR(E358="",J358=""),"",ROUND(N(H358)*J358*(1-N(K358)),2))</f>
        <v/>
      </c>
      <c r="O358" s="70" t="str">
        <f>IF(OR(N358="",NOT(ISNUMBER(M358))),"",ROUND(N358*M358,2))</f>
        <v/>
      </c>
      <c r="P358" s="70" t="str">
        <f>IF(N358="","",N358+N(O358))</f>
        <v/>
      </c>
      <c r="Q358" s="64" t="n"/>
      <c r="R358" s="73" t="str">
        <f>IF(N(Q358)&gt;0,Q358,IF(OR(N(B358)=0,ISNA(MATCH($C358,sup_code,0))),"",IF(ISNUMBER(INDEX(sup_delay,MATCH($C358,sup_code,0))),B358+INDEX(sup_delay,MATCH($C358,sup_code,0)),"")))</f>
        <v/>
      </c>
      <c r="S358" s="64" t="n"/>
      <c r="T358" s="68" t="n"/>
      <c r="U358" s="64" t="n"/>
      <c r="V358" s="65" t="n"/>
      <c r="W358" s="74" t="str">
        <f>IF(AND(A358="",E358=""),"",IF(V358="Oui",0,MAX(0,ROUND(N(H358)-N(T358),6))))</f>
        <v/>
      </c>
      <c r="X358" s="67" t="str">
        <f>IF(AND(A358="",E358=""),"",IF(V358="Oui","Annulé",IF(AND(N(H358)&gt;0,N(T358)&gt;=N(H358)),"Reçu",IF(N(S358)=0,"Brouillon",IF(AND(ISNUMBER(R358),R358&lt;p_today),"En retard",IF(N(T358)&gt;0,"Partiel","Envoyé"))))))</f>
        <v/>
      </c>
      <c r="Y358" s="75" t="str">
        <f>IF(X358="En retard",p_today-R358,IF(AND(X358="Reçu",ISNUMBER(R358)),MAX(0,N(U358)-R358),""))</f>
        <v/>
      </c>
      <c r="Z358" s="67" t="str">
        <f>IF(AND(A358="",E358=""),"",IF(A358="","N° de bon manquant",IF(N(B358)=0,"Date de commande manquante",IF(C358="","Fournisseur manquant",IF(ISNA(MATCH($C358,sup_code,0)),"Fournisseur inconnu",IF(E358="","Article manquant",IF(ISNA(MATCH($E358,art_ref,0)),"Article inconnu",IF(N(H358)&lt;=0,"Quantité invalide",IF(J358="","Prix manquant",IF(OR(N(K358)&lt;0,N(K358)&gt;=1),"Remise invalide",IF(M358="","TVA manquante",IF(ISNA(MATCH(M358,p_tva,0)),"Taux de TVA inconnu",IF(COUNTIFS(po_num,A358,po_sup,"&lt;&gt;"&amp;C358)&gt;0,"Fournisseur différent sur ce bon",IF(COUNTIFS(po_num,A358,po_date,"&lt;&gt;"&amp;B358)&gt;0,"Date différente sur ce bon",IF(COUNTIF(po_num,A358)&gt;25,"Plus de 25 lignes sur ce bon",IF(R358="","Date de livraison manquante",IF(R358&lt;B358,"Livraison avant la commande",IF(AND(N(T358)&gt;0,N(S358)=0),"Date d'envoi manquante",IF(N(T358)&gt;N(H358),"Reçu plus que commandé",IF(AND(N(T358)&gt;0,N(U358)=0),"Date de réception manquante",IF(AND(N(U358)&gt;0,U358&lt;B358),"Réception avant la commande","OK")))))))))))))))))))))</f>
        <v/>
      </c>
      <c r="AA358" s="66" t="str">
        <f>IF(AND(X358="Reçu",ISNUMBER(R358)),IF(N(U358)&lt;=R358,1,0),"")</f>
        <v/>
      </c>
      <c r="AB358" s="76" t="str">
        <f>IF(OR(X358="Envoyé",X358="Partiel",X358="En retard"),IF(ISNUMBER(R358),R358,100000)+ROW()/100000,"")</f>
        <v/>
      </c>
      <c r="AC358" s="66" t="str">
        <f>IF(A358="","",IF(COUNTIF($A$6:A358,A358)=1,1,""))</f>
        <v/>
      </c>
      <c r="AD358" s="66" t="str">
        <f>IF(AC358=1,COUNT($AC$6:AC358),"")</f>
        <v/>
      </c>
      <c r="AE358" s="66" t="str">
        <f>IFERROR(INDEX(po_num,MATCH(353,po_seq,0))&amp;"","")</f>
        <v/>
      </c>
      <c r="AF358" s="66" t="str">
        <f>IF(OR(A358="",p_po=""),"",IF(A358&amp;""=p_po,COUNTIF($A$6:A358,A358),""))</f>
        <v/>
      </c>
      <c r="AG358" s="66" t="str">
        <f>IF(OR(AB358="",A358=""),"",IF(COUNTIFS($A$6:A358,A358,$AB$6:AB358,"&gt;0")=1,1,""))</f>
        <v/>
      </c>
      <c r="AH358" s="70" t="str">
        <f>IF(AB358="","",ROUND(N(W358)*N(J358)*(1-N(K358)),2))</f>
        <v/>
      </c>
      <c r="AI358" s="70" t="str">
        <f>IF(OR(J358="",N(T358)&lt;=0,V358="Oui"),"",ROUND(N(T358)*J358*(1-N(K358)),2))</f>
        <v/>
      </c>
    </row>
    <row r="359">
      <c r="A359" s="63" t="n"/>
      <c r="B359" s="64" t="n"/>
      <c r="C359" s="65" t="n"/>
      <c r="D359" s="66" t="str">
        <f>IF(C359="","",IFERROR(INDEX(sup_name,MATCH($C359,sup_code,0))&amp;"","Fournisseur inconnu"))</f>
        <v/>
      </c>
      <c r="E359" s="63" t="n"/>
      <c r="F359" s="66" t="str">
        <f>IF(E359="","",IFERROR(INDEX(art_des,MATCH($E359,art_ref,0))&amp;"","Article inconnu"))</f>
        <v/>
      </c>
      <c r="G359" s="67" t="str">
        <f>IF(E359="","",IFERROR(INDEX(art_unit,MATCH($E359,art_ref,0))&amp;"",""))</f>
        <v/>
      </c>
      <c r="H359" s="68" t="n"/>
      <c r="I359" s="69" t="n"/>
      <c r="J359" s="70" t="str">
        <f>IF(E359="","",IF(ISNUMBER(I359),I359,IFERROR(IF(ISNUMBER(INDEX(art_price,MATCH($E359,art_ref,0))),INDEX(art_price,MATCH($E359,art_ref,0)),""),"")))</f>
        <v/>
      </c>
      <c r="K359" s="71" t="n"/>
      <c r="L359" s="72" t="n"/>
      <c r="M359" s="72" t="str">
        <f>IF(E359="","",IF(L359&lt;&gt;"",L359,IFERROR(IF(ISNUMBER(INDEX(art_tva,MATCH($E359,art_ref,0))),INDEX(art_tva,MATCH($E359,art_ref,0)),""),"")))</f>
        <v/>
      </c>
      <c r="N359" s="70" t="str">
        <f>IF(OR(E359="",J359=""),"",ROUND(N(H359)*J359*(1-N(K359)),2))</f>
        <v/>
      </c>
      <c r="O359" s="70" t="str">
        <f>IF(OR(N359="",NOT(ISNUMBER(M359))),"",ROUND(N359*M359,2))</f>
        <v/>
      </c>
      <c r="P359" s="70" t="str">
        <f>IF(N359="","",N359+N(O359))</f>
        <v/>
      </c>
      <c r="Q359" s="64" t="n"/>
      <c r="R359" s="73" t="str">
        <f>IF(N(Q359)&gt;0,Q359,IF(OR(N(B359)=0,ISNA(MATCH($C359,sup_code,0))),"",IF(ISNUMBER(INDEX(sup_delay,MATCH($C359,sup_code,0))),B359+INDEX(sup_delay,MATCH($C359,sup_code,0)),"")))</f>
        <v/>
      </c>
      <c r="S359" s="64" t="n"/>
      <c r="T359" s="68" t="n"/>
      <c r="U359" s="64" t="n"/>
      <c r="V359" s="65" t="n"/>
      <c r="W359" s="74" t="str">
        <f>IF(AND(A359="",E359=""),"",IF(V359="Oui",0,MAX(0,ROUND(N(H359)-N(T359),6))))</f>
        <v/>
      </c>
      <c r="X359" s="67" t="str">
        <f>IF(AND(A359="",E359=""),"",IF(V359="Oui","Annulé",IF(AND(N(H359)&gt;0,N(T359)&gt;=N(H359)),"Reçu",IF(N(S359)=0,"Brouillon",IF(AND(ISNUMBER(R359),R359&lt;p_today),"En retard",IF(N(T359)&gt;0,"Partiel","Envoyé"))))))</f>
        <v/>
      </c>
      <c r="Y359" s="75" t="str">
        <f>IF(X359="En retard",p_today-R359,IF(AND(X359="Reçu",ISNUMBER(R359)),MAX(0,N(U359)-R359),""))</f>
        <v/>
      </c>
      <c r="Z359" s="67" t="str">
        <f>IF(AND(A359="",E359=""),"",IF(A359="","N° de bon manquant",IF(N(B359)=0,"Date de commande manquante",IF(C359="","Fournisseur manquant",IF(ISNA(MATCH($C359,sup_code,0)),"Fournisseur inconnu",IF(E359="","Article manquant",IF(ISNA(MATCH($E359,art_ref,0)),"Article inconnu",IF(N(H359)&lt;=0,"Quantité invalide",IF(J359="","Prix manquant",IF(OR(N(K359)&lt;0,N(K359)&gt;=1),"Remise invalide",IF(M359="","TVA manquante",IF(ISNA(MATCH(M359,p_tva,0)),"Taux de TVA inconnu",IF(COUNTIFS(po_num,A359,po_sup,"&lt;&gt;"&amp;C359)&gt;0,"Fournisseur différent sur ce bon",IF(COUNTIFS(po_num,A359,po_date,"&lt;&gt;"&amp;B359)&gt;0,"Date différente sur ce bon",IF(COUNTIF(po_num,A359)&gt;25,"Plus de 25 lignes sur ce bon",IF(R359="","Date de livraison manquante",IF(R359&lt;B359,"Livraison avant la commande",IF(AND(N(T359)&gt;0,N(S359)=0),"Date d'envoi manquante",IF(N(T359)&gt;N(H359),"Reçu plus que commandé",IF(AND(N(T359)&gt;0,N(U359)=0),"Date de réception manquante",IF(AND(N(U359)&gt;0,U359&lt;B359),"Réception avant la commande","OK")))))))))))))))))))))</f>
        <v/>
      </c>
      <c r="AA359" s="66" t="str">
        <f>IF(AND(X359="Reçu",ISNUMBER(R359)),IF(N(U359)&lt;=R359,1,0),"")</f>
        <v/>
      </c>
      <c r="AB359" s="76" t="str">
        <f>IF(OR(X359="Envoyé",X359="Partiel",X359="En retard"),IF(ISNUMBER(R359),R359,100000)+ROW()/100000,"")</f>
        <v/>
      </c>
      <c r="AC359" s="66" t="str">
        <f>IF(A359="","",IF(COUNTIF($A$6:A359,A359)=1,1,""))</f>
        <v/>
      </c>
      <c r="AD359" s="66" t="str">
        <f>IF(AC359=1,COUNT($AC$6:AC359),"")</f>
        <v/>
      </c>
      <c r="AE359" s="66" t="str">
        <f>IFERROR(INDEX(po_num,MATCH(354,po_seq,0))&amp;"","")</f>
        <v/>
      </c>
      <c r="AF359" s="66" t="str">
        <f>IF(OR(A359="",p_po=""),"",IF(A359&amp;""=p_po,COUNTIF($A$6:A359,A359),""))</f>
        <v/>
      </c>
      <c r="AG359" s="66" t="str">
        <f>IF(OR(AB359="",A359=""),"",IF(COUNTIFS($A$6:A359,A359,$AB$6:AB359,"&gt;0")=1,1,""))</f>
        <v/>
      </c>
      <c r="AH359" s="70" t="str">
        <f>IF(AB359="","",ROUND(N(W359)*N(J359)*(1-N(K359)),2))</f>
        <v/>
      </c>
      <c r="AI359" s="70" t="str">
        <f>IF(OR(J359="",N(T359)&lt;=0,V359="Oui"),"",ROUND(N(T359)*J359*(1-N(K359)),2))</f>
        <v/>
      </c>
    </row>
    <row r="360">
      <c r="A360" s="63" t="n"/>
      <c r="B360" s="64" t="n"/>
      <c r="C360" s="65" t="n"/>
      <c r="D360" s="66" t="str">
        <f>IF(C360="","",IFERROR(INDEX(sup_name,MATCH($C360,sup_code,0))&amp;"","Fournisseur inconnu"))</f>
        <v/>
      </c>
      <c r="E360" s="63" t="n"/>
      <c r="F360" s="66" t="str">
        <f>IF(E360="","",IFERROR(INDEX(art_des,MATCH($E360,art_ref,0))&amp;"","Article inconnu"))</f>
        <v/>
      </c>
      <c r="G360" s="67" t="str">
        <f>IF(E360="","",IFERROR(INDEX(art_unit,MATCH($E360,art_ref,0))&amp;"",""))</f>
        <v/>
      </c>
      <c r="H360" s="68" t="n"/>
      <c r="I360" s="69" t="n"/>
      <c r="J360" s="70" t="str">
        <f>IF(E360="","",IF(ISNUMBER(I360),I360,IFERROR(IF(ISNUMBER(INDEX(art_price,MATCH($E360,art_ref,0))),INDEX(art_price,MATCH($E360,art_ref,0)),""),"")))</f>
        <v/>
      </c>
      <c r="K360" s="71" t="n"/>
      <c r="L360" s="72" t="n"/>
      <c r="M360" s="72" t="str">
        <f>IF(E360="","",IF(L360&lt;&gt;"",L360,IFERROR(IF(ISNUMBER(INDEX(art_tva,MATCH($E360,art_ref,0))),INDEX(art_tva,MATCH($E360,art_ref,0)),""),"")))</f>
        <v/>
      </c>
      <c r="N360" s="70" t="str">
        <f>IF(OR(E360="",J360=""),"",ROUND(N(H360)*J360*(1-N(K360)),2))</f>
        <v/>
      </c>
      <c r="O360" s="70" t="str">
        <f>IF(OR(N360="",NOT(ISNUMBER(M360))),"",ROUND(N360*M360,2))</f>
        <v/>
      </c>
      <c r="P360" s="70" t="str">
        <f>IF(N360="","",N360+N(O360))</f>
        <v/>
      </c>
      <c r="Q360" s="64" t="n"/>
      <c r="R360" s="73" t="str">
        <f>IF(N(Q360)&gt;0,Q360,IF(OR(N(B360)=0,ISNA(MATCH($C360,sup_code,0))),"",IF(ISNUMBER(INDEX(sup_delay,MATCH($C360,sup_code,0))),B360+INDEX(sup_delay,MATCH($C360,sup_code,0)),"")))</f>
        <v/>
      </c>
      <c r="S360" s="64" t="n"/>
      <c r="T360" s="68" t="n"/>
      <c r="U360" s="64" t="n"/>
      <c r="V360" s="65" t="n"/>
      <c r="W360" s="74" t="str">
        <f>IF(AND(A360="",E360=""),"",IF(V360="Oui",0,MAX(0,ROUND(N(H360)-N(T360),6))))</f>
        <v/>
      </c>
      <c r="X360" s="67" t="str">
        <f>IF(AND(A360="",E360=""),"",IF(V360="Oui","Annulé",IF(AND(N(H360)&gt;0,N(T360)&gt;=N(H360)),"Reçu",IF(N(S360)=0,"Brouillon",IF(AND(ISNUMBER(R360),R360&lt;p_today),"En retard",IF(N(T360)&gt;0,"Partiel","Envoyé"))))))</f>
        <v/>
      </c>
      <c r="Y360" s="75" t="str">
        <f>IF(X360="En retard",p_today-R360,IF(AND(X360="Reçu",ISNUMBER(R360)),MAX(0,N(U360)-R360),""))</f>
        <v/>
      </c>
      <c r="Z360" s="67" t="str">
        <f>IF(AND(A360="",E360=""),"",IF(A360="","N° de bon manquant",IF(N(B360)=0,"Date de commande manquante",IF(C360="","Fournisseur manquant",IF(ISNA(MATCH($C360,sup_code,0)),"Fournisseur inconnu",IF(E360="","Article manquant",IF(ISNA(MATCH($E360,art_ref,0)),"Article inconnu",IF(N(H360)&lt;=0,"Quantité invalide",IF(J360="","Prix manquant",IF(OR(N(K360)&lt;0,N(K360)&gt;=1),"Remise invalide",IF(M360="","TVA manquante",IF(ISNA(MATCH(M360,p_tva,0)),"Taux de TVA inconnu",IF(COUNTIFS(po_num,A360,po_sup,"&lt;&gt;"&amp;C360)&gt;0,"Fournisseur différent sur ce bon",IF(COUNTIFS(po_num,A360,po_date,"&lt;&gt;"&amp;B360)&gt;0,"Date différente sur ce bon",IF(COUNTIF(po_num,A360)&gt;25,"Plus de 25 lignes sur ce bon",IF(R360="","Date de livraison manquante",IF(R360&lt;B360,"Livraison avant la commande",IF(AND(N(T360)&gt;0,N(S360)=0),"Date d'envoi manquante",IF(N(T360)&gt;N(H360),"Reçu plus que commandé",IF(AND(N(T360)&gt;0,N(U360)=0),"Date de réception manquante",IF(AND(N(U360)&gt;0,U360&lt;B360),"Réception avant la commande","OK")))))))))))))))))))))</f>
        <v/>
      </c>
      <c r="AA360" s="66" t="str">
        <f>IF(AND(X360="Reçu",ISNUMBER(R360)),IF(N(U360)&lt;=R360,1,0),"")</f>
        <v/>
      </c>
      <c r="AB360" s="76" t="str">
        <f>IF(OR(X360="Envoyé",X360="Partiel",X360="En retard"),IF(ISNUMBER(R360),R360,100000)+ROW()/100000,"")</f>
        <v/>
      </c>
      <c r="AC360" s="66" t="str">
        <f>IF(A360="","",IF(COUNTIF($A$6:A360,A360)=1,1,""))</f>
        <v/>
      </c>
      <c r="AD360" s="66" t="str">
        <f>IF(AC360=1,COUNT($AC$6:AC360),"")</f>
        <v/>
      </c>
      <c r="AE360" s="66" t="str">
        <f>IFERROR(INDEX(po_num,MATCH(355,po_seq,0))&amp;"","")</f>
        <v/>
      </c>
      <c r="AF360" s="66" t="str">
        <f>IF(OR(A360="",p_po=""),"",IF(A360&amp;""=p_po,COUNTIF($A$6:A360,A360),""))</f>
        <v/>
      </c>
      <c r="AG360" s="66" t="str">
        <f>IF(OR(AB360="",A360=""),"",IF(COUNTIFS($A$6:A360,A360,$AB$6:AB360,"&gt;0")=1,1,""))</f>
        <v/>
      </c>
      <c r="AH360" s="70" t="str">
        <f>IF(AB360="","",ROUND(N(W360)*N(J360)*(1-N(K360)),2))</f>
        <v/>
      </c>
      <c r="AI360" s="70" t="str">
        <f>IF(OR(J360="",N(T360)&lt;=0,V360="Oui"),"",ROUND(N(T360)*J360*(1-N(K360)),2))</f>
        <v/>
      </c>
    </row>
    <row r="361">
      <c r="A361" s="63" t="n"/>
      <c r="B361" s="64" t="n"/>
      <c r="C361" s="65" t="n"/>
      <c r="D361" s="66" t="str">
        <f>IF(C361="","",IFERROR(INDEX(sup_name,MATCH($C361,sup_code,0))&amp;"","Fournisseur inconnu"))</f>
        <v/>
      </c>
      <c r="E361" s="63" t="n"/>
      <c r="F361" s="66" t="str">
        <f>IF(E361="","",IFERROR(INDEX(art_des,MATCH($E361,art_ref,0))&amp;"","Article inconnu"))</f>
        <v/>
      </c>
      <c r="G361" s="67" t="str">
        <f>IF(E361="","",IFERROR(INDEX(art_unit,MATCH($E361,art_ref,0))&amp;"",""))</f>
        <v/>
      </c>
      <c r="H361" s="68" t="n"/>
      <c r="I361" s="69" t="n"/>
      <c r="J361" s="70" t="str">
        <f>IF(E361="","",IF(ISNUMBER(I361),I361,IFERROR(IF(ISNUMBER(INDEX(art_price,MATCH($E361,art_ref,0))),INDEX(art_price,MATCH($E361,art_ref,0)),""),"")))</f>
        <v/>
      </c>
      <c r="K361" s="71" t="n"/>
      <c r="L361" s="72" t="n"/>
      <c r="M361" s="72" t="str">
        <f>IF(E361="","",IF(L361&lt;&gt;"",L361,IFERROR(IF(ISNUMBER(INDEX(art_tva,MATCH($E361,art_ref,0))),INDEX(art_tva,MATCH($E361,art_ref,0)),""),"")))</f>
        <v/>
      </c>
      <c r="N361" s="70" t="str">
        <f>IF(OR(E361="",J361=""),"",ROUND(N(H361)*J361*(1-N(K361)),2))</f>
        <v/>
      </c>
      <c r="O361" s="70" t="str">
        <f>IF(OR(N361="",NOT(ISNUMBER(M361))),"",ROUND(N361*M361,2))</f>
        <v/>
      </c>
      <c r="P361" s="70" t="str">
        <f>IF(N361="","",N361+N(O361))</f>
        <v/>
      </c>
      <c r="Q361" s="64" t="n"/>
      <c r="R361" s="73" t="str">
        <f>IF(N(Q361)&gt;0,Q361,IF(OR(N(B361)=0,ISNA(MATCH($C361,sup_code,0))),"",IF(ISNUMBER(INDEX(sup_delay,MATCH($C361,sup_code,0))),B361+INDEX(sup_delay,MATCH($C361,sup_code,0)),"")))</f>
        <v/>
      </c>
      <c r="S361" s="64" t="n"/>
      <c r="T361" s="68" t="n"/>
      <c r="U361" s="64" t="n"/>
      <c r="V361" s="65" t="n"/>
      <c r="W361" s="74" t="str">
        <f>IF(AND(A361="",E361=""),"",IF(V361="Oui",0,MAX(0,ROUND(N(H361)-N(T361),6))))</f>
        <v/>
      </c>
      <c r="X361" s="67" t="str">
        <f>IF(AND(A361="",E361=""),"",IF(V361="Oui","Annulé",IF(AND(N(H361)&gt;0,N(T361)&gt;=N(H361)),"Reçu",IF(N(S361)=0,"Brouillon",IF(AND(ISNUMBER(R361),R361&lt;p_today),"En retard",IF(N(T361)&gt;0,"Partiel","Envoyé"))))))</f>
        <v/>
      </c>
      <c r="Y361" s="75" t="str">
        <f>IF(X361="En retard",p_today-R361,IF(AND(X361="Reçu",ISNUMBER(R361)),MAX(0,N(U361)-R361),""))</f>
        <v/>
      </c>
      <c r="Z361" s="67" t="str">
        <f>IF(AND(A361="",E361=""),"",IF(A361="","N° de bon manquant",IF(N(B361)=0,"Date de commande manquante",IF(C361="","Fournisseur manquant",IF(ISNA(MATCH($C361,sup_code,0)),"Fournisseur inconnu",IF(E361="","Article manquant",IF(ISNA(MATCH($E361,art_ref,0)),"Article inconnu",IF(N(H361)&lt;=0,"Quantité invalide",IF(J361="","Prix manquant",IF(OR(N(K361)&lt;0,N(K361)&gt;=1),"Remise invalide",IF(M361="","TVA manquante",IF(ISNA(MATCH(M361,p_tva,0)),"Taux de TVA inconnu",IF(COUNTIFS(po_num,A361,po_sup,"&lt;&gt;"&amp;C361)&gt;0,"Fournisseur différent sur ce bon",IF(COUNTIFS(po_num,A361,po_date,"&lt;&gt;"&amp;B361)&gt;0,"Date différente sur ce bon",IF(COUNTIF(po_num,A361)&gt;25,"Plus de 25 lignes sur ce bon",IF(R361="","Date de livraison manquante",IF(R361&lt;B361,"Livraison avant la commande",IF(AND(N(T361)&gt;0,N(S361)=0),"Date d'envoi manquante",IF(N(T361)&gt;N(H361),"Reçu plus que commandé",IF(AND(N(T361)&gt;0,N(U361)=0),"Date de réception manquante",IF(AND(N(U361)&gt;0,U361&lt;B361),"Réception avant la commande","OK")))))))))))))))))))))</f>
        <v/>
      </c>
      <c r="AA361" s="66" t="str">
        <f>IF(AND(X361="Reçu",ISNUMBER(R361)),IF(N(U361)&lt;=R361,1,0),"")</f>
        <v/>
      </c>
      <c r="AB361" s="76" t="str">
        <f>IF(OR(X361="Envoyé",X361="Partiel",X361="En retard"),IF(ISNUMBER(R361),R361,100000)+ROW()/100000,"")</f>
        <v/>
      </c>
      <c r="AC361" s="66" t="str">
        <f>IF(A361="","",IF(COUNTIF($A$6:A361,A361)=1,1,""))</f>
        <v/>
      </c>
      <c r="AD361" s="66" t="str">
        <f>IF(AC361=1,COUNT($AC$6:AC361),"")</f>
        <v/>
      </c>
      <c r="AE361" s="66" t="str">
        <f>IFERROR(INDEX(po_num,MATCH(356,po_seq,0))&amp;"","")</f>
        <v/>
      </c>
      <c r="AF361" s="66" t="str">
        <f>IF(OR(A361="",p_po=""),"",IF(A361&amp;""=p_po,COUNTIF($A$6:A361,A361),""))</f>
        <v/>
      </c>
      <c r="AG361" s="66" t="str">
        <f>IF(OR(AB361="",A361=""),"",IF(COUNTIFS($A$6:A361,A361,$AB$6:AB361,"&gt;0")=1,1,""))</f>
        <v/>
      </c>
      <c r="AH361" s="70" t="str">
        <f>IF(AB361="","",ROUND(N(W361)*N(J361)*(1-N(K361)),2))</f>
        <v/>
      </c>
      <c r="AI361" s="70" t="str">
        <f>IF(OR(J361="",N(T361)&lt;=0,V361="Oui"),"",ROUND(N(T361)*J361*(1-N(K361)),2))</f>
        <v/>
      </c>
    </row>
    <row r="362">
      <c r="A362" s="63" t="n"/>
      <c r="B362" s="64" t="n"/>
      <c r="C362" s="65" t="n"/>
      <c r="D362" s="66" t="str">
        <f>IF(C362="","",IFERROR(INDEX(sup_name,MATCH($C362,sup_code,0))&amp;"","Fournisseur inconnu"))</f>
        <v/>
      </c>
      <c r="E362" s="63" t="n"/>
      <c r="F362" s="66" t="str">
        <f>IF(E362="","",IFERROR(INDEX(art_des,MATCH($E362,art_ref,0))&amp;"","Article inconnu"))</f>
        <v/>
      </c>
      <c r="G362" s="67" t="str">
        <f>IF(E362="","",IFERROR(INDEX(art_unit,MATCH($E362,art_ref,0))&amp;"",""))</f>
        <v/>
      </c>
      <c r="H362" s="68" t="n"/>
      <c r="I362" s="69" t="n"/>
      <c r="J362" s="70" t="str">
        <f>IF(E362="","",IF(ISNUMBER(I362),I362,IFERROR(IF(ISNUMBER(INDEX(art_price,MATCH($E362,art_ref,0))),INDEX(art_price,MATCH($E362,art_ref,0)),""),"")))</f>
        <v/>
      </c>
      <c r="K362" s="71" t="n"/>
      <c r="L362" s="72" t="n"/>
      <c r="M362" s="72" t="str">
        <f>IF(E362="","",IF(L362&lt;&gt;"",L362,IFERROR(IF(ISNUMBER(INDEX(art_tva,MATCH($E362,art_ref,0))),INDEX(art_tva,MATCH($E362,art_ref,0)),""),"")))</f>
        <v/>
      </c>
      <c r="N362" s="70" t="str">
        <f>IF(OR(E362="",J362=""),"",ROUND(N(H362)*J362*(1-N(K362)),2))</f>
        <v/>
      </c>
      <c r="O362" s="70" t="str">
        <f>IF(OR(N362="",NOT(ISNUMBER(M362))),"",ROUND(N362*M362,2))</f>
        <v/>
      </c>
      <c r="P362" s="70" t="str">
        <f>IF(N362="","",N362+N(O362))</f>
        <v/>
      </c>
      <c r="Q362" s="64" t="n"/>
      <c r="R362" s="73" t="str">
        <f>IF(N(Q362)&gt;0,Q362,IF(OR(N(B362)=0,ISNA(MATCH($C362,sup_code,0))),"",IF(ISNUMBER(INDEX(sup_delay,MATCH($C362,sup_code,0))),B362+INDEX(sup_delay,MATCH($C362,sup_code,0)),"")))</f>
        <v/>
      </c>
      <c r="S362" s="64" t="n"/>
      <c r="T362" s="68" t="n"/>
      <c r="U362" s="64" t="n"/>
      <c r="V362" s="65" t="n"/>
      <c r="W362" s="74" t="str">
        <f>IF(AND(A362="",E362=""),"",IF(V362="Oui",0,MAX(0,ROUND(N(H362)-N(T362),6))))</f>
        <v/>
      </c>
      <c r="X362" s="67" t="str">
        <f>IF(AND(A362="",E362=""),"",IF(V362="Oui","Annulé",IF(AND(N(H362)&gt;0,N(T362)&gt;=N(H362)),"Reçu",IF(N(S362)=0,"Brouillon",IF(AND(ISNUMBER(R362),R362&lt;p_today),"En retard",IF(N(T362)&gt;0,"Partiel","Envoyé"))))))</f>
        <v/>
      </c>
      <c r="Y362" s="75" t="str">
        <f>IF(X362="En retard",p_today-R362,IF(AND(X362="Reçu",ISNUMBER(R362)),MAX(0,N(U362)-R362),""))</f>
        <v/>
      </c>
      <c r="Z362" s="67" t="str">
        <f>IF(AND(A362="",E362=""),"",IF(A362="","N° de bon manquant",IF(N(B362)=0,"Date de commande manquante",IF(C362="","Fournisseur manquant",IF(ISNA(MATCH($C362,sup_code,0)),"Fournisseur inconnu",IF(E362="","Article manquant",IF(ISNA(MATCH($E362,art_ref,0)),"Article inconnu",IF(N(H362)&lt;=0,"Quantité invalide",IF(J362="","Prix manquant",IF(OR(N(K362)&lt;0,N(K362)&gt;=1),"Remise invalide",IF(M362="","TVA manquante",IF(ISNA(MATCH(M362,p_tva,0)),"Taux de TVA inconnu",IF(COUNTIFS(po_num,A362,po_sup,"&lt;&gt;"&amp;C362)&gt;0,"Fournisseur différent sur ce bon",IF(COUNTIFS(po_num,A362,po_date,"&lt;&gt;"&amp;B362)&gt;0,"Date différente sur ce bon",IF(COUNTIF(po_num,A362)&gt;25,"Plus de 25 lignes sur ce bon",IF(R362="","Date de livraison manquante",IF(R362&lt;B362,"Livraison avant la commande",IF(AND(N(T362)&gt;0,N(S362)=0),"Date d'envoi manquante",IF(N(T362)&gt;N(H362),"Reçu plus que commandé",IF(AND(N(T362)&gt;0,N(U362)=0),"Date de réception manquante",IF(AND(N(U362)&gt;0,U362&lt;B362),"Réception avant la commande","OK")))))))))))))))))))))</f>
        <v/>
      </c>
      <c r="AA362" s="66" t="str">
        <f>IF(AND(X362="Reçu",ISNUMBER(R362)),IF(N(U362)&lt;=R362,1,0),"")</f>
        <v/>
      </c>
      <c r="AB362" s="76" t="str">
        <f>IF(OR(X362="Envoyé",X362="Partiel",X362="En retard"),IF(ISNUMBER(R362),R362,100000)+ROW()/100000,"")</f>
        <v/>
      </c>
      <c r="AC362" s="66" t="str">
        <f>IF(A362="","",IF(COUNTIF($A$6:A362,A362)=1,1,""))</f>
        <v/>
      </c>
      <c r="AD362" s="66" t="str">
        <f>IF(AC362=1,COUNT($AC$6:AC362),"")</f>
        <v/>
      </c>
      <c r="AE362" s="66" t="str">
        <f>IFERROR(INDEX(po_num,MATCH(357,po_seq,0))&amp;"","")</f>
        <v/>
      </c>
      <c r="AF362" s="66" t="str">
        <f>IF(OR(A362="",p_po=""),"",IF(A362&amp;""=p_po,COUNTIF($A$6:A362,A362),""))</f>
        <v/>
      </c>
      <c r="AG362" s="66" t="str">
        <f>IF(OR(AB362="",A362=""),"",IF(COUNTIFS($A$6:A362,A362,$AB$6:AB362,"&gt;0")=1,1,""))</f>
        <v/>
      </c>
      <c r="AH362" s="70" t="str">
        <f>IF(AB362="","",ROUND(N(W362)*N(J362)*(1-N(K362)),2))</f>
        <v/>
      </c>
      <c r="AI362" s="70" t="str">
        <f>IF(OR(J362="",N(T362)&lt;=0,V362="Oui"),"",ROUND(N(T362)*J362*(1-N(K362)),2))</f>
        <v/>
      </c>
    </row>
    <row r="363">
      <c r="A363" s="63" t="n"/>
      <c r="B363" s="64" t="n"/>
      <c r="C363" s="65" t="n"/>
      <c r="D363" s="66" t="str">
        <f>IF(C363="","",IFERROR(INDEX(sup_name,MATCH($C363,sup_code,0))&amp;"","Fournisseur inconnu"))</f>
        <v/>
      </c>
      <c r="E363" s="63" t="n"/>
      <c r="F363" s="66" t="str">
        <f>IF(E363="","",IFERROR(INDEX(art_des,MATCH($E363,art_ref,0))&amp;"","Article inconnu"))</f>
        <v/>
      </c>
      <c r="G363" s="67" t="str">
        <f>IF(E363="","",IFERROR(INDEX(art_unit,MATCH($E363,art_ref,0))&amp;"",""))</f>
        <v/>
      </c>
      <c r="H363" s="68" t="n"/>
      <c r="I363" s="69" t="n"/>
      <c r="J363" s="70" t="str">
        <f>IF(E363="","",IF(ISNUMBER(I363),I363,IFERROR(IF(ISNUMBER(INDEX(art_price,MATCH($E363,art_ref,0))),INDEX(art_price,MATCH($E363,art_ref,0)),""),"")))</f>
        <v/>
      </c>
      <c r="K363" s="71" t="n"/>
      <c r="L363" s="72" t="n"/>
      <c r="M363" s="72" t="str">
        <f>IF(E363="","",IF(L363&lt;&gt;"",L363,IFERROR(IF(ISNUMBER(INDEX(art_tva,MATCH($E363,art_ref,0))),INDEX(art_tva,MATCH($E363,art_ref,0)),""),"")))</f>
        <v/>
      </c>
      <c r="N363" s="70" t="str">
        <f>IF(OR(E363="",J363=""),"",ROUND(N(H363)*J363*(1-N(K363)),2))</f>
        <v/>
      </c>
      <c r="O363" s="70" t="str">
        <f>IF(OR(N363="",NOT(ISNUMBER(M363))),"",ROUND(N363*M363,2))</f>
        <v/>
      </c>
      <c r="P363" s="70" t="str">
        <f>IF(N363="","",N363+N(O363))</f>
        <v/>
      </c>
      <c r="Q363" s="64" t="n"/>
      <c r="R363" s="73" t="str">
        <f>IF(N(Q363)&gt;0,Q363,IF(OR(N(B363)=0,ISNA(MATCH($C363,sup_code,0))),"",IF(ISNUMBER(INDEX(sup_delay,MATCH($C363,sup_code,0))),B363+INDEX(sup_delay,MATCH($C363,sup_code,0)),"")))</f>
        <v/>
      </c>
      <c r="S363" s="64" t="n"/>
      <c r="T363" s="68" t="n"/>
      <c r="U363" s="64" t="n"/>
      <c r="V363" s="65" t="n"/>
      <c r="W363" s="74" t="str">
        <f>IF(AND(A363="",E363=""),"",IF(V363="Oui",0,MAX(0,ROUND(N(H363)-N(T363),6))))</f>
        <v/>
      </c>
      <c r="X363" s="67" t="str">
        <f>IF(AND(A363="",E363=""),"",IF(V363="Oui","Annulé",IF(AND(N(H363)&gt;0,N(T363)&gt;=N(H363)),"Reçu",IF(N(S363)=0,"Brouillon",IF(AND(ISNUMBER(R363),R363&lt;p_today),"En retard",IF(N(T363)&gt;0,"Partiel","Envoyé"))))))</f>
        <v/>
      </c>
      <c r="Y363" s="75" t="str">
        <f>IF(X363="En retard",p_today-R363,IF(AND(X363="Reçu",ISNUMBER(R363)),MAX(0,N(U363)-R363),""))</f>
        <v/>
      </c>
      <c r="Z363" s="67" t="str">
        <f>IF(AND(A363="",E363=""),"",IF(A363="","N° de bon manquant",IF(N(B363)=0,"Date de commande manquante",IF(C363="","Fournisseur manquant",IF(ISNA(MATCH($C363,sup_code,0)),"Fournisseur inconnu",IF(E363="","Article manquant",IF(ISNA(MATCH($E363,art_ref,0)),"Article inconnu",IF(N(H363)&lt;=0,"Quantité invalide",IF(J363="","Prix manquant",IF(OR(N(K363)&lt;0,N(K363)&gt;=1),"Remise invalide",IF(M363="","TVA manquante",IF(ISNA(MATCH(M363,p_tva,0)),"Taux de TVA inconnu",IF(COUNTIFS(po_num,A363,po_sup,"&lt;&gt;"&amp;C363)&gt;0,"Fournisseur différent sur ce bon",IF(COUNTIFS(po_num,A363,po_date,"&lt;&gt;"&amp;B363)&gt;0,"Date différente sur ce bon",IF(COUNTIF(po_num,A363)&gt;25,"Plus de 25 lignes sur ce bon",IF(R363="","Date de livraison manquante",IF(R363&lt;B363,"Livraison avant la commande",IF(AND(N(T363)&gt;0,N(S363)=0),"Date d'envoi manquante",IF(N(T363)&gt;N(H363),"Reçu plus que commandé",IF(AND(N(T363)&gt;0,N(U363)=0),"Date de réception manquante",IF(AND(N(U363)&gt;0,U363&lt;B363),"Réception avant la commande","OK")))))))))))))))))))))</f>
        <v/>
      </c>
      <c r="AA363" s="66" t="str">
        <f>IF(AND(X363="Reçu",ISNUMBER(R363)),IF(N(U363)&lt;=R363,1,0),"")</f>
        <v/>
      </c>
      <c r="AB363" s="76" t="str">
        <f>IF(OR(X363="Envoyé",X363="Partiel",X363="En retard"),IF(ISNUMBER(R363),R363,100000)+ROW()/100000,"")</f>
        <v/>
      </c>
      <c r="AC363" s="66" t="str">
        <f>IF(A363="","",IF(COUNTIF($A$6:A363,A363)=1,1,""))</f>
        <v/>
      </c>
      <c r="AD363" s="66" t="str">
        <f>IF(AC363=1,COUNT($AC$6:AC363),"")</f>
        <v/>
      </c>
      <c r="AE363" s="66" t="str">
        <f>IFERROR(INDEX(po_num,MATCH(358,po_seq,0))&amp;"","")</f>
        <v/>
      </c>
      <c r="AF363" s="66" t="str">
        <f>IF(OR(A363="",p_po=""),"",IF(A363&amp;""=p_po,COUNTIF($A$6:A363,A363),""))</f>
        <v/>
      </c>
      <c r="AG363" s="66" t="str">
        <f>IF(OR(AB363="",A363=""),"",IF(COUNTIFS($A$6:A363,A363,$AB$6:AB363,"&gt;0")=1,1,""))</f>
        <v/>
      </c>
      <c r="AH363" s="70" t="str">
        <f>IF(AB363="","",ROUND(N(W363)*N(J363)*(1-N(K363)),2))</f>
        <v/>
      </c>
      <c r="AI363" s="70" t="str">
        <f>IF(OR(J363="",N(T363)&lt;=0,V363="Oui"),"",ROUND(N(T363)*J363*(1-N(K363)),2))</f>
        <v/>
      </c>
    </row>
    <row r="364">
      <c r="A364" s="63" t="n"/>
      <c r="B364" s="64" t="n"/>
      <c r="C364" s="65" t="n"/>
      <c r="D364" s="66" t="str">
        <f>IF(C364="","",IFERROR(INDEX(sup_name,MATCH($C364,sup_code,0))&amp;"","Fournisseur inconnu"))</f>
        <v/>
      </c>
      <c r="E364" s="63" t="n"/>
      <c r="F364" s="66" t="str">
        <f>IF(E364="","",IFERROR(INDEX(art_des,MATCH($E364,art_ref,0))&amp;"","Article inconnu"))</f>
        <v/>
      </c>
      <c r="G364" s="67" t="str">
        <f>IF(E364="","",IFERROR(INDEX(art_unit,MATCH($E364,art_ref,0))&amp;"",""))</f>
        <v/>
      </c>
      <c r="H364" s="68" t="n"/>
      <c r="I364" s="69" t="n"/>
      <c r="J364" s="70" t="str">
        <f>IF(E364="","",IF(ISNUMBER(I364),I364,IFERROR(IF(ISNUMBER(INDEX(art_price,MATCH($E364,art_ref,0))),INDEX(art_price,MATCH($E364,art_ref,0)),""),"")))</f>
        <v/>
      </c>
      <c r="K364" s="71" t="n"/>
      <c r="L364" s="72" t="n"/>
      <c r="M364" s="72" t="str">
        <f>IF(E364="","",IF(L364&lt;&gt;"",L364,IFERROR(IF(ISNUMBER(INDEX(art_tva,MATCH($E364,art_ref,0))),INDEX(art_tva,MATCH($E364,art_ref,0)),""),"")))</f>
        <v/>
      </c>
      <c r="N364" s="70" t="str">
        <f>IF(OR(E364="",J364=""),"",ROUND(N(H364)*J364*(1-N(K364)),2))</f>
        <v/>
      </c>
      <c r="O364" s="70" t="str">
        <f>IF(OR(N364="",NOT(ISNUMBER(M364))),"",ROUND(N364*M364,2))</f>
        <v/>
      </c>
      <c r="P364" s="70" t="str">
        <f>IF(N364="","",N364+N(O364))</f>
        <v/>
      </c>
      <c r="Q364" s="64" t="n"/>
      <c r="R364" s="73" t="str">
        <f>IF(N(Q364)&gt;0,Q364,IF(OR(N(B364)=0,ISNA(MATCH($C364,sup_code,0))),"",IF(ISNUMBER(INDEX(sup_delay,MATCH($C364,sup_code,0))),B364+INDEX(sup_delay,MATCH($C364,sup_code,0)),"")))</f>
        <v/>
      </c>
      <c r="S364" s="64" t="n"/>
      <c r="T364" s="68" t="n"/>
      <c r="U364" s="64" t="n"/>
      <c r="V364" s="65" t="n"/>
      <c r="W364" s="74" t="str">
        <f>IF(AND(A364="",E364=""),"",IF(V364="Oui",0,MAX(0,ROUND(N(H364)-N(T364),6))))</f>
        <v/>
      </c>
      <c r="X364" s="67" t="str">
        <f>IF(AND(A364="",E364=""),"",IF(V364="Oui","Annulé",IF(AND(N(H364)&gt;0,N(T364)&gt;=N(H364)),"Reçu",IF(N(S364)=0,"Brouillon",IF(AND(ISNUMBER(R364),R364&lt;p_today),"En retard",IF(N(T364)&gt;0,"Partiel","Envoyé"))))))</f>
        <v/>
      </c>
      <c r="Y364" s="75" t="str">
        <f>IF(X364="En retard",p_today-R364,IF(AND(X364="Reçu",ISNUMBER(R364)),MAX(0,N(U364)-R364),""))</f>
        <v/>
      </c>
      <c r="Z364" s="67" t="str">
        <f>IF(AND(A364="",E364=""),"",IF(A364="","N° de bon manquant",IF(N(B364)=0,"Date de commande manquante",IF(C364="","Fournisseur manquant",IF(ISNA(MATCH($C364,sup_code,0)),"Fournisseur inconnu",IF(E364="","Article manquant",IF(ISNA(MATCH($E364,art_ref,0)),"Article inconnu",IF(N(H364)&lt;=0,"Quantité invalide",IF(J364="","Prix manquant",IF(OR(N(K364)&lt;0,N(K364)&gt;=1),"Remise invalide",IF(M364="","TVA manquante",IF(ISNA(MATCH(M364,p_tva,0)),"Taux de TVA inconnu",IF(COUNTIFS(po_num,A364,po_sup,"&lt;&gt;"&amp;C364)&gt;0,"Fournisseur différent sur ce bon",IF(COUNTIFS(po_num,A364,po_date,"&lt;&gt;"&amp;B364)&gt;0,"Date différente sur ce bon",IF(COUNTIF(po_num,A364)&gt;25,"Plus de 25 lignes sur ce bon",IF(R364="","Date de livraison manquante",IF(R364&lt;B364,"Livraison avant la commande",IF(AND(N(T364)&gt;0,N(S364)=0),"Date d'envoi manquante",IF(N(T364)&gt;N(H364),"Reçu plus que commandé",IF(AND(N(T364)&gt;0,N(U364)=0),"Date de réception manquante",IF(AND(N(U364)&gt;0,U364&lt;B364),"Réception avant la commande","OK")))))))))))))))))))))</f>
        <v/>
      </c>
      <c r="AA364" s="66" t="str">
        <f>IF(AND(X364="Reçu",ISNUMBER(R364)),IF(N(U364)&lt;=R364,1,0),"")</f>
        <v/>
      </c>
      <c r="AB364" s="76" t="str">
        <f>IF(OR(X364="Envoyé",X364="Partiel",X364="En retard"),IF(ISNUMBER(R364),R364,100000)+ROW()/100000,"")</f>
        <v/>
      </c>
      <c r="AC364" s="66" t="str">
        <f>IF(A364="","",IF(COUNTIF($A$6:A364,A364)=1,1,""))</f>
        <v/>
      </c>
      <c r="AD364" s="66" t="str">
        <f>IF(AC364=1,COUNT($AC$6:AC364),"")</f>
        <v/>
      </c>
      <c r="AE364" s="66" t="str">
        <f>IFERROR(INDEX(po_num,MATCH(359,po_seq,0))&amp;"","")</f>
        <v/>
      </c>
      <c r="AF364" s="66" t="str">
        <f>IF(OR(A364="",p_po=""),"",IF(A364&amp;""=p_po,COUNTIF($A$6:A364,A364),""))</f>
        <v/>
      </c>
      <c r="AG364" s="66" t="str">
        <f>IF(OR(AB364="",A364=""),"",IF(COUNTIFS($A$6:A364,A364,$AB$6:AB364,"&gt;0")=1,1,""))</f>
        <v/>
      </c>
      <c r="AH364" s="70" t="str">
        <f>IF(AB364="","",ROUND(N(W364)*N(J364)*(1-N(K364)),2))</f>
        <v/>
      </c>
      <c r="AI364" s="70" t="str">
        <f>IF(OR(J364="",N(T364)&lt;=0,V364="Oui"),"",ROUND(N(T364)*J364*(1-N(K364)),2))</f>
        <v/>
      </c>
    </row>
    <row r="365">
      <c r="A365" s="63" t="n"/>
      <c r="B365" s="64" t="n"/>
      <c r="C365" s="65" t="n"/>
      <c r="D365" s="66" t="str">
        <f>IF(C365="","",IFERROR(INDEX(sup_name,MATCH($C365,sup_code,0))&amp;"","Fournisseur inconnu"))</f>
        <v/>
      </c>
      <c r="E365" s="63" t="n"/>
      <c r="F365" s="66" t="str">
        <f>IF(E365="","",IFERROR(INDEX(art_des,MATCH($E365,art_ref,0))&amp;"","Article inconnu"))</f>
        <v/>
      </c>
      <c r="G365" s="67" t="str">
        <f>IF(E365="","",IFERROR(INDEX(art_unit,MATCH($E365,art_ref,0))&amp;"",""))</f>
        <v/>
      </c>
      <c r="H365" s="68" t="n"/>
      <c r="I365" s="69" t="n"/>
      <c r="J365" s="70" t="str">
        <f>IF(E365="","",IF(ISNUMBER(I365),I365,IFERROR(IF(ISNUMBER(INDEX(art_price,MATCH($E365,art_ref,0))),INDEX(art_price,MATCH($E365,art_ref,0)),""),"")))</f>
        <v/>
      </c>
      <c r="K365" s="71" t="n"/>
      <c r="L365" s="72" t="n"/>
      <c r="M365" s="72" t="str">
        <f>IF(E365="","",IF(L365&lt;&gt;"",L365,IFERROR(IF(ISNUMBER(INDEX(art_tva,MATCH($E365,art_ref,0))),INDEX(art_tva,MATCH($E365,art_ref,0)),""),"")))</f>
        <v/>
      </c>
      <c r="N365" s="70" t="str">
        <f>IF(OR(E365="",J365=""),"",ROUND(N(H365)*J365*(1-N(K365)),2))</f>
        <v/>
      </c>
      <c r="O365" s="70" t="str">
        <f>IF(OR(N365="",NOT(ISNUMBER(M365))),"",ROUND(N365*M365,2))</f>
        <v/>
      </c>
      <c r="P365" s="70" t="str">
        <f>IF(N365="","",N365+N(O365))</f>
        <v/>
      </c>
      <c r="Q365" s="64" t="n"/>
      <c r="R365" s="73" t="str">
        <f>IF(N(Q365)&gt;0,Q365,IF(OR(N(B365)=0,ISNA(MATCH($C365,sup_code,0))),"",IF(ISNUMBER(INDEX(sup_delay,MATCH($C365,sup_code,0))),B365+INDEX(sup_delay,MATCH($C365,sup_code,0)),"")))</f>
        <v/>
      </c>
      <c r="S365" s="64" t="n"/>
      <c r="T365" s="68" t="n"/>
      <c r="U365" s="64" t="n"/>
      <c r="V365" s="65" t="n"/>
      <c r="W365" s="74" t="str">
        <f>IF(AND(A365="",E365=""),"",IF(V365="Oui",0,MAX(0,ROUND(N(H365)-N(T365),6))))</f>
        <v/>
      </c>
      <c r="X365" s="67" t="str">
        <f>IF(AND(A365="",E365=""),"",IF(V365="Oui","Annulé",IF(AND(N(H365)&gt;0,N(T365)&gt;=N(H365)),"Reçu",IF(N(S365)=0,"Brouillon",IF(AND(ISNUMBER(R365),R365&lt;p_today),"En retard",IF(N(T365)&gt;0,"Partiel","Envoyé"))))))</f>
        <v/>
      </c>
      <c r="Y365" s="75" t="str">
        <f>IF(X365="En retard",p_today-R365,IF(AND(X365="Reçu",ISNUMBER(R365)),MAX(0,N(U365)-R365),""))</f>
        <v/>
      </c>
      <c r="Z365" s="67" t="str">
        <f>IF(AND(A365="",E365=""),"",IF(A365="","N° de bon manquant",IF(N(B365)=0,"Date de commande manquante",IF(C365="","Fournisseur manquant",IF(ISNA(MATCH($C365,sup_code,0)),"Fournisseur inconnu",IF(E365="","Article manquant",IF(ISNA(MATCH($E365,art_ref,0)),"Article inconnu",IF(N(H365)&lt;=0,"Quantité invalide",IF(J365="","Prix manquant",IF(OR(N(K365)&lt;0,N(K365)&gt;=1),"Remise invalide",IF(M365="","TVA manquante",IF(ISNA(MATCH(M365,p_tva,0)),"Taux de TVA inconnu",IF(COUNTIFS(po_num,A365,po_sup,"&lt;&gt;"&amp;C365)&gt;0,"Fournisseur différent sur ce bon",IF(COUNTIFS(po_num,A365,po_date,"&lt;&gt;"&amp;B365)&gt;0,"Date différente sur ce bon",IF(COUNTIF(po_num,A365)&gt;25,"Plus de 25 lignes sur ce bon",IF(R365="","Date de livraison manquante",IF(R365&lt;B365,"Livraison avant la commande",IF(AND(N(T365)&gt;0,N(S365)=0),"Date d'envoi manquante",IF(N(T365)&gt;N(H365),"Reçu plus que commandé",IF(AND(N(T365)&gt;0,N(U365)=0),"Date de réception manquante",IF(AND(N(U365)&gt;0,U365&lt;B365),"Réception avant la commande","OK")))))))))))))))))))))</f>
        <v/>
      </c>
      <c r="AA365" s="66" t="str">
        <f>IF(AND(X365="Reçu",ISNUMBER(R365)),IF(N(U365)&lt;=R365,1,0),"")</f>
        <v/>
      </c>
      <c r="AB365" s="76" t="str">
        <f>IF(OR(X365="Envoyé",X365="Partiel",X365="En retard"),IF(ISNUMBER(R365),R365,100000)+ROW()/100000,"")</f>
        <v/>
      </c>
      <c r="AC365" s="66" t="str">
        <f>IF(A365="","",IF(COUNTIF($A$6:A365,A365)=1,1,""))</f>
        <v/>
      </c>
      <c r="AD365" s="66" t="str">
        <f>IF(AC365=1,COUNT($AC$6:AC365),"")</f>
        <v/>
      </c>
      <c r="AE365" s="66" t="str">
        <f>IFERROR(INDEX(po_num,MATCH(360,po_seq,0))&amp;"","")</f>
        <v/>
      </c>
      <c r="AF365" s="66" t="str">
        <f>IF(OR(A365="",p_po=""),"",IF(A365&amp;""=p_po,COUNTIF($A$6:A365,A365),""))</f>
        <v/>
      </c>
      <c r="AG365" s="66" t="str">
        <f>IF(OR(AB365="",A365=""),"",IF(COUNTIFS($A$6:A365,A365,$AB$6:AB365,"&gt;0")=1,1,""))</f>
        <v/>
      </c>
      <c r="AH365" s="70" t="str">
        <f>IF(AB365="","",ROUND(N(W365)*N(J365)*(1-N(K365)),2))</f>
        <v/>
      </c>
      <c r="AI365" s="70" t="str">
        <f>IF(OR(J365="",N(T365)&lt;=0,V365="Oui"),"",ROUND(N(T365)*J365*(1-N(K365)),2))</f>
        <v/>
      </c>
    </row>
    <row r="366">
      <c r="A366" s="63" t="n"/>
      <c r="B366" s="64" t="n"/>
      <c r="C366" s="65" t="n"/>
      <c r="D366" s="66" t="str">
        <f>IF(C366="","",IFERROR(INDEX(sup_name,MATCH($C366,sup_code,0))&amp;"","Fournisseur inconnu"))</f>
        <v/>
      </c>
      <c r="E366" s="63" t="n"/>
      <c r="F366" s="66" t="str">
        <f>IF(E366="","",IFERROR(INDEX(art_des,MATCH($E366,art_ref,0))&amp;"","Article inconnu"))</f>
        <v/>
      </c>
      <c r="G366" s="67" t="str">
        <f>IF(E366="","",IFERROR(INDEX(art_unit,MATCH($E366,art_ref,0))&amp;"",""))</f>
        <v/>
      </c>
      <c r="H366" s="68" t="n"/>
      <c r="I366" s="69" t="n"/>
      <c r="J366" s="70" t="str">
        <f>IF(E366="","",IF(ISNUMBER(I366),I366,IFERROR(IF(ISNUMBER(INDEX(art_price,MATCH($E366,art_ref,0))),INDEX(art_price,MATCH($E366,art_ref,0)),""),"")))</f>
        <v/>
      </c>
      <c r="K366" s="71" t="n"/>
      <c r="L366" s="72" t="n"/>
      <c r="M366" s="72" t="str">
        <f>IF(E366="","",IF(L366&lt;&gt;"",L366,IFERROR(IF(ISNUMBER(INDEX(art_tva,MATCH($E366,art_ref,0))),INDEX(art_tva,MATCH($E366,art_ref,0)),""),"")))</f>
        <v/>
      </c>
      <c r="N366" s="70" t="str">
        <f>IF(OR(E366="",J366=""),"",ROUND(N(H366)*J366*(1-N(K366)),2))</f>
        <v/>
      </c>
      <c r="O366" s="70" t="str">
        <f>IF(OR(N366="",NOT(ISNUMBER(M366))),"",ROUND(N366*M366,2))</f>
        <v/>
      </c>
      <c r="P366" s="70" t="str">
        <f>IF(N366="","",N366+N(O366))</f>
        <v/>
      </c>
      <c r="Q366" s="64" t="n"/>
      <c r="R366" s="73" t="str">
        <f>IF(N(Q366)&gt;0,Q366,IF(OR(N(B366)=0,ISNA(MATCH($C366,sup_code,0))),"",IF(ISNUMBER(INDEX(sup_delay,MATCH($C366,sup_code,0))),B366+INDEX(sup_delay,MATCH($C366,sup_code,0)),"")))</f>
        <v/>
      </c>
      <c r="S366" s="64" t="n"/>
      <c r="T366" s="68" t="n"/>
      <c r="U366" s="64" t="n"/>
      <c r="V366" s="65" t="n"/>
      <c r="W366" s="74" t="str">
        <f>IF(AND(A366="",E366=""),"",IF(V366="Oui",0,MAX(0,ROUND(N(H366)-N(T366),6))))</f>
        <v/>
      </c>
      <c r="X366" s="67" t="str">
        <f>IF(AND(A366="",E366=""),"",IF(V366="Oui","Annulé",IF(AND(N(H366)&gt;0,N(T366)&gt;=N(H366)),"Reçu",IF(N(S366)=0,"Brouillon",IF(AND(ISNUMBER(R366),R366&lt;p_today),"En retard",IF(N(T366)&gt;0,"Partiel","Envoyé"))))))</f>
        <v/>
      </c>
      <c r="Y366" s="75" t="str">
        <f>IF(X366="En retard",p_today-R366,IF(AND(X366="Reçu",ISNUMBER(R366)),MAX(0,N(U366)-R366),""))</f>
        <v/>
      </c>
      <c r="Z366" s="67" t="str">
        <f>IF(AND(A366="",E366=""),"",IF(A366="","N° de bon manquant",IF(N(B366)=0,"Date de commande manquante",IF(C366="","Fournisseur manquant",IF(ISNA(MATCH($C366,sup_code,0)),"Fournisseur inconnu",IF(E366="","Article manquant",IF(ISNA(MATCH($E366,art_ref,0)),"Article inconnu",IF(N(H366)&lt;=0,"Quantité invalide",IF(J366="","Prix manquant",IF(OR(N(K366)&lt;0,N(K366)&gt;=1),"Remise invalide",IF(M366="","TVA manquante",IF(ISNA(MATCH(M366,p_tva,0)),"Taux de TVA inconnu",IF(COUNTIFS(po_num,A366,po_sup,"&lt;&gt;"&amp;C366)&gt;0,"Fournisseur différent sur ce bon",IF(COUNTIFS(po_num,A366,po_date,"&lt;&gt;"&amp;B366)&gt;0,"Date différente sur ce bon",IF(COUNTIF(po_num,A366)&gt;25,"Plus de 25 lignes sur ce bon",IF(R366="","Date de livraison manquante",IF(R366&lt;B366,"Livraison avant la commande",IF(AND(N(T366)&gt;0,N(S366)=0),"Date d'envoi manquante",IF(N(T366)&gt;N(H366),"Reçu plus que commandé",IF(AND(N(T366)&gt;0,N(U366)=0),"Date de réception manquante",IF(AND(N(U366)&gt;0,U366&lt;B366),"Réception avant la commande","OK")))))))))))))))))))))</f>
        <v/>
      </c>
      <c r="AA366" s="66" t="str">
        <f>IF(AND(X366="Reçu",ISNUMBER(R366)),IF(N(U366)&lt;=R366,1,0),"")</f>
        <v/>
      </c>
      <c r="AB366" s="76" t="str">
        <f>IF(OR(X366="Envoyé",X366="Partiel",X366="En retard"),IF(ISNUMBER(R366),R366,100000)+ROW()/100000,"")</f>
        <v/>
      </c>
      <c r="AC366" s="66" t="str">
        <f>IF(A366="","",IF(COUNTIF($A$6:A366,A366)=1,1,""))</f>
        <v/>
      </c>
      <c r="AD366" s="66" t="str">
        <f>IF(AC366=1,COUNT($AC$6:AC366),"")</f>
        <v/>
      </c>
      <c r="AE366" s="66" t="str">
        <f>IFERROR(INDEX(po_num,MATCH(361,po_seq,0))&amp;"","")</f>
        <v/>
      </c>
      <c r="AF366" s="66" t="str">
        <f>IF(OR(A366="",p_po=""),"",IF(A366&amp;""=p_po,COUNTIF($A$6:A366,A366),""))</f>
        <v/>
      </c>
      <c r="AG366" s="66" t="str">
        <f>IF(OR(AB366="",A366=""),"",IF(COUNTIFS($A$6:A366,A366,$AB$6:AB366,"&gt;0")=1,1,""))</f>
        <v/>
      </c>
      <c r="AH366" s="70" t="str">
        <f>IF(AB366="","",ROUND(N(W366)*N(J366)*(1-N(K366)),2))</f>
        <v/>
      </c>
      <c r="AI366" s="70" t="str">
        <f>IF(OR(J366="",N(T366)&lt;=0,V366="Oui"),"",ROUND(N(T366)*J366*(1-N(K366)),2))</f>
        <v/>
      </c>
    </row>
    <row r="367">
      <c r="A367" s="63" t="n"/>
      <c r="B367" s="64" t="n"/>
      <c r="C367" s="65" t="n"/>
      <c r="D367" s="66" t="str">
        <f>IF(C367="","",IFERROR(INDEX(sup_name,MATCH($C367,sup_code,0))&amp;"","Fournisseur inconnu"))</f>
        <v/>
      </c>
      <c r="E367" s="63" t="n"/>
      <c r="F367" s="66" t="str">
        <f>IF(E367="","",IFERROR(INDEX(art_des,MATCH($E367,art_ref,0))&amp;"","Article inconnu"))</f>
        <v/>
      </c>
      <c r="G367" s="67" t="str">
        <f>IF(E367="","",IFERROR(INDEX(art_unit,MATCH($E367,art_ref,0))&amp;"",""))</f>
        <v/>
      </c>
      <c r="H367" s="68" t="n"/>
      <c r="I367" s="69" t="n"/>
      <c r="J367" s="70" t="str">
        <f>IF(E367="","",IF(ISNUMBER(I367),I367,IFERROR(IF(ISNUMBER(INDEX(art_price,MATCH($E367,art_ref,0))),INDEX(art_price,MATCH($E367,art_ref,0)),""),"")))</f>
        <v/>
      </c>
      <c r="K367" s="71" t="n"/>
      <c r="L367" s="72" t="n"/>
      <c r="M367" s="72" t="str">
        <f>IF(E367="","",IF(L367&lt;&gt;"",L367,IFERROR(IF(ISNUMBER(INDEX(art_tva,MATCH($E367,art_ref,0))),INDEX(art_tva,MATCH($E367,art_ref,0)),""),"")))</f>
        <v/>
      </c>
      <c r="N367" s="70" t="str">
        <f>IF(OR(E367="",J367=""),"",ROUND(N(H367)*J367*(1-N(K367)),2))</f>
        <v/>
      </c>
      <c r="O367" s="70" t="str">
        <f>IF(OR(N367="",NOT(ISNUMBER(M367))),"",ROUND(N367*M367,2))</f>
        <v/>
      </c>
      <c r="P367" s="70" t="str">
        <f>IF(N367="","",N367+N(O367))</f>
        <v/>
      </c>
      <c r="Q367" s="64" t="n"/>
      <c r="R367" s="73" t="str">
        <f>IF(N(Q367)&gt;0,Q367,IF(OR(N(B367)=0,ISNA(MATCH($C367,sup_code,0))),"",IF(ISNUMBER(INDEX(sup_delay,MATCH($C367,sup_code,0))),B367+INDEX(sup_delay,MATCH($C367,sup_code,0)),"")))</f>
        <v/>
      </c>
      <c r="S367" s="64" t="n"/>
      <c r="T367" s="68" t="n"/>
      <c r="U367" s="64" t="n"/>
      <c r="V367" s="65" t="n"/>
      <c r="W367" s="74" t="str">
        <f>IF(AND(A367="",E367=""),"",IF(V367="Oui",0,MAX(0,ROUND(N(H367)-N(T367),6))))</f>
        <v/>
      </c>
      <c r="X367" s="67" t="str">
        <f>IF(AND(A367="",E367=""),"",IF(V367="Oui","Annulé",IF(AND(N(H367)&gt;0,N(T367)&gt;=N(H367)),"Reçu",IF(N(S367)=0,"Brouillon",IF(AND(ISNUMBER(R367),R367&lt;p_today),"En retard",IF(N(T367)&gt;0,"Partiel","Envoyé"))))))</f>
        <v/>
      </c>
      <c r="Y367" s="75" t="str">
        <f>IF(X367="En retard",p_today-R367,IF(AND(X367="Reçu",ISNUMBER(R367)),MAX(0,N(U367)-R367),""))</f>
        <v/>
      </c>
      <c r="Z367" s="67" t="str">
        <f>IF(AND(A367="",E367=""),"",IF(A367="","N° de bon manquant",IF(N(B367)=0,"Date de commande manquante",IF(C367="","Fournisseur manquant",IF(ISNA(MATCH($C367,sup_code,0)),"Fournisseur inconnu",IF(E367="","Article manquant",IF(ISNA(MATCH($E367,art_ref,0)),"Article inconnu",IF(N(H367)&lt;=0,"Quantité invalide",IF(J367="","Prix manquant",IF(OR(N(K367)&lt;0,N(K367)&gt;=1),"Remise invalide",IF(M367="","TVA manquante",IF(ISNA(MATCH(M367,p_tva,0)),"Taux de TVA inconnu",IF(COUNTIFS(po_num,A367,po_sup,"&lt;&gt;"&amp;C367)&gt;0,"Fournisseur différent sur ce bon",IF(COUNTIFS(po_num,A367,po_date,"&lt;&gt;"&amp;B367)&gt;0,"Date différente sur ce bon",IF(COUNTIF(po_num,A367)&gt;25,"Plus de 25 lignes sur ce bon",IF(R367="","Date de livraison manquante",IF(R367&lt;B367,"Livraison avant la commande",IF(AND(N(T367)&gt;0,N(S367)=0),"Date d'envoi manquante",IF(N(T367)&gt;N(H367),"Reçu plus que commandé",IF(AND(N(T367)&gt;0,N(U367)=0),"Date de réception manquante",IF(AND(N(U367)&gt;0,U367&lt;B367),"Réception avant la commande","OK")))))))))))))))))))))</f>
        <v/>
      </c>
      <c r="AA367" s="66" t="str">
        <f>IF(AND(X367="Reçu",ISNUMBER(R367)),IF(N(U367)&lt;=R367,1,0),"")</f>
        <v/>
      </c>
      <c r="AB367" s="76" t="str">
        <f>IF(OR(X367="Envoyé",X367="Partiel",X367="En retard"),IF(ISNUMBER(R367),R367,100000)+ROW()/100000,"")</f>
        <v/>
      </c>
      <c r="AC367" s="66" t="str">
        <f>IF(A367="","",IF(COUNTIF($A$6:A367,A367)=1,1,""))</f>
        <v/>
      </c>
      <c r="AD367" s="66" t="str">
        <f>IF(AC367=1,COUNT($AC$6:AC367),"")</f>
        <v/>
      </c>
      <c r="AE367" s="66" t="str">
        <f>IFERROR(INDEX(po_num,MATCH(362,po_seq,0))&amp;"","")</f>
        <v/>
      </c>
      <c r="AF367" s="66" t="str">
        <f>IF(OR(A367="",p_po=""),"",IF(A367&amp;""=p_po,COUNTIF($A$6:A367,A367),""))</f>
        <v/>
      </c>
      <c r="AG367" s="66" t="str">
        <f>IF(OR(AB367="",A367=""),"",IF(COUNTIFS($A$6:A367,A367,$AB$6:AB367,"&gt;0")=1,1,""))</f>
        <v/>
      </c>
      <c r="AH367" s="70" t="str">
        <f>IF(AB367="","",ROUND(N(W367)*N(J367)*(1-N(K367)),2))</f>
        <v/>
      </c>
      <c r="AI367" s="70" t="str">
        <f>IF(OR(J367="",N(T367)&lt;=0,V367="Oui"),"",ROUND(N(T367)*J367*(1-N(K367)),2))</f>
        <v/>
      </c>
    </row>
    <row r="368">
      <c r="A368" s="63" t="n"/>
      <c r="B368" s="64" t="n"/>
      <c r="C368" s="65" t="n"/>
      <c r="D368" s="66" t="str">
        <f>IF(C368="","",IFERROR(INDEX(sup_name,MATCH($C368,sup_code,0))&amp;"","Fournisseur inconnu"))</f>
        <v/>
      </c>
      <c r="E368" s="63" t="n"/>
      <c r="F368" s="66" t="str">
        <f>IF(E368="","",IFERROR(INDEX(art_des,MATCH($E368,art_ref,0))&amp;"","Article inconnu"))</f>
        <v/>
      </c>
      <c r="G368" s="67" t="str">
        <f>IF(E368="","",IFERROR(INDEX(art_unit,MATCH($E368,art_ref,0))&amp;"",""))</f>
        <v/>
      </c>
      <c r="H368" s="68" t="n"/>
      <c r="I368" s="69" t="n"/>
      <c r="J368" s="70" t="str">
        <f>IF(E368="","",IF(ISNUMBER(I368),I368,IFERROR(IF(ISNUMBER(INDEX(art_price,MATCH($E368,art_ref,0))),INDEX(art_price,MATCH($E368,art_ref,0)),""),"")))</f>
        <v/>
      </c>
      <c r="K368" s="71" t="n"/>
      <c r="L368" s="72" t="n"/>
      <c r="M368" s="72" t="str">
        <f>IF(E368="","",IF(L368&lt;&gt;"",L368,IFERROR(IF(ISNUMBER(INDEX(art_tva,MATCH($E368,art_ref,0))),INDEX(art_tva,MATCH($E368,art_ref,0)),""),"")))</f>
        <v/>
      </c>
      <c r="N368" s="70" t="str">
        <f>IF(OR(E368="",J368=""),"",ROUND(N(H368)*J368*(1-N(K368)),2))</f>
        <v/>
      </c>
      <c r="O368" s="70" t="str">
        <f>IF(OR(N368="",NOT(ISNUMBER(M368))),"",ROUND(N368*M368,2))</f>
        <v/>
      </c>
      <c r="P368" s="70" t="str">
        <f>IF(N368="","",N368+N(O368))</f>
        <v/>
      </c>
      <c r="Q368" s="64" t="n"/>
      <c r="R368" s="73" t="str">
        <f>IF(N(Q368)&gt;0,Q368,IF(OR(N(B368)=0,ISNA(MATCH($C368,sup_code,0))),"",IF(ISNUMBER(INDEX(sup_delay,MATCH($C368,sup_code,0))),B368+INDEX(sup_delay,MATCH($C368,sup_code,0)),"")))</f>
        <v/>
      </c>
      <c r="S368" s="64" t="n"/>
      <c r="T368" s="68" t="n"/>
      <c r="U368" s="64" t="n"/>
      <c r="V368" s="65" t="n"/>
      <c r="W368" s="74" t="str">
        <f>IF(AND(A368="",E368=""),"",IF(V368="Oui",0,MAX(0,ROUND(N(H368)-N(T368),6))))</f>
        <v/>
      </c>
      <c r="X368" s="67" t="str">
        <f>IF(AND(A368="",E368=""),"",IF(V368="Oui","Annulé",IF(AND(N(H368)&gt;0,N(T368)&gt;=N(H368)),"Reçu",IF(N(S368)=0,"Brouillon",IF(AND(ISNUMBER(R368),R368&lt;p_today),"En retard",IF(N(T368)&gt;0,"Partiel","Envoyé"))))))</f>
        <v/>
      </c>
      <c r="Y368" s="75" t="str">
        <f>IF(X368="En retard",p_today-R368,IF(AND(X368="Reçu",ISNUMBER(R368)),MAX(0,N(U368)-R368),""))</f>
        <v/>
      </c>
      <c r="Z368" s="67" t="str">
        <f>IF(AND(A368="",E368=""),"",IF(A368="","N° de bon manquant",IF(N(B368)=0,"Date de commande manquante",IF(C368="","Fournisseur manquant",IF(ISNA(MATCH($C368,sup_code,0)),"Fournisseur inconnu",IF(E368="","Article manquant",IF(ISNA(MATCH($E368,art_ref,0)),"Article inconnu",IF(N(H368)&lt;=0,"Quantité invalide",IF(J368="","Prix manquant",IF(OR(N(K368)&lt;0,N(K368)&gt;=1),"Remise invalide",IF(M368="","TVA manquante",IF(ISNA(MATCH(M368,p_tva,0)),"Taux de TVA inconnu",IF(COUNTIFS(po_num,A368,po_sup,"&lt;&gt;"&amp;C368)&gt;0,"Fournisseur différent sur ce bon",IF(COUNTIFS(po_num,A368,po_date,"&lt;&gt;"&amp;B368)&gt;0,"Date différente sur ce bon",IF(COUNTIF(po_num,A368)&gt;25,"Plus de 25 lignes sur ce bon",IF(R368="","Date de livraison manquante",IF(R368&lt;B368,"Livraison avant la commande",IF(AND(N(T368)&gt;0,N(S368)=0),"Date d'envoi manquante",IF(N(T368)&gt;N(H368),"Reçu plus que commandé",IF(AND(N(T368)&gt;0,N(U368)=0),"Date de réception manquante",IF(AND(N(U368)&gt;0,U368&lt;B368),"Réception avant la commande","OK")))))))))))))))))))))</f>
        <v/>
      </c>
      <c r="AA368" s="66" t="str">
        <f>IF(AND(X368="Reçu",ISNUMBER(R368)),IF(N(U368)&lt;=R368,1,0),"")</f>
        <v/>
      </c>
      <c r="AB368" s="76" t="str">
        <f>IF(OR(X368="Envoyé",X368="Partiel",X368="En retard"),IF(ISNUMBER(R368),R368,100000)+ROW()/100000,"")</f>
        <v/>
      </c>
      <c r="AC368" s="66" t="str">
        <f>IF(A368="","",IF(COUNTIF($A$6:A368,A368)=1,1,""))</f>
        <v/>
      </c>
      <c r="AD368" s="66" t="str">
        <f>IF(AC368=1,COUNT($AC$6:AC368),"")</f>
        <v/>
      </c>
      <c r="AE368" s="66" t="str">
        <f>IFERROR(INDEX(po_num,MATCH(363,po_seq,0))&amp;"","")</f>
        <v/>
      </c>
      <c r="AF368" s="66" t="str">
        <f>IF(OR(A368="",p_po=""),"",IF(A368&amp;""=p_po,COUNTIF($A$6:A368,A368),""))</f>
        <v/>
      </c>
      <c r="AG368" s="66" t="str">
        <f>IF(OR(AB368="",A368=""),"",IF(COUNTIFS($A$6:A368,A368,$AB$6:AB368,"&gt;0")=1,1,""))</f>
        <v/>
      </c>
      <c r="AH368" s="70" t="str">
        <f>IF(AB368="","",ROUND(N(W368)*N(J368)*(1-N(K368)),2))</f>
        <v/>
      </c>
      <c r="AI368" s="70" t="str">
        <f>IF(OR(J368="",N(T368)&lt;=0,V368="Oui"),"",ROUND(N(T368)*J368*(1-N(K368)),2))</f>
        <v/>
      </c>
    </row>
    <row r="369">
      <c r="A369" s="63" t="n"/>
      <c r="B369" s="64" t="n"/>
      <c r="C369" s="65" t="n"/>
      <c r="D369" s="66" t="str">
        <f>IF(C369="","",IFERROR(INDEX(sup_name,MATCH($C369,sup_code,0))&amp;"","Fournisseur inconnu"))</f>
        <v/>
      </c>
      <c r="E369" s="63" t="n"/>
      <c r="F369" s="66" t="str">
        <f>IF(E369="","",IFERROR(INDEX(art_des,MATCH($E369,art_ref,0))&amp;"","Article inconnu"))</f>
        <v/>
      </c>
      <c r="G369" s="67" t="str">
        <f>IF(E369="","",IFERROR(INDEX(art_unit,MATCH($E369,art_ref,0))&amp;"",""))</f>
        <v/>
      </c>
      <c r="H369" s="68" t="n"/>
      <c r="I369" s="69" t="n"/>
      <c r="J369" s="70" t="str">
        <f>IF(E369="","",IF(ISNUMBER(I369),I369,IFERROR(IF(ISNUMBER(INDEX(art_price,MATCH($E369,art_ref,0))),INDEX(art_price,MATCH($E369,art_ref,0)),""),"")))</f>
        <v/>
      </c>
      <c r="K369" s="71" t="n"/>
      <c r="L369" s="72" t="n"/>
      <c r="M369" s="72" t="str">
        <f>IF(E369="","",IF(L369&lt;&gt;"",L369,IFERROR(IF(ISNUMBER(INDEX(art_tva,MATCH($E369,art_ref,0))),INDEX(art_tva,MATCH($E369,art_ref,0)),""),"")))</f>
        <v/>
      </c>
      <c r="N369" s="70" t="str">
        <f>IF(OR(E369="",J369=""),"",ROUND(N(H369)*J369*(1-N(K369)),2))</f>
        <v/>
      </c>
      <c r="O369" s="70" t="str">
        <f>IF(OR(N369="",NOT(ISNUMBER(M369))),"",ROUND(N369*M369,2))</f>
        <v/>
      </c>
      <c r="P369" s="70" t="str">
        <f>IF(N369="","",N369+N(O369))</f>
        <v/>
      </c>
      <c r="Q369" s="64" t="n"/>
      <c r="R369" s="73" t="str">
        <f>IF(N(Q369)&gt;0,Q369,IF(OR(N(B369)=0,ISNA(MATCH($C369,sup_code,0))),"",IF(ISNUMBER(INDEX(sup_delay,MATCH($C369,sup_code,0))),B369+INDEX(sup_delay,MATCH($C369,sup_code,0)),"")))</f>
        <v/>
      </c>
      <c r="S369" s="64" t="n"/>
      <c r="T369" s="68" t="n"/>
      <c r="U369" s="64" t="n"/>
      <c r="V369" s="65" t="n"/>
      <c r="W369" s="74" t="str">
        <f>IF(AND(A369="",E369=""),"",IF(V369="Oui",0,MAX(0,ROUND(N(H369)-N(T369),6))))</f>
        <v/>
      </c>
      <c r="X369" s="67" t="str">
        <f>IF(AND(A369="",E369=""),"",IF(V369="Oui","Annulé",IF(AND(N(H369)&gt;0,N(T369)&gt;=N(H369)),"Reçu",IF(N(S369)=0,"Brouillon",IF(AND(ISNUMBER(R369),R369&lt;p_today),"En retard",IF(N(T369)&gt;0,"Partiel","Envoyé"))))))</f>
        <v/>
      </c>
      <c r="Y369" s="75" t="str">
        <f>IF(X369="En retard",p_today-R369,IF(AND(X369="Reçu",ISNUMBER(R369)),MAX(0,N(U369)-R369),""))</f>
        <v/>
      </c>
      <c r="Z369" s="67" t="str">
        <f>IF(AND(A369="",E369=""),"",IF(A369="","N° de bon manquant",IF(N(B369)=0,"Date de commande manquante",IF(C369="","Fournisseur manquant",IF(ISNA(MATCH($C369,sup_code,0)),"Fournisseur inconnu",IF(E369="","Article manquant",IF(ISNA(MATCH($E369,art_ref,0)),"Article inconnu",IF(N(H369)&lt;=0,"Quantité invalide",IF(J369="","Prix manquant",IF(OR(N(K369)&lt;0,N(K369)&gt;=1),"Remise invalide",IF(M369="","TVA manquante",IF(ISNA(MATCH(M369,p_tva,0)),"Taux de TVA inconnu",IF(COUNTIFS(po_num,A369,po_sup,"&lt;&gt;"&amp;C369)&gt;0,"Fournisseur différent sur ce bon",IF(COUNTIFS(po_num,A369,po_date,"&lt;&gt;"&amp;B369)&gt;0,"Date différente sur ce bon",IF(COUNTIF(po_num,A369)&gt;25,"Plus de 25 lignes sur ce bon",IF(R369="","Date de livraison manquante",IF(R369&lt;B369,"Livraison avant la commande",IF(AND(N(T369)&gt;0,N(S369)=0),"Date d'envoi manquante",IF(N(T369)&gt;N(H369),"Reçu plus que commandé",IF(AND(N(T369)&gt;0,N(U369)=0),"Date de réception manquante",IF(AND(N(U369)&gt;0,U369&lt;B369),"Réception avant la commande","OK")))))))))))))))))))))</f>
        <v/>
      </c>
      <c r="AA369" s="66" t="str">
        <f>IF(AND(X369="Reçu",ISNUMBER(R369)),IF(N(U369)&lt;=R369,1,0),"")</f>
        <v/>
      </c>
      <c r="AB369" s="76" t="str">
        <f>IF(OR(X369="Envoyé",X369="Partiel",X369="En retard"),IF(ISNUMBER(R369),R369,100000)+ROW()/100000,"")</f>
        <v/>
      </c>
      <c r="AC369" s="66" t="str">
        <f>IF(A369="","",IF(COUNTIF($A$6:A369,A369)=1,1,""))</f>
        <v/>
      </c>
      <c r="AD369" s="66" t="str">
        <f>IF(AC369=1,COUNT($AC$6:AC369),"")</f>
        <v/>
      </c>
      <c r="AE369" s="66" t="str">
        <f>IFERROR(INDEX(po_num,MATCH(364,po_seq,0))&amp;"","")</f>
        <v/>
      </c>
      <c r="AF369" s="66" t="str">
        <f>IF(OR(A369="",p_po=""),"",IF(A369&amp;""=p_po,COUNTIF($A$6:A369,A369),""))</f>
        <v/>
      </c>
      <c r="AG369" s="66" t="str">
        <f>IF(OR(AB369="",A369=""),"",IF(COUNTIFS($A$6:A369,A369,$AB$6:AB369,"&gt;0")=1,1,""))</f>
        <v/>
      </c>
      <c r="AH369" s="70" t="str">
        <f>IF(AB369="","",ROUND(N(W369)*N(J369)*(1-N(K369)),2))</f>
        <v/>
      </c>
      <c r="AI369" s="70" t="str">
        <f>IF(OR(J369="",N(T369)&lt;=0,V369="Oui"),"",ROUND(N(T369)*J369*(1-N(K369)),2))</f>
        <v/>
      </c>
    </row>
    <row r="370">
      <c r="A370" s="63" t="n"/>
      <c r="B370" s="64" t="n"/>
      <c r="C370" s="65" t="n"/>
      <c r="D370" s="66" t="str">
        <f>IF(C370="","",IFERROR(INDEX(sup_name,MATCH($C370,sup_code,0))&amp;"","Fournisseur inconnu"))</f>
        <v/>
      </c>
      <c r="E370" s="63" t="n"/>
      <c r="F370" s="66" t="str">
        <f>IF(E370="","",IFERROR(INDEX(art_des,MATCH($E370,art_ref,0))&amp;"","Article inconnu"))</f>
        <v/>
      </c>
      <c r="G370" s="67" t="str">
        <f>IF(E370="","",IFERROR(INDEX(art_unit,MATCH($E370,art_ref,0))&amp;"",""))</f>
        <v/>
      </c>
      <c r="H370" s="68" t="n"/>
      <c r="I370" s="69" t="n"/>
      <c r="J370" s="70" t="str">
        <f>IF(E370="","",IF(ISNUMBER(I370),I370,IFERROR(IF(ISNUMBER(INDEX(art_price,MATCH($E370,art_ref,0))),INDEX(art_price,MATCH($E370,art_ref,0)),""),"")))</f>
        <v/>
      </c>
      <c r="K370" s="71" t="n"/>
      <c r="L370" s="72" t="n"/>
      <c r="M370" s="72" t="str">
        <f>IF(E370="","",IF(L370&lt;&gt;"",L370,IFERROR(IF(ISNUMBER(INDEX(art_tva,MATCH($E370,art_ref,0))),INDEX(art_tva,MATCH($E370,art_ref,0)),""),"")))</f>
        <v/>
      </c>
      <c r="N370" s="70" t="str">
        <f>IF(OR(E370="",J370=""),"",ROUND(N(H370)*J370*(1-N(K370)),2))</f>
        <v/>
      </c>
      <c r="O370" s="70" t="str">
        <f>IF(OR(N370="",NOT(ISNUMBER(M370))),"",ROUND(N370*M370,2))</f>
        <v/>
      </c>
      <c r="P370" s="70" t="str">
        <f>IF(N370="","",N370+N(O370))</f>
        <v/>
      </c>
      <c r="Q370" s="64" t="n"/>
      <c r="R370" s="73" t="str">
        <f>IF(N(Q370)&gt;0,Q370,IF(OR(N(B370)=0,ISNA(MATCH($C370,sup_code,0))),"",IF(ISNUMBER(INDEX(sup_delay,MATCH($C370,sup_code,0))),B370+INDEX(sup_delay,MATCH($C370,sup_code,0)),"")))</f>
        <v/>
      </c>
      <c r="S370" s="64" t="n"/>
      <c r="T370" s="68" t="n"/>
      <c r="U370" s="64" t="n"/>
      <c r="V370" s="65" t="n"/>
      <c r="W370" s="74" t="str">
        <f>IF(AND(A370="",E370=""),"",IF(V370="Oui",0,MAX(0,ROUND(N(H370)-N(T370),6))))</f>
        <v/>
      </c>
      <c r="X370" s="67" t="str">
        <f>IF(AND(A370="",E370=""),"",IF(V370="Oui","Annulé",IF(AND(N(H370)&gt;0,N(T370)&gt;=N(H370)),"Reçu",IF(N(S370)=0,"Brouillon",IF(AND(ISNUMBER(R370),R370&lt;p_today),"En retard",IF(N(T370)&gt;0,"Partiel","Envoyé"))))))</f>
        <v/>
      </c>
      <c r="Y370" s="75" t="str">
        <f>IF(X370="En retard",p_today-R370,IF(AND(X370="Reçu",ISNUMBER(R370)),MAX(0,N(U370)-R370),""))</f>
        <v/>
      </c>
      <c r="Z370" s="67" t="str">
        <f>IF(AND(A370="",E370=""),"",IF(A370="","N° de bon manquant",IF(N(B370)=0,"Date de commande manquante",IF(C370="","Fournisseur manquant",IF(ISNA(MATCH($C370,sup_code,0)),"Fournisseur inconnu",IF(E370="","Article manquant",IF(ISNA(MATCH($E370,art_ref,0)),"Article inconnu",IF(N(H370)&lt;=0,"Quantité invalide",IF(J370="","Prix manquant",IF(OR(N(K370)&lt;0,N(K370)&gt;=1),"Remise invalide",IF(M370="","TVA manquante",IF(ISNA(MATCH(M370,p_tva,0)),"Taux de TVA inconnu",IF(COUNTIFS(po_num,A370,po_sup,"&lt;&gt;"&amp;C370)&gt;0,"Fournisseur différent sur ce bon",IF(COUNTIFS(po_num,A370,po_date,"&lt;&gt;"&amp;B370)&gt;0,"Date différente sur ce bon",IF(COUNTIF(po_num,A370)&gt;25,"Plus de 25 lignes sur ce bon",IF(R370="","Date de livraison manquante",IF(R370&lt;B370,"Livraison avant la commande",IF(AND(N(T370)&gt;0,N(S370)=0),"Date d'envoi manquante",IF(N(T370)&gt;N(H370),"Reçu plus que commandé",IF(AND(N(T370)&gt;0,N(U370)=0),"Date de réception manquante",IF(AND(N(U370)&gt;0,U370&lt;B370),"Réception avant la commande","OK")))))))))))))))))))))</f>
        <v/>
      </c>
      <c r="AA370" s="66" t="str">
        <f>IF(AND(X370="Reçu",ISNUMBER(R370)),IF(N(U370)&lt;=R370,1,0),"")</f>
        <v/>
      </c>
      <c r="AB370" s="76" t="str">
        <f>IF(OR(X370="Envoyé",X370="Partiel",X370="En retard"),IF(ISNUMBER(R370),R370,100000)+ROW()/100000,"")</f>
        <v/>
      </c>
      <c r="AC370" s="66" t="str">
        <f>IF(A370="","",IF(COUNTIF($A$6:A370,A370)=1,1,""))</f>
        <v/>
      </c>
      <c r="AD370" s="66" t="str">
        <f>IF(AC370=1,COUNT($AC$6:AC370),"")</f>
        <v/>
      </c>
      <c r="AE370" s="66" t="str">
        <f>IFERROR(INDEX(po_num,MATCH(365,po_seq,0))&amp;"","")</f>
        <v/>
      </c>
      <c r="AF370" s="66" t="str">
        <f>IF(OR(A370="",p_po=""),"",IF(A370&amp;""=p_po,COUNTIF($A$6:A370,A370),""))</f>
        <v/>
      </c>
      <c r="AG370" s="66" t="str">
        <f>IF(OR(AB370="",A370=""),"",IF(COUNTIFS($A$6:A370,A370,$AB$6:AB370,"&gt;0")=1,1,""))</f>
        <v/>
      </c>
      <c r="AH370" s="70" t="str">
        <f>IF(AB370="","",ROUND(N(W370)*N(J370)*(1-N(K370)),2))</f>
        <v/>
      </c>
      <c r="AI370" s="70" t="str">
        <f>IF(OR(J370="",N(T370)&lt;=0,V370="Oui"),"",ROUND(N(T370)*J370*(1-N(K370)),2))</f>
        <v/>
      </c>
    </row>
    <row r="371">
      <c r="A371" s="63" t="n"/>
      <c r="B371" s="64" t="n"/>
      <c r="C371" s="65" t="n"/>
      <c r="D371" s="66" t="str">
        <f>IF(C371="","",IFERROR(INDEX(sup_name,MATCH($C371,sup_code,0))&amp;"","Fournisseur inconnu"))</f>
        <v/>
      </c>
      <c r="E371" s="63" t="n"/>
      <c r="F371" s="66" t="str">
        <f>IF(E371="","",IFERROR(INDEX(art_des,MATCH($E371,art_ref,0))&amp;"","Article inconnu"))</f>
        <v/>
      </c>
      <c r="G371" s="67" t="str">
        <f>IF(E371="","",IFERROR(INDEX(art_unit,MATCH($E371,art_ref,0))&amp;"",""))</f>
        <v/>
      </c>
      <c r="H371" s="68" t="n"/>
      <c r="I371" s="69" t="n"/>
      <c r="J371" s="70" t="str">
        <f>IF(E371="","",IF(ISNUMBER(I371),I371,IFERROR(IF(ISNUMBER(INDEX(art_price,MATCH($E371,art_ref,0))),INDEX(art_price,MATCH($E371,art_ref,0)),""),"")))</f>
        <v/>
      </c>
      <c r="K371" s="71" t="n"/>
      <c r="L371" s="72" t="n"/>
      <c r="M371" s="72" t="str">
        <f>IF(E371="","",IF(L371&lt;&gt;"",L371,IFERROR(IF(ISNUMBER(INDEX(art_tva,MATCH($E371,art_ref,0))),INDEX(art_tva,MATCH($E371,art_ref,0)),""),"")))</f>
        <v/>
      </c>
      <c r="N371" s="70" t="str">
        <f>IF(OR(E371="",J371=""),"",ROUND(N(H371)*J371*(1-N(K371)),2))</f>
        <v/>
      </c>
      <c r="O371" s="70" t="str">
        <f>IF(OR(N371="",NOT(ISNUMBER(M371))),"",ROUND(N371*M371,2))</f>
        <v/>
      </c>
      <c r="P371" s="70" t="str">
        <f>IF(N371="","",N371+N(O371))</f>
        <v/>
      </c>
      <c r="Q371" s="64" t="n"/>
      <c r="R371" s="73" t="str">
        <f>IF(N(Q371)&gt;0,Q371,IF(OR(N(B371)=0,ISNA(MATCH($C371,sup_code,0))),"",IF(ISNUMBER(INDEX(sup_delay,MATCH($C371,sup_code,0))),B371+INDEX(sup_delay,MATCH($C371,sup_code,0)),"")))</f>
        <v/>
      </c>
      <c r="S371" s="64" t="n"/>
      <c r="T371" s="68" t="n"/>
      <c r="U371" s="64" t="n"/>
      <c r="V371" s="65" t="n"/>
      <c r="W371" s="74" t="str">
        <f>IF(AND(A371="",E371=""),"",IF(V371="Oui",0,MAX(0,ROUND(N(H371)-N(T371),6))))</f>
        <v/>
      </c>
      <c r="X371" s="67" t="str">
        <f>IF(AND(A371="",E371=""),"",IF(V371="Oui","Annulé",IF(AND(N(H371)&gt;0,N(T371)&gt;=N(H371)),"Reçu",IF(N(S371)=0,"Brouillon",IF(AND(ISNUMBER(R371),R371&lt;p_today),"En retard",IF(N(T371)&gt;0,"Partiel","Envoyé"))))))</f>
        <v/>
      </c>
      <c r="Y371" s="75" t="str">
        <f>IF(X371="En retard",p_today-R371,IF(AND(X371="Reçu",ISNUMBER(R371)),MAX(0,N(U371)-R371),""))</f>
        <v/>
      </c>
      <c r="Z371" s="67" t="str">
        <f>IF(AND(A371="",E371=""),"",IF(A371="","N° de bon manquant",IF(N(B371)=0,"Date de commande manquante",IF(C371="","Fournisseur manquant",IF(ISNA(MATCH($C371,sup_code,0)),"Fournisseur inconnu",IF(E371="","Article manquant",IF(ISNA(MATCH($E371,art_ref,0)),"Article inconnu",IF(N(H371)&lt;=0,"Quantité invalide",IF(J371="","Prix manquant",IF(OR(N(K371)&lt;0,N(K371)&gt;=1),"Remise invalide",IF(M371="","TVA manquante",IF(ISNA(MATCH(M371,p_tva,0)),"Taux de TVA inconnu",IF(COUNTIFS(po_num,A371,po_sup,"&lt;&gt;"&amp;C371)&gt;0,"Fournisseur différent sur ce bon",IF(COUNTIFS(po_num,A371,po_date,"&lt;&gt;"&amp;B371)&gt;0,"Date différente sur ce bon",IF(COUNTIF(po_num,A371)&gt;25,"Plus de 25 lignes sur ce bon",IF(R371="","Date de livraison manquante",IF(R371&lt;B371,"Livraison avant la commande",IF(AND(N(T371)&gt;0,N(S371)=0),"Date d'envoi manquante",IF(N(T371)&gt;N(H371),"Reçu plus que commandé",IF(AND(N(T371)&gt;0,N(U371)=0),"Date de réception manquante",IF(AND(N(U371)&gt;0,U371&lt;B371),"Réception avant la commande","OK")))))))))))))))))))))</f>
        <v/>
      </c>
      <c r="AA371" s="66" t="str">
        <f>IF(AND(X371="Reçu",ISNUMBER(R371)),IF(N(U371)&lt;=R371,1,0),"")</f>
        <v/>
      </c>
      <c r="AB371" s="76" t="str">
        <f>IF(OR(X371="Envoyé",X371="Partiel",X371="En retard"),IF(ISNUMBER(R371),R371,100000)+ROW()/100000,"")</f>
        <v/>
      </c>
      <c r="AC371" s="66" t="str">
        <f>IF(A371="","",IF(COUNTIF($A$6:A371,A371)=1,1,""))</f>
        <v/>
      </c>
      <c r="AD371" s="66" t="str">
        <f>IF(AC371=1,COUNT($AC$6:AC371),"")</f>
        <v/>
      </c>
      <c r="AE371" s="66" t="str">
        <f>IFERROR(INDEX(po_num,MATCH(366,po_seq,0))&amp;"","")</f>
        <v/>
      </c>
      <c r="AF371" s="66" t="str">
        <f>IF(OR(A371="",p_po=""),"",IF(A371&amp;""=p_po,COUNTIF($A$6:A371,A371),""))</f>
        <v/>
      </c>
      <c r="AG371" s="66" t="str">
        <f>IF(OR(AB371="",A371=""),"",IF(COUNTIFS($A$6:A371,A371,$AB$6:AB371,"&gt;0")=1,1,""))</f>
        <v/>
      </c>
      <c r="AH371" s="70" t="str">
        <f>IF(AB371="","",ROUND(N(W371)*N(J371)*(1-N(K371)),2))</f>
        <v/>
      </c>
      <c r="AI371" s="70" t="str">
        <f>IF(OR(J371="",N(T371)&lt;=0,V371="Oui"),"",ROUND(N(T371)*J371*(1-N(K371)),2))</f>
        <v/>
      </c>
    </row>
    <row r="372">
      <c r="A372" s="63" t="n"/>
      <c r="B372" s="64" t="n"/>
      <c r="C372" s="65" t="n"/>
      <c r="D372" s="66" t="str">
        <f>IF(C372="","",IFERROR(INDEX(sup_name,MATCH($C372,sup_code,0))&amp;"","Fournisseur inconnu"))</f>
        <v/>
      </c>
      <c r="E372" s="63" t="n"/>
      <c r="F372" s="66" t="str">
        <f>IF(E372="","",IFERROR(INDEX(art_des,MATCH($E372,art_ref,0))&amp;"","Article inconnu"))</f>
        <v/>
      </c>
      <c r="G372" s="67" t="str">
        <f>IF(E372="","",IFERROR(INDEX(art_unit,MATCH($E372,art_ref,0))&amp;"",""))</f>
        <v/>
      </c>
      <c r="H372" s="68" t="n"/>
      <c r="I372" s="69" t="n"/>
      <c r="J372" s="70" t="str">
        <f>IF(E372="","",IF(ISNUMBER(I372),I372,IFERROR(IF(ISNUMBER(INDEX(art_price,MATCH($E372,art_ref,0))),INDEX(art_price,MATCH($E372,art_ref,0)),""),"")))</f>
        <v/>
      </c>
      <c r="K372" s="71" t="n"/>
      <c r="L372" s="72" t="n"/>
      <c r="M372" s="72" t="str">
        <f>IF(E372="","",IF(L372&lt;&gt;"",L372,IFERROR(IF(ISNUMBER(INDEX(art_tva,MATCH($E372,art_ref,0))),INDEX(art_tva,MATCH($E372,art_ref,0)),""),"")))</f>
        <v/>
      </c>
      <c r="N372" s="70" t="str">
        <f>IF(OR(E372="",J372=""),"",ROUND(N(H372)*J372*(1-N(K372)),2))</f>
        <v/>
      </c>
      <c r="O372" s="70" t="str">
        <f>IF(OR(N372="",NOT(ISNUMBER(M372))),"",ROUND(N372*M372,2))</f>
        <v/>
      </c>
      <c r="P372" s="70" t="str">
        <f>IF(N372="","",N372+N(O372))</f>
        <v/>
      </c>
      <c r="Q372" s="64" t="n"/>
      <c r="R372" s="73" t="str">
        <f>IF(N(Q372)&gt;0,Q372,IF(OR(N(B372)=0,ISNA(MATCH($C372,sup_code,0))),"",IF(ISNUMBER(INDEX(sup_delay,MATCH($C372,sup_code,0))),B372+INDEX(sup_delay,MATCH($C372,sup_code,0)),"")))</f>
        <v/>
      </c>
      <c r="S372" s="64" t="n"/>
      <c r="T372" s="68" t="n"/>
      <c r="U372" s="64" t="n"/>
      <c r="V372" s="65" t="n"/>
      <c r="W372" s="74" t="str">
        <f>IF(AND(A372="",E372=""),"",IF(V372="Oui",0,MAX(0,ROUND(N(H372)-N(T372),6))))</f>
        <v/>
      </c>
      <c r="X372" s="67" t="str">
        <f>IF(AND(A372="",E372=""),"",IF(V372="Oui","Annulé",IF(AND(N(H372)&gt;0,N(T372)&gt;=N(H372)),"Reçu",IF(N(S372)=0,"Brouillon",IF(AND(ISNUMBER(R372),R372&lt;p_today),"En retard",IF(N(T372)&gt;0,"Partiel","Envoyé"))))))</f>
        <v/>
      </c>
      <c r="Y372" s="75" t="str">
        <f>IF(X372="En retard",p_today-R372,IF(AND(X372="Reçu",ISNUMBER(R372)),MAX(0,N(U372)-R372),""))</f>
        <v/>
      </c>
      <c r="Z372" s="67" t="str">
        <f>IF(AND(A372="",E372=""),"",IF(A372="","N° de bon manquant",IF(N(B372)=0,"Date de commande manquante",IF(C372="","Fournisseur manquant",IF(ISNA(MATCH($C372,sup_code,0)),"Fournisseur inconnu",IF(E372="","Article manquant",IF(ISNA(MATCH($E372,art_ref,0)),"Article inconnu",IF(N(H372)&lt;=0,"Quantité invalide",IF(J372="","Prix manquant",IF(OR(N(K372)&lt;0,N(K372)&gt;=1),"Remise invalide",IF(M372="","TVA manquante",IF(ISNA(MATCH(M372,p_tva,0)),"Taux de TVA inconnu",IF(COUNTIFS(po_num,A372,po_sup,"&lt;&gt;"&amp;C372)&gt;0,"Fournisseur différent sur ce bon",IF(COUNTIFS(po_num,A372,po_date,"&lt;&gt;"&amp;B372)&gt;0,"Date différente sur ce bon",IF(COUNTIF(po_num,A372)&gt;25,"Plus de 25 lignes sur ce bon",IF(R372="","Date de livraison manquante",IF(R372&lt;B372,"Livraison avant la commande",IF(AND(N(T372)&gt;0,N(S372)=0),"Date d'envoi manquante",IF(N(T372)&gt;N(H372),"Reçu plus que commandé",IF(AND(N(T372)&gt;0,N(U372)=0),"Date de réception manquante",IF(AND(N(U372)&gt;0,U372&lt;B372),"Réception avant la commande","OK")))))))))))))))))))))</f>
        <v/>
      </c>
      <c r="AA372" s="66" t="str">
        <f>IF(AND(X372="Reçu",ISNUMBER(R372)),IF(N(U372)&lt;=R372,1,0),"")</f>
        <v/>
      </c>
      <c r="AB372" s="76" t="str">
        <f>IF(OR(X372="Envoyé",X372="Partiel",X372="En retard"),IF(ISNUMBER(R372),R372,100000)+ROW()/100000,"")</f>
        <v/>
      </c>
      <c r="AC372" s="66" t="str">
        <f>IF(A372="","",IF(COUNTIF($A$6:A372,A372)=1,1,""))</f>
        <v/>
      </c>
      <c r="AD372" s="66" t="str">
        <f>IF(AC372=1,COUNT($AC$6:AC372),"")</f>
        <v/>
      </c>
      <c r="AE372" s="66" t="str">
        <f>IFERROR(INDEX(po_num,MATCH(367,po_seq,0))&amp;"","")</f>
        <v/>
      </c>
      <c r="AF372" s="66" t="str">
        <f>IF(OR(A372="",p_po=""),"",IF(A372&amp;""=p_po,COUNTIF($A$6:A372,A372),""))</f>
        <v/>
      </c>
      <c r="AG372" s="66" t="str">
        <f>IF(OR(AB372="",A372=""),"",IF(COUNTIFS($A$6:A372,A372,$AB$6:AB372,"&gt;0")=1,1,""))</f>
        <v/>
      </c>
      <c r="AH372" s="70" t="str">
        <f>IF(AB372="","",ROUND(N(W372)*N(J372)*(1-N(K372)),2))</f>
        <v/>
      </c>
      <c r="AI372" s="70" t="str">
        <f>IF(OR(J372="",N(T372)&lt;=0,V372="Oui"),"",ROUND(N(T372)*J372*(1-N(K372)),2))</f>
        <v/>
      </c>
    </row>
    <row r="373">
      <c r="A373" s="63" t="n"/>
      <c r="B373" s="64" t="n"/>
      <c r="C373" s="65" t="n"/>
      <c r="D373" s="66" t="str">
        <f>IF(C373="","",IFERROR(INDEX(sup_name,MATCH($C373,sup_code,0))&amp;"","Fournisseur inconnu"))</f>
        <v/>
      </c>
      <c r="E373" s="63" t="n"/>
      <c r="F373" s="66" t="str">
        <f>IF(E373="","",IFERROR(INDEX(art_des,MATCH($E373,art_ref,0))&amp;"","Article inconnu"))</f>
        <v/>
      </c>
      <c r="G373" s="67" t="str">
        <f>IF(E373="","",IFERROR(INDEX(art_unit,MATCH($E373,art_ref,0))&amp;"",""))</f>
        <v/>
      </c>
      <c r="H373" s="68" t="n"/>
      <c r="I373" s="69" t="n"/>
      <c r="J373" s="70" t="str">
        <f>IF(E373="","",IF(ISNUMBER(I373),I373,IFERROR(IF(ISNUMBER(INDEX(art_price,MATCH($E373,art_ref,0))),INDEX(art_price,MATCH($E373,art_ref,0)),""),"")))</f>
        <v/>
      </c>
      <c r="K373" s="71" t="n"/>
      <c r="L373" s="72" t="n"/>
      <c r="M373" s="72" t="str">
        <f>IF(E373="","",IF(L373&lt;&gt;"",L373,IFERROR(IF(ISNUMBER(INDEX(art_tva,MATCH($E373,art_ref,0))),INDEX(art_tva,MATCH($E373,art_ref,0)),""),"")))</f>
        <v/>
      </c>
      <c r="N373" s="70" t="str">
        <f>IF(OR(E373="",J373=""),"",ROUND(N(H373)*J373*(1-N(K373)),2))</f>
        <v/>
      </c>
      <c r="O373" s="70" t="str">
        <f>IF(OR(N373="",NOT(ISNUMBER(M373))),"",ROUND(N373*M373,2))</f>
        <v/>
      </c>
      <c r="P373" s="70" t="str">
        <f>IF(N373="","",N373+N(O373))</f>
        <v/>
      </c>
      <c r="Q373" s="64" t="n"/>
      <c r="R373" s="73" t="str">
        <f>IF(N(Q373)&gt;0,Q373,IF(OR(N(B373)=0,ISNA(MATCH($C373,sup_code,0))),"",IF(ISNUMBER(INDEX(sup_delay,MATCH($C373,sup_code,0))),B373+INDEX(sup_delay,MATCH($C373,sup_code,0)),"")))</f>
        <v/>
      </c>
      <c r="S373" s="64" t="n"/>
      <c r="T373" s="68" t="n"/>
      <c r="U373" s="64" t="n"/>
      <c r="V373" s="65" t="n"/>
      <c r="W373" s="74" t="str">
        <f>IF(AND(A373="",E373=""),"",IF(V373="Oui",0,MAX(0,ROUND(N(H373)-N(T373),6))))</f>
        <v/>
      </c>
      <c r="X373" s="67" t="str">
        <f>IF(AND(A373="",E373=""),"",IF(V373="Oui","Annulé",IF(AND(N(H373)&gt;0,N(T373)&gt;=N(H373)),"Reçu",IF(N(S373)=0,"Brouillon",IF(AND(ISNUMBER(R373),R373&lt;p_today),"En retard",IF(N(T373)&gt;0,"Partiel","Envoyé"))))))</f>
        <v/>
      </c>
      <c r="Y373" s="75" t="str">
        <f>IF(X373="En retard",p_today-R373,IF(AND(X373="Reçu",ISNUMBER(R373)),MAX(0,N(U373)-R373),""))</f>
        <v/>
      </c>
      <c r="Z373" s="67" t="str">
        <f>IF(AND(A373="",E373=""),"",IF(A373="","N° de bon manquant",IF(N(B373)=0,"Date de commande manquante",IF(C373="","Fournisseur manquant",IF(ISNA(MATCH($C373,sup_code,0)),"Fournisseur inconnu",IF(E373="","Article manquant",IF(ISNA(MATCH($E373,art_ref,0)),"Article inconnu",IF(N(H373)&lt;=0,"Quantité invalide",IF(J373="","Prix manquant",IF(OR(N(K373)&lt;0,N(K373)&gt;=1),"Remise invalide",IF(M373="","TVA manquante",IF(ISNA(MATCH(M373,p_tva,0)),"Taux de TVA inconnu",IF(COUNTIFS(po_num,A373,po_sup,"&lt;&gt;"&amp;C373)&gt;0,"Fournisseur différent sur ce bon",IF(COUNTIFS(po_num,A373,po_date,"&lt;&gt;"&amp;B373)&gt;0,"Date différente sur ce bon",IF(COUNTIF(po_num,A373)&gt;25,"Plus de 25 lignes sur ce bon",IF(R373="","Date de livraison manquante",IF(R373&lt;B373,"Livraison avant la commande",IF(AND(N(T373)&gt;0,N(S373)=0),"Date d'envoi manquante",IF(N(T373)&gt;N(H373),"Reçu plus que commandé",IF(AND(N(T373)&gt;0,N(U373)=0),"Date de réception manquante",IF(AND(N(U373)&gt;0,U373&lt;B373),"Réception avant la commande","OK")))))))))))))))))))))</f>
        <v/>
      </c>
      <c r="AA373" s="66" t="str">
        <f>IF(AND(X373="Reçu",ISNUMBER(R373)),IF(N(U373)&lt;=R373,1,0),"")</f>
        <v/>
      </c>
      <c r="AB373" s="76" t="str">
        <f>IF(OR(X373="Envoyé",X373="Partiel",X373="En retard"),IF(ISNUMBER(R373),R373,100000)+ROW()/100000,"")</f>
        <v/>
      </c>
      <c r="AC373" s="66" t="str">
        <f>IF(A373="","",IF(COUNTIF($A$6:A373,A373)=1,1,""))</f>
        <v/>
      </c>
      <c r="AD373" s="66" t="str">
        <f>IF(AC373=1,COUNT($AC$6:AC373),"")</f>
        <v/>
      </c>
      <c r="AE373" s="66" t="str">
        <f>IFERROR(INDEX(po_num,MATCH(368,po_seq,0))&amp;"","")</f>
        <v/>
      </c>
      <c r="AF373" s="66" t="str">
        <f>IF(OR(A373="",p_po=""),"",IF(A373&amp;""=p_po,COUNTIF($A$6:A373,A373),""))</f>
        <v/>
      </c>
      <c r="AG373" s="66" t="str">
        <f>IF(OR(AB373="",A373=""),"",IF(COUNTIFS($A$6:A373,A373,$AB$6:AB373,"&gt;0")=1,1,""))</f>
        <v/>
      </c>
      <c r="AH373" s="70" t="str">
        <f>IF(AB373="","",ROUND(N(W373)*N(J373)*(1-N(K373)),2))</f>
        <v/>
      </c>
      <c r="AI373" s="70" t="str">
        <f>IF(OR(J373="",N(T373)&lt;=0,V373="Oui"),"",ROUND(N(T373)*J373*(1-N(K373)),2))</f>
        <v/>
      </c>
    </row>
    <row r="374">
      <c r="A374" s="63" t="n"/>
      <c r="B374" s="64" t="n"/>
      <c r="C374" s="65" t="n"/>
      <c r="D374" s="66" t="str">
        <f>IF(C374="","",IFERROR(INDEX(sup_name,MATCH($C374,sup_code,0))&amp;"","Fournisseur inconnu"))</f>
        <v/>
      </c>
      <c r="E374" s="63" t="n"/>
      <c r="F374" s="66" t="str">
        <f>IF(E374="","",IFERROR(INDEX(art_des,MATCH($E374,art_ref,0))&amp;"","Article inconnu"))</f>
        <v/>
      </c>
      <c r="G374" s="67" t="str">
        <f>IF(E374="","",IFERROR(INDEX(art_unit,MATCH($E374,art_ref,0))&amp;"",""))</f>
        <v/>
      </c>
      <c r="H374" s="68" t="n"/>
      <c r="I374" s="69" t="n"/>
      <c r="J374" s="70" t="str">
        <f>IF(E374="","",IF(ISNUMBER(I374),I374,IFERROR(IF(ISNUMBER(INDEX(art_price,MATCH($E374,art_ref,0))),INDEX(art_price,MATCH($E374,art_ref,0)),""),"")))</f>
        <v/>
      </c>
      <c r="K374" s="71" t="n"/>
      <c r="L374" s="72" t="n"/>
      <c r="M374" s="72" t="str">
        <f>IF(E374="","",IF(L374&lt;&gt;"",L374,IFERROR(IF(ISNUMBER(INDEX(art_tva,MATCH($E374,art_ref,0))),INDEX(art_tva,MATCH($E374,art_ref,0)),""),"")))</f>
        <v/>
      </c>
      <c r="N374" s="70" t="str">
        <f>IF(OR(E374="",J374=""),"",ROUND(N(H374)*J374*(1-N(K374)),2))</f>
        <v/>
      </c>
      <c r="O374" s="70" t="str">
        <f>IF(OR(N374="",NOT(ISNUMBER(M374))),"",ROUND(N374*M374,2))</f>
        <v/>
      </c>
      <c r="P374" s="70" t="str">
        <f>IF(N374="","",N374+N(O374))</f>
        <v/>
      </c>
      <c r="Q374" s="64" t="n"/>
      <c r="R374" s="73" t="str">
        <f>IF(N(Q374)&gt;0,Q374,IF(OR(N(B374)=0,ISNA(MATCH($C374,sup_code,0))),"",IF(ISNUMBER(INDEX(sup_delay,MATCH($C374,sup_code,0))),B374+INDEX(sup_delay,MATCH($C374,sup_code,0)),"")))</f>
        <v/>
      </c>
      <c r="S374" s="64" t="n"/>
      <c r="T374" s="68" t="n"/>
      <c r="U374" s="64" t="n"/>
      <c r="V374" s="65" t="n"/>
      <c r="W374" s="74" t="str">
        <f>IF(AND(A374="",E374=""),"",IF(V374="Oui",0,MAX(0,ROUND(N(H374)-N(T374),6))))</f>
        <v/>
      </c>
      <c r="X374" s="67" t="str">
        <f>IF(AND(A374="",E374=""),"",IF(V374="Oui","Annulé",IF(AND(N(H374)&gt;0,N(T374)&gt;=N(H374)),"Reçu",IF(N(S374)=0,"Brouillon",IF(AND(ISNUMBER(R374),R374&lt;p_today),"En retard",IF(N(T374)&gt;0,"Partiel","Envoyé"))))))</f>
        <v/>
      </c>
      <c r="Y374" s="75" t="str">
        <f>IF(X374="En retard",p_today-R374,IF(AND(X374="Reçu",ISNUMBER(R374)),MAX(0,N(U374)-R374),""))</f>
        <v/>
      </c>
      <c r="Z374" s="67" t="str">
        <f>IF(AND(A374="",E374=""),"",IF(A374="","N° de bon manquant",IF(N(B374)=0,"Date de commande manquante",IF(C374="","Fournisseur manquant",IF(ISNA(MATCH($C374,sup_code,0)),"Fournisseur inconnu",IF(E374="","Article manquant",IF(ISNA(MATCH($E374,art_ref,0)),"Article inconnu",IF(N(H374)&lt;=0,"Quantité invalide",IF(J374="","Prix manquant",IF(OR(N(K374)&lt;0,N(K374)&gt;=1),"Remise invalide",IF(M374="","TVA manquante",IF(ISNA(MATCH(M374,p_tva,0)),"Taux de TVA inconnu",IF(COUNTIFS(po_num,A374,po_sup,"&lt;&gt;"&amp;C374)&gt;0,"Fournisseur différent sur ce bon",IF(COUNTIFS(po_num,A374,po_date,"&lt;&gt;"&amp;B374)&gt;0,"Date différente sur ce bon",IF(COUNTIF(po_num,A374)&gt;25,"Plus de 25 lignes sur ce bon",IF(R374="","Date de livraison manquante",IF(R374&lt;B374,"Livraison avant la commande",IF(AND(N(T374)&gt;0,N(S374)=0),"Date d'envoi manquante",IF(N(T374)&gt;N(H374),"Reçu plus que commandé",IF(AND(N(T374)&gt;0,N(U374)=0),"Date de réception manquante",IF(AND(N(U374)&gt;0,U374&lt;B374),"Réception avant la commande","OK")))))))))))))))))))))</f>
        <v/>
      </c>
      <c r="AA374" s="66" t="str">
        <f>IF(AND(X374="Reçu",ISNUMBER(R374)),IF(N(U374)&lt;=R374,1,0),"")</f>
        <v/>
      </c>
      <c r="AB374" s="76" t="str">
        <f>IF(OR(X374="Envoyé",X374="Partiel",X374="En retard"),IF(ISNUMBER(R374),R374,100000)+ROW()/100000,"")</f>
        <v/>
      </c>
      <c r="AC374" s="66" t="str">
        <f>IF(A374="","",IF(COUNTIF($A$6:A374,A374)=1,1,""))</f>
        <v/>
      </c>
      <c r="AD374" s="66" t="str">
        <f>IF(AC374=1,COUNT($AC$6:AC374),"")</f>
        <v/>
      </c>
      <c r="AE374" s="66" t="str">
        <f>IFERROR(INDEX(po_num,MATCH(369,po_seq,0))&amp;"","")</f>
        <v/>
      </c>
      <c r="AF374" s="66" t="str">
        <f>IF(OR(A374="",p_po=""),"",IF(A374&amp;""=p_po,COUNTIF($A$6:A374,A374),""))</f>
        <v/>
      </c>
      <c r="AG374" s="66" t="str">
        <f>IF(OR(AB374="",A374=""),"",IF(COUNTIFS($A$6:A374,A374,$AB$6:AB374,"&gt;0")=1,1,""))</f>
        <v/>
      </c>
      <c r="AH374" s="70" t="str">
        <f>IF(AB374="","",ROUND(N(W374)*N(J374)*(1-N(K374)),2))</f>
        <v/>
      </c>
      <c r="AI374" s="70" t="str">
        <f>IF(OR(J374="",N(T374)&lt;=0,V374="Oui"),"",ROUND(N(T374)*J374*(1-N(K374)),2))</f>
        <v/>
      </c>
    </row>
    <row r="375">
      <c r="A375" s="63" t="n"/>
      <c r="B375" s="64" t="n"/>
      <c r="C375" s="65" t="n"/>
      <c r="D375" s="66" t="str">
        <f>IF(C375="","",IFERROR(INDEX(sup_name,MATCH($C375,sup_code,0))&amp;"","Fournisseur inconnu"))</f>
        <v/>
      </c>
      <c r="E375" s="63" t="n"/>
      <c r="F375" s="66" t="str">
        <f>IF(E375="","",IFERROR(INDEX(art_des,MATCH($E375,art_ref,0))&amp;"","Article inconnu"))</f>
        <v/>
      </c>
      <c r="G375" s="67" t="str">
        <f>IF(E375="","",IFERROR(INDEX(art_unit,MATCH($E375,art_ref,0))&amp;"",""))</f>
        <v/>
      </c>
      <c r="H375" s="68" t="n"/>
      <c r="I375" s="69" t="n"/>
      <c r="J375" s="70" t="str">
        <f>IF(E375="","",IF(ISNUMBER(I375),I375,IFERROR(IF(ISNUMBER(INDEX(art_price,MATCH($E375,art_ref,0))),INDEX(art_price,MATCH($E375,art_ref,0)),""),"")))</f>
        <v/>
      </c>
      <c r="K375" s="71" t="n"/>
      <c r="L375" s="72" t="n"/>
      <c r="M375" s="72" t="str">
        <f>IF(E375="","",IF(L375&lt;&gt;"",L375,IFERROR(IF(ISNUMBER(INDEX(art_tva,MATCH($E375,art_ref,0))),INDEX(art_tva,MATCH($E375,art_ref,0)),""),"")))</f>
        <v/>
      </c>
      <c r="N375" s="70" t="str">
        <f>IF(OR(E375="",J375=""),"",ROUND(N(H375)*J375*(1-N(K375)),2))</f>
        <v/>
      </c>
      <c r="O375" s="70" t="str">
        <f>IF(OR(N375="",NOT(ISNUMBER(M375))),"",ROUND(N375*M375,2))</f>
        <v/>
      </c>
      <c r="P375" s="70" t="str">
        <f>IF(N375="","",N375+N(O375))</f>
        <v/>
      </c>
      <c r="Q375" s="64" t="n"/>
      <c r="R375" s="73" t="str">
        <f>IF(N(Q375)&gt;0,Q375,IF(OR(N(B375)=0,ISNA(MATCH($C375,sup_code,0))),"",IF(ISNUMBER(INDEX(sup_delay,MATCH($C375,sup_code,0))),B375+INDEX(sup_delay,MATCH($C375,sup_code,0)),"")))</f>
        <v/>
      </c>
      <c r="S375" s="64" t="n"/>
      <c r="T375" s="68" t="n"/>
      <c r="U375" s="64" t="n"/>
      <c r="V375" s="65" t="n"/>
      <c r="W375" s="74" t="str">
        <f>IF(AND(A375="",E375=""),"",IF(V375="Oui",0,MAX(0,ROUND(N(H375)-N(T375),6))))</f>
        <v/>
      </c>
      <c r="X375" s="67" t="str">
        <f>IF(AND(A375="",E375=""),"",IF(V375="Oui","Annulé",IF(AND(N(H375)&gt;0,N(T375)&gt;=N(H375)),"Reçu",IF(N(S375)=0,"Brouillon",IF(AND(ISNUMBER(R375),R375&lt;p_today),"En retard",IF(N(T375)&gt;0,"Partiel","Envoyé"))))))</f>
        <v/>
      </c>
      <c r="Y375" s="75" t="str">
        <f>IF(X375="En retard",p_today-R375,IF(AND(X375="Reçu",ISNUMBER(R375)),MAX(0,N(U375)-R375),""))</f>
        <v/>
      </c>
      <c r="Z375" s="67" t="str">
        <f>IF(AND(A375="",E375=""),"",IF(A375="","N° de bon manquant",IF(N(B375)=0,"Date de commande manquante",IF(C375="","Fournisseur manquant",IF(ISNA(MATCH($C375,sup_code,0)),"Fournisseur inconnu",IF(E375="","Article manquant",IF(ISNA(MATCH($E375,art_ref,0)),"Article inconnu",IF(N(H375)&lt;=0,"Quantité invalide",IF(J375="","Prix manquant",IF(OR(N(K375)&lt;0,N(K375)&gt;=1),"Remise invalide",IF(M375="","TVA manquante",IF(ISNA(MATCH(M375,p_tva,0)),"Taux de TVA inconnu",IF(COUNTIFS(po_num,A375,po_sup,"&lt;&gt;"&amp;C375)&gt;0,"Fournisseur différent sur ce bon",IF(COUNTIFS(po_num,A375,po_date,"&lt;&gt;"&amp;B375)&gt;0,"Date différente sur ce bon",IF(COUNTIF(po_num,A375)&gt;25,"Plus de 25 lignes sur ce bon",IF(R375="","Date de livraison manquante",IF(R375&lt;B375,"Livraison avant la commande",IF(AND(N(T375)&gt;0,N(S375)=0),"Date d'envoi manquante",IF(N(T375)&gt;N(H375),"Reçu plus que commandé",IF(AND(N(T375)&gt;0,N(U375)=0),"Date de réception manquante",IF(AND(N(U375)&gt;0,U375&lt;B375),"Réception avant la commande","OK")))))))))))))))))))))</f>
        <v/>
      </c>
      <c r="AA375" s="66" t="str">
        <f>IF(AND(X375="Reçu",ISNUMBER(R375)),IF(N(U375)&lt;=R375,1,0),"")</f>
        <v/>
      </c>
      <c r="AB375" s="76" t="str">
        <f>IF(OR(X375="Envoyé",X375="Partiel",X375="En retard"),IF(ISNUMBER(R375),R375,100000)+ROW()/100000,"")</f>
        <v/>
      </c>
      <c r="AC375" s="66" t="str">
        <f>IF(A375="","",IF(COUNTIF($A$6:A375,A375)=1,1,""))</f>
        <v/>
      </c>
      <c r="AD375" s="66" t="str">
        <f>IF(AC375=1,COUNT($AC$6:AC375),"")</f>
        <v/>
      </c>
      <c r="AE375" s="66" t="str">
        <f>IFERROR(INDEX(po_num,MATCH(370,po_seq,0))&amp;"","")</f>
        <v/>
      </c>
      <c r="AF375" s="66" t="str">
        <f>IF(OR(A375="",p_po=""),"",IF(A375&amp;""=p_po,COUNTIF($A$6:A375,A375),""))</f>
        <v/>
      </c>
      <c r="AG375" s="66" t="str">
        <f>IF(OR(AB375="",A375=""),"",IF(COUNTIFS($A$6:A375,A375,$AB$6:AB375,"&gt;0")=1,1,""))</f>
        <v/>
      </c>
      <c r="AH375" s="70" t="str">
        <f>IF(AB375="","",ROUND(N(W375)*N(J375)*(1-N(K375)),2))</f>
        <v/>
      </c>
      <c r="AI375" s="70" t="str">
        <f>IF(OR(J375="",N(T375)&lt;=0,V375="Oui"),"",ROUND(N(T375)*J375*(1-N(K375)),2))</f>
        <v/>
      </c>
    </row>
    <row r="376">
      <c r="A376" s="63" t="n"/>
      <c r="B376" s="64" t="n"/>
      <c r="C376" s="65" t="n"/>
      <c r="D376" s="66" t="str">
        <f>IF(C376="","",IFERROR(INDEX(sup_name,MATCH($C376,sup_code,0))&amp;"","Fournisseur inconnu"))</f>
        <v/>
      </c>
      <c r="E376" s="63" t="n"/>
      <c r="F376" s="66" t="str">
        <f>IF(E376="","",IFERROR(INDEX(art_des,MATCH($E376,art_ref,0))&amp;"","Article inconnu"))</f>
        <v/>
      </c>
      <c r="G376" s="67" t="str">
        <f>IF(E376="","",IFERROR(INDEX(art_unit,MATCH($E376,art_ref,0))&amp;"",""))</f>
        <v/>
      </c>
      <c r="H376" s="68" t="n"/>
      <c r="I376" s="69" t="n"/>
      <c r="J376" s="70" t="str">
        <f>IF(E376="","",IF(ISNUMBER(I376),I376,IFERROR(IF(ISNUMBER(INDEX(art_price,MATCH($E376,art_ref,0))),INDEX(art_price,MATCH($E376,art_ref,0)),""),"")))</f>
        <v/>
      </c>
      <c r="K376" s="71" t="n"/>
      <c r="L376" s="72" t="n"/>
      <c r="M376" s="72" t="str">
        <f>IF(E376="","",IF(L376&lt;&gt;"",L376,IFERROR(IF(ISNUMBER(INDEX(art_tva,MATCH($E376,art_ref,0))),INDEX(art_tva,MATCH($E376,art_ref,0)),""),"")))</f>
        <v/>
      </c>
      <c r="N376" s="70" t="str">
        <f>IF(OR(E376="",J376=""),"",ROUND(N(H376)*J376*(1-N(K376)),2))</f>
        <v/>
      </c>
      <c r="O376" s="70" t="str">
        <f>IF(OR(N376="",NOT(ISNUMBER(M376))),"",ROUND(N376*M376,2))</f>
        <v/>
      </c>
      <c r="P376" s="70" t="str">
        <f>IF(N376="","",N376+N(O376))</f>
        <v/>
      </c>
      <c r="Q376" s="64" t="n"/>
      <c r="R376" s="73" t="str">
        <f>IF(N(Q376)&gt;0,Q376,IF(OR(N(B376)=0,ISNA(MATCH($C376,sup_code,0))),"",IF(ISNUMBER(INDEX(sup_delay,MATCH($C376,sup_code,0))),B376+INDEX(sup_delay,MATCH($C376,sup_code,0)),"")))</f>
        <v/>
      </c>
      <c r="S376" s="64" t="n"/>
      <c r="T376" s="68" t="n"/>
      <c r="U376" s="64" t="n"/>
      <c r="V376" s="65" t="n"/>
      <c r="W376" s="74" t="str">
        <f>IF(AND(A376="",E376=""),"",IF(V376="Oui",0,MAX(0,ROUND(N(H376)-N(T376),6))))</f>
        <v/>
      </c>
      <c r="X376" s="67" t="str">
        <f>IF(AND(A376="",E376=""),"",IF(V376="Oui","Annulé",IF(AND(N(H376)&gt;0,N(T376)&gt;=N(H376)),"Reçu",IF(N(S376)=0,"Brouillon",IF(AND(ISNUMBER(R376),R376&lt;p_today),"En retard",IF(N(T376)&gt;0,"Partiel","Envoyé"))))))</f>
        <v/>
      </c>
      <c r="Y376" s="75" t="str">
        <f>IF(X376="En retard",p_today-R376,IF(AND(X376="Reçu",ISNUMBER(R376)),MAX(0,N(U376)-R376),""))</f>
        <v/>
      </c>
      <c r="Z376" s="67" t="str">
        <f>IF(AND(A376="",E376=""),"",IF(A376="","N° de bon manquant",IF(N(B376)=0,"Date de commande manquante",IF(C376="","Fournisseur manquant",IF(ISNA(MATCH($C376,sup_code,0)),"Fournisseur inconnu",IF(E376="","Article manquant",IF(ISNA(MATCH($E376,art_ref,0)),"Article inconnu",IF(N(H376)&lt;=0,"Quantité invalide",IF(J376="","Prix manquant",IF(OR(N(K376)&lt;0,N(K376)&gt;=1),"Remise invalide",IF(M376="","TVA manquante",IF(ISNA(MATCH(M376,p_tva,0)),"Taux de TVA inconnu",IF(COUNTIFS(po_num,A376,po_sup,"&lt;&gt;"&amp;C376)&gt;0,"Fournisseur différent sur ce bon",IF(COUNTIFS(po_num,A376,po_date,"&lt;&gt;"&amp;B376)&gt;0,"Date différente sur ce bon",IF(COUNTIF(po_num,A376)&gt;25,"Plus de 25 lignes sur ce bon",IF(R376="","Date de livraison manquante",IF(R376&lt;B376,"Livraison avant la commande",IF(AND(N(T376)&gt;0,N(S376)=0),"Date d'envoi manquante",IF(N(T376)&gt;N(H376),"Reçu plus que commandé",IF(AND(N(T376)&gt;0,N(U376)=0),"Date de réception manquante",IF(AND(N(U376)&gt;0,U376&lt;B376),"Réception avant la commande","OK")))))))))))))))))))))</f>
        <v/>
      </c>
      <c r="AA376" s="66" t="str">
        <f>IF(AND(X376="Reçu",ISNUMBER(R376)),IF(N(U376)&lt;=R376,1,0),"")</f>
        <v/>
      </c>
      <c r="AB376" s="76" t="str">
        <f>IF(OR(X376="Envoyé",X376="Partiel",X376="En retard"),IF(ISNUMBER(R376),R376,100000)+ROW()/100000,"")</f>
        <v/>
      </c>
      <c r="AC376" s="66" t="str">
        <f>IF(A376="","",IF(COUNTIF($A$6:A376,A376)=1,1,""))</f>
        <v/>
      </c>
      <c r="AD376" s="66" t="str">
        <f>IF(AC376=1,COUNT($AC$6:AC376),"")</f>
        <v/>
      </c>
      <c r="AE376" s="66" t="str">
        <f>IFERROR(INDEX(po_num,MATCH(371,po_seq,0))&amp;"","")</f>
        <v/>
      </c>
      <c r="AF376" s="66" t="str">
        <f>IF(OR(A376="",p_po=""),"",IF(A376&amp;""=p_po,COUNTIF($A$6:A376,A376),""))</f>
        <v/>
      </c>
      <c r="AG376" s="66" t="str">
        <f>IF(OR(AB376="",A376=""),"",IF(COUNTIFS($A$6:A376,A376,$AB$6:AB376,"&gt;0")=1,1,""))</f>
        <v/>
      </c>
      <c r="AH376" s="70" t="str">
        <f>IF(AB376="","",ROUND(N(W376)*N(J376)*(1-N(K376)),2))</f>
        <v/>
      </c>
      <c r="AI376" s="70" t="str">
        <f>IF(OR(J376="",N(T376)&lt;=0,V376="Oui"),"",ROUND(N(T376)*J376*(1-N(K376)),2))</f>
        <v/>
      </c>
    </row>
    <row r="377">
      <c r="A377" s="63" t="n"/>
      <c r="B377" s="64" t="n"/>
      <c r="C377" s="65" t="n"/>
      <c r="D377" s="66" t="str">
        <f>IF(C377="","",IFERROR(INDEX(sup_name,MATCH($C377,sup_code,0))&amp;"","Fournisseur inconnu"))</f>
        <v/>
      </c>
      <c r="E377" s="63" t="n"/>
      <c r="F377" s="66" t="str">
        <f>IF(E377="","",IFERROR(INDEX(art_des,MATCH($E377,art_ref,0))&amp;"","Article inconnu"))</f>
        <v/>
      </c>
      <c r="G377" s="67" t="str">
        <f>IF(E377="","",IFERROR(INDEX(art_unit,MATCH($E377,art_ref,0))&amp;"",""))</f>
        <v/>
      </c>
      <c r="H377" s="68" t="n"/>
      <c r="I377" s="69" t="n"/>
      <c r="J377" s="70" t="str">
        <f>IF(E377="","",IF(ISNUMBER(I377),I377,IFERROR(IF(ISNUMBER(INDEX(art_price,MATCH($E377,art_ref,0))),INDEX(art_price,MATCH($E377,art_ref,0)),""),"")))</f>
        <v/>
      </c>
      <c r="K377" s="71" t="n"/>
      <c r="L377" s="72" t="n"/>
      <c r="M377" s="72" t="str">
        <f>IF(E377="","",IF(L377&lt;&gt;"",L377,IFERROR(IF(ISNUMBER(INDEX(art_tva,MATCH($E377,art_ref,0))),INDEX(art_tva,MATCH($E377,art_ref,0)),""),"")))</f>
        <v/>
      </c>
      <c r="N377" s="70" t="str">
        <f>IF(OR(E377="",J377=""),"",ROUND(N(H377)*J377*(1-N(K377)),2))</f>
        <v/>
      </c>
      <c r="O377" s="70" t="str">
        <f>IF(OR(N377="",NOT(ISNUMBER(M377))),"",ROUND(N377*M377,2))</f>
        <v/>
      </c>
      <c r="P377" s="70" t="str">
        <f>IF(N377="","",N377+N(O377))</f>
        <v/>
      </c>
      <c r="Q377" s="64" t="n"/>
      <c r="R377" s="73" t="str">
        <f>IF(N(Q377)&gt;0,Q377,IF(OR(N(B377)=0,ISNA(MATCH($C377,sup_code,0))),"",IF(ISNUMBER(INDEX(sup_delay,MATCH($C377,sup_code,0))),B377+INDEX(sup_delay,MATCH($C377,sup_code,0)),"")))</f>
        <v/>
      </c>
      <c r="S377" s="64" t="n"/>
      <c r="T377" s="68" t="n"/>
      <c r="U377" s="64" t="n"/>
      <c r="V377" s="65" t="n"/>
      <c r="W377" s="74" t="str">
        <f>IF(AND(A377="",E377=""),"",IF(V377="Oui",0,MAX(0,ROUND(N(H377)-N(T377),6))))</f>
        <v/>
      </c>
      <c r="X377" s="67" t="str">
        <f>IF(AND(A377="",E377=""),"",IF(V377="Oui","Annulé",IF(AND(N(H377)&gt;0,N(T377)&gt;=N(H377)),"Reçu",IF(N(S377)=0,"Brouillon",IF(AND(ISNUMBER(R377),R377&lt;p_today),"En retard",IF(N(T377)&gt;0,"Partiel","Envoyé"))))))</f>
        <v/>
      </c>
      <c r="Y377" s="75" t="str">
        <f>IF(X377="En retard",p_today-R377,IF(AND(X377="Reçu",ISNUMBER(R377)),MAX(0,N(U377)-R377),""))</f>
        <v/>
      </c>
      <c r="Z377" s="67" t="str">
        <f>IF(AND(A377="",E377=""),"",IF(A377="","N° de bon manquant",IF(N(B377)=0,"Date de commande manquante",IF(C377="","Fournisseur manquant",IF(ISNA(MATCH($C377,sup_code,0)),"Fournisseur inconnu",IF(E377="","Article manquant",IF(ISNA(MATCH($E377,art_ref,0)),"Article inconnu",IF(N(H377)&lt;=0,"Quantité invalide",IF(J377="","Prix manquant",IF(OR(N(K377)&lt;0,N(K377)&gt;=1),"Remise invalide",IF(M377="","TVA manquante",IF(ISNA(MATCH(M377,p_tva,0)),"Taux de TVA inconnu",IF(COUNTIFS(po_num,A377,po_sup,"&lt;&gt;"&amp;C377)&gt;0,"Fournisseur différent sur ce bon",IF(COUNTIFS(po_num,A377,po_date,"&lt;&gt;"&amp;B377)&gt;0,"Date différente sur ce bon",IF(COUNTIF(po_num,A377)&gt;25,"Plus de 25 lignes sur ce bon",IF(R377="","Date de livraison manquante",IF(R377&lt;B377,"Livraison avant la commande",IF(AND(N(T377)&gt;0,N(S377)=0),"Date d'envoi manquante",IF(N(T377)&gt;N(H377),"Reçu plus que commandé",IF(AND(N(T377)&gt;0,N(U377)=0),"Date de réception manquante",IF(AND(N(U377)&gt;0,U377&lt;B377),"Réception avant la commande","OK")))))))))))))))))))))</f>
        <v/>
      </c>
      <c r="AA377" s="66" t="str">
        <f>IF(AND(X377="Reçu",ISNUMBER(R377)),IF(N(U377)&lt;=R377,1,0),"")</f>
        <v/>
      </c>
      <c r="AB377" s="76" t="str">
        <f>IF(OR(X377="Envoyé",X377="Partiel",X377="En retard"),IF(ISNUMBER(R377),R377,100000)+ROW()/100000,"")</f>
        <v/>
      </c>
      <c r="AC377" s="66" t="str">
        <f>IF(A377="","",IF(COUNTIF($A$6:A377,A377)=1,1,""))</f>
        <v/>
      </c>
      <c r="AD377" s="66" t="str">
        <f>IF(AC377=1,COUNT($AC$6:AC377),"")</f>
        <v/>
      </c>
      <c r="AE377" s="66" t="str">
        <f>IFERROR(INDEX(po_num,MATCH(372,po_seq,0))&amp;"","")</f>
        <v/>
      </c>
      <c r="AF377" s="66" t="str">
        <f>IF(OR(A377="",p_po=""),"",IF(A377&amp;""=p_po,COUNTIF($A$6:A377,A377),""))</f>
        <v/>
      </c>
      <c r="AG377" s="66" t="str">
        <f>IF(OR(AB377="",A377=""),"",IF(COUNTIFS($A$6:A377,A377,$AB$6:AB377,"&gt;0")=1,1,""))</f>
        <v/>
      </c>
      <c r="AH377" s="70" t="str">
        <f>IF(AB377="","",ROUND(N(W377)*N(J377)*(1-N(K377)),2))</f>
        <v/>
      </c>
      <c r="AI377" s="70" t="str">
        <f>IF(OR(J377="",N(T377)&lt;=0,V377="Oui"),"",ROUND(N(T377)*J377*(1-N(K377)),2))</f>
        <v/>
      </c>
    </row>
    <row r="378">
      <c r="A378" s="63" t="n"/>
      <c r="B378" s="64" t="n"/>
      <c r="C378" s="65" t="n"/>
      <c r="D378" s="66" t="str">
        <f>IF(C378="","",IFERROR(INDEX(sup_name,MATCH($C378,sup_code,0))&amp;"","Fournisseur inconnu"))</f>
        <v/>
      </c>
      <c r="E378" s="63" t="n"/>
      <c r="F378" s="66" t="str">
        <f>IF(E378="","",IFERROR(INDEX(art_des,MATCH($E378,art_ref,0))&amp;"","Article inconnu"))</f>
        <v/>
      </c>
      <c r="G378" s="67" t="str">
        <f>IF(E378="","",IFERROR(INDEX(art_unit,MATCH($E378,art_ref,0))&amp;"",""))</f>
        <v/>
      </c>
      <c r="H378" s="68" t="n"/>
      <c r="I378" s="69" t="n"/>
      <c r="J378" s="70" t="str">
        <f>IF(E378="","",IF(ISNUMBER(I378),I378,IFERROR(IF(ISNUMBER(INDEX(art_price,MATCH($E378,art_ref,0))),INDEX(art_price,MATCH($E378,art_ref,0)),""),"")))</f>
        <v/>
      </c>
      <c r="K378" s="71" t="n"/>
      <c r="L378" s="72" t="n"/>
      <c r="M378" s="72" t="str">
        <f>IF(E378="","",IF(L378&lt;&gt;"",L378,IFERROR(IF(ISNUMBER(INDEX(art_tva,MATCH($E378,art_ref,0))),INDEX(art_tva,MATCH($E378,art_ref,0)),""),"")))</f>
        <v/>
      </c>
      <c r="N378" s="70" t="str">
        <f>IF(OR(E378="",J378=""),"",ROUND(N(H378)*J378*(1-N(K378)),2))</f>
        <v/>
      </c>
      <c r="O378" s="70" t="str">
        <f>IF(OR(N378="",NOT(ISNUMBER(M378))),"",ROUND(N378*M378,2))</f>
        <v/>
      </c>
      <c r="P378" s="70" t="str">
        <f>IF(N378="","",N378+N(O378))</f>
        <v/>
      </c>
      <c r="Q378" s="64" t="n"/>
      <c r="R378" s="73" t="str">
        <f>IF(N(Q378)&gt;0,Q378,IF(OR(N(B378)=0,ISNA(MATCH($C378,sup_code,0))),"",IF(ISNUMBER(INDEX(sup_delay,MATCH($C378,sup_code,0))),B378+INDEX(sup_delay,MATCH($C378,sup_code,0)),"")))</f>
        <v/>
      </c>
      <c r="S378" s="64" t="n"/>
      <c r="T378" s="68" t="n"/>
      <c r="U378" s="64" t="n"/>
      <c r="V378" s="65" t="n"/>
      <c r="W378" s="74" t="str">
        <f>IF(AND(A378="",E378=""),"",IF(V378="Oui",0,MAX(0,ROUND(N(H378)-N(T378),6))))</f>
        <v/>
      </c>
      <c r="X378" s="67" t="str">
        <f>IF(AND(A378="",E378=""),"",IF(V378="Oui","Annulé",IF(AND(N(H378)&gt;0,N(T378)&gt;=N(H378)),"Reçu",IF(N(S378)=0,"Brouillon",IF(AND(ISNUMBER(R378),R378&lt;p_today),"En retard",IF(N(T378)&gt;0,"Partiel","Envoyé"))))))</f>
        <v/>
      </c>
      <c r="Y378" s="75" t="str">
        <f>IF(X378="En retard",p_today-R378,IF(AND(X378="Reçu",ISNUMBER(R378)),MAX(0,N(U378)-R378),""))</f>
        <v/>
      </c>
      <c r="Z378" s="67" t="str">
        <f>IF(AND(A378="",E378=""),"",IF(A378="","N° de bon manquant",IF(N(B378)=0,"Date de commande manquante",IF(C378="","Fournisseur manquant",IF(ISNA(MATCH($C378,sup_code,0)),"Fournisseur inconnu",IF(E378="","Article manquant",IF(ISNA(MATCH($E378,art_ref,0)),"Article inconnu",IF(N(H378)&lt;=0,"Quantité invalide",IF(J378="","Prix manquant",IF(OR(N(K378)&lt;0,N(K378)&gt;=1),"Remise invalide",IF(M378="","TVA manquante",IF(ISNA(MATCH(M378,p_tva,0)),"Taux de TVA inconnu",IF(COUNTIFS(po_num,A378,po_sup,"&lt;&gt;"&amp;C378)&gt;0,"Fournisseur différent sur ce bon",IF(COUNTIFS(po_num,A378,po_date,"&lt;&gt;"&amp;B378)&gt;0,"Date différente sur ce bon",IF(COUNTIF(po_num,A378)&gt;25,"Plus de 25 lignes sur ce bon",IF(R378="","Date de livraison manquante",IF(R378&lt;B378,"Livraison avant la commande",IF(AND(N(T378)&gt;0,N(S378)=0),"Date d'envoi manquante",IF(N(T378)&gt;N(H378),"Reçu plus que commandé",IF(AND(N(T378)&gt;0,N(U378)=0),"Date de réception manquante",IF(AND(N(U378)&gt;0,U378&lt;B378),"Réception avant la commande","OK")))))))))))))))))))))</f>
        <v/>
      </c>
      <c r="AA378" s="66" t="str">
        <f>IF(AND(X378="Reçu",ISNUMBER(R378)),IF(N(U378)&lt;=R378,1,0),"")</f>
        <v/>
      </c>
      <c r="AB378" s="76" t="str">
        <f>IF(OR(X378="Envoyé",X378="Partiel",X378="En retard"),IF(ISNUMBER(R378),R378,100000)+ROW()/100000,"")</f>
        <v/>
      </c>
      <c r="AC378" s="66" t="str">
        <f>IF(A378="","",IF(COUNTIF($A$6:A378,A378)=1,1,""))</f>
        <v/>
      </c>
      <c r="AD378" s="66" t="str">
        <f>IF(AC378=1,COUNT($AC$6:AC378),"")</f>
        <v/>
      </c>
      <c r="AE378" s="66" t="str">
        <f>IFERROR(INDEX(po_num,MATCH(373,po_seq,0))&amp;"","")</f>
        <v/>
      </c>
      <c r="AF378" s="66" t="str">
        <f>IF(OR(A378="",p_po=""),"",IF(A378&amp;""=p_po,COUNTIF($A$6:A378,A378),""))</f>
        <v/>
      </c>
      <c r="AG378" s="66" t="str">
        <f>IF(OR(AB378="",A378=""),"",IF(COUNTIFS($A$6:A378,A378,$AB$6:AB378,"&gt;0")=1,1,""))</f>
        <v/>
      </c>
      <c r="AH378" s="70" t="str">
        <f>IF(AB378="","",ROUND(N(W378)*N(J378)*(1-N(K378)),2))</f>
        <v/>
      </c>
      <c r="AI378" s="70" t="str">
        <f>IF(OR(J378="",N(T378)&lt;=0,V378="Oui"),"",ROUND(N(T378)*J378*(1-N(K378)),2))</f>
        <v/>
      </c>
    </row>
    <row r="379">
      <c r="A379" s="63" t="n"/>
      <c r="B379" s="64" t="n"/>
      <c r="C379" s="65" t="n"/>
      <c r="D379" s="66" t="str">
        <f>IF(C379="","",IFERROR(INDEX(sup_name,MATCH($C379,sup_code,0))&amp;"","Fournisseur inconnu"))</f>
        <v/>
      </c>
      <c r="E379" s="63" t="n"/>
      <c r="F379" s="66" t="str">
        <f>IF(E379="","",IFERROR(INDEX(art_des,MATCH($E379,art_ref,0))&amp;"","Article inconnu"))</f>
        <v/>
      </c>
      <c r="G379" s="67" t="str">
        <f>IF(E379="","",IFERROR(INDEX(art_unit,MATCH($E379,art_ref,0))&amp;"",""))</f>
        <v/>
      </c>
      <c r="H379" s="68" t="n"/>
      <c r="I379" s="69" t="n"/>
      <c r="J379" s="70" t="str">
        <f>IF(E379="","",IF(ISNUMBER(I379),I379,IFERROR(IF(ISNUMBER(INDEX(art_price,MATCH($E379,art_ref,0))),INDEX(art_price,MATCH($E379,art_ref,0)),""),"")))</f>
        <v/>
      </c>
      <c r="K379" s="71" t="n"/>
      <c r="L379" s="72" t="n"/>
      <c r="M379" s="72" t="str">
        <f>IF(E379="","",IF(L379&lt;&gt;"",L379,IFERROR(IF(ISNUMBER(INDEX(art_tva,MATCH($E379,art_ref,0))),INDEX(art_tva,MATCH($E379,art_ref,0)),""),"")))</f>
        <v/>
      </c>
      <c r="N379" s="70" t="str">
        <f>IF(OR(E379="",J379=""),"",ROUND(N(H379)*J379*(1-N(K379)),2))</f>
        <v/>
      </c>
      <c r="O379" s="70" t="str">
        <f>IF(OR(N379="",NOT(ISNUMBER(M379))),"",ROUND(N379*M379,2))</f>
        <v/>
      </c>
      <c r="P379" s="70" t="str">
        <f>IF(N379="","",N379+N(O379))</f>
        <v/>
      </c>
      <c r="Q379" s="64" t="n"/>
      <c r="R379" s="73" t="str">
        <f>IF(N(Q379)&gt;0,Q379,IF(OR(N(B379)=0,ISNA(MATCH($C379,sup_code,0))),"",IF(ISNUMBER(INDEX(sup_delay,MATCH($C379,sup_code,0))),B379+INDEX(sup_delay,MATCH($C379,sup_code,0)),"")))</f>
        <v/>
      </c>
      <c r="S379" s="64" t="n"/>
      <c r="T379" s="68" t="n"/>
      <c r="U379" s="64" t="n"/>
      <c r="V379" s="65" t="n"/>
      <c r="W379" s="74" t="str">
        <f>IF(AND(A379="",E379=""),"",IF(V379="Oui",0,MAX(0,ROUND(N(H379)-N(T379),6))))</f>
        <v/>
      </c>
      <c r="X379" s="67" t="str">
        <f>IF(AND(A379="",E379=""),"",IF(V379="Oui","Annulé",IF(AND(N(H379)&gt;0,N(T379)&gt;=N(H379)),"Reçu",IF(N(S379)=0,"Brouillon",IF(AND(ISNUMBER(R379),R379&lt;p_today),"En retard",IF(N(T379)&gt;0,"Partiel","Envoyé"))))))</f>
        <v/>
      </c>
      <c r="Y379" s="75" t="str">
        <f>IF(X379="En retard",p_today-R379,IF(AND(X379="Reçu",ISNUMBER(R379)),MAX(0,N(U379)-R379),""))</f>
        <v/>
      </c>
      <c r="Z379" s="67" t="str">
        <f>IF(AND(A379="",E379=""),"",IF(A379="","N° de bon manquant",IF(N(B379)=0,"Date de commande manquante",IF(C379="","Fournisseur manquant",IF(ISNA(MATCH($C379,sup_code,0)),"Fournisseur inconnu",IF(E379="","Article manquant",IF(ISNA(MATCH($E379,art_ref,0)),"Article inconnu",IF(N(H379)&lt;=0,"Quantité invalide",IF(J379="","Prix manquant",IF(OR(N(K379)&lt;0,N(K379)&gt;=1),"Remise invalide",IF(M379="","TVA manquante",IF(ISNA(MATCH(M379,p_tva,0)),"Taux de TVA inconnu",IF(COUNTIFS(po_num,A379,po_sup,"&lt;&gt;"&amp;C379)&gt;0,"Fournisseur différent sur ce bon",IF(COUNTIFS(po_num,A379,po_date,"&lt;&gt;"&amp;B379)&gt;0,"Date différente sur ce bon",IF(COUNTIF(po_num,A379)&gt;25,"Plus de 25 lignes sur ce bon",IF(R379="","Date de livraison manquante",IF(R379&lt;B379,"Livraison avant la commande",IF(AND(N(T379)&gt;0,N(S379)=0),"Date d'envoi manquante",IF(N(T379)&gt;N(H379),"Reçu plus que commandé",IF(AND(N(T379)&gt;0,N(U379)=0),"Date de réception manquante",IF(AND(N(U379)&gt;0,U379&lt;B379),"Réception avant la commande","OK")))))))))))))))))))))</f>
        <v/>
      </c>
      <c r="AA379" s="66" t="str">
        <f>IF(AND(X379="Reçu",ISNUMBER(R379)),IF(N(U379)&lt;=R379,1,0),"")</f>
        <v/>
      </c>
      <c r="AB379" s="76" t="str">
        <f>IF(OR(X379="Envoyé",X379="Partiel",X379="En retard"),IF(ISNUMBER(R379),R379,100000)+ROW()/100000,"")</f>
        <v/>
      </c>
      <c r="AC379" s="66" t="str">
        <f>IF(A379="","",IF(COUNTIF($A$6:A379,A379)=1,1,""))</f>
        <v/>
      </c>
      <c r="AD379" s="66" t="str">
        <f>IF(AC379=1,COUNT($AC$6:AC379),"")</f>
        <v/>
      </c>
      <c r="AE379" s="66" t="str">
        <f>IFERROR(INDEX(po_num,MATCH(374,po_seq,0))&amp;"","")</f>
        <v/>
      </c>
      <c r="AF379" s="66" t="str">
        <f>IF(OR(A379="",p_po=""),"",IF(A379&amp;""=p_po,COUNTIF($A$6:A379,A379),""))</f>
        <v/>
      </c>
      <c r="AG379" s="66" t="str">
        <f>IF(OR(AB379="",A379=""),"",IF(COUNTIFS($A$6:A379,A379,$AB$6:AB379,"&gt;0")=1,1,""))</f>
        <v/>
      </c>
      <c r="AH379" s="70" t="str">
        <f>IF(AB379="","",ROUND(N(W379)*N(J379)*(1-N(K379)),2))</f>
        <v/>
      </c>
      <c r="AI379" s="70" t="str">
        <f>IF(OR(J379="",N(T379)&lt;=0,V379="Oui"),"",ROUND(N(T379)*J379*(1-N(K379)),2))</f>
        <v/>
      </c>
    </row>
    <row r="380">
      <c r="A380" s="63" t="n"/>
      <c r="B380" s="64" t="n"/>
      <c r="C380" s="65" t="n"/>
      <c r="D380" s="66" t="str">
        <f>IF(C380="","",IFERROR(INDEX(sup_name,MATCH($C380,sup_code,0))&amp;"","Fournisseur inconnu"))</f>
        <v/>
      </c>
      <c r="E380" s="63" t="n"/>
      <c r="F380" s="66" t="str">
        <f>IF(E380="","",IFERROR(INDEX(art_des,MATCH($E380,art_ref,0))&amp;"","Article inconnu"))</f>
        <v/>
      </c>
      <c r="G380" s="67" t="str">
        <f>IF(E380="","",IFERROR(INDEX(art_unit,MATCH($E380,art_ref,0))&amp;"",""))</f>
        <v/>
      </c>
      <c r="H380" s="68" t="n"/>
      <c r="I380" s="69" t="n"/>
      <c r="J380" s="70" t="str">
        <f>IF(E380="","",IF(ISNUMBER(I380),I380,IFERROR(IF(ISNUMBER(INDEX(art_price,MATCH($E380,art_ref,0))),INDEX(art_price,MATCH($E380,art_ref,0)),""),"")))</f>
        <v/>
      </c>
      <c r="K380" s="71" t="n"/>
      <c r="L380" s="72" t="n"/>
      <c r="M380" s="72" t="str">
        <f>IF(E380="","",IF(L380&lt;&gt;"",L380,IFERROR(IF(ISNUMBER(INDEX(art_tva,MATCH($E380,art_ref,0))),INDEX(art_tva,MATCH($E380,art_ref,0)),""),"")))</f>
        <v/>
      </c>
      <c r="N380" s="70" t="str">
        <f>IF(OR(E380="",J380=""),"",ROUND(N(H380)*J380*(1-N(K380)),2))</f>
        <v/>
      </c>
      <c r="O380" s="70" t="str">
        <f>IF(OR(N380="",NOT(ISNUMBER(M380))),"",ROUND(N380*M380,2))</f>
        <v/>
      </c>
      <c r="P380" s="70" t="str">
        <f>IF(N380="","",N380+N(O380))</f>
        <v/>
      </c>
      <c r="Q380" s="64" t="n"/>
      <c r="R380" s="73" t="str">
        <f>IF(N(Q380)&gt;0,Q380,IF(OR(N(B380)=0,ISNA(MATCH($C380,sup_code,0))),"",IF(ISNUMBER(INDEX(sup_delay,MATCH($C380,sup_code,0))),B380+INDEX(sup_delay,MATCH($C380,sup_code,0)),"")))</f>
        <v/>
      </c>
      <c r="S380" s="64" t="n"/>
      <c r="T380" s="68" t="n"/>
      <c r="U380" s="64" t="n"/>
      <c r="V380" s="65" t="n"/>
      <c r="W380" s="74" t="str">
        <f>IF(AND(A380="",E380=""),"",IF(V380="Oui",0,MAX(0,ROUND(N(H380)-N(T380),6))))</f>
        <v/>
      </c>
      <c r="X380" s="67" t="str">
        <f>IF(AND(A380="",E380=""),"",IF(V380="Oui","Annulé",IF(AND(N(H380)&gt;0,N(T380)&gt;=N(H380)),"Reçu",IF(N(S380)=0,"Brouillon",IF(AND(ISNUMBER(R380),R380&lt;p_today),"En retard",IF(N(T380)&gt;0,"Partiel","Envoyé"))))))</f>
        <v/>
      </c>
      <c r="Y380" s="75" t="str">
        <f>IF(X380="En retard",p_today-R380,IF(AND(X380="Reçu",ISNUMBER(R380)),MAX(0,N(U380)-R380),""))</f>
        <v/>
      </c>
      <c r="Z380" s="67" t="str">
        <f>IF(AND(A380="",E380=""),"",IF(A380="","N° de bon manquant",IF(N(B380)=0,"Date de commande manquante",IF(C380="","Fournisseur manquant",IF(ISNA(MATCH($C380,sup_code,0)),"Fournisseur inconnu",IF(E380="","Article manquant",IF(ISNA(MATCH($E380,art_ref,0)),"Article inconnu",IF(N(H380)&lt;=0,"Quantité invalide",IF(J380="","Prix manquant",IF(OR(N(K380)&lt;0,N(K380)&gt;=1),"Remise invalide",IF(M380="","TVA manquante",IF(ISNA(MATCH(M380,p_tva,0)),"Taux de TVA inconnu",IF(COUNTIFS(po_num,A380,po_sup,"&lt;&gt;"&amp;C380)&gt;0,"Fournisseur différent sur ce bon",IF(COUNTIFS(po_num,A380,po_date,"&lt;&gt;"&amp;B380)&gt;0,"Date différente sur ce bon",IF(COUNTIF(po_num,A380)&gt;25,"Plus de 25 lignes sur ce bon",IF(R380="","Date de livraison manquante",IF(R380&lt;B380,"Livraison avant la commande",IF(AND(N(T380)&gt;0,N(S380)=0),"Date d'envoi manquante",IF(N(T380)&gt;N(H380),"Reçu plus que commandé",IF(AND(N(T380)&gt;0,N(U380)=0),"Date de réception manquante",IF(AND(N(U380)&gt;0,U380&lt;B380),"Réception avant la commande","OK")))))))))))))))))))))</f>
        <v/>
      </c>
      <c r="AA380" s="66" t="str">
        <f>IF(AND(X380="Reçu",ISNUMBER(R380)),IF(N(U380)&lt;=R380,1,0),"")</f>
        <v/>
      </c>
      <c r="AB380" s="76" t="str">
        <f>IF(OR(X380="Envoyé",X380="Partiel",X380="En retard"),IF(ISNUMBER(R380),R380,100000)+ROW()/100000,"")</f>
        <v/>
      </c>
      <c r="AC380" s="66" t="str">
        <f>IF(A380="","",IF(COUNTIF($A$6:A380,A380)=1,1,""))</f>
        <v/>
      </c>
      <c r="AD380" s="66" t="str">
        <f>IF(AC380=1,COUNT($AC$6:AC380),"")</f>
        <v/>
      </c>
      <c r="AE380" s="66" t="str">
        <f>IFERROR(INDEX(po_num,MATCH(375,po_seq,0))&amp;"","")</f>
        <v/>
      </c>
      <c r="AF380" s="66" t="str">
        <f>IF(OR(A380="",p_po=""),"",IF(A380&amp;""=p_po,COUNTIF($A$6:A380,A380),""))</f>
        <v/>
      </c>
      <c r="AG380" s="66" t="str">
        <f>IF(OR(AB380="",A380=""),"",IF(COUNTIFS($A$6:A380,A380,$AB$6:AB380,"&gt;0")=1,1,""))</f>
        <v/>
      </c>
      <c r="AH380" s="70" t="str">
        <f>IF(AB380="","",ROUND(N(W380)*N(J380)*(1-N(K380)),2))</f>
        <v/>
      </c>
      <c r="AI380" s="70" t="str">
        <f>IF(OR(J380="",N(T380)&lt;=0,V380="Oui"),"",ROUND(N(T380)*J380*(1-N(K380)),2))</f>
        <v/>
      </c>
    </row>
    <row r="381">
      <c r="A381" s="63" t="n"/>
      <c r="B381" s="64" t="n"/>
      <c r="C381" s="65" t="n"/>
      <c r="D381" s="66" t="str">
        <f>IF(C381="","",IFERROR(INDEX(sup_name,MATCH($C381,sup_code,0))&amp;"","Fournisseur inconnu"))</f>
        <v/>
      </c>
      <c r="E381" s="63" t="n"/>
      <c r="F381" s="66" t="str">
        <f>IF(E381="","",IFERROR(INDEX(art_des,MATCH($E381,art_ref,0))&amp;"","Article inconnu"))</f>
        <v/>
      </c>
      <c r="G381" s="67" t="str">
        <f>IF(E381="","",IFERROR(INDEX(art_unit,MATCH($E381,art_ref,0))&amp;"",""))</f>
        <v/>
      </c>
      <c r="H381" s="68" t="n"/>
      <c r="I381" s="69" t="n"/>
      <c r="J381" s="70" t="str">
        <f>IF(E381="","",IF(ISNUMBER(I381),I381,IFERROR(IF(ISNUMBER(INDEX(art_price,MATCH($E381,art_ref,0))),INDEX(art_price,MATCH($E381,art_ref,0)),""),"")))</f>
        <v/>
      </c>
      <c r="K381" s="71" t="n"/>
      <c r="L381" s="72" t="n"/>
      <c r="M381" s="72" t="str">
        <f>IF(E381="","",IF(L381&lt;&gt;"",L381,IFERROR(IF(ISNUMBER(INDEX(art_tva,MATCH($E381,art_ref,0))),INDEX(art_tva,MATCH($E381,art_ref,0)),""),"")))</f>
        <v/>
      </c>
      <c r="N381" s="70" t="str">
        <f>IF(OR(E381="",J381=""),"",ROUND(N(H381)*J381*(1-N(K381)),2))</f>
        <v/>
      </c>
      <c r="O381" s="70" t="str">
        <f>IF(OR(N381="",NOT(ISNUMBER(M381))),"",ROUND(N381*M381,2))</f>
        <v/>
      </c>
      <c r="P381" s="70" t="str">
        <f>IF(N381="","",N381+N(O381))</f>
        <v/>
      </c>
      <c r="Q381" s="64" t="n"/>
      <c r="R381" s="73" t="str">
        <f>IF(N(Q381)&gt;0,Q381,IF(OR(N(B381)=0,ISNA(MATCH($C381,sup_code,0))),"",IF(ISNUMBER(INDEX(sup_delay,MATCH($C381,sup_code,0))),B381+INDEX(sup_delay,MATCH($C381,sup_code,0)),"")))</f>
        <v/>
      </c>
      <c r="S381" s="64" t="n"/>
      <c r="T381" s="68" t="n"/>
      <c r="U381" s="64" t="n"/>
      <c r="V381" s="65" t="n"/>
      <c r="W381" s="74" t="str">
        <f>IF(AND(A381="",E381=""),"",IF(V381="Oui",0,MAX(0,ROUND(N(H381)-N(T381),6))))</f>
        <v/>
      </c>
      <c r="X381" s="67" t="str">
        <f>IF(AND(A381="",E381=""),"",IF(V381="Oui","Annulé",IF(AND(N(H381)&gt;0,N(T381)&gt;=N(H381)),"Reçu",IF(N(S381)=0,"Brouillon",IF(AND(ISNUMBER(R381),R381&lt;p_today),"En retard",IF(N(T381)&gt;0,"Partiel","Envoyé"))))))</f>
        <v/>
      </c>
      <c r="Y381" s="75" t="str">
        <f>IF(X381="En retard",p_today-R381,IF(AND(X381="Reçu",ISNUMBER(R381)),MAX(0,N(U381)-R381),""))</f>
        <v/>
      </c>
      <c r="Z381" s="67" t="str">
        <f>IF(AND(A381="",E381=""),"",IF(A381="","N° de bon manquant",IF(N(B381)=0,"Date de commande manquante",IF(C381="","Fournisseur manquant",IF(ISNA(MATCH($C381,sup_code,0)),"Fournisseur inconnu",IF(E381="","Article manquant",IF(ISNA(MATCH($E381,art_ref,0)),"Article inconnu",IF(N(H381)&lt;=0,"Quantité invalide",IF(J381="","Prix manquant",IF(OR(N(K381)&lt;0,N(K381)&gt;=1),"Remise invalide",IF(M381="","TVA manquante",IF(ISNA(MATCH(M381,p_tva,0)),"Taux de TVA inconnu",IF(COUNTIFS(po_num,A381,po_sup,"&lt;&gt;"&amp;C381)&gt;0,"Fournisseur différent sur ce bon",IF(COUNTIFS(po_num,A381,po_date,"&lt;&gt;"&amp;B381)&gt;0,"Date différente sur ce bon",IF(COUNTIF(po_num,A381)&gt;25,"Plus de 25 lignes sur ce bon",IF(R381="","Date de livraison manquante",IF(R381&lt;B381,"Livraison avant la commande",IF(AND(N(T381)&gt;0,N(S381)=0),"Date d'envoi manquante",IF(N(T381)&gt;N(H381),"Reçu plus que commandé",IF(AND(N(T381)&gt;0,N(U381)=0),"Date de réception manquante",IF(AND(N(U381)&gt;0,U381&lt;B381),"Réception avant la commande","OK")))))))))))))))))))))</f>
        <v/>
      </c>
      <c r="AA381" s="66" t="str">
        <f>IF(AND(X381="Reçu",ISNUMBER(R381)),IF(N(U381)&lt;=R381,1,0),"")</f>
        <v/>
      </c>
      <c r="AB381" s="76" t="str">
        <f>IF(OR(X381="Envoyé",X381="Partiel",X381="En retard"),IF(ISNUMBER(R381),R381,100000)+ROW()/100000,"")</f>
        <v/>
      </c>
      <c r="AC381" s="66" t="str">
        <f>IF(A381="","",IF(COUNTIF($A$6:A381,A381)=1,1,""))</f>
        <v/>
      </c>
      <c r="AD381" s="66" t="str">
        <f>IF(AC381=1,COUNT($AC$6:AC381),"")</f>
        <v/>
      </c>
      <c r="AE381" s="66" t="str">
        <f>IFERROR(INDEX(po_num,MATCH(376,po_seq,0))&amp;"","")</f>
        <v/>
      </c>
      <c r="AF381" s="66" t="str">
        <f>IF(OR(A381="",p_po=""),"",IF(A381&amp;""=p_po,COUNTIF($A$6:A381,A381),""))</f>
        <v/>
      </c>
      <c r="AG381" s="66" t="str">
        <f>IF(OR(AB381="",A381=""),"",IF(COUNTIFS($A$6:A381,A381,$AB$6:AB381,"&gt;0")=1,1,""))</f>
        <v/>
      </c>
      <c r="AH381" s="70" t="str">
        <f>IF(AB381="","",ROUND(N(W381)*N(J381)*(1-N(K381)),2))</f>
        <v/>
      </c>
      <c r="AI381" s="70" t="str">
        <f>IF(OR(J381="",N(T381)&lt;=0,V381="Oui"),"",ROUND(N(T381)*J381*(1-N(K381)),2))</f>
        <v/>
      </c>
    </row>
    <row r="382">
      <c r="A382" s="63" t="n"/>
      <c r="B382" s="64" t="n"/>
      <c r="C382" s="65" t="n"/>
      <c r="D382" s="66" t="str">
        <f>IF(C382="","",IFERROR(INDEX(sup_name,MATCH($C382,sup_code,0))&amp;"","Fournisseur inconnu"))</f>
        <v/>
      </c>
      <c r="E382" s="63" t="n"/>
      <c r="F382" s="66" t="str">
        <f>IF(E382="","",IFERROR(INDEX(art_des,MATCH($E382,art_ref,0))&amp;"","Article inconnu"))</f>
        <v/>
      </c>
      <c r="G382" s="67" t="str">
        <f>IF(E382="","",IFERROR(INDEX(art_unit,MATCH($E382,art_ref,0))&amp;"",""))</f>
        <v/>
      </c>
      <c r="H382" s="68" t="n"/>
      <c r="I382" s="69" t="n"/>
      <c r="J382" s="70" t="str">
        <f>IF(E382="","",IF(ISNUMBER(I382),I382,IFERROR(IF(ISNUMBER(INDEX(art_price,MATCH($E382,art_ref,0))),INDEX(art_price,MATCH($E382,art_ref,0)),""),"")))</f>
        <v/>
      </c>
      <c r="K382" s="71" t="n"/>
      <c r="L382" s="72" t="n"/>
      <c r="M382" s="72" t="str">
        <f>IF(E382="","",IF(L382&lt;&gt;"",L382,IFERROR(IF(ISNUMBER(INDEX(art_tva,MATCH($E382,art_ref,0))),INDEX(art_tva,MATCH($E382,art_ref,0)),""),"")))</f>
        <v/>
      </c>
      <c r="N382" s="70" t="str">
        <f>IF(OR(E382="",J382=""),"",ROUND(N(H382)*J382*(1-N(K382)),2))</f>
        <v/>
      </c>
      <c r="O382" s="70" t="str">
        <f>IF(OR(N382="",NOT(ISNUMBER(M382))),"",ROUND(N382*M382,2))</f>
        <v/>
      </c>
      <c r="P382" s="70" t="str">
        <f>IF(N382="","",N382+N(O382))</f>
        <v/>
      </c>
      <c r="Q382" s="64" t="n"/>
      <c r="R382" s="73" t="str">
        <f>IF(N(Q382)&gt;0,Q382,IF(OR(N(B382)=0,ISNA(MATCH($C382,sup_code,0))),"",IF(ISNUMBER(INDEX(sup_delay,MATCH($C382,sup_code,0))),B382+INDEX(sup_delay,MATCH($C382,sup_code,0)),"")))</f>
        <v/>
      </c>
      <c r="S382" s="64" t="n"/>
      <c r="T382" s="68" t="n"/>
      <c r="U382" s="64" t="n"/>
      <c r="V382" s="65" t="n"/>
      <c r="W382" s="74" t="str">
        <f>IF(AND(A382="",E382=""),"",IF(V382="Oui",0,MAX(0,ROUND(N(H382)-N(T382),6))))</f>
        <v/>
      </c>
      <c r="X382" s="67" t="str">
        <f>IF(AND(A382="",E382=""),"",IF(V382="Oui","Annulé",IF(AND(N(H382)&gt;0,N(T382)&gt;=N(H382)),"Reçu",IF(N(S382)=0,"Brouillon",IF(AND(ISNUMBER(R382),R382&lt;p_today),"En retard",IF(N(T382)&gt;0,"Partiel","Envoyé"))))))</f>
        <v/>
      </c>
      <c r="Y382" s="75" t="str">
        <f>IF(X382="En retard",p_today-R382,IF(AND(X382="Reçu",ISNUMBER(R382)),MAX(0,N(U382)-R382),""))</f>
        <v/>
      </c>
      <c r="Z382" s="67" t="str">
        <f>IF(AND(A382="",E382=""),"",IF(A382="","N° de bon manquant",IF(N(B382)=0,"Date de commande manquante",IF(C382="","Fournisseur manquant",IF(ISNA(MATCH($C382,sup_code,0)),"Fournisseur inconnu",IF(E382="","Article manquant",IF(ISNA(MATCH($E382,art_ref,0)),"Article inconnu",IF(N(H382)&lt;=0,"Quantité invalide",IF(J382="","Prix manquant",IF(OR(N(K382)&lt;0,N(K382)&gt;=1),"Remise invalide",IF(M382="","TVA manquante",IF(ISNA(MATCH(M382,p_tva,0)),"Taux de TVA inconnu",IF(COUNTIFS(po_num,A382,po_sup,"&lt;&gt;"&amp;C382)&gt;0,"Fournisseur différent sur ce bon",IF(COUNTIFS(po_num,A382,po_date,"&lt;&gt;"&amp;B382)&gt;0,"Date différente sur ce bon",IF(COUNTIF(po_num,A382)&gt;25,"Plus de 25 lignes sur ce bon",IF(R382="","Date de livraison manquante",IF(R382&lt;B382,"Livraison avant la commande",IF(AND(N(T382)&gt;0,N(S382)=0),"Date d'envoi manquante",IF(N(T382)&gt;N(H382),"Reçu plus que commandé",IF(AND(N(T382)&gt;0,N(U382)=0),"Date de réception manquante",IF(AND(N(U382)&gt;0,U382&lt;B382),"Réception avant la commande","OK")))))))))))))))))))))</f>
        <v/>
      </c>
      <c r="AA382" s="66" t="str">
        <f>IF(AND(X382="Reçu",ISNUMBER(R382)),IF(N(U382)&lt;=R382,1,0),"")</f>
        <v/>
      </c>
      <c r="AB382" s="76" t="str">
        <f>IF(OR(X382="Envoyé",X382="Partiel",X382="En retard"),IF(ISNUMBER(R382),R382,100000)+ROW()/100000,"")</f>
        <v/>
      </c>
      <c r="AC382" s="66" t="str">
        <f>IF(A382="","",IF(COUNTIF($A$6:A382,A382)=1,1,""))</f>
        <v/>
      </c>
      <c r="AD382" s="66" t="str">
        <f>IF(AC382=1,COUNT($AC$6:AC382),"")</f>
        <v/>
      </c>
      <c r="AE382" s="66" t="str">
        <f>IFERROR(INDEX(po_num,MATCH(377,po_seq,0))&amp;"","")</f>
        <v/>
      </c>
      <c r="AF382" s="66" t="str">
        <f>IF(OR(A382="",p_po=""),"",IF(A382&amp;""=p_po,COUNTIF($A$6:A382,A382),""))</f>
        <v/>
      </c>
      <c r="AG382" s="66" t="str">
        <f>IF(OR(AB382="",A382=""),"",IF(COUNTIFS($A$6:A382,A382,$AB$6:AB382,"&gt;0")=1,1,""))</f>
        <v/>
      </c>
      <c r="AH382" s="70" t="str">
        <f>IF(AB382="","",ROUND(N(W382)*N(J382)*(1-N(K382)),2))</f>
        <v/>
      </c>
      <c r="AI382" s="70" t="str">
        <f>IF(OR(J382="",N(T382)&lt;=0,V382="Oui"),"",ROUND(N(T382)*J382*(1-N(K382)),2))</f>
        <v/>
      </c>
    </row>
    <row r="383">
      <c r="A383" s="63" t="n"/>
      <c r="B383" s="64" t="n"/>
      <c r="C383" s="65" t="n"/>
      <c r="D383" s="66" t="str">
        <f>IF(C383="","",IFERROR(INDEX(sup_name,MATCH($C383,sup_code,0))&amp;"","Fournisseur inconnu"))</f>
        <v/>
      </c>
      <c r="E383" s="63" t="n"/>
      <c r="F383" s="66" t="str">
        <f>IF(E383="","",IFERROR(INDEX(art_des,MATCH($E383,art_ref,0))&amp;"","Article inconnu"))</f>
        <v/>
      </c>
      <c r="G383" s="67" t="str">
        <f>IF(E383="","",IFERROR(INDEX(art_unit,MATCH($E383,art_ref,0))&amp;"",""))</f>
        <v/>
      </c>
      <c r="H383" s="68" t="n"/>
      <c r="I383" s="69" t="n"/>
      <c r="J383" s="70" t="str">
        <f>IF(E383="","",IF(ISNUMBER(I383),I383,IFERROR(IF(ISNUMBER(INDEX(art_price,MATCH($E383,art_ref,0))),INDEX(art_price,MATCH($E383,art_ref,0)),""),"")))</f>
        <v/>
      </c>
      <c r="K383" s="71" t="n"/>
      <c r="L383" s="72" t="n"/>
      <c r="M383" s="72" t="str">
        <f>IF(E383="","",IF(L383&lt;&gt;"",L383,IFERROR(IF(ISNUMBER(INDEX(art_tva,MATCH($E383,art_ref,0))),INDEX(art_tva,MATCH($E383,art_ref,0)),""),"")))</f>
        <v/>
      </c>
      <c r="N383" s="70" t="str">
        <f>IF(OR(E383="",J383=""),"",ROUND(N(H383)*J383*(1-N(K383)),2))</f>
        <v/>
      </c>
      <c r="O383" s="70" t="str">
        <f>IF(OR(N383="",NOT(ISNUMBER(M383))),"",ROUND(N383*M383,2))</f>
        <v/>
      </c>
      <c r="P383" s="70" t="str">
        <f>IF(N383="","",N383+N(O383))</f>
        <v/>
      </c>
      <c r="Q383" s="64" t="n"/>
      <c r="R383" s="73" t="str">
        <f>IF(N(Q383)&gt;0,Q383,IF(OR(N(B383)=0,ISNA(MATCH($C383,sup_code,0))),"",IF(ISNUMBER(INDEX(sup_delay,MATCH($C383,sup_code,0))),B383+INDEX(sup_delay,MATCH($C383,sup_code,0)),"")))</f>
        <v/>
      </c>
      <c r="S383" s="64" t="n"/>
      <c r="T383" s="68" t="n"/>
      <c r="U383" s="64" t="n"/>
      <c r="V383" s="65" t="n"/>
      <c r="W383" s="74" t="str">
        <f>IF(AND(A383="",E383=""),"",IF(V383="Oui",0,MAX(0,ROUND(N(H383)-N(T383),6))))</f>
        <v/>
      </c>
      <c r="X383" s="67" t="str">
        <f>IF(AND(A383="",E383=""),"",IF(V383="Oui","Annulé",IF(AND(N(H383)&gt;0,N(T383)&gt;=N(H383)),"Reçu",IF(N(S383)=0,"Brouillon",IF(AND(ISNUMBER(R383),R383&lt;p_today),"En retard",IF(N(T383)&gt;0,"Partiel","Envoyé"))))))</f>
        <v/>
      </c>
      <c r="Y383" s="75" t="str">
        <f>IF(X383="En retard",p_today-R383,IF(AND(X383="Reçu",ISNUMBER(R383)),MAX(0,N(U383)-R383),""))</f>
        <v/>
      </c>
      <c r="Z383" s="67" t="str">
        <f>IF(AND(A383="",E383=""),"",IF(A383="","N° de bon manquant",IF(N(B383)=0,"Date de commande manquante",IF(C383="","Fournisseur manquant",IF(ISNA(MATCH($C383,sup_code,0)),"Fournisseur inconnu",IF(E383="","Article manquant",IF(ISNA(MATCH($E383,art_ref,0)),"Article inconnu",IF(N(H383)&lt;=0,"Quantité invalide",IF(J383="","Prix manquant",IF(OR(N(K383)&lt;0,N(K383)&gt;=1),"Remise invalide",IF(M383="","TVA manquante",IF(ISNA(MATCH(M383,p_tva,0)),"Taux de TVA inconnu",IF(COUNTIFS(po_num,A383,po_sup,"&lt;&gt;"&amp;C383)&gt;0,"Fournisseur différent sur ce bon",IF(COUNTIFS(po_num,A383,po_date,"&lt;&gt;"&amp;B383)&gt;0,"Date différente sur ce bon",IF(COUNTIF(po_num,A383)&gt;25,"Plus de 25 lignes sur ce bon",IF(R383="","Date de livraison manquante",IF(R383&lt;B383,"Livraison avant la commande",IF(AND(N(T383)&gt;0,N(S383)=0),"Date d'envoi manquante",IF(N(T383)&gt;N(H383),"Reçu plus que commandé",IF(AND(N(T383)&gt;0,N(U383)=0),"Date de réception manquante",IF(AND(N(U383)&gt;0,U383&lt;B383),"Réception avant la commande","OK")))))))))))))))))))))</f>
        <v/>
      </c>
      <c r="AA383" s="66" t="str">
        <f>IF(AND(X383="Reçu",ISNUMBER(R383)),IF(N(U383)&lt;=R383,1,0),"")</f>
        <v/>
      </c>
      <c r="AB383" s="76" t="str">
        <f>IF(OR(X383="Envoyé",X383="Partiel",X383="En retard"),IF(ISNUMBER(R383),R383,100000)+ROW()/100000,"")</f>
        <v/>
      </c>
      <c r="AC383" s="66" t="str">
        <f>IF(A383="","",IF(COUNTIF($A$6:A383,A383)=1,1,""))</f>
        <v/>
      </c>
      <c r="AD383" s="66" t="str">
        <f>IF(AC383=1,COUNT($AC$6:AC383),"")</f>
        <v/>
      </c>
      <c r="AE383" s="66" t="str">
        <f>IFERROR(INDEX(po_num,MATCH(378,po_seq,0))&amp;"","")</f>
        <v/>
      </c>
      <c r="AF383" s="66" t="str">
        <f>IF(OR(A383="",p_po=""),"",IF(A383&amp;""=p_po,COUNTIF($A$6:A383,A383),""))</f>
        <v/>
      </c>
      <c r="AG383" s="66" t="str">
        <f>IF(OR(AB383="",A383=""),"",IF(COUNTIFS($A$6:A383,A383,$AB$6:AB383,"&gt;0")=1,1,""))</f>
        <v/>
      </c>
      <c r="AH383" s="70" t="str">
        <f>IF(AB383="","",ROUND(N(W383)*N(J383)*(1-N(K383)),2))</f>
        <v/>
      </c>
      <c r="AI383" s="70" t="str">
        <f>IF(OR(J383="",N(T383)&lt;=0,V383="Oui"),"",ROUND(N(T383)*J383*(1-N(K383)),2))</f>
        <v/>
      </c>
    </row>
    <row r="384">
      <c r="A384" s="63" t="n"/>
      <c r="B384" s="64" t="n"/>
      <c r="C384" s="65" t="n"/>
      <c r="D384" s="66" t="str">
        <f>IF(C384="","",IFERROR(INDEX(sup_name,MATCH($C384,sup_code,0))&amp;"","Fournisseur inconnu"))</f>
        <v/>
      </c>
      <c r="E384" s="63" t="n"/>
      <c r="F384" s="66" t="str">
        <f>IF(E384="","",IFERROR(INDEX(art_des,MATCH($E384,art_ref,0))&amp;"","Article inconnu"))</f>
        <v/>
      </c>
      <c r="G384" s="67" t="str">
        <f>IF(E384="","",IFERROR(INDEX(art_unit,MATCH($E384,art_ref,0))&amp;"",""))</f>
        <v/>
      </c>
      <c r="H384" s="68" t="n"/>
      <c r="I384" s="69" t="n"/>
      <c r="J384" s="70" t="str">
        <f>IF(E384="","",IF(ISNUMBER(I384),I384,IFERROR(IF(ISNUMBER(INDEX(art_price,MATCH($E384,art_ref,0))),INDEX(art_price,MATCH($E384,art_ref,0)),""),"")))</f>
        <v/>
      </c>
      <c r="K384" s="71" t="n"/>
      <c r="L384" s="72" t="n"/>
      <c r="M384" s="72" t="str">
        <f>IF(E384="","",IF(L384&lt;&gt;"",L384,IFERROR(IF(ISNUMBER(INDEX(art_tva,MATCH($E384,art_ref,0))),INDEX(art_tva,MATCH($E384,art_ref,0)),""),"")))</f>
        <v/>
      </c>
      <c r="N384" s="70" t="str">
        <f>IF(OR(E384="",J384=""),"",ROUND(N(H384)*J384*(1-N(K384)),2))</f>
        <v/>
      </c>
      <c r="O384" s="70" t="str">
        <f>IF(OR(N384="",NOT(ISNUMBER(M384))),"",ROUND(N384*M384,2))</f>
        <v/>
      </c>
      <c r="P384" s="70" t="str">
        <f>IF(N384="","",N384+N(O384))</f>
        <v/>
      </c>
      <c r="Q384" s="64" t="n"/>
      <c r="R384" s="73" t="str">
        <f>IF(N(Q384)&gt;0,Q384,IF(OR(N(B384)=0,ISNA(MATCH($C384,sup_code,0))),"",IF(ISNUMBER(INDEX(sup_delay,MATCH($C384,sup_code,0))),B384+INDEX(sup_delay,MATCH($C384,sup_code,0)),"")))</f>
        <v/>
      </c>
      <c r="S384" s="64" t="n"/>
      <c r="T384" s="68" t="n"/>
      <c r="U384" s="64" t="n"/>
      <c r="V384" s="65" t="n"/>
      <c r="W384" s="74" t="str">
        <f>IF(AND(A384="",E384=""),"",IF(V384="Oui",0,MAX(0,ROUND(N(H384)-N(T384),6))))</f>
        <v/>
      </c>
      <c r="X384" s="67" t="str">
        <f>IF(AND(A384="",E384=""),"",IF(V384="Oui","Annulé",IF(AND(N(H384)&gt;0,N(T384)&gt;=N(H384)),"Reçu",IF(N(S384)=0,"Brouillon",IF(AND(ISNUMBER(R384),R384&lt;p_today),"En retard",IF(N(T384)&gt;0,"Partiel","Envoyé"))))))</f>
        <v/>
      </c>
      <c r="Y384" s="75" t="str">
        <f>IF(X384="En retard",p_today-R384,IF(AND(X384="Reçu",ISNUMBER(R384)),MAX(0,N(U384)-R384),""))</f>
        <v/>
      </c>
      <c r="Z384" s="67" t="str">
        <f>IF(AND(A384="",E384=""),"",IF(A384="","N° de bon manquant",IF(N(B384)=0,"Date de commande manquante",IF(C384="","Fournisseur manquant",IF(ISNA(MATCH($C384,sup_code,0)),"Fournisseur inconnu",IF(E384="","Article manquant",IF(ISNA(MATCH($E384,art_ref,0)),"Article inconnu",IF(N(H384)&lt;=0,"Quantité invalide",IF(J384="","Prix manquant",IF(OR(N(K384)&lt;0,N(K384)&gt;=1),"Remise invalide",IF(M384="","TVA manquante",IF(ISNA(MATCH(M384,p_tva,0)),"Taux de TVA inconnu",IF(COUNTIFS(po_num,A384,po_sup,"&lt;&gt;"&amp;C384)&gt;0,"Fournisseur différent sur ce bon",IF(COUNTIFS(po_num,A384,po_date,"&lt;&gt;"&amp;B384)&gt;0,"Date différente sur ce bon",IF(COUNTIF(po_num,A384)&gt;25,"Plus de 25 lignes sur ce bon",IF(R384="","Date de livraison manquante",IF(R384&lt;B384,"Livraison avant la commande",IF(AND(N(T384)&gt;0,N(S384)=0),"Date d'envoi manquante",IF(N(T384)&gt;N(H384),"Reçu plus que commandé",IF(AND(N(T384)&gt;0,N(U384)=0),"Date de réception manquante",IF(AND(N(U384)&gt;0,U384&lt;B384),"Réception avant la commande","OK")))))))))))))))))))))</f>
        <v/>
      </c>
      <c r="AA384" s="66" t="str">
        <f>IF(AND(X384="Reçu",ISNUMBER(R384)),IF(N(U384)&lt;=R384,1,0),"")</f>
        <v/>
      </c>
      <c r="AB384" s="76" t="str">
        <f>IF(OR(X384="Envoyé",X384="Partiel",X384="En retard"),IF(ISNUMBER(R384),R384,100000)+ROW()/100000,"")</f>
        <v/>
      </c>
      <c r="AC384" s="66" t="str">
        <f>IF(A384="","",IF(COUNTIF($A$6:A384,A384)=1,1,""))</f>
        <v/>
      </c>
      <c r="AD384" s="66" t="str">
        <f>IF(AC384=1,COUNT($AC$6:AC384),"")</f>
        <v/>
      </c>
      <c r="AE384" s="66" t="str">
        <f>IFERROR(INDEX(po_num,MATCH(379,po_seq,0))&amp;"","")</f>
        <v/>
      </c>
      <c r="AF384" s="66" t="str">
        <f>IF(OR(A384="",p_po=""),"",IF(A384&amp;""=p_po,COUNTIF($A$6:A384,A384),""))</f>
        <v/>
      </c>
      <c r="AG384" s="66" t="str">
        <f>IF(OR(AB384="",A384=""),"",IF(COUNTIFS($A$6:A384,A384,$AB$6:AB384,"&gt;0")=1,1,""))</f>
        <v/>
      </c>
      <c r="AH384" s="70" t="str">
        <f>IF(AB384="","",ROUND(N(W384)*N(J384)*(1-N(K384)),2))</f>
        <v/>
      </c>
      <c r="AI384" s="70" t="str">
        <f>IF(OR(J384="",N(T384)&lt;=0,V384="Oui"),"",ROUND(N(T384)*J384*(1-N(K384)),2))</f>
        <v/>
      </c>
    </row>
    <row r="385">
      <c r="A385" s="63" t="n"/>
      <c r="B385" s="64" t="n"/>
      <c r="C385" s="65" t="n"/>
      <c r="D385" s="66" t="str">
        <f>IF(C385="","",IFERROR(INDEX(sup_name,MATCH($C385,sup_code,0))&amp;"","Fournisseur inconnu"))</f>
        <v/>
      </c>
      <c r="E385" s="63" t="n"/>
      <c r="F385" s="66" t="str">
        <f>IF(E385="","",IFERROR(INDEX(art_des,MATCH($E385,art_ref,0))&amp;"","Article inconnu"))</f>
        <v/>
      </c>
      <c r="G385" s="67" t="str">
        <f>IF(E385="","",IFERROR(INDEX(art_unit,MATCH($E385,art_ref,0))&amp;"",""))</f>
        <v/>
      </c>
      <c r="H385" s="68" t="n"/>
      <c r="I385" s="69" t="n"/>
      <c r="J385" s="70" t="str">
        <f>IF(E385="","",IF(ISNUMBER(I385),I385,IFERROR(IF(ISNUMBER(INDEX(art_price,MATCH($E385,art_ref,0))),INDEX(art_price,MATCH($E385,art_ref,0)),""),"")))</f>
        <v/>
      </c>
      <c r="K385" s="71" t="n"/>
      <c r="L385" s="72" t="n"/>
      <c r="M385" s="72" t="str">
        <f>IF(E385="","",IF(L385&lt;&gt;"",L385,IFERROR(IF(ISNUMBER(INDEX(art_tva,MATCH($E385,art_ref,0))),INDEX(art_tva,MATCH($E385,art_ref,0)),""),"")))</f>
        <v/>
      </c>
      <c r="N385" s="70" t="str">
        <f>IF(OR(E385="",J385=""),"",ROUND(N(H385)*J385*(1-N(K385)),2))</f>
        <v/>
      </c>
      <c r="O385" s="70" t="str">
        <f>IF(OR(N385="",NOT(ISNUMBER(M385))),"",ROUND(N385*M385,2))</f>
        <v/>
      </c>
      <c r="P385" s="70" t="str">
        <f>IF(N385="","",N385+N(O385))</f>
        <v/>
      </c>
      <c r="Q385" s="64" t="n"/>
      <c r="R385" s="73" t="str">
        <f>IF(N(Q385)&gt;0,Q385,IF(OR(N(B385)=0,ISNA(MATCH($C385,sup_code,0))),"",IF(ISNUMBER(INDEX(sup_delay,MATCH($C385,sup_code,0))),B385+INDEX(sup_delay,MATCH($C385,sup_code,0)),"")))</f>
        <v/>
      </c>
      <c r="S385" s="64" t="n"/>
      <c r="T385" s="68" t="n"/>
      <c r="U385" s="64" t="n"/>
      <c r="V385" s="65" t="n"/>
      <c r="W385" s="74" t="str">
        <f>IF(AND(A385="",E385=""),"",IF(V385="Oui",0,MAX(0,ROUND(N(H385)-N(T385),6))))</f>
        <v/>
      </c>
      <c r="X385" s="67" t="str">
        <f>IF(AND(A385="",E385=""),"",IF(V385="Oui","Annulé",IF(AND(N(H385)&gt;0,N(T385)&gt;=N(H385)),"Reçu",IF(N(S385)=0,"Brouillon",IF(AND(ISNUMBER(R385),R385&lt;p_today),"En retard",IF(N(T385)&gt;0,"Partiel","Envoyé"))))))</f>
        <v/>
      </c>
      <c r="Y385" s="75" t="str">
        <f>IF(X385="En retard",p_today-R385,IF(AND(X385="Reçu",ISNUMBER(R385)),MAX(0,N(U385)-R385),""))</f>
        <v/>
      </c>
      <c r="Z385" s="67" t="str">
        <f>IF(AND(A385="",E385=""),"",IF(A385="","N° de bon manquant",IF(N(B385)=0,"Date de commande manquante",IF(C385="","Fournisseur manquant",IF(ISNA(MATCH($C385,sup_code,0)),"Fournisseur inconnu",IF(E385="","Article manquant",IF(ISNA(MATCH($E385,art_ref,0)),"Article inconnu",IF(N(H385)&lt;=0,"Quantité invalide",IF(J385="","Prix manquant",IF(OR(N(K385)&lt;0,N(K385)&gt;=1),"Remise invalide",IF(M385="","TVA manquante",IF(ISNA(MATCH(M385,p_tva,0)),"Taux de TVA inconnu",IF(COUNTIFS(po_num,A385,po_sup,"&lt;&gt;"&amp;C385)&gt;0,"Fournisseur différent sur ce bon",IF(COUNTIFS(po_num,A385,po_date,"&lt;&gt;"&amp;B385)&gt;0,"Date différente sur ce bon",IF(COUNTIF(po_num,A385)&gt;25,"Plus de 25 lignes sur ce bon",IF(R385="","Date de livraison manquante",IF(R385&lt;B385,"Livraison avant la commande",IF(AND(N(T385)&gt;0,N(S385)=0),"Date d'envoi manquante",IF(N(T385)&gt;N(H385),"Reçu plus que commandé",IF(AND(N(T385)&gt;0,N(U385)=0),"Date de réception manquante",IF(AND(N(U385)&gt;0,U385&lt;B385),"Réception avant la commande","OK")))))))))))))))))))))</f>
        <v/>
      </c>
      <c r="AA385" s="66" t="str">
        <f>IF(AND(X385="Reçu",ISNUMBER(R385)),IF(N(U385)&lt;=R385,1,0),"")</f>
        <v/>
      </c>
      <c r="AB385" s="76" t="str">
        <f>IF(OR(X385="Envoyé",X385="Partiel",X385="En retard"),IF(ISNUMBER(R385),R385,100000)+ROW()/100000,"")</f>
        <v/>
      </c>
      <c r="AC385" s="66" t="str">
        <f>IF(A385="","",IF(COUNTIF($A$6:A385,A385)=1,1,""))</f>
        <v/>
      </c>
      <c r="AD385" s="66" t="str">
        <f>IF(AC385=1,COUNT($AC$6:AC385),"")</f>
        <v/>
      </c>
      <c r="AE385" s="66" t="str">
        <f>IFERROR(INDEX(po_num,MATCH(380,po_seq,0))&amp;"","")</f>
        <v/>
      </c>
      <c r="AF385" s="66" t="str">
        <f>IF(OR(A385="",p_po=""),"",IF(A385&amp;""=p_po,COUNTIF($A$6:A385,A385),""))</f>
        <v/>
      </c>
      <c r="AG385" s="66" t="str">
        <f>IF(OR(AB385="",A385=""),"",IF(COUNTIFS($A$6:A385,A385,$AB$6:AB385,"&gt;0")=1,1,""))</f>
        <v/>
      </c>
      <c r="AH385" s="70" t="str">
        <f>IF(AB385="","",ROUND(N(W385)*N(J385)*(1-N(K385)),2))</f>
        <v/>
      </c>
      <c r="AI385" s="70" t="str">
        <f>IF(OR(J385="",N(T385)&lt;=0,V385="Oui"),"",ROUND(N(T385)*J385*(1-N(K385)),2))</f>
        <v/>
      </c>
    </row>
    <row r="386">
      <c r="A386" s="63" t="n"/>
      <c r="B386" s="64" t="n"/>
      <c r="C386" s="65" t="n"/>
      <c r="D386" s="66" t="str">
        <f>IF(C386="","",IFERROR(INDEX(sup_name,MATCH($C386,sup_code,0))&amp;"","Fournisseur inconnu"))</f>
        <v/>
      </c>
      <c r="E386" s="63" t="n"/>
      <c r="F386" s="66" t="str">
        <f>IF(E386="","",IFERROR(INDEX(art_des,MATCH($E386,art_ref,0))&amp;"","Article inconnu"))</f>
        <v/>
      </c>
      <c r="G386" s="67" t="str">
        <f>IF(E386="","",IFERROR(INDEX(art_unit,MATCH($E386,art_ref,0))&amp;"",""))</f>
        <v/>
      </c>
      <c r="H386" s="68" t="n"/>
      <c r="I386" s="69" t="n"/>
      <c r="J386" s="70" t="str">
        <f>IF(E386="","",IF(ISNUMBER(I386),I386,IFERROR(IF(ISNUMBER(INDEX(art_price,MATCH($E386,art_ref,0))),INDEX(art_price,MATCH($E386,art_ref,0)),""),"")))</f>
        <v/>
      </c>
      <c r="K386" s="71" t="n"/>
      <c r="L386" s="72" t="n"/>
      <c r="M386" s="72" t="str">
        <f>IF(E386="","",IF(L386&lt;&gt;"",L386,IFERROR(IF(ISNUMBER(INDEX(art_tva,MATCH($E386,art_ref,0))),INDEX(art_tva,MATCH($E386,art_ref,0)),""),"")))</f>
        <v/>
      </c>
      <c r="N386" s="70" t="str">
        <f>IF(OR(E386="",J386=""),"",ROUND(N(H386)*J386*(1-N(K386)),2))</f>
        <v/>
      </c>
      <c r="O386" s="70" t="str">
        <f>IF(OR(N386="",NOT(ISNUMBER(M386))),"",ROUND(N386*M386,2))</f>
        <v/>
      </c>
      <c r="P386" s="70" t="str">
        <f>IF(N386="","",N386+N(O386))</f>
        <v/>
      </c>
      <c r="Q386" s="64" t="n"/>
      <c r="R386" s="73" t="str">
        <f>IF(N(Q386)&gt;0,Q386,IF(OR(N(B386)=0,ISNA(MATCH($C386,sup_code,0))),"",IF(ISNUMBER(INDEX(sup_delay,MATCH($C386,sup_code,0))),B386+INDEX(sup_delay,MATCH($C386,sup_code,0)),"")))</f>
        <v/>
      </c>
      <c r="S386" s="64" t="n"/>
      <c r="T386" s="68" t="n"/>
      <c r="U386" s="64" t="n"/>
      <c r="V386" s="65" t="n"/>
      <c r="W386" s="74" t="str">
        <f>IF(AND(A386="",E386=""),"",IF(V386="Oui",0,MAX(0,ROUND(N(H386)-N(T386),6))))</f>
        <v/>
      </c>
      <c r="X386" s="67" t="str">
        <f>IF(AND(A386="",E386=""),"",IF(V386="Oui","Annulé",IF(AND(N(H386)&gt;0,N(T386)&gt;=N(H386)),"Reçu",IF(N(S386)=0,"Brouillon",IF(AND(ISNUMBER(R386),R386&lt;p_today),"En retard",IF(N(T386)&gt;0,"Partiel","Envoyé"))))))</f>
        <v/>
      </c>
      <c r="Y386" s="75" t="str">
        <f>IF(X386="En retard",p_today-R386,IF(AND(X386="Reçu",ISNUMBER(R386)),MAX(0,N(U386)-R386),""))</f>
        <v/>
      </c>
      <c r="Z386" s="67" t="str">
        <f>IF(AND(A386="",E386=""),"",IF(A386="","N° de bon manquant",IF(N(B386)=0,"Date de commande manquante",IF(C386="","Fournisseur manquant",IF(ISNA(MATCH($C386,sup_code,0)),"Fournisseur inconnu",IF(E386="","Article manquant",IF(ISNA(MATCH($E386,art_ref,0)),"Article inconnu",IF(N(H386)&lt;=0,"Quantité invalide",IF(J386="","Prix manquant",IF(OR(N(K386)&lt;0,N(K386)&gt;=1),"Remise invalide",IF(M386="","TVA manquante",IF(ISNA(MATCH(M386,p_tva,0)),"Taux de TVA inconnu",IF(COUNTIFS(po_num,A386,po_sup,"&lt;&gt;"&amp;C386)&gt;0,"Fournisseur différent sur ce bon",IF(COUNTIFS(po_num,A386,po_date,"&lt;&gt;"&amp;B386)&gt;0,"Date différente sur ce bon",IF(COUNTIF(po_num,A386)&gt;25,"Plus de 25 lignes sur ce bon",IF(R386="","Date de livraison manquante",IF(R386&lt;B386,"Livraison avant la commande",IF(AND(N(T386)&gt;0,N(S386)=0),"Date d'envoi manquante",IF(N(T386)&gt;N(H386),"Reçu plus que commandé",IF(AND(N(T386)&gt;0,N(U386)=0),"Date de réception manquante",IF(AND(N(U386)&gt;0,U386&lt;B386),"Réception avant la commande","OK")))))))))))))))))))))</f>
        <v/>
      </c>
      <c r="AA386" s="66" t="str">
        <f>IF(AND(X386="Reçu",ISNUMBER(R386)),IF(N(U386)&lt;=R386,1,0),"")</f>
        <v/>
      </c>
      <c r="AB386" s="76" t="str">
        <f>IF(OR(X386="Envoyé",X386="Partiel",X386="En retard"),IF(ISNUMBER(R386),R386,100000)+ROW()/100000,"")</f>
        <v/>
      </c>
      <c r="AC386" s="66" t="str">
        <f>IF(A386="","",IF(COUNTIF($A$6:A386,A386)=1,1,""))</f>
        <v/>
      </c>
      <c r="AD386" s="66" t="str">
        <f>IF(AC386=1,COUNT($AC$6:AC386),"")</f>
        <v/>
      </c>
      <c r="AE386" s="66" t="str">
        <f>IFERROR(INDEX(po_num,MATCH(381,po_seq,0))&amp;"","")</f>
        <v/>
      </c>
      <c r="AF386" s="66" t="str">
        <f>IF(OR(A386="",p_po=""),"",IF(A386&amp;""=p_po,COUNTIF($A$6:A386,A386),""))</f>
        <v/>
      </c>
      <c r="AG386" s="66" t="str">
        <f>IF(OR(AB386="",A386=""),"",IF(COUNTIFS($A$6:A386,A386,$AB$6:AB386,"&gt;0")=1,1,""))</f>
        <v/>
      </c>
      <c r="AH386" s="70" t="str">
        <f>IF(AB386="","",ROUND(N(W386)*N(J386)*(1-N(K386)),2))</f>
        <v/>
      </c>
      <c r="AI386" s="70" t="str">
        <f>IF(OR(J386="",N(T386)&lt;=0,V386="Oui"),"",ROUND(N(T386)*J386*(1-N(K386)),2))</f>
        <v/>
      </c>
    </row>
    <row r="387">
      <c r="A387" s="63" t="n"/>
      <c r="B387" s="64" t="n"/>
      <c r="C387" s="65" t="n"/>
      <c r="D387" s="66" t="str">
        <f>IF(C387="","",IFERROR(INDEX(sup_name,MATCH($C387,sup_code,0))&amp;"","Fournisseur inconnu"))</f>
        <v/>
      </c>
      <c r="E387" s="63" t="n"/>
      <c r="F387" s="66" t="str">
        <f>IF(E387="","",IFERROR(INDEX(art_des,MATCH($E387,art_ref,0))&amp;"","Article inconnu"))</f>
        <v/>
      </c>
      <c r="G387" s="67" t="str">
        <f>IF(E387="","",IFERROR(INDEX(art_unit,MATCH($E387,art_ref,0))&amp;"",""))</f>
        <v/>
      </c>
      <c r="H387" s="68" t="n"/>
      <c r="I387" s="69" t="n"/>
      <c r="J387" s="70" t="str">
        <f>IF(E387="","",IF(ISNUMBER(I387),I387,IFERROR(IF(ISNUMBER(INDEX(art_price,MATCH($E387,art_ref,0))),INDEX(art_price,MATCH($E387,art_ref,0)),""),"")))</f>
        <v/>
      </c>
      <c r="K387" s="71" t="n"/>
      <c r="L387" s="72" t="n"/>
      <c r="M387" s="72" t="str">
        <f>IF(E387="","",IF(L387&lt;&gt;"",L387,IFERROR(IF(ISNUMBER(INDEX(art_tva,MATCH($E387,art_ref,0))),INDEX(art_tva,MATCH($E387,art_ref,0)),""),"")))</f>
        <v/>
      </c>
      <c r="N387" s="70" t="str">
        <f>IF(OR(E387="",J387=""),"",ROUND(N(H387)*J387*(1-N(K387)),2))</f>
        <v/>
      </c>
      <c r="O387" s="70" t="str">
        <f>IF(OR(N387="",NOT(ISNUMBER(M387))),"",ROUND(N387*M387,2))</f>
        <v/>
      </c>
      <c r="P387" s="70" t="str">
        <f>IF(N387="","",N387+N(O387))</f>
        <v/>
      </c>
      <c r="Q387" s="64" t="n"/>
      <c r="R387" s="73" t="str">
        <f>IF(N(Q387)&gt;0,Q387,IF(OR(N(B387)=0,ISNA(MATCH($C387,sup_code,0))),"",IF(ISNUMBER(INDEX(sup_delay,MATCH($C387,sup_code,0))),B387+INDEX(sup_delay,MATCH($C387,sup_code,0)),"")))</f>
        <v/>
      </c>
      <c r="S387" s="64" t="n"/>
      <c r="T387" s="68" t="n"/>
      <c r="U387" s="64" t="n"/>
      <c r="V387" s="65" t="n"/>
      <c r="W387" s="74" t="str">
        <f>IF(AND(A387="",E387=""),"",IF(V387="Oui",0,MAX(0,ROUND(N(H387)-N(T387),6))))</f>
        <v/>
      </c>
      <c r="X387" s="67" t="str">
        <f>IF(AND(A387="",E387=""),"",IF(V387="Oui","Annulé",IF(AND(N(H387)&gt;0,N(T387)&gt;=N(H387)),"Reçu",IF(N(S387)=0,"Brouillon",IF(AND(ISNUMBER(R387),R387&lt;p_today),"En retard",IF(N(T387)&gt;0,"Partiel","Envoyé"))))))</f>
        <v/>
      </c>
      <c r="Y387" s="75" t="str">
        <f>IF(X387="En retard",p_today-R387,IF(AND(X387="Reçu",ISNUMBER(R387)),MAX(0,N(U387)-R387),""))</f>
        <v/>
      </c>
      <c r="Z387" s="67" t="str">
        <f>IF(AND(A387="",E387=""),"",IF(A387="","N° de bon manquant",IF(N(B387)=0,"Date de commande manquante",IF(C387="","Fournisseur manquant",IF(ISNA(MATCH($C387,sup_code,0)),"Fournisseur inconnu",IF(E387="","Article manquant",IF(ISNA(MATCH($E387,art_ref,0)),"Article inconnu",IF(N(H387)&lt;=0,"Quantité invalide",IF(J387="","Prix manquant",IF(OR(N(K387)&lt;0,N(K387)&gt;=1),"Remise invalide",IF(M387="","TVA manquante",IF(ISNA(MATCH(M387,p_tva,0)),"Taux de TVA inconnu",IF(COUNTIFS(po_num,A387,po_sup,"&lt;&gt;"&amp;C387)&gt;0,"Fournisseur différent sur ce bon",IF(COUNTIFS(po_num,A387,po_date,"&lt;&gt;"&amp;B387)&gt;0,"Date différente sur ce bon",IF(COUNTIF(po_num,A387)&gt;25,"Plus de 25 lignes sur ce bon",IF(R387="","Date de livraison manquante",IF(R387&lt;B387,"Livraison avant la commande",IF(AND(N(T387)&gt;0,N(S387)=0),"Date d'envoi manquante",IF(N(T387)&gt;N(H387),"Reçu plus que commandé",IF(AND(N(T387)&gt;0,N(U387)=0),"Date de réception manquante",IF(AND(N(U387)&gt;0,U387&lt;B387),"Réception avant la commande","OK")))))))))))))))))))))</f>
        <v/>
      </c>
      <c r="AA387" s="66" t="str">
        <f>IF(AND(X387="Reçu",ISNUMBER(R387)),IF(N(U387)&lt;=R387,1,0),"")</f>
        <v/>
      </c>
      <c r="AB387" s="76" t="str">
        <f>IF(OR(X387="Envoyé",X387="Partiel",X387="En retard"),IF(ISNUMBER(R387),R387,100000)+ROW()/100000,"")</f>
        <v/>
      </c>
      <c r="AC387" s="66" t="str">
        <f>IF(A387="","",IF(COUNTIF($A$6:A387,A387)=1,1,""))</f>
        <v/>
      </c>
      <c r="AD387" s="66" t="str">
        <f>IF(AC387=1,COUNT($AC$6:AC387),"")</f>
        <v/>
      </c>
      <c r="AE387" s="66" t="str">
        <f>IFERROR(INDEX(po_num,MATCH(382,po_seq,0))&amp;"","")</f>
        <v/>
      </c>
      <c r="AF387" s="66" t="str">
        <f>IF(OR(A387="",p_po=""),"",IF(A387&amp;""=p_po,COUNTIF($A$6:A387,A387),""))</f>
        <v/>
      </c>
      <c r="AG387" s="66" t="str">
        <f>IF(OR(AB387="",A387=""),"",IF(COUNTIFS($A$6:A387,A387,$AB$6:AB387,"&gt;0")=1,1,""))</f>
        <v/>
      </c>
      <c r="AH387" s="70" t="str">
        <f>IF(AB387="","",ROUND(N(W387)*N(J387)*(1-N(K387)),2))</f>
        <v/>
      </c>
      <c r="AI387" s="70" t="str">
        <f>IF(OR(J387="",N(T387)&lt;=0,V387="Oui"),"",ROUND(N(T387)*J387*(1-N(K387)),2))</f>
        <v/>
      </c>
    </row>
    <row r="388">
      <c r="A388" s="63" t="n"/>
      <c r="B388" s="64" t="n"/>
      <c r="C388" s="65" t="n"/>
      <c r="D388" s="66" t="str">
        <f>IF(C388="","",IFERROR(INDEX(sup_name,MATCH($C388,sup_code,0))&amp;"","Fournisseur inconnu"))</f>
        <v/>
      </c>
      <c r="E388" s="63" t="n"/>
      <c r="F388" s="66" t="str">
        <f>IF(E388="","",IFERROR(INDEX(art_des,MATCH($E388,art_ref,0))&amp;"","Article inconnu"))</f>
        <v/>
      </c>
      <c r="G388" s="67" t="str">
        <f>IF(E388="","",IFERROR(INDEX(art_unit,MATCH($E388,art_ref,0))&amp;"",""))</f>
        <v/>
      </c>
      <c r="H388" s="68" t="n"/>
      <c r="I388" s="69" t="n"/>
      <c r="J388" s="70" t="str">
        <f>IF(E388="","",IF(ISNUMBER(I388),I388,IFERROR(IF(ISNUMBER(INDEX(art_price,MATCH($E388,art_ref,0))),INDEX(art_price,MATCH($E388,art_ref,0)),""),"")))</f>
        <v/>
      </c>
      <c r="K388" s="71" t="n"/>
      <c r="L388" s="72" t="n"/>
      <c r="M388" s="72" t="str">
        <f>IF(E388="","",IF(L388&lt;&gt;"",L388,IFERROR(IF(ISNUMBER(INDEX(art_tva,MATCH($E388,art_ref,0))),INDEX(art_tva,MATCH($E388,art_ref,0)),""),"")))</f>
        <v/>
      </c>
      <c r="N388" s="70" t="str">
        <f>IF(OR(E388="",J388=""),"",ROUND(N(H388)*J388*(1-N(K388)),2))</f>
        <v/>
      </c>
      <c r="O388" s="70" t="str">
        <f>IF(OR(N388="",NOT(ISNUMBER(M388))),"",ROUND(N388*M388,2))</f>
        <v/>
      </c>
      <c r="P388" s="70" t="str">
        <f>IF(N388="","",N388+N(O388))</f>
        <v/>
      </c>
      <c r="Q388" s="64" t="n"/>
      <c r="R388" s="73" t="str">
        <f>IF(N(Q388)&gt;0,Q388,IF(OR(N(B388)=0,ISNA(MATCH($C388,sup_code,0))),"",IF(ISNUMBER(INDEX(sup_delay,MATCH($C388,sup_code,0))),B388+INDEX(sup_delay,MATCH($C388,sup_code,0)),"")))</f>
        <v/>
      </c>
      <c r="S388" s="64" t="n"/>
      <c r="T388" s="68" t="n"/>
      <c r="U388" s="64" t="n"/>
      <c r="V388" s="65" t="n"/>
      <c r="W388" s="74" t="str">
        <f>IF(AND(A388="",E388=""),"",IF(V388="Oui",0,MAX(0,ROUND(N(H388)-N(T388),6))))</f>
        <v/>
      </c>
      <c r="X388" s="67" t="str">
        <f>IF(AND(A388="",E388=""),"",IF(V388="Oui","Annulé",IF(AND(N(H388)&gt;0,N(T388)&gt;=N(H388)),"Reçu",IF(N(S388)=0,"Brouillon",IF(AND(ISNUMBER(R388),R388&lt;p_today),"En retard",IF(N(T388)&gt;0,"Partiel","Envoyé"))))))</f>
        <v/>
      </c>
      <c r="Y388" s="75" t="str">
        <f>IF(X388="En retard",p_today-R388,IF(AND(X388="Reçu",ISNUMBER(R388)),MAX(0,N(U388)-R388),""))</f>
        <v/>
      </c>
      <c r="Z388" s="67" t="str">
        <f>IF(AND(A388="",E388=""),"",IF(A388="","N° de bon manquant",IF(N(B388)=0,"Date de commande manquante",IF(C388="","Fournisseur manquant",IF(ISNA(MATCH($C388,sup_code,0)),"Fournisseur inconnu",IF(E388="","Article manquant",IF(ISNA(MATCH($E388,art_ref,0)),"Article inconnu",IF(N(H388)&lt;=0,"Quantité invalide",IF(J388="","Prix manquant",IF(OR(N(K388)&lt;0,N(K388)&gt;=1),"Remise invalide",IF(M388="","TVA manquante",IF(ISNA(MATCH(M388,p_tva,0)),"Taux de TVA inconnu",IF(COUNTIFS(po_num,A388,po_sup,"&lt;&gt;"&amp;C388)&gt;0,"Fournisseur différent sur ce bon",IF(COUNTIFS(po_num,A388,po_date,"&lt;&gt;"&amp;B388)&gt;0,"Date différente sur ce bon",IF(COUNTIF(po_num,A388)&gt;25,"Plus de 25 lignes sur ce bon",IF(R388="","Date de livraison manquante",IF(R388&lt;B388,"Livraison avant la commande",IF(AND(N(T388)&gt;0,N(S388)=0),"Date d'envoi manquante",IF(N(T388)&gt;N(H388),"Reçu plus que commandé",IF(AND(N(T388)&gt;0,N(U388)=0),"Date de réception manquante",IF(AND(N(U388)&gt;0,U388&lt;B388),"Réception avant la commande","OK")))))))))))))))))))))</f>
        <v/>
      </c>
      <c r="AA388" s="66" t="str">
        <f>IF(AND(X388="Reçu",ISNUMBER(R388)),IF(N(U388)&lt;=R388,1,0),"")</f>
        <v/>
      </c>
      <c r="AB388" s="76" t="str">
        <f>IF(OR(X388="Envoyé",X388="Partiel",X388="En retard"),IF(ISNUMBER(R388),R388,100000)+ROW()/100000,"")</f>
        <v/>
      </c>
      <c r="AC388" s="66" t="str">
        <f>IF(A388="","",IF(COUNTIF($A$6:A388,A388)=1,1,""))</f>
        <v/>
      </c>
      <c r="AD388" s="66" t="str">
        <f>IF(AC388=1,COUNT($AC$6:AC388),"")</f>
        <v/>
      </c>
      <c r="AE388" s="66" t="str">
        <f>IFERROR(INDEX(po_num,MATCH(383,po_seq,0))&amp;"","")</f>
        <v/>
      </c>
      <c r="AF388" s="66" t="str">
        <f>IF(OR(A388="",p_po=""),"",IF(A388&amp;""=p_po,COUNTIF($A$6:A388,A388),""))</f>
        <v/>
      </c>
      <c r="AG388" s="66" t="str">
        <f>IF(OR(AB388="",A388=""),"",IF(COUNTIFS($A$6:A388,A388,$AB$6:AB388,"&gt;0")=1,1,""))</f>
        <v/>
      </c>
      <c r="AH388" s="70" t="str">
        <f>IF(AB388="","",ROUND(N(W388)*N(J388)*(1-N(K388)),2))</f>
        <v/>
      </c>
      <c r="AI388" s="70" t="str">
        <f>IF(OR(J388="",N(T388)&lt;=0,V388="Oui"),"",ROUND(N(T388)*J388*(1-N(K388)),2))</f>
        <v/>
      </c>
    </row>
    <row r="389">
      <c r="A389" s="63" t="n"/>
      <c r="B389" s="64" t="n"/>
      <c r="C389" s="65" t="n"/>
      <c r="D389" s="66" t="str">
        <f>IF(C389="","",IFERROR(INDEX(sup_name,MATCH($C389,sup_code,0))&amp;"","Fournisseur inconnu"))</f>
        <v/>
      </c>
      <c r="E389" s="63" t="n"/>
      <c r="F389" s="66" t="str">
        <f>IF(E389="","",IFERROR(INDEX(art_des,MATCH($E389,art_ref,0))&amp;"","Article inconnu"))</f>
        <v/>
      </c>
      <c r="G389" s="67" t="str">
        <f>IF(E389="","",IFERROR(INDEX(art_unit,MATCH($E389,art_ref,0))&amp;"",""))</f>
        <v/>
      </c>
      <c r="H389" s="68" t="n"/>
      <c r="I389" s="69" t="n"/>
      <c r="J389" s="70" t="str">
        <f>IF(E389="","",IF(ISNUMBER(I389),I389,IFERROR(IF(ISNUMBER(INDEX(art_price,MATCH($E389,art_ref,0))),INDEX(art_price,MATCH($E389,art_ref,0)),""),"")))</f>
        <v/>
      </c>
      <c r="K389" s="71" t="n"/>
      <c r="L389" s="72" t="n"/>
      <c r="M389" s="72" t="str">
        <f>IF(E389="","",IF(L389&lt;&gt;"",L389,IFERROR(IF(ISNUMBER(INDEX(art_tva,MATCH($E389,art_ref,0))),INDEX(art_tva,MATCH($E389,art_ref,0)),""),"")))</f>
        <v/>
      </c>
      <c r="N389" s="70" t="str">
        <f>IF(OR(E389="",J389=""),"",ROUND(N(H389)*J389*(1-N(K389)),2))</f>
        <v/>
      </c>
      <c r="O389" s="70" t="str">
        <f>IF(OR(N389="",NOT(ISNUMBER(M389))),"",ROUND(N389*M389,2))</f>
        <v/>
      </c>
      <c r="P389" s="70" t="str">
        <f>IF(N389="","",N389+N(O389))</f>
        <v/>
      </c>
      <c r="Q389" s="64" t="n"/>
      <c r="R389" s="73" t="str">
        <f>IF(N(Q389)&gt;0,Q389,IF(OR(N(B389)=0,ISNA(MATCH($C389,sup_code,0))),"",IF(ISNUMBER(INDEX(sup_delay,MATCH($C389,sup_code,0))),B389+INDEX(sup_delay,MATCH($C389,sup_code,0)),"")))</f>
        <v/>
      </c>
      <c r="S389" s="64" t="n"/>
      <c r="T389" s="68" t="n"/>
      <c r="U389" s="64" t="n"/>
      <c r="V389" s="65" t="n"/>
      <c r="W389" s="74" t="str">
        <f>IF(AND(A389="",E389=""),"",IF(V389="Oui",0,MAX(0,ROUND(N(H389)-N(T389),6))))</f>
        <v/>
      </c>
      <c r="X389" s="67" t="str">
        <f>IF(AND(A389="",E389=""),"",IF(V389="Oui","Annulé",IF(AND(N(H389)&gt;0,N(T389)&gt;=N(H389)),"Reçu",IF(N(S389)=0,"Brouillon",IF(AND(ISNUMBER(R389),R389&lt;p_today),"En retard",IF(N(T389)&gt;0,"Partiel","Envoyé"))))))</f>
        <v/>
      </c>
      <c r="Y389" s="75" t="str">
        <f>IF(X389="En retard",p_today-R389,IF(AND(X389="Reçu",ISNUMBER(R389)),MAX(0,N(U389)-R389),""))</f>
        <v/>
      </c>
      <c r="Z389" s="67" t="str">
        <f>IF(AND(A389="",E389=""),"",IF(A389="","N° de bon manquant",IF(N(B389)=0,"Date de commande manquante",IF(C389="","Fournisseur manquant",IF(ISNA(MATCH($C389,sup_code,0)),"Fournisseur inconnu",IF(E389="","Article manquant",IF(ISNA(MATCH($E389,art_ref,0)),"Article inconnu",IF(N(H389)&lt;=0,"Quantité invalide",IF(J389="","Prix manquant",IF(OR(N(K389)&lt;0,N(K389)&gt;=1),"Remise invalide",IF(M389="","TVA manquante",IF(ISNA(MATCH(M389,p_tva,0)),"Taux de TVA inconnu",IF(COUNTIFS(po_num,A389,po_sup,"&lt;&gt;"&amp;C389)&gt;0,"Fournisseur différent sur ce bon",IF(COUNTIFS(po_num,A389,po_date,"&lt;&gt;"&amp;B389)&gt;0,"Date différente sur ce bon",IF(COUNTIF(po_num,A389)&gt;25,"Plus de 25 lignes sur ce bon",IF(R389="","Date de livraison manquante",IF(R389&lt;B389,"Livraison avant la commande",IF(AND(N(T389)&gt;0,N(S389)=0),"Date d'envoi manquante",IF(N(T389)&gt;N(H389),"Reçu plus que commandé",IF(AND(N(T389)&gt;0,N(U389)=0),"Date de réception manquante",IF(AND(N(U389)&gt;0,U389&lt;B389),"Réception avant la commande","OK")))))))))))))))))))))</f>
        <v/>
      </c>
      <c r="AA389" s="66" t="str">
        <f>IF(AND(X389="Reçu",ISNUMBER(R389)),IF(N(U389)&lt;=R389,1,0),"")</f>
        <v/>
      </c>
      <c r="AB389" s="76" t="str">
        <f>IF(OR(X389="Envoyé",X389="Partiel",X389="En retard"),IF(ISNUMBER(R389),R389,100000)+ROW()/100000,"")</f>
        <v/>
      </c>
      <c r="AC389" s="66" t="str">
        <f>IF(A389="","",IF(COUNTIF($A$6:A389,A389)=1,1,""))</f>
        <v/>
      </c>
      <c r="AD389" s="66" t="str">
        <f>IF(AC389=1,COUNT($AC$6:AC389),"")</f>
        <v/>
      </c>
      <c r="AE389" s="66" t="str">
        <f>IFERROR(INDEX(po_num,MATCH(384,po_seq,0))&amp;"","")</f>
        <v/>
      </c>
      <c r="AF389" s="66" t="str">
        <f>IF(OR(A389="",p_po=""),"",IF(A389&amp;""=p_po,COUNTIF($A$6:A389,A389),""))</f>
        <v/>
      </c>
      <c r="AG389" s="66" t="str">
        <f>IF(OR(AB389="",A389=""),"",IF(COUNTIFS($A$6:A389,A389,$AB$6:AB389,"&gt;0")=1,1,""))</f>
        <v/>
      </c>
      <c r="AH389" s="70" t="str">
        <f>IF(AB389="","",ROUND(N(W389)*N(J389)*(1-N(K389)),2))</f>
        <v/>
      </c>
      <c r="AI389" s="70" t="str">
        <f>IF(OR(J389="",N(T389)&lt;=0,V389="Oui"),"",ROUND(N(T389)*J389*(1-N(K389)),2))</f>
        <v/>
      </c>
    </row>
    <row r="390">
      <c r="A390" s="63" t="n"/>
      <c r="B390" s="64" t="n"/>
      <c r="C390" s="65" t="n"/>
      <c r="D390" s="66" t="str">
        <f>IF(C390="","",IFERROR(INDEX(sup_name,MATCH($C390,sup_code,0))&amp;"","Fournisseur inconnu"))</f>
        <v/>
      </c>
      <c r="E390" s="63" t="n"/>
      <c r="F390" s="66" t="str">
        <f>IF(E390="","",IFERROR(INDEX(art_des,MATCH($E390,art_ref,0))&amp;"","Article inconnu"))</f>
        <v/>
      </c>
      <c r="G390" s="67" t="str">
        <f>IF(E390="","",IFERROR(INDEX(art_unit,MATCH($E390,art_ref,0))&amp;"",""))</f>
        <v/>
      </c>
      <c r="H390" s="68" t="n"/>
      <c r="I390" s="69" t="n"/>
      <c r="J390" s="70" t="str">
        <f>IF(E390="","",IF(ISNUMBER(I390),I390,IFERROR(IF(ISNUMBER(INDEX(art_price,MATCH($E390,art_ref,0))),INDEX(art_price,MATCH($E390,art_ref,0)),""),"")))</f>
        <v/>
      </c>
      <c r="K390" s="71" t="n"/>
      <c r="L390" s="72" t="n"/>
      <c r="M390" s="72" t="str">
        <f>IF(E390="","",IF(L390&lt;&gt;"",L390,IFERROR(IF(ISNUMBER(INDEX(art_tva,MATCH($E390,art_ref,0))),INDEX(art_tva,MATCH($E390,art_ref,0)),""),"")))</f>
        <v/>
      </c>
      <c r="N390" s="70" t="str">
        <f>IF(OR(E390="",J390=""),"",ROUND(N(H390)*J390*(1-N(K390)),2))</f>
        <v/>
      </c>
      <c r="O390" s="70" t="str">
        <f>IF(OR(N390="",NOT(ISNUMBER(M390))),"",ROUND(N390*M390,2))</f>
        <v/>
      </c>
      <c r="P390" s="70" t="str">
        <f>IF(N390="","",N390+N(O390))</f>
        <v/>
      </c>
      <c r="Q390" s="64" t="n"/>
      <c r="R390" s="73" t="str">
        <f>IF(N(Q390)&gt;0,Q390,IF(OR(N(B390)=0,ISNA(MATCH($C390,sup_code,0))),"",IF(ISNUMBER(INDEX(sup_delay,MATCH($C390,sup_code,0))),B390+INDEX(sup_delay,MATCH($C390,sup_code,0)),"")))</f>
        <v/>
      </c>
      <c r="S390" s="64" t="n"/>
      <c r="T390" s="68" t="n"/>
      <c r="U390" s="64" t="n"/>
      <c r="V390" s="65" t="n"/>
      <c r="W390" s="74" t="str">
        <f>IF(AND(A390="",E390=""),"",IF(V390="Oui",0,MAX(0,ROUND(N(H390)-N(T390),6))))</f>
        <v/>
      </c>
      <c r="X390" s="67" t="str">
        <f>IF(AND(A390="",E390=""),"",IF(V390="Oui","Annulé",IF(AND(N(H390)&gt;0,N(T390)&gt;=N(H390)),"Reçu",IF(N(S390)=0,"Brouillon",IF(AND(ISNUMBER(R390),R390&lt;p_today),"En retard",IF(N(T390)&gt;0,"Partiel","Envoyé"))))))</f>
        <v/>
      </c>
      <c r="Y390" s="75" t="str">
        <f>IF(X390="En retard",p_today-R390,IF(AND(X390="Reçu",ISNUMBER(R390)),MAX(0,N(U390)-R390),""))</f>
        <v/>
      </c>
      <c r="Z390" s="67" t="str">
        <f>IF(AND(A390="",E390=""),"",IF(A390="","N° de bon manquant",IF(N(B390)=0,"Date de commande manquante",IF(C390="","Fournisseur manquant",IF(ISNA(MATCH($C390,sup_code,0)),"Fournisseur inconnu",IF(E390="","Article manquant",IF(ISNA(MATCH($E390,art_ref,0)),"Article inconnu",IF(N(H390)&lt;=0,"Quantité invalide",IF(J390="","Prix manquant",IF(OR(N(K390)&lt;0,N(K390)&gt;=1),"Remise invalide",IF(M390="","TVA manquante",IF(ISNA(MATCH(M390,p_tva,0)),"Taux de TVA inconnu",IF(COUNTIFS(po_num,A390,po_sup,"&lt;&gt;"&amp;C390)&gt;0,"Fournisseur différent sur ce bon",IF(COUNTIFS(po_num,A390,po_date,"&lt;&gt;"&amp;B390)&gt;0,"Date différente sur ce bon",IF(COUNTIF(po_num,A390)&gt;25,"Plus de 25 lignes sur ce bon",IF(R390="","Date de livraison manquante",IF(R390&lt;B390,"Livraison avant la commande",IF(AND(N(T390)&gt;0,N(S390)=0),"Date d'envoi manquante",IF(N(T390)&gt;N(H390),"Reçu plus que commandé",IF(AND(N(T390)&gt;0,N(U390)=0),"Date de réception manquante",IF(AND(N(U390)&gt;0,U390&lt;B390),"Réception avant la commande","OK")))))))))))))))))))))</f>
        <v/>
      </c>
      <c r="AA390" s="66" t="str">
        <f>IF(AND(X390="Reçu",ISNUMBER(R390)),IF(N(U390)&lt;=R390,1,0),"")</f>
        <v/>
      </c>
      <c r="AB390" s="76" t="str">
        <f>IF(OR(X390="Envoyé",X390="Partiel",X390="En retard"),IF(ISNUMBER(R390),R390,100000)+ROW()/100000,"")</f>
        <v/>
      </c>
      <c r="AC390" s="66" t="str">
        <f>IF(A390="","",IF(COUNTIF($A$6:A390,A390)=1,1,""))</f>
        <v/>
      </c>
      <c r="AD390" s="66" t="str">
        <f>IF(AC390=1,COUNT($AC$6:AC390),"")</f>
        <v/>
      </c>
      <c r="AE390" s="66" t="str">
        <f>IFERROR(INDEX(po_num,MATCH(385,po_seq,0))&amp;"","")</f>
        <v/>
      </c>
      <c r="AF390" s="66" t="str">
        <f>IF(OR(A390="",p_po=""),"",IF(A390&amp;""=p_po,COUNTIF($A$6:A390,A390),""))</f>
        <v/>
      </c>
      <c r="AG390" s="66" t="str">
        <f>IF(OR(AB390="",A390=""),"",IF(COUNTIFS($A$6:A390,A390,$AB$6:AB390,"&gt;0")=1,1,""))</f>
        <v/>
      </c>
      <c r="AH390" s="70" t="str">
        <f>IF(AB390="","",ROUND(N(W390)*N(J390)*(1-N(K390)),2))</f>
        <v/>
      </c>
      <c r="AI390" s="70" t="str">
        <f>IF(OR(J390="",N(T390)&lt;=0,V390="Oui"),"",ROUND(N(T390)*J390*(1-N(K390)),2))</f>
        <v/>
      </c>
    </row>
    <row r="391">
      <c r="A391" s="63" t="n"/>
      <c r="B391" s="64" t="n"/>
      <c r="C391" s="65" t="n"/>
      <c r="D391" s="66" t="str">
        <f>IF(C391="","",IFERROR(INDEX(sup_name,MATCH($C391,sup_code,0))&amp;"","Fournisseur inconnu"))</f>
        <v/>
      </c>
      <c r="E391" s="63" t="n"/>
      <c r="F391" s="66" t="str">
        <f>IF(E391="","",IFERROR(INDEX(art_des,MATCH($E391,art_ref,0))&amp;"","Article inconnu"))</f>
        <v/>
      </c>
      <c r="G391" s="67" t="str">
        <f>IF(E391="","",IFERROR(INDEX(art_unit,MATCH($E391,art_ref,0))&amp;"",""))</f>
        <v/>
      </c>
      <c r="H391" s="68" t="n"/>
      <c r="I391" s="69" t="n"/>
      <c r="J391" s="70" t="str">
        <f>IF(E391="","",IF(ISNUMBER(I391),I391,IFERROR(IF(ISNUMBER(INDEX(art_price,MATCH($E391,art_ref,0))),INDEX(art_price,MATCH($E391,art_ref,0)),""),"")))</f>
        <v/>
      </c>
      <c r="K391" s="71" t="n"/>
      <c r="L391" s="72" t="n"/>
      <c r="M391" s="72" t="str">
        <f>IF(E391="","",IF(L391&lt;&gt;"",L391,IFERROR(IF(ISNUMBER(INDEX(art_tva,MATCH($E391,art_ref,0))),INDEX(art_tva,MATCH($E391,art_ref,0)),""),"")))</f>
        <v/>
      </c>
      <c r="N391" s="70" t="str">
        <f>IF(OR(E391="",J391=""),"",ROUND(N(H391)*J391*(1-N(K391)),2))</f>
        <v/>
      </c>
      <c r="O391" s="70" t="str">
        <f>IF(OR(N391="",NOT(ISNUMBER(M391))),"",ROUND(N391*M391,2))</f>
        <v/>
      </c>
      <c r="P391" s="70" t="str">
        <f>IF(N391="","",N391+N(O391))</f>
        <v/>
      </c>
      <c r="Q391" s="64" t="n"/>
      <c r="R391" s="73" t="str">
        <f>IF(N(Q391)&gt;0,Q391,IF(OR(N(B391)=0,ISNA(MATCH($C391,sup_code,0))),"",IF(ISNUMBER(INDEX(sup_delay,MATCH($C391,sup_code,0))),B391+INDEX(sup_delay,MATCH($C391,sup_code,0)),"")))</f>
        <v/>
      </c>
      <c r="S391" s="64" t="n"/>
      <c r="T391" s="68" t="n"/>
      <c r="U391" s="64" t="n"/>
      <c r="V391" s="65" t="n"/>
      <c r="W391" s="74" t="str">
        <f>IF(AND(A391="",E391=""),"",IF(V391="Oui",0,MAX(0,ROUND(N(H391)-N(T391),6))))</f>
        <v/>
      </c>
      <c r="X391" s="67" t="str">
        <f>IF(AND(A391="",E391=""),"",IF(V391="Oui","Annulé",IF(AND(N(H391)&gt;0,N(T391)&gt;=N(H391)),"Reçu",IF(N(S391)=0,"Brouillon",IF(AND(ISNUMBER(R391),R391&lt;p_today),"En retard",IF(N(T391)&gt;0,"Partiel","Envoyé"))))))</f>
        <v/>
      </c>
      <c r="Y391" s="75" t="str">
        <f>IF(X391="En retard",p_today-R391,IF(AND(X391="Reçu",ISNUMBER(R391)),MAX(0,N(U391)-R391),""))</f>
        <v/>
      </c>
      <c r="Z391" s="67" t="str">
        <f>IF(AND(A391="",E391=""),"",IF(A391="","N° de bon manquant",IF(N(B391)=0,"Date de commande manquante",IF(C391="","Fournisseur manquant",IF(ISNA(MATCH($C391,sup_code,0)),"Fournisseur inconnu",IF(E391="","Article manquant",IF(ISNA(MATCH($E391,art_ref,0)),"Article inconnu",IF(N(H391)&lt;=0,"Quantité invalide",IF(J391="","Prix manquant",IF(OR(N(K391)&lt;0,N(K391)&gt;=1),"Remise invalide",IF(M391="","TVA manquante",IF(ISNA(MATCH(M391,p_tva,0)),"Taux de TVA inconnu",IF(COUNTIFS(po_num,A391,po_sup,"&lt;&gt;"&amp;C391)&gt;0,"Fournisseur différent sur ce bon",IF(COUNTIFS(po_num,A391,po_date,"&lt;&gt;"&amp;B391)&gt;0,"Date différente sur ce bon",IF(COUNTIF(po_num,A391)&gt;25,"Plus de 25 lignes sur ce bon",IF(R391="","Date de livraison manquante",IF(R391&lt;B391,"Livraison avant la commande",IF(AND(N(T391)&gt;0,N(S391)=0),"Date d'envoi manquante",IF(N(T391)&gt;N(H391),"Reçu plus que commandé",IF(AND(N(T391)&gt;0,N(U391)=0),"Date de réception manquante",IF(AND(N(U391)&gt;0,U391&lt;B391),"Réception avant la commande","OK")))))))))))))))))))))</f>
        <v/>
      </c>
      <c r="AA391" s="66" t="str">
        <f>IF(AND(X391="Reçu",ISNUMBER(R391)),IF(N(U391)&lt;=R391,1,0),"")</f>
        <v/>
      </c>
      <c r="AB391" s="76" t="str">
        <f>IF(OR(X391="Envoyé",X391="Partiel",X391="En retard"),IF(ISNUMBER(R391),R391,100000)+ROW()/100000,"")</f>
        <v/>
      </c>
      <c r="AC391" s="66" t="str">
        <f>IF(A391="","",IF(COUNTIF($A$6:A391,A391)=1,1,""))</f>
        <v/>
      </c>
      <c r="AD391" s="66" t="str">
        <f>IF(AC391=1,COUNT($AC$6:AC391),"")</f>
        <v/>
      </c>
      <c r="AE391" s="66" t="str">
        <f>IFERROR(INDEX(po_num,MATCH(386,po_seq,0))&amp;"","")</f>
        <v/>
      </c>
      <c r="AF391" s="66" t="str">
        <f>IF(OR(A391="",p_po=""),"",IF(A391&amp;""=p_po,COUNTIF($A$6:A391,A391),""))</f>
        <v/>
      </c>
      <c r="AG391" s="66" t="str">
        <f>IF(OR(AB391="",A391=""),"",IF(COUNTIFS($A$6:A391,A391,$AB$6:AB391,"&gt;0")=1,1,""))</f>
        <v/>
      </c>
      <c r="AH391" s="70" t="str">
        <f>IF(AB391="","",ROUND(N(W391)*N(J391)*(1-N(K391)),2))</f>
        <v/>
      </c>
      <c r="AI391" s="70" t="str">
        <f>IF(OR(J391="",N(T391)&lt;=0,V391="Oui"),"",ROUND(N(T391)*J391*(1-N(K391)),2))</f>
        <v/>
      </c>
    </row>
    <row r="392">
      <c r="A392" s="63" t="n"/>
      <c r="B392" s="64" t="n"/>
      <c r="C392" s="65" t="n"/>
      <c r="D392" s="66" t="str">
        <f>IF(C392="","",IFERROR(INDEX(sup_name,MATCH($C392,sup_code,0))&amp;"","Fournisseur inconnu"))</f>
        <v/>
      </c>
      <c r="E392" s="63" t="n"/>
      <c r="F392" s="66" t="str">
        <f>IF(E392="","",IFERROR(INDEX(art_des,MATCH($E392,art_ref,0))&amp;"","Article inconnu"))</f>
        <v/>
      </c>
      <c r="G392" s="67" t="str">
        <f>IF(E392="","",IFERROR(INDEX(art_unit,MATCH($E392,art_ref,0))&amp;"",""))</f>
        <v/>
      </c>
      <c r="H392" s="68" t="n"/>
      <c r="I392" s="69" t="n"/>
      <c r="J392" s="70" t="str">
        <f>IF(E392="","",IF(ISNUMBER(I392),I392,IFERROR(IF(ISNUMBER(INDEX(art_price,MATCH($E392,art_ref,0))),INDEX(art_price,MATCH($E392,art_ref,0)),""),"")))</f>
        <v/>
      </c>
      <c r="K392" s="71" t="n"/>
      <c r="L392" s="72" t="n"/>
      <c r="M392" s="72" t="str">
        <f>IF(E392="","",IF(L392&lt;&gt;"",L392,IFERROR(IF(ISNUMBER(INDEX(art_tva,MATCH($E392,art_ref,0))),INDEX(art_tva,MATCH($E392,art_ref,0)),""),"")))</f>
        <v/>
      </c>
      <c r="N392" s="70" t="str">
        <f>IF(OR(E392="",J392=""),"",ROUND(N(H392)*J392*(1-N(K392)),2))</f>
        <v/>
      </c>
      <c r="O392" s="70" t="str">
        <f>IF(OR(N392="",NOT(ISNUMBER(M392))),"",ROUND(N392*M392,2))</f>
        <v/>
      </c>
      <c r="P392" s="70" t="str">
        <f>IF(N392="","",N392+N(O392))</f>
        <v/>
      </c>
      <c r="Q392" s="64" t="n"/>
      <c r="R392" s="73" t="str">
        <f>IF(N(Q392)&gt;0,Q392,IF(OR(N(B392)=0,ISNA(MATCH($C392,sup_code,0))),"",IF(ISNUMBER(INDEX(sup_delay,MATCH($C392,sup_code,0))),B392+INDEX(sup_delay,MATCH($C392,sup_code,0)),"")))</f>
        <v/>
      </c>
      <c r="S392" s="64" t="n"/>
      <c r="T392" s="68" t="n"/>
      <c r="U392" s="64" t="n"/>
      <c r="V392" s="65" t="n"/>
      <c r="W392" s="74" t="str">
        <f>IF(AND(A392="",E392=""),"",IF(V392="Oui",0,MAX(0,ROUND(N(H392)-N(T392),6))))</f>
        <v/>
      </c>
      <c r="X392" s="67" t="str">
        <f>IF(AND(A392="",E392=""),"",IF(V392="Oui","Annulé",IF(AND(N(H392)&gt;0,N(T392)&gt;=N(H392)),"Reçu",IF(N(S392)=0,"Brouillon",IF(AND(ISNUMBER(R392),R392&lt;p_today),"En retard",IF(N(T392)&gt;0,"Partiel","Envoyé"))))))</f>
        <v/>
      </c>
      <c r="Y392" s="75" t="str">
        <f>IF(X392="En retard",p_today-R392,IF(AND(X392="Reçu",ISNUMBER(R392)),MAX(0,N(U392)-R392),""))</f>
        <v/>
      </c>
      <c r="Z392" s="67" t="str">
        <f>IF(AND(A392="",E392=""),"",IF(A392="","N° de bon manquant",IF(N(B392)=0,"Date de commande manquante",IF(C392="","Fournisseur manquant",IF(ISNA(MATCH($C392,sup_code,0)),"Fournisseur inconnu",IF(E392="","Article manquant",IF(ISNA(MATCH($E392,art_ref,0)),"Article inconnu",IF(N(H392)&lt;=0,"Quantité invalide",IF(J392="","Prix manquant",IF(OR(N(K392)&lt;0,N(K392)&gt;=1),"Remise invalide",IF(M392="","TVA manquante",IF(ISNA(MATCH(M392,p_tva,0)),"Taux de TVA inconnu",IF(COUNTIFS(po_num,A392,po_sup,"&lt;&gt;"&amp;C392)&gt;0,"Fournisseur différent sur ce bon",IF(COUNTIFS(po_num,A392,po_date,"&lt;&gt;"&amp;B392)&gt;0,"Date différente sur ce bon",IF(COUNTIF(po_num,A392)&gt;25,"Plus de 25 lignes sur ce bon",IF(R392="","Date de livraison manquante",IF(R392&lt;B392,"Livraison avant la commande",IF(AND(N(T392)&gt;0,N(S392)=0),"Date d'envoi manquante",IF(N(T392)&gt;N(H392),"Reçu plus que commandé",IF(AND(N(T392)&gt;0,N(U392)=0),"Date de réception manquante",IF(AND(N(U392)&gt;0,U392&lt;B392),"Réception avant la commande","OK")))))))))))))))))))))</f>
        <v/>
      </c>
      <c r="AA392" s="66" t="str">
        <f>IF(AND(X392="Reçu",ISNUMBER(R392)),IF(N(U392)&lt;=R392,1,0),"")</f>
        <v/>
      </c>
      <c r="AB392" s="76" t="str">
        <f>IF(OR(X392="Envoyé",X392="Partiel",X392="En retard"),IF(ISNUMBER(R392),R392,100000)+ROW()/100000,"")</f>
        <v/>
      </c>
      <c r="AC392" s="66" t="str">
        <f>IF(A392="","",IF(COUNTIF($A$6:A392,A392)=1,1,""))</f>
        <v/>
      </c>
      <c r="AD392" s="66" t="str">
        <f>IF(AC392=1,COUNT($AC$6:AC392),"")</f>
        <v/>
      </c>
      <c r="AE392" s="66" t="str">
        <f>IFERROR(INDEX(po_num,MATCH(387,po_seq,0))&amp;"","")</f>
        <v/>
      </c>
      <c r="AF392" s="66" t="str">
        <f>IF(OR(A392="",p_po=""),"",IF(A392&amp;""=p_po,COUNTIF($A$6:A392,A392),""))</f>
        <v/>
      </c>
      <c r="AG392" s="66" t="str">
        <f>IF(OR(AB392="",A392=""),"",IF(COUNTIFS($A$6:A392,A392,$AB$6:AB392,"&gt;0")=1,1,""))</f>
        <v/>
      </c>
      <c r="AH392" s="70" t="str">
        <f>IF(AB392="","",ROUND(N(W392)*N(J392)*(1-N(K392)),2))</f>
        <v/>
      </c>
      <c r="AI392" s="70" t="str">
        <f>IF(OR(J392="",N(T392)&lt;=0,V392="Oui"),"",ROUND(N(T392)*J392*(1-N(K392)),2))</f>
        <v/>
      </c>
    </row>
    <row r="393">
      <c r="A393" s="63" t="n"/>
      <c r="B393" s="64" t="n"/>
      <c r="C393" s="65" t="n"/>
      <c r="D393" s="66" t="str">
        <f>IF(C393="","",IFERROR(INDEX(sup_name,MATCH($C393,sup_code,0))&amp;"","Fournisseur inconnu"))</f>
        <v/>
      </c>
      <c r="E393" s="63" t="n"/>
      <c r="F393" s="66" t="str">
        <f>IF(E393="","",IFERROR(INDEX(art_des,MATCH($E393,art_ref,0))&amp;"","Article inconnu"))</f>
        <v/>
      </c>
      <c r="G393" s="67" t="str">
        <f>IF(E393="","",IFERROR(INDEX(art_unit,MATCH($E393,art_ref,0))&amp;"",""))</f>
        <v/>
      </c>
      <c r="H393" s="68" t="n"/>
      <c r="I393" s="69" t="n"/>
      <c r="J393" s="70" t="str">
        <f>IF(E393="","",IF(ISNUMBER(I393),I393,IFERROR(IF(ISNUMBER(INDEX(art_price,MATCH($E393,art_ref,0))),INDEX(art_price,MATCH($E393,art_ref,0)),""),"")))</f>
        <v/>
      </c>
      <c r="K393" s="71" t="n"/>
      <c r="L393" s="72" t="n"/>
      <c r="M393" s="72" t="str">
        <f>IF(E393="","",IF(L393&lt;&gt;"",L393,IFERROR(IF(ISNUMBER(INDEX(art_tva,MATCH($E393,art_ref,0))),INDEX(art_tva,MATCH($E393,art_ref,0)),""),"")))</f>
        <v/>
      </c>
      <c r="N393" s="70" t="str">
        <f>IF(OR(E393="",J393=""),"",ROUND(N(H393)*J393*(1-N(K393)),2))</f>
        <v/>
      </c>
      <c r="O393" s="70" t="str">
        <f>IF(OR(N393="",NOT(ISNUMBER(M393))),"",ROUND(N393*M393,2))</f>
        <v/>
      </c>
      <c r="P393" s="70" t="str">
        <f>IF(N393="","",N393+N(O393))</f>
        <v/>
      </c>
      <c r="Q393" s="64" t="n"/>
      <c r="R393" s="73" t="str">
        <f>IF(N(Q393)&gt;0,Q393,IF(OR(N(B393)=0,ISNA(MATCH($C393,sup_code,0))),"",IF(ISNUMBER(INDEX(sup_delay,MATCH($C393,sup_code,0))),B393+INDEX(sup_delay,MATCH($C393,sup_code,0)),"")))</f>
        <v/>
      </c>
      <c r="S393" s="64" t="n"/>
      <c r="T393" s="68" t="n"/>
      <c r="U393" s="64" t="n"/>
      <c r="V393" s="65" t="n"/>
      <c r="W393" s="74" t="str">
        <f>IF(AND(A393="",E393=""),"",IF(V393="Oui",0,MAX(0,ROUND(N(H393)-N(T393),6))))</f>
        <v/>
      </c>
      <c r="X393" s="67" t="str">
        <f>IF(AND(A393="",E393=""),"",IF(V393="Oui","Annulé",IF(AND(N(H393)&gt;0,N(T393)&gt;=N(H393)),"Reçu",IF(N(S393)=0,"Brouillon",IF(AND(ISNUMBER(R393),R393&lt;p_today),"En retard",IF(N(T393)&gt;0,"Partiel","Envoyé"))))))</f>
        <v/>
      </c>
      <c r="Y393" s="75" t="str">
        <f>IF(X393="En retard",p_today-R393,IF(AND(X393="Reçu",ISNUMBER(R393)),MAX(0,N(U393)-R393),""))</f>
        <v/>
      </c>
      <c r="Z393" s="67" t="str">
        <f>IF(AND(A393="",E393=""),"",IF(A393="","N° de bon manquant",IF(N(B393)=0,"Date de commande manquante",IF(C393="","Fournisseur manquant",IF(ISNA(MATCH($C393,sup_code,0)),"Fournisseur inconnu",IF(E393="","Article manquant",IF(ISNA(MATCH($E393,art_ref,0)),"Article inconnu",IF(N(H393)&lt;=0,"Quantité invalide",IF(J393="","Prix manquant",IF(OR(N(K393)&lt;0,N(K393)&gt;=1),"Remise invalide",IF(M393="","TVA manquante",IF(ISNA(MATCH(M393,p_tva,0)),"Taux de TVA inconnu",IF(COUNTIFS(po_num,A393,po_sup,"&lt;&gt;"&amp;C393)&gt;0,"Fournisseur différent sur ce bon",IF(COUNTIFS(po_num,A393,po_date,"&lt;&gt;"&amp;B393)&gt;0,"Date différente sur ce bon",IF(COUNTIF(po_num,A393)&gt;25,"Plus de 25 lignes sur ce bon",IF(R393="","Date de livraison manquante",IF(R393&lt;B393,"Livraison avant la commande",IF(AND(N(T393)&gt;0,N(S393)=0),"Date d'envoi manquante",IF(N(T393)&gt;N(H393),"Reçu plus que commandé",IF(AND(N(T393)&gt;0,N(U393)=0),"Date de réception manquante",IF(AND(N(U393)&gt;0,U393&lt;B393),"Réception avant la commande","OK")))))))))))))))))))))</f>
        <v/>
      </c>
      <c r="AA393" s="66" t="str">
        <f>IF(AND(X393="Reçu",ISNUMBER(R393)),IF(N(U393)&lt;=R393,1,0),"")</f>
        <v/>
      </c>
      <c r="AB393" s="76" t="str">
        <f>IF(OR(X393="Envoyé",X393="Partiel",X393="En retard"),IF(ISNUMBER(R393),R393,100000)+ROW()/100000,"")</f>
        <v/>
      </c>
      <c r="AC393" s="66" t="str">
        <f>IF(A393="","",IF(COUNTIF($A$6:A393,A393)=1,1,""))</f>
        <v/>
      </c>
      <c r="AD393" s="66" t="str">
        <f>IF(AC393=1,COUNT($AC$6:AC393),"")</f>
        <v/>
      </c>
      <c r="AE393" s="66" t="str">
        <f>IFERROR(INDEX(po_num,MATCH(388,po_seq,0))&amp;"","")</f>
        <v/>
      </c>
      <c r="AF393" s="66" t="str">
        <f>IF(OR(A393="",p_po=""),"",IF(A393&amp;""=p_po,COUNTIF($A$6:A393,A393),""))</f>
        <v/>
      </c>
      <c r="AG393" s="66" t="str">
        <f>IF(OR(AB393="",A393=""),"",IF(COUNTIFS($A$6:A393,A393,$AB$6:AB393,"&gt;0")=1,1,""))</f>
        <v/>
      </c>
      <c r="AH393" s="70" t="str">
        <f>IF(AB393="","",ROUND(N(W393)*N(J393)*(1-N(K393)),2))</f>
        <v/>
      </c>
      <c r="AI393" s="70" t="str">
        <f>IF(OR(J393="",N(T393)&lt;=0,V393="Oui"),"",ROUND(N(T393)*J393*(1-N(K393)),2))</f>
        <v/>
      </c>
    </row>
    <row r="394">
      <c r="A394" s="63" t="n"/>
      <c r="B394" s="64" t="n"/>
      <c r="C394" s="65" t="n"/>
      <c r="D394" s="66" t="str">
        <f>IF(C394="","",IFERROR(INDEX(sup_name,MATCH($C394,sup_code,0))&amp;"","Fournisseur inconnu"))</f>
        <v/>
      </c>
      <c r="E394" s="63" t="n"/>
      <c r="F394" s="66" t="str">
        <f>IF(E394="","",IFERROR(INDEX(art_des,MATCH($E394,art_ref,0))&amp;"","Article inconnu"))</f>
        <v/>
      </c>
      <c r="G394" s="67" t="str">
        <f>IF(E394="","",IFERROR(INDEX(art_unit,MATCH($E394,art_ref,0))&amp;"",""))</f>
        <v/>
      </c>
      <c r="H394" s="68" t="n"/>
      <c r="I394" s="69" t="n"/>
      <c r="J394" s="70" t="str">
        <f>IF(E394="","",IF(ISNUMBER(I394),I394,IFERROR(IF(ISNUMBER(INDEX(art_price,MATCH($E394,art_ref,0))),INDEX(art_price,MATCH($E394,art_ref,0)),""),"")))</f>
        <v/>
      </c>
      <c r="K394" s="71" t="n"/>
      <c r="L394" s="72" t="n"/>
      <c r="M394" s="72" t="str">
        <f>IF(E394="","",IF(L394&lt;&gt;"",L394,IFERROR(IF(ISNUMBER(INDEX(art_tva,MATCH($E394,art_ref,0))),INDEX(art_tva,MATCH($E394,art_ref,0)),""),"")))</f>
        <v/>
      </c>
      <c r="N394" s="70" t="str">
        <f>IF(OR(E394="",J394=""),"",ROUND(N(H394)*J394*(1-N(K394)),2))</f>
        <v/>
      </c>
      <c r="O394" s="70" t="str">
        <f>IF(OR(N394="",NOT(ISNUMBER(M394))),"",ROUND(N394*M394,2))</f>
        <v/>
      </c>
      <c r="P394" s="70" t="str">
        <f>IF(N394="","",N394+N(O394))</f>
        <v/>
      </c>
      <c r="Q394" s="64" t="n"/>
      <c r="R394" s="73" t="str">
        <f>IF(N(Q394)&gt;0,Q394,IF(OR(N(B394)=0,ISNA(MATCH($C394,sup_code,0))),"",IF(ISNUMBER(INDEX(sup_delay,MATCH($C394,sup_code,0))),B394+INDEX(sup_delay,MATCH($C394,sup_code,0)),"")))</f>
        <v/>
      </c>
      <c r="S394" s="64" t="n"/>
      <c r="T394" s="68" t="n"/>
      <c r="U394" s="64" t="n"/>
      <c r="V394" s="65" t="n"/>
      <c r="W394" s="74" t="str">
        <f>IF(AND(A394="",E394=""),"",IF(V394="Oui",0,MAX(0,ROUND(N(H394)-N(T394),6))))</f>
        <v/>
      </c>
      <c r="X394" s="67" t="str">
        <f>IF(AND(A394="",E394=""),"",IF(V394="Oui","Annulé",IF(AND(N(H394)&gt;0,N(T394)&gt;=N(H394)),"Reçu",IF(N(S394)=0,"Brouillon",IF(AND(ISNUMBER(R394),R394&lt;p_today),"En retard",IF(N(T394)&gt;0,"Partiel","Envoyé"))))))</f>
        <v/>
      </c>
      <c r="Y394" s="75" t="str">
        <f>IF(X394="En retard",p_today-R394,IF(AND(X394="Reçu",ISNUMBER(R394)),MAX(0,N(U394)-R394),""))</f>
        <v/>
      </c>
      <c r="Z394" s="67" t="str">
        <f>IF(AND(A394="",E394=""),"",IF(A394="","N° de bon manquant",IF(N(B394)=0,"Date de commande manquante",IF(C394="","Fournisseur manquant",IF(ISNA(MATCH($C394,sup_code,0)),"Fournisseur inconnu",IF(E394="","Article manquant",IF(ISNA(MATCH($E394,art_ref,0)),"Article inconnu",IF(N(H394)&lt;=0,"Quantité invalide",IF(J394="","Prix manquant",IF(OR(N(K394)&lt;0,N(K394)&gt;=1),"Remise invalide",IF(M394="","TVA manquante",IF(ISNA(MATCH(M394,p_tva,0)),"Taux de TVA inconnu",IF(COUNTIFS(po_num,A394,po_sup,"&lt;&gt;"&amp;C394)&gt;0,"Fournisseur différent sur ce bon",IF(COUNTIFS(po_num,A394,po_date,"&lt;&gt;"&amp;B394)&gt;0,"Date différente sur ce bon",IF(COUNTIF(po_num,A394)&gt;25,"Plus de 25 lignes sur ce bon",IF(R394="","Date de livraison manquante",IF(R394&lt;B394,"Livraison avant la commande",IF(AND(N(T394)&gt;0,N(S394)=0),"Date d'envoi manquante",IF(N(T394)&gt;N(H394),"Reçu plus que commandé",IF(AND(N(T394)&gt;0,N(U394)=0),"Date de réception manquante",IF(AND(N(U394)&gt;0,U394&lt;B394),"Réception avant la commande","OK")))))))))))))))))))))</f>
        <v/>
      </c>
      <c r="AA394" s="66" t="str">
        <f>IF(AND(X394="Reçu",ISNUMBER(R394)),IF(N(U394)&lt;=R394,1,0),"")</f>
        <v/>
      </c>
      <c r="AB394" s="76" t="str">
        <f>IF(OR(X394="Envoyé",X394="Partiel",X394="En retard"),IF(ISNUMBER(R394),R394,100000)+ROW()/100000,"")</f>
        <v/>
      </c>
      <c r="AC394" s="66" t="str">
        <f>IF(A394="","",IF(COUNTIF($A$6:A394,A394)=1,1,""))</f>
        <v/>
      </c>
      <c r="AD394" s="66" t="str">
        <f>IF(AC394=1,COUNT($AC$6:AC394),"")</f>
        <v/>
      </c>
      <c r="AE394" s="66" t="str">
        <f>IFERROR(INDEX(po_num,MATCH(389,po_seq,0))&amp;"","")</f>
        <v/>
      </c>
      <c r="AF394" s="66" t="str">
        <f>IF(OR(A394="",p_po=""),"",IF(A394&amp;""=p_po,COUNTIF($A$6:A394,A394),""))</f>
        <v/>
      </c>
      <c r="AG394" s="66" t="str">
        <f>IF(OR(AB394="",A394=""),"",IF(COUNTIFS($A$6:A394,A394,$AB$6:AB394,"&gt;0")=1,1,""))</f>
        <v/>
      </c>
      <c r="AH394" s="70" t="str">
        <f>IF(AB394="","",ROUND(N(W394)*N(J394)*(1-N(K394)),2))</f>
        <v/>
      </c>
      <c r="AI394" s="70" t="str">
        <f>IF(OR(J394="",N(T394)&lt;=0,V394="Oui"),"",ROUND(N(T394)*J394*(1-N(K394)),2))</f>
        <v/>
      </c>
    </row>
    <row r="395">
      <c r="A395" s="63" t="n"/>
      <c r="B395" s="64" t="n"/>
      <c r="C395" s="65" t="n"/>
      <c r="D395" s="66" t="str">
        <f>IF(C395="","",IFERROR(INDEX(sup_name,MATCH($C395,sup_code,0))&amp;"","Fournisseur inconnu"))</f>
        <v/>
      </c>
      <c r="E395" s="63" t="n"/>
      <c r="F395" s="66" t="str">
        <f>IF(E395="","",IFERROR(INDEX(art_des,MATCH($E395,art_ref,0))&amp;"","Article inconnu"))</f>
        <v/>
      </c>
      <c r="G395" s="67" t="str">
        <f>IF(E395="","",IFERROR(INDEX(art_unit,MATCH($E395,art_ref,0))&amp;"",""))</f>
        <v/>
      </c>
      <c r="H395" s="68" t="n"/>
      <c r="I395" s="69" t="n"/>
      <c r="J395" s="70" t="str">
        <f>IF(E395="","",IF(ISNUMBER(I395),I395,IFERROR(IF(ISNUMBER(INDEX(art_price,MATCH($E395,art_ref,0))),INDEX(art_price,MATCH($E395,art_ref,0)),""),"")))</f>
        <v/>
      </c>
      <c r="K395" s="71" t="n"/>
      <c r="L395" s="72" t="n"/>
      <c r="M395" s="72" t="str">
        <f>IF(E395="","",IF(L395&lt;&gt;"",L395,IFERROR(IF(ISNUMBER(INDEX(art_tva,MATCH($E395,art_ref,0))),INDEX(art_tva,MATCH($E395,art_ref,0)),""),"")))</f>
        <v/>
      </c>
      <c r="N395" s="70" t="str">
        <f>IF(OR(E395="",J395=""),"",ROUND(N(H395)*J395*(1-N(K395)),2))</f>
        <v/>
      </c>
      <c r="O395" s="70" t="str">
        <f>IF(OR(N395="",NOT(ISNUMBER(M395))),"",ROUND(N395*M395,2))</f>
        <v/>
      </c>
      <c r="P395" s="70" t="str">
        <f>IF(N395="","",N395+N(O395))</f>
        <v/>
      </c>
      <c r="Q395" s="64" t="n"/>
      <c r="R395" s="73" t="str">
        <f>IF(N(Q395)&gt;0,Q395,IF(OR(N(B395)=0,ISNA(MATCH($C395,sup_code,0))),"",IF(ISNUMBER(INDEX(sup_delay,MATCH($C395,sup_code,0))),B395+INDEX(sup_delay,MATCH($C395,sup_code,0)),"")))</f>
        <v/>
      </c>
      <c r="S395" s="64" t="n"/>
      <c r="T395" s="68" t="n"/>
      <c r="U395" s="64" t="n"/>
      <c r="V395" s="65" t="n"/>
      <c r="W395" s="74" t="str">
        <f>IF(AND(A395="",E395=""),"",IF(V395="Oui",0,MAX(0,ROUND(N(H395)-N(T395),6))))</f>
        <v/>
      </c>
      <c r="X395" s="67" t="str">
        <f>IF(AND(A395="",E395=""),"",IF(V395="Oui","Annulé",IF(AND(N(H395)&gt;0,N(T395)&gt;=N(H395)),"Reçu",IF(N(S395)=0,"Brouillon",IF(AND(ISNUMBER(R395),R395&lt;p_today),"En retard",IF(N(T395)&gt;0,"Partiel","Envoyé"))))))</f>
        <v/>
      </c>
      <c r="Y395" s="75" t="str">
        <f>IF(X395="En retard",p_today-R395,IF(AND(X395="Reçu",ISNUMBER(R395)),MAX(0,N(U395)-R395),""))</f>
        <v/>
      </c>
      <c r="Z395" s="67" t="str">
        <f>IF(AND(A395="",E395=""),"",IF(A395="","N° de bon manquant",IF(N(B395)=0,"Date de commande manquante",IF(C395="","Fournisseur manquant",IF(ISNA(MATCH($C395,sup_code,0)),"Fournisseur inconnu",IF(E395="","Article manquant",IF(ISNA(MATCH($E395,art_ref,0)),"Article inconnu",IF(N(H395)&lt;=0,"Quantité invalide",IF(J395="","Prix manquant",IF(OR(N(K395)&lt;0,N(K395)&gt;=1),"Remise invalide",IF(M395="","TVA manquante",IF(ISNA(MATCH(M395,p_tva,0)),"Taux de TVA inconnu",IF(COUNTIFS(po_num,A395,po_sup,"&lt;&gt;"&amp;C395)&gt;0,"Fournisseur différent sur ce bon",IF(COUNTIFS(po_num,A395,po_date,"&lt;&gt;"&amp;B395)&gt;0,"Date différente sur ce bon",IF(COUNTIF(po_num,A395)&gt;25,"Plus de 25 lignes sur ce bon",IF(R395="","Date de livraison manquante",IF(R395&lt;B395,"Livraison avant la commande",IF(AND(N(T395)&gt;0,N(S395)=0),"Date d'envoi manquante",IF(N(T395)&gt;N(H395),"Reçu plus que commandé",IF(AND(N(T395)&gt;0,N(U395)=0),"Date de réception manquante",IF(AND(N(U395)&gt;0,U395&lt;B395),"Réception avant la commande","OK")))))))))))))))))))))</f>
        <v/>
      </c>
      <c r="AA395" s="66" t="str">
        <f>IF(AND(X395="Reçu",ISNUMBER(R395)),IF(N(U395)&lt;=R395,1,0),"")</f>
        <v/>
      </c>
      <c r="AB395" s="76" t="str">
        <f>IF(OR(X395="Envoyé",X395="Partiel",X395="En retard"),IF(ISNUMBER(R395),R395,100000)+ROW()/100000,"")</f>
        <v/>
      </c>
      <c r="AC395" s="66" t="str">
        <f>IF(A395="","",IF(COUNTIF($A$6:A395,A395)=1,1,""))</f>
        <v/>
      </c>
      <c r="AD395" s="66" t="str">
        <f>IF(AC395=1,COUNT($AC$6:AC395),"")</f>
        <v/>
      </c>
      <c r="AE395" s="66" t="str">
        <f>IFERROR(INDEX(po_num,MATCH(390,po_seq,0))&amp;"","")</f>
        <v/>
      </c>
      <c r="AF395" s="66" t="str">
        <f>IF(OR(A395="",p_po=""),"",IF(A395&amp;""=p_po,COUNTIF($A$6:A395,A395),""))</f>
        <v/>
      </c>
      <c r="AG395" s="66" t="str">
        <f>IF(OR(AB395="",A395=""),"",IF(COUNTIFS($A$6:A395,A395,$AB$6:AB395,"&gt;0")=1,1,""))</f>
        <v/>
      </c>
      <c r="AH395" s="70" t="str">
        <f>IF(AB395="","",ROUND(N(W395)*N(J395)*(1-N(K395)),2))</f>
        <v/>
      </c>
      <c r="AI395" s="70" t="str">
        <f>IF(OR(J395="",N(T395)&lt;=0,V395="Oui"),"",ROUND(N(T395)*J395*(1-N(K395)),2))</f>
        <v/>
      </c>
    </row>
    <row r="396">
      <c r="A396" s="63" t="n"/>
      <c r="B396" s="64" t="n"/>
      <c r="C396" s="65" t="n"/>
      <c r="D396" s="66" t="str">
        <f>IF(C396="","",IFERROR(INDEX(sup_name,MATCH($C396,sup_code,0))&amp;"","Fournisseur inconnu"))</f>
        <v/>
      </c>
      <c r="E396" s="63" t="n"/>
      <c r="F396" s="66" t="str">
        <f>IF(E396="","",IFERROR(INDEX(art_des,MATCH($E396,art_ref,0))&amp;"","Article inconnu"))</f>
        <v/>
      </c>
      <c r="G396" s="67" t="str">
        <f>IF(E396="","",IFERROR(INDEX(art_unit,MATCH($E396,art_ref,0))&amp;"",""))</f>
        <v/>
      </c>
      <c r="H396" s="68" t="n"/>
      <c r="I396" s="69" t="n"/>
      <c r="J396" s="70" t="str">
        <f>IF(E396="","",IF(ISNUMBER(I396),I396,IFERROR(IF(ISNUMBER(INDEX(art_price,MATCH($E396,art_ref,0))),INDEX(art_price,MATCH($E396,art_ref,0)),""),"")))</f>
        <v/>
      </c>
      <c r="K396" s="71" t="n"/>
      <c r="L396" s="72" t="n"/>
      <c r="M396" s="72" t="str">
        <f>IF(E396="","",IF(L396&lt;&gt;"",L396,IFERROR(IF(ISNUMBER(INDEX(art_tva,MATCH($E396,art_ref,0))),INDEX(art_tva,MATCH($E396,art_ref,0)),""),"")))</f>
        <v/>
      </c>
      <c r="N396" s="70" t="str">
        <f>IF(OR(E396="",J396=""),"",ROUND(N(H396)*J396*(1-N(K396)),2))</f>
        <v/>
      </c>
      <c r="O396" s="70" t="str">
        <f>IF(OR(N396="",NOT(ISNUMBER(M396))),"",ROUND(N396*M396,2))</f>
        <v/>
      </c>
      <c r="P396" s="70" t="str">
        <f>IF(N396="","",N396+N(O396))</f>
        <v/>
      </c>
      <c r="Q396" s="64" t="n"/>
      <c r="R396" s="73" t="str">
        <f>IF(N(Q396)&gt;0,Q396,IF(OR(N(B396)=0,ISNA(MATCH($C396,sup_code,0))),"",IF(ISNUMBER(INDEX(sup_delay,MATCH($C396,sup_code,0))),B396+INDEX(sup_delay,MATCH($C396,sup_code,0)),"")))</f>
        <v/>
      </c>
      <c r="S396" s="64" t="n"/>
      <c r="T396" s="68" t="n"/>
      <c r="U396" s="64" t="n"/>
      <c r="V396" s="65" t="n"/>
      <c r="W396" s="74" t="str">
        <f>IF(AND(A396="",E396=""),"",IF(V396="Oui",0,MAX(0,ROUND(N(H396)-N(T396),6))))</f>
        <v/>
      </c>
      <c r="X396" s="67" t="str">
        <f>IF(AND(A396="",E396=""),"",IF(V396="Oui","Annulé",IF(AND(N(H396)&gt;0,N(T396)&gt;=N(H396)),"Reçu",IF(N(S396)=0,"Brouillon",IF(AND(ISNUMBER(R396),R396&lt;p_today),"En retard",IF(N(T396)&gt;0,"Partiel","Envoyé"))))))</f>
        <v/>
      </c>
      <c r="Y396" s="75" t="str">
        <f>IF(X396="En retard",p_today-R396,IF(AND(X396="Reçu",ISNUMBER(R396)),MAX(0,N(U396)-R396),""))</f>
        <v/>
      </c>
      <c r="Z396" s="67" t="str">
        <f>IF(AND(A396="",E396=""),"",IF(A396="","N° de bon manquant",IF(N(B396)=0,"Date de commande manquante",IF(C396="","Fournisseur manquant",IF(ISNA(MATCH($C396,sup_code,0)),"Fournisseur inconnu",IF(E396="","Article manquant",IF(ISNA(MATCH($E396,art_ref,0)),"Article inconnu",IF(N(H396)&lt;=0,"Quantité invalide",IF(J396="","Prix manquant",IF(OR(N(K396)&lt;0,N(K396)&gt;=1),"Remise invalide",IF(M396="","TVA manquante",IF(ISNA(MATCH(M396,p_tva,0)),"Taux de TVA inconnu",IF(COUNTIFS(po_num,A396,po_sup,"&lt;&gt;"&amp;C396)&gt;0,"Fournisseur différent sur ce bon",IF(COUNTIFS(po_num,A396,po_date,"&lt;&gt;"&amp;B396)&gt;0,"Date différente sur ce bon",IF(COUNTIF(po_num,A396)&gt;25,"Plus de 25 lignes sur ce bon",IF(R396="","Date de livraison manquante",IF(R396&lt;B396,"Livraison avant la commande",IF(AND(N(T396)&gt;0,N(S396)=0),"Date d'envoi manquante",IF(N(T396)&gt;N(H396),"Reçu plus que commandé",IF(AND(N(T396)&gt;0,N(U396)=0),"Date de réception manquante",IF(AND(N(U396)&gt;0,U396&lt;B396),"Réception avant la commande","OK")))))))))))))))))))))</f>
        <v/>
      </c>
      <c r="AA396" s="66" t="str">
        <f>IF(AND(X396="Reçu",ISNUMBER(R396)),IF(N(U396)&lt;=R396,1,0),"")</f>
        <v/>
      </c>
      <c r="AB396" s="76" t="str">
        <f>IF(OR(X396="Envoyé",X396="Partiel",X396="En retard"),IF(ISNUMBER(R396),R396,100000)+ROW()/100000,"")</f>
        <v/>
      </c>
      <c r="AC396" s="66" t="str">
        <f>IF(A396="","",IF(COUNTIF($A$6:A396,A396)=1,1,""))</f>
        <v/>
      </c>
      <c r="AD396" s="66" t="str">
        <f>IF(AC396=1,COUNT($AC$6:AC396),"")</f>
        <v/>
      </c>
      <c r="AE396" s="66" t="str">
        <f>IFERROR(INDEX(po_num,MATCH(391,po_seq,0))&amp;"","")</f>
        <v/>
      </c>
      <c r="AF396" s="66" t="str">
        <f>IF(OR(A396="",p_po=""),"",IF(A396&amp;""=p_po,COUNTIF($A$6:A396,A396),""))</f>
        <v/>
      </c>
      <c r="AG396" s="66" t="str">
        <f>IF(OR(AB396="",A396=""),"",IF(COUNTIFS($A$6:A396,A396,$AB$6:AB396,"&gt;0")=1,1,""))</f>
        <v/>
      </c>
      <c r="AH396" s="70" t="str">
        <f>IF(AB396="","",ROUND(N(W396)*N(J396)*(1-N(K396)),2))</f>
        <v/>
      </c>
      <c r="AI396" s="70" t="str">
        <f>IF(OR(J396="",N(T396)&lt;=0,V396="Oui"),"",ROUND(N(T396)*J396*(1-N(K396)),2))</f>
        <v/>
      </c>
    </row>
    <row r="397">
      <c r="A397" s="63" t="n"/>
      <c r="B397" s="64" t="n"/>
      <c r="C397" s="65" t="n"/>
      <c r="D397" s="66" t="str">
        <f>IF(C397="","",IFERROR(INDEX(sup_name,MATCH($C397,sup_code,0))&amp;"","Fournisseur inconnu"))</f>
        <v/>
      </c>
      <c r="E397" s="63" t="n"/>
      <c r="F397" s="66" t="str">
        <f>IF(E397="","",IFERROR(INDEX(art_des,MATCH($E397,art_ref,0))&amp;"","Article inconnu"))</f>
        <v/>
      </c>
      <c r="G397" s="67" t="str">
        <f>IF(E397="","",IFERROR(INDEX(art_unit,MATCH($E397,art_ref,0))&amp;"",""))</f>
        <v/>
      </c>
      <c r="H397" s="68" t="n"/>
      <c r="I397" s="69" t="n"/>
      <c r="J397" s="70" t="str">
        <f>IF(E397="","",IF(ISNUMBER(I397),I397,IFERROR(IF(ISNUMBER(INDEX(art_price,MATCH($E397,art_ref,0))),INDEX(art_price,MATCH($E397,art_ref,0)),""),"")))</f>
        <v/>
      </c>
      <c r="K397" s="71" t="n"/>
      <c r="L397" s="72" t="n"/>
      <c r="M397" s="72" t="str">
        <f>IF(E397="","",IF(L397&lt;&gt;"",L397,IFERROR(IF(ISNUMBER(INDEX(art_tva,MATCH($E397,art_ref,0))),INDEX(art_tva,MATCH($E397,art_ref,0)),""),"")))</f>
        <v/>
      </c>
      <c r="N397" s="70" t="str">
        <f>IF(OR(E397="",J397=""),"",ROUND(N(H397)*J397*(1-N(K397)),2))</f>
        <v/>
      </c>
      <c r="O397" s="70" t="str">
        <f>IF(OR(N397="",NOT(ISNUMBER(M397))),"",ROUND(N397*M397,2))</f>
        <v/>
      </c>
      <c r="P397" s="70" t="str">
        <f>IF(N397="","",N397+N(O397))</f>
        <v/>
      </c>
      <c r="Q397" s="64" t="n"/>
      <c r="R397" s="73" t="str">
        <f>IF(N(Q397)&gt;0,Q397,IF(OR(N(B397)=0,ISNA(MATCH($C397,sup_code,0))),"",IF(ISNUMBER(INDEX(sup_delay,MATCH($C397,sup_code,0))),B397+INDEX(sup_delay,MATCH($C397,sup_code,0)),"")))</f>
        <v/>
      </c>
      <c r="S397" s="64" t="n"/>
      <c r="T397" s="68" t="n"/>
      <c r="U397" s="64" t="n"/>
      <c r="V397" s="65" t="n"/>
      <c r="W397" s="74" t="str">
        <f>IF(AND(A397="",E397=""),"",IF(V397="Oui",0,MAX(0,ROUND(N(H397)-N(T397),6))))</f>
        <v/>
      </c>
      <c r="X397" s="67" t="str">
        <f>IF(AND(A397="",E397=""),"",IF(V397="Oui","Annulé",IF(AND(N(H397)&gt;0,N(T397)&gt;=N(H397)),"Reçu",IF(N(S397)=0,"Brouillon",IF(AND(ISNUMBER(R397),R397&lt;p_today),"En retard",IF(N(T397)&gt;0,"Partiel","Envoyé"))))))</f>
        <v/>
      </c>
      <c r="Y397" s="75" t="str">
        <f>IF(X397="En retard",p_today-R397,IF(AND(X397="Reçu",ISNUMBER(R397)),MAX(0,N(U397)-R397),""))</f>
        <v/>
      </c>
      <c r="Z397" s="67" t="str">
        <f>IF(AND(A397="",E397=""),"",IF(A397="","N° de bon manquant",IF(N(B397)=0,"Date de commande manquante",IF(C397="","Fournisseur manquant",IF(ISNA(MATCH($C397,sup_code,0)),"Fournisseur inconnu",IF(E397="","Article manquant",IF(ISNA(MATCH($E397,art_ref,0)),"Article inconnu",IF(N(H397)&lt;=0,"Quantité invalide",IF(J397="","Prix manquant",IF(OR(N(K397)&lt;0,N(K397)&gt;=1),"Remise invalide",IF(M397="","TVA manquante",IF(ISNA(MATCH(M397,p_tva,0)),"Taux de TVA inconnu",IF(COUNTIFS(po_num,A397,po_sup,"&lt;&gt;"&amp;C397)&gt;0,"Fournisseur différent sur ce bon",IF(COUNTIFS(po_num,A397,po_date,"&lt;&gt;"&amp;B397)&gt;0,"Date différente sur ce bon",IF(COUNTIF(po_num,A397)&gt;25,"Plus de 25 lignes sur ce bon",IF(R397="","Date de livraison manquante",IF(R397&lt;B397,"Livraison avant la commande",IF(AND(N(T397)&gt;0,N(S397)=0),"Date d'envoi manquante",IF(N(T397)&gt;N(H397),"Reçu plus que commandé",IF(AND(N(T397)&gt;0,N(U397)=0),"Date de réception manquante",IF(AND(N(U397)&gt;0,U397&lt;B397),"Réception avant la commande","OK")))))))))))))))))))))</f>
        <v/>
      </c>
      <c r="AA397" s="66" t="str">
        <f>IF(AND(X397="Reçu",ISNUMBER(R397)),IF(N(U397)&lt;=R397,1,0),"")</f>
        <v/>
      </c>
      <c r="AB397" s="76" t="str">
        <f>IF(OR(X397="Envoyé",X397="Partiel",X397="En retard"),IF(ISNUMBER(R397),R397,100000)+ROW()/100000,"")</f>
        <v/>
      </c>
      <c r="AC397" s="66" t="str">
        <f>IF(A397="","",IF(COUNTIF($A$6:A397,A397)=1,1,""))</f>
        <v/>
      </c>
      <c r="AD397" s="66" t="str">
        <f>IF(AC397=1,COUNT($AC$6:AC397),"")</f>
        <v/>
      </c>
      <c r="AE397" s="66" t="str">
        <f>IFERROR(INDEX(po_num,MATCH(392,po_seq,0))&amp;"","")</f>
        <v/>
      </c>
      <c r="AF397" s="66" t="str">
        <f>IF(OR(A397="",p_po=""),"",IF(A397&amp;""=p_po,COUNTIF($A$6:A397,A397),""))</f>
        <v/>
      </c>
      <c r="AG397" s="66" t="str">
        <f>IF(OR(AB397="",A397=""),"",IF(COUNTIFS($A$6:A397,A397,$AB$6:AB397,"&gt;0")=1,1,""))</f>
        <v/>
      </c>
      <c r="AH397" s="70" t="str">
        <f>IF(AB397="","",ROUND(N(W397)*N(J397)*(1-N(K397)),2))</f>
        <v/>
      </c>
      <c r="AI397" s="70" t="str">
        <f>IF(OR(J397="",N(T397)&lt;=0,V397="Oui"),"",ROUND(N(T397)*J397*(1-N(K397)),2))</f>
        <v/>
      </c>
    </row>
    <row r="398">
      <c r="A398" s="63" t="n"/>
      <c r="B398" s="64" t="n"/>
      <c r="C398" s="65" t="n"/>
      <c r="D398" s="66" t="str">
        <f>IF(C398="","",IFERROR(INDEX(sup_name,MATCH($C398,sup_code,0))&amp;"","Fournisseur inconnu"))</f>
        <v/>
      </c>
      <c r="E398" s="63" t="n"/>
      <c r="F398" s="66" t="str">
        <f>IF(E398="","",IFERROR(INDEX(art_des,MATCH($E398,art_ref,0))&amp;"","Article inconnu"))</f>
        <v/>
      </c>
      <c r="G398" s="67" t="str">
        <f>IF(E398="","",IFERROR(INDEX(art_unit,MATCH($E398,art_ref,0))&amp;"",""))</f>
        <v/>
      </c>
      <c r="H398" s="68" t="n"/>
      <c r="I398" s="69" t="n"/>
      <c r="J398" s="70" t="str">
        <f>IF(E398="","",IF(ISNUMBER(I398),I398,IFERROR(IF(ISNUMBER(INDEX(art_price,MATCH($E398,art_ref,0))),INDEX(art_price,MATCH($E398,art_ref,0)),""),"")))</f>
        <v/>
      </c>
      <c r="K398" s="71" t="n"/>
      <c r="L398" s="72" t="n"/>
      <c r="M398" s="72" t="str">
        <f>IF(E398="","",IF(L398&lt;&gt;"",L398,IFERROR(IF(ISNUMBER(INDEX(art_tva,MATCH($E398,art_ref,0))),INDEX(art_tva,MATCH($E398,art_ref,0)),""),"")))</f>
        <v/>
      </c>
      <c r="N398" s="70" t="str">
        <f>IF(OR(E398="",J398=""),"",ROUND(N(H398)*J398*(1-N(K398)),2))</f>
        <v/>
      </c>
      <c r="O398" s="70" t="str">
        <f>IF(OR(N398="",NOT(ISNUMBER(M398))),"",ROUND(N398*M398,2))</f>
        <v/>
      </c>
      <c r="P398" s="70" t="str">
        <f>IF(N398="","",N398+N(O398))</f>
        <v/>
      </c>
      <c r="Q398" s="64" t="n"/>
      <c r="R398" s="73" t="str">
        <f>IF(N(Q398)&gt;0,Q398,IF(OR(N(B398)=0,ISNA(MATCH($C398,sup_code,0))),"",IF(ISNUMBER(INDEX(sup_delay,MATCH($C398,sup_code,0))),B398+INDEX(sup_delay,MATCH($C398,sup_code,0)),"")))</f>
        <v/>
      </c>
      <c r="S398" s="64" t="n"/>
      <c r="T398" s="68" t="n"/>
      <c r="U398" s="64" t="n"/>
      <c r="V398" s="65" t="n"/>
      <c r="W398" s="74" t="str">
        <f>IF(AND(A398="",E398=""),"",IF(V398="Oui",0,MAX(0,ROUND(N(H398)-N(T398),6))))</f>
        <v/>
      </c>
      <c r="X398" s="67" t="str">
        <f>IF(AND(A398="",E398=""),"",IF(V398="Oui","Annulé",IF(AND(N(H398)&gt;0,N(T398)&gt;=N(H398)),"Reçu",IF(N(S398)=0,"Brouillon",IF(AND(ISNUMBER(R398),R398&lt;p_today),"En retard",IF(N(T398)&gt;0,"Partiel","Envoyé"))))))</f>
        <v/>
      </c>
      <c r="Y398" s="75" t="str">
        <f>IF(X398="En retard",p_today-R398,IF(AND(X398="Reçu",ISNUMBER(R398)),MAX(0,N(U398)-R398),""))</f>
        <v/>
      </c>
      <c r="Z398" s="67" t="str">
        <f>IF(AND(A398="",E398=""),"",IF(A398="","N° de bon manquant",IF(N(B398)=0,"Date de commande manquante",IF(C398="","Fournisseur manquant",IF(ISNA(MATCH($C398,sup_code,0)),"Fournisseur inconnu",IF(E398="","Article manquant",IF(ISNA(MATCH($E398,art_ref,0)),"Article inconnu",IF(N(H398)&lt;=0,"Quantité invalide",IF(J398="","Prix manquant",IF(OR(N(K398)&lt;0,N(K398)&gt;=1),"Remise invalide",IF(M398="","TVA manquante",IF(ISNA(MATCH(M398,p_tva,0)),"Taux de TVA inconnu",IF(COUNTIFS(po_num,A398,po_sup,"&lt;&gt;"&amp;C398)&gt;0,"Fournisseur différent sur ce bon",IF(COUNTIFS(po_num,A398,po_date,"&lt;&gt;"&amp;B398)&gt;0,"Date différente sur ce bon",IF(COUNTIF(po_num,A398)&gt;25,"Plus de 25 lignes sur ce bon",IF(R398="","Date de livraison manquante",IF(R398&lt;B398,"Livraison avant la commande",IF(AND(N(T398)&gt;0,N(S398)=0),"Date d'envoi manquante",IF(N(T398)&gt;N(H398),"Reçu plus que commandé",IF(AND(N(T398)&gt;0,N(U398)=0),"Date de réception manquante",IF(AND(N(U398)&gt;0,U398&lt;B398),"Réception avant la commande","OK")))))))))))))))))))))</f>
        <v/>
      </c>
      <c r="AA398" s="66" t="str">
        <f>IF(AND(X398="Reçu",ISNUMBER(R398)),IF(N(U398)&lt;=R398,1,0),"")</f>
        <v/>
      </c>
      <c r="AB398" s="76" t="str">
        <f>IF(OR(X398="Envoyé",X398="Partiel",X398="En retard"),IF(ISNUMBER(R398),R398,100000)+ROW()/100000,"")</f>
        <v/>
      </c>
      <c r="AC398" s="66" t="str">
        <f>IF(A398="","",IF(COUNTIF($A$6:A398,A398)=1,1,""))</f>
        <v/>
      </c>
      <c r="AD398" s="66" t="str">
        <f>IF(AC398=1,COUNT($AC$6:AC398),"")</f>
        <v/>
      </c>
      <c r="AE398" s="66" t="str">
        <f>IFERROR(INDEX(po_num,MATCH(393,po_seq,0))&amp;"","")</f>
        <v/>
      </c>
      <c r="AF398" s="66" t="str">
        <f>IF(OR(A398="",p_po=""),"",IF(A398&amp;""=p_po,COUNTIF($A$6:A398,A398),""))</f>
        <v/>
      </c>
      <c r="AG398" s="66" t="str">
        <f>IF(OR(AB398="",A398=""),"",IF(COUNTIFS($A$6:A398,A398,$AB$6:AB398,"&gt;0")=1,1,""))</f>
        <v/>
      </c>
      <c r="AH398" s="70" t="str">
        <f>IF(AB398="","",ROUND(N(W398)*N(J398)*(1-N(K398)),2))</f>
        <v/>
      </c>
      <c r="AI398" s="70" t="str">
        <f>IF(OR(J398="",N(T398)&lt;=0,V398="Oui"),"",ROUND(N(T398)*J398*(1-N(K398)),2))</f>
        <v/>
      </c>
    </row>
    <row r="399">
      <c r="A399" s="63" t="n"/>
      <c r="B399" s="64" t="n"/>
      <c r="C399" s="65" t="n"/>
      <c r="D399" s="66" t="str">
        <f>IF(C399="","",IFERROR(INDEX(sup_name,MATCH($C399,sup_code,0))&amp;"","Fournisseur inconnu"))</f>
        <v/>
      </c>
      <c r="E399" s="63" t="n"/>
      <c r="F399" s="66" t="str">
        <f>IF(E399="","",IFERROR(INDEX(art_des,MATCH($E399,art_ref,0))&amp;"","Article inconnu"))</f>
        <v/>
      </c>
      <c r="G399" s="67" t="str">
        <f>IF(E399="","",IFERROR(INDEX(art_unit,MATCH($E399,art_ref,0))&amp;"",""))</f>
        <v/>
      </c>
      <c r="H399" s="68" t="n"/>
      <c r="I399" s="69" t="n"/>
      <c r="J399" s="70" t="str">
        <f>IF(E399="","",IF(ISNUMBER(I399),I399,IFERROR(IF(ISNUMBER(INDEX(art_price,MATCH($E399,art_ref,0))),INDEX(art_price,MATCH($E399,art_ref,0)),""),"")))</f>
        <v/>
      </c>
      <c r="K399" s="71" t="n"/>
      <c r="L399" s="72" t="n"/>
      <c r="M399" s="72" t="str">
        <f>IF(E399="","",IF(L399&lt;&gt;"",L399,IFERROR(IF(ISNUMBER(INDEX(art_tva,MATCH($E399,art_ref,0))),INDEX(art_tva,MATCH($E399,art_ref,0)),""),"")))</f>
        <v/>
      </c>
      <c r="N399" s="70" t="str">
        <f>IF(OR(E399="",J399=""),"",ROUND(N(H399)*J399*(1-N(K399)),2))</f>
        <v/>
      </c>
      <c r="O399" s="70" t="str">
        <f>IF(OR(N399="",NOT(ISNUMBER(M399))),"",ROUND(N399*M399,2))</f>
        <v/>
      </c>
      <c r="P399" s="70" t="str">
        <f>IF(N399="","",N399+N(O399))</f>
        <v/>
      </c>
      <c r="Q399" s="64" t="n"/>
      <c r="R399" s="73" t="str">
        <f>IF(N(Q399)&gt;0,Q399,IF(OR(N(B399)=0,ISNA(MATCH($C399,sup_code,0))),"",IF(ISNUMBER(INDEX(sup_delay,MATCH($C399,sup_code,0))),B399+INDEX(sup_delay,MATCH($C399,sup_code,0)),"")))</f>
        <v/>
      </c>
      <c r="S399" s="64" t="n"/>
      <c r="T399" s="68" t="n"/>
      <c r="U399" s="64" t="n"/>
      <c r="V399" s="65" t="n"/>
      <c r="W399" s="74" t="str">
        <f>IF(AND(A399="",E399=""),"",IF(V399="Oui",0,MAX(0,ROUND(N(H399)-N(T399),6))))</f>
        <v/>
      </c>
      <c r="X399" s="67" t="str">
        <f>IF(AND(A399="",E399=""),"",IF(V399="Oui","Annulé",IF(AND(N(H399)&gt;0,N(T399)&gt;=N(H399)),"Reçu",IF(N(S399)=0,"Brouillon",IF(AND(ISNUMBER(R399),R399&lt;p_today),"En retard",IF(N(T399)&gt;0,"Partiel","Envoyé"))))))</f>
        <v/>
      </c>
      <c r="Y399" s="75" t="str">
        <f>IF(X399="En retard",p_today-R399,IF(AND(X399="Reçu",ISNUMBER(R399)),MAX(0,N(U399)-R399),""))</f>
        <v/>
      </c>
      <c r="Z399" s="67" t="str">
        <f>IF(AND(A399="",E399=""),"",IF(A399="","N° de bon manquant",IF(N(B399)=0,"Date de commande manquante",IF(C399="","Fournisseur manquant",IF(ISNA(MATCH($C399,sup_code,0)),"Fournisseur inconnu",IF(E399="","Article manquant",IF(ISNA(MATCH($E399,art_ref,0)),"Article inconnu",IF(N(H399)&lt;=0,"Quantité invalide",IF(J399="","Prix manquant",IF(OR(N(K399)&lt;0,N(K399)&gt;=1),"Remise invalide",IF(M399="","TVA manquante",IF(ISNA(MATCH(M399,p_tva,0)),"Taux de TVA inconnu",IF(COUNTIFS(po_num,A399,po_sup,"&lt;&gt;"&amp;C399)&gt;0,"Fournisseur différent sur ce bon",IF(COUNTIFS(po_num,A399,po_date,"&lt;&gt;"&amp;B399)&gt;0,"Date différente sur ce bon",IF(COUNTIF(po_num,A399)&gt;25,"Plus de 25 lignes sur ce bon",IF(R399="","Date de livraison manquante",IF(R399&lt;B399,"Livraison avant la commande",IF(AND(N(T399)&gt;0,N(S399)=0),"Date d'envoi manquante",IF(N(T399)&gt;N(H399),"Reçu plus que commandé",IF(AND(N(T399)&gt;0,N(U399)=0),"Date de réception manquante",IF(AND(N(U399)&gt;0,U399&lt;B399),"Réception avant la commande","OK")))))))))))))))))))))</f>
        <v/>
      </c>
      <c r="AA399" s="66" t="str">
        <f>IF(AND(X399="Reçu",ISNUMBER(R399)),IF(N(U399)&lt;=R399,1,0),"")</f>
        <v/>
      </c>
      <c r="AB399" s="76" t="str">
        <f>IF(OR(X399="Envoyé",X399="Partiel",X399="En retard"),IF(ISNUMBER(R399),R399,100000)+ROW()/100000,"")</f>
        <v/>
      </c>
      <c r="AC399" s="66" t="str">
        <f>IF(A399="","",IF(COUNTIF($A$6:A399,A399)=1,1,""))</f>
        <v/>
      </c>
      <c r="AD399" s="66" t="str">
        <f>IF(AC399=1,COUNT($AC$6:AC399),"")</f>
        <v/>
      </c>
      <c r="AE399" s="66" t="str">
        <f>IFERROR(INDEX(po_num,MATCH(394,po_seq,0))&amp;"","")</f>
        <v/>
      </c>
      <c r="AF399" s="66" t="str">
        <f>IF(OR(A399="",p_po=""),"",IF(A399&amp;""=p_po,COUNTIF($A$6:A399,A399),""))</f>
        <v/>
      </c>
      <c r="AG399" s="66" t="str">
        <f>IF(OR(AB399="",A399=""),"",IF(COUNTIFS($A$6:A399,A399,$AB$6:AB399,"&gt;0")=1,1,""))</f>
        <v/>
      </c>
      <c r="AH399" s="70" t="str">
        <f>IF(AB399="","",ROUND(N(W399)*N(J399)*(1-N(K399)),2))</f>
        <v/>
      </c>
      <c r="AI399" s="70" t="str">
        <f>IF(OR(J399="",N(T399)&lt;=0,V399="Oui"),"",ROUND(N(T399)*J399*(1-N(K399)),2))</f>
        <v/>
      </c>
    </row>
    <row r="400">
      <c r="A400" s="63" t="n"/>
      <c r="B400" s="64" t="n"/>
      <c r="C400" s="65" t="n"/>
      <c r="D400" s="66" t="str">
        <f>IF(C400="","",IFERROR(INDEX(sup_name,MATCH($C400,sup_code,0))&amp;"","Fournisseur inconnu"))</f>
        <v/>
      </c>
      <c r="E400" s="63" t="n"/>
      <c r="F400" s="66" t="str">
        <f>IF(E400="","",IFERROR(INDEX(art_des,MATCH($E400,art_ref,0))&amp;"","Article inconnu"))</f>
        <v/>
      </c>
      <c r="G400" s="67" t="str">
        <f>IF(E400="","",IFERROR(INDEX(art_unit,MATCH($E400,art_ref,0))&amp;"",""))</f>
        <v/>
      </c>
      <c r="H400" s="68" t="n"/>
      <c r="I400" s="69" t="n"/>
      <c r="J400" s="70" t="str">
        <f>IF(E400="","",IF(ISNUMBER(I400),I400,IFERROR(IF(ISNUMBER(INDEX(art_price,MATCH($E400,art_ref,0))),INDEX(art_price,MATCH($E400,art_ref,0)),""),"")))</f>
        <v/>
      </c>
      <c r="K400" s="71" t="n"/>
      <c r="L400" s="72" t="n"/>
      <c r="M400" s="72" t="str">
        <f>IF(E400="","",IF(L400&lt;&gt;"",L400,IFERROR(IF(ISNUMBER(INDEX(art_tva,MATCH($E400,art_ref,0))),INDEX(art_tva,MATCH($E400,art_ref,0)),""),"")))</f>
        <v/>
      </c>
      <c r="N400" s="70" t="str">
        <f>IF(OR(E400="",J400=""),"",ROUND(N(H400)*J400*(1-N(K400)),2))</f>
        <v/>
      </c>
      <c r="O400" s="70" t="str">
        <f>IF(OR(N400="",NOT(ISNUMBER(M400))),"",ROUND(N400*M400,2))</f>
        <v/>
      </c>
      <c r="P400" s="70" t="str">
        <f>IF(N400="","",N400+N(O400))</f>
        <v/>
      </c>
      <c r="Q400" s="64" t="n"/>
      <c r="R400" s="73" t="str">
        <f>IF(N(Q400)&gt;0,Q400,IF(OR(N(B400)=0,ISNA(MATCH($C400,sup_code,0))),"",IF(ISNUMBER(INDEX(sup_delay,MATCH($C400,sup_code,0))),B400+INDEX(sup_delay,MATCH($C400,sup_code,0)),"")))</f>
        <v/>
      </c>
      <c r="S400" s="64" t="n"/>
      <c r="T400" s="68" t="n"/>
      <c r="U400" s="64" t="n"/>
      <c r="V400" s="65" t="n"/>
      <c r="W400" s="74" t="str">
        <f>IF(AND(A400="",E400=""),"",IF(V400="Oui",0,MAX(0,ROUND(N(H400)-N(T400),6))))</f>
        <v/>
      </c>
      <c r="X400" s="67" t="str">
        <f>IF(AND(A400="",E400=""),"",IF(V400="Oui","Annulé",IF(AND(N(H400)&gt;0,N(T400)&gt;=N(H400)),"Reçu",IF(N(S400)=0,"Brouillon",IF(AND(ISNUMBER(R400),R400&lt;p_today),"En retard",IF(N(T400)&gt;0,"Partiel","Envoyé"))))))</f>
        <v/>
      </c>
      <c r="Y400" s="75" t="str">
        <f>IF(X400="En retard",p_today-R400,IF(AND(X400="Reçu",ISNUMBER(R400)),MAX(0,N(U400)-R400),""))</f>
        <v/>
      </c>
      <c r="Z400" s="67" t="str">
        <f>IF(AND(A400="",E400=""),"",IF(A400="","N° de bon manquant",IF(N(B400)=0,"Date de commande manquante",IF(C400="","Fournisseur manquant",IF(ISNA(MATCH($C400,sup_code,0)),"Fournisseur inconnu",IF(E400="","Article manquant",IF(ISNA(MATCH($E400,art_ref,0)),"Article inconnu",IF(N(H400)&lt;=0,"Quantité invalide",IF(J400="","Prix manquant",IF(OR(N(K400)&lt;0,N(K400)&gt;=1),"Remise invalide",IF(M400="","TVA manquante",IF(ISNA(MATCH(M400,p_tva,0)),"Taux de TVA inconnu",IF(COUNTIFS(po_num,A400,po_sup,"&lt;&gt;"&amp;C400)&gt;0,"Fournisseur différent sur ce bon",IF(COUNTIFS(po_num,A400,po_date,"&lt;&gt;"&amp;B400)&gt;0,"Date différente sur ce bon",IF(COUNTIF(po_num,A400)&gt;25,"Plus de 25 lignes sur ce bon",IF(R400="","Date de livraison manquante",IF(R400&lt;B400,"Livraison avant la commande",IF(AND(N(T400)&gt;0,N(S400)=0),"Date d'envoi manquante",IF(N(T400)&gt;N(H400),"Reçu plus que commandé",IF(AND(N(T400)&gt;0,N(U400)=0),"Date de réception manquante",IF(AND(N(U400)&gt;0,U400&lt;B400),"Réception avant la commande","OK")))))))))))))))))))))</f>
        <v/>
      </c>
      <c r="AA400" s="66" t="str">
        <f>IF(AND(X400="Reçu",ISNUMBER(R400)),IF(N(U400)&lt;=R400,1,0),"")</f>
        <v/>
      </c>
      <c r="AB400" s="76" t="str">
        <f>IF(OR(X400="Envoyé",X400="Partiel",X400="En retard"),IF(ISNUMBER(R400),R400,100000)+ROW()/100000,"")</f>
        <v/>
      </c>
      <c r="AC400" s="66" t="str">
        <f>IF(A400="","",IF(COUNTIF($A$6:A400,A400)=1,1,""))</f>
        <v/>
      </c>
      <c r="AD400" s="66" t="str">
        <f>IF(AC400=1,COUNT($AC$6:AC400),"")</f>
        <v/>
      </c>
      <c r="AE400" s="66" t="str">
        <f>IFERROR(INDEX(po_num,MATCH(395,po_seq,0))&amp;"","")</f>
        <v/>
      </c>
      <c r="AF400" s="66" t="str">
        <f>IF(OR(A400="",p_po=""),"",IF(A400&amp;""=p_po,COUNTIF($A$6:A400,A400),""))</f>
        <v/>
      </c>
      <c r="AG400" s="66" t="str">
        <f>IF(OR(AB400="",A400=""),"",IF(COUNTIFS($A$6:A400,A400,$AB$6:AB400,"&gt;0")=1,1,""))</f>
        <v/>
      </c>
      <c r="AH400" s="70" t="str">
        <f>IF(AB400="","",ROUND(N(W400)*N(J400)*(1-N(K400)),2))</f>
        <v/>
      </c>
      <c r="AI400" s="70" t="str">
        <f>IF(OR(J400="",N(T400)&lt;=0,V400="Oui"),"",ROUND(N(T400)*J400*(1-N(K400)),2))</f>
        <v/>
      </c>
    </row>
    <row r="401">
      <c r="A401" s="63" t="n"/>
      <c r="B401" s="64" t="n"/>
      <c r="C401" s="65" t="n"/>
      <c r="D401" s="66" t="str">
        <f>IF(C401="","",IFERROR(INDEX(sup_name,MATCH($C401,sup_code,0))&amp;"","Fournisseur inconnu"))</f>
        <v/>
      </c>
      <c r="E401" s="63" t="n"/>
      <c r="F401" s="66" t="str">
        <f>IF(E401="","",IFERROR(INDEX(art_des,MATCH($E401,art_ref,0))&amp;"","Article inconnu"))</f>
        <v/>
      </c>
      <c r="G401" s="67" t="str">
        <f>IF(E401="","",IFERROR(INDEX(art_unit,MATCH($E401,art_ref,0))&amp;"",""))</f>
        <v/>
      </c>
      <c r="H401" s="68" t="n"/>
      <c r="I401" s="69" t="n"/>
      <c r="J401" s="70" t="str">
        <f>IF(E401="","",IF(ISNUMBER(I401),I401,IFERROR(IF(ISNUMBER(INDEX(art_price,MATCH($E401,art_ref,0))),INDEX(art_price,MATCH($E401,art_ref,0)),""),"")))</f>
        <v/>
      </c>
      <c r="K401" s="71" t="n"/>
      <c r="L401" s="72" t="n"/>
      <c r="M401" s="72" t="str">
        <f>IF(E401="","",IF(L401&lt;&gt;"",L401,IFERROR(IF(ISNUMBER(INDEX(art_tva,MATCH($E401,art_ref,0))),INDEX(art_tva,MATCH($E401,art_ref,0)),""),"")))</f>
        <v/>
      </c>
      <c r="N401" s="70" t="str">
        <f>IF(OR(E401="",J401=""),"",ROUND(N(H401)*J401*(1-N(K401)),2))</f>
        <v/>
      </c>
      <c r="O401" s="70" t="str">
        <f>IF(OR(N401="",NOT(ISNUMBER(M401))),"",ROUND(N401*M401,2))</f>
        <v/>
      </c>
      <c r="P401" s="70" t="str">
        <f>IF(N401="","",N401+N(O401))</f>
        <v/>
      </c>
      <c r="Q401" s="64" t="n"/>
      <c r="R401" s="73" t="str">
        <f>IF(N(Q401)&gt;0,Q401,IF(OR(N(B401)=0,ISNA(MATCH($C401,sup_code,0))),"",IF(ISNUMBER(INDEX(sup_delay,MATCH($C401,sup_code,0))),B401+INDEX(sup_delay,MATCH($C401,sup_code,0)),"")))</f>
        <v/>
      </c>
      <c r="S401" s="64" t="n"/>
      <c r="T401" s="68" t="n"/>
      <c r="U401" s="64" t="n"/>
      <c r="V401" s="65" t="n"/>
      <c r="W401" s="74" t="str">
        <f>IF(AND(A401="",E401=""),"",IF(V401="Oui",0,MAX(0,ROUND(N(H401)-N(T401),6))))</f>
        <v/>
      </c>
      <c r="X401" s="67" t="str">
        <f>IF(AND(A401="",E401=""),"",IF(V401="Oui","Annulé",IF(AND(N(H401)&gt;0,N(T401)&gt;=N(H401)),"Reçu",IF(N(S401)=0,"Brouillon",IF(AND(ISNUMBER(R401),R401&lt;p_today),"En retard",IF(N(T401)&gt;0,"Partiel","Envoyé"))))))</f>
        <v/>
      </c>
      <c r="Y401" s="75" t="str">
        <f>IF(X401="En retard",p_today-R401,IF(AND(X401="Reçu",ISNUMBER(R401)),MAX(0,N(U401)-R401),""))</f>
        <v/>
      </c>
      <c r="Z401" s="67" t="str">
        <f>IF(AND(A401="",E401=""),"",IF(A401="","N° de bon manquant",IF(N(B401)=0,"Date de commande manquante",IF(C401="","Fournisseur manquant",IF(ISNA(MATCH($C401,sup_code,0)),"Fournisseur inconnu",IF(E401="","Article manquant",IF(ISNA(MATCH($E401,art_ref,0)),"Article inconnu",IF(N(H401)&lt;=0,"Quantité invalide",IF(J401="","Prix manquant",IF(OR(N(K401)&lt;0,N(K401)&gt;=1),"Remise invalide",IF(M401="","TVA manquante",IF(ISNA(MATCH(M401,p_tva,0)),"Taux de TVA inconnu",IF(COUNTIFS(po_num,A401,po_sup,"&lt;&gt;"&amp;C401)&gt;0,"Fournisseur différent sur ce bon",IF(COUNTIFS(po_num,A401,po_date,"&lt;&gt;"&amp;B401)&gt;0,"Date différente sur ce bon",IF(COUNTIF(po_num,A401)&gt;25,"Plus de 25 lignes sur ce bon",IF(R401="","Date de livraison manquante",IF(R401&lt;B401,"Livraison avant la commande",IF(AND(N(T401)&gt;0,N(S401)=0),"Date d'envoi manquante",IF(N(T401)&gt;N(H401),"Reçu plus que commandé",IF(AND(N(T401)&gt;0,N(U401)=0),"Date de réception manquante",IF(AND(N(U401)&gt;0,U401&lt;B401),"Réception avant la commande","OK")))))))))))))))))))))</f>
        <v/>
      </c>
      <c r="AA401" s="66" t="str">
        <f>IF(AND(X401="Reçu",ISNUMBER(R401)),IF(N(U401)&lt;=R401,1,0),"")</f>
        <v/>
      </c>
      <c r="AB401" s="76" t="str">
        <f>IF(OR(X401="Envoyé",X401="Partiel",X401="En retard"),IF(ISNUMBER(R401),R401,100000)+ROW()/100000,"")</f>
        <v/>
      </c>
      <c r="AC401" s="66" t="str">
        <f>IF(A401="","",IF(COUNTIF($A$6:A401,A401)=1,1,""))</f>
        <v/>
      </c>
      <c r="AD401" s="66" t="str">
        <f>IF(AC401=1,COUNT($AC$6:AC401),"")</f>
        <v/>
      </c>
      <c r="AE401" s="66" t="str">
        <f>IFERROR(INDEX(po_num,MATCH(396,po_seq,0))&amp;"","")</f>
        <v/>
      </c>
      <c r="AF401" s="66" t="str">
        <f>IF(OR(A401="",p_po=""),"",IF(A401&amp;""=p_po,COUNTIF($A$6:A401,A401),""))</f>
        <v/>
      </c>
      <c r="AG401" s="66" t="str">
        <f>IF(OR(AB401="",A401=""),"",IF(COUNTIFS($A$6:A401,A401,$AB$6:AB401,"&gt;0")=1,1,""))</f>
        <v/>
      </c>
      <c r="AH401" s="70" t="str">
        <f>IF(AB401="","",ROUND(N(W401)*N(J401)*(1-N(K401)),2))</f>
        <v/>
      </c>
      <c r="AI401" s="70" t="str">
        <f>IF(OR(J401="",N(T401)&lt;=0,V401="Oui"),"",ROUND(N(T401)*J401*(1-N(K401)),2))</f>
        <v/>
      </c>
    </row>
    <row r="402">
      <c r="A402" s="63" t="n"/>
      <c r="B402" s="64" t="n"/>
      <c r="C402" s="65" t="n"/>
      <c r="D402" s="66" t="str">
        <f>IF(C402="","",IFERROR(INDEX(sup_name,MATCH($C402,sup_code,0))&amp;"","Fournisseur inconnu"))</f>
        <v/>
      </c>
      <c r="E402" s="63" t="n"/>
      <c r="F402" s="66" t="str">
        <f>IF(E402="","",IFERROR(INDEX(art_des,MATCH($E402,art_ref,0))&amp;"","Article inconnu"))</f>
        <v/>
      </c>
      <c r="G402" s="67" t="str">
        <f>IF(E402="","",IFERROR(INDEX(art_unit,MATCH($E402,art_ref,0))&amp;"",""))</f>
        <v/>
      </c>
      <c r="H402" s="68" t="n"/>
      <c r="I402" s="69" t="n"/>
      <c r="J402" s="70" t="str">
        <f>IF(E402="","",IF(ISNUMBER(I402),I402,IFERROR(IF(ISNUMBER(INDEX(art_price,MATCH($E402,art_ref,0))),INDEX(art_price,MATCH($E402,art_ref,0)),""),"")))</f>
        <v/>
      </c>
      <c r="K402" s="71" t="n"/>
      <c r="L402" s="72" t="n"/>
      <c r="M402" s="72" t="str">
        <f>IF(E402="","",IF(L402&lt;&gt;"",L402,IFERROR(IF(ISNUMBER(INDEX(art_tva,MATCH($E402,art_ref,0))),INDEX(art_tva,MATCH($E402,art_ref,0)),""),"")))</f>
        <v/>
      </c>
      <c r="N402" s="70" t="str">
        <f>IF(OR(E402="",J402=""),"",ROUND(N(H402)*J402*(1-N(K402)),2))</f>
        <v/>
      </c>
      <c r="O402" s="70" t="str">
        <f>IF(OR(N402="",NOT(ISNUMBER(M402))),"",ROUND(N402*M402,2))</f>
        <v/>
      </c>
      <c r="P402" s="70" t="str">
        <f>IF(N402="","",N402+N(O402))</f>
        <v/>
      </c>
      <c r="Q402" s="64" t="n"/>
      <c r="R402" s="73" t="str">
        <f>IF(N(Q402)&gt;0,Q402,IF(OR(N(B402)=0,ISNA(MATCH($C402,sup_code,0))),"",IF(ISNUMBER(INDEX(sup_delay,MATCH($C402,sup_code,0))),B402+INDEX(sup_delay,MATCH($C402,sup_code,0)),"")))</f>
        <v/>
      </c>
      <c r="S402" s="64" t="n"/>
      <c r="T402" s="68" t="n"/>
      <c r="U402" s="64" t="n"/>
      <c r="V402" s="65" t="n"/>
      <c r="W402" s="74" t="str">
        <f>IF(AND(A402="",E402=""),"",IF(V402="Oui",0,MAX(0,ROUND(N(H402)-N(T402),6))))</f>
        <v/>
      </c>
      <c r="X402" s="67" t="str">
        <f>IF(AND(A402="",E402=""),"",IF(V402="Oui","Annulé",IF(AND(N(H402)&gt;0,N(T402)&gt;=N(H402)),"Reçu",IF(N(S402)=0,"Brouillon",IF(AND(ISNUMBER(R402),R402&lt;p_today),"En retard",IF(N(T402)&gt;0,"Partiel","Envoyé"))))))</f>
        <v/>
      </c>
      <c r="Y402" s="75" t="str">
        <f>IF(X402="En retard",p_today-R402,IF(AND(X402="Reçu",ISNUMBER(R402)),MAX(0,N(U402)-R402),""))</f>
        <v/>
      </c>
      <c r="Z402" s="67" t="str">
        <f>IF(AND(A402="",E402=""),"",IF(A402="","N° de bon manquant",IF(N(B402)=0,"Date de commande manquante",IF(C402="","Fournisseur manquant",IF(ISNA(MATCH($C402,sup_code,0)),"Fournisseur inconnu",IF(E402="","Article manquant",IF(ISNA(MATCH($E402,art_ref,0)),"Article inconnu",IF(N(H402)&lt;=0,"Quantité invalide",IF(J402="","Prix manquant",IF(OR(N(K402)&lt;0,N(K402)&gt;=1),"Remise invalide",IF(M402="","TVA manquante",IF(ISNA(MATCH(M402,p_tva,0)),"Taux de TVA inconnu",IF(COUNTIFS(po_num,A402,po_sup,"&lt;&gt;"&amp;C402)&gt;0,"Fournisseur différent sur ce bon",IF(COUNTIFS(po_num,A402,po_date,"&lt;&gt;"&amp;B402)&gt;0,"Date différente sur ce bon",IF(COUNTIF(po_num,A402)&gt;25,"Plus de 25 lignes sur ce bon",IF(R402="","Date de livraison manquante",IF(R402&lt;B402,"Livraison avant la commande",IF(AND(N(T402)&gt;0,N(S402)=0),"Date d'envoi manquante",IF(N(T402)&gt;N(H402),"Reçu plus que commandé",IF(AND(N(T402)&gt;0,N(U402)=0),"Date de réception manquante",IF(AND(N(U402)&gt;0,U402&lt;B402),"Réception avant la commande","OK")))))))))))))))))))))</f>
        <v/>
      </c>
      <c r="AA402" s="66" t="str">
        <f>IF(AND(X402="Reçu",ISNUMBER(R402)),IF(N(U402)&lt;=R402,1,0),"")</f>
        <v/>
      </c>
      <c r="AB402" s="76" t="str">
        <f>IF(OR(X402="Envoyé",X402="Partiel",X402="En retard"),IF(ISNUMBER(R402),R402,100000)+ROW()/100000,"")</f>
        <v/>
      </c>
      <c r="AC402" s="66" t="str">
        <f>IF(A402="","",IF(COUNTIF($A$6:A402,A402)=1,1,""))</f>
        <v/>
      </c>
      <c r="AD402" s="66" t="str">
        <f>IF(AC402=1,COUNT($AC$6:AC402),"")</f>
        <v/>
      </c>
      <c r="AE402" s="66" t="str">
        <f>IFERROR(INDEX(po_num,MATCH(397,po_seq,0))&amp;"","")</f>
        <v/>
      </c>
      <c r="AF402" s="66" t="str">
        <f>IF(OR(A402="",p_po=""),"",IF(A402&amp;""=p_po,COUNTIF($A$6:A402,A402),""))</f>
        <v/>
      </c>
      <c r="AG402" s="66" t="str">
        <f>IF(OR(AB402="",A402=""),"",IF(COUNTIFS($A$6:A402,A402,$AB$6:AB402,"&gt;0")=1,1,""))</f>
        <v/>
      </c>
      <c r="AH402" s="70" t="str">
        <f>IF(AB402="","",ROUND(N(W402)*N(J402)*(1-N(K402)),2))</f>
        <v/>
      </c>
      <c r="AI402" s="70" t="str">
        <f>IF(OR(J402="",N(T402)&lt;=0,V402="Oui"),"",ROUND(N(T402)*J402*(1-N(K402)),2))</f>
        <v/>
      </c>
    </row>
    <row r="403">
      <c r="A403" s="63" t="n"/>
      <c r="B403" s="64" t="n"/>
      <c r="C403" s="65" t="n"/>
      <c r="D403" s="66" t="str">
        <f>IF(C403="","",IFERROR(INDEX(sup_name,MATCH($C403,sup_code,0))&amp;"","Fournisseur inconnu"))</f>
        <v/>
      </c>
      <c r="E403" s="63" t="n"/>
      <c r="F403" s="66" t="str">
        <f>IF(E403="","",IFERROR(INDEX(art_des,MATCH($E403,art_ref,0))&amp;"","Article inconnu"))</f>
        <v/>
      </c>
      <c r="G403" s="67" t="str">
        <f>IF(E403="","",IFERROR(INDEX(art_unit,MATCH($E403,art_ref,0))&amp;"",""))</f>
        <v/>
      </c>
      <c r="H403" s="68" t="n"/>
      <c r="I403" s="69" t="n"/>
      <c r="J403" s="70" t="str">
        <f>IF(E403="","",IF(ISNUMBER(I403),I403,IFERROR(IF(ISNUMBER(INDEX(art_price,MATCH($E403,art_ref,0))),INDEX(art_price,MATCH($E403,art_ref,0)),""),"")))</f>
        <v/>
      </c>
      <c r="K403" s="71" t="n"/>
      <c r="L403" s="72" t="n"/>
      <c r="M403" s="72" t="str">
        <f>IF(E403="","",IF(L403&lt;&gt;"",L403,IFERROR(IF(ISNUMBER(INDEX(art_tva,MATCH($E403,art_ref,0))),INDEX(art_tva,MATCH($E403,art_ref,0)),""),"")))</f>
        <v/>
      </c>
      <c r="N403" s="70" t="str">
        <f>IF(OR(E403="",J403=""),"",ROUND(N(H403)*J403*(1-N(K403)),2))</f>
        <v/>
      </c>
      <c r="O403" s="70" t="str">
        <f>IF(OR(N403="",NOT(ISNUMBER(M403))),"",ROUND(N403*M403,2))</f>
        <v/>
      </c>
      <c r="P403" s="70" t="str">
        <f>IF(N403="","",N403+N(O403))</f>
        <v/>
      </c>
      <c r="Q403" s="64" t="n"/>
      <c r="R403" s="73" t="str">
        <f>IF(N(Q403)&gt;0,Q403,IF(OR(N(B403)=0,ISNA(MATCH($C403,sup_code,0))),"",IF(ISNUMBER(INDEX(sup_delay,MATCH($C403,sup_code,0))),B403+INDEX(sup_delay,MATCH($C403,sup_code,0)),"")))</f>
        <v/>
      </c>
      <c r="S403" s="64" t="n"/>
      <c r="T403" s="68" t="n"/>
      <c r="U403" s="64" t="n"/>
      <c r="V403" s="65" t="n"/>
      <c r="W403" s="74" t="str">
        <f>IF(AND(A403="",E403=""),"",IF(V403="Oui",0,MAX(0,ROUND(N(H403)-N(T403),6))))</f>
        <v/>
      </c>
      <c r="X403" s="67" t="str">
        <f>IF(AND(A403="",E403=""),"",IF(V403="Oui","Annulé",IF(AND(N(H403)&gt;0,N(T403)&gt;=N(H403)),"Reçu",IF(N(S403)=0,"Brouillon",IF(AND(ISNUMBER(R403),R403&lt;p_today),"En retard",IF(N(T403)&gt;0,"Partiel","Envoyé"))))))</f>
        <v/>
      </c>
      <c r="Y403" s="75" t="str">
        <f>IF(X403="En retard",p_today-R403,IF(AND(X403="Reçu",ISNUMBER(R403)),MAX(0,N(U403)-R403),""))</f>
        <v/>
      </c>
      <c r="Z403" s="67" t="str">
        <f>IF(AND(A403="",E403=""),"",IF(A403="","N° de bon manquant",IF(N(B403)=0,"Date de commande manquante",IF(C403="","Fournisseur manquant",IF(ISNA(MATCH($C403,sup_code,0)),"Fournisseur inconnu",IF(E403="","Article manquant",IF(ISNA(MATCH($E403,art_ref,0)),"Article inconnu",IF(N(H403)&lt;=0,"Quantité invalide",IF(J403="","Prix manquant",IF(OR(N(K403)&lt;0,N(K403)&gt;=1),"Remise invalide",IF(M403="","TVA manquante",IF(ISNA(MATCH(M403,p_tva,0)),"Taux de TVA inconnu",IF(COUNTIFS(po_num,A403,po_sup,"&lt;&gt;"&amp;C403)&gt;0,"Fournisseur différent sur ce bon",IF(COUNTIFS(po_num,A403,po_date,"&lt;&gt;"&amp;B403)&gt;0,"Date différente sur ce bon",IF(COUNTIF(po_num,A403)&gt;25,"Plus de 25 lignes sur ce bon",IF(R403="","Date de livraison manquante",IF(R403&lt;B403,"Livraison avant la commande",IF(AND(N(T403)&gt;0,N(S403)=0),"Date d'envoi manquante",IF(N(T403)&gt;N(H403),"Reçu plus que commandé",IF(AND(N(T403)&gt;0,N(U403)=0),"Date de réception manquante",IF(AND(N(U403)&gt;0,U403&lt;B403),"Réception avant la commande","OK")))))))))))))))))))))</f>
        <v/>
      </c>
      <c r="AA403" s="66" t="str">
        <f>IF(AND(X403="Reçu",ISNUMBER(R403)),IF(N(U403)&lt;=R403,1,0),"")</f>
        <v/>
      </c>
      <c r="AB403" s="76" t="str">
        <f>IF(OR(X403="Envoyé",X403="Partiel",X403="En retard"),IF(ISNUMBER(R403),R403,100000)+ROW()/100000,"")</f>
        <v/>
      </c>
      <c r="AC403" s="66" t="str">
        <f>IF(A403="","",IF(COUNTIF($A$6:A403,A403)=1,1,""))</f>
        <v/>
      </c>
      <c r="AD403" s="66" t="str">
        <f>IF(AC403=1,COUNT($AC$6:AC403),"")</f>
        <v/>
      </c>
      <c r="AE403" s="66" t="str">
        <f>IFERROR(INDEX(po_num,MATCH(398,po_seq,0))&amp;"","")</f>
        <v/>
      </c>
      <c r="AF403" s="66" t="str">
        <f>IF(OR(A403="",p_po=""),"",IF(A403&amp;""=p_po,COUNTIF($A$6:A403,A403),""))</f>
        <v/>
      </c>
      <c r="AG403" s="66" t="str">
        <f>IF(OR(AB403="",A403=""),"",IF(COUNTIFS($A$6:A403,A403,$AB$6:AB403,"&gt;0")=1,1,""))</f>
        <v/>
      </c>
      <c r="AH403" s="70" t="str">
        <f>IF(AB403="","",ROUND(N(W403)*N(J403)*(1-N(K403)),2))</f>
        <v/>
      </c>
      <c r="AI403" s="70" t="str">
        <f>IF(OR(J403="",N(T403)&lt;=0,V403="Oui"),"",ROUND(N(T403)*J403*(1-N(K403)),2))</f>
        <v/>
      </c>
    </row>
    <row r="404">
      <c r="A404" s="63" t="n"/>
      <c r="B404" s="64" t="n"/>
      <c r="C404" s="65" t="n"/>
      <c r="D404" s="66" t="str">
        <f>IF(C404="","",IFERROR(INDEX(sup_name,MATCH($C404,sup_code,0))&amp;"","Fournisseur inconnu"))</f>
        <v/>
      </c>
      <c r="E404" s="63" t="n"/>
      <c r="F404" s="66" t="str">
        <f>IF(E404="","",IFERROR(INDEX(art_des,MATCH($E404,art_ref,0))&amp;"","Article inconnu"))</f>
        <v/>
      </c>
      <c r="G404" s="67" t="str">
        <f>IF(E404="","",IFERROR(INDEX(art_unit,MATCH($E404,art_ref,0))&amp;"",""))</f>
        <v/>
      </c>
      <c r="H404" s="68" t="n"/>
      <c r="I404" s="69" t="n"/>
      <c r="J404" s="70" t="str">
        <f>IF(E404="","",IF(ISNUMBER(I404),I404,IFERROR(IF(ISNUMBER(INDEX(art_price,MATCH($E404,art_ref,0))),INDEX(art_price,MATCH($E404,art_ref,0)),""),"")))</f>
        <v/>
      </c>
      <c r="K404" s="71" t="n"/>
      <c r="L404" s="72" t="n"/>
      <c r="M404" s="72" t="str">
        <f>IF(E404="","",IF(L404&lt;&gt;"",L404,IFERROR(IF(ISNUMBER(INDEX(art_tva,MATCH($E404,art_ref,0))),INDEX(art_tva,MATCH($E404,art_ref,0)),""),"")))</f>
        <v/>
      </c>
      <c r="N404" s="70" t="str">
        <f>IF(OR(E404="",J404=""),"",ROUND(N(H404)*J404*(1-N(K404)),2))</f>
        <v/>
      </c>
      <c r="O404" s="70" t="str">
        <f>IF(OR(N404="",NOT(ISNUMBER(M404))),"",ROUND(N404*M404,2))</f>
        <v/>
      </c>
      <c r="P404" s="70" t="str">
        <f>IF(N404="","",N404+N(O404))</f>
        <v/>
      </c>
      <c r="Q404" s="64" t="n"/>
      <c r="R404" s="73" t="str">
        <f>IF(N(Q404)&gt;0,Q404,IF(OR(N(B404)=0,ISNA(MATCH($C404,sup_code,0))),"",IF(ISNUMBER(INDEX(sup_delay,MATCH($C404,sup_code,0))),B404+INDEX(sup_delay,MATCH($C404,sup_code,0)),"")))</f>
        <v/>
      </c>
      <c r="S404" s="64" t="n"/>
      <c r="T404" s="68" t="n"/>
      <c r="U404" s="64" t="n"/>
      <c r="V404" s="65" t="n"/>
      <c r="W404" s="74" t="str">
        <f>IF(AND(A404="",E404=""),"",IF(V404="Oui",0,MAX(0,ROUND(N(H404)-N(T404),6))))</f>
        <v/>
      </c>
      <c r="X404" s="67" t="str">
        <f>IF(AND(A404="",E404=""),"",IF(V404="Oui","Annulé",IF(AND(N(H404)&gt;0,N(T404)&gt;=N(H404)),"Reçu",IF(N(S404)=0,"Brouillon",IF(AND(ISNUMBER(R404),R404&lt;p_today),"En retard",IF(N(T404)&gt;0,"Partiel","Envoyé"))))))</f>
        <v/>
      </c>
      <c r="Y404" s="75" t="str">
        <f>IF(X404="En retard",p_today-R404,IF(AND(X404="Reçu",ISNUMBER(R404)),MAX(0,N(U404)-R404),""))</f>
        <v/>
      </c>
      <c r="Z404" s="67" t="str">
        <f>IF(AND(A404="",E404=""),"",IF(A404="","N° de bon manquant",IF(N(B404)=0,"Date de commande manquante",IF(C404="","Fournisseur manquant",IF(ISNA(MATCH($C404,sup_code,0)),"Fournisseur inconnu",IF(E404="","Article manquant",IF(ISNA(MATCH($E404,art_ref,0)),"Article inconnu",IF(N(H404)&lt;=0,"Quantité invalide",IF(J404="","Prix manquant",IF(OR(N(K404)&lt;0,N(K404)&gt;=1),"Remise invalide",IF(M404="","TVA manquante",IF(ISNA(MATCH(M404,p_tva,0)),"Taux de TVA inconnu",IF(COUNTIFS(po_num,A404,po_sup,"&lt;&gt;"&amp;C404)&gt;0,"Fournisseur différent sur ce bon",IF(COUNTIFS(po_num,A404,po_date,"&lt;&gt;"&amp;B404)&gt;0,"Date différente sur ce bon",IF(COUNTIF(po_num,A404)&gt;25,"Plus de 25 lignes sur ce bon",IF(R404="","Date de livraison manquante",IF(R404&lt;B404,"Livraison avant la commande",IF(AND(N(T404)&gt;0,N(S404)=0),"Date d'envoi manquante",IF(N(T404)&gt;N(H404),"Reçu plus que commandé",IF(AND(N(T404)&gt;0,N(U404)=0),"Date de réception manquante",IF(AND(N(U404)&gt;0,U404&lt;B404),"Réception avant la commande","OK")))))))))))))))))))))</f>
        <v/>
      </c>
      <c r="AA404" s="66" t="str">
        <f>IF(AND(X404="Reçu",ISNUMBER(R404)),IF(N(U404)&lt;=R404,1,0),"")</f>
        <v/>
      </c>
      <c r="AB404" s="76" t="str">
        <f>IF(OR(X404="Envoyé",X404="Partiel",X404="En retard"),IF(ISNUMBER(R404),R404,100000)+ROW()/100000,"")</f>
        <v/>
      </c>
      <c r="AC404" s="66" t="str">
        <f>IF(A404="","",IF(COUNTIF($A$6:A404,A404)=1,1,""))</f>
        <v/>
      </c>
      <c r="AD404" s="66" t="str">
        <f>IF(AC404=1,COUNT($AC$6:AC404),"")</f>
        <v/>
      </c>
      <c r="AE404" s="66" t="str">
        <f>IFERROR(INDEX(po_num,MATCH(399,po_seq,0))&amp;"","")</f>
        <v/>
      </c>
      <c r="AF404" s="66" t="str">
        <f>IF(OR(A404="",p_po=""),"",IF(A404&amp;""=p_po,COUNTIF($A$6:A404,A404),""))</f>
        <v/>
      </c>
      <c r="AG404" s="66" t="str">
        <f>IF(OR(AB404="",A404=""),"",IF(COUNTIFS($A$6:A404,A404,$AB$6:AB404,"&gt;0")=1,1,""))</f>
        <v/>
      </c>
      <c r="AH404" s="70" t="str">
        <f>IF(AB404="","",ROUND(N(W404)*N(J404)*(1-N(K404)),2))</f>
        <v/>
      </c>
      <c r="AI404" s="70" t="str">
        <f>IF(OR(J404="",N(T404)&lt;=0,V404="Oui"),"",ROUND(N(T404)*J404*(1-N(K404)),2))</f>
        <v/>
      </c>
    </row>
    <row r="405">
      <c r="A405" s="63" t="n"/>
      <c r="B405" s="64" t="n"/>
      <c r="C405" s="65" t="n"/>
      <c r="D405" s="66" t="str">
        <f>IF(C405="","",IFERROR(INDEX(sup_name,MATCH($C405,sup_code,0))&amp;"","Fournisseur inconnu"))</f>
        <v/>
      </c>
      <c r="E405" s="63" t="n"/>
      <c r="F405" s="66" t="str">
        <f>IF(E405="","",IFERROR(INDEX(art_des,MATCH($E405,art_ref,0))&amp;"","Article inconnu"))</f>
        <v/>
      </c>
      <c r="G405" s="67" t="str">
        <f>IF(E405="","",IFERROR(INDEX(art_unit,MATCH($E405,art_ref,0))&amp;"",""))</f>
        <v/>
      </c>
      <c r="H405" s="68" t="n"/>
      <c r="I405" s="69" t="n"/>
      <c r="J405" s="70" t="str">
        <f>IF(E405="","",IF(ISNUMBER(I405),I405,IFERROR(IF(ISNUMBER(INDEX(art_price,MATCH($E405,art_ref,0))),INDEX(art_price,MATCH($E405,art_ref,0)),""),"")))</f>
        <v/>
      </c>
      <c r="K405" s="71" t="n"/>
      <c r="L405" s="72" t="n"/>
      <c r="M405" s="72" t="str">
        <f>IF(E405="","",IF(L405&lt;&gt;"",L405,IFERROR(IF(ISNUMBER(INDEX(art_tva,MATCH($E405,art_ref,0))),INDEX(art_tva,MATCH($E405,art_ref,0)),""),"")))</f>
        <v/>
      </c>
      <c r="N405" s="70" t="str">
        <f>IF(OR(E405="",J405=""),"",ROUND(N(H405)*J405*(1-N(K405)),2))</f>
        <v/>
      </c>
      <c r="O405" s="70" t="str">
        <f>IF(OR(N405="",NOT(ISNUMBER(M405))),"",ROUND(N405*M405,2))</f>
        <v/>
      </c>
      <c r="P405" s="70" t="str">
        <f>IF(N405="","",N405+N(O405))</f>
        <v/>
      </c>
      <c r="Q405" s="64" t="n"/>
      <c r="R405" s="73" t="str">
        <f>IF(N(Q405)&gt;0,Q405,IF(OR(N(B405)=0,ISNA(MATCH($C405,sup_code,0))),"",IF(ISNUMBER(INDEX(sup_delay,MATCH($C405,sup_code,0))),B405+INDEX(sup_delay,MATCH($C405,sup_code,0)),"")))</f>
        <v/>
      </c>
      <c r="S405" s="64" t="n"/>
      <c r="T405" s="68" t="n"/>
      <c r="U405" s="64" t="n"/>
      <c r="V405" s="65" t="n"/>
      <c r="W405" s="74" t="str">
        <f>IF(AND(A405="",E405=""),"",IF(V405="Oui",0,MAX(0,ROUND(N(H405)-N(T405),6))))</f>
        <v/>
      </c>
      <c r="X405" s="67" t="str">
        <f>IF(AND(A405="",E405=""),"",IF(V405="Oui","Annulé",IF(AND(N(H405)&gt;0,N(T405)&gt;=N(H405)),"Reçu",IF(N(S405)=0,"Brouillon",IF(AND(ISNUMBER(R405),R405&lt;p_today),"En retard",IF(N(T405)&gt;0,"Partiel","Envoyé"))))))</f>
        <v/>
      </c>
      <c r="Y405" s="75" t="str">
        <f>IF(X405="En retard",p_today-R405,IF(AND(X405="Reçu",ISNUMBER(R405)),MAX(0,N(U405)-R405),""))</f>
        <v/>
      </c>
      <c r="Z405" s="67" t="str">
        <f>IF(AND(A405="",E405=""),"",IF(A405="","N° de bon manquant",IF(N(B405)=0,"Date de commande manquante",IF(C405="","Fournisseur manquant",IF(ISNA(MATCH($C405,sup_code,0)),"Fournisseur inconnu",IF(E405="","Article manquant",IF(ISNA(MATCH($E405,art_ref,0)),"Article inconnu",IF(N(H405)&lt;=0,"Quantité invalide",IF(J405="","Prix manquant",IF(OR(N(K405)&lt;0,N(K405)&gt;=1),"Remise invalide",IF(M405="","TVA manquante",IF(ISNA(MATCH(M405,p_tva,0)),"Taux de TVA inconnu",IF(COUNTIFS(po_num,A405,po_sup,"&lt;&gt;"&amp;C405)&gt;0,"Fournisseur différent sur ce bon",IF(COUNTIFS(po_num,A405,po_date,"&lt;&gt;"&amp;B405)&gt;0,"Date différente sur ce bon",IF(COUNTIF(po_num,A405)&gt;25,"Plus de 25 lignes sur ce bon",IF(R405="","Date de livraison manquante",IF(R405&lt;B405,"Livraison avant la commande",IF(AND(N(T405)&gt;0,N(S405)=0),"Date d'envoi manquante",IF(N(T405)&gt;N(H405),"Reçu plus que commandé",IF(AND(N(T405)&gt;0,N(U405)=0),"Date de réception manquante",IF(AND(N(U405)&gt;0,U405&lt;B405),"Réception avant la commande","OK")))))))))))))))))))))</f>
        <v/>
      </c>
      <c r="AA405" s="66" t="str">
        <f>IF(AND(X405="Reçu",ISNUMBER(R405)),IF(N(U405)&lt;=R405,1,0),"")</f>
        <v/>
      </c>
      <c r="AB405" s="76" t="str">
        <f>IF(OR(X405="Envoyé",X405="Partiel",X405="En retard"),IF(ISNUMBER(R405),R405,100000)+ROW()/100000,"")</f>
        <v/>
      </c>
      <c r="AC405" s="66" t="str">
        <f>IF(A405="","",IF(COUNTIF($A$6:A405,A405)=1,1,""))</f>
        <v/>
      </c>
      <c r="AD405" s="66" t="str">
        <f>IF(AC405=1,COUNT($AC$6:AC405),"")</f>
        <v/>
      </c>
      <c r="AE405" s="66" t="str">
        <f>IFERROR(INDEX(po_num,MATCH(400,po_seq,0))&amp;"","")</f>
        <v/>
      </c>
      <c r="AF405" s="66" t="str">
        <f>IF(OR(A405="",p_po=""),"",IF(A405&amp;""=p_po,COUNTIF($A$6:A405,A405),""))</f>
        <v/>
      </c>
      <c r="AG405" s="66" t="str">
        <f>IF(OR(AB405="",A405=""),"",IF(COUNTIFS($A$6:A405,A405,$AB$6:AB405,"&gt;0")=1,1,""))</f>
        <v/>
      </c>
      <c r="AH405" s="70" t="str">
        <f>IF(AB405="","",ROUND(N(W405)*N(J405)*(1-N(K405)),2))</f>
        <v/>
      </c>
      <c r="AI405" s="70" t="str">
        <f>IF(OR(J405="",N(T405)&lt;=0,V405="Oui"),"",ROUND(N(T405)*J405*(1-N(K405)),2))</f>
        <v/>
      </c>
    </row>
    <row r="406">
      <c r="A406" s="63" t="n"/>
      <c r="B406" s="64" t="n"/>
      <c r="C406" s="65" t="n"/>
      <c r="D406" s="66" t="str">
        <f>IF(C406="","",IFERROR(INDEX(sup_name,MATCH($C406,sup_code,0))&amp;"","Fournisseur inconnu"))</f>
        <v/>
      </c>
      <c r="E406" s="63" t="n"/>
      <c r="F406" s="66" t="str">
        <f>IF(E406="","",IFERROR(INDEX(art_des,MATCH($E406,art_ref,0))&amp;"","Article inconnu"))</f>
        <v/>
      </c>
      <c r="G406" s="67" t="str">
        <f>IF(E406="","",IFERROR(INDEX(art_unit,MATCH($E406,art_ref,0))&amp;"",""))</f>
        <v/>
      </c>
      <c r="H406" s="68" t="n"/>
      <c r="I406" s="69" t="n"/>
      <c r="J406" s="70" t="str">
        <f>IF(E406="","",IF(ISNUMBER(I406),I406,IFERROR(IF(ISNUMBER(INDEX(art_price,MATCH($E406,art_ref,0))),INDEX(art_price,MATCH($E406,art_ref,0)),""),"")))</f>
        <v/>
      </c>
      <c r="K406" s="71" t="n"/>
      <c r="L406" s="72" t="n"/>
      <c r="M406" s="72" t="str">
        <f>IF(E406="","",IF(L406&lt;&gt;"",L406,IFERROR(IF(ISNUMBER(INDEX(art_tva,MATCH($E406,art_ref,0))),INDEX(art_tva,MATCH($E406,art_ref,0)),""),"")))</f>
        <v/>
      </c>
      <c r="N406" s="70" t="str">
        <f>IF(OR(E406="",J406=""),"",ROUND(N(H406)*J406*(1-N(K406)),2))</f>
        <v/>
      </c>
      <c r="O406" s="70" t="str">
        <f>IF(OR(N406="",NOT(ISNUMBER(M406))),"",ROUND(N406*M406,2))</f>
        <v/>
      </c>
      <c r="P406" s="70" t="str">
        <f>IF(N406="","",N406+N(O406))</f>
        <v/>
      </c>
      <c r="Q406" s="64" t="n"/>
      <c r="R406" s="73" t="str">
        <f>IF(N(Q406)&gt;0,Q406,IF(OR(N(B406)=0,ISNA(MATCH($C406,sup_code,0))),"",IF(ISNUMBER(INDEX(sup_delay,MATCH($C406,sup_code,0))),B406+INDEX(sup_delay,MATCH($C406,sup_code,0)),"")))</f>
        <v/>
      </c>
      <c r="S406" s="64" t="n"/>
      <c r="T406" s="68" t="n"/>
      <c r="U406" s="64" t="n"/>
      <c r="V406" s="65" t="n"/>
      <c r="W406" s="74" t="str">
        <f>IF(AND(A406="",E406=""),"",IF(V406="Oui",0,MAX(0,ROUND(N(H406)-N(T406),6))))</f>
        <v/>
      </c>
      <c r="X406" s="67" t="str">
        <f>IF(AND(A406="",E406=""),"",IF(V406="Oui","Annulé",IF(AND(N(H406)&gt;0,N(T406)&gt;=N(H406)),"Reçu",IF(N(S406)=0,"Brouillon",IF(AND(ISNUMBER(R406),R406&lt;p_today),"En retard",IF(N(T406)&gt;0,"Partiel","Envoyé"))))))</f>
        <v/>
      </c>
      <c r="Y406" s="75" t="str">
        <f>IF(X406="En retard",p_today-R406,IF(AND(X406="Reçu",ISNUMBER(R406)),MAX(0,N(U406)-R406),""))</f>
        <v/>
      </c>
      <c r="Z406" s="67" t="str">
        <f>IF(AND(A406="",E406=""),"",IF(A406="","N° de bon manquant",IF(N(B406)=0,"Date de commande manquante",IF(C406="","Fournisseur manquant",IF(ISNA(MATCH($C406,sup_code,0)),"Fournisseur inconnu",IF(E406="","Article manquant",IF(ISNA(MATCH($E406,art_ref,0)),"Article inconnu",IF(N(H406)&lt;=0,"Quantité invalide",IF(J406="","Prix manquant",IF(OR(N(K406)&lt;0,N(K406)&gt;=1),"Remise invalide",IF(M406="","TVA manquante",IF(ISNA(MATCH(M406,p_tva,0)),"Taux de TVA inconnu",IF(COUNTIFS(po_num,A406,po_sup,"&lt;&gt;"&amp;C406)&gt;0,"Fournisseur différent sur ce bon",IF(COUNTIFS(po_num,A406,po_date,"&lt;&gt;"&amp;B406)&gt;0,"Date différente sur ce bon",IF(COUNTIF(po_num,A406)&gt;25,"Plus de 25 lignes sur ce bon",IF(R406="","Date de livraison manquante",IF(R406&lt;B406,"Livraison avant la commande",IF(AND(N(T406)&gt;0,N(S406)=0),"Date d'envoi manquante",IF(N(T406)&gt;N(H406),"Reçu plus que commandé",IF(AND(N(T406)&gt;0,N(U406)=0),"Date de réception manquante",IF(AND(N(U406)&gt;0,U406&lt;B406),"Réception avant la commande","OK")))))))))))))))))))))</f>
        <v/>
      </c>
      <c r="AA406" s="66" t="str">
        <f>IF(AND(X406="Reçu",ISNUMBER(R406)),IF(N(U406)&lt;=R406,1,0),"")</f>
        <v/>
      </c>
      <c r="AB406" s="76" t="str">
        <f>IF(OR(X406="Envoyé",X406="Partiel",X406="En retard"),IF(ISNUMBER(R406),R406,100000)+ROW()/100000,"")</f>
        <v/>
      </c>
      <c r="AC406" s="66" t="str">
        <f>IF(A406="","",IF(COUNTIF($A$6:A406,A406)=1,1,""))</f>
        <v/>
      </c>
      <c r="AD406" s="66" t="str">
        <f>IF(AC406=1,COUNT($AC$6:AC406),"")</f>
        <v/>
      </c>
      <c r="AE406" s="66" t="str">
        <f>IFERROR(INDEX(po_num,MATCH(401,po_seq,0))&amp;"","")</f>
        <v/>
      </c>
      <c r="AF406" s="66" t="str">
        <f>IF(OR(A406="",p_po=""),"",IF(A406&amp;""=p_po,COUNTIF($A$6:A406,A406),""))</f>
        <v/>
      </c>
      <c r="AG406" s="66" t="str">
        <f>IF(OR(AB406="",A406=""),"",IF(COUNTIFS($A$6:A406,A406,$AB$6:AB406,"&gt;0")=1,1,""))</f>
        <v/>
      </c>
      <c r="AH406" s="70" t="str">
        <f>IF(AB406="","",ROUND(N(W406)*N(J406)*(1-N(K406)),2))</f>
        <v/>
      </c>
      <c r="AI406" s="70" t="str">
        <f>IF(OR(J406="",N(T406)&lt;=0,V406="Oui"),"",ROUND(N(T406)*J406*(1-N(K406)),2))</f>
        <v/>
      </c>
    </row>
    <row r="407">
      <c r="A407" s="63" t="n"/>
      <c r="B407" s="64" t="n"/>
      <c r="C407" s="65" t="n"/>
      <c r="D407" s="66" t="str">
        <f>IF(C407="","",IFERROR(INDEX(sup_name,MATCH($C407,sup_code,0))&amp;"","Fournisseur inconnu"))</f>
        <v/>
      </c>
      <c r="E407" s="63" t="n"/>
      <c r="F407" s="66" t="str">
        <f>IF(E407="","",IFERROR(INDEX(art_des,MATCH($E407,art_ref,0))&amp;"","Article inconnu"))</f>
        <v/>
      </c>
      <c r="G407" s="67" t="str">
        <f>IF(E407="","",IFERROR(INDEX(art_unit,MATCH($E407,art_ref,0))&amp;"",""))</f>
        <v/>
      </c>
      <c r="H407" s="68" t="n"/>
      <c r="I407" s="69" t="n"/>
      <c r="J407" s="70" t="str">
        <f>IF(E407="","",IF(ISNUMBER(I407),I407,IFERROR(IF(ISNUMBER(INDEX(art_price,MATCH($E407,art_ref,0))),INDEX(art_price,MATCH($E407,art_ref,0)),""),"")))</f>
        <v/>
      </c>
      <c r="K407" s="71" t="n"/>
      <c r="L407" s="72" t="n"/>
      <c r="M407" s="72" t="str">
        <f>IF(E407="","",IF(L407&lt;&gt;"",L407,IFERROR(IF(ISNUMBER(INDEX(art_tva,MATCH($E407,art_ref,0))),INDEX(art_tva,MATCH($E407,art_ref,0)),""),"")))</f>
        <v/>
      </c>
      <c r="N407" s="70" t="str">
        <f>IF(OR(E407="",J407=""),"",ROUND(N(H407)*J407*(1-N(K407)),2))</f>
        <v/>
      </c>
      <c r="O407" s="70" t="str">
        <f>IF(OR(N407="",NOT(ISNUMBER(M407))),"",ROUND(N407*M407,2))</f>
        <v/>
      </c>
      <c r="P407" s="70" t="str">
        <f>IF(N407="","",N407+N(O407))</f>
        <v/>
      </c>
      <c r="Q407" s="64" t="n"/>
      <c r="R407" s="73" t="str">
        <f>IF(N(Q407)&gt;0,Q407,IF(OR(N(B407)=0,ISNA(MATCH($C407,sup_code,0))),"",IF(ISNUMBER(INDEX(sup_delay,MATCH($C407,sup_code,0))),B407+INDEX(sup_delay,MATCH($C407,sup_code,0)),"")))</f>
        <v/>
      </c>
      <c r="S407" s="64" t="n"/>
      <c r="T407" s="68" t="n"/>
      <c r="U407" s="64" t="n"/>
      <c r="V407" s="65" t="n"/>
      <c r="W407" s="74" t="str">
        <f>IF(AND(A407="",E407=""),"",IF(V407="Oui",0,MAX(0,ROUND(N(H407)-N(T407),6))))</f>
        <v/>
      </c>
      <c r="X407" s="67" t="str">
        <f>IF(AND(A407="",E407=""),"",IF(V407="Oui","Annulé",IF(AND(N(H407)&gt;0,N(T407)&gt;=N(H407)),"Reçu",IF(N(S407)=0,"Brouillon",IF(AND(ISNUMBER(R407),R407&lt;p_today),"En retard",IF(N(T407)&gt;0,"Partiel","Envoyé"))))))</f>
        <v/>
      </c>
      <c r="Y407" s="75" t="str">
        <f>IF(X407="En retard",p_today-R407,IF(AND(X407="Reçu",ISNUMBER(R407)),MAX(0,N(U407)-R407),""))</f>
        <v/>
      </c>
      <c r="Z407" s="67" t="str">
        <f>IF(AND(A407="",E407=""),"",IF(A407="","N° de bon manquant",IF(N(B407)=0,"Date de commande manquante",IF(C407="","Fournisseur manquant",IF(ISNA(MATCH($C407,sup_code,0)),"Fournisseur inconnu",IF(E407="","Article manquant",IF(ISNA(MATCH($E407,art_ref,0)),"Article inconnu",IF(N(H407)&lt;=0,"Quantité invalide",IF(J407="","Prix manquant",IF(OR(N(K407)&lt;0,N(K407)&gt;=1),"Remise invalide",IF(M407="","TVA manquante",IF(ISNA(MATCH(M407,p_tva,0)),"Taux de TVA inconnu",IF(COUNTIFS(po_num,A407,po_sup,"&lt;&gt;"&amp;C407)&gt;0,"Fournisseur différent sur ce bon",IF(COUNTIFS(po_num,A407,po_date,"&lt;&gt;"&amp;B407)&gt;0,"Date différente sur ce bon",IF(COUNTIF(po_num,A407)&gt;25,"Plus de 25 lignes sur ce bon",IF(R407="","Date de livraison manquante",IF(R407&lt;B407,"Livraison avant la commande",IF(AND(N(T407)&gt;0,N(S407)=0),"Date d'envoi manquante",IF(N(T407)&gt;N(H407),"Reçu plus que commandé",IF(AND(N(T407)&gt;0,N(U407)=0),"Date de réception manquante",IF(AND(N(U407)&gt;0,U407&lt;B407),"Réception avant la commande","OK")))))))))))))))))))))</f>
        <v/>
      </c>
      <c r="AA407" s="66" t="str">
        <f>IF(AND(X407="Reçu",ISNUMBER(R407)),IF(N(U407)&lt;=R407,1,0),"")</f>
        <v/>
      </c>
      <c r="AB407" s="76" t="str">
        <f>IF(OR(X407="Envoyé",X407="Partiel",X407="En retard"),IF(ISNUMBER(R407),R407,100000)+ROW()/100000,"")</f>
        <v/>
      </c>
      <c r="AC407" s="66" t="str">
        <f>IF(A407="","",IF(COUNTIF($A$6:A407,A407)=1,1,""))</f>
        <v/>
      </c>
      <c r="AD407" s="66" t="str">
        <f>IF(AC407=1,COUNT($AC$6:AC407),"")</f>
        <v/>
      </c>
      <c r="AE407" s="66" t="str">
        <f>IFERROR(INDEX(po_num,MATCH(402,po_seq,0))&amp;"","")</f>
        <v/>
      </c>
      <c r="AF407" s="66" t="str">
        <f>IF(OR(A407="",p_po=""),"",IF(A407&amp;""=p_po,COUNTIF($A$6:A407,A407),""))</f>
        <v/>
      </c>
      <c r="AG407" s="66" t="str">
        <f>IF(OR(AB407="",A407=""),"",IF(COUNTIFS($A$6:A407,A407,$AB$6:AB407,"&gt;0")=1,1,""))</f>
        <v/>
      </c>
      <c r="AH407" s="70" t="str">
        <f>IF(AB407="","",ROUND(N(W407)*N(J407)*(1-N(K407)),2))</f>
        <v/>
      </c>
      <c r="AI407" s="70" t="str">
        <f>IF(OR(J407="",N(T407)&lt;=0,V407="Oui"),"",ROUND(N(T407)*J407*(1-N(K407)),2))</f>
        <v/>
      </c>
    </row>
    <row r="408">
      <c r="A408" s="63" t="n"/>
      <c r="B408" s="64" t="n"/>
      <c r="C408" s="65" t="n"/>
      <c r="D408" s="66" t="str">
        <f>IF(C408="","",IFERROR(INDEX(sup_name,MATCH($C408,sup_code,0))&amp;"","Fournisseur inconnu"))</f>
        <v/>
      </c>
      <c r="E408" s="63" t="n"/>
      <c r="F408" s="66" t="str">
        <f>IF(E408="","",IFERROR(INDEX(art_des,MATCH($E408,art_ref,0))&amp;"","Article inconnu"))</f>
        <v/>
      </c>
      <c r="G408" s="67" t="str">
        <f>IF(E408="","",IFERROR(INDEX(art_unit,MATCH($E408,art_ref,0))&amp;"",""))</f>
        <v/>
      </c>
      <c r="H408" s="68" t="n"/>
      <c r="I408" s="69" t="n"/>
      <c r="J408" s="70" t="str">
        <f>IF(E408="","",IF(ISNUMBER(I408),I408,IFERROR(IF(ISNUMBER(INDEX(art_price,MATCH($E408,art_ref,0))),INDEX(art_price,MATCH($E408,art_ref,0)),""),"")))</f>
        <v/>
      </c>
      <c r="K408" s="71" t="n"/>
      <c r="L408" s="72" t="n"/>
      <c r="M408" s="72" t="str">
        <f>IF(E408="","",IF(L408&lt;&gt;"",L408,IFERROR(IF(ISNUMBER(INDEX(art_tva,MATCH($E408,art_ref,0))),INDEX(art_tva,MATCH($E408,art_ref,0)),""),"")))</f>
        <v/>
      </c>
      <c r="N408" s="70" t="str">
        <f>IF(OR(E408="",J408=""),"",ROUND(N(H408)*J408*(1-N(K408)),2))</f>
        <v/>
      </c>
      <c r="O408" s="70" t="str">
        <f>IF(OR(N408="",NOT(ISNUMBER(M408))),"",ROUND(N408*M408,2))</f>
        <v/>
      </c>
      <c r="P408" s="70" t="str">
        <f>IF(N408="","",N408+N(O408))</f>
        <v/>
      </c>
      <c r="Q408" s="64" t="n"/>
      <c r="R408" s="73" t="str">
        <f>IF(N(Q408)&gt;0,Q408,IF(OR(N(B408)=0,ISNA(MATCH($C408,sup_code,0))),"",IF(ISNUMBER(INDEX(sup_delay,MATCH($C408,sup_code,0))),B408+INDEX(sup_delay,MATCH($C408,sup_code,0)),"")))</f>
        <v/>
      </c>
      <c r="S408" s="64" t="n"/>
      <c r="T408" s="68" t="n"/>
      <c r="U408" s="64" t="n"/>
      <c r="V408" s="65" t="n"/>
      <c r="W408" s="74" t="str">
        <f>IF(AND(A408="",E408=""),"",IF(V408="Oui",0,MAX(0,ROUND(N(H408)-N(T408),6))))</f>
        <v/>
      </c>
      <c r="X408" s="67" t="str">
        <f>IF(AND(A408="",E408=""),"",IF(V408="Oui","Annulé",IF(AND(N(H408)&gt;0,N(T408)&gt;=N(H408)),"Reçu",IF(N(S408)=0,"Brouillon",IF(AND(ISNUMBER(R408),R408&lt;p_today),"En retard",IF(N(T408)&gt;0,"Partiel","Envoyé"))))))</f>
        <v/>
      </c>
      <c r="Y408" s="75" t="str">
        <f>IF(X408="En retard",p_today-R408,IF(AND(X408="Reçu",ISNUMBER(R408)),MAX(0,N(U408)-R408),""))</f>
        <v/>
      </c>
      <c r="Z408" s="67" t="str">
        <f>IF(AND(A408="",E408=""),"",IF(A408="","N° de bon manquant",IF(N(B408)=0,"Date de commande manquante",IF(C408="","Fournisseur manquant",IF(ISNA(MATCH($C408,sup_code,0)),"Fournisseur inconnu",IF(E408="","Article manquant",IF(ISNA(MATCH($E408,art_ref,0)),"Article inconnu",IF(N(H408)&lt;=0,"Quantité invalide",IF(J408="","Prix manquant",IF(OR(N(K408)&lt;0,N(K408)&gt;=1),"Remise invalide",IF(M408="","TVA manquante",IF(ISNA(MATCH(M408,p_tva,0)),"Taux de TVA inconnu",IF(COUNTIFS(po_num,A408,po_sup,"&lt;&gt;"&amp;C408)&gt;0,"Fournisseur différent sur ce bon",IF(COUNTIFS(po_num,A408,po_date,"&lt;&gt;"&amp;B408)&gt;0,"Date différente sur ce bon",IF(COUNTIF(po_num,A408)&gt;25,"Plus de 25 lignes sur ce bon",IF(R408="","Date de livraison manquante",IF(R408&lt;B408,"Livraison avant la commande",IF(AND(N(T408)&gt;0,N(S408)=0),"Date d'envoi manquante",IF(N(T408)&gt;N(H408),"Reçu plus que commandé",IF(AND(N(T408)&gt;0,N(U408)=0),"Date de réception manquante",IF(AND(N(U408)&gt;0,U408&lt;B408),"Réception avant la commande","OK")))))))))))))))))))))</f>
        <v/>
      </c>
      <c r="AA408" s="66" t="str">
        <f>IF(AND(X408="Reçu",ISNUMBER(R408)),IF(N(U408)&lt;=R408,1,0),"")</f>
        <v/>
      </c>
      <c r="AB408" s="76" t="str">
        <f>IF(OR(X408="Envoyé",X408="Partiel",X408="En retard"),IF(ISNUMBER(R408),R408,100000)+ROW()/100000,"")</f>
        <v/>
      </c>
      <c r="AC408" s="66" t="str">
        <f>IF(A408="","",IF(COUNTIF($A$6:A408,A408)=1,1,""))</f>
        <v/>
      </c>
      <c r="AD408" s="66" t="str">
        <f>IF(AC408=1,COUNT($AC$6:AC408),"")</f>
        <v/>
      </c>
      <c r="AE408" s="66" t="str">
        <f>IFERROR(INDEX(po_num,MATCH(403,po_seq,0))&amp;"","")</f>
        <v/>
      </c>
      <c r="AF408" s="66" t="str">
        <f>IF(OR(A408="",p_po=""),"",IF(A408&amp;""=p_po,COUNTIF($A$6:A408,A408),""))</f>
        <v/>
      </c>
      <c r="AG408" s="66" t="str">
        <f>IF(OR(AB408="",A408=""),"",IF(COUNTIFS($A$6:A408,A408,$AB$6:AB408,"&gt;0")=1,1,""))</f>
        <v/>
      </c>
      <c r="AH408" s="70" t="str">
        <f>IF(AB408="","",ROUND(N(W408)*N(J408)*(1-N(K408)),2))</f>
        <v/>
      </c>
      <c r="AI408" s="70" t="str">
        <f>IF(OR(J408="",N(T408)&lt;=0,V408="Oui"),"",ROUND(N(T408)*J408*(1-N(K408)),2))</f>
        <v/>
      </c>
    </row>
    <row r="409">
      <c r="A409" s="63" t="n"/>
      <c r="B409" s="64" t="n"/>
      <c r="C409" s="65" t="n"/>
      <c r="D409" s="66" t="str">
        <f>IF(C409="","",IFERROR(INDEX(sup_name,MATCH($C409,sup_code,0))&amp;"","Fournisseur inconnu"))</f>
        <v/>
      </c>
      <c r="E409" s="63" t="n"/>
      <c r="F409" s="66" t="str">
        <f>IF(E409="","",IFERROR(INDEX(art_des,MATCH($E409,art_ref,0))&amp;"","Article inconnu"))</f>
        <v/>
      </c>
      <c r="G409" s="67" t="str">
        <f>IF(E409="","",IFERROR(INDEX(art_unit,MATCH($E409,art_ref,0))&amp;"",""))</f>
        <v/>
      </c>
      <c r="H409" s="68" t="n"/>
      <c r="I409" s="69" t="n"/>
      <c r="J409" s="70" t="str">
        <f>IF(E409="","",IF(ISNUMBER(I409),I409,IFERROR(IF(ISNUMBER(INDEX(art_price,MATCH($E409,art_ref,0))),INDEX(art_price,MATCH($E409,art_ref,0)),""),"")))</f>
        <v/>
      </c>
      <c r="K409" s="71" t="n"/>
      <c r="L409" s="72" t="n"/>
      <c r="M409" s="72" t="str">
        <f>IF(E409="","",IF(L409&lt;&gt;"",L409,IFERROR(IF(ISNUMBER(INDEX(art_tva,MATCH($E409,art_ref,0))),INDEX(art_tva,MATCH($E409,art_ref,0)),""),"")))</f>
        <v/>
      </c>
      <c r="N409" s="70" t="str">
        <f>IF(OR(E409="",J409=""),"",ROUND(N(H409)*J409*(1-N(K409)),2))</f>
        <v/>
      </c>
      <c r="O409" s="70" t="str">
        <f>IF(OR(N409="",NOT(ISNUMBER(M409))),"",ROUND(N409*M409,2))</f>
        <v/>
      </c>
      <c r="P409" s="70" t="str">
        <f>IF(N409="","",N409+N(O409))</f>
        <v/>
      </c>
      <c r="Q409" s="64" t="n"/>
      <c r="R409" s="73" t="str">
        <f>IF(N(Q409)&gt;0,Q409,IF(OR(N(B409)=0,ISNA(MATCH($C409,sup_code,0))),"",IF(ISNUMBER(INDEX(sup_delay,MATCH($C409,sup_code,0))),B409+INDEX(sup_delay,MATCH($C409,sup_code,0)),"")))</f>
        <v/>
      </c>
      <c r="S409" s="64" t="n"/>
      <c r="T409" s="68" t="n"/>
      <c r="U409" s="64" t="n"/>
      <c r="V409" s="65" t="n"/>
      <c r="W409" s="74" t="str">
        <f>IF(AND(A409="",E409=""),"",IF(V409="Oui",0,MAX(0,ROUND(N(H409)-N(T409),6))))</f>
        <v/>
      </c>
      <c r="X409" s="67" t="str">
        <f>IF(AND(A409="",E409=""),"",IF(V409="Oui","Annulé",IF(AND(N(H409)&gt;0,N(T409)&gt;=N(H409)),"Reçu",IF(N(S409)=0,"Brouillon",IF(AND(ISNUMBER(R409),R409&lt;p_today),"En retard",IF(N(T409)&gt;0,"Partiel","Envoyé"))))))</f>
        <v/>
      </c>
      <c r="Y409" s="75" t="str">
        <f>IF(X409="En retard",p_today-R409,IF(AND(X409="Reçu",ISNUMBER(R409)),MAX(0,N(U409)-R409),""))</f>
        <v/>
      </c>
      <c r="Z409" s="67" t="str">
        <f>IF(AND(A409="",E409=""),"",IF(A409="","N° de bon manquant",IF(N(B409)=0,"Date de commande manquante",IF(C409="","Fournisseur manquant",IF(ISNA(MATCH($C409,sup_code,0)),"Fournisseur inconnu",IF(E409="","Article manquant",IF(ISNA(MATCH($E409,art_ref,0)),"Article inconnu",IF(N(H409)&lt;=0,"Quantité invalide",IF(J409="","Prix manquant",IF(OR(N(K409)&lt;0,N(K409)&gt;=1),"Remise invalide",IF(M409="","TVA manquante",IF(ISNA(MATCH(M409,p_tva,0)),"Taux de TVA inconnu",IF(COUNTIFS(po_num,A409,po_sup,"&lt;&gt;"&amp;C409)&gt;0,"Fournisseur différent sur ce bon",IF(COUNTIFS(po_num,A409,po_date,"&lt;&gt;"&amp;B409)&gt;0,"Date différente sur ce bon",IF(COUNTIF(po_num,A409)&gt;25,"Plus de 25 lignes sur ce bon",IF(R409="","Date de livraison manquante",IF(R409&lt;B409,"Livraison avant la commande",IF(AND(N(T409)&gt;0,N(S409)=0),"Date d'envoi manquante",IF(N(T409)&gt;N(H409),"Reçu plus que commandé",IF(AND(N(T409)&gt;0,N(U409)=0),"Date de réception manquante",IF(AND(N(U409)&gt;0,U409&lt;B409),"Réception avant la commande","OK")))))))))))))))))))))</f>
        <v/>
      </c>
      <c r="AA409" s="66" t="str">
        <f>IF(AND(X409="Reçu",ISNUMBER(R409)),IF(N(U409)&lt;=R409,1,0),"")</f>
        <v/>
      </c>
      <c r="AB409" s="76" t="str">
        <f>IF(OR(X409="Envoyé",X409="Partiel",X409="En retard"),IF(ISNUMBER(R409),R409,100000)+ROW()/100000,"")</f>
        <v/>
      </c>
      <c r="AC409" s="66" t="str">
        <f>IF(A409="","",IF(COUNTIF($A$6:A409,A409)=1,1,""))</f>
        <v/>
      </c>
      <c r="AD409" s="66" t="str">
        <f>IF(AC409=1,COUNT($AC$6:AC409),"")</f>
        <v/>
      </c>
      <c r="AE409" s="66" t="str">
        <f>IFERROR(INDEX(po_num,MATCH(404,po_seq,0))&amp;"","")</f>
        <v/>
      </c>
      <c r="AF409" s="66" t="str">
        <f>IF(OR(A409="",p_po=""),"",IF(A409&amp;""=p_po,COUNTIF($A$6:A409,A409),""))</f>
        <v/>
      </c>
      <c r="AG409" s="66" t="str">
        <f>IF(OR(AB409="",A409=""),"",IF(COUNTIFS($A$6:A409,A409,$AB$6:AB409,"&gt;0")=1,1,""))</f>
        <v/>
      </c>
      <c r="AH409" s="70" t="str">
        <f>IF(AB409="","",ROUND(N(W409)*N(J409)*(1-N(K409)),2))</f>
        <v/>
      </c>
      <c r="AI409" s="70" t="str">
        <f>IF(OR(J409="",N(T409)&lt;=0,V409="Oui"),"",ROUND(N(T409)*J409*(1-N(K409)),2))</f>
        <v/>
      </c>
    </row>
    <row r="410">
      <c r="A410" s="63" t="n"/>
      <c r="B410" s="64" t="n"/>
      <c r="C410" s="65" t="n"/>
      <c r="D410" s="66" t="str">
        <f>IF(C410="","",IFERROR(INDEX(sup_name,MATCH($C410,sup_code,0))&amp;"","Fournisseur inconnu"))</f>
        <v/>
      </c>
      <c r="E410" s="63" t="n"/>
      <c r="F410" s="66" t="str">
        <f>IF(E410="","",IFERROR(INDEX(art_des,MATCH($E410,art_ref,0))&amp;"","Article inconnu"))</f>
        <v/>
      </c>
      <c r="G410" s="67" t="str">
        <f>IF(E410="","",IFERROR(INDEX(art_unit,MATCH($E410,art_ref,0))&amp;"",""))</f>
        <v/>
      </c>
      <c r="H410" s="68" t="n"/>
      <c r="I410" s="69" t="n"/>
      <c r="J410" s="70" t="str">
        <f>IF(E410="","",IF(ISNUMBER(I410),I410,IFERROR(IF(ISNUMBER(INDEX(art_price,MATCH($E410,art_ref,0))),INDEX(art_price,MATCH($E410,art_ref,0)),""),"")))</f>
        <v/>
      </c>
      <c r="K410" s="71" t="n"/>
      <c r="L410" s="72" t="n"/>
      <c r="M410" s="72" t="str">
        <f>IF(E410="","",IF(L410&lt;&gt;"",L410,IFERROR(IF(ISNUMBER(INDEX(art_tva,MATCH($E410,art_ref,0))),INDEX(art_tva,MATCH($E410,art_ref,0)),""),"")))</f>
        <v/>
      </c>
      <c r="N410" s="70" t="str">
        <f>IF(OR(E410="",J410=""),"",ROUND(N(H410)*J410*(1-N(K410)),2))</f>
        <v/>
      </c>
      <c r="O410" s="70" t="str">
        <f>IF(OR(N410="",NOT(ISNUMBER(M410))),"",ROUND(N410*M410,2))</f>
        <v/>
      </c>
      <c r="P410" s="70" t="str">
        <f>IF(N410="","",N410+N(O410))</f>
        <v/>
      </c>
      <c r="Q410" s="64" t="n"/>
      <c r="R410" s="73" t="str">
        <f>IF(N(Q410)&gt;0,Q410,IF(OR(N(B410)=0,ISNA(MATCH($C410,sup_code,0))),"",IF(ISNUMBER(INDEX(sup_delay,MATCH($C410,sup_code,0))),B410+INDEX(sup_delay,MATCH($C410,sup_code,0)),"")))</f>
        <v/>
      </c>
      <c r="S410" s="64" t="n"/>
      <c r="T410" s="68" t="n"/>
      <c r="U410" s="64" t="n"/>
      <c r="V410" s="65" t="n"/>
      <c r="W410" s="74" t="str">
        <f>IF(AND(A410="",E410=""),"",IF(V410="Oui",0,MAX(0,ROUND(N(H410)-N(T410),6))))</f>
        <v/>
      </c>
      <c r="X410" s="67" t="str">
        <f>IF(AND(A410="",E410=""),"",IF(V410="Oui","Annulé",IF(AND(N(H410)&gt;0,N(T410)&gt;=N(H410)),"Reçu",IF(N(S410)=0,"Brouillon",IF(AND(ISNUMBER(R410),R410&lt;p_today),"En retard",IF(N(T410)&gt;0,"Partiel","Envoyé"))))))</f>
        <v/>
      </c>
      <c r="Y410" s="75" t="str">
        <f>IF(X410="En retard",p_today-R410,IF(AND(X410="Reçu",ISNUMBER(R410)),MAX(0,N(U410)-R410),""))</f>
        <v/>
      </c>
      <c r="Z410" s="67" t="str">
        <f>IF(AND(A410="",E410=""),"",IF(A410="","N° de bon manquant",IF(N(B410)=0,"Date de commande manquante",IF(C410="","Fournisseur manquant",IF(ISNA(MATCH($C410,sup_code,0)),"Fournisseur inconnu",IF(E410="","Article manquant",IF(ISNA(MATCH($E410,art_ref,0)),"Article inconnu",IF(N(H410)&lt;=0,"Quantité invalide",IF(J410="","Prix manquant",IF(OR(N(K410)&lt;0,N(K410)&gt;=1),"Remise invalide",IF(M410="","TVA manquante",IF(ISNA(MATCH(M410,p_tva,0)),"Taux de TVA inconnu",IF(COUNTIFS(po_num,A410,po_sup,"&lt;&gt;"&amp;C410)&gt;0,"Fournisseur différent sur ce bon",IF(COUNTIFS(po_num,A410,po_date,"&lt;&gt;"&amp;B410)&gt;0,"Date différente sur ce bon",IF(COUNTIF(po_num,A410)&gt;25,"Plus de 25 lignes sur ce bon",IF(R410="","Date de livraison manquante",IF(R410&lt;B410,"Livraison avant la commande",IF(AND(N(T410)&gt;0,N(S410)=0),"Date d'envoi manquante",IF(N(T410)&gt;N(H410),"Reçu plus que commandé",IF(AND(N(T410)&gt;0,N(U410)=0),"Date de réception manquante",IF(AND(N(U410)&gt;0,U410&lt;B410),"Réception avant la commande","OK")))))))))))))))))))))</f>
        <v/>
      </c>
      <c r="AA410" s="66" t="str">
        <f>IF(AND(X410="Reçu",ISNUMBER(R410)),IF(N(U410)&lt;=R410,1,0),"")</f>
        <v/>
      </c>
      <c r="AB410" s="76" t="str">
        <f>IF(OR(X410="Envoyé",X410="Partiel",X410="En retard"),IF(ISNUMBER(R410),R410,100000)+ROW()/100000,"")</f>
        <v/>
      </c>
      <c r="AC410" s="66" t="str">
        <f>IF(A410="","",IF(COUNTIF($A$6:A410,A410)=1,1,""))</f>
        <v/>
      </c>
      <c r="AD410" s="66" t="str">
        <f>IF(AC410=1,COUNT($AC$6:AC410),"")</f>
        <v/>
      </c>
      <c r="AE410" s="66" t="str">
        <f>IFERROR(INDEX(po_num,MATCH(405,po_seq,0))&amp;"","")</f>
        <v/>
      </c>
      <c r="AF410" s="66" t="str">
        <f>IF(OR(A410="",p_po=""),"",IF(A410&amp;""=p_po,COUNTIF($A$6:A410,A410),""))</f>
        <v/>
      </c>
      <c r="AG410" s="66" t="str">
        <f>IF(OR(AB410="",A410=""),"",IF(COUNTIFS($A$6:A410,A410,$AB$6:AB410,"&gt;0")=1,1,""))</f>
        <v/>
      </c>
      <c r="AH410" s="70" t="str">
        <f>IF(AB410="","",ROUND(N(W410)*N(J410)*(1-N(K410)),2))</f>
        <v/>
      </c>
      <c r="AI410" s="70" t="str">
        <f>IF(OR(J410="",N(T410)&lt;=0,V410="Oui"),"",ROUND(N(T410)*J410*(1-N(K410)),2))</f>
        <v/>
      </c>
    </row>
    <row r="411">
      <c r="A411" s="63" t="n"/>
      <c r="B411" s="64" t="n"/>
      <c r="C411" s="65" t="n"/>
      <c r="D411" s="66" t="str">
        <f>IF(C411="","",IFERROR(INDEX(sup_name,MATCH($C411,sup_code,0))&amp;"","Fournisseur inconnu"))</f>
        <v/>
      </c>
      <c r="E411" s="63" t="n"/>
      <c r="F411" s="66" t="str">
        <f>IF(E411="","",IFERROR(INDEX(art_des,MATCH($E411,art_ref,0))&amp;"","Article inconnu"))</f>
        <v/>
      </c>
      <c r="G411" s="67" t="str">
        <f>IF(E411="","",IFERROR(INDEX(art_unit,MATCH($E411,art_ref,0))&amp;"",""))</f>
        <v/>
      </c>
      <c r="H411" s="68" t="n"/>
      <c r="I411" s="69" t="n"/>
      <c r="J411" s="70" t="str">
        <f>IF(E411="","",IF(ISNUMBER(I411),I411,IFERROR(IF(ISNUMBER(INDEX(art_price,MATCH($E411,art_ref,0))),INDEX(art_price,MATCH($E411,art_ref,0)),""),"")))</f>
        <v/>
      </c>
      <c r="K411" s="71" t="n"/>
      <c r="L411" s="72" t="n"/>
      <c r="M411" s="72" t="str">
        <f>IF(E411="","",IF(L411&lt;&gt;"",L411,IFERROR(IF(ISNUMBER(INDEX(art_tva,MATCH($E411,art_ref,0))),INDEX(art_tva,MATCH($E411,art_ref,0)),""),"")))</f>
        <v/>
      </c>
      <c r="N411" s="70" t="str">
        <f>IF(OR(E411="",J411=""),"",ROUND(N(H411)*J411*(1-N(K411)),2))</f>
        <v/>
      </c>
      <c r="O411" s="70" t="str">
        <f>IF(OR(N411="",NOT(ISNUMBER(M411))),"",ROUND(N411*M411,2))</f>
        <v/>
      </c>
      <c r="P411" s="70" t="str">
        <f>IF(N411="","",N411+N(O411))</f>
        <v/>
      </c>
      <c r="Q411" s="64" t="n"/>
      <c r="R411" s="73" t="str">
        <f>IF(N(Q411)&gt;0,Q411,IF(OR(N(B411)=0,ISNA(MATCH($C411,sup_code,0))),"",IF(ISNUMBER(INDEX(sup_delay,MATCH($C411,sup_code,0))),B411+INDEX(sup_delay,MATCH($C411,sup_code,0)),"")))</f>
        <v/>
      </c>
      <c r="S411" s="64" t="n"/>
      <c r="T411" s="68" t="n"/>
      <c r="U411" s="64" t="n"/>
      <c r="V411" s="65" t="n"/>
      <c r="W411" s="74" t="str">
        <f>IF(AND(A411="",E411=""),"",IF(V411="Oui",0,MAX(0,ROUND(N(H411)-N(T411),6))))</f>
        <v/>
      </c>
      <c r="X411" s="67" t="str">
        <f>IF(AND(A411="",E411=""),"",IF(V411="Oui","Annulé",IF(AND(N(H411)&gt;0,N(T411)&gt;=N(H411)),"Reçu",IF(N(S411)=0,"Brouillon",IF(AND(ISNUMBER(R411),R411&lt;p_today),"En retard",IF(N(T411)&gt;0,"Partiel","Envoyé"))))))</f>
        <v/>
      </c>
      <c r="Y411" s="75" t="str">
        <f>IF(X411="En retard",p_today-R411,IF(AND(X411="Reçu",ISNUMBER(R411)),MAX(0,N(U411)-R411),""))</f>
        <v/>
      </c>
      <c r="Z411" s="67" t="str">
        <f>IF(AND(A411="",E411=""),"",IF(A411="","N° de bon manquant",IF(N(B411)=0,"Date de commande manquante",IF(C411="","Fournisseur manquant",IF(ISNA(MATCH($C411,sup_code,0)),"Fournisseur inconnu",IF(E411="","Article manquant",IF(ISNA(MATCH($E411,art_ref,0)),"Article inconnu",IF(N(H411)&lt;=0,"Quantité invalide",IF(J411="","Prix manquant",IF(OR(N(K411)&lt;0,N(K411)&gt;=1),"Remise invalide",IF(M411="","TVA manquante",IF(ISNA(MATCH(M411,p_tva,0)),"Taux de TVA inconnu",IF(COUNTIFS(po_num,A411,po_sup,"&lt;&gt;"&amp;C411)&gt;0,"Fournisseur différent sur ce bon",IF(COUNTIFS(po_num,A411,po_date,"&lt;&gt;"&amp;B411)&gt;0,"Date différente sur ce bon",IF(COUNTIF(po_num,A411)&gt;25,"Plus de 25 lignes sur ce bon",IF(R411="","Date de livraison manquante",IF(R411&lt;B411,"Livraison avant la commande",IF(AND(N(T411)&gt;0,N(S411)=0),"Date d'envoi manquante",IF(N(T411)&gt;N(H411),"Reçu plus que commandé",IF(AND(N(T411)&gt;0,N(U411)=0),"Date de réception manquante",IF(AND(N(U411)&gt;0,U411&lt;B411),"Réception avant la commande","OK")))))))))))))))))))))</f>
        <v/>
      </c>
      <c r="AA411" s="66" t="str">
        <f>IF(AND(X411="Reçu",ISNUMBER(R411)),IF(N(U411)&lt;=R411,1,0),"")</f>
        <v/>
      </c>
      <c r="AB411" s="76" t="str">
        <f>IF(OR(X411="Envoyé",X411="Partiel",X411="En retard"),IF(ISNUMBER(R411),R411,100000)+ROW()/100000,"")</f>
        <v/>
      </c>
      <c r="AC411" s="66" t="str">
        <f>IF(A411="","",IF(COUNTIF($A$6:A411,A411)=1,1,""))</f>
        <v/>
      </c>
      <c r="AD411" s="66" t="str">
        <f>IF(AC411=1,COUNT($AC$6:AC411),"")</f>
        <v/>
      </c>
      <c r="AE411" s="66" t="str">
        <f>IFERROR(INDEX(po_num,MATCH(406,po_seq,0))&amp;"","")</f>
        <v/>
      </c>
      <c r="AF411" s="66" t="str">
        <f>IF(OR(A411="",p_po=""),"",IF(A411&amp;""=p_po,COUNTIF($A$6:A411,A411),""))</f>
        <v/>
      </c>
      <c r="AG411" s="66" t="str">
        <f>IF(OR(AB411="",A411=""),"",IF(COUNTIFS($A$6:A411,A411,$AB$6:AB411,"&gt;0")=1,1,""))</f>
        <v/>
      </c>
      <c r="AH411" s="70" t="str">
        <f>IF(AB411="","",ROUND(N(W411)*N(J411)*(1-N(K411)),2))</f>
        <v/>
      </c>
      <c r="AI411" s="70" t="str">
        <f>IF(OR(J411="",N(T411)&lt;=0,V411="Oui"),"",ROUND(N(T411)*J411*(1-N(K411)),2))</f>
        <v/>
      </c>
    </row>
    <row r="412">
      <c r="A412" s="63" t="n"/>
      <c r="B412" s="64" t="n"/>
      <c r="C412" s="65" t="n"/>
      <c r="D412" s="66" t="str">
        <f>IF(C412="","",IFERROR(INDEX(sup_name,MATCH($C412,sup_code,0))&amp;"","Fournisseur inconnu"))</f>
        <v/>
      </c>
      <c r="E412" s="63" t="n"/>
      <c r="F412" s="66" t="str">
        <f>IF(E412="","",IFERROR(INDEX(art_des,MATCH($E412,art_ref,0))&amp;"","Article inconnu"))</f>
        <v/>
      </c>
      <c r="G412" s="67" t="str">
        <f>IF(E412="","",IFERROR(INDEX(art_unit,MATCH($E412,art_ref,0))&amp;"",""))</f>
        <v/>
      </c>
      <c r="H412" s="68" t="n"/>
      <c r="I412" s="69" t="n"/>
      <c r="J412" s="70" t="str">
        <f>IF(E412="","",IF(ISNUMBER(I412),I412,IFERROR(IF(ISNUMBER(INDEX(art_price,MATCH($E412,art_ref,0))),INDEX(art_price,MATCH($E412,art_ref,0)),""),"")))</f>
        <v/>
      </c>
      <c r="K412" s="71" t="n"/>
      <c r="L412" s="72" t="n"/>
      <c r="M412" s="72" t="str">
        <f>IF(E412="","",IF(L412&lt;&gt;"",L412,IFERROR(IF(ISNUMBER(INDEX(art_tva,MATCH($E412,art_ref,0))),INDEX(art_tva,MATCH($E412,art_ref,0)),""),"")))</f>
        <v/>
      </c>
      <c r="N412" s="70" t="str">
        <f>IF(OR(E412="",J412=""),"",ROUND(N(H412)*J412*(1-N(K412)),2))</f>
        <v/>
      </c>
      <c r="O412" s="70" t="str">
        <f>IF(OR(N412="",NOT(ISNUMBER(M412))),"",ROUND(N412*M412,2))</f>
        <v/>
      </c>
      <c r="P412" s="70" t="str">
        <f>IF(N412="","",N412+N(O412))</f>
        <v/>
      </c>
      <c r="Q412" s="64" t="n"/>
      <c r="R412" s="73" t="str">
        <f>IF(N(Q412)&gt;0,Q412,IF(OR(N(B412)=0,ISNA(MATCH($C412,sup_code,0))),"",IF(ISNUMBER(INDEX(sup_delay,MATCH($C412,sup_code,0))),B412+INDEX(sup_delay,MATCH($C412,sup_code,0)),"")))</f>
        <v/>
      </c>
      <c r="S412" s="64" t="n"/>
      <c r="T412" s="68" t="n"/>
      <c r="U412" s="64" t="n"/>
      <c r="V412" s="65" t="n"/>
      <c r="W412" s="74" t="str">
        <f>IF(AND(A412="",E412=""),"",IF(V412="Oui",0,MAX(0,ROUND(N(H412)-N(T412),6))))</f>
        <v/>
      </c>
      <c r="X412" s="67" t="str">
        <f>IF(AND(A412="",E412=""),"",IF(V412="Oui","Annulé",IF(AND(N(H412)&gt;0,N(T412)&gt;=N(H412)),"Reçu",IF(N(S412)=0,"Brouillon",IF(AND(ISNUMBER(R412),R412&lt;p_today),"En retard",IF(N(T412)&gt;0,"Partiel","Envoyé"))))))</f>
        <v/>
      </c>
      <c r="Y412" s="75" t="str">
        <f>IF(X412="En retard",p_today-R412,IF(AND(X412="Reçu",ISNUMBER(R412)),MAX(0,N(U412)-R412),""))</f>
        <v/>
      </c>
      <c r="Z412" s="67" t="str">
        <f>IF(AND(A412="",E412=""),"",IF(A412="","N° de bon manquant",IF(N(B412)=0,"Date de commande manquante",IF(C412="","Fournisseur manquant",IF(ISNA(MATCH($C412,sup_code,0)),"Fournisseur inconnu",IF(E412="","Article manquant",IF(ISNA(MATCH($E412,art_ref,0)),"Article inconnu",IF(N(H412)&lt;=0,"Quantité invalide",IF(J412="","Prix manquant",IF(OR(N(K412)&lt;0,N(K412)&gt;=1),"Remise invalide",IF(M412="","TVA manquante",IF(ISNA(MATCH(M412,p_tva,0)),"Taux de TVA inconnu",IF(COUNTIFS(po_num,A412,po_sup,"&lt;&gt;"&amp;C412)&gt;0,"Fournisseur différent sur ce bon",IF(COUNTIFS(po_num,A412,po_date,"&lt;&gt;"&amp;B412)&gt;0,"Date différente sur ce bon",IF(COUNTIF(po_num,A412)&gt;25,"Plus de 25 lignes sur ce bon",IF(R412="","Date de livraison manquante",IF(R412&lt;B412,"Livraison avant la commande",IF(AND(N(T412)&gt;0,N(S412)=0),"Date d'envoi manquante",IF(N(T412)&gt;N(H412),"Reçu plus que commandé",IF(AND(N(T412)&gt;0,N(U412)=0),"Date de réception manquante",IF(AND(N(U412)&gt;0,U412&lt;B412),"Réception avant la commande","OK")))))))))))))))))))))</f>
        <v/>
      </c>
      <c r="AA412" s="66" t="str">
        <f>IF(AND(X412="Reçu",ISNUMBER(R412)),IF(N(U412)&lt;=R412,1,0),"")</f>
        <v/>
      </c>
      <c r="AB412" s="76" t="str">
        <f>IF(OR(X412="Envoyé",X412="Partiel",X412="En retard"),IF(ISNUMBER(R412),R412,100000)+ROW()/100000,"")</f>
        <v/>
      </c>
      <c r="AC412" s="66" t="str">
        <f>IF(A412="","",IF(COUNTIF($A$6:A412,A412)=1,1,""))</f>
        <v/>
      </c>
      <c r="AD412" s="66" t="str">
        <f>IF(AC412=1,COUNT($AC$6:AC412),"")</f>
        <v/>
      </c>
      <c r="AE412" s="66" t="str">
        <f>IFERROR(INDEX(po_num,MATCH(407,po_seq,0))&amp;"","")</f>
        <v/>
      </c>
      <c r="AF412" s="66" t="str">
        <f>IF(OR(A412="",p_po=""),"",IF(A412&amp;""=p_po,COUNTIF($A$6:A412,A412),""))</f>
        <v/>
      </c>
      <c r="AG412" s="66" t="str">
        <f>IF(OR(AB412="",A412=""),"",IF(COUNTIFS($A$6:A412,A412,$AB$6:AB412,"&gt;0")=1,1,""))</f>
        <v/>
      </c>
      <c r="AH412" s="70" t="str">
        <f>IF(AB412="","",ROUND(N(W412)*N(J412)*(1-N(K412)),2))</f>
        <v/>
      </c>
      <c r="AI412" s="70" t="str">
        <f>IF(OR(J412="",N(T412)&lt;=0,V412="Oui"),"",ROUND(N(T412)*J412*(1-N(K412)),2))</f>
        <v/>
      </c>
    </row>
    <row r="413">
      <c r="A413" s="63" t="n"/>
      <c r="B413" s="64" t="n"/>
      <c r="C413" s="65" t="n"/>
      <c r="D413" s="66" t="str">
        <f>IF(C413="","",IFERROR(INDEX(sup_name,MATCH($C413,sup_code,0))&amp;"","Fournisseur inconnu"))</f>
        <v/>
      </c>
      <c r="E413" s="63" t="n"/>
      <c r="F413" s="66" t="str">
        <f>IF(E413="","",IFERROR(INDEX(art_des,MATCH($E413,art_ref,0))&amp;"","Article inconnu"))</f>
        <v/>
      </c>
      <c r="G413" s="67" t="str">
        <f>IF(E413="","",IFERROR(INDEX(art_unit,MATCH($E413,art_ref,0))&amp;"",""))</f>
        <v/>
      </c>
      <c r="H413" s="68" t="n"/>
      <c r="I413" s="69" t="n"/>
      <c r="J413" s="70" t="str">
        <f>IF(E413="","",IF(ISNUMBER(I413),I413,IFERROR(IF(ISNUMBER(INDEX(art_price,MATCH($E413,art_ref,0))),INDEX(art_price,MATCH($E413,art_ref,0)),""),"")))</f>
        <v/>
      </c>
      <c r="K413" s="71" t="n"/>
      <c r="L413" s="72" t="n"/>
      <c r="M413" s="72" t="str">
        <f>IF(E413="","",IF(L413&lt;&gt;"",L413,IFERROR(IF(ISNUMBER(INDEX(art_tva,MATCH($E413,art_ref,0))),INDEX(art_tva,MATCH($E413,art_ref,0)),""),"")))</f>
        <v/>
      </c>
      <c r="N413" s="70" t="str">
        <f>IF(OR(E413="",J413=""),"",ROUND(N(H413)*J413*(1-N(K413)),2))</f>
        <v/>
      </c>
      <c r="O413" s="70" t="str">
        <f>IF(OR(N413="",NOT(ISNUMBER(M413))),"",ROUND(N413*M413,2))</f>
        <v/>
      </c>
      <c r="P413" s="70" t="str">
        <f>IF(N413="","",N413+N(O413))</f>
        <v/>
      </c>
      <c r="Q413" s="64" t="n"/>
      <c r="R413" s="73" t="str">
        <f>IF(N(Q413)&gt;0,Q413,IF(OR(N(B413)=0,ISNA(MATCH($C413,sup_code,0))),"",IF(ISNUMBER(INDEX(sup_delay,MATCH($C413,sup_code,0))),B413+INDEX(sup_delay,MATCH($C413,sup_code,0)),"")))</f>
        <v/>
      </c>
      <c r="S413" s="64" t="n"/>
      <c r="T413" s="68" t="n"/>
      <c r="U413" s="64" t="n"/>
      <c r="V413" s="65" t="n"/>
      <c r="W413" s="74" t="str">
        <f>IF(AND(A413="",E413=""),"",IF(V413="Oui",0,MAX(0,ROUND(N(H413)-N(T413),6))))</f>
        <v/>
      </c>
      <c r="X413" s="67" t="str">
        <f>IF(AND(A413="",E413=""),"",IF(V413="Oui","Annulé",IF(AND(N(H413)&gt;0,N(T413)&gt;=N(H413)),"Reçu",IF(N(S413)=0,"Brouillon",IF(AND(ISNUMBER(R413),R413&lt;p_today),"En retard",IF(N(T413)&gt;0,"Partiel","Envoyé"))))))</f>
        <v/>
      </c>
      <c r="Y413" s="75" t="str">
        <f>IF(X413="En retard",p_today-R413,IF(AND(X413="Reçu",ISNUMBER(R413)),MAX(0,N(U413)-R413),""))</f>
        <v/>
      </c>
      <c r="Z413" s="67" t="str">
        <f>IF(AND(A413="",E413=""),"",IF(A413="","N° de bon manquant",IF(N(B413)=0,"Date de commande manquante",IF(C413="","Fournisseur manquant",IF(ISNA(MATCH($C413,sup_code,0)),"Fournisseur inconnu",IF(E413="","Article manquant",IF(ISNA(MATCH($E413,art_ref,0)),"Article inconnu",IF(N(H413)&lt;=0,"Quantité invalide",IF(J413="","Prix manquant",IF(OR(N(K413)&lt;0,N(K413)&gt;=1),"Remise invalide",IF(M413="","TVA manquante",IF(ISNA(MATCH(M413,p_tva,0)),"Taux de TVA inconnu",IF(COUNTIFS(po_num,A413,po_sup,"&lt;&gt;"&amp;C413)&gt;0,"Fournisseur différent sur ce bon",IF(COUNTIFS(po_num,A413,po_date,"&lt;&gt;"&amp;B413)&gt;0,"Date différente sur ce bon",IF(COUNTIF(po_num,A413)&gt;25,"Plus de 25 lignes sur ce bon",IF(R413="","Date de livraison manquante",IF(R413&lt;B413,"Livraison avant la commande",IF(AND(N(T413)&gt;0,N(S413)=0),"Date d'envoi manquante",IF(N(T413)&gt;N(H413),"Reçu plus que commandé",IF(AND(N(T413)&gt;0,N(U413)=0),"Date de réception manquante",IF(AND(N(U413)&gt;0,U413&lt;B413),"Réception avant la commande","OK")))))))))))))))))))))</f>
        <v/>
      </c>
      <c r="AA413" s="66" t="str">
        <f>IF(AND(X413="Reçu",ISNUMBER(R413)),IF(N(U413)&lt;=R413,1,0),"")</f>
        <v/>
      </c>
      <c r="AB413" s="76" t="str">
        <f>IF(OR(X413="Envoyé",X413="Partiel",X413="En retard"),IF(ISNUMBER(R413),R413,100000)+ROW()/100000,"")</f>
        <v/>
      </c>
      <c r="AC413" s="66" t="str">
        <f>IF(A413="","",IF(COUNTIF($A$6:A413,A413)=1,1,""))</f>
        <v/>
      </c>
      <c r="AD413" s="66" t="str">
        <f>IF(AC413=1,COUNT($AC$6:AC413),"")</f>
        <v/>
      </c>
      <c r="AE413" s="66" t="str">
        <f>IFERROR(INDEX(po_num,MATCH(408,po_seq,0))&amp;"","")</f>
        <v/>
      </c>
      <c r="AF413" s="66" t="str">
        <f>IF(OR(A413="",p_po=""),"",IF(A413&amp;""=p_po,COUNTIF($A$6:A413,A413),""))</f>
        <v/>
      </c>
      <c r="AG413" s="66" t="str">
        <f>IF(OR(AB413="",A413=""),"",IF(COUNTIFS($A$6:A413,A413,$AB$6:AB413,"&gt;0")=1,1,""))</f>
        <v/>
      </c>
      <c r="AH413" s="70" t="str">
        <f>IF(AB413="","",ROUND(N(W413)*N(J413)*(1-N(K413)),2))</f>
        <v/>
      </c>
      <c r="AI413" s="70" t="str">
        <f>IF(OR(J413="",N(T413)&lt;=0,V413="Oui"),"",ROUND(N(T413)*J413*(1-N(K413)),2))</f>
        <v/>
      </c>
    </row>
    <row r="414">
      <c r="A414" s="63" t="n"/>
      <c r="B414" s="64" t="n"/>
      <c r="C414" s="65" t="n"/>
      <c r="D414" s="66" t="str">
        <f>IF(C414="","",IFERROR(INDEX(sup_name,MATCH($C414,sup_code,0))&amp;"","Fournisseur inconnu"))</f>
        <v/>
      </c>
      <c r="E414" s="63" t="n"/>
      <c r="F414" s="66" t="str">
        <f>IF(E414="","",IFERROR(INDEX(art_des,MATCH($E414,art_ref,0))&amp;"","Article inconnu"))</f>
        <v/>
      </c>
      <c r="G414" s="67" t="str">
        <f>IF(E414="","",IFERROR(INDEX(art_unit,MATCH($E414,art_ref,0))&amp;"",""))</f>
        <v/>
      </c>
      <c r="H414" s="68" t="n"/>
      <c r="I414" s="69" t="n"/>
      <c r="J414" s="70" t="str">
        <f>IF(E414="","",IF(ISNUMBER(I414),I414,IFERROR(IF(ISNUMBER(INDEX(art_price,MATCH($E414,art_ref,0))),INDEX(art_price,MATCH($E414,art_ref,0)),""),"")))</f>
        <v/>
      </c>
      <c r="K414" s="71" t="n"/>
      <c r="L414" s="72" t="n"/>
      <c r="M414" s="72" t="str">
        <f>IF(E414="","",IF(L414&lt;&gt;"",L414,IFERROR(IF(ISNUMBER(INDEX(art_tva,MATCH($E414,art_ref,0))),INDEX(art_tva,MATCH($E414,art_ref,0)),""),"")))</f>
        <v/>
      </c>
      <c r="N414" s="70" t="str">
        <f>IF(OR(E414="",J414=""),"",ROUND(N(H414)*J414*(1-N(K414)),2))</f>
        <v/>
      </c>
      <c r="O414" s="70" t="str">
        <f>IF(OR(N414="",NOT(ISNUMBER(M414))),"",ROUND(N414*M414,2))</f>
        <v/>
      </c>
      <c r="P414" s="70" t="str">
        <f>IF(N414="","",N414+N(O414))</f>
        <v/>
      </c>
      <c r="Q414" s="64" t="n"/>
      <c r="R414" s="73" t="str">
        <f>IF(N(Q414)&gt;0,Q414,IF(OR(N(B414)=0,ISNA(MATCH($C414,sup_code,0))),"",IF(ISNUMBER(INDEX(sup_delay,MATCH($C414,sup_code,0))),B414+INDEX(sup_delay,MATCH($C414,sup_code,0)),"")))</f>
        <v/>
      </c>
      <c r="S414" s="64" t="n"/>
      <c r="T414" s="68" t="n"/>
      <c r="U414" s="64" t="n"/>
      <c r="V414" s="65" t="n"/>
      <c r="W414" s="74" t="str">
        <f>IF(AND(A414="",E414=""),"",IF(V414="Oui",0,MAX(0,ROUND(N(H414)-N(T414),6))))</f>
        <v/>
      </c>
      <c r="X414" s="67" t="str">
        <f>IF(AND(A414="",E414=""),"",IF(V414="Oui","Annulé",IF(AND(N(H414)&gt;0,N(T414)&gt;=N(H414)),"Reçu",IF(N(S414)=0,"Brouillon",IF(AND(ISNUMBER(R414),R414&lt;p_today),"En retard",IF(N(T414)&gt;0,"Partiel","Envoyé"))))))</f>
        <v/>
      </c>
      <c r="Y414" s="75" t="str">
        <f>IF(X414="En retard",p_today-R414,IF(AND(X414="Reçu",ISNUMBER(R414)),MAX(0,N(U414)-R414),""))</f>
        <v/>
      </c>
      <c r="Z414" s="67" t="str">
        <f>IF(AND(A414="",E414=""),"",IF(A414="","N° de bon manquant",IF(N(B414)=0,"Date de commande manquante",IF(C414="","Fournisseur manquant",IF(ISNA(MATCH($C414,sup_code,0)),"Fournisseur inconnu",IF(E414="","Article manquant",IF(ISNA(MATCH($E414,art_ref,0)),"Article inconnu",IF(N(H414)&lt;=0,"Quantité invalide",IF(J414="","Prix manquant",IF(OR(N(K414)&lt;0,N(K414)&gt;=1),"Remise invalide",IF(M414="","TVA manquante",IF(ISNA(MATCH(M414,p_tva,0)),"Taux de TVA inconnu",IF(COUNTIFS(po_num,A414,po_sup,"&lt;&gt;"&amp;C414)&gt;0,"Fournisseur différent sur ce bon",IF(COUNTIFS(po_num,A414,po_date,"&lt;&gt;"&amp;B414)&gt;0,"Date différente sur ce bon",IF(COUNTIF(po_num,A414)&gt;25,"Plus de 25 lignes sur ce bon",IF(R414="","Date de livraison manquante",IF(R414&lt;B414,"Livraison avant la commande",IF(AND(N(T414)&gt;0,N(S414)=0),"Date d'envoi manquante",IF(N(T414)&gt;N(H414),"Reçu plus que commandé",IF(AND(N(T414)&gt;0,N(U414)=0),"Date de réception manquante",IF(AND(N(U414)&gt;0,U414&lt;B414),"Réception avant la commande","OK")))))))))))))))))))))</f>
        <v/>
      </c>
      <c r="AA414" s="66" t="str">
        <f>IF(AND(X414="Reçu",ISNUMBER(R414)),IF(N(U414)&lt;=R414,1,0),"")</f>
        <v/>
      </c>
      <c r="AB414" s="76" t="str">
        <f>IF(OR(X414="Envoyé",X414="Partiel",X414="En retard"),IF(ISNUMBER(R414),R414,100000)+ROW()/100000,"")</f>
        <v/>
      </c>
      <c r="AC414" s="66" t="str">
        <f>IF(A414="","",IF(COUNTIF($A$6:A414,A414)=1,1,""))</f>
        <v/>
      </c>
      <c r="AD414" s="66" t="str">
        <f>IF(AC414=1,COUNT($AC$6:AC414),"")</f>
        <v/>
      </c>
      <c r="AE414" s="66" t="str">
        <f>IFERROR(INDEX(po_num,MATCH(409,po_seq,0))&amp;"","")</f>
        <v/>
      </c>
      <c r="AF414" s="66" t="str">
        <f>IF(OR(A414="",p_po=""),"",IF(A414&amp;""=p_po,COUNTIF($A$6:A414,A414),""))</f>
        <v/>
      </c>
      <c r="AG414" s="66" t="str">
        <f>IF(OR(AB414="",A414=""),"",IF(COUNTIFS($A$6:A414,A414,$AB$6:AB414,"&gt;0")=1,1,""))</f>
        <v/>
      </c>
      <c r="AH414" s="70" t="str">
        <f>IF(AB414="","",ROUND(N(W414)*N(J414)*(1-N(K414)),2))</f>
        <v/>
      </c>
      <c r="AI414" s="70" t="str">
        <f>IF(OR(J414="",N(T414)&lt;=0,V414="Oui"),"",ROUND(N(T414)*J414*(1-N(K414)),2))</f>
        <v/>
      </c>
    </row>
    <row r="415">
      <c r="A415" s="63" t="n"/>
      <c r="B415" s="64" t="n"/>
      <c r="C415" s="65" t="n"/>
      <c r="D415" s="66" t="str">
        <f>IF(C415="","",IFERROR(INDEX(sup_name,MATCH($C415,sup_code,0))&amp;"","Fournisseur inconnu"))</f>
        <v/>
      </c>
      <c r="E415" s="63" t="n"/>
      <c r="F415" s="66" t="str">
        <f>IF(E415="","",IFERROR(INDEX(art_des,MATCH($E415,art_ref,0))&amp;"","Article inconnu"))</f>
        <v/>
      </c>
      <c r="G415" s="67" t="str">
        <f>IF(E415="","",IFERROR(INDEX(art_unit,MATCH($E415,art_ref,0))&amp;"",""))</f>
        <v/>
      </c>
      <c r="H415" s="68" t="n"/>
      <c r="I415" s="69" t="n"/>
      <c r="J415" s="70" t="str">
        <f>IF(E415="","",IF(ISNUMBER(I415),I415,IFERROR(IF(ISNUMBER(INDEX(art_price,MATCH($E415,art_ref,0))),INDEX(art_price,MATCH($E415,art_ref,0)),""),"")))</f>
        <v/>
      </c>
      <c r="K415" s="71" t="n"/>
      <c r="L415" s="72" t="n"/>
      <c r="M415" s="72" t="str">
        <f>IF(E415="","",IF(L415&lt;&gt;"",L415,IFERROR(IF(ISNUMBER(INDEX(art_tva,MATCH($E415,art_ref,0))),INDEX(art_tva,MATCH($E415,art_ref,0)),""),"")))</f>
        <v/>
      </c>
      <c r="N415" s="70" t="str">
        <f>IF(OR(E415="",J415=""),"",ROUND(N(H415)*J415*(1-N(K415)),2))</f>
        <v/>
      </c>
      <c r="O415" s="70" t="str">
        <f>IF(OR(N415="",NOT(ISNUMBER(M415))),"",ROUND(N415*M415,2))</f>
        <v/>
      </c>
      <c r="P415" s="70" t="str">
        <f>IF(N415="","",N415+N(O415))</f>
        <v/>
      </c>
      <c r="Q415" s="64" t="n"/>
      <c r="R415" s="73" t="str">
        <f>IF(N(Q415)&gt;0,Q415,IF(OR(N(B415)=0,ISNA(MATCH($C415,sup_code,0))),"",IF(ISNUMBER(INDEX(sup_delay,MATCH($C415,sup_code,0))),B415+INDEX(sup_delay,MATCH($C415,sup_code,0)),"")))</f>
        <v/>
      </c>
      <c r="S415" s="64" t="n"/>
      <c r="T415" s="68" t="n"/>
      <c r="U415" s="64" t="n"/>
      <c r="V415" s="65" t="n"/>
      <c r="W415" s="74" t="str">
        <f>IF(AND(A415="",E415=""),"",IF(V415="Oui",0,MAX(0,ROUND(N(H415)-N(T415),6))))</f>
        <v/>
      </c>
      <c r="X415" s="67" t="str">
        <f>IF(AND(A415="",E415=""),"",IF(V415="Oui","Annulé",IF(AND(N(H415)&gt;0,N(T415)&gt;=N(H415)),"Reçu",IF(N(S415)=0,"Brouillon",IF(AND(ISNUMBER(R415),R415&lt;p_today),"En retard",IF(N(T415)&gt;0,"Partiel","Envoyé"))))))</f>
        <v/>
      </c>
      <c r="Y415" s="75" t="str">
        <f>IF(X415="En retard",p_today-R415,IF(AND(X415="Reçu",ISNUMBER(R415)),MAX(0,N(U415)-R415),""))</f>
        <v/>
      </c>
      <c r="Z415" s="67" t="str">
        <f>IF(AND(A415="",E415=""),"",IF(A415="","N° de bon manquant",IF(N(B415)=0,"Date de commande manquante",IF(C415="","Fournisseur manquant",IF(ISNA(MATCH($C415,sup_code,0)),"Fournisseur inconnu",IF(E415="","Article manquant",IF(ISNA(MATCH($E415,art_ref,0)),"Article inconnu",IF(N(H415)&lt;=0,"Quantité invalide",IF(J415="","Prix manquant",IF(OR(N(K415)&lt;0,N(K415)&gt;=1),"Remise invalide",IF(M415="","TVA manquante",IF(ISNA(MATCH(M415,p_tva,0)),"Taux de TVA inconnu",IF(COUNTIFS(po_num,A415,po_sup,"&lt;&gt;"&amp;C415)&gt;0,"Fournisseur différent sur ce bon",IF(COUNTIFS(po_num,A415,po_date,"&lt;&gt;"&amp;B415)&gt;0,"Date différente sur ce bon",IF(COUNTIF(po_num,A415)&gt;25,"Plus de 25 lignes sur ce bon",IF(R415="","Date de livraison manquante",IF(R415&lt;B415,"Livraison avant la commande",IF(AND(N(T415)&gt;0,N(S415)=0),"Date d'envoi manquante",IF(N(T415)&gt;N(H415),"Reçu plus que commandé",IF(AND(N(T415)&gt;0,N(U415)=0),"Date de réception manquante",IF(AND(N(U415)&gt;0,U415&lt;B415),"Réception avant la commande","OK")))))))))))))))))))))</f>
        <v/>
      </c>
      <c r="AA415" s="66" t="str">
        <f>IF(AND(X415="Reçu",ISNUMBER(R415)),IF(N(U415)&lt;=R415,1,0),"")</f>
        <v/>
      </c>
      <c r="AB415" s="76" t="str">
        <f>IF(OR(X415="Envoyé",X415="Partiel",X415="En retard"),IF(ISNUMBER(R415),R415,100000)+ROW()/100000,"")</f>
        <v/>
      </c>
      <c r="AC415" s="66" t="str">
        <f>IF(A415="","",IF(COUNTIF($A$6:A415,A415)=1,1,""))</f>
        <v/>
      </c>
      <c r="AD415" s="66" t="str">
        <f>IF(AC415=1,COUNT($AC$6:AC415),"")</f>
        <v/>
      </c>
      <c r="AE415" s="66" t="str">
        <f>IFERROR(INDEX(po_num,MATCH(410,po_seq,0))&amp;"","")</f>
        <v/>
      </c>
      <c r="AF415" s="66" t="str">
        <f>IF(OR(A415="",p_po=""),"",IF(A415&amp;""=p_po,COUNTIF($A$6:A415,A415),""))</f>
        <v/>
      </c>
      <c r="AG415" s="66" t="str">
        <f>IF(OR(AB415="",A415=""),"",IF(COUNTIFS($A$6:A415,A415,$AB$6:AB415,"&gt;0")=1,1,""))</f>
        <v/>
      </c>
      <c r="AH415" s="70" t="str">
        <f>IF(AB415="","",ROUND(N(W415)*N(J415)*(1-N(K415)),2))</f>
        <v/>
      </c>
      <c r="AI415" s="70" t="str">
        <f>IF(OR(J415="",N(T415)&lt;=0,V415="Oui"),"",ROUND(N(T415)*J415*(1-N(K415)),2))</f>
        <v/>
      </c>
    </row>
    <row r="416">
      <c r="A416" s="63" t="n"/>
      <c r="B416" s="64" t="n"/>
      <c r="C416" s="65" t="n"/>
      <c r="D416" s="66" t="str">
        <f>IF(C416="","",IFERROR(INDEX(sup_name,MATCH($C416,sup_code,0))&amp;"","Fournisseur inconnu"))</f>
        <v/>
      </c>
      <c r="E416" s="63" t="n"/>
      <c r="F416" s="66" t="str">
        <f>IF(E416="","",IFERROR(INDEX(art_des,MATCH($E416,art_ref,0))&amp;"","Article inconnu"))</f>
        <v/>
      </c>
      <c r="G416" s="67" t="str">
        <f>IF(E416="","",IFERROR(INDEX(art_unit,MATCH($E416,art_ref,0))&amp;"",""))</f>
        <v/>
      </c>
      <c r="H416" s="68" t="n"/>
      <c r="I416" s="69" t="n"/>
      <c r="J416" s="70" t="str">
        <f>IF(E416="","",IF(ISNUMBER(I416),I416,IFERROR(IF(ISNUMBER(INDEX(art_price,MATCH($E416,art_ref,0))),INDEX(art_price,MATCH($E416,art_ref,0)),""),"")))</f>
        <v/>
      </c>
      <c r="K416" s="71" t="n"/>
      <c r="L416" s="72" t="n"/>
      <c r="M416" s="72" t="str">
        <f>IF(E416="","",IF(L416&lt;&gt;"",L416,IFERROR(IF(ISNUMBER(INDEX(art_tva,MATCH($E416,art_ref,0))),INDEX(art_tva,MATCH($E416,art_ref,0)),""),"")))</f>
        <v/>
      </c>
      <c r="N416" s="70" t="str">
        <f>IF(OR(E416="",J416=""),"",ROUND(N(H416)*J416*(1-N(K416)),2))</f>
        <v/>
      </c>
      <c r="O416" s="70" t="str">
        <f>IF(OR(N416="",NOT(ISNUMBER(M416))),"",ROUND(N416*M416,2))</f>
        <v/>
      </c>
      <c r="P416" s="70" t="str">
        <f>IF(N416="","",N416+N(O416))</f>
        <v/>
      </c>
      <c r="Q416" s="64" t="n"/>
      <c r="R416" s="73" t="str">
        <f>IF(N(Q416)&gt;0,Q416,IF(OR(N(B416)=0,ISNA(MATCH($C416,sup_code,0))),"",IF(ISNUMBER(INDEX(sup_delay,MATCH($C416,sup_code,0))),B416+INDEX(sup_delay,MATCH($C416,sup_code,0)),"")))</f>
        <v/>
      </c>
      <c r="S416" s="64" t="n"/>
      <c r="T416" s="68" t="n"/>
      <c r="U416" s="64" t="n"/>
      <c r="V416" s="65" t="n"/>
      <c r="W416" s="74" t="str">
        <f>IF(AND(A416="",E416=""),"",IF(V416="Oui",0,MAX(0,ROUND(N(H416)-N(T416),6))))</f>
        <v/>
      </c>
      <c r="X416" s="67" t="str">
        <f>IF(AND(A416="",E416=""),"",IF(V416="Oui","Annulé",IF(AND(N(H416)&gt;0,N(T416)&gt;=N(H416)),"Reçu",IF(N(S416)=0,"Brouillon",IF(AND(ISNUMBER(R416),R416&lt;p_today),"En retard",IF(N(T416)&gt;0,"Partiel","Envoyé"))))))</f>
        <v/>
      </c>
      <c r="Y416" s="75" t="str">
        <f>IF(X416="En retard",p_today-R416,IF(AND(X416="Reçu",ISNUMBER(R416)),MAX(0,N(U416)-R416),""))</f>
        <v/>
      </c>
      <c r="Z416" s="67" t="str">
        <f>IF(AND(A416="",E416=""),"",IF(A416="","N° de bon manquant",IF(N(B416)=0,"Date de commande manquante",IF(C416="","Fournisseur manquant",IF(ISNA(MATCH($C416,sup_code,0)),"Fournisseur inconnu",IF(E416="","Article manquant",IF(ISNA(MATCH($E416,art_ref,0)),"Article inconnu",IF(N(H416)&lt;=0,"Quantité invalide",IF(J416="","Prix manquant",IF(OR(N(K416)&lt;0,N(K416)&gt;=1),"Remise invalide",IF(M416="","TVA manquante",IF(ISNA(MATCH(M416,p_tva,0)),"Taux de TVA inconnu",IF(COUNTIFS(po_num,A416,po_sup,"&lt;&gt;"&amp;C416)&gt;0,"Fournisseur différent sur ce bon",IF(COUNTIFS(po_num,A416,po_date,"&lt;&gt;"&amp;B416)&gt;0,"Date différente sur ce bon",IF(COUNTIF(po_num,A416)&gt;25,"Plus de 25 lignes sur ce bon",IF(R416="","Date de livraison manquante",IF(R416&lt;B416,"Livraison avant la commande",IF(AND(N(T416)&gt;0,N(S416)=0),"Date d'envoi manquante",IF(N(T416)&gt;N(H416),"Reçu plus que commandé",IF(AND(N(T416)&gt;0,N(U416)=0),"Date de réception manquante",IF(AND(N(U416)&gt;0,U416&lt;B416),"Réception avant la commande","OK")))))))))))))))))))))</f>
        <v/>
      </c>
      <c r="AA416" s="66" t="str">
        <f>IF(AND(X416="Reçu",ISNUMBER(R416)),IF(N(U416)&lt;=R416,1,0),"")</f>
        <v/>
      </c>
      <c r="AB416" s="76" t="str">
        <f>IF(OR(X416="Envoyé",X416="Partiel",X416="En retard"),IF(ISNUMBER(R416),R416,100000)+ROW()/100000,"")</f>
        <v/>
      </c>
      <c r="AC416" s="66" t="str">
        <f>IF(A416="","",IF(COUNTIF($A$6:A416,A416)=1,1,""))</f>
        <v/>
      </c>
      <c r="AD416" s="66" t="str">
        <f>IF(AC416=1,COUNT($AC$6:AC416),"")</f>
        <v/>
      </c>
      <c r="AE416" s="66" t="str">
        <f>IFERROR(INDEX(po_num,MATCH(411,po_seq,0))&amp;"","")</f>
        <v/>
      </c>
      <c r="AF416" s="66" t="str">
        <f>IF(OR(A416="",p_po=""),"",IF(A416&amp;""=p_po,COUNTIF($A$6:A416,A416),""))</f>
        <v/>
      </c>
      <c r="AG416" s="66" t="str">
        <f>IF(OR(AB416="",A416=""),"",IF(COUNTIFS($A$6:A416,A416,$AB$6:AB416,"&gt;0")=1,1,""))</f>
        <v/>
      </c>
      <c r="AH416" s="70" t="str">
        <f>IF(AB416="","",ROUND(N(W416)*N(J416)*(1-N(K416)),2))</f>
        <v/>
      </c>
      <c r="AI416" s="70" t="str">
        <f>IF(OR(J416="",N(T416)&lt;=0,V416="Oui"),"",ROUND(N(T416)*J416*(1-N(K416)),2))</f>
        <v/>
      </c>
    </row>
    <row r="417">
      <c r="A417" s="63" t="n"/>
      <c r="B417" s="64" t="n"/>
      <c r="C417" s="65" t="n"/>
      <c r="D417" s="66" t="str">
        <f>IF(C417="","",IFERROR(INDEX(sup_name,MATCH($C417,sup_code,0))&amp;"","Fournisseur inconnu"))</f>
        <v/>
      </c>
      <c r="E417" s="63" t="n"/>
      <c r="F417" s="66" t="str">
        <f>IF(E417="","",IFERROR(INDEX(art_des,MATCH($E417,art_ref,0))&amp;"","Article inconnu"))</f>
        <v/>
      </c>
      <c r="G417" s="67" t="str">
        <f>IF(E417="","",IFERROR(INDEX(art_unit,MATCH($E417,art_ref,0))&amp;"",""))</f>
        <v/>
      </c>
      <c r="H417" s="68" t="n"/>
      <c r="I417" s="69" t="n"/>
      <c r="J417" s="70" t="str">
        <f>IF(E417="","",IF(ISNUMBER(I417),I417,IFERROR(IF(ISNUMBER(INDEX(art_price,MATCH($E417,art_ref,0))),INDEX(art_price,MATCH($E417,art_ref,0)),""),"")))</f>
        <v/>
      </c>
      <c r="K417" s="71" t="n"/>
      <c r="L417" s="72" t="n"/>
      <c r="M417" s="72" t="str">
        <f>IF(E417="","",IF(L417&lt;&gt;"",L417,IFERROR(IF(ISNUMBER(INDEX(art_tva,MATCH($E417,art_ref,0))),INDEX(art_tva,MATCH($E417,art_ref,0)),""),"")))</f>
        <v/>
      </c>
      <c r="N417" s="70" t="str">
        <f>IF(OR(E417="",J417=""),"",ROUND(N(H417)*J417*(1-N(K417)),2))</f>
        <v/>
      </c>
      <c r="O417" s="70" t="str">
        <f>IF(OR(N417="",NOT(ISNUMBER(M417))),"",ROUND(N417*M417,2))</f>
        <v/>
      </c>
      <c r="P417" s="70" t="str">
        <f>IF(N417="","",N417+N(O417))</f>
        <v/>
      </c>
      <c r="Q417" s="64" t="n"/>
      <c r="R417" s="73" t="str">
        <f>IF(N(Q417)&gt;0,Q417,IF(OR(N(B417)=0,ISNA(MATCH($C417,sup_code,0))),"",IF(ISNUMBER(INDEX(sup_delay,MATCH($C417,sup_code,0))),B417+INDEX(sup_delay,MATCH($C417,sup_code,0)),"")))</f>
        <v/>
      </c>
      <c r="S417" s="64" t="n"/>
      <c r="T417" s="68" t="n"/>
      <c r="U417" s="64" t="n"/>
      <c r="V417" s="65" t="n"/>
      <c r="W417" s="74" t="str">
        <f>IF(AND(A417="",E417=""),"",IF(V417="Oui",0,MAX(0,ROUND(N(H417)-N(T417),6))))</f>
        <v/>
      </c>
      <c r="X417" s="67" t="str">
        <f>IF(AND(A417="",E417=""),"",IF(V417="Oui","Annulé",IF(AND(N(H417)&gt;0,N(T417)&gt;=N(H417)),"Reçu",IF(N(S417)=0,"Brouillon",IF(AND(ISNUMBER(R417),R417&lt;p_today),"En retard",IF(N(T417)&gt;0,"Partiel","Envoyé"))))))</f>
        <v/>
      </c>
      <c r="Y417" s="75" t="str">
        <f>IF(X417="En retard",p_today-R417,IF(AND(X417="Reçu",ISNUMBER(R417)),MAX(0,N(U417)-R417),""))</f>
        <v/>
      </c>
      <c r="Z417" s="67" t="str">
        <f>IF(AND(A417="",E417=""),"",IF(A417="","N° de bon manquant",IF(N(B417)=0,"Date de commande manquante",IF(C417="","Fournisseur manquant",IF(ISNA(MATCH($C417,sup_code,0)),"Fournisseur inconnu",IF(E417="","Article manquant",IF(ISNA(MATCH($E417,art_ref,0)),"Article inconnu",IF(N(H417)&lt;=0,"Quantité invalide",IF(J417="","Prix manquant",IF(OR(N(K417)&lt;0,N(K417)&gt;=1),"Remise invalide",IF(M417="","TVA manquante",IF(ISNA(MATCH(M417,p_tva,0)),"Taux de TVA inconnu",IF(COUNTIFS(po_num,A417,po_sup,"&lt;&gt;"&amp;C417)&gt;0,"Fournisseur différent sur ce bon",IF(COUNTIFS(po_num,A417,po_date,"&lt;&gt;"&amp;B417)&gt;0,"Date différente sur ce bon",IF(COUNTIF(po_num,A417)&gt;25,"Plus de 25 lignes sur ce bon",IF(R417="","Date de livraison manquante",IF(R417&lt;B417,"Livraison avant la commande",IF(AND(N(T417)&gt;0,N(S417)=0),"Date d'envoi manquante",IF(N(T417)&gt;N(H417),"Reçu plus que commandé",IF(AND(N(T417)&gt;0,N(U417)=0),"Date de réception manquante",IF(AND(N(U417)&gt;0,U417&lt;B417),"Réception avant la commande","OK")))))))))))))))))))))</f>
        <v/>
      </c>
      <c r="AA417" s="66" t="str">
        <f>IF(AND(X417="Reçu",ISNUMBER(R417)),IF(N(U417)&lt;=R417,1,0),"")</f>
        <v/>
      </c>
      <c r="AB417" s="76" t="str">
        <f>IF(OR(X417="Envoyé",X417="Partiel",X417="En retard"),IF(ISNUMBER(R417),R417,100000)+ROW()/100000,"")</f>
        <v/>
      </c>
      <c r="AC417" s="66" t="str">
        <f>IF(A417="","",IF(COUNTIF($A$6:A417,A417)=1,1,""))</f>
        <v/>
      </c>
      <c r="AD417" s="66" t="str">
        <f>IF(AC417=1,COUNT($AC$6:AC417),"")</f>
        <v/>
      </c>
      <c r="AE417" s="66" t="str">
        <f>IFERROR(INDEX(po_num,MATCH(412,po_seq,0))&amp;"","")</f>
        <v/>
      </c>
      <c r="AF417" s="66" t="str">
        <f>IF(OR(A417="",p_po=""),"",IF(A417&amp;""=p_po,COUNTIF($A$6:A417,A417),""))</f>
        <v/>
      </c>
      <c r="AG417" s="66" t="str">
        <f>IF(OR(AB417="",A417=""),"",IF(COUNTIFS($A$6:A417,A417,$AB$6:AB417,"&gt;0")=1,1,""))</f>
        <v/>
      </c>
      <c r="AH417" s="70" t="str">
        <f>IF(AB417="","",ROUND(N(W417)*N(J417)*(1-N(K417)),2))</f>
        <v/>
      </c>
      <c r="AI417" s="70" t="str">
        <f>IF(OR(J417="",N(T417)&lt;=0,V417="Oui"),"",ROUND(N(T417)*J417*(1-N(K417)),2))</f>
        <v/>
      </c>
    </row>
    <row r="418">
      <c r="A418" s="63" t="n"/>
      <c r="B418" s="64" t="n"/>
      <c r="C418" s="65" t="n"/>
      <c r="D418" s="66" t="str">
        <f>IF(C418="","",IFERROR(INDEX(sup_name,MATCH($C418,sup_code,0))&amp;"","Fournisseur inconnu"))</f>
        <v/>
      </c>
      <c r="E418" s="63" t="n"/>
      <c r="F418" s="66" t="str">
        <f>IF(E418="","",IFERROR(INDEX(art_des,MATCH($E418,art_ref,0))&amp;"","Article inconnu"))</f>
        <v/>
      </c>
      <c r="G418" s="67" t="str">
        <f>IF(E418="","",IFERROR(INDEX(art_unit,MATCH($E418,art_ref,0))&amp;"",""))</f>
        <v/>
      </c>
      <c r="H418" s="68" t="n"/>
      <c r="I418" s="69" t="n"/>
      <c r="J418" s="70" t="str">
        <f>IF(E418="","",IF(ISNUMBER(I418),I418,IFERROR(IF(ISNUMBER(INDEX(art_price,MATCH($E418,art_ref,0))),INDEX(art_price,MATCH($E418,art_ref,0)),""),"")))</f>
        <v/>
      </c>
      <c r="K418" s="71" t="n"/>
      <c r="L418" s="72" t="n"/>
      <c r="M418" s="72" t="str">
        <f>IF(E418="","",IF(L418&lt;&gt;"",L418,IFERROR(IF(ISNUMBER(INDEX(art_tva,MATCH($E418,art_ref,0))),INDEX(art_tva,MATCH($E418,art_ref,0)),""),"")))</f>
        <v/>
      </c>
      <c r="N418" s="70" t="str">
        <f>IF(OR(E418="",J418=""),"",ROUND(N(H418)*J418*(1-N(K418)),2))</f>
        <v/>
      </c>
      <c r="O418" s="70" t="str">
        <f>IF(OR(N418="",NOT(ISNUMBER(M418))),"",ROUND(N418*M418,2))</f>
        <v/>
      </c>
      <c r="P418" s="70" t="str">
        <f>IF(N418="","",N418+N(O418))</f>
        <v/>
      </c>
      <c r="Q418" s="64" t="n"/>
      <c r="R418" s="73" t="str">
        <f>IF(N(Q418)&gt;0,Q418,IF(OR(N(B418)=0,ISNA(MATCH($C418,sup_code,0))),"",IF(ISNUMBER(INDEX(sup_delay,MATCH($C418,sup_code,0))),B418+INDEX(sup_delay,MATCH($C418,sup_code,0)),"")))</f>
        <v/>
      </c>
      <c r="S418" s="64" t="n"/>
      <c r="T418" s="68" t="n"/>
      <c r="U418" s="64" t="n"/>
      <c r="V418" s="65" t="n"/>
      <c r="W418" s="74" t="str">
        <f>IF(AND(A418="",E418=""),"",IF(V418="Oui",0,MAX(0,ROUND(N(H418)-N(T418),6))))</f>
        <v/>
      </c>
      <c r="X418" s="67" t="str">
        <f>IF(AND(A418="",E418=""),"",IF(V418="Oui","Annulé",IF(AND(N(H418)&gt;0,N(T418)&gt;=N(H418)),"Reçu",IF(N(S418)=0,"Brouillon",IF(AND(ISNUMBER(R418),R418&lt;p_today),"En retard",IF(N(T418)&gt;0,"Partiel","Envoyé"))))))</f>
        <v/>
      </c>
      <c r="Y418" s="75" t="str">
        <f>IF(X418="En retard",p_today-R418,IF(AND(X418="Reçu",ISNUMBER(R418)),MAX(0,N(U418)-R418),""))</f>
        <v/>
      </c>
      <c r="Z418" s="67" t="str">
        <f>IF(AND(A418="",E418=""),"",IF(A418="","N° de bon manquant",IF(N(B418)=0,"Date de commande manquante",IF(C418="","Fournisseur manquant",IF(ISNA(MATCH($C418,sup_code,0)),"Fournisseur inconnu",IF(E418="","Article manquant",IF(ISNA(MATCH($E418,art_ref,0)),"Article inconnu",IF(N(H418)&lt;=0,"Quantité invalide",IF(J418="","Prix manquant",IF(OR(N(K418)&lt;0,N(K418)&gt;=1),"Remise invalide",IF(M418="","TVA manquante",IF(ISNA(MATCH(M418,p_tva,0)),"Taux de TVA inconnu",IF(COUNTIFS(po_num,A418,po_sup,"&lt;&gt;"&amp;C418)&gt;0,"Fournisseur différent sur ce bon",IF(COUNTIFS(po_num,A418,po_date,"&lt;&gt;"&amp;B418)&gt;0,"Date différente sur ce bon",IF(COUNTIF(po_num,A418)&gt;25,"Plus de 25 lignes sur ce bon",IF(R418="","Date de livraison manquante",IF(R418&lt;B418,"Livraison avant la commande",IF(AND(N(T418)&gt;0,N(S418)=0),"Date d'envoi manquante",IF(N(T418)&gt;N(H418),"Reçu plus que commandé",IF(AND(N(T418)&gt;0,N(U418)=0),"Date de réception manquante",IF(AND(N(U418)&gt;0,U418&lt;B418),"Réception avant la commande","OK")))))))))))))))))))))</f>
        <v/>
      </c>
      <c r="AA418" s="66" t="str">
        <f>IF(AND(X418="Reçu",ISNUMBER(R418)),IF(N(U418)&lt;=R418,1,0),"")</f>
        <v/>
      </c>
      <c r="AB418" s="76" t="str">
        <f>IF(OR(X418="Envoyé",X418="Partiel",X418="En retard"),IF(ISNUMBER(R418),R418,100000)+ROW()/100000,"")</f>
        <v/>
      </c>
      <c r="AC418" s="66" t="str">
        <f>IF(A418="","",IF(COUNTIF($A$6:A418,A418)=1,1,""))</f>
        <v/>
      </c>
      <c r="AD418" s="66" t="str">
        <f>IF(AC418=1,COUNT($AC$6:AC418),"")</f>
        <v/>
      </c>
      <c r="AE418" s="66" t="str">
        <f>IFERROR(INDEX(po_num,MATCH(413,po_seq,0))&amp;"","")</f>
        <v/>
      </c>
      <c r="AF418" s="66" t="str">
        <f>IF(OR(A418="",p_po=""),"",IF(A418&amp;""=p_po,COUNTIF($A$6:A418,A418),""))</f>
        <v/>
      </c>
      <c r="AG418" s="66" t="str">
        <f>IF(OR(AB418="",A418=""),"",IF(COUNTIFS($A$6:A418,A418,$AB$6:AB418,"&gt;0")=1,1,""))</f>
        <v/>
      </c>
      <c r="AH418" s="70" t="str">
        <f>IF(AB418="","",ROUND(N(W418)*N(J418)*(1-N(K418)),2))</f>
        <v/>
      </c>
      <c r="AI418" s="70" t="str">
        <f>IF(OR(J418="",N(T418)&lt;=0,V418="Oui"),"",ROUND(N(T418)*J418*(1-N(K418)),2))</f>
        <v/>
      </c>
    </row>
    <row r="419">
      <c r="A419" s="63" t="n"/>
      <c r="B419" s="64" t="n"/>
      <c r="C419" s="65" t="n"/>
      <c r="D419" s="66" t="str">
        <f>IF(C419="","",IFERROR(INDEX(sup_name,MATCH($C419,sup_code,0))&amp;"","Fournisseur inconnu"))</f>
        <v/>
      </c>
      <c r="E419" s="63" t="n"/>
      <c r="F419" s="66" t="str">
        <f>IF(E419="","",IFERROR(INDEX(art_des,MATCH($E419,art_ref,0))&amp;"","Article inconnu"))</f>
        <v/>
      </c>
      <c r="G419" s="67" t="str">
        <f>IF(E419="","",IFERROR(INDEX(art_unit,MATCH($E419,art_ref,0))&amp;"",""))</f>
        <v/>
      </c>
      <c r="H419" s="68" t="n"/>
      <c r="I419" s="69" t="n"/>
      <c r="J419" s="70" t="str">
        <f>IF(E419="","",IF(ISNUMBER(I419),I419,IFERROR(IF(ISNUMBER(INDEX(art_price,MATCH($E419,art_ref,0))),INDEX(art_price,MATCH($E419,art_ref,0)),""),"")))</f>
        <v/>
      </c>
      <c r="K419" s="71" t="n"/>
      <c r="L419" s="72" t="n"/>
      <c r="M419" s="72" t="str">
        <f>IF(E419="","",IF(L419&lt;&gt;"",L419,IFERROR(IF(ISNUMBER(INDEX(art_tva,MATCH($E419,art_ref,0))),INDEX(art_tva,MATCH($E419,art_ref,0)),""),"")))</f>
        <v/>
      </c>
      <c r="N419" s="70" t="str">
        <f>IF(OR(E419="",J419=""),"",ROUND(N(H419)*J419*(1-N(K419)),2))</f>
        <v/>
      </c>
      <c r="O419" s="70" t="str">
        <f>IF(OR(N419="",NOT(ISNUMBER(M419))),"",ROUND(N419*M419,2))</f>
        <v/>
      </c>
      <c r="P419" s="70" t="str">
        <f>IF(N419="","",N419+N(O419))</f>
        <v/>
      </c>
      <c r="Q419" s="64" t="n"/>
      <c r="R419" s="73" t="str">
        <f>IF(N(Q419)&gt;0,Q419,IF(OR(N(B419)=0,ISNA(MATCH($C419,sup_code,0))),"",IF(ISNUMBER(INDEX(sup_delay,MATCH($C419,sup_code,0))),B419+INDEX(sup_delay,MATCH($C419,sup_code,0)),"")))</f>
        <v/>
      </c>
      <c r="S419" s="64" t="n"/>
      <c r="T419" s="68" t="n"/>
      <c r="U419" s="64" t="n"/>
      <c r="V419" s="65" t="n"/>
      <c r="W419" s="74" t="str">
        <f>IF(AND(A419="",E419=""),"",IF(V419="Oui",0,MAX(0,ROUND(N(H419)-N(T419),6))))</f>
        <v/>
      </c>
      <c r="X419" s="67" t="str">
        <f>IF(AND(A419="",E419=""),"",IF(V419="Oui","Annulé",IF(AND(N(H419)&gt;0,N(T419)&gt;=N(H419)),"Reçu",IF(N(S419)=0,"Brouillon",IF(AND(ISNUMBER(R419),R419&lt;p_today),"En retard",IF(N(T419)&gt;0,"Partiel","Envoyé"))))))</f>
        <v/>
      </c>
      <c r="Y419" s="75" t="str">
        <f>IF(X419="En retard",p_today-R419,IF(AND(X419="Reçu",ISNUMBER(R419)),MAX(0,N(U419)-R419),""))</f>
        <v/>
      </c>
      <c r="Z419" s="67" t="str">
        <f>IF(AND(A419="",E419=""),"",IF(A419="","N° de bon manquant",IF(N(B419)=0,"Date de commande manquante",IF(C419="","Fournisseur manquant",IF(ISNA(MATCH($C419,sup_code,0)),"Fournisseur inconnu",IF(E419="","Article manquant",IF(ISNA(MATCH($E419,art_ref,0)),"Article inconnu",IF(N(H419)&lt;=0,"Quantité invalide",IF(J419="","Prix manquant",IF(OR(N(K419)&lt;0,N(K419)&gt;=1),"Remise invalide",IF(M419="","TVA manquante",IF(ISNA(MATCH(M419,p_tva,0)),"Taux de TVA inconnu",IF(COUNTIFS(po_num,A419,po_sup,"&lt;&gt;"&amp;C419)&gt;0,"Fournisseur différent sur ce bon",IF(COUNTIFS(po_num,A419,po_date,"&lt;&gt;"&amp;B419)&gt;0,"Date différente sur ce bon",IF(COUNTIF(po_num,A419)&gt;25,"Plus de 25 lignes sur ce bon",IF(R419="","Date de livraison manquante",IF(R419&lt;B419,"Livraison avant la commande",IF(AND(N(T419)&gt;0,N(S419)=0),"Date d'envoi manquante",IF(N(T419)&gt;N(H419),"Reçu plus que commandé",IF(AND(N(T419)&gt;0,N(U419)=0),"Date de réception manquante",IF(AND(N(U419)&gt;0,U419&lt;B419),"Réception avant la commande","OK")))))))))))))))))))))</f>
        <v/>
      </c>
      <c r="AA419" s="66" t="str">
        <f>IF(AND(X419="Reçu",ISNUMBER(R419)),IF(N(U419)&lt;=R419,1,0),"")</f>
        <v/>
      </c>
      <c r="AB419" s="76" t="str">
        <f>IF(OR(X419="Envoyé",X419="Partiel",X419="En retard"),IF(ISNUMBER(R419),R419,100000)+ROW()/100000,"")</f>
        <v/>
      </c>
      <c r="AC419" s="66" t="str">
        <f>IF(A419="","",IF(COUNTIF($A$6:A419,A419)=1,1,""))</f>
        <v/>
      </c>
      <c r="AD419" s="66" t="str">
        <f>IF(AC419=1,COUNT($AC$6:AC419),"")</f>
        <v/>
      </c>
      <c r="AE419" s="66" t="str">
        <f>IFERROR(INDEX(po_num,MATCH(414,po_seq,0))&amp;"","")</f>
        <v/>
      </c>
      <c r="AF419" s="66" t="str">
        <f>IF(OR(A419="",p_po=""),"",IF(A419&amp;""=p_po,COUNTIF($A$6:A419,A419),""))</f>
        <v/>
      </c>
      <c r="AG419" s="66" t="str">
        <f>IF(OR(AB419="",A419=""),"",IF(COUNTIFS($A$6:A419,A419,$AB$6:AB419,"&gt;0")=1,1,""))</f>
        <v/>
      </c>
      <c r="AH419" s="70" t="str">
        <f>IF(AB419="","",ROUND(N(W419)*N(J419)*(1-N(K419)),2))</f>
        <v/>
      </c>
      <c r="AI419" s="70" t="str">
        <f>IF(OR(J419="",N(T419)&lt;=0,V419="Oui"),"",ROUND(N(T419)*J419*(1-N(K419)),2))</f>
        <v/>
      </c>
    </row>
    <row r="420">
      <c r="A420" s="63" t="n"/>
      <c r="B420" s="64" t="n"/>
      <c r="C420" s="65" t="n"/>
      <c r="D420" s="66" t="str">
        <f>IF(C420="","",IFERROR(INDEX(sup_name,MATCH($C420,sup_code,0))&amp;"","Fournisseur inconnu"))</f>
        <v/>
      </c>
      <c r="E420" s="63" t="n"/>
      <c r="F420" s="66" t="str">
        <f>IF(E420="","",IFERROR(INDEX(art_des,MATCH($E420,art_ref,0))&amp;"","Article inconnu"))</f>
        <v/>
      </c>
      <c r="G420" s="67" t="str">
        <f>IF(E420="","",IFERROR(INDEX(art_unit,MATCH($E420,art_ref,0))&amp;"",""))</f>
        <v/>
      </c>
      <c r="H420" s="68" t="n"/>
      <c r="I420" s="69" t="n"/>
      <c r="J420" s="70" t="str">
        <f>IF(E420="","",IF(ISNUMBER(I420),I420,IFERROR(IF(ISNUMBER(INDEX(art_price,MATCH($E420,art_ref,0))),INDEX(art_price,MATCH($E420,art_ref,0)),""),"")))</f>
        <v/>
      </c>
      <c r="K420" s="71" t="n"/>
      <c r="L420" s="72" t="n"/>
      <c r="M420" s="72" t="str">
        <f>IF(E420="","",IF(L420&lt;&gt;"",L420,IFERROR(IF(ISNUMBER(INDEX(art_tva,MATCH($E420,art_ref,0))),INDEX(art_tva,MATCH($E420,art_ref,0)),""),"")))</f>
        <v/>
      </c>
      <c r="N420" s="70" t="str">
        <f>IF(OR(E420="",J420=""),"",ROUND(N(H420)*J420*(1-N(K420)),2))</f>
        <v/>
      </c>
      <c r="O420" s="70" t="str">
        <f>IF(OR(N420="",NOT(ISNUMBER(M420))),"",ROUND(N420*M420,2))</f>
        <v/>
      </c>
      <c r="P420" s="70" t="str">
        <f>IF(N420="","",N420+N(O420))</f>
        <v/>
      </c>
      <c r="Q420" s="64" t="n"/>
      <c r="R420" s="73" t="str">
        <f>IF(N(Q420)&gt;0,Q420,IF(OR(N(B420)=0,ISNA(MATCH($C420,sup_code,0))),"",IF(ISNUMBER(INDEX(sup_delay,MATCH($C420,sup_code,0))),B420+INDEX(sup_delay,MATCH($C420,sup_code,0)),"")))</f>
        <v/>
      </c>
      <c r="S420" s="64" t="n"/>
      <c r="T420" s="68" t="n"/>
      <c r="U420" s="64" t="n"/>
      <c r="V420" s="65" t="n"/>
      <c r="W420" s="74" t="str">
        <f>IF(AND(A420="",E420=""),"",IF(V420="Oui",0,MAX(0,ROUND(N(H420)-N(T420),6))))</f>
        <v/>
      </c>
      <c r="X420" s="67" t="str">
        <f>IF(AND(A420="",E420=""),"",IF(V420="Oui","Annulé",IF(AND(N(H420)&gt;0,N(T420)&gt;=N(H420)),"Reçu",IF(N(S420)=0,"Brouillon",IF(AND(ISNUMBER(R420),R420&lt;p_today),"En retard",IF(N(T420)&gt;0,"Partiel","Envoyé"))))))</f>
        <v/>
      </c>
      <c r="Y420" s="75" t="str">
        <f>IF(X420="En retard",p_today-R420,IF(AND(X420="Reçu",ISNUMBER(R420)),MAX(0,N(U420)-R420),""))</f>
        <v/>
      </c>
      <c r="Z420" s="67" t="str">
        <f>IF(AND(A420="",E420=""),"",IF(A420="","N° de bon manquant",IF(N(B420)=0,"Date de commande manquante",IF(C420="","Fournisseur manquant",IF(ISNA(MATCH($C420,sup_code,0)),"Fournisseur inconnu",IF(E420="","Article manquant",IF(ISNA(MATCH($E420,art_ref,0)),"Article inconnu",IF(N(H420)&lt;=0,"Quantité invalide",IF(J420="","Prix manquant",IF(OR(N(K420)&lt;0,N(K420)&gt;=1),"Remise invalide",IF(M420="","TVA manquante",IF(ISNA(MATCH(M420,p_tva,0)),"Taux de TVA inconnu",IF(COUNTIFS(po_num,A420,po_sup,"&lt;&gt;"&amp;C420)&gt;0,"Fournisseur différent sur ce bon",IF(COUNTIFS(po_num,A420,po_date,"&lt;&gt;"&amp;B420)&gt;0,"Date différente sur ce bon",IF(COUNTIF(po_num,A420)&gt;25,"Plus de 25 lignes sur ce bon",IF(R420="","Date de livraison manquante",IF(R420&lt;B420,"Livraison avant la commande",IF(AND(N(T420)&gt;0,N(S420)=0),"Date d'envoi manquante",IF(N(T420)&gt;N(H420),"Reçu plus que commandé",IF(AND(N(T420)&gt;0,N(U420)=0),"Date de réception manquante",IF(AND(N(U420)&gt;0,U420&lt;B420),"Réception avant la commande","OK")))))))))))))))))))))</f>
        <v/>
      </c>
      <c r="AA420" s="66" t="str">
        <f>IF(AND(X420="Reçu",ISNUMBER(R420)),IF(N(U420)&lt;=R420,1,0),"")</f>
        <v/>
      </c>
      <c r="AB420" s="76" t="str">
        <f>IF(OR(X420="Envoyé",X420="Partiel",X420="En retard"),IF(ISNUMBER(R420),R420,100000)+ROW()/100000,"")</f>
        <v/>
      </c>
      <c r="AC420" s="66" t="str">
        <f>IF(A420="","",IF(COUNTIF($A$6:A420,A420)=1,1,""))</f>
        <v/>
      </c>
      <c r="AD420" s="66" t="str">
        <f>IF(AC420=1,COUNT($AC$6:AC420),"")</f>
        <v/>
      </c>
      <c r="AE420" s="66" t="str">
        <f>IFERROR(INDEX(po_num,MATCH(415,po_seq,0))&amp;"","")</f>
        <v/>
      </c>
      <c r="AF420" s="66" t="str">
        <f>IF(OR(A420="",p_po=""),"",IF(A420&amp;""=p_po,COUNTIF($A$6:A420,A420),""))</f>
        <v/>
      </c>
      <c r="AG420" s="66" t="str">
        <f>IF(OR(AB420="",A420=""),"",IF(COUNTIFS($A$6:A420,A420,$AB$6:AB420,"&gt;0")=1,1,""))</f>
        <v/>
      </c>
      <c r="AH420" s="70" t="str">
        <f>IF(AB420="","",ROUND(N(W420)*N(J420)*(1-N(K420)),2))</f>
        <v/>
      </c>
      <c r="AI420" s="70" t="str">
        <f>IF(OR(J420="",N(T420)&lt;=0,V420="Oui"),"",ROUND(N(T420)*J420*(1-N(K420)),2))</f>
        <v/>
      </c>
    </row>
    <row r="421">
      <c r="A421" s="63" t="n"/>
      <c r="B421" s="64" t="n"/>
      <c r="C421" s="65" t="n"/>
      <c r="D421" s="66" t="str">
        <f>IF(C421="","",IFERROR(INDEX(sup_name,MATCH($C421,sup_code,0))&amp;"","Fournisseur inconnu"))</f>
        <v/>
      </c>
      <c r="E421" s="63" t="n"/>
      <c r="F421" s="66" t="str">
        <f>IF(E421="","",IFERROR(INDEX(art_des,MATCH($E421,art_ref,0))&amp;"","Article inconnu"))</f>
        <v/>
      </c>
      <c r="G421" s="67" t="str">
        <f>IF(E421="","",IFERROR(INDEX(art_unit,MATCH($E421,art_ref,0))&amp;"",""))</f>
        <v/>
      </c>
      <c r="H421" s="68" t="n"/>
      <c r="I421" s="69" t="n"/>
      <c r="J421" s="70" t="str">
        <f>IF(E421="","",IF(ISNUMBER(I421),I421,IFERROR(IF(ISNUMBER(INDEX(art_price,MATCH($E421,art_ref,0))),INDEX(art_price,MATCH($E421,art_ref,0)),""),"")))</f>
        <v/>
      </c>
      <c r="K421" s="71" t="n"/>
      <c r="L421" s="72" t="n"/>
      <c r="M421" s="72" t="str">
        <f>IF(E421="","",IF(L421&lt;&gt;"",L421,IFERROR(IF(ISNUMBER(INDEX(art_tva,MATCH($E421,art_ref,0))),INDEX(art_tva,MATCH($E421,art_ref,0)),""),"")))</f>
        <v/>
      </c>
      <c r="N421" s="70" t="str">
        <f>IF(OR(E421="",J421=""),"",ROUND(N(H421)*J421*(1-N(K421)),2))</f>
        <v/>
      </c>
      <c r="O421" s="70" t="str">
        <f>IF(OR(N421="",NOT(ISNUMBER(M421))),"",ROUND(N421*M421,2))</f>
        <v/>
      </c>
      <c r="P421" s="70" t="str">
        <f>IF(N421="","",N421+N(O421))</f>
        <v/>
      </c>
      <c r="Q421" s="64" t="n"/>
      <c r="R421" s="73" t="str">
        <f>IF(N(Q421)&gt;0,Q421,IF(OR(N(B421)=0,ISNA(MATCH($C421,sup_code,0))),"",IF(ISNUMBER(INDEX(sup_delay,MATCH($C421,sup_code,0))),B421+INDEX(sup_delay,MATCH($C421,sup_code,0)),"")))</f>
        <v/>
      </c>
      <c r="S421" s="64" t="n"/>
      <c r="T421" s="68" t="n"/>
      <c r="U421" s="64" t="n"/>
      <c r="V421" s="65" t="n"/>
      <c r="W421" s="74" t="str">
        <f>IF(AND(A421="",E421=""),"",IF(V421="Oui",0,MAX(0,ROUND(N(H421)-N(T421),6))))</f>
        <v/>
      </c>
      <c r="X421" s="67" t="str">
        <f>IF(AND(A421="",E421=""),"",IF(V421="Oui","Annulé",IF(AND(N(H421)&gt;0,N(T421)&gt;=N(H421)),"Reçu",IF(N(S421)=0,"Brouillon",IF(AND(ISNUMBER(R421),R421&lt;p_today),"En retard",IF(N(T421)&gt;0,"Partiel","Envoyé"))))))</f>
        <v/>
      </c>
      <c r="Y421" s="75" t="str">
        <f>IF(X421="En retard",p_today-R421,IF(AND(X421="Reçu",ISNUMBER(R421)),MAX(0,N(U421)-R421),""))</f>
        <v/>
      </c>
      <c r="Z421" s="67" t="str">
        <f>IF(AND(A421="",E421=""),"",IF(A421="","N° de bon manquant",IF(N(B421)=0,"Date de commande manquante",IF(C421="","Fournisseur manquant",IF(ISNA(MATCH($C421,sup_code,0)),"Fournisseur inconnu",IF(E421="","Article manquant",IF(ISNA(MATCH($E421,art_ref,0)),"Article inconnu",IF(N(H421)&lt;=0,"Quantité invalide",IF(J421="","Prix manquant",IF(OR(N(K421)&lt;0,N(K421)&gt;=1),"Remise invalide",IF(M421="","TVA manquante",IF(ISNA(MATCH(M421,p_tva,0)),"Taux de TVA inconnu",IF(COUNTIFS(po_num,A421,po_sup,"&lt;&gt;"&amp;C421)&gt;0,"Fournisseur différent sur ce bon",IF(COUNTIFS(po_num,A421,po_date,"&lt;&gt;"&amp;B421)&gt;0,"Date différente sur ce bon",IF(COUNTIF(po_num,A421)&gt;25,"Plus de 25 lignes sur ce bon",IF(R421="","Date de livraison manquante",IF(R421&lt;B421,"Livraison avant la commande",IF(AND(N(T421)&gt;0,N(S421)=0),"Date d'envoi manquante",IF(N(T421)&gt;N(H421),"Reçu plus que commandé",IF(AND(N(T421)&gt;0,N(U421)=0),"Date de réception manquante",IF(AND(N(U421)&gt;0,U421&lt;B421),"Réception avant la commande","OK")))))))))))))))))))))</f>
        <v/>
      </c>
      <c r="AA421" s="66" t="str">
        <f>IF(AND(X421="Reçu",ISNUMBER(R421)),IF(N(U421)&lt;=R421,1,0),"")</f>
        <v/>
      </c>
      <c r="AB421" s="76" t="str">
        <f>IF(OR(X421="Envoyé",X421="Partiel",X421="En retard"),IF(ISNUMBER(R421),R421,100000)+ROW()/100000,"")</f>
        <v/>
      </c>
      <c r="AC421" s="66" t="str">
        <f>IF(A421="","",IF(COUNTIF($A$6:A421,A421)=1,1,""))</f>
        <v/>
      </c>
      <c r="AD421" s="66" t="str">
        <f>IF(AC421=1,COUNT($AC$6:AC421),"")</f>
        <v/>
      </c>
      <c r="AE421" s="66" t="str">
        <f>IFERROR(INDEX(po_num,MATCH(416,po_seq,0))&amp;"","")</f>
        <v/>
      </c>
      <c r="AF421" s="66" t="str">
        <f>IF(OR(A421="",p_po=""),"",IF(A421&amp;""=p_po,COUNTIF($A$6:A421,A421),""))</f>
        <v/>
      </c>
      <c r="AG421" s="66" t="str">
        <f>IF(OR(AB421="",A421=""),"",IF(COUNTIFS($A$6:A421,A421,$AB$6:AB421,"&gt;0")=1,1,""))</f>
        <v/>
      </c>
      <c r="AH421" s="70" t="str">
        <f>IF(AB421="","",ROUND(N(W421)*N(J421)*(1-N(K421)),2))</f>
        <v/>
      </c>
      <c r="AI421" s="70" t="str">
        <f>IF(OR(J421="",N(T421)&lt;=0,V421="Oui"),"",ROUND(N(T421)*J421*(1-N(K421)),2))</f>
        <v/>
      </c>
    </row>
    <row r="422">
      <c r="A422" s="63" t="n"/>
      <c r="B422" s="64" t="n"/>
      <c r="C422" s="65" t="n"/>
      <c r="D422" s="66" t="str">
        <f>IF(C422="","",IFERROR(INDEX(sup_name,MATCH($C422,sup_code,0))&amp;"","Fournisseur inconnu"))</f>
        <v/>
      </c>
      <c r="E422" s="63" t="n"/>
      <c r="F422" s="66" t="str">
        <f>IF(E422="","",IFERROR(INDEX(art_des,MATCH($E422,art_ref,0))&amp;"","Article inconnu"))</f>
        <v/>
      </c>
      <c r="G422" s="67" t="str">
        <f>IF(E422="","",IFERROR(INDEX(art_unit,MATCH($E422,art_ref,0))&amp;"",""))</f>
        <v/>
      </c>
      <c r="H422" s="68" t="n"/>
      <c r="I422" s="69" t="n"/>
      <c r="J422" s="70" t="str">
        <f>IF(E422="","",IF(ISNUMBER(I422),I422,IFERROR(IF(ISNUMBER(INDEX(art_price,MATCH($E422,art_ref,0))),INDEX(art_price,MATCH($E422,art_ref,0)),""),"")))</f>
        <v/>
      </c>
      <c r="K422" s="71" t="n"/>
      <c r="L422" s="72" t="n"/>
      <c r="M422" s="72" t="str">
        <f>IF(E422="","",IF(L422&lt;&gt;"",L422,IFERROR(IF(ISNUMBER(INDEX(art_tva,MATCH($E422,art_ref,0))),INDEX(art_tva,MATCH($E422,art_ref,0)),""),"")))</f>
        <v/>
      </c>
      <c r="N422" s="70" t="str">
        <f>IF(OR(E422="",J422=""),"",ROUND(N(H422)*J422*(1-N(K422)),2))</f>
        <v/>
      </c>
      <c r="O422" s="70" t="str">
        <f>IF(OR(N422="",NOT(ISNUMBER(M422))),"",ROUND(N422*M422,2))</f>
        <v/>
      </c>
      <c r="P422" s="70" t="str">
        <f>IF(N422="","",N422+N(O422))</f>
        <v/>
      </c>
      <c r="Q422" s="64" t="n"/>
      <c r="R422" s="73" t="str">
        <f>IF(N(Q422)&gt;0,Q422,IF(OR(N(B422)=0,ISNA(MATCH($C422,sup_code,0))),"",IF(ISNUMBER(INDEX(sup_delay,MATCH($C422,sup_code,0))),B422+INDEX(sup_delay,MATCH($C422,sup_code,0)),"")))</f>
        <v/>
      </c>
      <c r="S422" s="64" t="n"/>
      <c r="T422" s="68" t="n"/>
      <c r="U422" s="64" t="n"/>
      <c r="V422" s="65" t="n"/>
      <c r="W422" s="74" t="str">
        <f>IF(AND(A422="",E422=""),"",IF(V422="Oui",0,MAX(0,ROUND(N(H422)-N(T422),6))))</f>
        <v/>
      </c>
      <c r="X422" s="67" t="str">
        <f>IF(AND(A422="",E422=""),"",IF(V422="Oui","Annulé",IF(AND(N(H422)&gt;0,N(T422)&gt;=N(H422)),"Reçu",IF(N(S422)=0,"Brouillon",IF(AND(ISNUMBER(R422),R422&lt;p_today),"En retard",IF(N(T422)&gt;0,"Partiel","Envoyé"))))))</f>
        <v/>
      </c>
      <c r="Y422" s="75" t="str">
        <f>IF(X422="En retard",p_today-R422,IF(AND(X422="Reçu",ISNUMBER(R422)),MAX(0,N(U422)-R422),""))</f>
        <v/>
      </c>
      <c r="Z422" s="67" t="str">
        <f>IF(AND(A422="",E422=""),"",IF(A422="","N° de bon manquant",IF(N(B422)=0,"Date de commande manquante",IF(C422="","Fournisseur manquant",IF(ISNA(MATCH($C422,sup_code,0)),"Fournisseur inconnu",IF(E422="","Article manquant",IF(ISNA(MATCH($E422,art_ref,0)),"Article inconnu",IF(N(H422)&lt;=0,"Quantité invalide",IF(J422="","Prix manquant",IF(OR(N(K422)&lt;0,N(K422)&gt;=1),"Remise invalide",IF(M422="","TVA manquante",IF(ISNA(MATCH(M422,p_tva,0)),"Taux de TVA inconnu",IF(COUNTIFS(po_num,A422,po_sup,"&lt;&gt;"&amp;C422)&gt;0,"Fournisseur différent sur ce bon",IF(COUNTIFS(po_num,A422,po_date,"&lt;&gt;"&amp;B422)&gt;0,"Date différente sur ce bon",IF(COUNTIF(po_num,A422)&gt;25,"Plus de 25 lignes sur ce bon",IF(R422="","Date de livraison manquante",IF(R422&lt;B422,"Livraison avant la commande",IF(AND(N(T422)&gt;0,N(S422)=0),"Date d'envoi manquante",IF(N(T422)&gt;N(H422),"Reçu plus que commandé",IF(AND(N(T422)&gt;0,N(U422)=0),"Date de réception manquante",IF(AND(N(U422)&gt;0,U422&lt;B422),"Réception avant la commande","OK")))))))))))))))))))))</f>
        <v/>
      </c>
      <c r="AA422" s="66" t="str">
        <f>IF(AND(X422="Reçu",ISNUMBER(R422)),IF(N(U422)&lt;=R422,1,0),"")</f>
        <v/>
      </c>
      <c r="AB422" s="76" t="str">
        <f>IF(OR(X422="Envoyé",X422="Partiel",X422="En retard"),IF(ISNUMBER(R422),R422,100000)+ROW()/100000,"")</f>
        <v/>
      </c>
      <c r="AC422" s="66" t="str">
        <f>IF(A422="","",IF(COUNTIF($A$6:A422,A422)=1,1,""))</f>
        <v/>
      </c>
      <c r="AD422" s="66" t="str">
        <f>IF(AC422=1,COUNT($AC$6:AC422),"")</f>
        <v/>
      </c>
      <c r="AE422" s="66" t="str">
        <f>IFERROR(INDEX(po_num,MATCH(417,po_seq,0))&amp;"","")</f>
        <v/>
      </c>
      <c r="AF422" s="66" t="str">
        <f>IF(OR(A422="",p_po=""),"",IF(A422&amp;""=p_po,COUNTIF($A$6:A422,A422),""))</f>
        <v/>
      </c>
      <c r="AG422" s="66" t="str">
        <f>IF(OR(AB422="",A422=""),"",IF(COUNTIFS($A$6:A422,A422,$AB$6:AB422,"&gt;0")=1,1,""))</f>
        <v/>
      </c>
      <c r="AH422" s="70" t="str">
        <f>IF(AB422="","",ROUND(N(W422)*N(J422)*(1-N(K422)),2))</f>
        <v/>
      </c>
      <c r="AI422" s="70" t="str">
        <f>IF(OR(J422="",N(T422)&lt;=0,V422="Oui"),"",ROUND(N(T422)*J422*(1-N(K422)),2))</f>
        <v/>
      </c>
    </row>
    <row r="423">
      <c r="A423" s="63" t="n"/>
      <c r="B423" s="64" t="n"/>
      <c r="C423" s="65" t="n"/>
      <c r="D423" s="66" t="str">
        <f>IF(C423="","",IFERROR(INDEX(sup_name,MATCH($C423,sup_code,0))&amp;"","Fournisseur inconnu"))</f>
        <v/>
      </c>
      <c r="E423" s="63" t="n"/>
      <c r="F423" s="66" t="str">
        <f>IF(E423="","",IFERROR(INDEX(art_des,MATCH($E423,art_ref,0))&amp;"","Article inconnu"))</f>
        <v/>
      </c>
      <c r="G423" s="67" t="str">
        <f>IF(E423="","",IFERROR(INDEX(art_unit,MATCH($E423,art_ref,0))&amp;"",""))</f>
        <v/>
      </c>
      <c r="H423" s="68" t="n"/>
      <c r="I423" s="69" t="n"/>
      <c r="J423" s="70" t="str">
        <f>IF(E423="","",IF(ISNUMBER(I423),I423,IFERROR(IF(ISNUMBER(INDEX(art_price,MATCH($E423,art_ref,0))),INDEX(art_price,MATCH($E423,art_ref,0)),""),"")))</f>
        <v/>
      </c>
      <c r="K423" s="71" t="n"/>
      <c r="L423" s="72" t="n"/>
      <c r="M423" s="72" t="str">
        <f>IF(E423="","",IF(L423&lt;&gt;"",L423,IFERROR(IF(ISNUMBER(INDEX(art_tva,MATCH($E423,art_ref,0))),INDEX(art_tva,MATCH($E423,art_ref,0)),""),"")))</f>
        <v/>
      </c>
      <c r="N423" s="70" t="str">
        <f>IF(OR(E423="",J423=""),"",ROUND(N(H423)*J423*(1-N(K423)),2))</f>
        <v/>
      </c>
      <c r="O423" s="70" t="str">
        <f>IF(OR(N423="",NOT(ISNUMBER(M423))),"",ROUND(N423*M423,2))</f>
        <v/>
      </c>
      <c r="P423" s="70" t="str">
        <f>IF(N423="","",N423+N(O423))</f>
        <v/>
      </c>
      <c r="Q423" s="64" t="n"/>
      <c r="R423" s="73" t="str">
        <f>IF(N(Q423)&gt;0,Q423,IF(OR(N(B423)=0,ISNA(MATCH($C423,sup_code,0))),"",IF(ISNUMBER(INDEX(sup_delay,MATCH($C423,sup_code,0))),B423+INDEX(sup_delay,MATCH($C423,sup_code,0)),"")))</f>
        <v/>
      </c>
      <c r="S423" s="64" t="n"/>
      <c r="T423" s="68" t="n"/>
      <c r="U423" s="64" t="n"/>
      <c r="V423" s="65" t="n"/>
      <c r="W423" s="74" t="str">
        <f>IF(AND(A423="",E423=""),"",IF(V423="Oui",0,MAX(0,ROUND(N(H423)-N(T423),6))))</f>
        <v/>
      </c>
      <c r="X423" s="67" t="str">
        <f>IF(AND(A423="",E423=""),"",IF(V423="Oui","Annulé",IF(AND(N(H423)&gt;0,N(T423)&gt;=N(H423)),"Reçu",IF(N(S423)=0,"Brouillon",IF(AND(ISNUMBER(R423),R423&lt;p_today),"En retard",IF(N(T423)&gt;0,"Partiel","Envoyé"))))))</f>
        <v/>
      </c>
      <c r="Y423" s="75" t="str">
        <f>IF(X423="En retard",p_today-R423,IF(AND(X423="Reçu",ISNUMBER(R423)),MAX(0,N(U423)-R423),""))</f>
        <v/>
      </c>
      <c r="Z423" s="67" t="str">
        <f>IF(AND(A423="",E423=""),"",IF(A423="","N° de bon manquant",IF(N(B423)=0,"Date de commande manquante",IF(C423="","Fournisseur manquant",IF(ISNA(MATCH($C423,sup_code,0)),"Fournisseur inconnu",IF(E423="","Article manquant",IF(ISNA(MATCH($E423,art_ref,0)),"Article inconnu",IF(N(H423)&lt;=0,"Quantité invalide",IF(J423="","Prix manquant",IF(OR(N(K423)&lt;0,N(K423)&gt;=1),"Remise invalide",IF(M423="","TVA manquante",IF(ISNA(MATCH(M423,p_tva,0)),"Taux de TVA inconnu",IF(COUNTIFS(po_num,A423,po_sup,"&lt;&gt;"&amp;C423)&gt;0,"Fournisseur différent sur ce bon",IF(COUNTIFS(po_num,A423,po_date,"&lt;&gt;"&amp;B423)&gt;0,"Date différente sur ce bon",IF(COUNTIF(po_num,A423)&gt;25,"Plus de 25 lignes sur ce bon",IF(R423="","Date de livraison manquante",IF(R423&lt;B423,"Livraison avant la commande",IF(AND(N(T423)&gt;0,N(S423)=0),"Date d'envoi manquante",IF(N(T423)&gt;N(H423),"Reçu plus que commandé",IF(AND(N(T423)&gt;0,N(U423)=0),"Date de réception manquante",IF(AND(N(U423)&gt;0,U423&lt;B423),"Réception avant la commande","OK")))))))))))))))))))))</f>
        <v/>
      </c>
      <c r="AA423" s="66" t="str">
        <f>IF(AND(X423="Reçu",ISNUMBER(R423)),IF(N(U423)&lt;=R423,1,0),"")</f>
        <v/>
      </c>
      <c r="AB423" s="76" t="str">
        <f>IF(OR(X423="Envoyé",X423="Partiel",X423="En retard"),IF(ISNUMBER(R423),R423,100000)+ROW()/100000,"")</f>
        <v/>
      </c>
      <c r="AC423" s="66" t="str">
        <f>IF(A423="","",IF(COUNTIF($A$6:A423,A423)=1,1,""))</f>
        <v/>
      </c>
      <c r="AD423" s="66" t="str">
        <f>IF(AC423=1,COUNT($AC$6:AC423),"")</f>
        <v/>
      </c>
      <c r="AE423" s="66" t="str">
        <f>IFERROR(INDEX(po_num,MATCH(418,po_seq,0))&amp;"","")</f>
        <v/>
      </c>
      <c r="AF423" s="66" t="str">
        <f>IF(OR(A423="",p_po=""),"",IF(A423&amp;""=p_po,COUNTIF($A$6:A423,A423),""))</f>
        <v/>
      </c>
      <c r="AG423" s="66" t="str">
        <f>IF(OR(AB423="",A423=""),"",IF(COUNTIFS($A$6:A423,A423,$AB$6:AB423,"&gt;0")=1,1,""))</f>
        <v/>
      </c>
      <c r="AH423" s="70" t="str">
        <f>IF(AB423="","",ROUND(N(W423)*N(J423)*(1-N(K423)),2))</f>
        <v/>
      </c>
      <c r="AI423" s="70" t="str">
        <f>IF(OR(J423="",N(T423)&lt;=0,V423="Oui"),"",ROUND(N(T423)*J423*(1-N(K423)),2))</f>
        <v/>
      </c>
    </row>
    <row r="424">
      <c r="A424" s="63" t="n"/>
      <c r="B424" s="64" t="n"/>
      <c r="C424" s="65" t="n"/>
      <c r="D424" s="66" t="str">
        <f>IF(C424="","",IFERROR(INDEX(sup_name,MATCH($C424,sup_code,0))&amp;"","Fournisseur inconnu"))</f>
        <v/>
      </c>
      <c r="E424" s="63" t="n"/>
      <c r="F424" s="66" t="str">
        <f>IF(E424="","",IFERROR(INDEX(art_des,MATCH($E424,art_ref,0))&amp;"","Article inconnu"))</f>
        <v/>
      </c>
      <c r="G424" s="67" t="str">
        <f>IF(E424="","",IFERROR(INDEX(art_unit,MATCH($E424,art_ref,0))&amp;"",""))</f>
        <v/>
      </c>
      <c r="H424" s="68" t="n"/>
      <c r="I424" s="69" t="n"/>
      <c r="J424" s="70" t="str">
        <f>IF(E424="","",IF(ISNUMBER(I424),I424,IFERROR(IF(ISNUMBER(INDEX(art_price,MATCH($E424,art_ref,0))),INDEX(art_price,MATCH($E424,art_ref,0)),""),"")))</f>
        <v/>
      </c>
      <c r="K424" s="71" t="n"/>
      <c r="L424" s="72" t="n"/>
      <c r="M424" s="72" t="str">
        <f>IF(E424="","",IF(L424&lt;&gt;"",L424,IFERROR(IF(ISNUMBER(INDEX(art_tva,MATCH($E424,art_ref,0))),INDEX(art_tva,MATCH($E424,art_ref,0)),""),"")))</f>
        <v/>
      </c>
      <c r="N424" s="70" t="str">
        <f>IF(OR(E424="",J424=""),"",ROUND(N(H424)*J424*(1-N(K424)),2))</f>
        <v/>
      </c>
      <c r="O424" s="70" t="str">
        <f>IF(OR(N424="",NOT(ISNUMBER(M424))),"",ROUND(N424*M424,2))</f>
        <v/>
      </c>
      <c r="P424" s="70" t="str">
        <f>IF(N424="","",N424+N(O424))</f>
        <v/>
      </c>
      <c r="Q424" s="64" t="n"/>
      <c r="R424" s="73" t="str">
        <f>IF(N(Q424)&gt;0,Q424,IF(OR(N(B424)=0,ISNA(MATCH($C424,sup_code,0))),"",IF(ISNUMBER(INDEX(sup_delay,MATCH($C424,sup_code,0))),B424+INDEX(sup_delay,MATCH($C424,sup_code,0)),"")))</f>
        <v/>
      </c>
      <c r="S424" s="64" t="n"/>
      <c r="T424" s="68" t="n"/>
      <c r="U424" s="64" t="n"/>
      <c r="V424" s="65" t="n"/>
      <c r="W424" s="74" t="str">
        <f>IF(AND(A424="",E424=""),"",IF(V424="Oui",0,MAX(0,ROUND(N(H424)-N(T424),6))))</f>
        <v/>
      </c>
      <c r="X424" s="67" t="str">
        <f>IF(AND(A424="",E424=""),"",IF(V424="Oui","Annulé",IF(AND(N(H424)&gt;0,N(T424)&gt;=N(H424)),"Reçu",IF(N(S424)=0,"Brouillon",IF(AND(ISNUMBER(R424),R424&lt;p_today),"En retard",IF(N(T424)&gt;0,"Partiel","Envoyé"))))))</f>
        <v/>
      </c>
      <c r="Y424" s="75" t="str">
        <f>IF(X424="En retard",p_today-R424,IF(AND(X424="Reçu",ISNUMBER(R424)),MAX(0,N(U424)-R424),""))</f>
        <v/>
      </c>
      <c r="Z424" s="67" t="str">
        <f>IF(AND(A424="",E424=""),"",IF(A424="","N° de bon manquant",IF(N(B424)=0,"Date de commande manquante",IF(C424="","Fournisseur manquant",IF(ISNA(MATCH($C424,sup_code,0)),"Fournisseur inconnu",IF(E424="","Article manquant",IF(ISNA(MATCH($E424,art_ref,0)),"Article inconnu",IF(N(H424)&lt;=0,"Quantité invalide",IF(J424="","Prix manquant",IF(OR(N(K424)&lt;0,N(K424)&gt;=1),"Remise invalide",IF(M424="","TVA manquante",IF(ISNA(MATCH(M424,p_tva,0)),"Taux de TVA inconnu",IF(COUNTIFS(po_num,A424,po_sup,"&lt;&gt;"&amp;C424)&gt;0,"Fournisseur différent sur ce bon",IF(COUNTIFS(po_num,A424,po_date,"&lt;&gt;"&amp;B424)&gt;0,"Date différente sur ce bon",IF(COUNTIF(po_num,A424)&gt;25,"Plus de 25 lignes sur ce bon",IF(R424="","Date de livraison manquante",IF(R424&lt;B424,"Livraison avant la commande",IF(AND(N(T424)&gt;0,N(S424)=0),"Date d'envoi manquante",IF(N(T424)&gt;N(H424),"Reçu plus que commandé",IF(AND(N(T424)&gt;0,N(U424)=0),"Date de réception manquante",IF(AND(N(U424)&gt;0,U424&lt;B424),"Réception avant la commande","OK")))))))))))))))))))))</f>
        <v/>
      </c>
      <c r="AA424" s="66" t="str">
        <f>IF(AND(X424="Reçu",ISNUMBER(R424)),IF(N(U424)&lt;=R424,1,0),"")</f>
        <v/>
      </c>
      <c r="AB424" s="76" t="str">
        <f>IF(OR(X424="Envoyé",X424="Partiel",X424="En retard"),IF(ISNUMBER(R424),R424,100000)+ROW()/100000,"")</f>
        <v/>
      </c>
      <c r="AC424" s="66" t="str">
        <f>IF(A424="","",IF(COUNTIF($A$6:A424,A424)=1,1,""))</f>
        <v/>
      </c>
      <c r="AD424" s="66" t="str">
        <f>IF(AC424=1,COUNT($AC$6:AC424),"")</f>
        <v/>
      </c>
      <c r="AE424" s="66" t="str">
        <f>IFERROR(INDEX(po_num,MATCH(419,po_seq,0))&amp;"","")</f>
        <v/>
      </c>
      <c r="AF424" s="66" t="str">
        <f>IF(OR(A424="",p_po=""),"",IF(A424&amp;""=p_po,COUNTIF($A$6:A424,A424),""))</f>
        <v/>
      </c>
      <c r="AG424" s="66" t="str">
        <f>IF(OR(AB424="",A424=""),"",IF(COUNTIFS($A$6:A424,A424,$AB$6:AB424,"&gt;0")=1,1,""))</f>
        <v/>
      </c>
      <c r="AH424" s="70" t="str">
        <f>IF(AB424="","",ROUND(N(W424)*N(J424)*(1-N(K424)),2))</f>
        <v/>
      </c>
      <c r="AI424" s="70" t="str">
        <f>IF(OR(J424="",N(T424)&lt;=0,V424="Oui"),"",ROUND(N(T424)*J424*(1-N(K424)),2))</f>
        <v/>
      </c>
    </row>
    <row r="425">
      <c r="A425" s="63" t="n"/>
      <c r="B425" s="64" t="n"/>
      <c r="C425" s="65" t="n"/>
      <c r="D425" s="66" t="str">
        <f>IF(C425="","",IFERROR(INDEX(sup_name,MATCH($C425,sup_code,0))&amp;"","Fournisseur inconnu"))</f>
        <v/>
      </c>
      <c r="E425" s="63" t="n"/>
      <c r="F425" s="66" t="str">
        <f>IF(E425="","",IFERROR(INDEX(art_des,MATCH($E425,art_ref,0))&amp;"","Article inconnu"))</f>
        <v/>
      </c>
      <c r="G425" s="67" t="str">
        <f>IF(E425="","",IFERROR(INDEX(art_unit,MATCH($E425,art_ref,0))&amp;"",""))</f>
        <v/>
      </c>
      <c r="H425" s="68" t="n"/>
      <c r="I425" s="69" t="n"/>
      <c r="J425" s="70" t="str">
        <f>IF(E425="","",IF(ISNUMBER(I425),I425,IFERROR(IF(ISNUMBER(INDEX(art_price,MATCH($E425,art_ref,0))),INDEX(art_price,MATCH($E425,art_ref,0)),""),"")))</f>
        <v/>
      </c>
      <c r="K425" s="71" t="n"/>
      <c r="L425" s="72" t="n"/>
      <c r="M425" s="72" t="str">
        <f>IF(E425="","",IF(L425&lt;&gt;"",L425,IFERROR(IF(ISNUMBER(INDEX(art_tva,MATCH($E425,art_ref,0))),INDEX(art_tva,MATCH($E425,art_ref,0)),""),"")))</f>
        <v/>
      </c>
      <c r="N425" s="70" t="str">
        <f>IF(OR(E425="",J425=""),"",ROUND(N(H425)*J425*(1-N(K425)),2))</f>
        <v/>
      </c>
      <c r="O425" s="70" t="str">
        <f>IF(OR(N425="",NOT(ISNUMBER(M425))),"",ROUND(N425*M425,2))</f>
        <v/>
      </c>
      <c r="P425" s="70" t="str">
        <f>IF(N425="","",N425+N(O425))</f>
        <v/>
      </c>
      <c r="Q425" s="64" t="n"/>
      <c r="R425" s="73" t="str">
        <f>IF(N(Q425)&gt;0,Q425,IF(OR(N(B425)=0,ISNA(MATCH($C425,sup_code,0))),"",IF(ISNUMBER(INDEX(sup_delay,MATCH($C425,sup_code,0))),B425+INDEX(sup_delay,MATCH($C425,sup_code,0)),"")))</f>
        <v/>
      </c>
      <c r="S425" s="64" t="n"/>
      <c r="T425" s="68" t="n"/>
      <c r="U425" s="64" t="n"/>
      <c r="V425" s="65" t="n"/>
      <c r="W425" s="74" t="str">
        <f>IF(AND(A425="",E425=""),"",IF(V425="Oui",0,MAX(0,ROUND(N(H425)-N(T425),6))))</f>
        <v/>
      </c>
      <c r="X425" s="67" t="str">
        <f>IF(AND(A425="",E425=""),"",IF(V425="Oui","Annulé",IF(AND(N(H425)&gt;0,N(T425)&gt;=N(H425)),"Reçu",IF(N(S425)=0,"Brouillon",IF(AND(ISNUMBER(R425),R425&lt;p_today),"En retard",IF(N(T425)&gt;0,"Partiel","Envoyé"))))))</f>
        <v/>
      </c>
      <c r="Y425" s="75" t="str">
        <f>IF(X425="En retard",p_today-R425,IF(AND(X425="Reçu",ISNUMBER(R425)),MAX(0,N(U425)-R425),""))</f>
        <v/>
      </c>
      <c r="Z425" s="67" t="str">
        <f>IF(AND(A425="",E425=""),"",IF(A425="","N° de bon manquant",IF(N(B425)=0,"Date de commande manquante",IF(C425="","Fournisseur manquant",IF(ISNA(MATCH($C425,sup_code,0)),"Fournisseur inconnu",IF(E425="","Article manquant",IF(ISNA(MATCH($E425,art_ref,0)),"Article inconnu",IF(N(H425)&lt;=0,"Quantité invalide",IF(J425="","Prix manquant",IF(OR(N(K425)&lt;0,N(K425)&gt;=1),"Remise invalide",IF(M425="","TVA manquante",IF(ISNA(MATCH(M425,p_tva,0)),"Taux de TVA inconnu",IF(COUNTIFS(po_num,A425,po_sup,"&lt;&gt;"&amp;C425)&gt;0,"Fournisseur différent sur ce bon",IF(COUNTIFS(po_num,A425,po_date,"&lt;&gt;"&amp;B425)&gt;0,"Date différente sur ce bon",IF(COUNTIF(po_num,A425)&gt;25,"Plus de 25 lignes sur ce bon",IF(R425="","Date de livraison manquante",IF(R425&lt;B425,"Livraison avant la commande",IF(AND(N(T425)&gt;0,N(S425)=0),"Date d'envoi manquante",IF(N(T425)&gt;N(H425),"Reçu plus que commandé",IF(AND(N(T425)&gt;0,N(U425)=0),"Date de réception manquante",IF(AND(N(U425)&gt;0,U425&lt;B425),"Réception avant la commande","OK")))))))))))))))))))))</f>
        <v/>
      </c>
      <c r="AA425" s="66" t="str">
        <f>IF(AND(X425="Reçu",ISNUMBER(R425)),IF(N(U425)&lt;=R425,1,0),"")</f>
        <v/>
      </c>
      <c r="AB425" s="76" t="str">
        <f>IF(OR(X425="Envoyé",X425="Partiel",X425="En retard"),IF(ISNUMBER(R425),R425,100000)+ROW()/100000,"")</f>
        <v/>
      </c>
      <c r="AC425" s="66" t="str">
        <f>IF(A425="","",IF(COUNTIF($A$6:A425,A425)=1,1,""))</f>
        <v/>
      </c>
      <c r="AD425" s="66" t="str">
        <f>IF(AC425=1,COUNT($AC$6:AC425),"")</f>
        <v/>
      </c>
      <c r="AE425" s="66" t="str">
        <f>IFERROR(INDEX(po_num,MATCH(420,po_seq,0))&amp;"","")</f>
        <v/>
      </c>
      <c r="AF425" s="66" t="str">
        <f>IF(OR(A425="",p_po=""),"",IF(A425&amp;""=p_po,COUNTIF($A$6:A425,A425),""))</f>
        <v/>
      </c>
      <c r="AG425" s="66" t="str">
        <f>IF(OR(AB425="",A425=""),"",IF(COUNTIFS($A$6:A425,A425,$AB$6:AB425,"&gt;0")=1,1,""))</f>
        <v/>
      </c>
      <c r="AH425" s="70" t="str">
        <f>IF(AB425="","",ROUND(N(W425)*N(J425)*(1-N(K425)),2))</f>
        <v/>
      </c>
      <c r="AI425" s="70" t="str">
        <f>IF(OR(J425="",N(T425)&lt;=0,V425="Oui"),"",ROUND(N(T425)*J425*(1-N(K425)),2))</f>
        <v/>
      </c>
    </row>
    <row r="426">
      <c r="A426" s="63" t="n"/>
      <c r="B426" s="64" t="n"/>
      <c r="C426" s="65" t="n"/>
      <c r="D426" s="66" t="str">
        <f>IF(C426="","",IFERROR(INDEX(sup_name,MATCH($C426,sup_code,0))&amp;"","Fournisseur inconnu"))</f>
        <v/>
      </c>
      <c r="E426" s="63" t="n"/>
      <c r="F426" s="66" t="str">
        <f>IF(E426="","",IFERROR(INDEX(art_des,MATCH($E426,art_ref,0))&amp;"","Article inconnu"))</f>
        <v/>
      </c>
      <c r="G426" s="67" t="str">
        <f>IF(E426="","",IFERROR(INDEX(art_unit,MATCH($E426,art_ref,0))&amp;"",""))</f>
        <v/>
      </c>
      <c r="H426" s="68" t="n"/>
      <c r="I426" s="69" t="n"/>
      <c r="J426" s="70" t="str">
        <f>IF(E426="","",IF(ISNUMBER(I426),I426,IFERROR(IF(ISNUMBER(INDEX(art_price,MATCH($E426,art_ref,0))),INDEX(art_price,MATCH($E426,art_ref,0)),""),"")))</f>
        <v/>
      </c>
      <c r="K426" s="71" t="n"/>
      <c r="L426" s="72" t="n"/>
      <c r="M426" s="72" t="str">
        <f>IF(E426="","",IF(L426&lt;&gt;"",L426,IFERROR(IF(ISNUMBER(INDEX(art_tva,MATCH($E426,art_ref,0))),INDEX(art_tva,MATCH($E426,art_ref,0)),""),"")))</f>
        <v/>
      </c>
      <c r="N426" s="70" t="str">
        <f>IF(OR(E426="",J426=""),"",ROUND(N(H426)*J426*(1-N(K426)),2))</f>
        <v/>
      </c>
      <c r="O426" s="70" t="str">
        <f>IF(OR(N426="",NOT(ISNUMBER(M426))),"",ROUND(N426*M426,2))</f>
        <v/>
      </c>
      <c r="P426" s="70" t="str">
        <f>IF(N426="","",N426+N(O426))</f>
        <v/>
      </c>
      <c r="Q426" s="64" t="n"/>
      <c r="R426" s="73" t="str">
        <f>IF(N(Q426)&gt;0,Q426,IF(OR(N(B426)=0,ISNA(MATCH($C426,sup_code,0))),"",IF(ISNUMBER(INDEX(sup_delay,MATCH($C426,sup_code,0))),B426+INDEX(sup_delay,MATCH($C426,sup_code,0)),"")))</f>
        <v/>
      </c>
      <c r="S426" s="64" t="n"/>
      <c r="T426" s="68" t="n"/>
      <c r="U426" s="64" t="n"/>
      <c r="V426" s="65" t="n"/>
      <c r="W426" s="74" t="str">
        <f>IF(AND(A426="",E426=""),"",IF(V426="Oui",0,MAX(0,ROUND(N(H426)-N(T426),6))))</f>
        <v/>
      </c>
      <c r="X426" s="67" t="str">
        <f>IF(AND(A426="",E426=""),"",IF(V426="Oui","Annulé",IF(AND(N(H426)&gt;0,N(T426)&gt;=N(H426)),"Reçu",IF(N(S426)=0,"Brouillon",IF(AND(ISNUMBER(R426),R426&lt;p_today),"En retard",IF(N(T426)&gt;0,"Partiel","Envoyé"))))))</f>
        <v/>
      </c>
      <c r="Y426" s="75" t="str">
        <f>IF(X426="En retard",p_today-R426,IF(AND(X426="Reçu",ISNUMBER(R426)),MAX(0,N(U426)-R426),""))</f>
        <v/>
      </c>
      <c r="Z426" s="67" t="str">
        <f>IF(AND(A426="",E426=""),"",IF(A426="","N° de bon manquant",IF(N(B426)=0,"Date de commande manquante",IF(C426="","Fournisseur manquant",IF(ISNA(MATCH($C426,sup_code,0)),"Fournisseur inconnu",IF(E426="","Article manquant",IF(ISNA(MATCH($E426,art_ref,0)),"Article inconnu",IF(N(H426)&lt;=0,"Quantité invalide",IF(J426="","Prix manquant",IF(OR(N(K426)&lt;0,N(K426)&gt;=1),"Remise invalide",IF(M426="","TVA manquante",IF(ISNA(MATCH(M426,p_tva,0)),"Taux de TVA inconnu",IF(COUNTIFS(po_num,A426,po_sup,"&lt;&gt;"&amp;C426)&gt;0,"Fournisseur différent sur ce bon",IF(COUNTIFS(po_num,A426,po_date,"&lt;&gt;"&amp;B426)&gt;0,"Date différente sur ce bon",IF(COUNTIF(po_num,A426)&gt;25,"Plus de 25 lignes sur ce bon",IF(R426="","Date de livraison manquante",IF(R426&lt;B426,"Livraison avant la commande",IF(AND(N(T426)&gt;0,N(S426)=0),"Date d'envoi manquante",IF(N(T426)&gt;N(H426),"Reçu plus que commandé",IF(AND(N(T426)&gt;0,N(U426)=0),"Date de réception manquante",IF(AND(N(U426)&gt;0,U426&lt;B426),"Réception avant la commande","OK")))))))))))))))))))))</f>
        <v/>
      </c>
      <c r="AA426" s="66" t="str">
        <f>IF(AND(X426="Reçu",ISNUMBER(R426)),IF(N(U426)&lt;=R426,1,0),"")</f>
        <v/>
      </c>
      <c r="AB426" s="76" t="str">
        <f>IF(OR(X426="Envoyé",X426="Partiel",X426="En retard"),IF(ISNUMBER(R426),R426,100000)+ROW()/100000,"")</f>
        <v/>
      </c>
      <c r="AC426" s="66" t="str">
        <f>IF(A426="","",IF(COUNTIF($A$6:A426,A426)=1,1,""))</f>
        <v/>
      </c>
      <c r="AD426" s="66" t="str">
        <f>IF(AC426=1,COUNT($AC$6:AC426),"")</f>
        <v/>
      </c>
      <c r="AE426" s="66" t="str">
        <f>IFERROR(INDEX(po_num,MATCH(421,po_seq,0))&amp;"","")</f>
        <v/>
      </c>
      <c r="AF426" s="66" t="str">
        <f>IF(OR(A426="",p_po=""),"",IF(A426&amp;""=p_po,COUNTIF($A$6:A426,A426),""))</f>
        <v/>
      </c>
      <c r="AG426" s="66" t="str">
        <f>IF(OR(AB426="",A426=""),"",IF(COUNTIFS($A$6:A426,A426,$AB$6:AB426,"&gt;0")=1,1,""))</f>
        <v/>
      </c>
      <c r="AH426" s="70" t="str">
        <f>IF(AB426="","",ROUND(N(W426)*N(J426)*(1-N(K426)),2))</f>
        <v/>
      </c>
      <c r="AI426" s="70" t="str">
        <f>IF(OR(J426="",N(T426)&lt;=0,V426="Oui"),"",ROUND(N(T426)*J426*(1-N(K426)),2))</f>
        <v/>
      </c>
    </row>
    <row r="427">
      <c r="A427" s="63" t="n"/>
      <c r="B427" s="64" t="n"/>
      <c r="C427" s="65" t="n"/>
      <c r="D427" s="66" t="str">
        <f>IF(C427="","",IFERROR(INDEX(sup_name,MATCH($C427,sup_code,0))&amp;"","Fournisseur inconnu"))</f>
        <v/>
      </c>
      <c r="E427" s="63" t="n"/>
      <c r="F427" s="66" t="str">
        <f>IF(E427="","",IFERROR(INDEX(art_des,MATCH($E427,art_ref,0))&amp;"","Article inconnu"))</f>
        <v/>
      </c>
      <c r="G427" s="67" t="str">
        <f>IF(E427="","",IFERROR(INDEX(art_unit,MATCH($E427,art_ref,0))&amp;"",""))</f>
        <v/>
      </c>
      <c r="H427" s="68" t="n"/>
      <c r="I427" s="69" t="n"/>
      <c r="J427" s="70" t="str">
        <f>IF(E427="","",IF(ISNUMBER(I427),I427,IFERROR(IF(ISNUMBER(INDEX(art_price,MATCH($E427,art_ref,0))),INDEX(art_price,MATCH($E427,art_ref,0)),""),"")))</f>
        <v/>
      </c>
      <c r="K427" s="71" t="n"/>
      <c r="L427" s="72" t="n"/>
      <c r="M427" s="72" t="str">
        <f>IF(E427="","",IF(L427&lt;&gt;"",L427,IFERROR(IF(ISNUMBER(INDEX(art_tva,MATCH($E427,art_ref,0))),INDEX(art_tva,MATCH($E427,art_ref,0)),""),"")))</f>
        <v/>
      </c>
      <c r="N427" s="70" t="str">
        <f>IF(OR(E427="",J427=""),"",ROUND(N(H427)*J427*(1-N(K427)),2))</f>
        <v/>
      </c>
      <c r="O427" s="70" t="str">
        <f>IF(OR(N427="",NOT(ISNUMBER(M427))),"",ROUND(N427*M427,2))</f>
        <v/>
      </c>
      <c r="P427" s="70" t="str">
        <f>IF(N427="","",N427+N(O427))</f>
        <v/>
      </c>
      <c r="Q427" s="64" t="n"/>
      <c r="R427" s="73" t="str">
        <f>IF(N(Q427)&gt;0,Q427,IF(OR(N(B427)=0,ISNA(MATCH($C427,sup_code,0))),"",IF(ISNUMBER(INDEX(sup_delay,MATCH($C427,sup_code,0))),B427+INDEX(sup_delay,MATCH($C427,sup_code,0)),"")))</f>
        <v/>
      </c>
      <c r="S427" s="64" t="n"/>
      <c r="T427" s="68" t="n"/>
      <c r="U427" s="64" t="n"/>
      <c r="V427" s="65" t="n"/>
      <c r="W427" s="74" t="str">
        <f>IF(AND(A427="",E427=""),"",IF(V427="Oui",0,MAX(0,ROUND(N(H427)-N(T427),6))))</f>
        <v/>
      </c>
      <c r="X427" s="67" t="str">
        <f>IF(AND(A427="",E427=""),"",IF(V427="Oui","Annulé",IF(AND(N(H427)&gt;0,N(T427)&gt;=N(H427)),"Reçu",IF(N(S427)=0,"Brouillon",IF(AND(ISNUMBER(R427),R427&lt;p_today),"En retard",IF(N(T427)&gt;0,"Partiel","Envoyé"))))))</f>
        <v/>
      </c>
      <c r="Y427" s="75" t="str">
        <f>IF(X427="En retard",p_today-R427,IF(AND(X427="Reçu",ISNUMBER(R427)),MAX(0,N(U427)-R427),""))</f>
        <v/>
      </c>
      <c r="Z427" s="67" t="str">
        <f>IF(AND(A427="",E427=""),"",IF(A427="","N° de bon manquant",IF(N(B427)=0,"Date de commande manquante",IF(C427="","Fournisseur manquant",IF(ISNA(MATCH($C427,sup_code,0)),"Fournisseur inconnu",IF(E427="","Article manquant",IF(ISNA(MATCH($E427,art_ref,0)),"Article inconnu",IF(N(H427)&lt;=0,"Quantité invalide",IF(J427="","Prix manquant",IF(OR(N(K427)&lt;0,N(K427)&gt;=1),"Remise invalide",IF(M427="","TVA manquante",IF(ISNA(MATCH(M427,p_tva,0)),"Taux de TVA inconnu",IF(COUNTIFS(po_num,A427,po_sup,"&lt;&gt;"&amp;C427)&gt;0,"Fournisseur différent sur ce bon",IF(COUNTIFS(po_num,A427,po_date,"&lt;&gt;"&amp;B427)&gt;0,"Date différente sur ce bon",IF(COUNTIF(po_num,A427)&gt;25,"Plus de 25 lignes sur ce bon",IF(R427="","Date de livraison manquante",IF(R427&lt;B427,"Livraison avant la commande",IF(AND(N(T427)&gt;0,N(S427)=0),"Date d'envoi manquante",IF(N(T427)&gt;N(H427),"Reçu plus que commandé",IF(AND(N(T427)&gt;0,N(U427)=0),"Date de réception manquante",IF(AND(N(U427)&gt;0,U427&lt;B427),"Réception avant la commande","OK")))))))))))))))))))))</f>
        <v/>
      </c>
      <c r="AA427" s="66" t="str">
        <f>IF(AND(X427="Reçu",ISNUMBER(R427)),IF(N(U427)&lt;=R427,1,0),"")</f>
        <v/>
      </c>
      <c r="AB427" s="76" t="str">
        <f>IF(OR(X427="Envoyé",X427="Partiel",X427="En retard"),IF(ISNUMBER(R427),R427,100000)+ROW()/100000,"")</f>
        <v/>
      </c>
      <c r="AC427" s="66" t="str">
        <f>IF(A427="","",IF(COUNTIF($A$6:A427,A427)=1,1,""))</f>
        <v/>
      </c>
      <c r="AD427" s="66" t="str">
        <f>IF(AC427=1,COUNT($AC$6:AC427),"")</f>
        <v/>
      </c>
      <c r="AE427" s="66" t="str">
        <f>IFERROR(INDEX(po_num,MATCH(422,po_seq,0))&amp;"","")</f>
        <v/>
      </c>
      <c r="AF427" s="66" t="str">
        <f>IF(OR(A427="",p_po=""),"",IF(A427&amp;""=p_po,COUNTIF($A$6:A427,A427),""))</f>
        <v/>
      </c>
      <c r="AG427" s="66" t="str">
        <f>IF(OR(AB427="",A427=""),"",IF(COUNTIFS($A$6:A427,A427,$AB$6:AB427,"&gt;0")=1,1,""))</f>
        <v/>
      </c>
      <c r="AH427" s="70" t="str">
        <f>IF(AB427="","",ROUND(N(W427)*N(J427)*(1-N(K427)),2))</f>
        <v/>
      </c>
      <c r="AI427" s="70" t="str">
        <f>IF(OR(J427="",N(T427)&lt;=0,V427="Oui"),"",ROUND(N(T427)*J427*(1-N(K427)),2))</f>
        <v/>
      </c>
    </row>
    <row r="428">
      <c r="A428" s="63" t="n"/>
      <c r="B428" s="64" t="n"/>
      <c r="C428" s="65" t="n"/>
      <c r="D428" s="66" t="str">
        <f>IF(C428="","",IFERROR(INDEX(sup_name,MATCH($C428,sup_code,0))&amp;"","Fournisseur inconnu"))</f>
        <v/>
      </c>
      <c r="E428" s="63" t="n"/>
      <c r="F428" s="66" t="str">
        <f>IF(E428="","",IFERROR(INDEX(art_des,MATCH($E428,art_ref,0))&amp;"","Article inconnu"))</f>
        <v/>
      </c>
      <c r="G428" s="67" t="str">
        <f>IF(E428="","",IFERROR(INDEX(art_unit,MATCH($E428,art_ref,0))&amp;"",""))</f>
        <v/>
      </c>
      <c r="H428" s="68" t="n"/>
      <c r="I428" s="69" t="n"/>
      <c r="J428" s="70" t="str">
        <f>IF(E428="","",IF(ISNUMBER(I428),I428,IFERROR(IF(ISNUMBER(INDEX(art_price,MATCH($E428,art_ref,0))),INDEX(art_price,MATCH($E428,art_ref,0)),""),"")))</f>
        <v/>
      </c>
      <c r="K428" s="71" t="n"/>
      <c r="L428" s="72" t="n"/>
      <c r="M428" s="72" t="str">
        <f>IF(E428="","",IF(L428&lt;&gt;"",L428,IFERROR(IF(ISNUMBER(INDEX(art_tva,MATCH($E428,art_ref,0))),INDEX(art_tva,MATCH($E428,art_ref,0)),""),"")))</f>
        <v/>
      </c>
      <c r="N428" s="70" t="str">
        <f>IF(OR(E428="",J428=""),"",ROUND(N(H428)*J428*(1-N(K428)),2))</f>
        <v/>
      </c>
      <c r="O428" s="70" t="str">
        <f>IF(OR(N428="",NOT(ISNUMBER(M428))),"",ROUND(N428*M428,2))</f>
        <v/>
      </c>
      <c r="P428" s="70" t="str">
        <f>IF(N428="","",N428+N(O428))</f>
        <v/>
      </c>
      <c r="Q428" s="64" t="n"/>
      <c r="R428" s="73" t="str">
        <f>IF(N(Q428)&gt;0,Q428,IF(OR(N(B428)=0,ISNA(MATCH($C428,sup_code,0))),"",IF(ISNUMBER(INDEX(sup_delay,MATCH($C428,sup_code,0))),B428+INDEX(sup_delay,MATCH($C428,sup_code,0)),"")))</f>
        <v/>
      </c>
      <c r="S428" s="64" t="n"/>
      <c r="T428" s="68" t="n"/>
      <c r="U428" s="64" t="n"/>
      <c r="V428" s="65" t="n"/>
      <c r="W428" s="74" t="str">
        <f>IF(AND(A428="",E428=""),"",IF(V428="Oui",0,MAX(0,ROUND(N(H428)-N(T428),6))))</f>
        <v/>
      </c>
      <c r="X428" s="67" t="str">
        <f>IF(AND(A428="",E428=""),"",IF(V428="Oui","Annulé",IF(AND(N(H428)&gt;0,N(T428)&gt;=N(H428)),"Reçu",IF(N(S428)=0,"Brouillon",IF(AND(ISNUMBER(R428),R428&lt;p_today),"En retard",IF(N(T428)&gt;0,"Partiel","Envoyé"))))))</f>
        <v/>
      </c>
      <c r="Y428" s="75" t="str">
        <f>IF(X428="En retard",p_today-R428,IF(AND(X428="Reçu",ISNUMBER(R428)),MAX(0,N(U428)-R428),""))</f>
        <v/>
      </c>
      <c r="Z428" s="67" t="str">
        <f>IF(AND(A428="",E428=""),"",IF(A428="","N° de bon manquant",IF(N(B428)=0,"Date de commande manquante",IF(C428="","Fournisseur manquant",IF(ISNA(MATCH($C428,sup_code,0)),"Fournisseur inconnu",IF(E428="","Article manquant",IF(ISNA(MATCH($E428,art_ref,0)),"Article inconnu",IF(N(H428)&lt;=0,"Quantité invalide",IF(J428="","Prix manquant",IF(OR(N(K428)&lt;0,N(K428)&gt;=1),"Remise invalide",IF(M428="","TVA manquante",IF(ISNA(MATCH(M428,p_tva,0)),"Taux de TVA inconnu",IF(COUNTIFS(po_num,A428,po_sup,"&lt;&gt;"&amp;C428)&gt;0,"Fournisseur différent sur ce bon",IF(COUNTIFS(po_num,A428,po_date,"&lt;&gt;"&amp;B428)&gt;0,"Date différente sur ce bon",IF(COUNTIF(po_num,A428)&gt;25,"Plus de 25 lignes sur ce bon",IF(R428="","Date de livraison manquante",IF(R428&lt;B428,"Livraison avant la commande",IF(AND(N(T428)&gt;0,N(S428)=0),"Date d'envoi manquante",IF(N(T428)&gt;N(H428),"Reçu plus que commandé",IF(AND(N(T428)&gt;0,N(U428)=0),"Date de réception manquante",IF(AND(N(U428)&gt;0,U428&lt;B428),"Réception avant la commande","OK")))))))))))))))))))))</f>
        <v/>
      </c>
      <c r="AA428" s="66" t="str">
        <f>IF(AND(X428="Reçu",ISNUMBER(R428)),IF(N(U428)&lt;=R428,1,0),"")</f>
        <v/>
      </c>
      <c r="AB428" s="76" t="str">
        <f>IF(OR(X428="Envoyé",X428="Partiel",X428="En retard"),IF(ISNUMBER(R428),R428,100000)+ROW()/100000,"")</f>
        <v/>
      </c>
      <c r="AC428" s="66" t="str">
        <f>IF(A428="","",IF(COUNTIF($A$6:A428,A428)=1,1,""))</f>
        <v/>
      </c>
      <c r="AD428" s="66" t="str">
        <f>IF(AC428=1,COUNT($AC$6:AC428),"")</f>
        <v/>
      </c>
      <c r="AE428" s="66" t="str">
        <f>IFERROR(INDEX(po_num,MATCH(423,po_seq,0))&amp;"","")</f>
        <v/>
      </c>
      <c r="AF428" s="66" t="str">
        <f>IF(OR(A428="",p_po=""),"",IF(A428&amp;""=p_po,COUNTIF($A$6:A428,A428),""))</f>
        <v/>
      </c>
      <c r="AG428" s="66" t="str">
        <f>IF(OR(AB428="",A428=""),"",IF(COUNTIFS($A$6:A428,A428,$AB$6:AB428,"&gt;0")=1,1,""))</f>
        <v/>
      </c>
      <c r="AH428" s="70" t="str">
        <f>IF(AB428="","",ROUND(N(W428)*N(J428)*(1-N(K428)),2))</f>
        <v/>
      </c>
      <c r="AI428" s="70" t="str">
        <f>IF(OR(J428="",N(T428)&lt;=0,V428="Oui"),"",ROUND(N(T428)*J428*(1-N(K428)),2))</f>
        <v/>
      </c>
    </row>
    <row r="429">
      <c r="A429" s="63" t="n"/>
      <c r="B429" s="64" t="n"/>
      <c r="C429" s="65" t="n"/>
      <c r="D429" s="66" t="str">
        <f>IF(C429="","",IFERROR(INDEX(sup_name,MATCH($C429,sup_code,0))&amp;"","Fournisseur inconnu"))</f>
        <v/>
      </c>
      <c r="E429" s="63" t="n"/>
      <c r="F429" s="66" t="str">
        <f>IF(E429="","",IFERROR(INDEX(art_des,MATCH($E429,art_ref,0))&amp;"","Article inconnu"))</f>
        <v/>
      </c>
      <c r="G429" s="67" t="str">
        <f>IF(E429="","",IFERROR(INDEX(art_unit,MATCH($E429,art_ref,0))&amp;"",""))</f>
        <v/>
      </c>
      <c r="H429" s="68" t="n"/>
      <c r="I429" s="69" t="n"/>
      <c r="J429" s="70" t="str">
        <f>IF(E429="","",IF(ISNUMBER(I429),I429,IFERROR(IF(ISNUMBER(INDEX(art_price,MATCH($E429,art_ref,0))),INDEX(art_price,MATCH($E429,art_ref,0)),""),"")))</f>
        <v/>
      </c>
      <c r="K429" s="71" t="n"/>
      <c r="L429" s="72" t="n"/>
      <c r="M429" s="72" t="str">
        <f>IF(E429="","",IF(L429&lt;&gt;"",L429,IFERROR(IF(ISNUMBER(INDEX(art_tva,MATCH($E429,art_ref,0))),INDEX(art_tva,MATCH($E429,art_ref,0)),""),"")))</f>
        <v/>
      </c>
      <c r="N429" s="70" t="str">
        <f>IF(OR(E429="",J429=""),"",ROUND(N(H429)*J429*(1-N(K429)),2))</f>
        <v/>
      </c>
      <c r="O429" s="70" t="str">
        <f>IF(OR(N429="",NOT(ISNUMBER(M429))),"",ROUND(N429*M429,2))</f>
        <v/>
      </c>
      <c r="P429" s="70" t="str">
        <f>IF(N429="","",N429+N(O429))</f>
        <v/>
      </c>
      <c r="Q429" s="64" t="n"/>
      <c r="R429" s="73" t="str">
        <f>IF(N(Q429)&gt;0,Q429,IF(OR(N(B429)=0,ISNA(MATCH($C429,sup_code,0))),"",IF(ISNUMBER(INDEX(sup_delay,MATCH($C429,sup_code,0))),B429+INDEX(sup_delay,MATCH($C429,sup_code,0)),"")))</f>
        <v/>
      </c>
      <c r="S429" s="64" t="n"/>
      <c r="T429" s="68" t="n"/>
      <c r="U429" s="64" t="n"/>
      <c r="V429" s="65" t="n"/>
      <c r="W429" s="74" t="str">
        <f>IF(AND(A429="",E429=""),"",IF(V429="Oui",0,MAX(0,ROUND(N(H429)-N(T429),6))))</f>
        <v/>
      </c>
      <c r="X429" s="67" t="str">
        <f>IF(AND(A429="",E429=""),"",IF(V429="Oui","Annulé",IF(AND(N(H429)&gt;0,N(T429)&gt;=N(H429)),"Reçu",IF(N(S429)=0,"Brouillon",IF(AND(ISNUMBER(R429),R429&lt;p_today),"En retard",IF(N(T429)&gt;0,"Partiel","Envoyé"))))))</f>
        <v/>
      </c>
      <c r="Y429" s="75" t="str">
        <f>IF(X429="En retard",p_today-R429,IF(AND(X429="Reçu",ISNUMBER(R429)),MAX(0,N(U429)-R429),""))</f>
        <v/>
      </c>
      <c r="Z429" s="67" t="str">
        <f>IF(AND(A429="",E429=""),"",IF(A429="","N° de bon manquant",IF(N(B429)=0,"Date de commande manquante",IF(C429="","Fournisseur manquant",IF(ISNA(MATCH($C429,sup_code,0)),"Fournisseur inconnu",IF(E429="","Article manquant",IF(ISNA(MATCH($E429,art_ref,0)),"Article inconnu",IF(N(H429)&lt;=0,"Quantité invalide",IF(J429="","Prix manquant",IF(OR(N(K429)&lt;0,N(K429)&gt;=1),"Remise invalide",IF(M429="","TVA manquante",IF(ISNA(MATCH(M429,p_tva,0)),"Taux de TVA inconnu",IF(COUNTIFS(po_num,A429,po_sup,"&lt;&gt;"&amp;C429)&gt;0,"Fournisseur différent sur ce bon",IF(COUNTIFS(po_num,A429,po_date,"&lt;&gt;"&amp;B429)&gt;0,"Date différente sur ce bon",IF(COUNTIF(po_num,A429)&gt;25,"Plus de 25 lignes sur ce bon",IF(R429="","Date de livraison manquante",IF(R429&lt;B429,"Livraison avant la commande",IF(AND(N(T429)&gt;0,N(S429)=0),"Date d'envoi manquante",IF(N(T429)&gt;N(H429),"Reçu plus que commandé",IF(AND(N(T429)&gt;0,N(U429)=0),"Date de réception manquante",IF(AND(N(U429)&gt;0,U429&lt;B429),"Réception avant la commande","OK")))))))))))))))))))))</f>
        <v/>
      </c>
      <c r="AA429" s="66" t="str">
        <f>IF(AND(X429="Reçu",ISNUMBER(R429)),IF(N(U429)&lt;=R429,1,0),"")</f>
        <v/>
      </c>
      <c r="AB429" s="76" t="str">
        <f>IF(OR(X429="Envoyé",X429="Partiel",X429="En retard"),IF(ISNUMBER(R429),R429,100000)+ROW()/100000,"")</f>
        <v/>
      </c>
      <c r="AC429" s="66" t="str">
        <f>IF(A429="","",IF(COUNTIF($A$6:A429,A429)=1,1,""))</f>
        <v/>
      </c>
      <c r="AD429" s="66" t="str">
        <f>IF(AC429=1,COUNT($AC$6:AC429),"")</f>
        <v/>
      </c>
      <c r="AE429" s="66" t="str">
        <f>IFERROR(INDEX(po_num,MATCH(424,po_seq,0))&amp;"","")</f>
        <v/>
      </c>
      <c r="AF429" s="66" t="str">
        <f>IF(OR(A429="",p_po=""),"",IF(A429&amp;""=p_po,COUNTIF($A$6:A429,A429),""))</f>
        <v/>
      </c>
      <c r="AG429" s="66" t="str">
        <f>IF(OR(AB429="",A429=""),"",IF(COUNTIFS($A$6:A429,A429,$AB$6:AB429,"&gt;0")=1,1,""))</f>
        <v/>
      </c>
      <c r="AH429" s="70" t="str">
        <f>IF(AB429="","",ROUND(N(W429)*N(J429)*(1-N(K429)),2))</f>
        <v/>
      </c>
      <c r="AI429" s="70" t="str">
        <f>IF(OR(J429="",N(T429)&lt;=0,V429="Oui"),"",ROUND(N(T429)*J429*(1-N(K429)),2))</f>
        <v/>
      </c>
    </row>
    <row r="430">
      <c r="A430" s="63" t="n"/>
      <c r="B430" s="64" t="n"/>
      <c r="C430" s="65" t="n"/>
      <c r="D430" s="66" t="str">
        <f>IF(C430="","",IFERROR(INDEX(sup_name,MATCH($C430,sup_code,0))&amp;"","Fournisseur inconnu"))</f>
        <v/>
      </c>
      <c r="E430" s="63" t="n"/>
      <c r="F430" s="66" t="str">
        <f>IF(E430="","",IFERROR(INDEX(art_des,MATCH($E430,art_ref,0))&amp;"","Article inconnu"))</f>
        <v/>
      </c>
      <c r="G430" s="67" t="str">
        <f>IF(E430="","",IFERROR(INDEX(art_unit,MATCH($E430,art_ref,0))&amp;"",""))</f>
        <v/>
      </c>
      <c r="H430" s="68" t="n"/>
      <c r="I430" s="69" t="n"/>
      <c r="J430" s="70" t="str">
        <f>IF(E430="","",IF(ISNUMBER(I430),I430,IFERROR(IF(ISNUMBER(INDEX(art_price,MATCH($E430,art_ref,0))),INDEX(art_price,MATCH($E430,art_ref,0)),""),"")))</f>
        <v/>
      </c>
      <c r="K430" s="71" t="n"/>
      <c r="L430" s="72" t="n"/>
      <c r="M430" s="72" t="str">
        <f>IF(E430="","",IF(L430&lt;&gt;"",L430,IFERROR(IF(ISNUMBER(INDEX(art_tva,MATCH($E430,art_ref,0))),INDEX(art_tva,MATCH($E430,art_ref,0)),""),"")))</f>
        <v/>
      </c>
      <c r="N430" s="70" t="str">
        <f>IF(OR(E430="",J430=""),"",ROUND(N(H430)*J430*(1-N(K430)),2))</f>
        <v/>
      </c>
      <c r="O430" s="70" t="str">
        <f>IF(OR(N430="",NOT(ISNUMBER(M430))),"",ROUND(N430*M430,2))</f>
        <v/>
      </c>
      <c r="P430" s="70" t="str">
        <f>IF(N430="","",N430+N(O430))</f>
        <v/>
      </c>
      <c r="Q430" s="64" t="n"/>
      <c r="R430" s="73" t="str">
        <f>IF(N(Q430)&gt;0,Q430,IF(OR(N(B430)=0,ISNA(MATCH($C430,sup_code,0))),"",IF(ISNUMBER(INDEX(sup_delay,MATCH($C430,sup_code,0))),B430+INDEX(sup_delay,MATCH($C430,sup_code,0)),"")))</f>
        <v/>
      </c>
      <c r="S430" s="64" t="n"/>
      <c r="T430" s="68" t="n"/>
      <c r="U430" s="64" t="n"/>
      <c r="V430" s="65" t="n"/>
      <c r="W430" s="74" t="str">
        <f>IF(AND(A430="",E430=""),"",IF(V430="Oui",0,MAX(0,ROUND(N(H430)-N(T430),6))))</f>
        <v/>
      </c>
      <c r="X430" s="67" t="str">
        <f>IF(AND(A430="",E430=""),"",IF(V430="Oui","Annulé",IF(AND(N(H430)&gt;0,N(T430)&gt;=N(H430)),"Reçu",IF(N(S430)=0,"Brouillon",IF(AND(ISNUMBER(R430),R430&lt;p_today),"En retard",IF(N(T430)&gt;0,"Partiel","Envoyé"))))))</f>
        <v/>
      </c>
      <c r="Y430" s="75" t="str">
        <f>IF(X430="En retard",p_today-R430,IF(AND(X430="Reçu",ISNUMBER(R430)),MAX(0,N(U430)-R430),""))</f>
        <v/>
      </c>
      <c r="Z430" s="67" t="str">
        <f>IF(AND(A430="",E430=""),"",IF(A430="","N° de bon manquant",IF(N(B430)=0,"Date de commande manquante",IF(C430="","Fournisseur manquant",IF(ISNA(MATCH($C430,sup_code,0)),"Fournisseur inconnu",IF(E430="","Article manquant",IF(ISNA(MATCH($E430,art_ref,0)),"Article inconnu",IF(N(H430)&lt;=0,"Quantité invalide",IF(J430="","Prix manquant",IF(OR(N(K430)&lt;0,N(K430)&gt;=1),"Remise invalide",IF(M430="","TVA manquante",IF(ISNA(MATCH(M430,p_tva,0)),"Taux de TVA inconnu",IF(COUNTIFS(po_num,A430,po_sup,"&lt;&gt;"&amp;C430)&gt;0,"Fournisseur différent sur ce bon",IF(COUNTIFS(po_num,A430,po_date,"&lt;&gt;"&amp;B430)&gt;0,"Date différente sur ce bon",IF(COUNTIF(po_num,A430)&gt;25,"Plus de 25 lignes sur ce bon",IF(R430="","Date de livraison manquante",IF(R430&lt;B430,"Livraison avant la commande",IF(AND(N(T430)&gt;0,N(S430)=0),"Date d'envoi manquante",IF(N(T430)&gt;N(H430),"Reçu plus que commandé",IF(AND(N(T430)&gt;0,N(U430)=0),"Date de réception manquante",IF(AND(N(U430)&gt;0,U430&lt;B430),"Réception avant la commande","OK")))))))))))))))))))))</f>
        <v/>
      </c>
      <c r="AA430" s="66" t="str">
        <f>IF(AND(X430="Reçu",ISNUMBER(R430)),IF(N(U430)&lt;=R430,1,0),"")</f>
        <v/>
      </c>
      <c r="AB430" s="76" t="str">
        <f>IF(OR(X430="Envoyé",X430="Partiel",X430="En retard"),IF(ISNUMBER(R430),R430,100000)+ROW()/100000,"")</f>
        <v/>
      </c>
      <c r="AC430" s="66" t="str">
        <f>IF(A430="","",IF(COUNTIF($A$6:A430,A430)=1,1,""))</f>
        <v/>
      </c>
      <c r="AD430" s="66" t="str">
        <f>IF(AC430=1,COUNT($AC$6:AC430),"")</f>
        <v/>
      </c>
      <c r="AE430" s="66" t="str">
        <f>IFERROR(INDEX(po_num,MATCH(425,po_seq,0))&amp;"","")</f>
        <v/>
      </c>
      <c r="AF430" s="66" t="str">
        <f>IF(OR(A430="",p_po=""),"",IF(A430&amp;""=p_po,COUNTIF($A$6:A430,A430),""))</f>
        <v/>
      </c>
      <c r="AG430" s="66" t="str">
        <f>IF(OR(AB430="",A430=""),"",IF(COUNTIFS($A$6:A430,A430,$AB$6:AB430,"&gt;0")=1,1,""))</f>
        <v/>
      </c>
      <c r="AH430" s="70" t="str">
        <f>IF(AB430="","",ROUND(N(W430)*N(J430)*(1-N(K430)),2))</f>
        <v/>
      </c>
      <c r="AI430" s="70" t="str">
        <f>IF(OR(J430="",N(T430)&lt;=0,V430="Oui"),"",ROUND(N(T430)*J430*(1-N(K430)),2))</f>
        <v/>
      </c>
    </row>
    <row r="431">
      <c r="A431" s="63" t="n"/>
      <c r="B431" s="64" t="n"/>
      <c r="C431" s="65" t="n"/>
      <c r="D431" s="66" t="str">
        <f>IF(C431="","",IFERROR(INDEX(sup_name,MATCH($C431,sup_code,0))&amp;"","Fournisseur inconnu"))</f>
        <v/>
      </c>
      <c r="E431" s="63" t="n"/>
      <c r="F431" s="66" t="str">
        <f>IF(E431="","",IFERROR(INDEX(art_des,MATCH($E431,art_ref,0))&amp;"","Article inconnu"))</f>
        <v/>
      </c>
      <c r="G431" s="67" t="str">
        <f>IF(E431="","",IFERROR(INDEX(art_unit,MATCH($E431,art_ref,0))&amp;"",""))</f>
        <v/>
      </c>
      <c r="H431" s="68" t="n"/>
      <c r="I431" s="69" t="n"/>
      <c r="J431" s="70" t="str">
        <f>IF(E431="","",IF(ISNUMBER(I431),I431,IFERROR(IF(ISNUMBER(INDEX(art_price,MATCH($E431,art_ref,0))),INDEX(art_price,MATCH($E431,art_ref,0)),""),"")))</f>
        <v/>
      </c>
      <c r="K431" s="71" t="n"/>
      <c r="L431" s="72" t="n"/>
      <c r="M431" s="72" t="str">
        <f>IF(E431="","",IF(L431&lt;&gt;"",L431,IFERROR(IF(ISNUMBER(INDEX(art_tva,MATCH($E431,art_ref,0))),INDEX(art_tva,MATCH($E431,art_ref,0)),""),"")))</f>
        <v/>
      </c>
      <c r="N431" s="70" t="str">
        <f>IF(OR(E431="",J431=""),"",ROUND(N(H431)*J431*(1-N(K431)),2))</f>
        <v/>
      </c>
      <c r="O431" s="70" t="str">
        <f>IF(OR(N431="",NOT(ISNUMBER(M431))),"",ROUND(N431*M431,2))</f>
        <v/>
      </c>
      <c r="P431" s="70" t="str">
        <f>IF(N431="","",N431+N(O431))</f>
        <v/>
      </c>
      <c r="Q431" s="64" t="n"/>
      <c r="R431" s="73" t="str">
        <f>IF(N(Q431)&gt;0,Q431,IF(OR(N(B431)=0,ISNA(MATCH($C431,sup_code,0))),"",IF(ISNUMBER(INDEX(sup_delay,MATCH($C431,sup_code,0))),B431+INDEX(sup_delay,MATCH($C431,sup_code,0)),"")))</f>
        <v/>
      </c>
      <c r="S431" s="64" t="n"/>
      <c r="T431" s="68" t="n"/>
      <c r="U431" s="64" t="n"/>
      <c r="V431" s="65" t="n"/>
      <c r="W431" s="74" t="str">
        <f>IF(AND(A431="",E431=""),"",IF(V431="Oui",0,MAX(0,ROUND(N(H431)-N(T431),6))))</f>
        <v/>
      </c>
      <c r="X431" s="67" t="str">
        <f>IF(AND(A431="",E431=""),"",IF(V431="Oui","Annulé",IF(AND(N(H431)&gt;0,N(T431)&gt;=N(H431)),"Reçu",IF(N(S431)=0,"Brouillon",IF(AND(ISNUMBER(R431),R431&lt;p_today),"En retard",IF(N(T431)&gt;0,"Partiel","Envoyé"))))))</f>
        <v/>
      </c>
      <c r="Y431" s="75" t="str">
        <f>IF(X431="En retard",p_today-R431,IF(AND(X431="Reçu",ISNUMBER(R431)),MAX(0,N(U431)-R431),""))</f>
        <v/>
      </c>
      <c r="Z431" s="67" t="str">
        <f>IF(AND(A431="",E431=""),"",IF(A431="","N° de bon manquant",IF(N(B431)=0,"Date de commande manquante",IF(C431="","Fournisseur manquant",IF(ISNA(MATCH($C431,sup_code,0)),"Fournisseur inconnu",IF(E431="","Article manquant",IF(ISNA(MATCH($E431,art_ref,0)),"Article inconnu",IF(N(H431)&lt;=0,"Quantité invalide",IF(J431="","Prix manquant",IF(OR(N(K431)&lt;0,N(K431)&gt;=1),"Remise invalide",IF(M431="","TVA manquante",IF(ISNA(MATCH(M431,p_tva,0)),"Taux de TVA inconnu",IF(COUNTIFS(po_num,A431,po_sup,"&lt;&gt;"&amp;C431)&gt;0,"Fournisseur différent sur ce bon",IF(COUNTIFS(po_num,A431,po_date,"&lt;&gt;"&amp;B431)&gt;0,"Date différente sur ce bon",IF(COUNTIF(po_num,A431)&gt;25,"Plus de 25 lignes sur ce bon",IF(R431="","Date de livraison manquante",IF(R431&lt;B431,"Livraison avant la commande",IF(AND(N(T431)&gt;0,N(S431)=0),"Date d'envoi manquante",IF(N(T431)&gt;N(H431),"Reçu plus que commandé",IF(AND(N(T431)&gt;0,N(U431)=0),"Date de réception manquante",IF(AND(N(U431)&gt;0,U431&lt;B431),"Réception avant la commande","OK")))))))))))))))))))))</f>
        <v/>
      </c>
      <c r="AA431" s="66" t="str">
        <f>IF(AND(X431="Reçu",ISNUMBER(R431)),IF(N(U431)&lt;=R431,1,0),"")</f>
        <v/>
      </c>
      <c r="AB431" s="76" t="str">
        <f>IF(OR(X431="Envoyé",X431="Partiel",X431="En retard"),IF(ISNUMBER(R431),R431,100000)+ROW()/100000,"")</f>
        <v/>
      </c>
      <c r="AC431" s="66" t="str">
        <f>IF(A431="","",IF(COUNTIF($A$6:A431,A431)=1,1,""))</f>
        <v/>
      </c>
      <c r="AD431" s="66" t="str">
        <f>IF(AC431=1,COUNT($AC$6:AC431),"")</f>
        <v/>
      </c>
      <c r="AE431" s="66" t="str">
        <f>IFERROR(INDEX(po_num,MATCH(426,po_seq,0))&amp;"","")</f>
        <v/>
      </c>
      <c r="AF431" s="66" t="str">
        <f>IF(OR(A431="",p_po=""),"",IF(A431&amp;""=p_po,COUNTIF($A$6:A431,A431),""))</f>
        <v/>
      </c>
      <c r="AG431" s="66" t="str">
        <f>IF(OR(AB431="",A431=""),"",IF(COUNTIFS($A$6:A431,A431,$AB$6:AB431,"&gt;0")=1,1,""))</f>
        <v/>
      </c>
      <c r="AH431" s="70" t="str">
        <f>IF(AB431="","",ROUND(N(W431)*N(J431)*(1-N(K431)),2))</f>
        <v/>
      </c>
      <c r="AI431" s="70" t="str">
        <f>IF(OR(J431="",N(T431)&lt;=0,V431="Oui"),"",ROUND(N(T431)*J431*(1-N(K431)),2))</f>
        <v/>
      </c>
    </row>
    <row r="432">
      <c r="A432" s="63" t="n"/>
      <c r="B432" s="64" t="n"/>
      <c r="C432" s="65" t="n"/>
      <c r="D432" s="66" t="str">
        <f>IF(C432="","",IFERROR(INDEX(sup_name,MATCH($C432,sup_code,0))&amp;"","Fournisseur inconnu"))</f>
        <v/>
      </c>
      <c r="E432" s="63" t="n"/>
      <c r="F432" s="66" t="str">
        <f>IF(E432="","",IFERROR(INDEX(art_des,MATCH($E432,art_ref,0))&amp;"","Article inconnu"))</f>
        <v/>
      </c>
      <c r="G432" s="67" t="str">
        <f>IF(E432="","",IFERROR(INDEX(art_unit,MATCH($E432,art_ref,0))&amp;"",""))</f>
        <v/>
      </c>
      <c r="H432" s="68" t="n"/>
      <c r="I432" s="69" t="n"/>
      <c r="J432" s="70" t="str">
        <f>IF(E432="","",IF(ISNUMBER(I432),I432,IFERROR(IF(ISNUMBER(INDEX(art_price,MATCH($E432,art_ref,0))),INDEX(art_price,MATCH($E432,art_ref,0)),""),"")))</f>
        <v/>
      </c>
      <c r="K432" s="71" t="n"/>
      <c r="L432" s="72" t="n"/>
      <c r="M432" s="72" t="str">
        <f>IF(E432="","",IF(L432&lt;&gt;"",L432,IFERROR(IF(ISNUMBER(INDEX(art_tva,MATCH($E432,art_ref,0))),INDEX(art_tva,MATCH($E432,art_ref,0)),""),"")))</f>
        <v/>
      </c>
      <c r="N432" s="70" t="str">
        <f>IF(OR(E432="",J432=""),"",ROUND(N(H432)*J432*(1-N(K432)),2))</f>
        <v/>
      </c>
      <c r="O432" s="70" t="str">
        <f>IF(OR(N432="",NOT(ISNUMBER(M432))),"",ROUND(N432*M432,2))</f>
        <v/>
      </c>
      <c r="P432" s="70" t="str">
        <f>IF(N432="","",N432+N(O432))</f>
        <v/>
      </c>
      <c r="Q432" s="64" t="n"/>
      <c r="R432" s="73" t="str">
        <f>IF(N(Q432)&gt;0,Q432,IF(OR(N(B432)=0,ISNA(MATCH($C432,sup_code,0))),"",IF(ISNUMBER(INDEX(sup_delay,MATCH($C432,sup_code,0))),B432+INDEX(sup_delay,MATCH($C432,sup_code,0)),"")))</f>
        <v/>
      </c>
      <c r="S432" s="64" t="n"/>
      <c r="T432" s="68" t="n"/>
      <c r="U432" s="64" t="n"/>
      <c r="V432" s="65" t="n"/>
      <c r="W432" s="74" t="str">
        <f>IF(AND(A432="",E432=""),"",IF(V432="Oui",0,MAX(0,ROUND(N(H432)-N(T432),6))))</f>
        <v/>
      </c>
      <c r="X432" s="67" t="str">
        <f>IF(AND(A432="",E432=""),"",IF(V432="Oui","Annulé",IF(AND(N(H432)&gt;0,N(T432)&gt;=N(H432)),"Reçu",IF(N(S432)=0,"Brouillon",IF(AND(ISNUMBER(R432),R432&lt;p_today),"En retard",IF(N(T432)&gt;0,"Partiel","Envoyé"))))))</f>
        <v/>
      </c>
      <c r="Y432" s="75" t="str">
        <f>IF(X432="En retard",p_today-R432,IF(AND(X432="Reçu",ISNUMBER(R432)),MAX(0,N(U432)-R432),""))</f>
        <v/>
      </c>
      <c r="Z432" s="67" t="str">
        <f>IF(AND(A432="",E432=""),"",IF(A432="","N° de bon manquant",IF(N(B432)=0,"Date de commande manquante",IF(C432="","Fournisseur manquant",IF(ISNA(MATCH($C432,sup_code,0)),"Fournisseur inconnu",IF(E432="","Article manquant",IF(ISNA(MATCH($E432,art_ref,0)),"Article inconnu",IF(N(H432)&lt;=0,"Quantité invalide",IF(J432="","Prix manquant",IF(OR(N(K432)&lt;0,N(K432)&gt;=1),"Remise invalide",IF(M432="","TVA manquante",IF(ISNA(MATCH(M432,p_tva,0)),"Taux de TVA inconnu",IF(COUNTIFS(po_num,A432,po_sup,"&lt;&gt;"&amp;C432)&gt;0,"Fournisseur différent sur ce bon",IF(COUNTIFS(po_num,A432,po_date,"&lt;&gt;"&amp;B432)&gt;0,"Date différente sur ce bon",IF(COUNTIF(po_num,A432)&gt;25,"Plus de 25 lignes sur ce bon",IF(R432="","Date de livraison manquante",IF(R432&lt;B432,"Livraison avant la commande",IF(AND(N(T432)&gt;0,N(S432)=0),"Date d'envoi manquante",IF(N(T432)&gt;N(H432),"Reçu plus que commandé",IF(AND(N(T432)&gt;0,N(U432)=0),"Date de réception manquante",IF(AND(N(U432)&gt;0,U432&lt;B432),"Réception avant la commande","OK")))))))))))))))))))))</f>
        <v/>
      </c>
      <c r="AA432" s="66" t="str">
        <f>IF(AND(X432="Reçu",ISNUMBER(R432)),IF(N(U432)&lt;=R432,1,0),"")</f>
        <v/>
      </c>
      <c r="AB432" s="76" t="str">
        <f>IF(OR(X432="Envoyé",X432="Partiel",X432="En retard"),IF(ISNUMBER(R432),R432,100000)+ROW()/100000,"")</f>
        <v/>
      </c>
      <c r="AC432" s="66" t="str">
        <f>IF(A432="","",IF(COUNTIF($A$6:A432,A432)=1,1,""))</f>
        <v/>
      </c>
      <c r="AD432" s="66" t="str">
        <f>IF(AC432=1,COUNT($AC$6:AC432),"")</f>
        <v/>
      </c>
      <c r="AE432" s="66" t="str">
        <f>IFERROR(INDEX(po_num,MATCH(427,po_seq,0))&amp;"","")</f>
        <v/>
      </c>
      <c r="AF432" s="66" t="str">
        <f>IF(OR(A432="",p_po=""),"",IF(A432&amp;""=p_po,COUNTIF($A$6:A432,A432),""))</f>
        <v/>
      </c>
      <c r="AG432" s="66" t="str">
        <f>IF(OR(AB432="",A432=""),"",IF(COUNTIFS($A$6:A432,A432,$AB$6:AB432,"&gt;0")=1,1,""))</f>
        <v/>
      </c>
      <c r="AH432" s="70" t="str">
        <f>IF(AB432="","",ROUND(N(W432)*N(J432)*(1-N(K432)),2))</f>
        <v/>
      </c>
      <c r="AI432" s="70" t="str">
        <f>IF(OR(J432="",N(T432)&lt;=0,V432="Oui"),"",ROUND(N(T432)*J432*(1-N(K432)),2))</f>
        <v/>
      </c>
    </row>
    <row r="433">
      <c r="A433" s="63" t="n"/>
      <c r="B433" s="64" t="n"/>
      <c r="C433" s="65" t="n"/>
      <c r="D433" s="66" t="str">
        <f>IF(C433="","",IFERROR(INDEX(sup_name,MATCH($C433,sup_code,0))&amp;"","Fournisseur inconnu"))</f>
        <v/>
      </c>
      <c r="E433" s="63" t="n"/>
      <c r="F433" s="66" t="str">
        <f>IF(E433="","",IFERROR(INDEX(art_des,MATCH($E433,art_ref,0))&amp;"","Article inconnu"))</f>
        <v/>
      </c>
      <c r="G433" s="67" t="str">
        <f>IF(E433="","",IFERROR(INDEX(art_unit,MATCH($E433,art_ref,0))&amp;"",""))</f>
        <v/>
      </c>
      <c r="H433" s="68" t="n"/>
      <c r="I433" s="69" t="n"/>
      <c r="J433" s="70" t="str">
        <f>IF(E433="","",IF(ISNUMBER(I433),I433,IFERROR(IF(ISNUMBER(INDEX(art_price,MATCH($E433,art_ref,0))),INDEX(art_price,MATCH($E433,art_ref,0)),""),"")))</f>
        <v/>
      </c>
      <c r="K433" s="71" t="n"/>
      <c r="L433" s="72" t="n"/>
      <c r="M433" s="72" t="str">
        <f>IF(E433="","",IF(L433&lt;&gt;"",L433,IFERROR(IF(ISNUMBER(INDEX(art_tva,MATCH($E433,art_ref,0))),INDEX(art_tva,MATCH($E433,art_ref,0)),""),"")))</f>
        <v/>
      </c>
      <c r="N433" s="70" t="str">
        <f>IF(OR(E433="",J433=""),"",ROUND(N(H433)*J433*(1-N(K433)),2))</f>
        <v/>
      </c>
      <c r="O433" s="70" t="str">
        <f>IF(OR(N433="",NOT(ISNUMBER(M433))),"",ROUND(N433*M433,2))</f>
        <v/>
      </c>
      <c r="P433" s="70" t="str">
        <f>IF(N433="","",N433+N(O433))</f>
        <v/>
      </c>
      <c r="Q433" s="64" t="n"/>
      <c r="R433" s="73" t="str">
        <f>IF(N(Q433)&gt;0,Q433,IF(OR(N(B433)=0,ISNA(MATCH($C433,sup_code,0))),"",IF(ISNUMBER(INDEX(sup_delay,MATCH($C433,sup_code,0))),B433+INDEX(sup_delay,MATCH($C433,sup_code,0)),"")))</f>
        <v/>
      </c>
      <c r="S433" s="64" t="n"/>
      <c r="T433" s="68" t="n"/>
      <c r="U433" s="64" t="n"/>
      <c r="V433" s="65" t="n"/>
      <c r="W433" s="74" t="str">
        <f>IF(AND(A433="",E433=""),"",IF(V433="Oui",0,MAX(0,ROUND(N(H433)-N(T433),6))))</f>
        <v/>
      </c>
      <c r="X433" s="67" t="str">
        <f>IF(AND(A433="",E433=""),"",IF(V433="Oui","Annulé",IF(AND(N(H433)&gt;0,N(T433)&gt;=N(H433)),"Reçu",IF(N(S433)=0,"Brouillon",IF(AND(ISNUMBER(R433),R433&lt;p_today),"En retard",IF(N(T433)&gt;0,"Partiel","Envoyé"))))))</f>
        <v/>
      </c>
      <c r="Y433" s="75" t="str">
        <f>IF(X433="En retard",p_today-R433,IF(AND(X433="Reçu",ISNUMBER(R433)),MAX(0,N(U433)-R433),""))</f>
        <v/>
      </c>
      <c r="Z433" s="67" t="str">
        <f>IF(AND(A433="",E433=""),"",IF(A433="","N° de bon manquant",IF(N(B433)=0,"Date de commande manquante",IF(C433="","Fournisseur manquant",IF(ISNA(MATCH($C433,sup_code,0)),"Fournisseur inconnu",IF(E433="","Article manquant",IF(ISNA(MATCH($E433,art_ref,0)),"Article inconnu",IF(N(H433)&lt;=0,"Quantité invalide",IF(J433="","Prix manquant",IF(OR(N(K433)&lt;0,N(K433)&gt;=1),"Remise invalide",IF(M433="","TVA manquante",IF(ISNA(MATCH(M433,p_tva,0)),"Taux de TVA inconnu",IF(COUNTIFS(po_num,A433,po_sup,"&lt;&gt;"&amp;C433)&gt;0,"Fournisseur différent sur ce bon",IF(COUNTIFS(po_num,A433,po_date,"&lt;&gt;"&amp;B433)&gt;0,"Date différente sur ce bon",IF(COUNTIF(po_num,A433)&gt;25,"Plus de 25 lignes sur ce bon",IF(R433="","Date de livraison manquante",IF(R433&lt;B433,"Livraison avant la commande",IF(AND(N(T433)&gt;0,N(S433)=0),"Date d'envoi manquante",IF(N(T433)&gt;N(H433),"Reçu plus que commandé",IF(AND(N(T433)&gt;0,N(U433)=0),"Date de réception manquante",IF(AND(N(U433)&gt;0,U433&lt;B433),"Réception avant la commande","OK")))))))))))))))))))))</f>
        <v/>
      </c>
      <c r="AA433" s="66" t="str">
        <f>IF(AND(X433="Reçu",ISNUMBER(R433)),IF(N(U433)&lt;=R433,1,0),"")</f>
        <v/>
      </c>
      <c r="AB433" s="76" t="str">
        <f>IF(OR(X433="Envoyé",X433="Partiel",X433="En retard"),IF(ISNUMBER(R433),R433,100000)+ROW()/100000,"")</f>
        <v/>
      </c>
      <c r="AC433" s="66" t="str">
        <f>IF(A433="","",IF(COUNTIF($A$6:A433,A433)=1,1,""))</f>
        <v/>
      </c>
      <c r="AD433" s="66" t="str">
        <f>IF(AC433=1,COUNT($AC$6:AC433),"")</f>
        <v/>
      </c>
      <c r="AE433" s="66" t="str">
        <f>IFERROR(INDEX(po_num,MATCH(428,po_seq,0))&amp;"","")</f>
        <v/>
      </c>
      <c r="AF433" s="66" t="str">
        <f>IF(OR(A433="",p_po=""),"",IF(A433&amp;""=p_po,COUNTIF($A$6:A433,A433),""))</f>
        <v/>
      </c>
      <c r="AG433" s="66" t="str">
        <f>IF(OR(AB433="",A433=""),"",IF(COUNTIFS($A$6:A433,A433,$AB$6:AB433,"&gt;0")=1,1,""))</f>
        <v/>
      </c>
      <c r="AH433" s="70" t="str">
        <f>IF(AB433="","",ROUND(N(W433)*N(J433)*(1-N(K433)),2))</f>
        <v/>
      </c>
      <c r="AI433" s="70" t="str">
        <f>IF(OR(J433="",N(T433)&lt;=0,V433="Oui"),"",ROUND(N(T433)*J433*(1-N(K433)),2))</f>
        <v/>
      </c>
    </row>
    <row r="434">
      <c r="A434" s="63" t="n"/>
      <c r="B434" s="64" t="n"/>
      <c r="C434" s="65" t="n"/>
      <c r="D434" s="66" t="str">
        <f>IF(C434="","",IFERROR(INDEX(sup_name,MATCH($C434,sup_code,0))&amp;"","Fournisseur inconnu"))</f>
        <v/>
      </c>
      <c r="E434" s="63" t="n"/>
      <c r="F434" s="66" t="str">
        <f>IF(E434="","",IFERROR(INDEX(art_des,MATCH($E434,art_ref,0))&amp;"","Article inconnu"))</f>
        <v/>
      </c>
      <c r="G434" s="67" t="str">
        <f>IF(E434="","",IFERROR(INDEX(art_unit,MATCH($E434,art_ref,0))&amp;"",""))</f>
        <v/>
      </c>
      <c r="H434" s="68" t="n"/>
      <c r="I434" s="69" t="n"/>
      <c r="J434" s="70" t="str">
        <f>IF(E434="","",IF(ISNUMBER(I434),I434,IFERROR(IF(ISNUMBER(INDEX(art_price,MATCH($E434,art_ref,0))),INDEX(art_price,MATCH($E434,art_ref,0)),""),"")))</f>
        <v/>
      </c>
      <c r="K434" s="71" t="n"/>
      <c r="L434" s="72" t="n"/>
      <c r="M434" s="72" t="str">
        <f>IF(E434="","",IF(L434&lt;&gt;"",L434,IFERROR(IF(ISNUMBER(INDEX(art_tva,MATCH($E434,art_ref,0))),INDEX(art_tva,MATCH($E434,art_ref,0)),""),"")))</f>
        <v/>
      </c>
      <c r="N434" s="70" t="str">
        <f>IF(OR(E434="",J434=""),"",ROUND(N(H434)*J434*(1-N(K434)),2))</f>
        <v/>
      </c>
      <c r="O434" s="70" t="str">
        <f>IF(OR(N434="",NOT(ISNUMBER(M434))),"",ROUND(N434*M434,2))</f>
        <v/>
      </c>
      <c r="P434" s="70" t="str">
        <f>IF(N434="","",N434+N(O434))</f>
        <v/>
      </c>
      <c r="Q434" s="64" t="n"/>
      <c r="R434" s="73" t="str">
        <f>IF(N(Q434)&gt;0,Q434,IF(OR(N(B434)=0,ISNA(MATCH($C434,sup_code,0))),"",IF(ISNUMBER(INDEX(sup_delay,MATCH($C434,sup_code,0))),B434+INDEX(sup_delay,MATCH($C434,sup_code,0)),"")))</f>
        <v/>
      </c>
      <c r="S434" s="64" t="n"/>
      <c r="T434" s="68" t="n"/>
      <c r="U434" s="64" t="n"/>
      <c r="V434" s="65" t="n"/>
      <c r="W434" s="74" t="str">
        <f>IF(AND(A434="",E434=""),"",IF(V434="Oui",0,MAX(0,ROUND(N(H434)-N(T434),6))))</f>
        <v/>
      </c>
      <c r="X434" s="67" t="str">
        <f>IF(AND(A434="",E434=""),"",IF(V434="Oui","Annulé",IF(AND(N(H434)&gt;0,N(T434)&gt;=N(H434)),"Reçu",IF(N(S434)=0,"Brouillon",IF(AND(ISNUMBER(R434),R434&lt;p_today),"En retard",IF(N(T434)&gt;0,"Partiel","Envoyé"))))))</f>
        <v/>
      </c>
      <c r="Y434" s="75" t="str">
        <f>IF(X434="En retard",p_today-R434,IF(AND(X434="Reçu",ISNUMBER(R434)),MAX(0,N(U434)-R434),""))</f>
        <v/>
      </c>
      <c r="Z434" s="67" t="str">
        <f>IF(AND(A434="",E434=""),"",IF(A434="","N° de bon manquant",IF(N(B434)=0,"Date de commande manquante",IF(C434="","Fournisseur manquant",IF(ISNA(MATCH($C434,sup_code,0)),"Fournisseur inconnu",IF(E434="","Article manquant",IF(ISNA(MATCH($E434,art_ref,0)),"Article inconnu",IF(N(H434)&lt;=0,"Quantité invalide",IF(J434="","Prix manquant",IF(OR(N(K434)&lt;0,N(K434)&gt;=1),"Remise invalide",IF(M434="","TVA manquante",IF(ISNA(MATCH(M434,p_tva,0)),"Taux de TVA inconnu",IF(COUNTIFS(po_num,A434,po_sup,"&lt;&gt;"&amp;C434)&gt;0,"Fournisseur différent sur ce bon",IF(COUNTIFS(po_num,A434,po_date,"&lt;&gt;"&amp;B434)&gt;0,"Date différente sur ce bon",IF(COUNTIF(po_num,A434)&gt;25,"Plus de 25 lignes sur ce bon",IF(R434="","Date de livraison manquante",IF(R434&lt;B434,"Livraison avant la commande",IF(AND(N(T434)&gt;0,N(S434)=0),"Date d'envoi manquante",IF(N(T434)&gt;N(H434),"Reçu plus que commandé",IF(AND(N(T434)&gt;0,N(U434)=0),"Date de réception manquante",IF(AND(N(U434)&gt;0,U434&lt;B434),"Réception avant la commande","OK")))))))))))))))))))))</f>
        <v/>
      </c>
      <c r="AA434" s="66" t="str">
        <f>IF(AND(X434="Reçu",ISNUMBER(R434)),IF(N(U434)&lt;=R434,1,0),"")</f>
        <v/>
      </c>
      <c r="AB434" s="76" t="str">
        <f>IF(OR(X434="Envoyé",X434="Partiel",X434="En retard"),IF(ISNUMBER(R434),R434,100000)+ROW()/100000,"")</f>
        <v/>
      </c>
      <c r="AC434" s="66" t="str">
        <f>IF(A434="","",IF(COUNTIF($A$6:A434,A434)=1,1,""))</f>
        <v/>
      </c>
      <c r="AD434" s="66" t="str">
        <f>IF(AC434=1,COUNT($AC$6:AC434),"")</f>
        <v/>
      </c>
      <c r="AE434" s="66" t="str">
        <f>IFERROR(INDEX(po_num,MATCH(429,po_seq,0))&amp;"","")</f>
        <v/>
      </c>
      <c r="AF434" s="66" t="str">
        <f>IF(OR(A434="",p_po=""),"",IF(A434&amp;""=p_po,COUNTIF($A$6:A434,A434),""))</f>
        <v/>
      </c>
      <c r="AG434" s="66" t="str">
        <f>IF(OR(AB434="",A434=""),"",IF(COUNTIFS($A$6:A434,A434,$AB$6:AB434,"&gt;0")=1,1,""))</f>
        <v/>
      </c>
      <c r="AH434" s="70" t="str">
        <f>IF(AB434="","",ROUND(N(W434)*N(J434)*(1-N(K434)),2))</f>
        <v/>
      </c>
      <c r="AI434" s="70" t="str">
        <f>IF(OR(J434="",N(T434)&lt;=0,V434="Oui"),"",ROUND(N(T434)*J434*(1-N(K434)),2))</f>
        <v/>
      </c>
    </row>
    <row r="435">
      <c r="A435" s="63" t="n"/>
      <c r="B435" s="64" t="n"/>
      <c r="C435" s="65" t="n"/>
      <c r="D435" s="66" t="str">
        <f>IF(C435="","",IFERROR(INDEX(sup_name,MATCH($C435,sup_code,0))&amp;"","Fournisseur inconnu"))</f>
        <v/>
      </c>
      <c r="E435" s="63" t="n"/>
      <c r="F435" s="66" t="str">
        <f>IF(E435="","",IFERROR(INDEX(art_des,MATCH($E435,art_ref,0))&amp;"","Article inconnu"))</f>
        <v/>
      </c>
      <c r="G435" s="67" t="str">
        <f>IF(E435="","",IFERROR(INDEX(art_unit,MATCH($E435,art_ref,0))&amp;"",""))</f>
        <v/>
      </c>
      <c r="H435" s="68" t="n"/>
      <c r="I435" s="69" t="n"/>
      <c r="J435" s="70" t="str">
        <f>IF(E435="","",IF(ISNUMBER(I435),I435,IFERROR(IF(ISNUMBER(INDEX(art_price,MATCH($E435,art_ref,0))),INDEX(art_price,MATCH($E435,art_ref,0)),""),"")))</f>
        <v/>
      </c>
      <c r="K435" s="71" t="n"/>
      <c r="L435" s="72" t="n"/>
      <c r="M435" s="72" t="str">
        <f>IF(E435="","",IF(L435&lt;&gt;"",L435,IFERROR(IF(ISNUMBER(INDEX(art_tva,MATCH($E435,art_ref,0))),INDEX(art_tva,MATCH($E435,art_ref,0)),""),"")))</f>
        <v/>
      </c>
      <c r="N435" s="70" t="str">
        <f>IF(OR(E435="",J435=""),"",ROUND(N(H435)*J435*(1-N(K435)),2))</f>
        <v/>
      </c>
      <c r="O435" s="70" t="str">
        <f>IF(OR(N435="",NOT(ISNUMBER(M435))),"",ROUND(N435*M435,2))</f>
        <v/>
      </c>
      <c r="P435" s="70" t="str">
        <f>IF(N435="","",N435+N(O435))</f>
        <v/>
      </c>
      <c r="Q435" s="64" t="n"/>
      <c r="R435" s="73" t="str">
        <f>IF(N(Q435)&gt;0,Q435,IF(OR(N(B435)=0,ISNA(MATCH($C435,sup_code,0))),"",IF(ISNUMBER(INDEX(sup_delay,MATCH($C435,sup_code,0))),B435+INDEX(sup_delay,MATCH($C435,sup_code,0)),"")))</f>
        <v/>
      </c>
      <c r="S435" s="64" t="n"/>
      <c r="T435" s="68" t="n"/>
      <c r="U435" s="64" t="n"/>
      <c r="V435" s="65" t="n"/>
      <c r="W435" s="74" t="str">
        <f>IF(AND(A435="",E435=""),"",IF(V435="Oui",0,MAX(0,ROUND(N(H435)-N(T435),6))))</f>
        <v/>
      </c>
      <c r="X435" s="67" t="str">
        <f>IF(AND(A435="",E435=""),"",IF(V435="Oui","Annulé",IF(AND(N(H435)&gt;0,N(T435)&gt;=N(H435)),"Reçu",IF(N(S435)=0,"Brouillon",IF(AND(ISNUMBER(R435),R435&lt;p_today),"En retard",IF(N(T435)&gt;0,"Partiel","Envoyé"))))))</f>
        <v/>
      </c>
      <c r="Y435" s="75" t="str">
        <f>IF(X435="En retard",p_today-R435,IF(AND(X435="Reçu",ISNUMBER(R435)),MAX(0,N(U435)-R435),""))</f>
        <v/>
      </c>
      <c r="Z435" s="67" t="str">
        <f>IF(AND(A435="",E435=""),"",IF(A435="","N° de bon manquant",IF(N(B435)=0,"Date de commande manquante",IF(C435="","Fournisseur manquant",IF(ISNA(MATCH($C435,sup_code,0)),"Fournisseur inconnu",IF(E435="","Article manquant",IF(ISNA(MATCH($E435,art_ref,0)),"Article inconnu",IF(N(H435)&lt;=0,"Quantité invalide",IF(J435="","Prix manquant",IF(OR(N(K435)&lt;0,N(K435)&gt;=1),"Remise invalide",IF(M435="","TVA manquante",IF(ISNA(MATCH(M435,p_tva,0)),"Taux de TVA inconnu",IF(COUNTIFS(po_num,A435,po_sup,"&lt;&gt;"&amp;C435)&gt;0,"Fournisseur différent sur ce bon",IF(COUNTIFS(po_num,A435,po_date,"&lt;&gt;"&amp;B435)&gt;0,"Date différente sur ce bon",IF(COUNTIF(po_num,A435)&gt;25,"Plus de 25 lignes sur ce bon",IF(R435="","Date de livraison manquante",IF(R435&lt;B435,"Livraison avant la commande",IF(AND(N(T435)&gt;0,N(S435)=0),"Date d'envoi manquante",IF(N(T435)&gt;N(H435),"Reçu plus que commandé",IF(AND(N(T435)&gt;0,N(U435)=0),"Date de réception manquante",IF(AND(N(U435)&gt;0,U435&lt;B435),"Réception avant la commande","OK")))))))))))))))))))))</f>
        <v/>
      </c>
      <c r="AA435" s="66" t="str">
        <f>IF(AND(X435="Reçu",ISNUMBER(R435)),IF(N(U435)&lt;=R435,1,0),"")</f>
        <v/>
      </c>
      <c r="AB435" s="76" t="str">
        <f>IF(OR(X435="Envoyé",X435="Partiel",X435="En retard"),IF(ISNUMBER(R435),R435,100000)+ROW()/100000,"")</f>
        <v/>
      </c>
      <c r="AC435" s="66" t="str">
        <f>IF(A435="","",IF(COUNTIF($A$6:A435,A435)=1,1,""))</f>
        <v/>
      </c>
      <c r="AD435" s="66" t="str">
        <f>IF(AC435=1,COUNT($AC$6:AC435),"")</f>
        <v/>
      </c>
      <c r="AE435" s="66" t="str">
        <f>IFERROR(INDEX(po_num,MATCH(430,po_seq,0))&amp;"","")</f>
        <v/>
      </c>
      <c r="AF435" s="66" t="str">
        <f>IF(OR(A435="",p_po=""),"",IF(A435&amp;""=p_po,COUNTIF($A$6:A435,A435),""))</f>
        <v/>
      </c>
      <c r="AG435" s="66" t="str">
        <f>IF(OR(AB435="",A435=""),"",IF(COUNTIFS($A$6:A435,A435,$AB$6:AB435,"&gt;0")=1,1,""))</f>
        <v/>
      </c>
      <c r="AH435" s="70" t="str">
        <f>IF(AB435="","",ROUND(N(W435)*N(J435)*(1-N(K435)),2))</f>
        <v/>
      </c>
      <c r="AI435" s="70" t="str">
        <f>IF(OR(J435="",N(T435)&lt;=0,V435="Oui"),"",ROUND(N(T435)*J435*(1-N(K435)),2))</f>
        <v/>
      </c>
    </row>
    <row r="436">
      <c r="A436" s="63" t="n"/>
      <c r="B436" s="64" t="n"/>
      <c r="C436" s="65" t="n"/>
      <c r="D436" s="66" t="str">
        <f>IF(C436="","",IFERROR(INDEX(sup_name,MATCH($C436,sup_code,0))&amp;"","Fournisseur inconnu"))</f>
        <v/>
      </c>
      <c r="E436" s="63" t="n"/>
      <c r="F436" s="66" t="str">
        <f>IF(E436="","",IFERROR(INDEX(art_des,MATCH($E436,art_ref,0))&amp;"","Article inconnu"))</f>
        <v/>
      </c>
      <c r="G436" s="67" t="str">
        <f>IF(E436="","",IFERROR(INDEX(art_unit,MATCH($E436,art_ref,0))&amp;"",""))</f>
        <v/>
      </c>
      <c r="H436" s="68" t="n"/>
      <c r="I436" s="69" t="n"/>
      <c r="J436" s="70" t="str">
        <f>IF(E436="","",IF(ISNUMBER(I436),I436,IFERROR(IF(ISNUMBER(INDEX(art_price,MATCH($E436,art_ref,0))),INDEX(art_price,MATCH($E436,art_ref,0)),""),"")))</f>
        <v/>
      </c>
      <c r="K436" s="71" t="n"/>
      <c r="L436" s="72" t="n"/>
      <c r="M436" s="72" t="str">
        <f>IF(E436="","",IF(L436&lt;&gt;"",L436,IFERROR(IF(ISNUMBER(INDEX(art_tva,MATCH($E436,art_ref,0))),INDEX(art_tva,MATCH($E436,art_ref,0)),""),"")))</f>
        <v/>
      </c>
      <c r="N436" s="70" t="str">
        <f>IF(OR(E436="",J436=""),"",ROUND(N(H436)*J436*(1-N(K436)),2))</f>
        <v/>
      </c>
      <c r="O436" s="70" t="str">
        <f>IF(OR(N436="",NOT(ISNUMBER(M436))),"",ROUND(N436*M436,2))</f>
        <v/>
      </c>
      <c r="P436" s="70" t="str">
        <f>IF(N436="","",N436+N(O436))</f>
        <v/>
      </c>
      <c r="Q436" s="64" t="n"/>
      <c r="R436" s="73" t="str">
        <f>IF(N(Q436)&gt;0,Q436,IF(OR(N(B436)=0,ISNA(MATCH($C436,sup_code,0))),"",IF(ISNUMBER(INDEX(sup_delay,MATCH($C436,sup_code,0))),B436+INDEX(sup_delay,MATCH($C436,sup_code,0)),"")))</f>
        <v/>
      </c>
      <c r="S436" s="64" t="n"/>
      <c r="T436" s="68" t="n"/>
      <c r="U436" s="64" t="n"/>
      <c r="V436" s="65" t="n"/>
      <c r="W436" s="74" t="str">
        <f>IF(AND(A436="",E436=""),"",IF(V436="Oui",0,MAX(0,ROUND(N(H436)-N(T436),6))))</f>
        <v/>
      </c>
      <c r="X436" s="67" t="str">
        <f>IF(AND(A436="",E436=""),"",IF(V436="Oui","Annulé",IF(AND(N(H436)&gt;0,N(T436)&gt;=N(H436)),"Reçu",IF(N(S436)=0,"Brouillon",IF(AND(ISNUMBER(R436),R436&lt;p_today),"En retard",IF(N(T436)&gt;0,"Partiel","Envoyé"))))))</f>
        <v/>
      </c>
      <c r="Y436" s="75" t="str">
        <f>IF(X436="En retard",p_today-R436,IF(AND(X436="Reçu",ISNUMBER(R436)),MAX(0,N(U436)-R436),""))</f>
        <v/>
      </c>
      <c r="Z436" s="67" t="str">
        <f>IF(AND(A436="",E436=""),"",IF(A436="","N° de bon manquant",IF(N(B436)=0,"Date de commande manquante",IF(C436="","Fournisseur manquant",IF(ISNA(MATCH($C436,sup_code,0)),"Fournisseur inconnu",IF(E436="","Article manquant",IF(ISNA(MATCH($E436,art_ref,0)),"Article inconnu",IF(N(H436)&lt;=0,"Quantité invalide",IF(J436="","Prix manquant",IF(OR(N(K436)&lt;0,N(K436)&gt;=1),"Remise invalide",IF(M436="","TVA manquante",IF(ISNA(MATCH(M436,p_tva,0)),"Taux de TVA inconnu",IF(COUNTIFS(po_num,A436,po_sup,"&lt;&gt;"&amp;C436)&gt;0,"Fournisseur différent sur ce bon",IF(COUNTIFS(po_num,A436,po_date,"&lt;&gt;"&amp;B436)&gt;0,"Date différente sur ce bon",IF(COUNTIF(po_num,A436)&gt;25,"Plus de 25 lignes sur ce bon",IF(R436="","Date de livraison manquante",IF(R436&lt;B436,"Livraison avant la commande",IF(AND(N(T436)&gt;0,N(S436)=0),"Date d'envoi manquante",IF(N(T436)&gt;N(H436),"Reçu plus que commandé",IF(AND(N(T436)&gt;0,N(U436)=0),"Date de réception manquante",IF(AND(N(U436)&gt;0,U436&lt;B436),"Réception avant la commande","OK")))))))))))))))))))))</f>
        <v/>
      </c>
      <c r="AA436" s="66" t="str">
        <f>IF(AND(X436="Reçu",ISNUMBER(R436)),IF(N(U436)&lt;=R436,1,0),"")</f>
        <v/>
      </c>
      <c r="AB436" s="76" t="str">
        <f>IF(OR(X436="Envoyé",X436="Partiel",X436="En retard"),IF(ISNUMBER(R436),R436,100000)+ROW()/100000,"")</f>
        <v/>
      </c>
      <c r="AC436" s="66" t="str">
        <f>IF(A436="","",IF(COUNTIF($A$6:A436,A436)=1,1,""))</f>
        <v/>
      </c>
      <c r="AD436" s="66" t="str">
        <f>IF(AC436=1,COUNT($AC$6:AC436),"")</f>
        <v/>
      </c>
      <c r="AE436" s="66" t="str">
        <f>IFERROR(INDEX(po_num,MATCH(431,po_seq,0))&amp;"","")</f>
        <v/>
      </c>
      <c r="AF436" s="66" t="str">
        <f>IF(OR(A436="",p_po=""),"",IF(A436&amp;""=p_po,COUNTIF($A$6:A436,A436),""))</f>
        <v/>
      </c>
      <c r="AG436" s="66" t="str">
        <f>IF(OR(AB436="",A436=""),"",IF(COUNTIFS($A$6:A436,A436,$AB$6:AB436,"&gt;0")=1,1,""))</f>
        <v/>
      </c>
      <c r="AH436" s="70" t="str">
        <f>IF(AB436="","",ROUND(N(W436)*N(J436)*(1-N(K436)),2))</f>
        <v/>
      </c>
      <c r="AI436" s="70" t="str">
        <f>IF(OR(J436="",N(T436)&lt;=0,V436="Oui"),"",ROUND(N(T436)*J436*(1-N(K436)),2))</f>
        <v/>
      </c>
    </row>
    <row r="437">
      <c r="A437" s="63" t="n"/>
      <c r="B437" s="64" t="n"/>
      <c r="C437" s="65" t="n"/>
      <c r="D437" s="66" t="str">
        <f>IF(C437="","",IFERROR(INDEX(sup_name,MATCH($C437,sup_code,0))&amp;"","Fournisseur inconnu"))</f>
        <v/>
      </c>
      <c r="E437" s="63" t="n"/>
      <c r="F437" s="66" t="str">
        <f>IF(E437="","",IFERROR(INDEX(art_des,MATCH($E437,art_ref,0))&amp;"","Article inconnu"))</f>
        <v/>
      </c>
      <c r="G437" s="67" t="str">
        <f>IF(E437="","",IFERROR(INDEX(art_unit,MATCH($E437,art_ref,0))&amp;"",""))</f>
        <v/>
      </c>
      <c r="H437" s="68" t="n"/>
      <c r="I437" s="69" t="n"/>
      <c r="J437" s="70" t="str">
        <f>IF(E437="","",IF(ISNUMBER(I437),I437,IFERROR(IF(ISNUMBER(INDEX(art_price,MATCH($E437,art_ref,0))),INDEX(art_price,MATCH($E437,art_ref,0)),""),"")))</f>
        <v/>
      </c>
      <c r="K437" s="71" t="n"/>
      <c r="L437" s="72" t="n"/>
      <c r="M437" s="72" t="str">
        <f>IF(E437="","",IF(L437&lt;&gt;"",L437,IFERROR(IF(ISNUMBER(INDEX(art_tva,MATCH($E437,art_ref,0))),INDEX(art_tva,MATCH($E437,art_ref,0)),""),"")))</f>
        <v/>
      </c>
      <c r="N437" s="70" t="str">
        <f>IF(OR(E437="",J437=""),"",ROUND(N(H437)*J437*(1-N(K437)),2))</f>
        <v/>
      </c>
      <c r="O437" s="70" t="str">
        <f>IF(OR(N437="",NOT(ISNUMBER(M437))),"",ROUND(N437*M437,2))</f>
        <v/>
      </c>
      <c r="P437" s="70" t="str">
        <f>IF(N437="","",N437+N(O437))</f>
        <v/>
      </c>
      <c r="Q437" s="64" t="n"/>
      <c r="R437" s="73" t="str">
        <f>IF(N(Q437)&gt;0,Q437,IF(OR(N(B437)=0,ISNA(MATCH($C437,sup_code,0))),"",IF(ISNUMBER(INDEX(sup_delay,MATCH($C437,sup_code,0))),B437+INDEX(sup_delay,MATCH($C437,sup_code,0)),"")))</f>
        <v/>
      </c>
      <c r="S437" s="64" t="n"/>
      <c r="T437" s="68" t="n"/>
      <c r="U437" s="64" t="n"/>
      <c r="V437" s="65" t="n"/>
      <c r="W437" s="74" t="str">
        <f>IF(AND(A437="",E437=""),"",IF(V437="Oui",0,MAX(0,ROUND(N(H437)-N(T437),6))))</f>
        <v/>
      </c>
      <c r="X437" s="67" t="str">
        <f>IF(AND(A437="",E437=""),"",IF(V437="Oui","Annulé",IF(AND(N(H437)&gt;0,N(T437)&gt;=N(H437)),"Reçu",IF(N(S437)=0,"Brouillon",IF(AND(ISNUMBER(R437),R437&lt;p_today),"En retard",IF(N(T437)&gt;0,"Partiel","Envoyé"))))))</f>
        <v/>
      </c>
      <c r="Y437" s="75" t="str">
        <f>IF(X437="En retard",p_today-R437,IF(AND(X437="Reçu",ISNUMBER(R437)),MAX(0,N(U437)-R437),""))</f>
        <v/>
      </c>
      <c r="Z437" s="67" t="str">
        <f>IF(AND(A437="",E437=""),"",IF(A437="","N° de bon manquant",IF(N(B437)=0,"Date de commande manquante",IF(C437="","Fournisseur manquant",IF(ISNA(MATCH($C437,sup_code,0)),"Fournisseur inconnu",IF(E437="","Article manquant",IF(ISNA(MATCH($E437,art_ref,0)),"Article inconnu",IF(N(H437)&lt;=0,"Quantité invalide",IF(J437="","Prix manquant",IF(OR(N(K437)&lt;0,N(K437)&gt;=1),"Remise invalide",IF(M437="","TVA manquante",IF(ISNA(MATCH(M437,p_tva,0)),"Taux de TVA inconnu",IF(COUNTIFS(po_num,A437,po_sup,"&lt;&gt;"&amp;C437)&gt;0,"Fournisseur différent sur ce bon",IF(COUNTIFS(po_num,A437,po_date,"&lt;&gt;"&amp;B437)&gt;0,"Date différente sur ce bon",IF(COUNTIF(po_num,A437)&gt;25,"Plus de 25 lignes sur ce bon",IF(R437="","Date de livraison manquante",IF(R437&lt;B437,"Livraison avant la commande",IF(AND(N(T437)&gt;0,N(S437)=0),"Date d'envoi manquante",IF(N(T437)&gt;N(H437),"Reçu plus que commandé",IF(AND(N(T437)&gt;0,N(U437)=0),"Date de réception manquante",IF(AND(N(U437)&gt;0,U437&lt;B437),"Réception avant la commande","OK")))))))))))))))))))))</f>
        <v/>
      </c>
      <c r="AA437" s="66" t="str">
        <f>IF(AND(X437="Reçu",ISNUMBER(R437)),IF(N(U437)&lt;=R437,1,0),"")</f>
        <v/>
      </c>
      <c r="AB437" s="76" t="str">
        <f>IF(OR(X437="Envoyé",X437="Partiel",X437="En retard"),IF(ISNUMBER(R437),R437,100000)+ROW()/100000,"")</f>
        <v/>
      </c>
      <c r="AC437" s="66" t="str">
        <f>IF(A437="","",IF(COUNTIF($A$6:A437,A437)=1,1,""))</f>
        <v/>
      </c>
      <c r="AD437" s="66" t="str">
        <f>IF(AC437=1,COUNT($AC$6:AC437),"")</f>
        <v/>
      </c>
      <c r="AE437" s="66" t="str">
        <f>IFERROR(INDEX(po_num,MATCH(432,po_seq,0))&amp;"","")</f>
        <v/>
      </c>
      <c r="AF437" s="66" t="str">
        <f>IF(OR(A437="",p_po=""),"",IF(A437&amp;""=p_po,COUNTIF($A$6:A437,A437),""))</f>
        <v/>
      </c>
      <c r="AG437" s="66" t="str">
        <f>IF(OR(AB437="",A437=""),"",IF(COUNTIFS($A$6:A437,A437,$AB$6:AB437,"&gt;0")=1,1,""))</f>
        <v/>
      </c>
      <c r="AH437" s="70" t="str">
        <f>IF(AB437="","",ROUND(N(W437)*N(J437)*(1-N(K437)),2))</f>
        <v/>
      </c>
      <c r="AI437" s="70" t="str">
        <f>IF(OR(J437="",N(T437)&lt;=0,V437="Oui"),"",ROUND(N(T437)*J437*(1-N(K437)),2))</f>
        <v/>
      </c>
    </row>
    <row r="438">
      <c r="A438" s="63" t="n"/>
      <c r="B438" s="64" t="n"/>
      <c r="C438" s="65" t="n"/>
      <c r="D438" s="66" t="str">
        <f>IF(C438="","",IFERROR(INDEX(sup_name,MATCH($C438,sup_code,0))&amp;"","Fournisseur inconnu"))</f>
        <v/>
      </c>
      <c r="E438" s="63" t="n"/>
      <c r="F438" s="66" t="str">
        <f>IF(E438="","",IFERROR(INDEX(art_des,MATCH($E438,art_ref,0))&amp;"","Article inconnu"))</f>
        <v/>
      </c>
      <c r="G438" s="67" t="str">
        <f>IF(E438="","",IFERROR(INDEX(art_unit,MATCH($E438,art_ref,0))&amp;"",""))</f>
        <v/>
      </c>
      <c r="H438" s="68" t="n"/>
      <c r="I438" s="69" t="n"/>
      <c r="J438" s="70" t="str">
        <f>IF(E438="","",IF(ISNUMBER(I438),I438,IFERROR(IF(ISNUMBER(INDEX(art_price,MATCH($E438,art_ref,0))),INDEX(art_price,MATCH($E438,art_ref,0)),""),"")))</f>
        <v/>
      </c>
      <c r="K438" s="71" t="n"/>
      <c r="L438" s="72" t="n"/>
      <c r="M438" s="72" t="str">
        <f>IF(E438="","",IF(L438&lt;&gt;"",L438,IFERROR(IF(ISNUMBER(INDEX(art_tva,MATCH($E438,art_ref,0))),INDEX(art_tva,MATCH($E438,art_ref,0)),""),"")))</f>
        <v/>
      </c>
      <c r="N438" s="70" t="str">
        <f>IF(OR(E438="",J438=""),"",ROUND(N(H438)*J438*(1-N(K438)),2))</f>
        <v/>
      </c>
      <c r="O438" s="70" t="str">
        <f>IF(OR(N438="",NOT(ISNUMBER(M438))),"",ROUND(N438*M438,2))</f>
        <v/>
      </c>
      <c r="P438" s="70" t="str">
        <f>IF(N438="","",N438+N(O438))</f>
        <v/>
      </c>
      <c r="Q438" s="64" t="n"/>
      <c r="R438" s="73" t="str">
        <f>IF(N(Q438)&gt;0,Q438,IF(OR(N(B438)=0,ISNA(MATCH($C438,sup_code,0))),"",IF(ISNUMBER(INDEX(sup_delay,MATCH($C438,sup_code,0))),B438+INDEX(sup_delay,MATCH($C438,sup_code,0)),"")))</f>
        <v/>
      </c>
      <c r="S438" s="64" t="n"/>
      <c r="T438" s="68" t="n"/>
      <c r="U438" s="64" t="n"/>
      <c r="V438" s="65" t="n"/>
      <c r="W438" s="74" t="str">
        <f>IF(AND(A438="",E438=""),"",IF(V438="Oui",0,MAX(0,ROUND(N(H438)-N(T438),6))))</f>
        <v/>
      </c>
      <c r="X438" s="67" t="str">
        <f>IF(AND(A438="",E438=""),"",IF(V438="Oui","Annulé",IF(AND(N(H438)&gt;0,N(T438)&gt;=N(H438)),"Reçu",IF(N(S438)=0,"Brouillon",IF(AND(ISNUMBER(R438),R438&lt;p_today),"En retard",IF(N(T438)&gt;0,"Partiel","Envoyé"))))))</f>
        <v/>
      </c>
      <c r="Y438" s="75" t="str">
        <f>IF(X438="En retard",p_today-R438,IF(AND(X438="Reçu",ISNUMBER(R438)),MAX(0,N(U438)-R438),""))</f>
        <v/>
      </c>
      <c r="Z438" s="67" t="str">
        <f>IF(AND(A438="",E438=""),"",IF(A438="","N° de bon manquant",IF(N(B438)=0,"Date de commande manquante",IF(C438="","Fournisseur manquant",IF(ISNA(MATCH($C438,sup_code,0)),"Fournisseur inconnu",IF(E438="","Article manquant",IF(ISNA(MATCH($E438,art_ref,0)),"Article inconnu",IF(N(H438)&lt;=0,"Quantité invalide",IF(J438="","Prix manquant",IF(OR(N(K438)&lt;0,N(K438)&gt;=1),"Remise invalide",IF(M438="","TVA manquante",IF(ISNA(MATCH(M438,p_tva,0)),"Taux de TVA inconnu",IF(COUNTIFS(po_num,A438,po_sup,"&lt;&gt;"&amp;C438)&gt;0,"Fournisseur différent sur ce bon",IF(COUNTIFS(po_num,A438,po_date,"&lt;&gt;"&amp;B438)&gt;0,"Date différente sur ce bon",IF(COUNTIF(po_num,A438)&gt;25,"Plus de 25 lignes sur ce bon",IF(R438="","Date de livraison manquante",IF(R438&lt;B438,"Livraison avant la commande",IF(AND(N(T438)&gt;0,N(S438)=0),"Date d'envoi manquante",IF(N(T438)&gt;N(H438),"Reçu plus que commandé",IF(AND(N(T438)&gt;0,N(U438)=0),"Date de réception manquante",IF(AND(N(U438)&gt;0,U438&lt;B438),"Réception avant la commande","OK")))))))))))))))))))))</f>
        <v/>
      </c>
      <c r="AA438" s="66" t="str">
        <f>IF(AND(X438="Reçu",ISNUMBER(R438)),IF(N(U438)&lt;=R438,1,0),"")</f>
        <v/>
      </c>
      <c r="AB438" s="76" t="str">
        <f>IF(OR(X438="Envoyé",X438="Partiel",X438="En retard"),IF(ISNUMBER(R438),R438,100000)+ROW()/100000,"")</f>
        <v/>
      </c>
      <c r="AC438" s="66" t="str">
        <f>IF(A438="","",IF(COUNTIF($A$6:A438,A438)=1,1,""))</f>
        <v/>
      </c>
      <c r="AD438" s="66" t="str">
        <f>IF(AC438=1,COUNT($AC$6:AC438),"")</f>
        <v/>
      </c>
      <c r="AE438" s="66" t="str">
        <f>IFERROR(INDEX(po_num,MATCH(433,po_seq,0))&amp;"","")</f>
        <v/>
      </c>
      <c r="AF438" s="66" t="str">
        <f>IF(OR(A438="",p_po=""),"",IF(A438&amp;""=p_po,COUNTIF($A$6:A438,A438),""))</f>
        <v/>
      </c>
      <c r="AG438" s="66" t="str">
        <f>IF(OR(AB438="",A438=""),"",IF(COUNTIFS($A$6:A438,A438,$AB$6:AB438,"&gt;0")=1,1,""))</f>
        <v/>
      </c>
      <c r="AH438" s="70" t="str">
        <f>IF(AB438="","",ROUND(N(W438)*N(J438)*(1-N(K438)),2))</f>
        <v/>
      </c>
      <c r="AI438" s="70" t="str">
        <f>IF(OR(J438="",N(T438)&lt;=0,V438="Oui"),"",ROUND(N(T438)*J438*(1-N(K438)),2))</f>
        <v/>
      </c>
    </row>
    <row r="439">
      <c r="A439" s="63" t="n"/>
      <c r="B439" s="64" t="n"/>
      <c r="C439" s="65" t="n"/>
      <c r="D439" s="66" t="str">
        <f>IF(C439="","",IFERROR(INDEX(sup_name,MATCH($C439,sup_code,0))&amp;"","Fournisseur inconnu"))</f>
        <v/>
      </c>
      <c r="E439" s="63" t="n"/>
      <c r="F439" s="66" t="str">
        <f>IF(E439="","",IFERROR(INDEX(art_des,MATCH($E439,art_ref,0))&amp;"","Article inconnu"))</f>
        <v/>
      </c>
      <c r="G439" s="67" t="str">
        <f>IF(E439="","",IFERROR(INDEX(art_unit,MATCH($E439,art_ref,0))&amp;"",""))</f>
        <v/>
      </c>
      <c r="H439" s="68" t="n"/>
      <c r="I439" s="69" t="n"/>
      <c r="J439" s="70" t="str">
        <f>IF(E439="","",IF(ISNUMBER(I439),I439,IFERROR(IF(ISNUMBER(INDEX(art_price,MATCH($E439,art_ref,0))),INDEX(art_price,MATCH($E439,art_ref,0)),""),"")))</f>
        <v/>
      </c>
      <c r="K439" s="71" t="n"/>
      <c r="L439" s="72" t="n"/>
      <c r="M439" s="72" t="str">
        <f>IF(E439="","",IF(L439&lt;&gt;"",L439,IFERROR(IF(ISNUMBER(INDEX(art_tva,MATCH($E439,art_ref,0))),INDEX(art_tva,MATCH($E439,art_ref,0)),""),"")))</f>
        <v/>
      </c>
      <c r="N439" s="70" t="str">
        <f>IF(OR(E439="",J439=""),"",ROUND(N(H439)*J439*(1-N(K439)),2))</f>
        <v/>
      </c>
      <c r="O439" s="70" t="str">
        <f>IF(OR(N439="",NOT(ISNUMBER(M439))),"",ROUND(N439*M439,2))</f>
        <v/>
      </c>
      <c r="P439" s="70" t="str">
        <f>IF(N439="","",N439+N(O439))</f>
        <v/>
      </c>
      <c r="Q439" s="64" t="n"/>
      <c r="R439" s="73" t="str">
        <f>IF(N(Q439)&gt;0,Q439,IF(OR(N(B439)=0,ISNA(MATCH($C439,sup_code,0))),"",IF(ISNUMBER(INDEX(sup_delay,MATCH($C439,sup_code,0))),B439+INDEX(sup_delay,MATCH($C439,sup_code,0)),"")))</f>
        <v/>
      </c>
      <c r="S439" s="64" t="n"/>
      <c r="T439" s="68" t="n"/>
      <c r="U439" s="64" t="n"/>
      <c r="V439" s="65" t="n"/>
      <c r="W439" s="74" t="str">
        <f>IF(AND(A439="",E439=""),"",IF(V439="Oui",0,MAX(0,ROUND(N(H439)-N(T439),6))))</f>
        <v/>
      </c>
      <c r="X439" s="67" t="str">
        <f>IF(AND(A439="",E439=""),"",IF(V439="Oui","Annulé",IF(AND(N(H439)&gt;0,N(T439)&gt;=N(H439)),"Reçu",IF(N(S439)=0,"Brouillon",IF(AND(ISNUMBER(R439),R439&lt;p_today),"En retard",IF(N(T439)&gt;0,"Partiel","Envoyé"))))))</f>
        <v/>
      </c>
      <c r="Y439" s="75" t="str">
        <f>IF(X439="En retard",p_today-R439,IF(AND(X439="Reçu",ISNUMBER(R439)),MAX(0,N(U439)-R439),""))</f>
        <v/>
      </c>
      <c r="Z439" s="67" t="str">
        <f>IF(AND(A439="",E439=""),"",IF(A439="","N° de bon manquant",IF(N(B439)=0,"Date de commande manquante",IF(C439="","Fournisseur manquant",IF(ISNA(MATCH($C439,sup_code,0)),"Fournisseur inconnu",IF(E439="","Article manquant",IF(ISNA(MATCH($E439,art_ref,0)),"Article inconnu",IF(N(H439)&lt;=0,"Quantité invalide",IF(J439="","Prix manquant",IF(OR(N(K439)&lt;0,N(K439)&gt;=1),"Remise invalide",IF(M439="","TVA manquante",IF(ISNA(MATCH(M439,p_tva,0)),"Taux de TVA inconnu",IF(COUNTIFS(po_num,A439,po_sup,"&lt;&gt;"&amp;C439)&gt;0,"Fournisseur différent sur ce bon",IF(COUNTIFS(po_num,A439,po_date,"&lt;&gt;"&amp;B439)&gt;0,"Date différente sur ce bon",IF(COUNTIF(po_num,A439)&gt;25,"Plus de 25 lignes sur ce bon",IF(R439="","Date de livraison manquante",IF(R439&lt;B439,"Livraison avant la commande",IF(AND(N(T439)&gt;0,N(S439)=0),"Date d'envoi manquante",IF(N(T439)&gt;N(H439),"Reçu plus que commandé",IF(AND(N(T439)&gt;0,N(U439)=0),"Date de réception manquante",IF(AND(N(U439)&gt;0,U439&lt;B439),"Réception avant la commande","OK")))))))))))))))))))))</f>
        <v/>
      </c>
      <c r="AA439" s="66" t="str">
        <f>IF(AND(X439="Reçu",ISNUMBER(R439)),IF(N(U439)&lt;=R439,1,0),"")</f>
        <v/>
      </c>
      <c r="AB439" s="76" t="str">
        <f>IF(OR(X439="Envoyé",X439="Partiel",X439="En retard"),IF(ISNUMBER(R439),R439,100000)+ROW()/100000,"")</f>
        <v/>
      </c>
      <c r="AC439" s="66" t="str">
        <f>IF(A439="","",IF(COUNTIF($A$6:A439,A439)=1,1,""))</f>
        <v/>
      </c>
      <c r="AD439" s="66" t="str">
        <f>IF(AC439=1,COUNT($AC$6:AC439),"")</f>
        <v/>
      </c>
      <c r="AE439" s="66" t="str">
        <f>IFERROR(INDEX(po_num,MATCH(434,po_seq,0))&amp;"","")</f>
        <v/>
      </c>
      <c r="AF439" s="66" t="str">
        <f>IF(OR(A439="",p_po=""),"",IF(A439&amp;""=p_po,COUNTIF($A$6:A439,A439),""))</f>
        <v/>
      </c>
      <c r="AG439" s="66" t="str">
        <f>IF(OR(AB439="",A439=""),"",IF(COUNTIFS($A$6:A439,A439,$AB$6:AB439,"&gt;0")=1,1,""))</f>
        <v/>
      </c>
      <c r="AH439" s="70" t="str">
        <f>IF(AB439="","",ROUND(N(W439)*N(J439)*(1-N(K439)),2))</f>
        <v/>
      </c>
      <c r="AI439" s="70" t="str">
        <f>IF(OR(J439="",N(T439)&lt;=0,V439="Oui"),"",ROUND(N(T439)*J439*(1-N(K439)),2))</f>
        <v/>
      </c>
    </row>
    <row r="440">
      <c r="A440" s="63" t="n"/>
      <c r="B440" s="64" t="n"/>
      <c r="C440" s="65" t="n"/>
      <c r="D440" s="66" t="str">
        <f>IF(C440="","",IFERROR(INDEX(sup_name,MATCH($C440,sup_code,0))&amp;"","Fournisseur inconnu"))</f>
        <v/>
      </c>
      <c r="E440" s="63" t="n"/>
      <c r="F440" s="66" t="str">
        <f>IF(E440="","",IFERROR(INDEX(art_des,MATCH($E440,art_ref,0))&amp;"","Article inconnu"))</f>
        <v/>
      </c>
      <c r="G440" s="67" t="str">
        <f>IF(E440="","",IFERROR(INDEX(art_unit,MATCH($E440,art_ref,0))&amp;"",""))</f>
        <v/>
      </c>
      <c r="H440" s="68" t="n"/>
      <c r="I440" s="69" t="n"/>
      <c r="J440" s="70" t="str">
        <f>IF(E440="","",IF(ISNUMBER(I440),I440,IFERROR(IF(ISNUMBER(INDEX(art_price,MATCH($E440,art_ref,0))),INDEX(art_price,MATCH($E440,art_ref,0)),""),"")))</f>
        <v/>
      </c>
      <c r="K440" s="71" t="n"/>
      <c r="L440" s="72" t="n"/>
      <c r="M440" s="72" t="str">
        <f>IF(E440="","",IF(L440&lt;&gt;"",L440,IFERROR(IF(ISNUMBER(INDEX(art_tva,MATCH($E440,art_ref,0))),INDEX(art_tva,MATCH($E440,art_ref,0)),""),"")))</f>
        <v/>
      </c>
      <c r="N440" s="70" t="str">
        <f>IF(OR(E440="",J440=""),"",ROUND(N(H440)*J440*(1-N(K440)),2))</f>
        <v/>
      </c>
      <c r="O440" s="70" t="str">
        <f>IF(OR(N440="",NOT(ISNUMBER(M440))),"",ROUND(N440*M440,2))</f>
        <v/>
      </c>
      <c r="P440" s="70" t="str">
        <f>IF(N440="","",N440+N(O440))</f>
        <v/>
      </c>
      <c r="Q440" s="64" t="n"/>
      <c r="R440" s="73" t="str">
        <f>IF(N(Q440)&gt;0,Q440,IF(OR(N(B440)=0,ISNA(MATCH($C440,sup_code,0))),"",IF(ISNUMBER(INDEX(sup_delay,MATCH($C440,sup_code,0))),B440+INDEX(sup_delay,MATCH($C440,sup_code,0)),"")))</f>
        <v/>
      </c>
      <c r="S440" s="64" t="n"/>
      <c r="T440" s="68" t="n"/>
      <c r="U440" s="64" t="n"/>
      <c r="V440" s="65" t="n"/>
      <c r="W440" s="74" t="str">
        <f>IF(AND(A440="",E440=""),"",IF(V440="Oui",0,MAX(0,ROUND(N(H440)-N(T440),6))))</f>
        <v/>
      </c>
      <c r="X440" s="67" t="str">
        <f>IF(AND(A440="",E440=""),"",IF(V440="Oui","Annulé",IF(AND(N(H440)&gt;0,N(T440)&gt;=N(H440)),"Reçu",IF(N(S440)=0,"Brouillon",IF(AND(ISNUMBER(R440),R440&lt;p_today),"En retard",IF(N(T440)&gt;0,"Partiel","Envoyé"))))))</f>
        <v/>
      </c>
      <c r="Y440" s="75" t="str">
        <f>IF(X440="En retard",p_today-R440,IF(AND(X440="Reçu",ISNUMBER(R440)),MAX(0,N(U440)-R440),""))</f>
        <v/>
      </c>
      <c r="Z440" s="67" t="str">
        <f>IF(AND(A440="",E440=""),"",IF(A440="","N° de bon manquant",IF(N(B440)=0,"Date de commande manquante",IF(C440="","Fournisseur manquant",IF(ISNA(MATCH($C440,sup_code,0)),"Fournisseur inconnu",IF(E440="","Article manquant",IF(ISNA(MATCH($E440,art_ref,0)),"Article inconnu",IF(N(H440)&lt;=0,"Quantité invalide",IF(J440="","Prix manquant",IF(OR(N(K440)&lt;0,N(K440)&gt;=1),"Remise invalide",IF(M440="","TVA manquante",IF(ISNA(MATCH(M440,p_tva,0)),"Taux de TVA inconnu",IF(COUNTIFS(po_num,A440,po_sup,"&lt;&gt;"&amp;C440)&gt;0,"Fournisseur différent sur ce bon",IF(COUNTIFS(po_num,A440,po_date,"&lt;&gt;"&amp;B440)&gt;0,"Date différente sur ce bon",IF(COUNTIF(po_num,A440)&gt;25,"Plus de 25 lignes sur ce bon",IF(R440="","Date de livraison manquante",IF(R440&lt;B440,"Livraison avant la commande",IF(AND(N(T440)&gt;0,N(S440)=0),"Date d'envoi manquante",IF(N(T440)&gt;N(H440),"Reçu plus que commandé",IF(AND(N(T440)&gt;0,N(U440)=0),"Date de réception manquante",IF(AND(N(U440)&gt;0,U440&lt;B440),"Réception avant la commande","OK")))))))))))))))))))))</f>
        <v/>
      </c>
      <c r="AA440" s="66" t="str">
        <f>IF(AND(X440="Reçu",ISNUMBER(R440)),IF(N(U440)&lt;=R440,1,0),"")</f>
        <v/>
      </c>
      <c r="AB440" s="76" t="str">
        <f>IF(OR(X440="Envoyé",X440="Partiel",X440="En retard"),IF(ISNUMBER(R440),R440,100000)+ROW()/100000,"")</f>
        <v/>
      </c>
      <c r="AC440" s="66" t="str">
        <f>IF(A440="","",IF(COUNTIF($A$6:A440,A440)=1,1,""))</f>
        <v/>
      </c>
      <c r="AD440" s="66" t="str">
        <f>IF(AC440=1,COUNT($AC$6:AC440),"")</f>
        <v/>
      </c>
      <c r="AE440" s="66" t="str">
        <f>IFERROR(INDEX(po_num,MATCH(435,po_seq,0))&amp;"","")</f>
        <v/>
      </c>
      <c r="AF440" s="66" t="str">
        <f>IF(OR(A440="",p_po=""),"",IF(A440&amp;""=p_po,COUNTIF($A$6:A440,A440),""))</f>
        <v/>
      </c>
      <c r="AG440" s="66" t="str">
        <f>IF(OR(AB440="",A440=""),"",IF(COUNTIFS($A$6:A440,A440,$AB$6:AB440,"&gt;0")=1,1,""))</f>
        <v/>
      </c>
      <c r="AH440" s="70" t="str">
        <f>IF(AB440="","",ROUND(N(W440)*N(J440)*(1-N(K440)),2))</f>
        <v/>
      </c>
      <c r="AI440" s="70" t="str">
        <f>IF(OR(J440="",N(T440)&lt;=0,V440="Oui"),"",ROUND(N(T440)*J440*(1-N(K440)),2))</f>
        <v/>
      </c>
    </row>
    <row r="441">
      <c r="A441" s="63" t="n"/>
      <c r="B441" s="64" t="n"/>
      <c r="C441" s="65" t="n"/>
      <c r="D441" s="66" t="str">
        <f>IF(C441="","",IFERROR(INDEX(sup_name,MATCH($C441,sup_code,0))&amp;"","Fournisseur inconnu"))</f>
        <v/>
      </c>
      <c r="E441" s="63" t="n"/>
      <c r="F441" s="66" t="str">
        <f>IF(E441="","",IFERROR(INDEX(art_des,MATCH($E441,art_ref,0))&amp;"","Article inconnu"))</f>
        <v/>
      </c>
      <c r="G441" s="67" t="str">
        <f>IF(E441="","",IFERROR(INDEX(art_unit,MATCH($E441,art_ref,0))&amp;"",""))</f>
        <v/>
      </c>
      <c r="H441" s="68" t="n"/>
      <c r="I441" s="69" t="n"/>
      <c r="J441" s="70" t="str">
        <f>IF(E441="","",IF(ISNUMBER(I441),I441,IFERROR(IF(ISNUMBER(INDEX(art_price,MATCH($E441,art_ref,0))),INDEX(art_price,MATCH($E441,art_ref,0)),""),"")))</f>
        <v/>
      </c>
      <c r="K441" s="71" t="n"/>
      <c r="L441" s="72" t="n"/>
      <c r="M441" s="72" t="str">
        <f>IF(E441="","",IF(L441&lt;&gt;"",L441,IFERROR(IF(ISNUMBER(INDEX(art_tva,MATCH($E441,art_ref,0))),INDEX(art_tva,MATCH($E441,art_ref,0)),""),"")))</f>
        <v/>
      </c>
      <c r="N441" s="70" t="str">
        <f>IF(OR(E441="",J441=""),"",ROUND(N(H441)*J441*(1-N(K441)),2))</f>
        <v/>
      </c>
      <c r="O441" s="70" t="str">
        <f>IF(OR(N441="",NOT(ISNUMBER(M441))),"",ROUND(N441*M441,2))</f>
        <v/>
      </c>
      <c r="P441" s="70" t="str">
        <f>IF(N441="","",N441+N(O441))</f>
        <v/>
      </c>
      <c r="Q441" s="64" t="n"/>
      <c r="R441" s="73" t="str">
        <f>IF(N(Q441)&gt;0,Q441,IF(OR(N(B441)=0,ISNA(MATCH($C441,sup_code,0))),"",IF(ISNUMBER(INDEX(sup_delay,MATCH($C441,sup_code,0))),B441+INDEX(sup_delay,MATCH($C441,sup_code,0)),"")))</f>
        <v/>
      </c>
      <c r="S441" s="64" t="n"/>
      <c r="T441" s="68" t="n"/>
      <c r="U441" s="64" t="n"/>
      <c r="V441" s="65" t="n"/>
      <c r="W441" s="74" t="str">
        <f>IF(AND(A441="",E441=""),"",IF(V441="Oui",0,MAX(0,ROUND(N(H441)-N(T441),6))))</f>
        <v/>
      </c>
      <c r="X441" s="67" t="str">
        <f>IF(AND(A441="",E441=""),"",IF(V441="Oui","Annulé",IF(AND(N(H441)&gt;0,N(T441)&gt;=N(H441)),"Reçu",IF(N(S441)=0,"Brouillon",IF(AND(ISNUMBER(R441),R441&lt;p_today),"En retard",IF(N(T441)&gt;0,"Partiel","Envoyé"))))))</f>
        <v/>
      </c>
      <c r="Y441" s="75" t="str">
        <f>IF(X441="En retard",p_today-R441,IF(AND(X441="Reçu",ISNUMBER(R441)),MAX(0,N(U441)-R441),""))</f>
        <v/>
      </c>
      <c r="Z441" s="67" t="str">
        <f>IF(AND(A441="",E441=""),"",IF(A441="","N° de bon manquant",IF(N(B441)=0,"Date de commande manquante",IF(C441="","Fournisseur manquant",IF(ISNA(MATCH($C441,sup_code,0)),"Fournisseur inconnu",IF(E441="","Article manquant",IF(ISNA(MATCH($E441,art_ref,0)),"Article inconnu",IF(N(H441)&lt;=0,"Quantité invalide",IF(J441="","Prix manquant",IF(OR(N(K441)&lt;0,N(K441)&gt;=1),"Remise invalide",IF(M441="","TVA manquante",IF(ISNA(MATCH(M441,p_tva,0)),"Taux de TVA inconnu",IF(COUNTIFS(po_num,A441,po_sup,"&lt;&gt;"&amp;C441)&gt;0,"Fournisseur différent sur ce bon",IF(COUNTIFS(po_num,A441,po_date,"&lt;&gt;"&amp;B441)&gt;0,"Date différente sur ce bon",IF(COUNTIF(po_num,A441)&gt;25,"Plus de 25 lignes sur ce bon",IF(R441="","Date de livraison manquante",IF(R441&lt;B441,"Livraison avant la commande",IF(AND(N(T441)&gt;0,N(S441)=0),"Date d'envoi manquante",IF(N(T441)&gt;N(H441),"Reçu plus que commandé",IF(AND(N(T441)&gt;0,N(U441)=0),"Date de réception manquante",IF(AND(N(U441)&gt;0,U441&lt;B441),"Réception avant la commande","OK")))))))))))))))))))))</f>
        <v/>
      </c>
      <c r="AA441" s="66" t="str">
        <f>IF(AND(X441="Reçu",ISNUMBER(R441)),IF(N(U441)&lt;=R441,1,0),"")</f>
        <v/>
      </c>
      <c r="AB441" s="76" t="str">
        <f>IF(OR(X441="Envoyé",X441="Partiel",X441="En retard"),IF(ISNUMBER(R441),R441,100000)+ROW()/100000,"")</f>
        <v/>
      </c>
      <c r="AC441" s="66" t="str">
        <f>IF(A441="","",IF(COUNTIF($A$6:A441,A441)=1,1,""))</f>
        <v/>
      </c>
      <c r="AD441" s="66" t="str">
        <f>IF(AC441=1,COUNT($AC$6:AC441),"")</f>
        <v/>
      </c>
      <c r="AE441" s="66" t="str">
        <f>IFERROR(INDEX(po_num,MATCH(436,po_seq,0))&amp;"","")</f>
        <v/>
      </c>
      <c r="AF441" s="66" t="str">
        <f>IF(OR(A441="",p_po=""),"",IF(A441&amp;""=p_po,COUNTIF($A$6:A441,A441),""))</f>
        <v/>
      </c>
      <c r="AG441" s="66" t="str">
        <f>IF(OR(AB441="",A441=""),"",IF(COUNTIFS($A$6:A441,A441,$AB$6:AB441,"&gt;0")=1,1,""))</f>
        <v/>
      </c>
      <c r="AH441" s="70" t="str">
        <f>IF(AB441="","",ROUND(N(W441)*N(J441)*(1-N(K441)),2))</f>
        <v/>
      </c>
      <c r="AI441" s="70" t="str">
        <f>IF(OR(J441="",N(T441)&lt;=0,V441="Oui"),"",ROUND(N(T441)*J441*(1-N(K441)),2))</f>
        <v/>
      </c>
    </row>
    <row r="442">
      <c r="A442" s="63" t="n"/>
      <c r="B442" s="64" t="n"/>
      <c r="C442" s="65" t="n"/>
      <c r="D442" s="66" t="str">
        <f>IF(C442="","",IFERROR(INDEX(sup_name,MATCH($C442,sup_code,0))&amp;"","Fournisseur inconnu"))</f>
        <v/>
      </c>
      <c r="E442" s="63" t="n"/>
      <c r="F442" s="66" t="str">
        <f>IF(E442="","",IFERROR(INDEX(art_des,MATCH($E442,art_ref,0))&amp;"","Article inconnu"))</f>
        <v/>
      </c>
      <c r="G442" s="67" t="str">
        <f>IF(E442="","",IFERROR(INDEX(art_unit,MATCH($E442,art_ref,0))&amp;"",""))</f>
        <v/>
      </c>
      <c r="H442" s="68" t="n"/>
      <c r="I442" s="69" t="n"/>
      <c r="J442" s="70" t="str">
        <f>IF(E442="","",IF(ISNUMBER(I442),I442,IFERROR(IF(ISNUMBER(INDEX(art_price,MATCH($E442,art_ref,0))),INDEX(art_price,MATCH($E442,art_ref,0)),""),"")))</f>
        <v/>
      </c>
      <c r="K442" s="71" t="n"/>
      <c r="L442" s="72" t="n"/>
      <c r="M442" s="72" t="str">
        <f>IF(E442="","",IF(L442&lt;&gt;"",L442,IFERROR(IF(ISNUMBER(INDEX(art_tva,MATCH($E442,art_ref,0))),INDEX(art_tva,MATCH($E442,art_ref,0)),""),"")))</f>
        <v/>
      </c>
      <c r="N442" s="70" t="str">
        <f>IF(OR(E442="",J442=""),"",ROUND(N(H442)*J442*(1-N(K442)),2))</f>
        <v/>
      </c>
      <c r="O442" s="70" t="str">
        <f>IF(OR(N442="",NOT(ISNUMBER(M442))),"",ROUND(N442*M442,2))</f>
        <v/>
      </c>
      <c r="P442" s="70" t="str">
        <f>IF(N442="","",N442+N(O442))</f>
        <v/>
      </c>
      <c r="Q442" s="64" t="n"/>
      <c r="R442" s="73" t="str">
        <f>IF(N(Q442)&gt;0,Q442,IF(OR(N(B442)=0,ISNA(MATCH($C442,sup_code,0))),"",IF(ISNUMBER(INDEX(sup_delay,MATCH($C442,sup_code,0))),B442+INDEX(sup_delay,MATCH($C442,sup_code,0)),"")))</f>
        <v/>
      </c>
      <c r="S442" s="64" t="n"/>
      <c r="T442" s="68" t="n"/>
      <c r="U442" s="64" t="n"/>
      <c r="V442" s="65" t="n"/>
      <c r="W442" s="74" t="str">
        <f>IF(AND(A442="",E442=""),"",IF(V442="Oui",0,MAX(0,ROUND(N(H442)-N(T442),6))))</f>
        <v/>
      </c>
      <c r="X442" s="67" t="str">
        <f>IF(AND(A442="",E442=""),"",IF(V442="Oui","Annulé",IF(AND(N(H442)&gt;0,N(T442)&gt;=N(H442)),"Reçu",IF(N(S442)=0,"Brouillon",IF(AND(ISNUMBER(R442),R442&lt;p_today),"En retard",IF(N(T442)&gt;0,"Partiel","Envoyé"))))))</f>
        <v/>
      </c>
      <c r="Y442" s="75" t="str">
        <f>IF(X442="En retard",p_today-R442,IF(AND(X442="Reçu",ISNUMBER(R442)),MAX(0,N(U442)-R442),""))</f>
        <v/>
      </c>
      <c r="Z442" s="67" t="str">
        <f>IF(AND(A442="",E442=""),"",IF(A442="","N° de bon manquant",IF(N(B442)=0,"Date de commande manquante",IF(C442="","Fournisseur manquant",IF(ISNA(MATCH($C442,sup_code,0)),"Fournisseur inconnu",IF(E442="","Article manquant",IF(ISNA(MATCH($E442,art_ref,0)),"Article inconnu",IF(N(H442)&lt;=0,"Quantité invalide",IF(J442="","Prix manquant",IF(OR(N(K442)&lt;0,N(K442)&gt;=1),"Remise invalide",IF(M442="","TVA manquante",IF(ISNA(MATCH(M442,p_tva,0)),"Taux de TVA inconnu",IF(COUNTIFS(po_num,A442,po_sup,"&lt;&gt;"&amp;C442)&gt;0,"Fournisseur différent sur ce bon",IF(COUNTIFS(po_num,A442,po_date,"&lt;&gt;"&amp;B442)&gt;0,"Date différente sur ce bon",IF(COUNTIF(po_num,A442)&gt;25,"Plus de 25 lignes sur ce bon",IF(R442="","Date de livraison manquante",IF(R442&lt;B442,"Livraison avant la commande",IF(AND(N(T442)&gt;0,N(S442)=0),"Date d'envoi manquante",IF(N(T442)&gt;N(H442),"Reçu plus que commandé",IF(AND(N(T442)&gt;0,N(U442)=0),"Date de réception manquante",IF(AND(N(U442)&gt;0,U442&lt;B442),"Réception avant la commande","OK")))))))))))))))))))))</f>
        <v/>
      </c>
      <c r="AA442" s="66" t="str">
        <f>IF(AND(X442="Reçu",ISNUMBER(R442)),IF(N(U442)&lt;=R442,1,0),"")</f>
        <v/>
      </c>
      <c r="AB442" s="76" t="str">
        <f>IF(OR(X442="Envoyé",X442="Partiel",X442="En retard"),IF(ISNUMBER(R442),R442,100000)+ROW()/100000,"")</f>
        <v/>
      </c>
      <c r="AC442" s="66" t="str">
        <f>IF(A442="","",IF(COUNTIF($A$6:A442,A442)=1,1,""))</f>
        <v/>
      </c>
      <c r="AD442" s="66" t="str">
        <f>IF(AC442=1,COUNT($AC$6:AC442),"")</f>
        <v/>
      </c>
      <c r="AE442" s="66" t="str">
        <f>IFERROR(INDEX(po_num,MATCH(437,po_seq,0))&amp;"","")</f>
        <v/>
      </c>
      <c r="AF442" s="66" t="str">
        <f>IF(OR(A442="",p_po=""),"",IF(A442&amp;""=p_po,COUNTIF($A$6:A442,A442),""))</f>
        <v/>
      </c>
      <c r="AG442" s="66" t="str">
        <f>IF(OR(AB442="",A442=""),"",IF(COUNTIFS($A$6:A442,A442,$AB$6:AB442,"&gt;0")=1,1,""))</f>
        <v/>
      </c>
      <c r="AH442" s="70" t="str">
        <f>IF(AB442="","",ROUND(N(W442)*N(J442)*(1-N(K442)),2))</f>
        <v/>
      </c>
      <c r="AI442" s="70" t="str">
        <f>IF(OR(J442="",N(T442)&lt;=0,V442="Oui"),"",ROUND(N(T442)*J442*(1-N(K442)),2))</f>
        <v/>
      </c>
    </row>
    <row r="443">
      <c r="A443" s="63" t="n"/>
      <c r="B443" s="64" t="n"/>
      <c r="C443" s="65" t="n"/>
      <c r="D443" s="66" t="str">
        <f>IF(C443="","",IFERROR(INDEX(sup_name,MATCH($C443,sup_code,0))&amp;"","Fournisseur inconnu"))</f>
        <v/>
      </c>
      <c r="E443" s="63" t="n"/>
      <c r="F443" s="66" t="str">
        <f>IF(E443="","",IFERROR(INDEX(art_des,MATCH($E443,art_ref,0))&amp;"","Article inconnu"))</f>
        <v/>
      </c>
      <c r="G443" s="67" t="str">
        <f>IF(E443="","",IFERROR(INDEX(art_unit,MATCH($E443,art_ref,0))&amp;"",""))</f>
        <v/>
      </c>
      <c r="H443" s="68" t="n"/>
      <c r="I443" s="69" t="n"/>
      <c r="J443" s="70" t="str">
        <f>IF(E443="","",IF(ISNUMBER(I443),I443,IFERROR(IF(ISNUMBER(INDEX(art_price,MATCH($E443,art_ref,0))),INDEX(art_price,MATCH($E443,art_ref,0)),""),"")))</f>
        <v/>
      </c>
      <c r="K443" s="71" t="n"/>
      <c r="L443" s="72" t="n"/>
      <c r="M443" s="72" t="str">
        <f>IF(E443="","",IF(L443&lt;&gt;"",L443,IFERROR(IF(ISNUMBER(INDEX(art_tva,MATCH($E443,art_ref,0))),INDEX(art_tva,MATCH($E443,art_ref,0)),""),"")))</f>
        <v/>
      </c>
      <c r="N443" s="70" t="str">
        <f>IF(OR(E443="",J443=""),"",ROUND(N(H443)*J443*(1-N(K443)),2))</f>
        <v/>
      </c>
      <c r="O443" s="70" t="str">
        <f>IF(OR(N443="",NOT(ISNUMBER(M443))),"",ROUND(N443*M443,2))</f>
        <v/>
      </c>
      <c r="P443" s="70" t="str">
        <f>IF(N443="","",N443+N(O443))</f>
        <v/>
      </c>
      <c r="Q443" s="64" t="n"/>
      <c r="R443" s="73" t="str">
        <f>IF(N(Q443)&gt;0,Q443,IF(OR(N(B443)=0,ISNA(MATCH($C443,sup_code,0))),"",IF(ISNUMBER(INDEX(sup_delay,MATCH($C443,sup_code,0))),B443+INDEX(sup_delay,MATCH($C443,sup_code,0)),"")))</f>
        <v/>
      </c>
      <c r="S443" s="64" t="n"/>
      <c r="T443" s="68" t="n"/>
      <c r="U443" s="64" t="n"/>
      <c r="V443" s="65" t="n"/>
      <c r="W443" s="74" t="str">
        <f>IF(AND(A443="",E443=""),"",IF(V443="Oui",0,MAX(0,ROUND(N(H443)-N(T443),6))))</f>
        <v/>
      </c>
      <c r="X443" s="67" t="str">
        <f>IF(AND(A443="",E443=""),"",IF(V443="Oui","Annulé",IF(AND(N(H443)&gt;0,N(T443)&gt;=N(H443)),"Reçu",IF(N(S443)=0,"Brouillon",IF(AND(ISNUMBER(R443),R443&lt;p_today),"En retard",IF(N(T443)&gt;0,"Partiel","Envoyé"))))))</f>
        <v/>
      </c>
      <c r="Y443" s="75" t="str">
        <f>IF(X443="En retard",p_today-R443,IF(AND(X443="Reçu",ISNUMBER(R443)),MAX(0,N(U443)-R443),""))</f>
        <v/>
      </c>
      <c r="Z443" s="67" t="str">
        <f>IF(AND(A443="",E443=""),"",IF(A443="","N° de bon manquant",IF(N(B443)=0,"Date de commande manquante",IF(C443="","Fournisseur manquant",IF(ISNA(MATCH($C443,sup_code,0)),"Fournisseur inconnu",IF(E443="","Article manquant",IF(ISNA(MATCH($E443,art_ref,0)),"Article inconnu",IF(N(H443)&lt;=0,"Quantité invalide",IF(J443="","Prix manquant",IF(OR(N(K443)&lt;0,N(K443)&gt;=1),"Remise invalide",IF(M443="","TVA manquante",IF(ISNA(MATCH(M443,p_tva,0)),"Taux de TVA inconnu",IF(COUNTIFS(po_num,A443,po_sup,"&lt;&gt;"&amp;C443)&gt;0,"Fournisseur différent sur ce bon",IF(COUNTIFS(po_num,A443,po_date,"&lt;&gt;"&amp;B443)&gt;0,"Date différente sur ce bon",IF(COUNTIF(po_num,A443)&gt;25,"Plus de 25 lignes sur ce bon",IF(R443="","Date de livraison manquante",IF(R443&lt;B443,"Livraison avant la commande",IF(AND(N(T443)&gt;0,N(S443)=0),"Date d'envoi manquante",IF(N(T443)&gt;N(H443),"Reçu plus que commandé",IF(AND(N(T443)&gt;0,N(U443)=0),"Date de réception manquante",IF(AND(N(U443)&gt;0,U443&lt;B443),"Réception avant la commande","OK")))))))))))))))))))))</f>
        <v/>
      </c>
      <c r="AA443" s="66" t="str">
        <f>IF(AND(X443="Reçu",ISNUMBER(R443)),IF(N(U443)&lt;=R443,1,0),"")</f>
        <v/>
      </c>
      <c r="AB443" s="76" t="str">
        <f>IF(OR(X443="Envoyé",X443="Partiel",X443="En retard"),IF(ISNUMBER(R443),R443,100000)+ROW()/100000,"")</f>
        <v/>
      </c>
      <c r="AC443" s="66" t="str">
        <f>IF(A443="","",IF(COUNTIF($A$6:A443,A443)=1,1,""))</f>
        <v/>
      </c>
      <c r="AD443" s="66" t="str">
        <f>IF(AC443=1,COUNT($AC$6:AC443),"")</f>
        <v/>
      </c>
      <c r="AE443" s="66" t="str">
        <f>IFERROR(INDEX(po_num,MATCH(438,po_seq,0))&amp;"","")</f>
        <v/>
      </c>
      <c r="AF443" s="66" t="str">
        <f>IF(OR(A443="",p_po=""),"",IF(A443&amp;""=p_po,COUNTIF($A$6:A443,A443),""))</f>
        <v/>
      </c>
      <c r="AG443" s="66" t="str">
        <f>IF(OR(AB443="",A443=""),"",IF(COUNTIFS($A$6:A443,A443,$AB$6:AB443,"&gt;0")=1,1,""))</f>
        <v/>
      </c>
      <c r="AH443" s="70" t="str">
        <f>IF(AB443="","",ROUND(N(W443)*N(J443)*(1-N(K443)),2))</f>
        <v/>
      </c>
      <c r="AI443" s="70" t="str">
        <f>IF(OR(J443="",N(T443)&lt;=0,V443="Oui"),"",ROUND(N(T443)*J443*(1-N(K443)),2))</f>
        <v/>
      </c>
    </row>
    <row r="444">
      <c r="A444" s="63" t="n"/>
      <c r="B444" s="64" t="n"/>
      <c r="C444" s="65" t="n"/>
      <c r="D444" s="66" t="str">
        <f>IF(C444="","",IFERROR(INDEX(sup_name,MATCH($C444,sup_code,0))&amp;"","Fournisseur inconnu"))</f>
        <v/>
      </c>
      <c r="E444" s="63" t="n"/>
      <c r="F444" s="66" t="str">
        <f>IF(E444="","",IFERROR(INDEX(art_des,MATCH($E444,art_ref,0))&amp;"","Article inconnu"))</f>
        <v/>
      </c>
      <c r="G444" s="67" t="str">
        <f>IF(E444="","",IFERROR(INDEX(art_unit,MATCH($E444,art_ref,0))&amp;"",""))</f>
        <v/>
      </c>
      <c r="H444" s="68" t="n"/>
      <c r="I444" s="69" t="n"/>
      <c r="J444" s="70" t="str">
        <f>IF(E444="","",IF(ISNUMBER(I444),I444,IFERROR(IF(ISNUMBER(INDEX(art_price,MATCH($E444,art_ref,0))),INDEX(art_price,MATCH($E444,art_ref,0)),""),"")))</f>
        <v/>
      </c>
      <c r="K444" s="71" t="n"/>
      <c r="L444" s="72" t="n"/>
      <c r="M444" s="72" t="str">
        <f>IF(E444="","",IF(L444&lt;&gt;"",L444,IFERROR(IF(ISNUMBER(INDEX(art_tva,MATCH($E444,art_ref,0))),INDEX(art_tva,MATCH($E444,art_ref,0)),""),"")))</f>
        <v/>
      </c>
      <c r="N444" s="70" t="str">
        <f>IF(OR(E444="",J444=""),"",ROUND(N(H444)*J444*(1-N(K444)),2))</f>
        <v/>
      </c>
      <c r="O444" s="70" t="str">
        <f>IF(OR(N444="",NOT(ISNUMBER(M444))),"",ROUND(N444*M444,2))</f>
        <v/>
      </c>
      <c r="P444" s="70" t="str">
        <f>IF(N444="","",N444+N(O444))</f>
        <v/>
      </c>
      <c r="Q444" s="64" t="n"/>
      <c r="R444" s="73" t="str">
        <f>IF(N(Q444)&gt;0,Q444,IF(OR(N(B444)=0,ISNA(MATCH($C444,sup_code,0))),"",IF(ISNUMBER(INDEX(sup_delay,MATCH($C444,sup_code,0))),B444+INDEX(sup_delay,MATCH($C444,sup_code,0)),"")))</f>
        <v/>
      </c>
      <c r="S444" s="64" t="n"/>
      <c r="T444" s="68" t="n"/>
      <c r="U444" s="64" t="n"/>
      <c r="V444" s="65" t="n"/>
      <c r="W444" s="74" t="str">
        <f>IF(AND(A444="",E444=""),"",IF(V444="Oui",0,MAX(0,ROUND(N(H444)-N(T444),6))))</f>
        <v/>
      </c>
      <c r="X444" s="67" t="str">
        <f>IF(AND(A444="",E444=""),"",IF(V444="Oui","Annulé",IF(AND(N(H444)&gt;0,N(T444)&gt;=N(H444)),"Reçu",IF(N(S444)=0,"Brouillon",IF(AND(ISNUMBER(R444),R444&lt;p_today),"En retard",IF(N(T444)&gt;0,"Partiel","Envoyé"))))))</f>
        <v/>
      </c>
      <c r="Y444" s="75" t="str">
        <f>IF(X444="En retard",p_today-R444,IF(AND(X444="Reçu",ISNUMBER(R444)),MAX(0,N(U444)-R444),""))</f>
        <v/>
      </c>
      <c r="Z444" s="67" t="str">
        <f>IF(AND(A444="",E444=""),"",IF(A444="","N° de bon manquant",IF(N(B444)=0,"Date de commande manquante",IF(C444="","Fournisseur manquant",IF(ISNA(MATCH($C444,sup_code,0)),"Fournisseur inconnu",IF(E444="","Article manquant",IF(ISNA(MATCH($E444,art_ref,0)),"Article inconnu",IF(N(H444)&lt;=0,"Quantité invalide",IF(J444="","Prix manquant",IF(OR(N(K444)&lt;0,N(K444)&gt;=1),"Remise invalide",IF(M444="","TVA manquante",IF(ISNA(MATCH(M444,p_tva,0)),"Taux de TVA inconnu",IF(COUNTIFS(po_num,A444,po_sup,"&lt;&gt;"&amp;C444)&gt;0,"Fournisseur différent sur ce bon",IF(COUNTIFS(po_num,A444,po_date,"&lt;&gt;"&amp;B444)&gt;0,"Date différente sur ce bon",IF(COUNTIF(po_num,A444)&gt;25,"Plus de 25 lignes sur ce bon",IF(R444="","Date de livraison manquante",IF(R444&lt;B444,"Livraison avant la commande",IF(AND(N(T444)&gt;0,N(S444)=0),"Date d'envoi manquante",IF(N(T444)&gt;N(H444),"Reçu plus que commandé",IF(AND(N(T444)&gt;0,N(U444)=0),"Date de réception manquante",IF(AND(N(U444)&gt;0,U444&lt;B444),"Réception avant la commande","OK")))))))))))))))))))))</f>
        <v/>
      </c>
      <c r="AA444" s="66" t="str">
        <f>IF(AND(X444="Reçu",ISNUMBER(R444)),IF(N(U444)&lt;=R444,1,0),"")</f>
        <v/>
      </c>
      <c r="AB444" s="76" t="str">
        <f>IF(OR(X444="Envoyé",X444="Partiel",X444="En retard"),IF(ISNUMBER(R444),R444,100000)+ROW()/100000,"")</f>
        <v/>
      </c>
      <c r="AC444" s="66" t="str">
        <f>IF(A444="","",IF(COUNTIF($A$6:A444,A444)=1,1,""))</f>
        <v/>
      </c>
      <c r="AD444" s="66" t="str">
        <f>IF(AC444=1,COUNT($AC$6:AC444),"")</f>
        <v/>
      </c>
      <c r="AE444" s="66" t="str">
        <f>IFERROR(INDEX(po_num,MATCH(439,po_seq,0))&amp;"","")</f>
        <v/>
      </c>
      <c r="AF444" s="66" t="str">
        <f>IF(OR(A444="",p_po=""),"",IF(A444&amp;""=p_po,COUNTIF($A$6:A444,A444),""))</f>
        <v/>
      </c>
      <c r="AG444" s="66" t="str">
        <f>IF(OR(AB444="",A444=""),"",IF(COUNTIFS($A$6:A444,A444,$AB$6:AB444,"&gt;0")=1,1,""))</f>
        <v/>
      </c>
      <c r="AH444" s="70" t="str">
        <f>IF(AB444="","",ROUND(N(W444)*N(J444)*(1-N(K444)),2))</f>
        <v/>
      </c>
      <c r="AI444" s="70" t="str">
        <f>IF(OR(J444="",N(T444)&lt;=0,V444="Oui"),"",ROUND(N(T444)*J444*(1-N(K444)),2))</f>
        <v/>
      </c>
    </row>
    <row r="445">
      <c r="A445" s="63" t="n"/>
      <c r="B445" s="64" t="n"/>
      <c r="C445" s="65" t="n"/>
      <c r="D445" s="66" t="str">
        <f>IF(C445="","",IFERROR(INDEX(sup_name,MATCH($C445,sup_code,0))&amp;"","Fournisseur inconnu"))</f>
        <v/>
      </c>
      <c r="E445" s="63" t="n"/>
      <c r="F445" s="66" t="str">
        <f>IF(E445="","",IFERROR(INDEX(art_des,MATCH($E445,art_ref,0))&amp;"","Article inconnu"))</f>
        <v/>
      </c>
      <c r="G445" s="67" t="str">
        <f>IF(E445="","",IFERROR(INDEX(art_unit,MATCH($E445,art_ref,0))&amp;"",""))</f>
        <v/>
      </c>
      <c r="H445" s="68" t="n"/>
      <c r="I445" s="69" t="n"/>
      <c r="J445" s="70" t="str">
        <f>IF(E445="","",IF(ISNUMBER(I445),I445,IFERROR(IF(ISNUMBER(INDEX(art_price,MATCH($E445,art_ref,0))),INDEX(art_price,MATCH($E445,art_ref,0)),""),"")))</f>
        <v/>
      </c>
      <c r="K445" s="71" t="n"/>
      <c r="L445" s="72" t="n"/>
      <c r="M445" s="72" t="str">
        <f>IF(E445="","",IF(L445&lt;&gt;"",L445,IFERROR(IF(ISNUMBER(INDEX(art_tva,MATCH($E445,art_ref,0))),INDEX(art_tva,MATCH($E445,art_ref,0)),""),"")))</f>
        <v/>
      </c>
      <c r="N445" s="70" t="str">
        <f>IF(OR(E445="",J445=""),"",ROUND(N(H445)*J445*(1-N(K445)),2))</f>
        <v/>
      </c>
      <c r="O445" s="70" t="str">
        <f>IF(OR(N445="",NOT(ISNUMBER(M445))),"",ROUND(N445*M445,2))</f>
        <v/>
      </c>
      <c r="P445" s="70" t="str">
        <f>IF(N445="","",N445+N(O445))</f>
        <v/>
      </c>
      <c r="Q445" s="64" t="n"/>
      <c r="R445" s="73" t="str">
        <f>IF(N(Q445)&gt;0,Q445,IF(OR(N(B445)=0,ISNA(MATCH($C445,sup_code,0))),"",IF(ISNUMBER(INDEX(sup_delay,MATCH($C445,sup_code,0))),B445+INDEX(sup_delay,MATCH($C445,sup_code,0)),"")))</f>
        <v/>
      </c>
      <c r="S445" s="64" t="n"/>
      <c r="T445" s="68" t="n"/>
      <c r="U445" s="64" t="n"/>
      <c r="V445" s="65" t="n"/>
      <c r="W445" s="74" t="str">
        <f>IF(AND(A445="",E445=""),"",IF(V445="Oui",0,MAX(0,ROUND(N(H445)-N(T445),6))))</f>
        <v/>
      </c>
      <c r="X445" s="67" t="str">
        <f>IF(AND(A445="",E445=""),"",IF(V445="Oui","Annulé",IF(AND(N(H445)&gt;0,N(T445)&gt;=N(H445)),"Reçu",IF(N(S445)=0,"Brouillon",IF(AND(ISNUMBER(R445),R445&lt;p_today),"En retard",IF(N(T445)&gt;0,"Partiel","Envoyé"))))))</f>
        <v/>
      </c>
      <c r="Y445" s="75" t="str">
        <f>IF(X445="En retard",p_today-R445,IF(AND(X445="Reçu",ISNUMBER(R445)),MAX(0,N(U445)-R445),""))</f>
        <v/>
      </c>
      <c r="Z445" s="67" t="str">
        <f>IF(AND(A445="",E445=""),"",IF(A445="","N° de bon manquant",IF(N(B445)=0,"Date de commande manquante",IF(C445="","Fournisseur manquant",IF(ISNA(MATCH($C445,sup_code,0)),"Fournisseur inconnu",IF(E445="","Article manquant",IF(ISNA(MATCH($E445,art_ref,0)),"Article inconnu",IF(N(H445)&lt;=0,"Quantité invalide",IF(J445="","Prix manquant",IF(OR(N(K445)&lt;0,N(K445)&gt;=1),"Remise invalide",IF(M445="","TVA manquante",IF(ISNA(MATCH(M445,p_tva,0)),"Taux de TVA inconnu",IF(COUNTIFS(po_num,A445,po_sup,"&lt;&gt;"&amp;C445)&gt;0,"Fournisseur différent sur ce bon",IF(COUNTIFS(po_num,A445,po_date,"&lt;&gt;"&amp;B445)&gt;0,"Date différente sur ce bon",IF(COUNTIF(po_num,A445)&gt;25,"Plus de 25 lignes sur ce bon",IF(R445="","Date de livraison manquante",IF(R445&lt;B445,"Livraison avant la commande",IF(AND(N(T445)&gt;0,N(S445)=0),"Date d'envoi manquante",IF(N(T445)&gt;N(H445),"Reçu plus que commandé",IF(AND(N(T445)&gt;0,N(U445)=0),"Date de réception manquante",IF(AND(N(U445)&gt;0,U445&lt;B445),"Réception avant la commande","OK")))))))))))))))))))))</f>
        <v/>
      </c>
      <c r="AA445" s="66" t="str">
        <f>IF(AND(X445="Reçu",ISNUMBER(R445)),IF(N(U445)&lt;=R445,1,0),"")</f>
        <v/>
      </c>
      <c r="AB445" s="76" t="str">
        <f>IF(OR(X445="Envoyé",X445="Partiel",X445="En retard"),IF(ISNUMBER(R445),R445,100000)+ROW()/100000,"")</f>
        <v/>
      </c>
      <c r="AC445" s="66" t="str">
        <f>IF(A445="","",IF(COUNTIF($A$6:A445,A445)=1,1,""))</f>
        <v/>
      </c>
      <c r="AD445" s="66" t="str">
        <f>IF(AC445=1,COUNT($AC$6:AC445),"")</f>
        <v/>
      </c>
      <c r="AE445" s="66" t="str">
        <f>IFERROR(INDEX(po_num,MATCH(440,po_seq,0))&amp;"","")</f>
        <v/>
      </c>
      <c r="AF445" s="66" t="str">
        <f>IF(OR(A445="",p_po=""),"",IF(A445&amp;""=p_po,COUNTIF($A$6:A445,A445),""))</f>
        <v/>
      </c>
      <c r="AG445" s="66" t="str">
        <f>IF(OR(AB445="",A445=""),"",IF(COUNTIFS($A$6:A445,A445,$AB$6:AB445,"&gt;0")=1,1,""))</f>
        <v/>
      </c>
      <c r="AH445" s="70" t="str">
        <f>IF(AB445="","",ROUND(N(W445)*N(J445)*(1-N(K445)),2))</f>
        <v/>
      </c>
      <c r="AI445" s="70" t="str">
        <f>IF(OR(J445="",N(T445)&lt;=0,V445="Oui"),"",ROUND(N(T445)*J445*(1-N(K445)),2))</f>
        <v/>
      </c>
    </row>
    <row r="446">
      <c r="A446" s="63" t="n"/>
      <c r="B446" s="64" t="n"/>
      <c r="C446" s="65" t="n"/>
      <c r="D446" s="66" t="str">
        <f>IF(C446="","",IFERROR(INDEX(sup_name,MATCH($C446,sup_code,0))&amp;"","Fournisseur inconnu"))</f>
        <v/>
      </c>
      <c r="E446" s="63" t="n"/>
      <c r="F446" s="66" t="str">
        <f>IF(E446="","",IFERROR(INDEX(art_des,MATCH($E446,art_ref,0))&amp;"","Article inconnu"))</f>
        <v/>
      </c>
      <c r="G446" s="67" t="str">
        <f>IF(E446="","",IFERROR(INDEX(art_unit,MATCH($E446,art_ref,0))&amp;"",""))</f>
        <v/>
      </c>
      <c r="H446" s="68" t="n"/>
      <c r="I446" s="69" t="n"/>
      <c r="J446" s="70" t="str">
        <f>IF(E446="","",IF(ISNUMBER(I446),I446,IFERROR(IF(ISNUMBER(INDEX(art_price,MATCH($E446,art_ref,0))),INDEX(art_price,MATCH($E446,art_ref,0)),""),"")))</f>
        <v/>
      </c>
      <c r="K446" s="71" t="n"/>
      <c r="L446" s="72" t="n"/>
      <c r="M446" s="72" t="str">
        <f>IF(E446="","",IF(L446&lt;&gt;"",L446,IFERROR(IF(ISNUMBER(INDEX(art_tva,MATCH($E446,art_ref,0))),INDEX(art_tva,MATCH($E446,art_ref,0)),""),"")))</f>
        <v/>
      </c>
      <c r="N446" s="70" t="str">
        <f>IF(OR(E446="",J446=""),"",ROUND(N(H446)*J446*(1-N(K446)),2))</f>
        <v/>
      </c>
      <c r="O446" s="70" t="str">
        <f>IF(OR(N446="",NOT(ISNUMBER(M446))),"",ROUND(N446*M446,2))</f>
        <v/>
      </c>
      <c r="P446" s="70" t="str">
        <f>IF(N446="","",N446+N(O446))</f>
        <v/>
      </c>
      <c r="Q446" s="64" t="n"/>
      <c r="R446" s="73" t="str">
        <f>IF(N(Q446)&gt;0,Q446,IF(OR(N(B446)=0,ISNA(MATCH($C446,sup_code,0))),"",IF(ISNUMBER(INDEX(sup_delay,MATCH($C446,sup_code,0))),B446+INDEX(sup_delay,MATCH($C446,sup_code,0)),"")))</f>
        <v/>
      </c>
      <c r="S446" s="64" t="n"/>
      <c r="T446" s="68" t="n"/>
      <c r="U446" s="64" t="n"/>
      <c r="V446" s="65" t="n"/>
      <c r="W446" s="74" t="str">
        <f>IF(AND(A446="",E446=""),"",IF(V446="Oui",0,MAX(0,ROUND(N(H446)-N(T446),6))))</f>
        <v/>
      </c>
      <c r="X446" s="67" t="str">
        <f>IF(AND(A446="",E446=""),"",IF(V446="Oui","Annulé",IF(AND(N(H446)&gt;0,N(T446)&gt;=N(H446)),"Reçu",IF(N(S446)=0,"Brouillon",IF(AND(ISNUMBER(R446),R446&lt;p_today),"En retard",IF(N(T446)&gt;0,"Partiel","Envoyé"))))))</f>
        <v/>
      </c>
      <c r="Y446" s="75" t="str">
        <f>IF(X446="En retard",p_today-R446,IF(AND(X446="Reçu",ISNUMBER(R446)),MAX(0,N(U446)-R446),""))</f>
        <v/>
      </c>
      <c r="Z446" s="67" t="str">
        <f>IF(AND(A446="",E446=""),"",IF(A446="","N° de bon manquant",IF(N(B446)=0,"Date de commande manquante",IF(C446="","Fournisseur manquant",IF(ISNA(MATCH($C446,sup_code,0)),"Fournisseur inconnu",IF(E446="","Article manquant",IF(ISNA(MATCH($E446,art_ref,0)),"Article inconnu",IF(N(H446)&lt;=0,"Quantité invalide",IF(J446="","Prix manquant",IF(OR(N(K446)&lt;0,N(K446)&gt;=1),"Remise invalide",IF(M446="","TVA manquante",IF(ISNA(MATCH(M446,p_tva,0)),"Taux de TVA inconnu",IF(COUNTIFS(po_num,A446,po_sup,"&lt;&gt;"&amp;C446)&gt;0,"Fournisseur différent sur ce bon",IF(COUNTIFS(po_num,A446,po_date,"&lt;&gt;"&amp;B446)&gt;0,"Date différente sur ce bon",IF(COUNTIF(po_num,A446)&gt;25,"Plus de 25 lignes sur ce bon",IF(R446="","Date de livraison manquante",IF(R446&lt;B446,"Livraison avant la commande",IF(AND(N(T446)&gt;0,N(S446)=0),"Date d'envoi manquante",IF(N(T446)&gt;N(H446),"Reçu plus que commandé",IF(AND(N(T446)&gt;0,N(U446)=0),"Date de réception manquante",IF(AND(N(U446)&gt;0,U446&lt;B446),"Réception avant la commande","OK")))))))))))))))))))))</f>
        <v/>
      </c>
      <c r="AA446" s="66" t="str">
        <f>IF(AND(X446="Reçu",ISNUMBER(R446)),IF(N(U446)&lt;=R446,1,0),"")</f>
        <v/>
      </c>
      <c r="AB446" s="76" t="str">
        <f>IF(OR(X446="Envoyé",X446="Partiel",X446="En retard"),IF(ISNUMBER(R446),R446,100000)+ROW()/100000,"")</f>
        <v/>
      </c>
      <c r="AC446" s="66" t="str">
        <f>IF(A446="","",IF(COUNTIF($A$6:A446,A446)=1,1,""))</f>
        <v/>
      </c>
      <c r="AD446" s="66" t="str">
        <f>IF(AC446=1,COUNT($AC$6:AC446),"")</f>
        <v/>
      </c>
      <c r="AE446" s="66" t="str">
        <f>IFERROR(INDEX(po_num,MATCH(441,po_seq,0))&amp;"","")</f>
        <v/>
      </c>
      <c r="AF446" s="66" t="str">
        <f>IF(OR(A446="",p_po=""),"",IF(A446&amp;""=p_po,COUNTIF($A$6:A446,A446),""))</f>
        <v/>
      </c>
      <c r="AG446" s="66" t="str">
        <f>IF(OR(AB446="",A446=""),"",IF(COUNTIFS($A$6:A446,A446,$AB$6:AB446,"&gt;0")=1,1,""))</f>
        <v/>
      </c>
      <c r="AH446" s="70" t="str">
        <f>IF(AB446="","",ROUND(N(W446)*N(J446)*(1-N(K446)),2))</f>
        <v/>
      </c>
      <c r="AI446" s="70" t="str">
        <f>IF(OR(J446="",N(T446)&lt;=0,V446="Oui"),"",ROUND(N(T446)*J446*(1-N(K446)),2))</f>
        <v/>
      </c>
    </row>
    <row r="447">
      <c r="A447" s="63" t="n"/>
      <c r="B447" s="64" t="n"/>
      <c r="C447" s="65" t="n"/>
      <c r="D447" s="66" t="str">
        <f>IF(C447="","",IFERROR(INDEX(sup_name,MATCH($C447,sup_code,0))&amp;"","Fournisseur inconnu"))</f>
        <v/>
      </c>
      <c r="E447" s="63" t="n"/>
      <c r="F447" s="66" t="str">
        <f>IF(E447="","",IFERROR(INDEX(art_des,MATCH($E447,art_ref,0))&amp;"","Article inconnu"))</f>
        <v/>
      </c>
      <c r="G447" s="67" t="str">
        <f>IF(E447="","",IFERROR(INDEX(art_unit,MATCH($E447,art_ref,0))&amp;"",""))</f>
        <v/>
      </c>
      <c r="H447" s="68" t="n"/>
      <c r="I447" s="69" t="n"/>
      <c r="J447" s="70" t="str">
        <f>IF(E447="","",IF(ISNUMBER(I447),I447,IFERROR(IF(ISNUMBER(INDEX(art_price,MATCH($E447,art_ref,0))),INDEX(art_price,MATCH($E447,art_ref,0)),""),"")))</f>
        <v/>
      </c>
      <c r="K447" s="71" t="n"/>
      <c r="L447" s="72" t="n"/>
      <c r="M447" s="72" t="str">
        <f>IF(E447="","",IF(L447&lt;&gt;"",L447,IFERROR(IF(ISNUMBER(INDEX(art_tva,MATCH($E447,art_ref,0))),INDEX(art_tva,MATCH($E447,art_ref,0)),""),"")))</f>
        <v/>
      </c>
      <c r="N447" s="70" t="str">
        <f>IF(OR(E447="",J447=""),"",ROUND(N(H447)*J447*(1-N(K447)),2))</f>
        <v/>
      </c>
      <c r="O447" s="70" t="str">
        <f>IF(OR(N447="",NOT(ISNUMBER(M447))),"",ROUND(N447*M447,2))</f>
        <v/>
      </c>
      <c r="P447" s="70" t="str">
        <f>IF(N447="","",N447+N(O447))</f>
        <v/>
      </c>
      <c r="Q447" s="64" t="n"/>
      <c r="R447" s="73" t="str">
        <f>IF(N(Q447)&gt;0,Q447,IF(OR(N(B447)=0,ISNA(MATCH($C447,sup_code,0))),"",IF(ISNUMBER(INDEX(sup_delay,MATCH($C447,sup_code,0))),B447+INDEX(sup_delay,MATCH($C447,sup_code,0)),"")))</f>
        <v/>
      </c>
      <c r="S447" s="64" t="n"/>
      <c r="T447" s="68" t="n"/>
      <c r="U447" s="64" t="n"/>
      <c r="V447" s="65" t="n"/>
      <c r="W447" s="74" t="str">
        <f>IF(AND(A447="",E447=""),"",IF(V447="Oui",0,MAX(0,ROUND(N(H447)-N(T447),6))))</f>
        <v/>
      </c>
      <c r="X447" s="67" t="str">
        <f>IF(AND(A447="",E447=""),"",IF(V447="Oui","Annulé",IF(AND(N(H447)&gt;0,N(T447)&gt;=N(H447)),"Reçu",IF(N(S447)=0,"Brouillon",IF(AND(ISNUMBER(R447),R447&lt;p_today),"En retard",IF(N(T447)&gt;0,"Partiel","Envoyé"))))))</f>
        <v/>
      </c>
      <c r="Y447" s="75" t="str">
        <f>IF(X447="En retard",p_today-R447,IF(AND(X447="Reçu",ISNUMBER(R447)),MAX(0,N(U447)-R447),""))</f>
        <v/>
      </c>
      <c r="Z447" s="67" t="str">
        <f>IF(AND(A447="",E447=""),"",IF(A447="","N° de bon manquant",IF(N(B447)=0,"Date de commande manquante",IF(C447="","Fournisseur manquant",IF(ISNA(MATCH($C447,sup_code,0)),"Fournisseur inconnu",IF(E447="","Article manquant",IF(ISNA(MATCH($E447,art_ref,0)),"Article inconnu",IF(N(H447)&lt;=0,"Quantité invalide",IF(J447="","Prix manquant",IF(OR(N(K447)&lt;0,N(K447)&gt;=1),"Remise invalide",IF(M447="","TVA manquante",IF(ISNA(MATCH(M447,p_tva,0)),"Taux de TVA inconnu",IF(COUNTIFS(po_num,A447,po_sup,"&lt;&gt;"&amp;C447)&gt;0,"Fournisseur différent sur ce bon",IF(COUNTIFS(po_num,A447,po_date,"&lt;&gt;"&amp;B447)&gt;0,"Date différente sur ce bon",IF(COUNTIF(po_num,A447)&gt;25,"Plus de 25 lignes sur ce bon",IF(R447="","Date de livraison manquante",IF(R447&lt;B447,"Livraison avant la commande",IF(AND(N(T447)&gt;0,N(S447)=0),"Date d'envoi manquante",IF(N(T447)&gt;N(H447),"Reçu plus que commandé",IF(AND(N(T447)&gt;0,N(U447)=0),"Date de réception manquante",IF(AND(N(U447)&gt;0,U447&lt;B447),"Réception avant la commande","OK")))))))))))))))))))))</f>
        <v/>
      </c>
      <c r="AA447" s="66" t="str">
        <f>IF(AND(X447="Reçu",ISNUMBER(R447)),IF(N(U447)&lt;=R447,1,0),"")</f>
        <v/>
      </c>
      <c r="AB447" s="76" t="str">
        <f>IF(OR(X447="Envoyé",X447="Partiel",X447="En retard"),IF(ISNUMBER(R447),R447,100000)+ROW()/100000,"")</f>
        <v/>
      </c>
      <c r="AC447" s="66" t="str">
        <f>IF(A447="","",IF(COUNTIF($A$6:A447,A447)=1,1,""))</f>
        <v/>
      </c>
      <c r="AD447" s="66" t="str">
        <f>IF(AC447=1,COUNT($AC$6:AC447),"")</f>
        <v/>
      </c>
      <c r="AE447" s="66" t="str">
        <f>IFERROR(INDEX(po_num,MATCH(442,po_seq,0))&amp;"","")</f>
        <v/>
      </c>
      <c r="AF447" s="66" t="str">
        <f>IF(OR(A447="",p_po=""),"",IF(A447&amp;""=p_po,COUNTIF($A$6:A447,A447),""))</f>
        <v/>
      </c>
      <c r="AG447" s="66" t="str">
        <f>IF(OR(AB447="",A447=""),"",IF(COUNTIFS($A$6:A447,A447,$AB$6:AB447,"&gt;0")=1,1,""))</f>
        <v/>
      </c>
      <c r="AH447" s="70" t="str">
        <f>IF(AB447="","",ROUND(N(W447)*N(J447)*(1-N(K447)),2))</f>
        <v/>
      </c>
      <c r="AI447" s="70" t="str">
        <f>IF(OR(J447="",N(T447)&lt;=0,V447="Oui"),"",ROUND(N(T447)*J447*(1-N(K447)),2))</f>
        <v/>
      </c>
    </row>
    <row r="448">
      <c r="A448" s="63" t="n"/>
      <c r="B448" s="64" t="n"/>
      <c r="C448" s="65" t="n"/>
      <c r="D448" s="66" t="str">
        <f>IF(C448="","",IFERROR(INDEX(sup_name,MATCH($C448,sup_code,0))&amp;"","Fournisseur inconnu"))</f>
        <v/>
      </c>
      <c r="E448" s="63" t="n"/>
      <c r="F448" s="66" t="str">
        <f>IF(E448="","",IFERROR(INDEX(art_des,MATCH($E448,art_ref,0))&amp;"","Article inconnu"))</f>
        <v/>
      </c>
      <c r="G448" s="67" t="str">
        <f>IF(E448="","",IFERROR(INDEX(art_unit,MATCH($E448,art_ref,0))&amp;"",""))</f>
        <v/>
      </c>
      <c r="H448" s="68" t="n"/>
      <c r="I448" s="69" t="n"/>
      <c r="J448" s="70" t="str">
        <f>IF(E448="","",IF(ISNUMBER(I448),I448,IFERROR(IF(ISNUMBER(INDEX(art_price,MATCH($E448,art_ref,0))),INDEX(art_price,MATCH($E448,art_ref,0)),""),"")))</f>
        <v/>
      </c>
      <c r="K448" s="71" t="n"/>
      <c r="L448" s="72" t="n"/>
      <c r="M448" s="72" t="str">
        <f>IF(E448="","",IF(L448&lt;&gt;"",L448,IFERROR(IF(ISNUMBER(INDEX(art_tva,MATCH($E448,art_ref,0))),INDEX(art_tva,MATCH($E448,art_ref,0)),""),"")))</f>
        <v/>
      </c>
      <c r="N448" s="70" t="str">
        <f>IF(OR(E448="",J448=""),"",ROUND(N(H448)*J448*(1-N(K448)),2))</f>
        <v/>
      </c>
      <c r="O448" s="70" t="str">
        <f>IF(OR(N448="",NOT(ISNUMBER(M448))),"",ROUND(N448*M448,2))</f>
        <v/>
      </c>
      <c r="P448" s="70" t="str">
        <f>IF(N448="","",N448+N(O448))</f>
        <v/>
      </c>
      <c r="Q448" s="64" t="n"/>
      <c r="R448" s="73" t="str">
        <f>IF(N(Q448)&gt;0,Q448,IF(OR(N(B448)=0,ISNA(MATCH($C448,sup_code,0))),"",IF(ISNUMBER(INDEX(sup_delay,MATCH($C448,sup_code,0))),B448+INDEX(sup_delay,MATCH($C448,sup_code,0)),"")))</f>
        <v/>
      </c>
      <c r="S448" s="64" t="n"/>
      <c r="T448" s="68" t="n"/>
      <c r="U448" s="64" t="n"/>
      <c r="V448" s="65" t="n"/>
      <c r="W448" s="74" t="str">
        <f>IF(AND(A448="",E448=""),"",IF(V448="Oui",0,MAX(0,ROUND(N(H448)-N(T448),6))))</f>
        <v/>
      </c>
      <c r="X448" s="67" t="str">
        <f>IF(AND(A448="",E448=""),"",IF(V448="Oui","Annulé",IF(AND(N(H448)&gt;0,N(T448)&gt;=N(H448)),"Reçu",IF(N(S448)=0,"Brouillon",IF(AND(ISNUMBER(R448),R448&lt;p_today),"En retard",IF(N(T448)&gt;0,"Partiel","Envoyé"))))))</f>
        <v/>
      </c>
      <c r="Y448" s="75" t="str">
        <f>IF(X448="En retard",p_today-R448,IF(AND(X448="Reçu",ISNUMBER(R448)),MAX(0,N(U448)-R448),""))</f>
        <v/>
      </c>
      <c r="Z448" s="67" t="str">
        <f>IF(AND(A448="",E448=""),"",IF(A448="","N° de bon manquant",IF(N(B448)=0,"Date de commande manquante",IF(C448="","Fournisseur manquant",IF(ISNA(MATCH($C448,sup_code,0)),"Fournisseur inconnu",IF(E448="","Article manquant",IF(ISNA(MATCH($E448,art_ref,0)),"Article inconnu",IF(N(H448)&lt;=0,"Quantité invalide",IF(J448="","Prix manquant",IF(OR(N(K448)&lt;0,N(K448)&gt;=1),"Remise invalide",IF(M448="","TVA manquante",IF(ISNA(MATCH(M448,p_tva,0)),"Taux de TVA inconnu",IF(COUNTIFS(po_num,A448,po_sup,"&lt;&gt;"&amp;C448)&gt;0,"Fournisseur différent sur ce bon",IF(COUNTIFS(po_num,A448,po_date,"&lt;&gt;"&amp;B448)&gt;0,"Date différente sur ce bon",IF(COUNTIF(po_num,A448)&gt;25,"Plus de 25 lignes sur ce bon",IF(R448="","Date de livraison manquante",IF(R448&lt;B448,"Livraison avant la commande",IF(AND(N(T448)&gt;0,N(S448)=0),"Date d'envoi manquante",IF(N(T448)&gt;N(H448),"Reçu plus que commandé",IF(AND(N(T448)&gt;0,N(U448)=0),"Date de réception manquante",IF(AND(N(U448)&gt;0,U448&lt;B448),"Réception avant la commande","OK")))))))))))))))))))))</f>
        <v/>
      </c>
      <c r="AA448" s="66" t="str">
        <f>IF(AND(X448="Reçu",ISNUMBER(R448)),IF(N(U448)&lt;=R448,1,0),"")</f>
        <v/>
      </c>
      <c r="AB448" s="76" t="str">
        <f>IF(OR(X448="Envoyé",X448="Partiel",X448="En retard"),IF(ISNUMBER(R448),R448,100000)+ROW()/100000,"")</f>
        <v/>
      </c>
      <c r="AC448" s="66" t="str">
        <f>IF(A448="","",IF(COUNTIF($A$6:A448,A448)=1,1,""))</f>
        <v/>
      </c>
      <c r="AD448" s="66" t="str">
        <f>IF(AC448=1,COUNT($AC$6:AC448),"")</f>
        <v/>
      </c>
      <c r="AE448" s="66" t="str">
        <f>IFERROR(INDEX(po_num,MATCH(443,po_seq,0))&amp;"","")</f>
        <v/>
      </c>
      <c r="AF448" s="66" t="str">
        <f>IF(OR(A448="",p_po=""),"",IF(A448&amp;""=p_po,COUNTIF($A$6:A448,A448),""))</f>
        <v/>
      </c>
      <c r="AG448" s="66" t="str">
        <f>IF(OR(AB448="",A448=""),"",IF(COUNTIFS($A$6:A448,A448,$AB$6:AB448,"&gt;0")=1,1,""))</f>
        <v/>
      </c>
      <c r="AH448" s="70" t="str">
        <f>IF(AB448="","",ROUND(N(W448)*N(J448)*(1-N(K448)),2))</f>
        <v/>
      </c>
      <c r="AI448" s="70" t="str">
        <f>IF(OR(J448="",N(T448)&lt;=0,V448="Oui"),"",ROUND(N(T448)*J448*(1-N(K448)),2))</f>
        <v/>
      </c>
    </row>
    <row r="449">
      <c r="A449" s="63" t="n"/>
      <c r="B449" s="64" t="n"/>
      <c r="C449" s="65" t="n"/>
      <c r="D449" s="66" t="str">
        <f>IF(C449="","",IFERROR(INDEX(sup_name,MATCH($C449,sup_code,0))&amp;"","Fournisseur inconnu"))</f>
        <v/>
      </c>
      <c r="E449" s="63" t="n"/>
      <c r="F449" s="66" t="str">
        <f>IF(E449="","",IFERROR(INDEX(art_des,MATCH($E449,art_ref,0))&amp;"","Article inconnu"))</f>
        <v/>
      </c>
      <c r="G449" s="67" t="str">
        <f>IF(E449="","",IFERROR(INDEX(art_unit,MATCH($E449,art_ref,0))&amp;"",""))</f>
        <v/>
      </c>
      <c r="H449" s="68" t="n"/>
      <c r="I449" s="69" t="n"/>
      <c r="J449" s="70" t="str">
        <f>IF(E449="","",IF(ISNUMBER(I449),I449,IFERROR(IF(ISNUMBER(INDEX(art_price,MATCH($E449,art_ref,0))),INDEX(art_price,MATCH($E449,art_ref,0)),""),"")))</f>
        <v/>
      </c>
      <c r="K449" s="71" t="n"/>
      <c r="L449" s="72" t="n"/>
      <c r="M449" s="72" t="str">
        <f>IF(E449="","",IF(L449&lt;&gt;"",L449,IFERROR(IF(ISNUMBER(INDEX(art_tva,MATCH($E449,art_ref,0))),INDEX(art_tva,MATCH($E449,art_ref,0)),""),"")))</f>
        <v/>
      </c>
      <c r="N449" s="70" t="str">
        <f>IF(OR(E449="",J449=""),"",ROUND(N(H449)*J449*(1-N(K449)),2))</f>
        <v/>
      </c>
      <c r="O449" s="70" t="str">
        <f>IF(OR(N449="",NOT(ISNUMBER(M449))),"",ROUND(N449*M449,2))</f>
        <v/>
      </c>
      <c r="P449" s="70" t="str">
        <f>IF(N449="","",N449+N(O449))</f>
        <v/>
      </c>
      <c r="Q449" s="64" t="n"/>
      <c r="R449" s="73" t="str">
        <f>IF(N(Q449)&gt;0,Q449,IF(OR(N(B449)=0,ISNA(MATCH($C449,sup_code,0))),"",IF(ISNUMBER(INDEX(sup_delay,MATCH($C449,sup_code,0))),B449+INDEX(sup_delay,MATCH($C449,sup_code,0)),"")))</f>
        <v/>
      </c>
      <c r="S449" s="64" t="n"/>
      <c r="T449" s="68" t="n"/>
      <c r="U449" s="64" t="n"/>
      <c r="V449" s="65" t="n"/>
      <c r="W449" s="74" t="str">
        <f>IF(AND(A449="",E449=""),"",IF(V449="Oui",0,MAX(0,ROUND(N(H449)-N(T449),6))))</f>
        <v/>
      </c>
      <c r="X449" s="67" t="str">
        <f>IF(AND(A449="",E449=""),"",IF(V449="Oui","Annulé",IF(AND(N(H449)&gt;0,N(T449)&gt;=N(H449)),"Reçu",IF(N(S449)=0,"Brouillon",IF(AND(ISNUMBER(R449),R449&lt;p_today),"En retard",IF(N(T449)&gt;0,"Partiel","Envoyé"))))))</f>
        <v/>
      </c>
      <c r="Y449" s="75" t="str">
        <f>IF(X449="En retard",p_today-R449,IF(AND(X449="Reçu",ISNUMBER(R449)),MAX(0,N(U449)-R449),""))</f>
        <v/>
      </c>
      <c r="Z449" s="67" t="str">
        <f>IF(AND(A449="",E449=""),"",IF(A449="","N° de bon manquant",IF(N(B449)=0,"Date de commande manquante",IF(C449="","Fournisseur manquant",IF(ISNA(MATCH($C449,sup_code,0)),"Fournisseur inconnu",IF(E449="","Article manquant",IF(ISNA(MATCH($E449,art_ref,0)),"Article inconnu",IF(N(H449)&lt;=0,"Quantité invalide",IF(J449="","Prix manquant",IF(OR(N(K449)&lt;0,N(K449)&gt;=1),"Remise invalide",IF(M449="","TVA manquante",IF(ISNA(MATCH(M449,p_tva,0)),"Taux de TVA inconnu",IF(COUNTIFS(po_num,A449,po_sup,"&lt;&gt;"&amp;C449)&gt;0,"Fournisseur différent sur ce bon",IF(COUNTIFS(po_num,A449,po_date,"&lt;&gt;"&amp;B449)&gt;0,"Date différente sur ce bon",IF(COUNTIF(po_num,A449)&gt;25,"Plus de 25 lignes sur ce bon",IF(R449="","Date de livraison manquante",IF(R449&lt;B449,"Livraison avant la commande",IF(AND(N(T449)&gt;0,N(S449)=0),"Date d'envoi manquante",IF(N(T449)&gt;N(H449),"Reçu plus que commandé",IF(AND(N(T449)&gt;0,N(U449)=0),"Date de réception manquante",IF(AND(N(U449)&gt;0,U449&lt;B449),"Réception avant la commande","OK")))))))))))))))))))))</f>
        <v/>
      </c>
      <c r="AA449" s="66" t="str">
        <f>IF(AND(X449="Reçu",ISNUMBER(R449)),IF(N(U449)&lt;=R449,1,0),"")</f>
        <v/>
      </c>
      <c r="AB449" s="76" t="str">
        <f>IF(OR(X449="Envoyé",X449="Partiel",X449="En retard"),IF(ISNUMBER(R449),R449,100000)+ROW()/100000,"")</f>
        <v/>
      </c>
      <c r="AC449" s="66" t="str">
        <f>IF(A449="","",IF(COUNTIF($A$6:A449,A449)=1,1,""))</f>
        <v/>
      </c>
      <c r="AD449" s="66" t="str">
        <f>IF(AC449=1,COUNT($AC$6:AC449),"")</f>
        <v/>
      </c>
      <c r="AE449" s="66" t="str">
        <f>IFERROR(INDEX(po_num,MATCH(444,po_seq,0))&amp;"","")</f>
        <v/>
      </c>
      <c r="AF449" s="66" t="str">
        <f>IF(OR(A449="",p_po=""),"",IF(A449&amp;""=p_po,COUNTIF($A$6:A449,A449),""))</f>
        <v/>
      </c>
      <c r="AG449" s="66" t="str">
        <f>IF(OR(AB449="",A449=""),"",IF(COUNTIFS($A$6:A449,A449,$AB$6:AB449,"&gt;0")=1,1,""))</f>
        <v/>
      </c>
      <c r="AH449" s="70" t="str">
        <f>IF(AB449="","",ROUND(N(W449)*N(J449)*(1-N(K449)),2))</f>
        <v/>
      </c>
      <c r="AI449" s="70" t="str">
        <f>IF(OR(J449="",N(T449)&lt;=0,V449="Oui"),"",ROUND(N(T449)*J449*(1-N(K449)),2))</f>
        <v/>
      </c>
    </row>
    <row r="450">
      <c r="A450" s="63" t="n"/>
      <c r="B450" s="64" t="n"/>
      <c r="C450" s="65" t="n"/>
      <c r="D450" s="66" t="str">
        <f>IF(C450="","",IFERROR(INDEX(sup_name,MATCH($C450,sup_code,0))&amp;"","Fournisseur inconnu"))</f>
        <v/>
      </c>
      <c r="E450" s="63" t="n"/>
      <c r="F450" s="66" t="str">
        <f>IF(E450="","",IFERROR(INDEX(art_des,MATCH($E450,art_ref,0))&amp;"","Article inconnu"))</f>
        <v/>
      </c>
      <c r="G450" s="67" t="str">
        <f>IF(E450="","",IFERROR(INDEX(art_unit,MATCH($E450,art_ref,0))&amp;"",""))</f>
        <v/>
      </c>
      <c r="H450" s="68" t="n"/>
      <c r="I450" s="69" t="n"/>
      <c r="J450" s="70" t="str">
        <f>IF(E450="","",IF(ISNUMBER(I450),I450,IFERROR(IF(ISNUMBER(INDEX(art_price,MATCH($E450,art_ref,0))),INDEX(art_price,MATCH($E450,art_ref,0)),""),"")))</f>
        <v/>
      </c>
      <c r="K450" s="71" t="n"/>
      <c r="L450" s="72" t="n"/>
      <c r="M450" s="72" t="str">
        <f>IF(E450="","",IF(L450&lt;&gt;"",L450,IFERROR(IF(ISNUMBER(INDEX(art_tva,MATCH($E450,art_ref,0))),INDEX(art_tva,MATCH($E450,art_ref,0)),""),"")))</f>
        <v/>
      </c>
      <c r="N450" s="70" t="str">
        <f>IF(OR(E450="",J450=""),"",ROUND(N(H450)*J450*(1-N(K450)),2))</f>
        <v/>
      </c>
      <c r="O450" s="70" t="str">
        <f>IF(OR(N450="",NOT(ISNUMBER(M450))),"",ROUND(N450*M450,2))</f>
        <v/>
      </c>
      <c r="P450" s="70" t="str">
        <f>IF(N450="","",N450+N(O450))</f>
        <v/>
      </c>
      <c r="Q450" s="64" t="n"/>
      <c r="R450" s="73" t="str">
        <f>IF(N(Q450)&gt;0,Q450,IF(OR(N(B450)=0,ISNA(MATCH($C450,sup_code,0))),"",IF(ISNUMBER(INDEX(sup_delay,MATCH($C450,sup_code,0))),B450+INDEX(sup_delay,MATCH($C450,sup_code,0)),"")))</f>
        <v/>
      </c>
      <c r="S450" s="64" t="n"/>
      <c r="T450" s="68" t="n"/>
      <c r="U450" s="64" t="n"/>
      <c r="V450" s="65" t="n"/>
      <c r="W450" s="74" t="str">
        <f>IF(AND(A450="",E450=""),"",IF(V450="Oui",0,MAX(0,ROUND(N(H450)-N(T450),6))))</f>
        <v/>
      </c>
      <c r="X450" s="67" t="str">
        <f>IF(AND(A450="",E450=""),"",IF(V450="Oui","Annulé",IF(AND(N(H450)&gt;0,N(T450)&gt;=N(H450)),"Reçu",IF(N(S450)=0,"Brouillon",IF(AND(ISNUMBER(R450),R450&lt;p_today),"En retard",IF(N(T450)&gt;0,"Partiel","Envoyé"))))))</f>
        <v/>
      </c>
      <c r="Y450" s="75" t="str">
        <f>IF(X450="En retard",p_today-R450,IF(AND(X450="Reçu",ISNUMBER(R450)),MAX(0,N(U450)-R450),""))</f>
        <v/>
      </c>
      <c r="Z450" s="67" t="str">
        <f>IF(AND(A450="",E450=""),"",IF(A450="","N° de bon manquant",IF(N(B450)=0,"Date de commande manquante",IF(C450="","Fournisseur manquant",IF(ISNA(MATCH($C450,sup_code,0)),"Fournisseur inconnu",IF(E450="","Article manquant",IF(ISNA(MATCH($E450,art_ref,0)),"Article inconnu",IF(N(H450)&lt;=0,"Quantité invalide",IF(J450="","Prix manquant",IF(OR(N(K450)&lt;0,N(K450)&gt;=1),"Remise invalide",IF(M450="","TVA manquante",IF(ISNA(MATCH(M450,p_tva,0)),"Taux de TVA inconnu",IF(COUNTIFS(po_num,A450,po_sup,"&lt;&gt;"&amp;C450)&gt;0,"Fournisseur différent sur ce bon",IF(COUNTIFS(po_num,A450,po_date,"&lt;&gt;"&amp;B450)&gt;0,"Date différente sur ce bon",IF(COUNTIF(po_num,A450)&gt;25,"Plus de 25 lignes sur ce bon",IF(R450="","Date de livraison manquante",IF(R450&lt;B450,"Livraison avant la commande",IF(AND(N(T450)&gt;0,N(S450)=0),"Date d'envoi manquante",IF(N(T450)&gt;N(H450),"Reçu plus que commandé",IF(AND(N(T450)&gt;0,N(U450)=0),"Date de réception manquante",IF(AND(N(U450)&gt;0,U450&lt;B450),"Réception avant la commande","OK")))))))))))))))))))))</f>
        <v/>
      </c>
      <c r="AA450" s="66" t="str">
        <f>IF(AND(X450="Reçu",ISNUMBER(R450)),IF(N(U450)&lt;=R450,1,0),"")</f>
        <v/>
      </c>
      <c r="AB450" s="76" t="str">
        <f>IF(OR(X450="Envoyé",X450="Partiel",X450="En retard"),IF(ISNUMBER(R450),R450,100000)+ROW()/100000,"")</f>
        <v/>
      </c>
      <c r="AC450" s="66" t="str">
        <f>IF(A450="","",IF(COUNTIF($A$6:A450,A450)=1,1,""))</f>
        <v/>
      </c>
      <c r="AD450" s="66" t="str">
        <f>IF(AC450=1,COUNT($AC$6:AC450),"")</f>
        <v/>
      </c>
      <c r="AE450" s="66" t="str">
        <f>IFERROR(INDEX(po_num,MATCH(445,po_seq,0))&amp;"","")</f>
        <v/>
      </c>
      <c r="AF450" s="66" t="str">
        <f>IF(OR(A450="",p_po=""),"",IF(A450&amp;""=p_po,COUNTIF($A$6:A450,A450),""))</f>
        <v/>
      </c>
      <c r="AG450" s="66" t="str">
        <f>IF(OR(AB450="",A450=""),"",IF(COUNTIFS($A$6:A450,A450,$AB$6:AB450,"&gt;0")=1,1,""))</f>
        <v/>
      </c>
      <c r="AH450" s="70" t="str">
        <f>IF(AB450="","",ROUND(N(W450)*N(J450)*(1-N(K450)),2))</f>
        <v/>
      </c>
      <c r="AI450" s="70" t="str">
        <f>IF(OR(J450="",N(T450)&lt;=0,V450="Oui"),"",ROUND(N(T450)*J450*(1-N(K450)),2))</f>
        <v/>
      </c>
    </row>
    <row r="451">
      <c r="A451" s="63" t="n"/>
      <c r="B451" s="64" t="n"/>
      <c r="C451" s="65" t="n"/>
      <c r="D451" s="66" t="str">
        <f>IF(C451="","",IFERROR(INDEX(sup_name,MATCH($C451,sup_code,0))&amp;"","Fournisseur inconnu"))</f>
        <v/>
      </c>
      <c r="E451" s="63" t="n"/>
      <c r="F451" s="66" t="str">
        <f>IF(E451="","",IFERROR(INDEX(art_des,MATCH($E451,art_ref,0))&amp;"","Article inconnu"))</f>
        <v/>
      </c>
      <c r="G451" s="67" t="str">
        <f>IF(E451="","",IFERROR(INDEX(art_unit,MATCH($E451,art_ref,0))&amp;"",""))</f>
        <v/>
      </c>
      <c r="H451" s="68" t="n"/>
      <c r="I451" s="69" t="n"/>
      <c r="J451" s="70" t="str">
        <f>IF(E451="","",IF(ISNUMBER(I451),I451,IFERROR(IF(ISNUMBER(INDEX(art_price,MATCH($E451,art_ref,0))),INDEX(art_price,MATCH($E451,art_ref,0)),""),"")))</f>
        <v/>
      </c>
      <c r="K451" s="71" t="n"/>
      <c r="L451" s="72" t="n"/>
      <c r="M451" s="72" t="str">
        <f>IF(E451="","",IF(L451&lt;&gt;"",L451,IFERROR(IF(ISNUMBER(INDEX(art_tva,MATCH($E451,art_ref,0))),INDEX(art_tva,MATCH($E451,art_ref,0)),""),"")))</f>
        <v/>
      </c>
      <c r="N451" s="70" t="str">
        <f>IF(OR(E451="",J451=""),"",ROUND(N(H451)*J451*(1-N(K451)),2))</f>
        <v/>
      </c>
      <c r="O451" s="70" t="str">
        <f>IF(OR(N451="",NOT(ISNUMBER(M451))),"",ROUND(N451*M451,2))</f>
        <v/>
      </c>
      <c r="P451" s="70" t="str">
        <f>IF(N451="","",N451+N(O451))</f>
        <v/>
      </c>
      <c r="Q451" s="64" t="n"/>
      <c r="R451" s="73" t="str">
        <f>IF(N(Q451)&gt;0,Q451,IF(OR(N(B451)=0,ISNA(MATCH($C451,sup_code,0))),"",IF(ISNUMBER(INDEX(sup_delay,MATCH($C451,sup_code,0))),B451+INDEX(sup_delay,MATCH($C451,sup_code,0)),"")))</f>
        <v/>
      </c>
      <c r="S451" s="64" t="n"/>
      <c r="T451" s="68" t="n"/>
      <c r="U451" s="64" t="n"/>
      <c r="V451" s="65" t="n"/>
      <c r="W451" s="74" t="str">
        <f>IF(AND(A451="",E451=""),"",IF(V451="Oui",0,MAX(0,ROUND(N(H451)-N(T451),6))))</f>
        <v/>
      </c>
      <c r="X451" s="67" t="str">
        <f>IF(AND(A451="",E451=""),"",IF(V451="Oui","Annulé",IF(AND(N(H451)&gt;0,N(T451)&gt;=N(H451)),"Reçu",IF(N(S451)=0,"Brouillon",IF(AND(ISNUMBER(R451),R451&lt;p_today),"En retard",IF(N(T451)&gt;0,"Partiel","Envoyé"))))))</f>
        <v/>
      </c>
      <c r="Y451" s="75" t="str">
        <f>IF(X451="En retard",p_today-R451,IF(AND(X451="Reçu",ISNUMBER(R451)),MAX(0,N(U451)-R451),""))</f>
        <v/>
      </c>
      <c r="Z451" s="67" t="str">
        <f>IF(AND(A451="",E451=""),"",IF(A451="","N° de bon manquant",IF(N(B451)=0,"Date de commande manquante",IF(C451="","Fournisseur manquant",IF(ISNA(MATCH($C451,sup_code,0)),"Fournisseur inconnu",IF(E451="","Article manquant",IF(ISNA(MATCH($E451,art_ref,0)),"Article inconnu",IF(N(H451)&lt;=0,"Quantité invalide",IF(J451="","Prix manquant",IF(OR(N(K451)&lt;0,N(K451)&gt;=1),"Remise invalide",IF(M451="","TVA manquante",IF(ISNA(MATCH(M451,p_tva,0)),"Taux de TVA inconnu",IF(COUNTIFS(po_num,A451,po_sup,"&lt;&gt;"&amp;C451)&gt;0,"Fournisseur différent sur ce bon",IF(COUNTIFS(po_num,A451,po_date,"&lt;&gt;"&amp;B451)&gt;0,"Date différente sur ce bon",IF(COUNTIF(po_num,A451)&gt;25,"Plus de 25 lignes sur ce bon",IF(R451="","Date de livraison manquante",IF(R451&lt;B451,"Livraison avant la commande",IF(AND(N(T451)&gt;0,N(S451)=0),"Date d'envoi manquante",IF(N(T451)&gt;N(H451),"Reçu plus que commandé",IF(AND(N(T451)&gt;0,N(U451)=0),"Date de réception manquante",IF(AND(N(U451)&gt;0,U451&lt;B451),"Réception avant la commande","OK")))))))))))))))))))))</f>
        <v/>
      </c>
      <c r="AA451" s="66" t="str">
        <f>IF(AND(X451="Reçu",ISNUMBER(R451)),IF(N(U451)&lt;=R451,1,0),"")</f>
        <v/>
      </c>
      <c r="AB451" s="76" t="str">
        <f>IF(OR(X451="Envoyé",X451="Partiel",X451="En retard"),IF(ISNUMBER(R451),R451,100000)+ROW()/100000,"")</f>
        <v/>
      </c>
      <c r="AC451" s="66" t="str">
        <f>IF(A451="","",IF(COUNTIF($A$6:A451,A451)=1,1,""))</f>
        <v/>
      </c>
      <c r="AD451" s="66" t="str">
        <f>IF(AC451=1,COUNT($AC$6:AC451),"")</f>
        <v/>
      </c>
      <c r="AE451" s="66" t="str">
        <f>IFERROR(INDEX(po_num,MATCH(446,po_seq,0))&amp;"","")</f>
        <v/>
      </c>
      <c r="AF451" s="66" t="str">
        <f>IF(OR(A451="",p_po=""),"",IF(A451&amp;""=p_po,COUNTIF($A$6:A451,A451),""))</f>
        <v/>
      </c>
      <c r="AG451" s="66" t="str">
        <f>IF(OR(AB451="",A451=""),"",IF(COUNTIFS($A$6:A451,A451,$AB$6:AB451,"&gt;0")=1,1,""))</f>
        <v/>
      </c>
      <c r="AH451" s="70" t="str">
        <f>IF(AB451="","",ROUND(N(W451)*N(J451)*(1-N(K451)),2))</f>
        <v/>
      </c>
      <c r="AI451" s="70" t="str">
        <f>IF(OR(J451="",N(T451)&lt;=0,V451="Oui"),"",ROUND(N(T451)*J451*(1-N(K451)),2))</f>
        <v/>
      </c>
    </row>
    <row r="452">
      <c r="A452" s="63" t="n"/>
      <c r="B452" s="64" t="n"/>
      <c r="C452" s="65" t="n"/>
      <c r="D452" s="66" t="str">
        <f>IF(C452="","",IFERROR(INDEX(sup_name,MATCH($C452,sup_code,0))&amp;"","Fournisseur inconnu"))</f>
        <v/>
      </c>
      <c r="E452" s="63" t="n"/>
      <c r="F452" s="66" t="str">
        <f>IF(E452="","",IFERROR(INDEX(art_des,MATCH($E452,art_ref,0))&amp;"","Article inconnu"))</f>
        <v/>
      </c>
      <c r="G452" s="67" t="str">
        <f>IF(E452="","",IFERROR(INDEX(art_unit,MATCH($E452,art_ref,0))&amp;"",""))</f>
        <v/>
      </c>
      <c r="H452" s="68" t="n"/>
      <c r="I452" s="69" t="n"/>
      <c r="J452" s="70" t="str">
        <f>IF(E452="","",IF(ISNUMBER(I452),I452,IFERROR(IF(ISNUMBER(INDEX(art_price,MATCH($E452,art_ref,0))),INDEX(art_price,MATCH($E452,art_ref,0)),""),"")))</f>
        <v/>
      </c>
      <c r="K452" s="71" t="n"/>
      <c r="L452" s="72" t="n"/>
      <c r="M452" s="72" t="str">
        <f>IF(E452="","",IF(L452&lt;&gt;"",L452,IFERROR(IF(ISNUMBER(INDEX(art_tva,MATCH($E452,art_ref,0))),INDEX(art_tva,MATCH($E452,art_ref,0)),""),"")))</f>
        <v/>
      </c>
      <c r="N452" s="70" t="str">
        <f>IF(OR(E452="",J452=""),"",ROUND(N(H452)*J452*(1-N(K452)),2))</f>
        <v/>
      </c>
      <c r="O452" s="70" t="str">
        <f>IF(OR(N452="",NOT(ISNUMBER(M452))),"",ROUND(N452*M452,2))</f>
        <v/>
      </c>
      <c r="P452" s="70" t="str">
        <f>IF(N452="","",N452+N(O452))</f>
        <v/>
      </c>
      <c r="Q452" s="64" t="n"/>
      <c r="R452" s="73" t="str">
        <f>IF(N(Q452)&gt;0,Q452,IF(OR(N(B452)=0,ISNA(MATCH($C452,sup_code,0))),"",IF(ISNUMBER(INDEX(sup_delay,MATCH($C452,sup_code,0))),B452+INDEX(sup_delay,MATCH($C452,sup_code,0)),"")))</f>
        <v/>
      </c>
      <c r="S452" s="64" t="n"/>
      <c r="T452" s="68" t="n"/>
      <c r="U452" s="64" t="n"/>
      <c r="V452" s="65" t="n"/>
      <c r="W452" s="74" t="str">
        <f>IF(AND(A452="",E452=""),"",IF(V452="Oui",0,MAX(0,ROUND(N(H452)-N(T452),6))))</f>
        <v/>
      </c>
      <c r="X452" s="67" t="str">
        <f>IF(AND(A452="",E452=""),"",IF(V452="Oui","Annulé",IF(AND(N(H452)&gt;0,N(T452)&gt;=N(H452)),"Reçu",IF(N(S452)=0,"Brouillon",IF(AND(ISNUMBER(R452),R452&lt;p_today),"En retard",IF(N(T452)&gt;0,"Partiel","Envoyé"))))))</f>
        <v/>
      </c>
      <c r="Y452" s="75" t="str">
        <f>IF(X452="En retard",p_today-R452,IF(AND(X452="Reçu",ISNUMBER(R452)),MAX(0,N(U452)-R452),""))</f>
        <v/>
      </c>
      <c r="Z452" s="67" t="str">
        <f>IF(AND(A452="",E452=""),"",IF(A452="","N° de bon manquant",IF(N(B452)=0,"Date de commande manquante",IF(C452="","Fournisseur manquant",IF(ISNA(MATCH($C452,sup_code,0)),"Fournisseur inconnu",IF(E452="","Article manquant",IF(ISNA(MATCH($E452,art_ref,0)),"Article inconnu",IF(N(H452)&lt;=0,"Quantité invalide",IF(J452="","Prix manquant",IF(OR(N(K452)&lt;0,N(K452)&gt;=1),"Remise invalide",IF(M452="","TVA manquante",IF(ISNA(MATCH(M452,p_tva,0)),"Taux de TVA inconnu",IF(COUNTIFS(po_num,A452,po_sup,"&lt;&gt;"&amp;C452)&gt;0,"Fournisseur différent sur ce bon",IF(COUNTIFS(po_num,A452,po_date,"&lt;&gt;"&amp;B452)&gt;0,"Date différente sur ce bon",IF(COUNTIF(po_num,A452)&gt;25,"Plus de 25 lignes sur ce bon",IF(R452="","Date de livraison manquante",IF(R452&lt;B452,"Livraison avant la commande",IF(AND(N(T452)&gt;0,N(S452)=0),"Date d'envoi manquante",IF(N(T452)&gt;N(H452),"Reçu plus que commandé",IF(AND(N(T452)&gt;0,N(U452)=0),"Date de réception manquante",IF(AND(N(U452)&gt;0,U452&lt;B452),"Réception avant la commande","OK")))))))))))))))))))))</f>
        <v/>
      </c>
      <c r="AA452" s="66" t="str">
        <f>IF(AND(X452="Reçu",ISNUMBER(R452)),IF(N(U452)&lt;=R452,1,0),"")</f>
        <v/>
      </c>
      <c r="AB452" s="76" t="str">
        <f>IF(OR(X452="Envoyé",X452="Partiel",X452="En retard"),IF(ISNUMBER(R452),R452,100000)+ROW()/100000,"")</f>
        <v/>
      </c>
      <c r="AC452" s="66" t="str">
        <f>IF(A452="","",IF(COUNTIF($A$6:A452,A452)=1,1,""))</f>
        <v/>
      </c>
      <c r="AD452" s="66" t="str">
        <f>IF(AC452=1,COUNT($AC$6:AC452),"")</f>
        <v/>
      </c>
      <c r="AE452" s="66" t="str">
        <f>IFERROR(INDEX(po_num,MATCH(447,po_seq,0))&amp;"","")</f>
        <v/>
      </c>
      <c r="AF452" s="66" t="str">
        <f>IF(OR(A452="",p_po=""),"",IF(A452&amp;""=p_po,COUNTIF($A$6:A452,A452),""))</f>
        <v/>
      </c>
      <c r="AG452" s="66" t="str">
        <f>IF(OR(AB452="",A452=""),"",IF(COUNTIFS($A$6:A452,A452,$AB$6:AB452,"&gt;0")=1,1,""))</f>
        <v/>
      </c>
      <c r="AH452" s="70" t="str">
        <f>IF(AB452="","",ROUND(N(W452)*N(J452)*(1-N(K452)),2))</f>
        <v/>
      </c>
      <c r="AI452" s="70" t="str">
        <f>IF(OR(J452="",N(T452)&lt;=0,V452="Oui"),"",ROUND(N(T452)*J452*(1-N(K452)),2))</f>
        <v/>
      </c>
    </row>
    <row r="453">
      <c r="A453" s="63" t="n"/>
      <c r="B453" s="64" t="n"/>
      <c r="C453" s="65" t="n"/>
      <c r="D453" s="66" t="str">
        <f>IF(C453="","",IFERROR(INDEX(sup_name,MATCH($C453,sup_code,0))&amp;"","Fournisseur inconnu"))</f>
        <v/>
      </c>
      <c r="E453" s="63" t="n"/>
      <c r="F453" s="66" t="str">
        <f>IF(E453="","",IFERROR(INDEX(art_des,MATCH($E453,art_ref,0))&amp;"","Article inconnu"))</f>
        <v/>
      </c>
      <c r="G453" s="67" t="str">
        <f>IF(E453="","",IFERROR(INDEX(art_unit,MATCH($E453,art_ref,0))&amp;"",""))</f>
        <v/>
      </c>
      <c r="H453" s="68" t="n"/>
      <c r="I453" s="69" t="n"/>
      <c r="J453" s="70" t="str">
        <f>IF(E453="","",IF(ISNUMBER(I453),I453,IFERROR(IF(ISNUMBER(INDEX(art_price,MATCH($E453,art_ref,0))),INDEX(art_price,MATCH($E453,art_ref,0)),""),"")))</f>
        <v/>
      </c>
      <c r="K453" s="71" t="n"/>
      <c r="L453" s="72" t="n"/>
      <c r="M453" s="72" t="str">
        <f>IF(E453="","",IF(L453&lt;&gt;"",L453,IFERROR(IF(ISNUMBER(INDEX(art_tva,MATCH($E453,art_ref,0))),INDEX(art_tva,MATCH($E453,art_ref,0)),""),"")))</f>
        <v/>
      </c>
      <c r="N453" s="70" t="str">
        <f>IF(OR(E453="",J453=""),"",ROUND(N(H453)*J453*(1-N(K453)),2))</f>
        <v/>
      </c>
      <c r="O453" s="70" t="str">
        <f>IF(OR(N453="",NOT(ISNUMBER(M453))),"",ROUND(N453*M453,2))</f>
        <v/>
      </c>
      <c r="P453" s="70" t="str">
        <f>IF(N453="","",N453+N(O453))</f>
        <v/>
      </c>
      <c r="Q453" s="64" t="n"/>
      <c r="R453" s="73" t="str">
        <f>IF(N(Q453)&gt;0,Q453,IF(OR(N(B453)=0,ISNA(MATCH($C453,sup_code,0))),"",IF(ISNUMBER(INDEX(sup_delay,MATCH($C453,sup_code,0))),B453+INDEX(sup_delay,MATCH($C453,sup_code,0)),"")))</f>
        <v/>
      </c>
      <c r="S453" s="64" t="n"/>
      <c r="T453" s="68" t="n"/>
      <c r="U453" s="64" t="n"/>
      <c r="V453" s="65" t="n"/>
      <c r="W453" s="74" t="str">
        <f>IF(AND(A453="",E453=""),"",IF(V453="Oui",0,MAX(0,ROUND(N(H453)-N(T453),6))))</f>
        <v/>
      </c>
      <c r="X453" s="67" t="str">
        <f>IF(AND(A453="",E453=""),"",IF(V453="Oui","Annulé",IF(AND(N(H453)&gt;0,N(T453)&gt;=N(H453)),"Reçu",IF(N(S453)=0,"Brouillon",IF(AND(ISNUMBER(R453),R453&lt;p_today),"En retard",IF(N(T453)&gt;0,"Partiel","Envoyé"))))))</f>
        <v/>
      </c>
      <c r="Y453" s="75" t="str">
        <f>IF(X453="En retard",p_today-R453,IF(AND(X453="Reçu",ISNUMBER(R453)),MAX(0,N(U453)-R453),""))</f>
        <v/>
      </c>
      <c r="Z453" s="67" t="str">
        <f>IF(AND(A453="",E453=""),"",IF(A453="","N° de bon manquant",IF(N(B453)=0,"Date de commande manquante",IF(C453="","Fournisseur manquant",IF(ISNA(MATCH($C453,sup_code,0)),"Fournisseur inconnu",IF(E453="","Article manquant",IF(ISNA(MATCH($E453,art_ref,0)),"Article inconnu",IF(N(H453)&lt;=0,"Quantité invalide",IF(J453="","Prix manquant",IF(OR(N(K453)&lt;0,N(K453)&gt;=1),"Remise invalide",IF(M453="","TVA manquante",IF(ISNA(MATCH(M453,p_tva,0)),"Taux de TVA inconnu",IF(COUNTIFS(po_num,A453,po_sup,"&lt;&gt;"&amp;C453)&gt;0,"Fournisseur différent sur ce bon",IF(COUNTIFS(po_num,A453,po_date,"&lt;&gt;"&amp;B453)&gt;0,"Date différente sur ce bon",IF(COUNTIF(po_num,A453)&gt;25,"Plus de 25 lignes sur ce bon",IF(R453="","Date de livraison manquante",IF(R453&lt;B453,"Livraison avant la commande",IF(AND(N(T453)&gt;0,N(S453)=0),"Date d'envoi manquante",IF(N(T453)&gt;N(H453),"Reçu plus que commandé",IF(AND(N(T453)&gt;0,N(U453)=0),"Date de réception manquante",IF(AND(N(U453)&gt;0,U453&lt;B453),"Réception avant la commande","OK")))))))))))))))))))))</f>
        <v/>
      </c>
      <c r="AA453" s="66" t="str">
        <f>IF(AND(X453="Reçu",ISNUMBER(R453)),IF(N(U453)&lt;=R453,1,0),"")</f>
        <v/>
      </c>
      <c r="AB453" s="76" t="str">
        <f>IF(OR(X453="Envoyé",X453="Partiel",X453="En retard"),IF(ISNUMBER(R453),R453,100000)+ROW()/100000,"")</f>
        <v/>
      </c>
      <c r="AC453" s="66" t="str">
        <f>IF(A453="","",IF(COUNTIF($A$6:A453,A453)=1,1,""))</f>
        <v/>
      </c>
      <c r="AD453" s="66" t="str">
        <f>IF(AC453=1,COUNT($AC$6:AC453),"")</f>
        <v/>
      </c>
      <c r="AE453" s="66" t="str">
        <f>IFERROR(INDEX(po_num,MATCH(448,po_seq,0))&amp;"","")</f>
        <v/>
      </c>
      <c r="AF453" s="66" t="str">
        <f>IF(OR(A453="",p_po=""),"",IF(A453&amp;""=p_po,COUNTIF($A$6:A453,A453),""))</f>
        <v/>
      </c>
      <c r="AG453" s="66" t="str">
        <f>IF(OR(AB453="",A453=""),"",IF(COUNTIFS($A$6:A453,A453,$AB$6:AB453,"&gt;0")=1,1,""))</f>
        <v/>
      </c>
      <c r="AH453" s="70" t="str">
        <f>IF(AB453="","",ROUND(N(W453)*N(J453)*(1-N(K453)),2))</f>
        <v/>
      </c>
      <c r="AI453" s="70" t="str">
        <f>IF(OR(J453="",N(T453)&lt;=0,V453="Oui"),"",ROUND(N(T453)*J453*(1-N(K453)),2))</f>
        <v/>
      </c>
    </row>
    <row r="454">
      <c r="A454" s="63" t="n"/>
      <c r="B454" s="64" t="n"/>
      <c r="C454" s="65" t="n"/>
      <c r="D454" s="66" t="str">
        <f>IF(C454="","",IFERROR(INDEX(sup_name,MATCH($C454,sup_code,0))&amp;"","Fournisseur inconnu"))</f>
        <v/>
      </c>
      <c r="E454" s="63" t="n"/>
      <c r="F454" s="66" t="str">
        <f>IF(E454="","",IFERROR(INDEX(art_des,MATCH($E454,art_ref,0))&amp;"","Article inconnu"))</f>
        <v/>
      </c>
      <c r="G454" s="67" t="str">
        <f>IF(E454="","",IFERROR(INDEX(art_unit,MATCH($E454,art_ref,0))&amp;"",""))</f>
        <v/>
      </c>
      <c r="H454" s="68" t="n"/>
      <c r="I454" s="69" t="n"/>
      <c r="J454" s="70" t="str">
        <f>IF(E454="","",IF(ISNUMBER(I454),I454,IFERROR(IF(ISNUMBER(INDEX(art_price,MATCH($E454,art_ref,0))),INDEX(art_price,MATCH($E454,art_ref,0)),""),"")))</f>
        <v/>
      </c>
      <c r="K454" s="71" t="n"/>
      <c r="L454" s="72" t="n"/>
      <c r="M454" s="72" t="str">
        <f>IF(E454="","",IF(L454&lt;&gt;"",L454,IFERROR(IF(ISNUMBER(INDEX(art_tva,MATCH($E454,art_ref,0))),INDEX(art_tva,MATCH($E454,art_ref,0)),""),"")))</f>
        <v/>
      </c>
      <c r="N454" s="70" t="str">
        <f>IF(OR(E454="",J454=""),"",ROUND(N(H454)*J454*(1-N(K454)),2))</f>
        <v/>
      </c>
      <c r="O454" s="70" t="str">
        <f>IF(OR(N454="",NOT(ISNUMBER(M454))),"",ROUND(N454*M454,2))</f>
        <v/>
      </c>
      <c r="P454" s="70" t="str">
        <f>IF(N454="","",N454+N(O454))</f>
        <v/>
      </c>
      <c r="Q454" s="64" t="n"/>
      <c r="R454" s="73" t="str">
        <f>IF(N(Q454)&gt;0,Q454,IF(OR(N(B454)=0,ISNA(MATCH($C454,sup_code,0))),"",IF(ISNUMBER(INDEX(sup_delay,MATCH($C454,sup_code,0))),B454+INDEX(sup_delay,MATCH($C454,sup_code,0)),"")))</f>
        <v/>
      </c>
      <c r="S454" s="64" t="n"/>
      <c r="T454" s="68" t="n"/>
      <c r="U454" s="64" t="n"/>
      <c r="V454" s="65" t="n"/>
      <c r="W454" s="74" t="str">
        <f>IF(AND(A454="",E454=""),"",IF(V454="Oui",0,MAX(0,ROUND(N(H454)-N(T454),6))))</f>
        <v/>
      </c>
      <c r="X454" s="67" t="str">
        <f>IF(AND(A454="",E454=""),"",IF(V454="Oui","Annulé",IF(AND(N(H454)&gt;0,N(T454)&gt;=N(H454)),"Reçu",IF(N(S454)=0,"Brouillon",IF(AND(ISNUMBER(R454),R454&lt;p_today),"En retard",IF(N(T454)&gt;0,"Partiel","Envoyé"))))))</f>
        <v/>
      </c>
      <c r="Y454" s="75" t="str">
        <f>IF(X454="En retard",p_today-R454,IF(AND(X454="Reçu",ISNUMBER(R454)),MAX(0,N(U454)-R454),""))</f>
        <v/>
      </c>
      <c r="Z454" s="67" t="str">
        <f>IF(AND(A454="",E454=""),"",IF(A454="","N° de bon manquant",IF(N(B454)=0,"Date de commande manquante",IF(C454="","Fournisseur manquant",IF(ISNA(MATCH($C454,sup_code,0)),"Fournisseur inconnu",IF(E454="","Article manquant",IF(ISNA(MATCH($E454,art_ref,0)),"Article inconnu",IF(N(H454)&lt;=0,"Quantité invalide",IF(J454="","Prix manquant",IF(OR(N(K454)&lt;0,N(K454)&gt;=1),"Remise invalide",IF(M454="","TVA manquante",IF(ISNA(MATCH(M454,p_tva,0)),"Taux de TVA inconnu",IF(COUNTIFS(po_num,A454,po_sup,"&lt;&gt;"&amp;C454)&gt;0,"Fournisseur différent sur ce bon",IF(COUNTIFS(po_num,A454,po_date,"&lt;&gt;"&amp;B454)&gt;0,"Date différente sur ce bon",IF(COUNTIF(po_num,A454)&gt;25,"Plus de 25 lignes sur ce bon",IF(R454="","Date de livraison manquante",IF(R454&lt;B454,"Livraison avant la commande",IF(AND(N(T454)&gt;0,N(S454)=0),"Date d'envoi manquante",IF(N(T454)&gt;N(H454),"Reçu plus que commandé",IF(AND(N(T454)&gt;0,N(U454)=0),"Date de réception manquante",IF(AND(N(U454)&gt;0,U454&lt;B454),"Réception avant la commande","OK")))))))))))))))))))))</f>
        <v/>
      </c>
      <c r="AA454" s="66" t="str">
        <f>IF(AND(X454="Reçu",ISNUMBER(R454)),IF(N(U454)&lt;=R454,1,0),"")</f>
        <v/>
      </c>
      <c r="AB454" s="76" t="str">
        <f>IF(OR(X454="Envoyé",X454="Partiel",X454="En retard"),IF(ISNUMBER(R454),R454,100000)+ROW()/100000,"")</f>
        <v/>
      </c>
      <c r="AC454" s="66" t="str">
        <f>IF(A454="","",IF(COUNTIF($A$6:A454,A454)=1,1,""))</f>
        <v/>
      </c>
      <c r="AD454" s="66" t="str">
        <f>IF(AC454=1,COUNT($AC$6:AC454),"")</f>
        <v/>
      </c>
      <c r="AE454" s="66" t="str">
        <f>IFERROR(INDEX(po_num,MATCH(449,po_seq,0))&amp;"","")</f>
        <v/>
      </c>
      <c r="AF454" s="66" t="str">
        <f>IF(OR(A454="",p_po=""),"",IF(A454&amp;""=p_po,COUNTIF($A$6:A454,A454),""))</f>
        <v/>
      </c>
      <c r="AG454" s="66" t="str">
        <f>IF(OR(AB454="",A454=""),"",IF(COUNTIFS($A$6:A454,A454,$AB$6:AB454,"&gt;0")=1,1,""))</f>
        <v/>
      </c>
      <c r="AH454" s="70" t="str">
        <f>IF(AB454="","",ROUND(N(W454)*N(J454)*(1-N(K454)),2))</f>
        <v/>
      </c>
      <c r="AI454" s="70" t="str">
        <f>IF(OR(J454="",N(T454)&lt;=0,V454="Oui"),"",ROUND(N(T454)*J454*(1-N(K454)),2))</f>
        <v/>
      </c>
    </row>
    <row r="455">
      <c r="A455" s="63" t="n"/>
      <c r="B455" s="64" t="n"/>
      <c r="C455" s="65" t="n"/>
      <c r="D455" s="66" t="str">
        <f>IF(C455="","",IFERROR(INDEX(sup_name,MATCH($C455,sup_code,0))&amp;"","Fournisseur inconnu"))</f>
        <v/>
      </c>
      <c r="E455" s="63" t="n"/>
      <c r="F455" s="66" t="str">
        <f>IF(E455="","",IFERROR(INDEX(art_des,MATCH($E455,art_ref,0))&amp;"","Article inconnu"))</f>
        <v/>
      </c>
      <c r="G455" s="67" t="str">
        <f>IF(E455="","",IFERROR(INDEX(art_unit,MATCH($E455,art_ref,0))&amp;"",""))</f>
        <v/>
      </c>
      <c r="H455" s="68" t="n"/>
      <c r="I455" s="69" t="n"/>
      <c r="J455" s="70" t="str">
        <f>IF(E455="","",IF(ISNUMBER(I455),I455,IFERROR(IF(ISNUMBER(INDEX(art_price,MATCH($E455,art_ref,0))),INDEX(art_price,MATCH($E455,art_ref,0)),""),"")))</f>
        <v/>
      </c>
      <c r="K455" s="71" t="n"/>
      <c r="L455" s="72" t="n"/>
      <c r="M455" s="72" t="str">
        <f>IF(E455="","",IF(L455&lt;&gt;"",L455,IFERROR(IF(ISNUMBER(INDEX(art_tva,MATCH($E455,art_ref,0))),INDEX(art_tva,MATCH($E455,art_ref,0)),""),"")))</f>
        <v/>
      </c>
      <c r="N455" s="70" t="str">
        <f>IF(OR(E455="",J455=""),"",ROUND(N(H455)*J455*(1-N(K455)),2))</f>
        <v/>
      </c>
      <c r="O455" s="70" t="str">
        <f>IF(OR(N455="",NOT(ISNUMBER(M455))),"",ROUND(N455*M455,2))</f>
        <v/>
      </c>
      <c r="P455" s="70" t="str">
        <f>IF(N455="","",N455+N(O455))</f>
        <v/>
      </c>
      <c r="Q455" s="64" t="n"/>
      <c r="R455" s="73" t="str">
        <f>IF(N(Q455)&gt;0,Q455,IF(OR(N(B455)=0,ISNA(MATCH($C455,sup_code,0))),"",IF(ISNUMBER(INDEX(sup_delay,MATCH($C455,sup_code,0))),B455+INDEX(sup_delay,MATCH($C455,sup_code,0)),"")))</f>
        <v/>
      </c>
      <c r="S455" s="64" t="n"/>
      <c r="T455" s="68" t="n"/>
      <c r="U455" s="64" t="n"/>
      <c r="V455" s="65" t="n"/>
      <c r="W455" s="74" t="str">
        <f>IF(AND(A455="",E455=""),"",IF(V455="Oui",0,MAX(0,ROUND(N(H455)-N(T455),6))))</f>
        <v/>
      </c>
      <c r="X455" s="67" t="str">
        <f>IF(AND(A455="",E455=""),"",IF(V455="Oui","Annulé",IF(AND(N(H455)&gt;0,N(T455)&gt;=N(H455)),"Reçu",IF(N(S455)=0,"Brouillon",IF(AND(ISNUMBER(R455),R455&lt;p_today),"En retard",IF(N(T455)&gt;0,"Partiel","Envoyé"))))))</f>
        <v/>
      </c>
      <c r="Y455" s="75" t="str">
        <f>IF(X455="En retard",p_today-R455,IF(AND(X455="Reçu",ISNUMBER(R455)),MAX(0,N(U455)-R455),""))</f>
        <v/>
      </c>
      <c r="Z455" s="67" t="str">
        <f>IF(AND(A455="",E455=""),"",IF(A455="","N° de bon manquant",IF(N(B455)=0,"Date de commande manquante",IF(C455="","Fournisseur manquant",IF(ISNA(MATCH($C455,sup_code,0)),"Fournisseur inconnu",IF(E455="","Article manquant",IF(ISNA(MATCH($E455,art_ref,0)),"Article inconnu",IF(N(H455)&lt;=0,"Quantité invalide",IF(J455="","Prix manquant",IF(OR(N(K455)&lt;0,N(K455)&gt;=1),"Remise invalide",IF(M455="","TVA manquante",IF(ISNA(MATCH(M455,p_tva,0)),"Taux de TVA inconnu",IF(COUNTIFS(po_num,A455,po_sup,"&lt;&gt;"&amp;C455)&gt;0,"Fournisseur différent sur ce bon",IF(COUNTIFS(po_num,A455,po_date,"&lt;&gt;"&amp;B455)&gt;0,"Date différente sur ce bon",IF(COUNTIF(po_num,A455)&gt;25,"Plus de 25 lignes sur ce bon",IF(R455="","Date de livraison manquante",IF(R455&lt;B455,"Livraison avant la commande",IF(AND(N(T455)&gt;0,N(S455)=0),"Date d'envoi manquante",IF(N(T455)&gt;N(H455),"Reçu plus que commandé",IF(AND(N(T455)&gt;0,N(U455)=0),"Date de réception manquante",IF(AND(N(U455)&gt;0,U455&lt;B455),"Réception avant la commande","OK")))))))))))))))))))))</f>
        <v/>
      </c>
      <c r="AA455" s="66" t="str">
        <f>IF(AND(X455="Reçu",ISNUMBER(R455)),IF(N(U455)&lt;=R455,1,0),"")</f>
        <v/>
      </c>
      <c r="AB455" s="76" t="str">
        <f>IF(OR(X455="Envoyé",X455="Partiel",X455="En retard"),IF(ISNUMBER(R455),R455,100000)+ROW()/100000,"")</f>
        <v/>
      </c>
      <c r="AC455" s="66" t="str">
        <f>IF(A455="","",IF(COUNTIF($A$6:A455,A455)=1,1,""))</f>
        <v/>
      </c>
      <c r="AD455" s="66" t="str">
        <f>IF(AC455=1,COUNT($AC$6:AC455),"")</f>
        <v/>
      </c>
      <c r="AE455" s="66" t="str">
        <f>IFERROR(INDEX(po_num,MATCH(450,po_seq,0))&amp;"","")</f>
        <v/>
      </c>
      <c r="AF455" s="66" t="str">
        <f>IF(OR(A455="",p_po=""),"",IF(A455&amp;""=p_po,COUNTIF($A$6:A455,A455),""))</f>
        <v/>
      </c>
      <c r="AG455" s="66" t="str">
        <f>IF(OR(AB455="",A455=""),"",IF(COUNTIFS($A$6:A455,A455,$AB$6:AB455,"&gt;0")=1,1,""))</f>
        <v/>
      </c>
      <c r="AH455" s="70" t="str">
        <f>IF(AB455="","",ROUND(N(W455)*N(J455)*(1-N(K455)),2))</f>
        <v/>
      </c>
      <c r="AI455" s="70" t="str">
        <f>IF(OR(J455="",N(T455)&lt;=0,V455="Oui"),"",ROUND(N(T455)*J455*(1-N(K455)),2))</f>
        <v/>
      </c>
    </row>
    <row r="456">
      <c r="A456" s="63" t="n"/>
      <c r="B456" s="64" t="n"/>
      <c r="C456" s="65" t="n"/>
      <c r="D456" s="66" t="str">
        <f>IF(C456="","",IFERROR(INDEX(sup_name,MATCH($C456,sup_code,0))&amp;"","Fournisseur inconnu"))</f>
        <v/>
      </c>
      <c r="E456" s="63" t="n"/>
      <c r="F456" s="66" t="str">
        <f>IF(E456="","",IFERROR(INDEX(art_des,MATCH($E456,art_ref,0))&amp;"","Article inconnu"))</f>
        <v/>
      </c>
      <c r="G456" s="67" t="str">
        <f>IF(E456="","",IFERROR(INDEX(art_unit,MATCH($E456,art_ref,0))&amp;"",""))</f>
        <v/>
      </c>
      <c r="H456" s="68" t="n"/>
      <c r="I456" s="69" t="n"/>
      <c r="J456" s="70" t="str">
        <f>IF(E456="","",IF(ISNUMBER(I456),I456,IFERROR(IF(ISNUMBER(INDEX(art_price,MATCH($E456,art_ref,0))),INDEX(art_price,MATCH($E456,art_ref,0)),""),"")))</f>
        <v/>
      </c>
      <c r="K456" s="71" t="n"/>
      <c r="L456" s="72" t="n"/>
      <c r="M456" s="72" t="str">
        <f>IF(E456="","",IF(L456&lt;&gt;"",L456,IFERROR(IF(ISNUMBER(INDEX(art_tva,MATCH($E456,art_ref,0))),INDEX(art_tva,MATCH($E456,art_ref,0)),""),"")))</f>
        <v/>
      </c>
      <c r="N456" s="70" t="str">
        <f>IF(OR(E456="",J456=""),"",ROUND(N(H456)*J456*(1-N(K456)),2))</f>
        <v/>
      </c>
      <c r="O456" s="70" t="str">
        <f>IF(OR(N456="",NOT(ISNUMBER(M456))),"",ROUND(N456*M456,2))</f>
        <v/>
      </c>
      <c r="P456" s="70" t="str">
        <f>IF(N456="","",N456+N(O456))</f>
        <v/>
      </c>
      <c r="Q456" s="64" t="n"/>
      <c r="R456" s="73" t="str">
        <f>IF(N(Q456)&gt;0,Q456,IF(OR(N(B456)=0,ISNA(MATCH($C456,sup_code,0))),"",IF(ISNUMBER(INDEX(sup_delay,MATCH($C456,sup_code,0))),B456+INDEX(sup_delay,MATCH($C456,sup_code,0)),"")))</f>
        <v/>
      </c>
      <c r="S456" s="64" t="n"/>
      <c r="T456" s="68" t="n"/>
      <c r="U456" s="64" t="n"/>
      <c r="V456" s="65" t="n"/>
      <c r="W456" s="74" t="str">
        <f>IF(AND(A456="",E456=""),"",IF(V456="Oui",0,MAX(0,ROUND(N(H456)-N(T456),6))))</f>
        <v/>
      </c>
      <c r="X456" s="67" t="str">
        <f>IF(AND(A456="",E456=""),"",IF(V456="Oui","Annulé",IF(AND(N(H456)&gt;0,N(T456)&gt;=N(H456)),"Reçu",IF(N(S456)=0,"Brouillon",IF(AND(ISNUMBER(R456),R456&lt;p_today),"En retard",IF(N(T456)&gt;0,"Partiel","Envoyé"))))))</f>
        <v/>
      </c>
      <c r="Y456" s="75" t="str">
        <f>IF(X456="En retard",p_today-R456,IF(AND(X456="Reçu",ISNUMBER(R456)),MAX(0,N(U456)-R456),""))</f>
        <v/>
      </c>
      <c r="Z456" s="67" t="str">
        <f>IF(AND(A456="",E456=""),"",IF(A456="","N° de bon manquant",IF(N(B456)=0,"Date de commande manquante",IF(C456="","Fournisseur manquant",IF(ISNA(MATCH($C456,sup_code,0)),"Fournisseur inconnu",IF(E456="","Article manquant",IF(ISNA(MATCH($E456,art_ref,0)),"Article inconnu",IF(N(H456)&lt;=0,"Quantité invalide",IF(J456="","Prix manquant",IF(OR(N(K456)&lt;0,N(K456)&gt;=1),"Remise invalide",IF(M456="","TVA manquante",IF(ISNA(MATCH(M456,p_tva,0)),"Taux de TVA inconnu",IF(COUNTIFS(po_num,A456,po_sup,"&lt;&gt;"&amp;C456)&gt;0,"Fournisseur différent sur ce bon",IF(COUNTIFS(po_num,A456,po_date,"&lt;&gt;"&amp;B456)&gt;0,"Date différente sur ce bon",IF(COUNTIF(po_num,A456)&gt;25,"Plus de 25 lignes sur ce bon",IF(R456="","Date de livraison manquante",IF(R456&lt;B456,"Livraison avant la commande",IF(AND(N(T456)&gt;0,N(S456)=0),"Date d'envoi manquante",IF(N(T456)&gt;N(H456),"Reçu plus que commandé",IF(AND(N(T456)&gt;0,N(U456)=0),"Date de réception manquante",IF(AND(N(U456)&gt;0,U456&lt;B456),"Réception avant la commande","OK")))))))))))))))))))))</f>
        <v/>
      </c>
      <c r="AA456" s="66" t="str">
        <f>IF(AND(X456="Reçu",ISNUMBER(R456)),IF(N(U456)&lt;=R456,1,0),"")</f>
        <v/>
      </c>
      <c r="AB456" s="76" t="str">
        <f>IF(OR(X456="Envoyé",X456="Partiel",X456="En retard"),IF(ISNUMBER(R456),R456,100000)+ROW()/100000,"")</f>
        <v/>
      </c>
      <c r="AC456" s="66" t="str">
        <f>IF(A456="","",IF(COUNTIF($A$6:A456,A456)=1,1,""))</f>
        <v/>
      </c>
      <c r="AD456" s="66" t="str">
        <f>IF(AC456=1,COUNT($AC$6:AC456),"")</f>
        <v/>
      </c>
      <c r="AE456" s="66" t="str">
        <f>IFERROR(INDEX(po_num,MATCH(451,po_seq,0))&amp;"","")</f>
        <v/>
      </c>
      <c r="AF456" s="66" t="str">
        <f>IF(OR(A456="",p_po=""),"",IF(A456&amp;""=p_po,COUNTIF($A$6:A456,A456),""))</f>
        <v/>
      </c>
      <c r="AG456" s="66" t="str">
        <f>IF(OR(AB456="",A456=""),"",IF(COUNTIFS($A$6:A456,A456,$AB$6:AB456,"&gt;0")=1,1,""))</f>
        <v/>
      </c>
      <c r="AH456" s="70" t="str">
        <f>IF(AB456="","",ROUND(N(W456)*N(J456)*(1-N(K456)),2))</f>
        <v/>
      </c>
      <c r="AI456" s="70" t="str">
        <f>IF(OR(J456="",N(T456)&lt;=0,V456="Oui"),"",ROUND(N(T456)*J456*(1-N(K456)),2))</f>
        <v/>
      </c>
    </row>
    <row r="457">
      <c r="A457" s="63" t="n"/>
      <c r="B457" s="64" t="n"/>
      <c r="C457" s="65" t="n"/>
      <c r="D457" s="66" t="str">
        <f>IF(C457="","",IFERROR(INDEX(sup_name,MATCH($C457,sup_code,0))&amp;"","Fournisseur inconnu"))</f>
        <v/>
      </c>
      <c r="E457" s="63" t="n"/>
      <c r="F457" s="66" t="str">
        <f>IF(E457="","",IFERROR(INDEX(art_des,MATCH($E457,art_ref,0))&amp;"","Article inconnu"))</f>
        <v/>
      </c>
      <c r="G457" s="67" t="str">
        <f>IF(E457="","",IFERROR(INDEX(art_unit,MATCH($E457,art_ref,0))&amp;"",""))</f>
        <v/>
      </c>
      <c r="H457" s="68" t="n"/>
      <c r="I457" s="69" t="n"/>
      <c r="J457" s="70" t="str">
        <f>IF(E457="","",IF(ISNUMBER(I457),I457,IFERROR(IF(ISNUMBER(INDEX(art_price,MATCH($E457,art_ref,0))),INDEX(art_price,MATCH($E457,art_ref,0)),""),"")))</f>
        <v/>
      </c>
      <c r="K457" s="71" t="n"/>
      <c r="L457" s="72" t="n"/>
      <c r="M457" s="72" t="str">
        <f>IF(E457="","",IF(L457&lt;&gt;"",L457,IFERROR(IF(ISNUMBER(INDEX(art_tva,MATCH($E457,art_ref,0))),INDEX(art_tva,MATCH($E457,art_ref,0)),""),"")))</f>
        <v/>
      </c>
      <c r="N457" s="70" t="str">
        <f>IF(OR(E457="",J457=""),"",ROUND(N(H457)*J457*(1-N(K457)),2))</f>
        <v/>
      </c>
      <c r="O457" s="70" t="str">
        <f>IF(OR(N457="",NOT(ISNUMBER(M457))),"",ROUND(N457*M457,2))</f>
        <v/>
      </c>
      <c r="P457" s="70" t="str">
        <f>IF(N457="","",N457+N(O457))</f>
        <v/>
      </c>
      <c r="Q457" s="64" t="n"/>
      <c r="R457" s="73" t="str">
        <f>IF(N(Q457)&gt;0,Q457,IF(OR(N(B457)=0,ISNA(MATCH($C457,sup_code,0))),"",IF(ISNUMBER(INDEX(sup_delay,MATCH($C457,sup_code,0))),B457+INDEX(sup_delay,MATCH($C457,sup_code,0)),"")))</f>
        <v/>
      </c>
      <c r="S457" s="64" t="n"/>
      <c r="T457" s="68" t="n"/>
      <c r="U457" s="64" t="n"/>
      <c r="V457" s="65" t="n"/>
      <c r="W457" s="74" t="str">
        <f>IF(AND(A457="",E457=""),"",IF(V457="Oui",0,MAX(0,ROUND(N(H457)-N(T457),6))))</f>
        <v/>
      </c>
      <c r="X457" s="67" t="str">
        <f>IF(AND(A457="",E457=""),"",IF(V457="Oui","Annulé",IF(AND(N(H457)&gt;0,N(T457)&gt;=N(H457)),"Reçu",IF(N(S457)=0,"Brouillon",IF(AND(ISNUMBER(R457),R457&lt;p_today),"En retard",IF(N(T457)&gt;0,"Partiel","Envoyé"))))))</f>
        <v/>
      </c>
      <c r="Y457" s="75" t="str">
        <f>IF(X457="En retard",p_today-R457,IF(AND(X457="Reçu",ISNUMBER(R457)),MAX(0,N(U457)-R457),""))</f>
        <v/>
      </c>
      <c r="Z457" s="67" t="str">
        <f>IF(AND(A457="",E457=""),"",IF(A457="","N° de bon manquant",IF(N(B457)=0,"Date de commande manquante",IF(C457="","Fournisseur manquant",IF(ISNA(MATCH($C457,sup_code,0)),"Fournisseur inconnu",IF(E457="","Article manquant",IF(ISNA(MATCH($E457,art_ref,0)),"Article inconnu",IF(N(H457)&lt;=0,"Quantité invalide",IF(J457="","Prix manquant",IF(OR(N(K457)&lt;0,N(K457)&gt;=1),"Remise invalide",IF(M457="","TVA manquante",IF(ISNA(MATCH(M457,p_tva,0)),"Taux de TVA inconnu",IF(COUNTIFS(po_num,A457,po_sup,"&lt;&gt;"&amp;C457)&gt;0,"Fournisseur différent sur ce bon",IF(COUNTIFS(po_num,A457,po_date,"&lt;&gt;"&amp;B457)&gt;0,"Date différente sur ce bon",IF(COUNTIF(po_num,A457)&gt;25,"Plus de 25 lignes sur ce bon",IF(R457="","Date de livraison manquante",IF(R457&lt;B457,"Livraison avant la commande",IF(AND(N(T457)&gt;0,N(S457)=0),"Date d'envoi manquante",IF(N(T457)&gt;N(H457),"Reçu plus que commandé",IF(AND(N(T457)&gt;0,N(U457)=0),"Date de réception manquante",IF(AND(N(U457)&gt;0,U457&lt;B457),"Réception avant la commande","OK")))))))))))))))))))))</f>
        <v/>
      </c>
      <c r="AA457" s="66" t="str">
        <f>IF(AND(X457="Reçu",ISNUMBER(R457)),IF(N(U457)&lt;=R457,1,0),"")</f>
        <v/>
      </c>
      <c r="AB457" s="76" t="str">
        <f>IF(OR(X457="Envoyé",X457="Partiel",X457="En retard"),IF(ISNUMBER(R457),R457,100000)+ROW()/100000,"")</f>
        <v/>
      </c>
      <c r="AC457" s="66" t="str">
        <f>IF(A457="","",IF(COUNTIF($A$6:A457,A457)=1,1,""))</f>
        <v/>
      </c>
      <c r="AD457" s="66" t="str">
        <f>IF(AC457=1,COUNT($AC$6:AC457),"")</f>
        <v/>
      </c>
      <c r="AE457" s="66" t="str">
        <f>IFERROR(INDEX(po_num,MATCH(452,po_seq,0))&amp;"","")</f>
        <v/>
      </c>
      <c r="AF457" s="66" t="str">
        <f>IF(OR(A457="",p_po=""),"",IF(A457&amp;""=p_po,COUNTIF($A$6:A457,A457),""))</f>
        <v/>
      </c>
      <c r="AG457" s="66" t="str">
        <f>IF(OR(AB457="",A457=""),"",IF(COUNTIFS($A$6:A457,A457,$AB$6:AB457,"&gt;0")=1,1,""))</f>
        <v/>
      </c>
      <c r="AH457" s="70" t="str">
        <f>IF(AB457="","",ROUND(N(W457)*N(J457)*(1-N(K457)),2))</f>
        <v/>
      </c>
      <c r="AI457" s="70" t="str">
        <f>IF(OR(J457="",N(T457)&lt;=0,V457="Oui"),"",ROUND(N(T457)*J457*(1-N(K457)),2))</f>
        <v/>
      </c>
    </row>
    <row r="458">
      <c r="A458" s="63" t="n"/>
      <c r="B458" s="64" t="n"/>
      <c r="C458" s="65" t="n"/>
      <c r="D458" s="66" t="str">
        <f>IF(C458="","",IFERROR(INDEX(sup_name,MATCH($C458,sup_code,0))&amp;"","Fournisseur inconnu"))</f>
        <v/>
      </c>
      <c r="E458" s="63" t="n"/>
      <c r="F458" s="66" t="str">
        <f>IF(E458="","",IFERROR(INDEX(art_des,MATCH($E458,art_ref,0))&amp;"","Article inconnu"))</f>
        <v/>
      </c>
      <c r="G458" s="67" t="str">
        <f>IF(E458="","",IFERROR(INDEX(art_unit,MATCH($E458,art_ref,0))&amp;"",""))</f>
        <v/>
      </c>
      <c r="H458" s="68" t="n"/>
      <c r="I458" s="69" t="n"/>
      <c r="J458" s="70" t="str">
        <f>IF(E458="","",IF(ISNUMBER(I458),I458,IFERROR(IF(ISNUMBER(INDEX(art_price,MATCH($E458,art_ref,0))),INDEX(art_price,MATCH($E458,art_ref,0)),""),"")))</f>
        <v/>
      </c>
      <c r="K458" s="71" t="n"/>
      <c r="L458" s="72" t="n"/>
      <c r="M458" s="72" t="str">
        <f>IF(E458="","",IF(L458&lt;&gt;"",L458,IFERROR(IF(ISNUMBER(INDEX(art_tva,MATCH($E458,art_ref,0))),INDEX(art_tva,MATCH($E458,art_ref,0)),""),"")))</f>
        <v/>
      </c>
      <c r="N458" s="70" t="str">
        <f>IF(OR(E458="",J458=""),"",ROUND(N(H458)*J458*(1-N(K458)),2))</f>
        <v/>
      </c>
      <c r="O458" s="70" t="str">
        <f>IF(OR(N458="",NOT(ISNUMBER(M458))),"",ROUND(N458*M458,2))</f>
        <v/>
      </c>
      <c r="P458" s="70" t="str">
        <f>IF(N458="","",N458+N(O458))</f>
        <v/>
      </c>
      <c r="Q458" s="64" t="n"/>
      <c r="R458" s="73" t="str">
        <f>IF(N(Q458)&gt;0,Q458,IF(OR(N(B458)=0,ISNA(MATCH($C458,sup_code,0))),"",IF(ISNUMBER(INDEX(sup_delay,MATCH($C458,sup_code,0))),B458+INDEX(sup_delay,MATCH($C458,sup_code,0)),"")))</f>
        <v/>
      </c>
      <c r="S458" s="64" t="n"/>
      <c r="T458" s="68" t="n"/>
      <c r="U458" s="64" t="n"/>
      <c r="V458" s="65" t="n"/>
      <c r="W458" s="74" t="str">
        <f>IF(AND(A458="",E458=""),"",IF(V458="Oui",0,MAX(0,ROUND(N(H458)-N(T458),6))))</f>
        <v/>
      </c>
      <c r="X458" s="67" t="str">
        <f>IF(AND(A458="",E458=""),"",IF(V458="Oui","Annulé",IF(AND(N(H458)&gt;0,N(T458)&gt;=N(H458)),"Reçu",IF(N(S458)=0,"Brouillon",IF(AND(ISNUMBER(R458),R458&lt;p_today),"En retard",IF(N(T458)&gt;0,"Partiel","Envoyé"))))))</f>
        <v/>
      </c>
      <c r="Y458" s="75" t="str">
        <f>IF(X458="En retard",p_today-R458,IF(AND(X458="Reçu",ISNUMBER(R458)),MAX(0,N(U458)-R458),""))</f>
        <v/>
      </c>
      <c r="Z458" s="67" t="str">
        <f>IF(AND(A458="",E458=""),"",IF(A458="","N° de bon manquant",IF(N(B458)=0,"Date de commande manquante",IF(C458="","Fournisseur manquant",IF(ISNA(MATCH($C458,sup_code,0)),"Fournisseur inconnu",IF(E458="","Article manquant",IF(ISNA(MATCH($E458,art_ref,0)),"Article inconnu",IF(N(H458)&lt;=0,"Quantité invalide",IF(J458="","Prix manquant",IF(OR(N(K458)&lt;0,N(K458)&gt;=1),"Remise invalide",IF(M458="","TVA manquante",IF(ISNA(MATCH(M458,p_tva,0)),"Taux de TVA inconnu",IF(COUNTIFS(po_num,A458,po_sup,"&lt;&gt;"&amp;C458)&gt;0,"Fournisseur différent sur ce bon",IF(COUNTIFS(po_num,A458,po_date,"&lt;&gt;"&amp;B458)&gt;0,"Date différente sur ce bon",IF(COUNTIF(po_num,A458)&gt;25,"Plus de 25 lignes sur ce bon",IF(R458="","Date de livraison manquante",IF(R458&lt;B458,"Livraison avant la commande",IF(AND(N(T458)&gt;0,N(S458)=0),"Date d'envoi manquante",IF(N(T458)&gt;N(H458),"Reçu plus que commandé",IF(AND(N(T458)&gt;0,N(U458)=0),"Date de réception manquante",IF(AND(N(U458)&gt;0,U458&lt;B458),"Réception avant la commande","OK")))))))))))))))))))))</f>
        <v/>
      </c>
      <c r="AA458" s="66" t="str">
        <f>IF(AND(X458="Reçu",ISNUMBER(R458)),IF(N(U458)&lt;=R458,1,0),"")</f>
        <v/>
      </c>
      <c r="AB458" s="76" t="str">
        <f>IF(OR(X458="Envoyé",X458="Partiel",X458="En retard"),IF(ISNUMBER(R458),R458,100000)+ROW()/100000,"")</f>
        <v/>
      </c>
      <c r="AC458" s="66" t="str">
        <f>IF(A458="","",IF(COUNTIF($A$6:A458,A458)=1,1,""))</f>
        <v/>
      </c>
      <c r="AD458" s="66" t="str">
        <f>IF(AC458=1,COUNT($AC$6:AC458),"")</f>
        <v/>
      </c>
      <c r="AE458" s="66" t="str">
        <f>IFERROR(INDEX(po_num,MATCH(453,po_seq,0))&amp;"","")</f>
        <v/>
      </c>
      <c r="AF458" s="66" t="str">
        <f>IF(OR(A458="",p_po=""),"",IF(A458&amp;""=p_po,COUNTIF($A$6:A458,A458),""))</f>
        <v/>
      </c>
      <c r="AG458" s="66" t="str">
        <f>IF(OR(AB458="",A458=""),"",IF(COUNTIFS($A$6:A458,A458,$AB$6:AB458,"&gt;0")=1,1,""))</f>
        <v/>
      </c>
      <c r="AH458" s="70" t="str">
        <f>IF(AB458="","",ROUND(N(W458)*N(J458)*(1-N(K458)),2))</f>
        <v/>
      </c>
      <c r="AI458" s="70" t="str">
        <f>IF(OR(J458="",N(T458)&lt;=0,V458="Oui"),"",ROUND(N(T458)*J458*(1-N(K458)),2))</f>
        <v/>
      </c>
    </row>
    <row r="459">
      <c r="A459" s="63" t="n"/>
      <c r="B459" s="64" t="n"/>
      <c r="C459" s="65" t="n"/>
      <c r="D459" s="66" t="str">
        <f>IF(C459="","",IFERROR(INDEX(sup_name,MATCH($C459,sup_code,0))&amp;"","Fournisseur inconnu"))</f>
        <v/>
      </c>
      <c r="E459" s="63" t="n"/>
      <c r="F459" s="66" t="str">
        <f>IF(E459="","",IFERROR(INDEX(art_des,MATCH($E459,art_ref,0))&amp;"","Article inconnu"))</f>
        <v/>
      </c>
      <c r="G459" s="67" t="str">
        <f>IF(E459="","",IFERROR(INDEX(art_unit,MATCH($E459,art_ref,0))&amp;"",""))</f>
        <v/>
      </c>
      <c r="H459" s="68" t="n"/>
      <c r="I459" s="69" t="n"/>
      <c r="J459" s="70" t="str">
        <f>IF(E459="","",IF(ISNUMBER(I459),I459,IFERROR(IF(ISNUMBER(INDEX(art_price,MATCH($E459,art_ref,0))),INDEX(art_price,MATCH($E459,art_ref,0)),""),"")))</f>
        <v/>
      </c>
      <c r="K459" s="71" t="n"/>
      <c r="L459" s="72" t="n"/>
      <c r="M459" s="72" t="str">
        <f>IF(E459="","",IF(L459&lt;&gt;"",L459,IFERROR(IF(ISNUMBER(INDEX(art_tva,MATCH($E459,art_ref,0))),INDEX(art_tva,MATCH($E459,art_ref,0)),""),"")))</f>
        <v/>
      </c>
      <c r="N459" s="70" t="str">
        <f>IF(OR(E459="",J459=""),"",ROUND(N(H459)*J459*(1-N(K459)),2))</f>
        <v/>
      </c>
      <c r="O459" s="70" t="str">
        <f>IF(OR(N459="",NOT(ISNUMBER(M459))),"",ROUND(N459*M459,2))</f>
        <v/>
      </c>
      <c r="P459" s="70" t="str">
        <f>IF(N459="","",N459+N(O459))</f>
        <v/>
      </c>
      <c r="Q459" s="64" t="n"/>
      <c r="R459" s="73" t="str">
        <f>IF(N(Q459)&gt;0,Q459,IF(OR(N(B459)=0,ISNA(MATCH($C459,sup_code,0))),"",IF(ISNUMBER(INDEX(sup_delay,MATCH($C459,sup_code,0))),B459+INDEX(sup_delay,MATCH($C459,sup_code,0)),"")))</f>
        <v/>
      </c>
      <c r="S459" s="64" t="n"/>
      <c r="T459" s="68" t="n"/>
      <c r="U459" s="64" t="n"/>
      <c r="V459" s="65" t="n"/>
      <c r="W459" s="74" t="str">
        <f>IF(AND(A459="",E459=""),"",IF(V459="Oui",0,MAX(0,ROUND(N(H459)-N(T459),6))))</f>
        <v/>
      </c>
      <c r="X459" s="67" t="str">
        <f>IF(AND(A459="",E459=""),"",IF(V459="Oui","Annulé",IF(AND(N(H459)&gt;0,N(T459)&gt;=N(H459)),"Reçu",IF(N(S459)=0,"Brouillon",IF(AND(ISNUMBER(R459),R459&lt;p_today),"En retard",IF(N(T459)&gt;0,"Partiel","Envoyé"))))))</f>
        <v/>
      </c>
      <c r="Y459" s="75" t="str">
        <f>IF(X459="En retard",p_today-R459,IF(AND(X459="Reçu",ISNUMBER(R459)),MAX(0,N(U459)-R459),""))</f>
        <v/>
      </c>
      <c r="Z459" s="67" t="str">
        <f>IF(AND(A459="",E459=""),"",IF(A459="","N° de bon manquant",IF(N(B459)=0,"Date de commande manquante",IF(C459="","Fournisseur manquant",IF(ISNA(MATCH($C459,sup_code,0)),"Fournisseur inconnu",IF(E459="","Article manquant",IF(ISNA(MATCH($E459,art_ref,0)),"Article inconnu",IF(N(H459)&lt;=0,"Quantité invalide",IF(J459="","Prix manquant",IF(OR(N(K459)&lt;0,N(K459)&gt;=1),"Remise invalide",IF(M459="","TVA manquante",IF(ISNA(MATCH(M459,p_tva,0)),"Taux de TVA inconnu",IF(COUNTIFS(po_num,A459,po_sup,"&lt;&gt;"&amp;C459)&gt;0,"Fournisseur différent sur ce bon",IF(COUNTIFS(po_num,A459,po_date,"&lt;&gt;"&amp;B459)&gt;0,"Date différente sur ce bon",IF(COUNTIF(po_num,A459)&gt;25,"Plus de 25 lignes sur ce bon",IF(R459="","Date de livraison manquante",IF(R459&lt;B459,"Livraison avant la commande",IF(AND(N(T459)&gt;0,N(S459)=0),"Date d'envoi manquante",IF(N(T459)&gt;N(H459),"Reçu plus que commandé",IF(AND(N(T459)&gt;0,N(U459)=0),"Date de réception manquante",IF(AND(N(U459)&gt;0,U459&lt;B459),"Réception avant la commande","OK")))))))))))))))))))))</f>
        <v/>
      </c>
      <c r="AA459" s="66" t="str">
        <f>IF(AND(X459="Reçu",ISNUMBER(R459)),IF(N(U459)&lt;=R459,1,0),"")</f>
        <v/>
      </c>
      <c r="AB459" s="76" t="str">
        <f>IF(OR(X459="Envoyé",X459="Partiel",X459="En retard"),IF(ISNUMBER(R459),R459,100000)+ROW()/100000,"")</f>
        <v/>
      </c>
      <c r="AC459" s="66" t="str">
        <f>IF(A459="","",IF(COUNTIF($A$6:A459,A459)=1,1,""))</f>
        <v/>
      </c>
      <c r="AD459" s="66" t="str">
        <f>IF(AC459=1,COUNT($AC$6:AC459),"")</f>
        <v/>
      </c>
      <c r="AE459" s="66" t="str">
        <f>IFERROR(INDEX(po_num,MATCH(454,po_seq,0))&amp;"","")</f>
        <v/>
      </c>
      <c r="AF459" s="66" t="str">
        <f>IF(OR(A459="",p_po=""),"",IF(A459&amp;""=p_po,COUNTIF($A$6:A459,A459),""))</f>
        <v/>
      </c>
      <c r="AG459" s="66" t="str">
        <f>IF(OR(AB459="",A459=""),"",IF(COUNTIFS($A$6:A459,A459,$AB$6:AB459,"&gt;0")=1,1,""))</f>
        <v/>
      </c>
      <c r="AH459" s="70" t="str">
        <f>IF(AB459="","",ROUND(N(W459)*N(J459)*(1-N(K459)),2))</f>
        <v/>
      </c>
      <c r="AI459" s="70" t="str">
        <f>IF(OR(J459="",N(T459)&lt;=0,V459="Oui"),"",ROUND(N(T459)*J459*(1-N(K459)),2))</f>
        <v/>
      </c>
    </row>
    <row r="460">
      <c r="A460" s="63" t="n"/>
      <c r="B460" s="64" t="n"/>
      <c r="C460" s="65" t="n"/>
      <c r="D460" s="66" t="str">
        <f>IF(C460="","",IFERROR(INDEX(sup_name,MATCH($C460,sup_code,0))&amp;"","Fournisseur inconnu"))</f>
        <v/>
      </c>
      <c r="E460" s="63" t="n"/>
      <c r="F460" s="66" t="str">
        <f>IF(E460="","",IFERROR(INDEX(art_des,MATCH($E460,art_ref,0))&amp;"","Article inconnu"))</f>
        <v/>
      </c>
      <c r="G460" s="67" t="str">
        <f>IF(E460="","",IFERROR(INDEX(art_unit,MATCH($E460,art_ref,0))&amp;"",""))</f>
        <v/>
      </c>
      <c r="H460" s="68" t="n"/>
      <c r="I460" s="69" t="n"/>
      <c r="J460" s="70" t="str">
        <f>IF(E460="","",IF(ISNUMBER(I460),I460,IFERROR(IF(ISNUMBER(INDEX(art_price,MATCH($E460,art_ref,0))),INDEX(art_price,MATCH($E460,art_ref,0)),""),"")))</f>
        <v/>
      </c>
      <c r="K460" s="71" t="n"/>
      <c r="L460" s="72" t="n"/>
      <c r="M460" s="72" t="str">
        <f>IF(E460="","",IF(L460&lt;&gt;"",L460,IFERROR(IF(ISNUMBER(INDEX(art_tva,MATCH($E460,art_ref,0))),INDEX(art_tva,MATCH($E460,art_ref,0)),""),"")))</f>
        <v/>
      </c>
      <c r="N460" s="70" t="str">
        <f>IF(OR(E460="",J460=""),"",ROUND(N(H460)*J460*(1-N(K460)),2))</f>
        <v/>
      </c>
      <c r="O460" s="70" t="str">
        <f>IF(OR(N460="",NOT(ISNUMBER(M460))),"",ROUND(N460*M460,2))</f>
        <v/>
      </c>
      <c r="P460" s="70" t="str">
        <f>IF(N460="","",N460+N(O460))</f>
        <v/>
      </c>
      <c r="Q460" s="64" t="n"/>
      <c r="R460" s="73" t="str">
        <f>IF(N(Q460)&gt;0,Q460,IF(OR(N(B460)=0,ISNA(MATCH($C460,sup_code,0))),"",IF(ISNUMBER(INDEX(sup_delay,MATCH($C460,sup_code,0))),B460+INDEX(sup_delay,MATCH($C460,sup_code,0)),"")))</f>
        <v/>
      </c>
      <c r="S460" s="64" t="n"/>
      <c r="T460" s="68" t="n"/>
      <c r="U460" s="64" t="n"/>
      <c r="V460" s="65" t="n"/>
      <c r="W460" s="74" t="str">
        <f>IF(AND(A460="",E460=""),"",IF(V460="Oui",0,MAX(0,ROUND(N(H460)-N(T460),6))))</f>
        <v/>
      </c>
      <c r="X460" s="67" t="str">
        <f>IF(AND(A460="",E460=""),"",IF(V460="Oui","Annulé",IF(AND(N(H460)&gt;0,N(T460)&gt;=N(H460)),"Reçu",IF(N(S460)=0,"Brouillon",IF(AND(ISNUMBER(R460),R460&lt;p_today),"En retard",IF(N(T460)&gt;0,"Partiel","Envoyé"))))))</f>
        <v/>
      </c>
      <c r="Y460" s="75" t="str">
        <f>IF(X460="En retard",p_today-R460,IF(AND(X460="Reçu",ISNUMBER(R460)),MAX(0,N(U460)-R460),""))</f>
        <v/>
      </c>
      <c r="Z460" s="67" t="str">
        <f>IF(AND(A460="",E460=""),"",IF(A460="","N° de bon manquant",IF(N(B460)=0,"Date de commande manquante",IF(C460="","Fournisseur manquant",IF(ISNA(MATCH($C460,sup_code,0)),"Fournisseur inconnu",IF(E460="","Article manquant",IF(ISNA(MATCH($E460,art_ref,0)),"Article inconnu",IF(N(H460)&lt;=0,"Quantité invalide",IF(J460="","Prix manquant",IF(OR(N(K460)&lt;0,N(K460)&gt;=1),"Remise invalide",IF(M460="","TVA manquante",IF(ISNA(MATCH(M460,p_tva,0)),"Taux de TVA inconnu",IF(COUNTIFS(po_num,A460,po_sup,"&lt;&gt;"&amp;C460)&gt;0,"Fournisseur différent sur ce bon",IF(COUNTIFS(po_num,A460,po_date,"&lt;&gt;"&amp;B460)&gt;0,"Date différente sur ce bon",IF(COUNTIF(po_num,A460)&gt;25,"Plus de 25 lignes sur ce bon",IF(R460="","Date de livraison manquante",IF(R460&lt;B460,"Livraison avant la commande",IF(AND(N(T460)&gt;0,N(S460)=0),"Date d'envoi manquante",IF(N(T460)&gt;N(H460),"Reçu plus que commandé",IF(AND(N(T460)&gt;0,N(U460)=0),"Date de réception manquante",IF(AND(N(U460)&gt;0,U460&lt;B460),"Réception avant la commande","OK")))))))))))))))))))))</f>
        <v/>
      </c>
      <c r="AA460" s="66" t="str">
        <f>IF(AND(X460="Reçu",ISNUMBER(R460)),IF(N(U460)&lt;=R460,1,0),"")</f>
        <v/>
      </c>
      <c r="AB460" s="76" t="str">
        <f>IF(OR(X460="Envoyé",X460="Partiel",X460="En retard"),IF(ISNUMBER(R460),R460,100000)+ROW()/100000,"")</f>
        <v/>
      </c>
      <c r="AC460" s="66" t="str">
        <f>IF(A460="","",IF(COUNTIF($A$6:A460,A460)=1,1,""))</f>
        <v/>
      </c>
      <c r="AD460" s="66" t="str">
        <f>IF(AC460=1,COUNT($AC$6:AC460),"")</f>
        <v/>
      </c>
      <c r="AE460" s="66" t="str">
        <f>IFERROR(INDEX(po_num,MATCH(455,po_seq,0))&amp;"","")</f>
        <v/>
      </c>
      <c r="AF460" s="66" t="str">
        <f>IF(OR(A460="",p_po=""),"",IF(A460&amp;""=p_po,COUNTIF($A$6:A460,A460),""))</f>
        <v/>
      </c>
      <c r="AG460" s="66" t="str">
        <f>IF(OR(AB460="",A460=""),"",IF(COUNTIFS($A$6:A460,A460,$AB$6:AB460,"&gt;0")=1,1,""))</f>
        <v/>
      </c>
      <c r="AH460" s="70" t="str">
        <f>IF(AB460="","",ROUND(N(W460)*N(J460)*(1-N(K460)),2))</f>
        <v/>
      </c>
      <c r="AI460" s="70" t="str">
        <f>IF(OR(J460="",N(T460)&lt;=0,V460="Oui"),"",ROUND(N(T460)*J460*(1-N(K460)),2))</f>
        <v/>
      </c>
    </row>
    <row r="461">
      <c r="A461" s="63" t="n"/>
      <c r="B461" s="64" t="n"/>
      <c r="C461" s="65" t="n"/>
      <c r="D461" s="66" t="str">
        <f>IF(C461="","",IFERROR(INDEX(sup_name,MATCH($C461,sup_code,0))&amp;"","Fournisseur inconnu"))</f>
        <v/>
      </c>
      <c r="E461" s="63" t="n"/>
      <c r="F461" s="66" t="str">
        <f>IF(E461="","",IFERROR(INDEX(art_des,MATCH($E461,art_ref,0))&amp;"","Article inconnu"))</f>
        <v/>
      </c>
      <c r="G461" s="67" t="str">
        <f>IF(E461="","",IFERROR(INDEX(art_unit,MATCH($E461,art_ref,0))&amp;"",""))</f>
        <v/>
      </c>
      <c r="H461" s="68" t="n"/>
      <c r="I461" s="69" t="n"/>
      <c r="J461" s="70" t="str">
        <f>IF(E461="","",IF(ISNUMBER(I461),I461,IFERROR(IF(ISNUMBER(INDEX(art_price,MATCH($E461,art_ref,0))),INDEX(art_price,MATCH($E461,art_ref,0)),""),"")))</f>
        <v/>
      </c>
      <c r="K461" s="71" t="n"/>
      <c r="L461" s="72" t="n"/>
      <c r="M461" s="72" t="str">
        <f>IF(E461="","",IF(L461&lt;&gt;"",L461,IFERROR(IF(ISNUMBER(INDEX(art_tva,MATCH($E461,art_ref,0))),INDEX(art_tva,MATCH($E461,art_ref,0)),""),"")))</f>
        <v/>
      </c>
      <c r="N461" s="70" t="str">
        <f>IF(OR(E461="",J461=""),"",ROUND(N(H461)*J461*(1-N(K461)),2))</f>
        <v/>
      </c>
      <c r="O461" s="70" t="str">
        <f>IF(OR(N461="",NOT(ISNUMBER(M461))),"",ROUND(N461*M461,2))</f>
        <v/>
      </c>
      <c r="P461" s="70" t="str">
        <f>IF(N461="","",N461+N(O461))</f>
        <v/>
      </c>
      <c r="Q461" s="64" t="n"/>
      <c r="R461" s="73" t="str">
        <f>IF(N(Q461)&gt;0,Q461,IF(OR(N(B461)=0,ISNA(MATCH($C461,sup_code,0))),"",IF(ISNUMBER(INDEX(sup_delay,MATCH($C461,sup_code,0))),B461+INDEX(sup_delay,MATCH($C461,sup_code,0)),"")))</f>
        <v/>
      </c>
      <c r="S461" s="64" t="n"/>
      <c r="T461" s="68" t="n"/>
      <c r="U461" s="64" t="n"/>
      <c r="V461" s="65" t="n"/>
      <c r="W461" s="74" t="str">
        <f>IF(AND(A461="",E461=""),"",IF(V461="Oui",0,MAX(0,ROUND(N(H461)-N(T461),6))))</f>
        <v/>
      </c>
      <c r="X461" s="67" t="str">
        <f>IF(AND(A461="",E461=""),"",IF(V461="Oui","Annulé",IF(AND(N(H461)&gt;0,N(T461)&gt;=N(H461)),"Reçu",IF(N(S461)=0,"Brouillon",IF(AND(ISNUMBER(R461),R461&lt;p_today),"En retard",IF(N(T461)&gt;0,"Partiel","Envoyé"))))))</f>
        <v/>
      </c>
      <c r="Y461" s="75" t="str">
        <f>IF(X461="En retard",p_today-R461,IF(AND(X461="Reçu",ISNUMBER(R461)),MAX(0,N(U461)-R461),""))</f>
        <v/>
      </c>
      <c r="Z461" s="67" t="str">
        <f>IF(AND(A461="",E461=""),"",IF(A461="","N° de bon manquant",IF(N(B461)=0,"Date de commande manquante",IF(C461="","Fournisseur manquant",IF(ISNA(MATCH($C461,sup_code,0)),"Fournisseur inconnu",IF(E461="","Article manquant",IF(ISNA(MATCH($E461,art_ref,0)),"Article inconnu",IF(N(H461)&lt;=0,"Quantité invalide",IF(J461="","Prix manquant",IF(OR(N(K461)&lt;0,N(K461)&gt;=1),"Remise invalide",IF(M461="","TVA manquante",IF(ISNA(MATCH(M461,p_tva,0)),"Taux de TVA inconnu",IF(COUNTIFS(po_num,A461,po_sup,"&lt;&gt;"&amp;C461)&gt;0,"Fournisseur différent sur ce bon",IF(COUNTIFS(po_num,A461,po_date,"&lt;&gt;"&amp;B461)&gt;0,"Date différente sur ce bon",IF(COUNTIF(po_num,A461)&gt;25,"Plus de 25 lignes sur ce bon",IF(R461="","Date de livraison manquante",IF(R461&lt;B461,"Livraison avant la commande",IF(AND(N(T461)&gt;0,N(S461)=0),"Date d'envoi manquante",IF(N(T461)&gt;N(H461),"Reçu plus que commandé",IF(AND(N(T461)&gt;0,N(U461)=0),"Date de réception manquante",IF(AND(N(U461)&gt;0,U461&lt;B461),"Réception avant la commande","OK")))))))))))))))))))))</f>
        <v/>
      </c>
      <c r="AA461" s="66" t="str">
        <f>IF(AND(X461="Reçu",ISNUMBER(R461)),IF(N(U461)&lt;=R461,1,0),"")</f>
        <v/>
      </c>
      <c r="AB461" s="76" t="str">
        <f>IF(OR(X461="Envoyé",X461="Partiel",X461="En retard"),IF(ISNUMBER(R461),R461,100000)+ROW()/100000,"")</f>
        <v/>
      </c>
      <c r="AC461" s="66" t="str">
        <f>IF(A461="","",IF(COUNTIF($A$6:A461,A461)=1,1,""))</f>
        <v/>
      </c>
      <c r="AD461" s="66" t="str">
        <f>IF(AC461=1,COUNT($AC$6:AC461),"")</f>
        <v/>
      </c>
      <c r="AE461" s="66" t="str">
        <f>IFERROR(INDEX(po_num,MATCH(456,po_seq,0))&amp;"","")</f>
        <v/>
      </c>
      <c r="AF461" s="66" t="str">
        <f>IF(OR(A461="",p_po=""),"",IF(A461&amp;""=p_po,COUNTIF($A$6:A461,A461),""))</f>
        <v/>
      </c>
      <c r="AG461" s="66" t="str">
        <f>IF(OR(AB461="",A461=""),"",IF(COUNTIFS($A$6:A461,A461,$AB$6:AB461,"&gt;0")=1,1,""))</f>
        <v/>
      </c>
      <c r="AH461" s="70" t="str">
        <f>IF(AB461="","",ROUND(N(W461)*N(J461)*(1-N(K461)),2))</f>
        <v/>
      </c>
      <c r="AI461" s="70" t="str">
        <f>IF(OR(J461="",N(T461)&lt;=0,V461="Oui"),"",ROUND(N(T461)*J461*(1-N(K461)),2))</f>
        <v/>
      </c>
    </row>
    <row r="462">
      <c r="A462" s="63" t="n"/>
      <c r="B462" s="64" t="n"/>
      <c r="C462" s="65" t="n"/>
      <c r="D462" s="66" t="str">
        <f>IF(C462="","",IFERROR(INDEX(sup_name,MATCH($C462,sup_code,0))&amp;"","Fournisseur inconnu"))</f>
        <v/>
      </c>
      <c r="E462" s="63" t="n"/>
      <c r="F462" s="66" t="str">
        <f>IF(E462="","",IFERROR(INDEX(art_des,MATCH($E462,art_ref,0))&amp;"","Article inconnu"))</f>
        <v/>
      </c>
      <c r="G462" s="67" t="str">
        <f>IF(E462="","",IFERROR(INDEX(art_unit,MATCH($E462,art_ref,0))&amp;"",""))</f>
        <v/>
      </c>
      <c r="H462" s="68" t="n"/>
      <c r="I462" s="69" t="n"/>
      <c r="J462" s="70" t="str">
        <f>IF(E462="","",IF(ISNUMBER(I462),I462,IFERROR(IF(ISNUMBER(INDEX(art_price,MATCH($E462,art_ref,0))),INDEX(art_price,MATCH($E462,art_ref,0)),""),"")))</f>
        <v/>
      </c>
      <c r="K462" s="71" t="n"/>
      <c r="L462" s="72" t="n"/>
      <c r="M462" s="72" t="str">
        <f>IF(E462="","",IF(L462&lt;&gt;"",L462,IFERROR(IF(ISNUMBER(INDEX(art_tva,MATCH($E462,art_ref,0))),INDEX(art_tva,MATCH($E462,art_ref,0)),""),"")))</f>
        <v/>
      </c>
      <c r="N462" s="70" t="str">
        <f>IF(OR(E462="",J462=""),"",ROUND(N(H462)*J462*(1-N(K462)),2))</f>
        <v/>
      </c>
      <c r="O462" s="70" t="str">
        <f>IF(OR(N462="",NOT(ISNUMBER(M462))),"",ROUND(N462*M462,2))</f>
        <v/>
      </c>
      <c r="P462" s="70" t="str">
        <f>IF(N462="","",N462+N(O462))</f>
        <v/>
      </c>
      <c r="Q462" s="64" t="n"/>
      <c r="R462" s="73" t="str">
        <f>IF(N(Q462)&gt;0,Q462,IF(OR(N(B462)=0,ISNA(MATCH($C462,sup_code,0))),"",IF(ISNUMBER(INDEX(sup_delay,MATCH($C462,sup_code,0))),B462+INDEX(sup_delay,MATCH($C462,sup_code,0)),"")))</f>
        <v/>
      </c>
      <c r="S462" s="64" t="n"/>
      <c r="T462" s="68" t="n"/>
      <c r="U462" s="64" t="n"/>
      <c r="V462" s="65" t="n"/>
      <c r="W462" s="74" t="str">
        <f>IF(AND(A462="",E462=""),"",IF(V462="Oui",0,MAX(0,ROUND(N(H462)-N(T462),6))))</f>
        <v/>
      </c>
      <c r="X462" s="67" t="str">
        <f>IF(AND(A462="",E462=""),"",IF(V462="Oui","Annulé",IF(AND(N(H462)&gt;0,N(T462)&gt;=N(H462)),"Reçu",IF(N(S462)=0,"Brouillon",IF(AND(ISNUMBER(R462),R462&lt;p_today),"En retard",IF(N(T462)&gt;0,"Partiel","Envoyé"))))))</f>
        <v/>
      </c>
      <c r="Y462" s="75" t="str">
        <f>IF(X462="En retard",p_today-R462,IF(AND(X462="Reçu",ISNUMBER(R462)),MAX(0,N(U462)-R462),""))</f>
        <v/>
      </c>
      <c r="Z462" s="67" t="str">
        <f>IF(AND(A462="",E462=""),"",IF(A462="","N° de bon manquant",IF(N(B462)=0,"Date de commande manquante",IF(C462="","Fournisseur manquant",IF(ISNA(MATCH($C462,sup_code,0)),"Fournisseur inconnu",IF(E462="","Article manquant",IF(ISNA(MATCH($E462,art_ref,0)),"Article inconnu",IF(N(H462)&lt;=0,"Quantité invalide",IF(J462="","Prix manquant",IF(OR(N(K462)&lt;0,N(K462)&gt;=1),"Remise invalide",IF(M462="","TVA manquante",IF(ISNA(MATCH(M462,p_tva,0)),"Taux de TVA inconnu",IF(COUNTIFS(po_num,A462,po_sup,"&lt;&gt;"&amp;C462)&gt;0,"Fournisseur différent sur ce bon",IF(COUNTIFS(po_num,A462,po_date,"&lt;&gt;"&amp;B462)&gt;0,"Date différente sur ce bon",IF(COUNTIF(po_num,A462)&gt;25,"Plus de 25 lignes sur ce bon",IF(R462="","Date de livraison manquante",IF(R462&lt;B462,"Livraison avant la commande",IF(AND(N(T462)&gt;0,N(S462)=0),"Date d'envoi manquante",IF(N(T462)&gt;N(H462),"Reçu plus que commandé",IF(AND(N(T462)&gt;0,N(U462)=0),"Date de réception manquante",IF(AND(N(U462)&gt;0,U462&lt;B462),"Réception avant la commande","OK")))))))))))))))))))))</f>
        <v/>
      </c>
      <c r="AA462" s="66" t="str">
        <f>IF(AND(X462="Reçu",ISNUMBER(R462)),IF(N(U462)&lt;=R462,1,0),"")</f>
        <v/>
      </c>
      <c r="AB462" s="76" t="str">
        <f>IF(OR(X462="Envoyé",X462="Partiel",X462="En retard"),IF(ISNUMBER(R462),R462,100000)+ROW()/100000,"")</f>
        <v/>
      </c>
      <c r="AC462" s="66" t="str">
        <f>IF(A462="","",IF(COUNTIF($A$6:A462,A462)=1,1,""))</f>
        <v/>
      </c>
      <c r="AD462" s="66" t="str">
        <f>IF(AC462=1,COUNT($AC$6:AC462),"")</f>
        <v/>
      </c>
      <c r="AE462" s="66" t="str">
        <f>IFERROR(INDEX(po_num,MATCH(457,po_seq,0))&amp;"","")</f>
        <v/>
      </c>
      <c r="AF462" s="66" t="str">
        <f>IF(OR(A462="",p_po=""),"",IF(A462&amp;""=p_po,COUNTIF($A$6:A462,A462),""))</f>
        <v/>
      </c>
      <c r="AG462" s="66" t="str">
        <f>IF(OR(AB462="",A462=""),"",IF(COUNTIFS($A$6:A462,A462,$AB$6:AB462,"&gt;0")=1,1,""))</f>
        <v/>
      </c>
      <c r="AH462" s="70" t="str">
        <f>IF(AB462="","",ROUND(N(W462)*N(J462)*(1-N(K462)),2))</f>
        <v/>
      </c>
      <c r="AI462" s="70" t="str">
        <f>IF(OR(J462="",N(T462)&lt;=0,V462="Oui"),"",ROUND(N(T462)*J462*(1-N(K462)),2))</f>
        <v/>
      </c>
    </row>
    <row r="463">
      <c r="A463" s="63" t="n"/>
      <c r="B463" s="64" t="n"/>
      <c r="C463" s="65" t="n"/>
      <c r="D463" s="66" t="str">
        <f>IF(C463="","",IFERROR(INDEX(sup_name,MATCH($C463,sup_code,0))&amp;"","Fournisseur inconnu"))</f>
        <v/>
      </c>
      <c r="E463" s="63" t="n"/>
      <c r="F463" s="66" t="str">
        <f>IF(E463="","",IFERROR(INDEX(art_des,MATCH($E463,art_ref,0))&amp;"","Article inconnu"))</f>
        <v/>
      </c>
      <c r="G463" s="67" t="str">
        <f>IF(E463="","",IFERROR(INDEX(art_unit,MATCH($E463,art_ref,0))&amp;"",""))</f>
        <v/>
      </c>
      <c r="H463" s="68" t="n"/>
      <c r="I463" s="69" t="n"/>
      <c r="J463" s="70" t="str">
        <f>IF(E463="","",IF(ISNUMBER(I463),I463,IFERROR(IF(ISNUMBER(INDEX(art_price,MATCH($E463,art_ref,0))),INDEX(art_price,MATCH($E463,art_ref,0)),""),"")))</f>
        <v/>
      </c>
      <c r="K463" s="71" t="n"/>
      <c r="L463" s="72" t="n"/>
      <c r="M463" s="72" t="str">
        <f>IF(E463="","",IF(L463&lt;&gt;"",L463,IFERROR(IF(ISNUMBER(INDEX(art_tva,MATCH($E463,art_ref,0))),INDEX(art_tva,MATCH($E463,art_ref,0)),""),"")))</f>
        <v/>
      </c>
      <c r="N463" s="70" t="str">
        <f>IF(OR(E463="",J463=""),"",ROUND(N(H463)*J463*(1-N(K463)),2))</f>
        <v/>
      </c>
      <c r="O463" s="70" t="str">
        <f>IF(OR(N463="",NOT(ISNUMBER(M463))),"",ROUND(N463*M463,2))</f>
        <v/>
      </c>
      <c r="P463" s="70" t="str">
        <f>IF(N463="","",N463+N(O463))</f>
        <v/>
      </c>
      <c r="Q463" s="64" t="n"/>
      <c r="R463" s="73" t="str">
        <f>IF(N(Q463)&gt;0,Q463,IF(OR(N(B463)=0,ISNA(MATCH($C463,sup_code,0))),"",IF(ISNUMBER(INDEX(sup_delay,MATCH($C463,sup_code,0))),B463+INDEX(sup_delay,MATCH($C463,sup_code,0)),"")))</f>
        <v/>
      </c>
      <c r="S463" s="64" t="n"/>
      <c r="T463" s="68" t="n"/>
      <c r="U463" s="64" t="n"/>
      <c r="V463" s="65" t="n"/>
      <c r="W463" s="74" t="str">
        <f>IF(AND(A463="",E463=""),"",IF(V463="Oui",0,MAX(0,ROUND(N(H463)-N(T463),6))))</f>
        <v/>
      </c>
      <c r="X463" s="67" t="str">
        <f>IF(AND(A463="",E463=""),"",IF(V463="Oui","Annulé",IF(AND(N(H463)&gt;0,N(T463)&gt;=N(H463)),"Reçu",IF(N(S463)=0,"Brouillon",IF(AND(ISNUMBER(R463),R463&lt;p_today),"En retard",IF(N(T463)&gt;0,"Partiel","Envoyé"))))))</f>
        <v/>
      </c>
      <c r="Y463" s="75" t="str">
        <f>IF(X463="En retard",p_today-R463,IF(AND(X463="Reçu",ISNUMBER(R463)),MAX(0,N(U463)-R463),""))</f>
        <v/>
      </c>
      <c r="Z463" s="67" t="str">
        <f>IF(AND(A463="",E463=""),"",IF(A463="","N° de bon manquant",IF(N(B463)=0,"Date de commande manquante",IF(C463="","Fournisseur manquant",IF(ISNA(MATCH($C463,sup_code,0)),"Fournisseur inconnu",IF(E463="","Article manquant",IF(ISNA(MATCH($E463,art_ref,0)),"Article inconnu",IF(N(H463)&lt;=0,"Quantité invalide",IF(J463="","Prix manquant",IF(OR(N(K463)&lt;0,N(K463)&gt;=1),"Remise invalide",IF(M463="","TVA manquante",IF(ISNA(MATCH(M463,p_tva,0)),"Taux de TVA inconnu",IF(COUNTIFS(po_num,A463,po_sup,"&lt;&gt;"&amp;C463)&gt;0,"Fournisseur différent sur ce bon",IF(COUNTIFS(po_num,A463,po_date,"&lt;&gt;"&amp;B463)&gt;0,"Date différente sur ce bon",IF(COUNTIF(po_num,A463)&gt;25,"Plus de 25 lignes sur ce bon",IF(R463="","Date de livraison manquante",IF(R463&lt;B463,"Livraison avant la commande",IF(AND(N(T463)&gt;0,N(S463)=0),"Date d'envoi manquante",IF(N(T463)&gt;N(H463),"Reçu plus que commandé",IF(AND(N(T463)&gt;0,N(U463)=0),"Date de réception manquante",IF(AND(N(U463)&gt;0,U463&lt;B463),"Réception avant la commande","OK")))))))))))))))))))))</f>
        <v/>
      </c>
      <c r="AA463" s="66" t="str">
        <f>IF(AND(X463="Reçu",ISNUMBER(R463)),IF(N(U463)&lt;=R463,1,0),"")</f>
        <v/>
      </c>
      <c r="AB463" s="76" t="str">
        <f>IF(OR(X463="Envoyé",X463="Partiel",X463="En retard"),IF(ISNUMBER(R463),R463,100000)+ROW()/100000,"")</f>
        <v/>
      </c>
      <c r="AC463" s="66" t="str">
        <f>IF(A463="","",IF(COUNTIF($A$6:A463,A463)=1,1,""))</f>
        <v/>
      </c>
      <c r="AD463" s="66" t="str">
        <f>IF(AC463=1,COUNT($AC$6:AC463),"")</f>
        <v/>
      </c>
      <c r="AE463" s="66" t="str">
        <f>IFERROR(INDEX(po_num,MATCH(458,po_seq,0))&amp;"","")</f>
        <v/>
      </c>
      <c r="AF463" s="66" t="str">
        <f>IF(OR(A463="",p_po=""),"",IF(A463&amp;""=p_po,COUNTIF($A$6:A463,A463),""))</f>
        <v/>
      </c>
      <c r="AG463" s="66" t="str">
        <f>IF(OR(AB463="",A463=""),"",IF(COUNTIFS($A$6:A463,A463,$AB$6:AB463,"&gt;0")=1,1,""))</f>
        <v/>
      </c>
      <c r="AH463" s="70" t="str">
        <f>IF(AB463="","",ROUND(N(W463)*N(J463)*(1-N(K463)),2))</f>
        <v/>
      </c>
      <c r="AI463" s="70" t="str">
        <f>IF(OR(J463="",N(T463)&lt;=0,V463="Oui"),"",ROUND(N(T463)*J463*(1-N(K463)),2))</f>
        <v/>
      </c>
    </row>
    <row r="464">
      <c r="A464" s="63" t="n"/>
      <c r="B464" s="64" t="n"/>
      <c r="C464" s="65" t="n"/>
      <c r="D464" s="66" t="str">
        <f>IF(C464="","",IFERROR(INDEX(sup_name,MATCH($C464,sup_code,0))&amp;"","Fournisseur inconnu"))</f>
        <v/>
      </c>
      <c r="E464" s="63" t="n"/>
      <c r="F464" s="66" t="str">
        <f>IF(E464="","",IFERROR(INDEX(art_des,MATCH($E464,art_ref,0))&amp;"","Article inconnu"))</f>
        <v/>
      </c>
      <c r="G464" s="67" t="str">
        <f>IF(E464="","",IFERROR(INDEX(art_unit,MATCH($E464,art_ref,0))&amp;"",""))</f>
        <v/>
      </c>
      <c r="H464" s="68" t="n"/>
      <c r="I464" s="69" t="n"/>
      <c r="J464" s="70" t="str">
        <f>IF(E464="","",IF(ISNUMBER(I464),I464,IFERROR(IF(ISNUMBER(INDEX(art_price,MATCH($E464,art_ref,0))),INDEX(art_price,MATCH($E464,art_ref,0)),""),"")))</f>
        <v/>
      </c>
      <c r="K464" s="71" t="n"/>
      <c r="L464" s="72" t="n"/>
      <c r="M464" s="72" t="str">
        <f>IF(E464="","",IF(L464&lt;&gt;"",L464,IFERROR(IF(ISNUMBER(INDEX(art_tva,MATCH($E464,art_ref,0))),INDEX(art_tva,MATCH($E464,art_ref,0)),""),"")))</f>
        <v/>
      </c>
      <c r="N464" s="70" t="str">
        <f>IF(OR(E464="",J464=""),"",ROUND(N(H464)*J464*(1-N(K464)),2))</f>
        <v/>
      </c>
      <c r="O464" s="70" t="str">
        <f>IF(OR(N464="",NOT(ISNUMBER(M464))),"",ROUND(N464*M464,2))</f>
        <v/>
      </c>
      <c r="P464" s="70" t="str">
        <f>IF(N464="","",N464+N(O464))</f>
        <v/>
      </c>
      <c r="Q464" s="64" t="n"/>
      <c r="R464" s="73" t="str">
        <f>IF(N(Q464)&gt;0,Q464,IF(OR(N(B464)=0,ISNA(MATCH($C464,sup_code,0))),"",IF(ISNUMBER(INDEX(sup_delay,MATCH($C464,sup_code,0))),B464+INDEX(sup_delay,MATCH($C464,sup_code,0)),"")))</f>
        <v/>
      </c>
      <c r="S464" s="64" t="n"/>
      <c r="T464" s="68" t="n"/>
      <c r="U464" s="64" t="n"/>
      <c r="V464" s="65" t="n"/>
      <c r="W464" s="74" t="str">
        <f>IF(AND(A464="",E464=""),"",IF(V464="Oui",0,MAX(0,ROUND(N(H464)-N(T464),6))))</f>
        <v/>
      </c>
      <c r="X464" s="67" t="str">
        <f>IF(AND(A464="",E464=""),"",IF(V464="Oui","Annulé",IF(AND(N(H464)&gt;0,N(T464)&gt;=N(H464)),"Reçu",IF(N(S464)=0,"Brouillon",IF(AND(ISNUMBER(R464),R464&lt;p_today),"En retard",IF(N(T464)&gt;0,"Partiel","Envoyé"))))))</f>
        <v/>
      </c>
      <c r="Y464" s="75" t="str">
        <f>IF(X464="En retard",p_today-R464,IF(AND(X464="Reçu",ISNUMBER(R464)),MAX(0,N(U464)-R464),""))</f>
        <v/>
      </c>
      <c r="Z464" s="67" t="str">
        <f>IF(AND(A464="",E464=""),"",IF(A464="","N° de bon manquant",IF(N(B464)=0,"Date de commande manquante",IF(C464="","Fournisseur manquant",IF(ISNA(MATCH($C464,sup_code,0)),"Fournisseur inconnu",IF(E464="","Article manquant",IF(ISNA(MATCH($E464,art_ref,0)),"Article inconnu",IF(N(H464)&lt;=0,"Quantité invalide",IF(J464="","Prix manquant",IF(OR(N(K464)&lt;0,N(K464)&gt;=1),"Remise invalide",IF(M464="","TVA manquante",IF(ISNA(MATCH(M464,p_tva,0)),"Taux de TVA inconnu",IF(COUNTIFS(po_num,A464,po_sup,"&lt;&gt;"&amp;C464)&gt;0,"Fournisseur différent sur ce bon",IF(COUNTIFS(po_num,A464,po_date,"&lt;&gt;"&amp;B464)&gt;0,"Date différente sur ce bon",IF(COUNTIF(po_num,A464)&gt;25,"Plus de 25 lignes sur ce bon",IF(R464="","Date de livraison manquante",IF(R464&lt;B464,"Livraison avant la commande",IF(AND(N(T464)&gt;0,N(S464)=0),"Date d'envoi manquante",IF(N(T464)&gt;N(H464),"Reçu plus que commandé",IF(AND(N(T464)&gt;0,N(U464)=0),"Date de réception manquante",IF(AND(N(U464)&gt;0,U464&lt;B464),"Réception avant la commande","OK")))))))))))))))))))))</f>
        <v/>
      </c>
      <c r="AA464" s="66" t="str">
        <f>IF(AND(X464="Reçu",ISNUMBER(R464)),IF(N(U464)&lt;=R464,1,0),"")</f>
        <v/>
      </c>
      <c r="AB464" s="76" t="str">
        <f>IF(OR(X464="Envoyé",X464="Partiel",X464="En retard"),IF(ISNUMBER(R464),R464,100000)+ROW()/100000,"")</f>
        <v/>
      </c>
      <c r="AC464" s="66" t="str">
        <f>IF(A464="","",IF(COUNTIF($A$6:A464,A464)=1,1,""))</f>
        <v/>
      </c>
      <c r="AD464" s="66" t="str">
        <f>IF(AC464=1,COUNT($AC$6:AC464),"")</f>
        <v/>
      </c>
      <c r="AE464" s="66" t="str">
        <f>IFERROR(INDEX(po_num,MATCH(459,po_seq,0))&amp;"","")</f>
        <v/>
      </c>
      <c r="AF464" s="66" t="str">
        <f>IF(OR(A464="",p_po=""),"",IF(A464&amp;""=p_po,COUNTIF($A$6:A464,A464),""))</f>
        <v/>
      </c>
      <c r="AG464" s="66" t="str">
        <f>IF(OR(AB464="",A464=""),"",IF(COUNTIFS($A$6:A464,A464,$AB$6:AB464,"&gt;0")=1,1,""))</f>
        <v/>
      </c>
      <c r="AH464" s="70" t="str">
        <f>IF(AB464="","",ROUND(N(W464)*N(J464)*(1-N(K464)),2))</f>
        <v/>
      </c>
      <c r="AI464" s="70" t="str">
        <f>IF(OR(J464="",N(T464)&lt;=0,V464="Oui"),"",ROUND(N(T464)*J464*(1-N(K464)),2))</f>
        <v/>
      </c>
    </row>
    <row r="465">
      <c r="A465" s="63" t="n"/>
      <c r="B465" s="64" t="n"/>
      <c r="C465" s="65" t="n"/>
      <c r="D465" s="66" t="str">
        <f>IF(C465="","",IFERROR(INDEX(sup_name,MATCH($C465,sup_code,0))&amp;"","Fournisseur inconnu"))</f>
        <v/>
      </c>
      <c r="E465" s="63" t="n"/>
      <c r="F465" s="66" t="str">
        <f>IF(E465="","",IFERROR(INDEX(art_des,MATCH($E465,art_ref,0))&amp;"","Article inconnu"))</f>
        <v/>
      </c>
      <c r="G465" s="67" t="str">
        <f>IF(E465="","",IFERROR(INDEX(art_unit,MATCH($E465,art_ref,0))&amp;"",""))</f>
        <v/>
      </c>
      <c r="H465" s="68" t="n"/>
      <c r="I465" s="69" t="n"/>
      <c r="J465" s="70" t="str">
        <f>IF(E465="","",IF(ISNUMBER(I465),I465,IFERROR(IF(ISNUMBER(INDEX(art_price,MATCH($E465,art_ref,0))),INDEX(art_price,MATCH($E465,art_ref,0)),""),"")))</f>
        <v/>
      </c>
      <c r="K465" s="71" t="n"/>
      <c r="L465" s="72" t="n"/>
      <c r="M465" s="72" t="str">
        <f>IF(E465="","",IF(L465&lt;&gt;"",L465,IFERROR(IF(ISNUMBER(INDEX(art_tva,MATCH($E465,art_ref,0))),INDEX(art_tva,MATCH($E465,art_ref,0)),""),"")))</f>
        <v/>
      </c>
      <c r="N465" s="70" t="str">
        <f>IF(OR(E465="",J465=""),"",ROUND(N(H465)*J465*(1-N(K465)),2))</f>
        <v/>
      </c>
      <c r="O465" s="70" t="str">
        <f>IF(OR(N465="",NOT(ISNUMBER(M465))),"",ROUND(N465*M465,2))</f>
        <v/>
      </c>
      <c r="P465" s="70" t="str">
        <f>IF(N465="","",N465+N(O465))</f>
        <v/>
      </c>
      <c r="Q465" s="64" t="n"/>
      <c r="R465" s="73" t="str">
        <f>IF(N(Q465)&gt;0,Q465,IF(OR(N(B465)=0,ISNA(MATCH($C465,sup_code,0))),"",IF(ISNUMBER(INDEX(sup_delay,MATCH($C465,sup_code,0))),B465+INDEX(sup_delay,MATCH($C465,sup_code,0)),"")))</f>
        <v/>
      </c>
      <c r="S465" s="64" t="n"/>
      <c r="T465" s="68" t="n"/>
      <c r="U465" s="64" t="n"/>
      <c r="V465" s="65" t="n"/>
      <c r="W465" s="74" t="str">
        <f>IF(AND(A465="",E465=""),"",IF(V465="Oui",0,MAX(0,ROUND(N(H465)-N(T465),6))))</f>
        <v/>
      </c>
      <c r="X465" s="67" t="str">
        <f>IF(AND(A465="",E465=""),"",IF(V465="Oui","Annulé",IF(AND(N(H465)&gt;0,N(T465)&gt;=N(H465)),"Reçu",IF(N(S465)=0,"Brouillon",IF(AND(ISNUMBER(R465),R465&lt;p_today),"En retard",IF(N(T465)&gt;0,"Partiel","Envoyé"))))))</f>
        <v/>
      </c>
      <c r="Y465" s="75" t="str">
        <f>IF(X465="En retard",p_today-R465,IF(AND(X465="Reçu",ISNUMBER(R465)),MAX(0,N(U465)-R465),""))</f>
        <v/>
      </c>
      <c r="Z465" s="67" t="str">
        <f>IF(AND(A465="",E465=""),"",IF(A465="","N° de bon manquant",IF(N(B465)=0,"Date de commande manquante",IF(C465="","Fournisseur manquant",IF(ISNA(MATCH($C465,sup_code,0)),"Fournisseur inconnu",IF(E465="","Article manquant",IF(ISNA(MATCH($E465,art_ref,0)),"Article inconnu",IF(N(H465)&lt;=0,"Quantité invalide",IF(J465="","Prix manquant",IF(OR(N(K465)&lt;0,N(K465)&gt;=1),"Remise invalide",IF(M465="","TVA manquante",IF(ISNA(MATCH(M465,p_tva,0)),"Taux de TVA inconnu",IF(COUNTIFS(po_num,A465,po_sup,"&lt;&gt;"&amp;C465)&gt;0,"Fournisseur différent sur ce bon",IF(COUNTIFS(po_num,A465,po_date,"&lt;&gt;"&amp;B465)&gt;0,"Date différente sur ce bon",IF(COUNTIF(po_num,A465)&gt;25,"Plus de 25 lignes sur ce bon",IF(R465="","Date de livraison manquante",IF(R465&lt;B465,"Livraison avant la commande",IF(AND(N(T465)&gt;0,N(S465)=0),"Date d'envoi manquante",IF(N(T465)&gt;N(H465),"Reçu plus que commandé",IF(AND(N(T465)&gt;0,N(U465)=0),"Date de réception manquante",IF(AND(N(U465)&gt;0,U465&lt;B465),"Réception avant la commande","OK")))))))))))))))))))))</f>
        <v/>
      </c>
      <c r="AA465" s="66" t="str">
        <f>IF(AND(X465="Reçu",ISNUMBER(R465)),IF(N(U465)&lt;=R465,1,0),"")</f>
        <v/>
      </c>
      <c r="AB465" s="76" t="str">
        <f>IF(OR(X465="Envoyé",X465="Partiel",X465="En retard"),IF(ISNUMBER(R465),R465,100000)+ROW()/100000,"")</f>
        <v/>
      </c>
      <c r="AC465" s="66" t="str">
        <f>IF(A465="","",IF(COUNTIF($A$6:A465,A465)=1,1,""))</f>
        <v/>
      </c>
      <c r="AD465" s="66" t="str">
        <f>IF(AC465=1,COUNT($AC$6:AC465),"")</f>
        <v/>
      </c>
      <c r="AE465" s="66" t="str">
        <f>IFERROR(INDEX(po_num,MATCH(460,po_seq,0))&amp;"","")</f>
        <v/>
      </c>
      <c r="AF465" s="66" t="str">
        <f>IF(OR(A465="",p_po=""),"",IF(A465&amp;""=p_po,COUNTIF($A$6:A465,A465),""))</f>
        <v/>
      </c>
      <c r="AG465" s="66" t="str">
        <f>IF(OR(AB465="",A465=""),"",IF(COUNTIFS($A$6:A465,A465,$AB$6:AB465,"&gt;0")=1,1,""))</f>
        <v/>
      </c>
      <c r="AH465" s="70" t="str">
        <f>IF(AB465="","",ROUND(N(W465)*N(J465)*(1-N(K465)),2))</f>
        <v/>
      </c>
      <c r="AI465" s="70" t="str">
        <f>IF(OR(J465="",N(T465)&lt;=0,V465="Oui"),"",ROUND(N(T465)*J465*(1-N(K465)),2))</f>
        <v/>
      </c>
    </row>
    <row r="466">
      <c r="A466" s="63" t="n"/>
      <c r="B466" s="64" t="n"/>
      <c r="C466" s="65" t="n"/>
      <c r="D466" s="66" t="str">
        <f>IF(C466="","",IFERROR(INDEX(sup_name,MATCH($C466,sup_code,0))&amp;"","Fournisseur inconnu"))</f>
        <v/>
      </c>
      <c r="E466" s="63" t="n"/>
      <c r="F466" s="66" t="str">
        <f>IF(E466="","",IFERROR(INDEX(art_des,MATCH($E466,art_ref,0))&amp;"","Article inconnu"))</f>
        <v/>
      </c>
      <c r="G466" s="67" t="str">
        <f>IF(E466="","",IFERROR(INDEX(art_unit,MATCH($E466,art_ref,0))&amp;"",""))</f>
        <v/>
      </c>
      <c r="H466" s="68" t="n"/>
      <c r="I466" s="69" t="n"/>
      <c r="J466" s="70" t="str">
        <f>IF(E466="","",IF(ISNUMBER(I466),I466,IFERROR(IF(ISNUMBER(INDEX(art_price,MATCH($E466,art_ref,0))),INDEX(art_price,MATCH($E466,art_ref,0)),""),"")))</f>
        <v/>
      </c>
      <c r="K466" s="71" t="n"/>
      <c r="L466" s="72" t="n"/>
      <c r="M466" s="72" t="str">
        <f>IF(E466="","",IF(L466&lt;&gt;"",L466,IFERROR(IF(ISNUMBER(INDEX(art_tva,MATCH($E466,art_ref,0))),INDEX(art_tva,MATCH($E466,art_ref,0)),""),"")))</f>
        <v/>
      </c>
      <c r="N466" s="70" t="str">
        <f>IF(OR(E466="",J466=""),"",ROUND(N(H466)*J466*(1-N(K466)),2))</f>
        <v/>
      </c>
      <c r="O466" s="70" t="str">
        <f>IF(OR(N466="",NOT(ISNUMBER(M466))),"",ROUND(N466*M466,2))</f>
        <v/>
      </c>
      <c r="P466" s="70" t="str">
        <f>IF(N466="","",N466+N(O466))</f>
        <v/>
      </c>
      <c r="Q466" s="64" t="n"/>
      <c r="R466" s="73" t="str">
        <f>IF(N(Q466)&gt;0,Q466,IF(OR(N(B466)=0,ISNA(MATCH($C466,sup_code,0))),"",IF(ISNUMBER(INDEX(sup_delay,MATCH($C466,sup_code,0))),B466+INDEX(sup_delay,MATCH($C466,sup_code,0)),"")))</f>
        <v/>
      </c>
      <c r="S466" s="64" t="n"/>
      <c r="T466" s="68" t="n"/>
      <c r="U466" s="64" t="n"/>
      <c r="V466" s="65" t="n"/>
      <c r="W466" s="74" t="str">
        <f>IF(AND(A466="",E466=""),"",IF(V466="Oui",0,MAX(0,ROUND(N(H466)-N(T466),6))))</f>
        <v/>
      </c>
      <c r="X466" s="67" t="str">
        <f>IF(AND(A466="",E466=""),"",IF(V466="Oui","Annulé",IF(AND(N(H466)&gt;0,N(T466)&gt;=N(H466)),"Reçu",IF(N(S466)=0,"Brouillon",IF(AND(ISNUMBER(R466),R466&lt;p_today),"En retard",IF(N(T466)&gt;0,"Partiel","Envoyé"))))))</f>
        <v/>
      </c>
      <c r="Y466" s="75" t="str">
        <f>IF(X466="En retard",p_today-R466,IF(AND(X466="Reçu",ISNUMBER(R466)),MAX(0,N(U466)-R466),""))</f>
        <v/>
      </c>
      <c r="Z466" s="67" t="str">
        <f>IF(AND(A466="",E466=""),"",IF(A466="","N° de bon manquant",IF(N(B466)=0,"Date de commande manquante",IF(C466="","Fournisseur manquant",IF(ISNA(MATCH($C466,sup_code,0)),"Fournisseur inconnu",IF(E466="","Article manquant",IF(ISNA(MATCH($E466,art_ref,0)),"Article inconnu",IF(N(H466)&lt;=0,"Quantité invalide",IF(J466="","Prix manquant",IF(OR(N(K466)&lt;0,N(K466)&gt;=1),"Remise invalide",IF(M466="","TVA manquante",IF(ISNA(MATCH(M466,p_tva,0)),"Taux de TVA inconnu",IF(COUNTIFS(po_num,A466,po_sup,"&lt;&gt;"&amp;C466)&gt;0,"Fournisseur différent sur ce bon",IF(COUNTIFS(po_num,A466,po_date,"&lt;&gt;"&amp;B466)&gt;0,"Date différente sur ce bon",IF(COUNTIF(po_num,A466)&gt;25,"Plus de 25 lignes sur ce bon",IF(R466="","Date de livraison manquante",IF(R466&lt;B466,"Livraison avant la commande",IF(AND(N(T466)&gt;0,N(S466)=0),"Date d'envoi manquante",IF(N(T466)&gt;N(H466),"Reçu plus que commandé",IF(AND(N(T466)&gt;0,N(U466)=0),"Date de réception manquante",IF(AND(N(U466)&gt;0,U466&lt;B466),"Réception avant la commande","OK")))))))))))))))))))))</f>
        <v/>
      </c>
      <c r="AA466" s="66" t="str">
        <f>IF(AND(X466="Reçu",ISNUMBER(R466)),IF(N(U466)&lt;=R466,1,0),"")</f>
        <v/>
      </c>
      <c r="AB466" s="76" t="str">
        <f>IF(OR(X466="Envoyé",X466="Partiel",X466="En retard"),IF(ISNUMBER(R466),R466,100000)+ROW()/100000,"")</f>
        <v/>
      </c>
      <c r="AC466" s="66" t="str">
        <f>IF(A466="","",IF(COUNTIF($A$6:A466,A466)=1,1,""))</f>
        <v/>
      </c>
      <c r="AD466" s="66" t="str">
        <f>IF(AC466=1,COUNT($AC$6:AC466),"")</f>
        <v/>
      </c>
      <c r="AE466" s="66" t="str">
        <f>IFERROR(INDEX(po_num,MATCH(461,po_seq,0))&amp;"","")</f>
        <v/>
      </c>
      <c r="AF466" s="66" t="str">
        <f>IF(OR(A466="",p_po=""),"",IF(A466&amp;""=p_po,COUNTIF($A$6:A466,A466),""))</f>
        <v/>
      </c>
      <c r="AG466" s="66" t="str">
        <f>IF(OR(AB466="",A466=""),"",IF(COUNTIFS($A$6:A466,A466,$AB$6:AB466,"&gt;0")=1,1,""))</f>
        <v/>
      </c>
      <c r="AH466" s="70" t="str">
        <f>IF(AB466="","",ROUND(N(W466)*N(J466)*(1-N(K466)),2))</f>
        <v/>
      </c>
      <c r="AI466" s="70" t="str">
        <f>IF(OR(J466="",N(T466)&lt;=0,V466="Oui"),"",ROUND(N(T466)*J466*(1-N(K466)),2))</f>
        <v/>
      </c>
    </row>
    <row r="467">
      <c r="A467" s="63" t="n"/>
      <c r="B467" s="64" t="n"/>
      <c r="C467" s="65" t="n"/>
      <c r="D467" s="66" t="str">
        <f>IF(C467="","",IFERROR(INDEX(sup_name,MATCH($C467,sup_code,0))&amp;"","Fournisseur inconnu"))</f>
        <v/>
      </c>
      <c r="E467" s="63" t="n"/>
      <c r="F467" s="66" t="str">
        <f>IF(E467="","",IFERROR(INDEX(art_des,MATCH($E467,art_ref,0))&amp;"","Article inconnu"))</f>
        <v/>
      </c>
      <c r="G467" s="67" t="str">
        <f>IF(E467="","",IFERROR(INDEX(art_unit,MATCH($E467,art_ref,0))&amp;"",""))</f>
        <v/>
      </c>
      <c r="H467" s="68" t="n"/>
      <c r="I467" s="69" t="n"/>
      <c r="J467" s="70" t="str">
        <f>IF(E467="","",IF(ISNUMBER(I467),I467,IFERROR(IF(ISNUMBER(INDEX(art_price,MATCH($E467,art_ref,0))),INDEX(art_price,MATCH($E467,art_ref,0)),""),"")))</f>
        <v/>
      </c>
      <c r="K467" s="71" t="n"/>
      <c r="L467" s="72" t="n"/>
      <c r="M467" s="72" t="str">
        <f>IF(E467="","",IF(L467&lt;&gt;"",L467,IFERROR(IF(ISNUMBER(INDEX(art_tva,MATCH($E467,art_ref,0))),INDEX(art_tva,MATCH($E467,art_ref,0)),""),"")))</f>
        <v/>
      </c>
      <c r="N467" s="70" t="str">
        <f>IF(OR(E467="",J467=""),"",ROUND(N(H467)*J467*(1-N(K467)),2))</f>
        <v/>
      </c>
      <c r="O467" s="70" t="str">
        <f>IF(OR(N467="",NOT(ISNUMBER(M467))),"",ROUND(N467*M467,2))</f>
        <v/>
      </c>
      <c r="P467" s="70" t="str">
        <f>IF(N467="","",N467+N(O467))</f>
        <v/>
      </c>
      <c r="Q467" s="64" t="n"/>
      <c r="R467" s="73" t="str">
        <f>IF(N(Q467)&gt;0,Q467,IF(OR(N(B467)=0,ISNA(MATCH($C467,sup_code,0))),"",IF(ISNUMBER(INDEX(sup_delay,MATCH($C467,sup_code,0))),B467+INDEX(sup_delay,MATCH($C467,sup_code,0)),"")))</f>
        <v/>
      </c>
      <c r="S467" s="64" t="n"/>
      <c r="T467" s="68" t="n"/>
      <c r="U467" s="64" t="n"/>
      <c r="V467" s="65" t="n"/>
      <c r="W467" s="74" t="str">
        <f>IF(AND(A467="",E467=""),"",IF(V467="Oui",0,MAX(0,ROUND(N(H467)-N(T467),6))))</f>
        <v/>
      </c>
      <c r="X467" s="67" t="str">
        <f>IF(AND(A467="",E467=""),"",IF(V467="Oui","Annulé",IF(AND(N(H467)&gt;0,N(T467)&gt;=N(H467)),"Reçu",IF(N(S467)=0,"Brouillon",IF(AND(ISNUMBER(R467),R467&lt;p_today),"En retard",IF(N(T467)&gt;0,"Partiel","Envoyé"))))))</f>
        <v/>
      </c>
      <c r="Y467" s="75" t="str">
        <f>IF(X467="En retard",p_today-R467,IF(AND(X467="Reçu",ISNUMBER(R467)),MAX(0,N(U467)-R467),""))</f>
        <v/>
      </c>
      <c r="Z467" s="67" t="str">
        <f>IF(AND(A467="",E467=""),"",IF(A467="","N° de bon manquant",IF(N(B467)=0,"Date de commande manquante",IF(C467="","Fournisseur manquant",IF(ISNA(MATCH($C467,sup_code,0)),"Fournisseur inconnu",IF(E467="","Article manquant",IF(ISNA(MATCH($E467,art_ref,0)),"Article inconnu",IF(N(H467)&lt;=0,"Quantité invalide",IF(J467="","Prix manquant",IF(OR(N(K467)&lt;0,N(K467)&gt;=1),"Remise invalide",IF(M467="","TVA manquante",IF(ISNA(MATCH(M467,p_tva,0)),"Taux de TVA inconnu",IF(COUNTIFS(po_num,A467,po_sup,"&lt;&gt;"&amp;C467)&gt;0,"Fournisseur différent sur ce bon",IF(COUNTIFS(po_num,A467,po_date,"&lt;&gt;"&amp;B467)&gt;0,"Date différente sur ce bon",IF(COUNTIF(po_num,A467)&gt;25,"Plus de 25 lignes sur ce bon",IF(R467="","Date de livraison manquante",IF(R467&lt;B467,"Livraison avant la commande",IF(AND(N(T467)&gt;0,N(S467)=0),"Date d'envoi manquante",IF(N(T467)&gt;N(H467),"Reçu plus que commandé",IF(AND(N(T467)&gt;0,N(U467)=0),"Date de réception manquante",IF(AND(N(U467)&gt;0,U467&lt;B467),"Réception avant la commande","OK")))))))))))))))))))))</f>
        <v/>
      </c>
      <c r="AA467" s="66" t="str">
        <f>IF(AND(X467="Reçu",ISNUMBER(R467)),IF(N(U467)&lt;=R467,1,0),"")</f>
        <v/>
      </c>
      <c r="AB467" s="76" t="str">
        <f>IF(OR(X467="Envoyé",X467="Partiel",X467="En retard"),IF(ISNUMBER(R467),R467,100000)+ROW()/100000,"")</f>
        <v/>
      </c>
      <c r="AC467" s="66" t="str">
        <f>IF(A467="","",IF(COUNTIF($A$6:A467,A467)=1,1,""))</f>
        <v/>
      </c>
      <c r="AD467" s="66" t="str">
        <f>IF(AC467=1,COUNT($AC$6:AC467),"")</f>
        <v/>
      </c>
      <c r="AE467" s="66" t="str">
        <f>IFERROR(INDEX(po_num,MATCH(462,po_seq,0))&amp;"","")</f>
        <v/>
      </c>
      <c r="AF467" s="66" t="str">
        <f>IF(OR(A467="",p_po=""),"",IF(A467&amp;""=p_po,COUNTIF($A$6:A467,A467),""))</f>
        <v/>
      </c>
      <c r="AG467" s="66" t="str">
        <f>IF(OR(AB467="",A467=""),"",IF(COUNTIFS($A$6:A467,A467,$AB$6:AB467,"&gt;0")=1,1,""))</f>
        <v/>
      </c>
      <c r="AH467" s="70" t="str">
        <f>IF(AB467="","",ROUND(N(W467)*N(J467)*(1-N(K467)),2))</f>
        <v/>
      </c>
      <c r="AI467" s="70" t="str">
        <f>IF(OR(J467="",N(T467)&lt;=0,V467="Oui"),"",ROUND(N(T467)*J467*(1-N(K467)),2))</f>
        <v/>
      </c>
    </row>
    <row r="468">
      <c r="A468" s="63" t="n"/>
      <c r="B468" s="64" t="n"/>
      <c r="C468" s="65" t="n"/>
      <c r="D468" s="66" t="str">
        <f>IF(C468="","",IFERROR(INDEX(sup_name,MATCH($C468,sup_code,0))&amp;"","Fournisseur inconnu"))</f>
        <v/>
      </c>
      <c r="E468" s="63" t="n"/>
      <c r="F468" s="66" t="str">
        <f>IF(E468="","",IFERROR(INDEX(art_des,MATCH($E468,art_ref,0))&amp;"","Article inconnu"))</f>
        <v/>
      </c>
      <c r="G468" s="67" t="str">
        <f>IF(E468="","",IFERROR(INDEX(art_unit,MATCH($E468,art_ref,0))&amp;"",""))</f>
        <v/>
      </c>
      <c r="H468" s="68" t="n"/>
      <c r="I468" s="69" t="n"/>
      <c r="J468" s="70" t="str">
        <f>IF(E468="","",IF(ISNUMBER(I468),I468,IFERROR(IF(ISNUMBER(INDEX(art_price,MATCH($E468,art_ref,0))),INDEX(art_price,MATCH($E468,art_ref,0)),""),"")))</f>
        <v/>
      </c>
      <c r="K468" s="71" t="n"/>
      <c r="L468" s="72" t="n"/>
      <c r="M468" s="72" t="str">
        <f>IF(E468="","",IF(L468&lt;&gt;"",L468,IFERROR(IF(ISNUMBER(INDEX(art_tva,MATCH($E468,art_ref,0))),INDEX(art_tva,MATCH($E468,art_ref,0)),""),"")))</f>
        <v/>
      </c>
      <c r="N468" s="70" t="str">
        <f>IF(OR(E468="",J468=""),"",ROUND(N(H468)*J468*(1-N(K468)),2))</f>
        <v/>
      </c>
      <c r="O468" s="70" t="str">
        <f>IF(OR(N468="",NOT(ISNUMBER(M468))),"",ROUND(N468*M468,2))</f>
        <v/>
      </c>
      <c r="P468" s="70" t="str">
        <f>IF(N468="","",N468+N(O468))</f>
        <v/>
      </c>
      <c r="Q468" s="64" t="n"/>
      <c r="R468" s="73" t="str">
        <f>IF(N(Q468)&gt;0,Q468,IF(OR(N(B468)=0,ISNA(MATCH($C468,sup_code,0))),"",IF(ISNUMBER(INDEX(sup_delay,MATCH($C468,sup_code,0))),B468+INDEX(sup_delay,MATCH($C468,sup_code,0)),"")))</f>
        <v/>
      </c>
      <c r="S468" s="64" t="n"/>
      <c r="T468" s="68" t="n"/>
      <c r="U468" s="64" t="n"/>
      <c r="V468" s="65" t="n"/>
      <c r="W468" s="74" t="str">
        <f>IF(AND(A468="",E468=""),"",IF(V468="Oui",0,MAX(0,ROUND(N(H468)-N(T468),6))))</f>
        <v/>
      </c>
      <c r="X468" s="67" t="str">
        <f>IF(AND(A468="",E468=""),"",IF(V468="Oui","Annulé",IF(AND(N(H468)&gt;0,N(T468)&gt;=N(H468)),"Reçu",IF(N(S468)=0,"Brouillon",IF(AND(ISNUMBER(R468),R468&lt;p_today),"En retard",IF(N(T468)&gt;0,"Partiel","Envoyé"))))))</f>
        <v/>
      </c>
      <c r="Y468" s="75" t="str">
        <f>IF(X468="En retard",p_today-R468,IF(AND(X468="Reçu",ISNUMBER(R468)),MAX(0,N(U468)-R468),""))</f>
        <v/>
      </c>
      <c r="Z468" s="67" t="str">
        <f>IF(AND(A468="",E468=""),"",IF(A468="","N° de bon manquant",IF(N(B468)=0,"Date de commande manquante",IF(C468="","Fournisseur manquant",IF(ISNA(MATCH($C468,sup_code,0)),"Fournisseur inconnu",IF(E468="","Article manquant",IF(ISNA(MATCH($E468,art_ref,0)),"Article inconnu",IF(N(H468)&lt;=0,"Quantité invalide",IF(J468="","Prix manquant",IF(OR(N(K468)&lt;0,N(K468)&gt;=1),"Remise invalide",IF(M468="","TVA manquante",IF(ISNA(MATCH(M468,p_tva,0)),"Taux de TVA inconnu",IF(COUNTIFS(po_num,A468,po_sup,"&lt;&gt;"&amp;C468)&gt;0,"Fournisseur différent sur ce bon",IF(COUNTIFS(po_num,A468,po_date,"&lt;&gt;"&amp;B468)&gt;0,"Date différente sur ce bon",IF(COUNTIF(po_num,A468)&gt;25,"Plus de 25 lignes sur ce bon",IF(R468="","Date de livraison manquante",IF(R468&lt;B468,"Livraison avant la commande",IF(AND(N(T468)&gt;0,N(S468)=0),"Date d'envoi manquante",IF(N(T468)&gt;N(H468),"Reçu plus que commandé",IF(AND(N(T468)&gt;0,N(U468)=0),"Date de réception manquante",IF(AND(N(U468)&gt;0,U468&lt;B468),"Réception avant la commande","OK")))))))))))))))))))))</f>
        <v/>
      </c>
      <c r="AA468" s="66" t="str">
        <f>IF(AND(X468="Reçu",ISNUMBER(R468)),IF(N(U468)&lt;=R468,1,0),"")</f>
        <v/>
      </c>
      <c r="AB468" s="76" t="str">
        <f>IF(OR(X468="Envoyé",X468="Partiel",X468="En retard"),IF(ISNUMBER(R468),R468,100000)+ROW()/100000,"")</f>
        <v/>
      </c>
      <c r="AC468" s="66" t="str">
        <f>IF(A468="","",IF(COUNTIF($A$6:A468,A468)=1,1,""))</f>
        <v/>
      </c>
      <c r="AD468" s="66" t="str">
        <f>IF(AC468=1,COUNT($AC$6:AC468),"")</f>
        <v/>
      </c>
      <c r="AE468" s="66" t="str">
        <f>IFERROR(INDEX(po_num,MATCH(463,po_seq,0))&amp;"","")</f>
        <v/>
      </c>
      <c r="AF468" s="66" t="str">
        <f>IF(OR(A468="",p_po=""),"",IF(A468&amp;""=p_po,COUNTIF($A$6:A468,A468),""))</f>
        <v/>
      </c>
      <c r="AG468" s="66" t="str">
        <f>IF(OR(AB468="",A468=""),"",IF(COUNTIFS($A$6:A468,A468,$AB$6:AB468,"&gt;0")=1,1,""))</f>
        <v/>
      </c>
      <c r="AH468" s="70" t="str">
        <f>IF(AB468="","",ROUND(N(W468)*N(J468)*(1-N(K468)),2))</f>
        <v/>
      </c>
      <c r="AI468" s="70" t="str">
        <f>IF(OR(J468="",N(T468)&lt;=0,V468="Oui"),"",ROUND(N(T468)*J468*(1-N(K468)),2))</f>
        <v/>
      </c>
    </row>
    <row r="469">
      <c r="A469" s="63" t="n"/>
      <c r="B469" s="64" t="n"/>
      <c r="C469" s="65" t="n"/>
      <c r="D469" s="66" t="str">
        <f>IF(C469="","",IFERROR(INDEX(sup_name,MATCH($C469,sup_code,0))&amp;"","Fournisseur inconnu"))</f>
        <v/>
      </c>
      <c r="E469" s="63" t="n"/>
      <c r="F469" s="66" t="str">
        <f>IF(E469="","",IFERROR(INDEX(art_des,MATCH($E469,art_ref,0))&amp;"","Article inconnu"))</f>
        <v/>
      </c>
      <c r="G469" s="67" t="str">
        <f>IF(E469="","",IFERROR(INDEX(art_unit,MATCH($E469,art_ref,0))&amp;"",""))</f>
        <v/>
      </c>
      <c r="H469" s="68" t="n"/>
      <c r="I469" s="69" t="n"/>
      <c r="J469" s="70" t="str">
        <f>IF(E469="","",IF(ISNUMBER(I469),I469,IFERROR(IF(ISNUMBER(INDEX(art_price,MATCH($E469,art_ref,0))),INDEX(art_price,MATCH($E469,art_ref,0)),""),"")))</f>
        <v/>
      </c>
      <c r="K469" s="71" t="n"/>
      <c r="L469" s="72" t="n"/>
      <c r="M469" s="72" t="str">
        <f>IF(E469="","",IF(L469&lt;&gt;"",L469,IFERROR(IF(ISNUMBER(INDEX(art_tva,MATCH($E469,art_ref,0))),INDEX(art_tva,MATCH($E469,art_ref,0)),""),"")))</f>
        <v/>
      </c>
      <c r="N469" s="70" t="str">
        <f>IF(OR(E469="",J469=""),"",ROUND(N(H469)*J469*(1-N(K469)),2))</f>
        <v/>
      </c>
      <c r="O469" s="70" t="str">
        <f>IF(OR(N469="",NOT(ISNUMBER(M469))),"",ROUND(N469*M469,2))</f>
        <v/>
      </c>
      <c r="P469" s="70" t="str">
        <f>IF(N469="","",N469+N(O469))</f>
        <v/>
      </c>
      <c r="Q469" s="64" t="n"/>
      <c r="R469" s="73" t="str">
        <f>IF(N(Q469)&gt;0,Q469,IF(OR(N(B469)=0,ISNA(MATCH($C469,sup_code,0))),"",IF(ISNUMBER(INDEX(sup_delay,MATCH($C469,sup_code,0))),B469+INDEX(sup_delay,MATCH($C469,sup_code,0)),"")))</f>
        <v/>
      </c>
      <c r="S469" s="64" t="n"/>
      <c r="T469" s="68" t="n"/>
      <c r="U469" s="64" t="n"/>
      <c r="V469" s="65" t="n"/>
      <c r="W469" s="74" t="str">
        <f>IF(AND(A469="",E469=""),"",IF(V469="Oui",0,MAX(0,ROUND(N(H469)-N(T469),6))))</f>
        <v/>
      </c>
      <c r="X469" s="67" t="str">
        <f>IF(AND(A469="",E469=""),"",IF(V469="Oui","Annulé",IF(AND(N(H469)&gt;0,N(T469)&gt;=N(H469)),"Reçu",IF(N(S469)=0,"Brouillon",IF(AND(ISNUMBER(R469),R469&lt;p_today),"En retard",IF(N(T469)&gt;0,"Partiel","Envoyé"))))))</f>
        <v/>
      </c>
      <c r="Y469" s="75" t="str">
        <f>IF(X469="En retard",p_today-R469,IF(AND(X469="Reçu",ISNUMBER(R469)),MAX(0,N(U469)-R469),""))</f>
        <v/>
      </c>
      <c r="Z469" s="67" t="str">
        <f>IF(AND(A469="",E469=""),"",IF(A469="","N° de bon manquant",IF(N(B469)=0,"Date de commande manquante",IF(C469="","Fournisseur manquant",IF(ISNA(MATCH($C469,sup_code,0)),"Fournisseur inconnu",IF(E469="","Article manquant",IF(ISNA(MATCH($E469,art_ref,0)),"Article inconnu",IF(N(H469)&lt;=0,"Quantité invalide",IF(J469="","Prix manquant",IF(OR(N(K469)&lt;0,N(K469)&gt;=1),"Remise invalide",IF(M469="","TVA manquante",IF(ISNA(MATCH(M469,p_tva,0)),"Taux de TVA inconnu",IF(COUNTIFS(po_num,A469,po_sup,"&lt;&gt;"&amp;C469)&gt;0,"Fournisseur différent sur ce bon",IF(COUNTIFS(po_num,A469,po_date,"&lt;&gt;"&amp;B469)&gt;0,"Date différente sur ce bon",IF(COUNTIF(po_num,A469)&gt;25,"Plus de 25 lignes sur ce bon",IF(R469="","Date de livraison manquante",IF(R469&lt;B469,"Livraison avant la commande",IF(AND(N(T469)&gt;0,N(S469)=0),"Date d'envoi manquante",IF(N(T469)&gt;N(H469),"Reçu plus que commandé",IF(AND(N(T469)&gt;0,N(U469)=0),"Date de réception manquante",IF(AND(N(U469)&gt;0,U469&lt;B469),"Réception avant la commande","OK")))))))))))))))))))))</f>
        <v/>
      </c>
      <c r="AA469" s="66" t="str">
        <f>IF(AND(X469="Reçu",ISNUMBER(R469)),IF(N(U469)&lt;=R469,1,0),"")</f>
        <v/>
      </c>
      <c r="AB469" s="76" t="str">
        <f>IF(OR(X469="Envoyé",X469="Partiel",X469="En retard"),IF(ISNUMBER(R469),R469,100000)+ROW()/100000,"")</f>
        <v/>
      </c>
      <c r="AC469" s="66" t="str">
        <f>IF(A469="","",IF(COUNTIF($A$6:A469,A469)=1,1,""))</f>
        <v/>
      </c>
      <c r="AD469" s="66" t="str">
        <f>IF(AC469=1,COUNT($AC$6:AC469),"")</f>
        <v/>
      </c>
      <c r="AE469" s="66" t="str">
        <f>IFERROR(INDEX(po_num,MATCH(464,po_seq,0))&amp;"","")</f>
        <v/>
      </c>
      <c r="AF469" s="66" t="str">
        <f>IF(OR(A469="",p_po=""),"",IF(A469&amp;""=p_po,COUNTIF($A$6:A469,A469),""))</f>
        <v/>
      </c>
      <c r="AG469" s="66" t="str">
        <f>IF(OR(AB469="",A469=""),"",IF(COUNTIFS($A$6:A469,A469,$AB$6:AB469,"&gt;0")=1,1,""))</f>
        <v/>
      </c>
      <c r="AH469" s="70" t="str">
        <f>IF(AB469="","",ROUND(N(W469)*N(J469)*(1-N(K469)),2))</f>
        <v/>
      </c>
      <c r="AI469" s="70" t="str">
        <f>IF(OR(J469="",N(T469)&lt;=0,V469="Oui"),"",ROUND(N(T469)*J469*(1-N(K469)),2))</f>
        <v/>
      </c>
    </row>
    <row r="470">
      <c r="A470" s="63" t="n"/>
      <c r="B470" s="64" t="n"/>
      <c r="C470" s="65" t="n"/>
      <c r="D470" s="66" t="str">
        <f>IF(C470="","",IFERROR(INDEX(sup_name,MATCH($C470,sup_code,0))&amp;"","Fournisseur inconnu"))</f>
        <v/>
      </c>
      <c r="E470" s="63" t="n"/>
      <c r="F470" s="66" t="str">
        <f>IF(E470="","",IFERROR(INDEX(art_des,MATCH($E470,art_ref,0))&amp;"","Article inconnu"))</f>
        <v/>
      </c>
      <c r="G470" s="67" t="str">
        <f>IF(E470="","",IFERROR(INDEX(art_unit,MATCH($E470,art_ref,0))&amp;"",""))</f>
        <v/>
      </c>
      <c r="H470" s="68" t="n"/>
      <c r="I470" s="69" t="n"/>
      <c r="J470" s="70" t="str">
        <f>IF(E470="","",IF(ISNUMBER(I470),I470,IFERROR(IF(ISNUMBER(INDEX(art_price,MATCH($E470,art_ref,0))),INDEX(art_price,MATCH($E470,art_ref,0)),""),"")))</f>
        <v/>
      </c>
      <c r="K470" s="71" t="n"/>
      <c r="L470" s="72" t="n"/>
      <c r="M470" s="72" t="str">
        <f>IF(E470="","",IF(L470&lt;&gt;"",L470,IFERROR(IF(ISNUMBER(INDEX(art_tva,MATCH($E470,art_ref,0))),INDEX(art_tva,MATCH($E470,art_ref,0)),""),"")))</f>
        <v/>
      </c>
      <c r="N470" s="70" t="str">
        <f>IF(OR(E470="",J470=""),"",ROUND(N(H470)*J470*(1-N(K470)),2))</f>
        <v/>
      </c>
      <c r="O470" s="70" t="str">
        <f>IF(OR(N470="",NOT(ISNUMBER(M470))),"",ROUND(N470*M470,2))</f>
        <v/>
      </c>
      <c r="P470" s="70" t="str">
        <f>IF(N470="","",N470+N(O470))</f>
        <v/>
      </c>
      <c r="Q470" s="64" t="n"/>
      <c r="R470" s="73" t="str">
        <f>IF(N(Q470)&gt;0,Q470,IF(OR(N(B470)=0,ISNA(MATCH($C470,sup_code,0))),"",IF(ISNUMBER(INDEX(sup_delay,MATCH($C470,sup_code,0))),B470+INDEX(sup_delay,MATCH($C470,sup_code,0)),"")))</f>
        <v/>
      </c>
      <c r="S470" s="64" t="n"/>
      <c r="T470" s="68" t="n"/>
      <c r="U470" s="64" t="n"/>
      <c r="V470" s="65" t="n"/>
      <c r="W470" s="74" t="str">
        <f>IF(AND(A470="",E470=""),"",IF(V470="Oui",0,MAX(0,ROUND(N(H470)-N(T470),6))))</f>
        <v/>
      </c>
      <c r="X470" s="67" t="str">
        <f>IF(AND(A470="",E470=""),"",IF(V470="Oui","Annulé",IF(AND(N(H470)&gt;0,N(T470)&gt;=N(H470)),"Reçu",IF(N(S470)=0,"Brouillon",IF(AND(ISNUMBER(R470),R470&lt;p_today),"En retard",IF(N(T470)&gt;0,"Partiel","Envoyé"))))))</f>
        <v/>
      </c>
      <c r="Y470" s="75" t="str">
        <f>IF(X470="En retard",p_today-R470,IF(AND(X470="Reçu",ISNUMBER(R470)),MAX(0,N(U470)-R470),""))</f>
        <v/>
      </c>
      <c r="Z470" s="67" t="str">
        <f>IF(AND(A470="",E470=""),"",IF(A470="","N° de bon manquant",IF(N(B470)=0,"Date de commande manquante",IF(C470="","Fournisseur manquant",IF(ISNA(MATCH($C470,sup_code,0)),"Fournisseur inconnu",IF(E470="","Article manquant",IF(ISNA(MATCH($E470,art_ref,0)),"Article inconnu",IF(N(H470)&lt;=0,"Quantité invalide",IF(J470="","Prix manquant",IF(OR(N(K470)&lt;0,N(K470)&gt;=1),"Remise invalide",IF(M470="","TVA manquante",IF(ISNA(MATCH(M470,p_tva,0)),"Taux de TVA inconnu",IF(COUNTIFS(po_num,A470,po_sup,"&lt;&gt;"&amp;C470)&gt;0,"Fournisseur différent sur ce bon",IF(COUNTIFS(po_num,A470,po_date,"&lt;&gt;"&amp;B470)&gt;0,"Date différente sur ce bon",IF(COUNTIF(po_num,A470)&gt;25,"Plus de 25 lignes sur ce bon",IF(R470="","Date de livraison manquante",IF(R470&lt;B470,"Livraison avant la commande",IF(AND(N(T470)&gt;0,N(S470)=0),"Date d'envoi manquante",IF(N(T470)&gt;N(H470),"Reçu plus que commandé",IF(AND(N(T470)&gt;0,N(U470)=0),"Date de réception manquante",IF(AND(N(U470)&gt;0,U470&lt;B470),"Réception avant la commande","OK")))))))))))))))))))))</f>
        <v/>
      </c>
      <c r="AA470" s="66" t="str">
        <f>IF(AND(X470="Reçu",ISNUMBER(R470)),IF(N(U470)&lt;=R470,1,0),"")</f>
        <v/>
      </c>
      <c r="AB470" s="76" t="str">
        <f>IF(OR(X470="Envoyé",X470="Partiel",X470="En retard"),IF(ISNUMBER(R470),R470,100000)+ROW()/100000,"")</f>
        <v/>
      </c>
      <c r="AC470" s="66" t="str">
        <f>IF(A470="","",IF(COUNTIF($A$6:A470,A470)=1,1,""))</f>
        <v/>
      </c>
      <c r="AD470" s="66" t="str">
        <f>IF(AC470=1,COUNT($AC$6:AC470),"")</f>
        <v/>
      </c>
      <c r="AE470" s="66" t="str">
        <f>IFERROR(INDEX(po_num,MATCH(465,po_seq,0))&amp;"","")</f>
        <v/>
      </c>
      <c r="AF470" s="66" t="str">
        <f>IF(OR(A470="",p_po=""),"",IF(A470&amp;""=p_po,COUNTIF($A$6:A470,A470),""))</f>
        <v/>
      </c>
      <c r="AG470" s="66" t="str">
        <f>IF(OR(AB470="",A470=""),"",IF(COUNTIFS($A$6:A470,A470,$AB$6:AB470,"&gt;0")=1,1,""))</f>
        <v/>
      </c>
      <c r="AH470" s="70" t="str">
        <f>IF(AB470="","",ROUND(N(W470)*N(J470)*(1-N(K470)),2))</f>
        <v/>
      </c>
      <c r="AI470" s="70" t="str">
        <f>IF(OR(J470="",N(T470)&lt;=0,V470="Oui"),"",ROUND(N(T470)*J470*(1-N(K470)),2))</f>
        <v/>
      </c>
    </row>
    <row r="471">
      <c r="A471" s="63" t="n"/>
      <c r="B471" s="64" t="n"/>
      <c r="C471" s="65" t="n"/>
      <c r="D471" s="66" t="str">
        <f>IF(C471="","",IFERROR(INDEX(sup_name,MATCH($C471,sup_code,0))&amp;"","Fournisseur inconnu"))</f>
        <v/>
      </c>
      <c r="E471" s="63" t="n"/>
      <c r="F471" s="66" t="str">
        <f>IF(E471="","",IFERROR(INDEX(art_des,MATCH($E471,art_ref,0))&amp;"","Article inconnu"))</f>
        <v/>
      </c>
      <c r="G471" s="67" t="str">
        <f>IF(E471="","",IFERROR(INDEX(art_unit,MATCH($E471,art_ref,0))&amp;"",""))</f>
        <v/>
      </c>
      <c r="H471" s="68" t="n"/>
      <c r="I471" s="69" t="n"/>
      <c r="J471" s="70" t="str">
        <f>IF(E471="","",IF(ISNUMBER(I471),I471,IFERROR(IF(ISNUMBER(INDEX(art_price,MATCH($E471,art_ref,0))),INDEX(art_price,MATCH($E471,art_ref,0)),""),"")))</f>
        <v/>
      </c>
      <c r="K471" s="71" t="n"/>
      <c r="L471" s="72" t="n"/>
      <c r="M471" s="72" t="str">
        <f>IF(E471="","",IF(L471&lt;&gt;"",L471,IFERROR(IF(ISNUMBER(INDEX(art_tva,MATCH($E471,art_ref,0))),INDEX(art_tva,MATCH($E471,art_ref,0)),""),"")))</f>
        <v/>
      </c>
      <c r="N471" s="70" t="str">
        <f>IF(OR(E471="",J471=""),"",ROUND(N(H471)*J471*(1-N(K471)),2))</f>
        <v/>
      </c>
      <c r="O471" s="70" t="str">
        <f>IF(OR(N471="",NOT(ISNUMBER(M471))),"",ROUND(N471*M471,2))</f>
        <v/>
      </c>
      <c r="P471" s="70" t="str">
        <f>IF(N471="","",N471+N(O471))</f>
        <v/>
      </c>
      <c r="Q471" s="64" t="n"/>
      <c r="R471" s="73" t="str">
        <f>IF(N(Q471)&gt;0,Q471,IF(OR(N(B471)=0,ISNA(MATCH($C471,sup_code,0))),"",IF(ISNUMBER(INDEX(sup_delay,MATCH($C471,sup_code,0))),B471+INDEX(sup_delay,MATCH($C471,sup_code,0)),"")))</f>
        <v/>
      </c>
      <c r="S471" s="64" t="n"/>
      <c r="T471" s="68" t="n"/>
      <c r="U471" s="64" t="n"/>
      <c r="V471" s="65" t="n"/>
      <c r="W471" s="74" t="str">
        <f>IF(AND(A471="",E471=""),"",IF(V471="Oui",0,MAX(0,ROUND(N(H471)-N(T471),6))))</f>
        <v/>
      </c>
      <c r="X471" s="67" t="str">
        <f>IF(AND(A471="",E471=""),"",IF(V471="Oui","Annulé",IF(AND(N(H471)&gt;0,N(T471)&gt;=N(H471)),"Reçu",IF(N(S471)=0,"Brouillon",IF(AND(ISNUMBER(R471),R471&lt;p_today),"En retard",IF(N(T471)&gt;0,"Partiel","Envoyé"))))))</f>
        <v/>
      </c>
      <c r="Y471" s="75" t="str">
        <f>IF(X471="En retard",p_today-R471,IF(AND(X471="Reçu",ISNUMBER(R471)),MAX(0,N(U471)-R471),""))</f>
        <v/>
      </c>
      <c r="Z471" s="67" t="str">
        <f>IF(AND(A471="",E471=""),"",IF(A471="","N° de bon manquant",IF(N(B471)=0,"Date de commande manquante",IF(C471="","Fournisseur manquant",IF(ISNA(MATCH($C471,sup_code,0)),"Fournisseur inconnu",IF(E471="","Article manquant",IF(ISNA(MATCH($E471,art_ref,0)),"Article inconnu",IF(N(H471)&lt;=0,"Quantité invalide",IF(J471="","Prix manquant",IF(OR(N(K471)&lt;0,N(K471)&gt;=1),"Remise invalide",IF(M471="","TVA manquante",IF(ISNA(MATCH(M471,p_tva,0)),"Taux de TVA inconnu",IF(COUNTIFS(po_num,A471,po_sup,"&lt;&gt;"&amp;C471)&gt;0,"Fournisseur différent sur ce bon",IF(COUNTIFS(po_num,A471,po_date,"&lt;&gt;"&amp;B471)&gt;0,"Date différente sur ce bon",IF(COUNTIF(po_num,A471)&gt;25,"Plus de 25 lignes sur ce bon",IF(R471="","Date de livraison manquante",IF(R471&lt;B471,"Livraison avant la commande",IF(AND(N(T471)&gt;0,N(S471)=0),"Date d'envoi manquante",IF(N(T471)&gt;N(H471),"Reçu plus que commandé",IF(AND(N(T471)&gt;0,N(U471)=0),"Date de réception manquante",IF(AND(N(U471)&gt;0,U471&lt;B471),"Réception avant la commande","OK")))))))))))))))))))))</f>
        <v/>
      </c>
      <c r="AA471" s="66" t="str">
        <f>IF(AND(X471="Reçu",ISNUMBER(R471)),IF(N(U471)&lt;=R471,1,0),"")</f>
        <v/>
      </c>
      <c r="AB471" s="76" t="str">
        <f>IF(OR(X471="Envoyé",X471="Partiel",X471="En retard"),IF(ISNUMBER(R471),R471,100000)+ROW()/100000,"")</f>
        <v/>
      </c>
      <c r="AC471" s="66" t="str">
        <f>IF(A471="","",IF(COUNTIF($A$6:A471,A471)=1,1,""))</f>
        <v/>
      </c>
      <c r="AD471" s="66" t="str">
        <f>IF(AC471=1,COUNT($AC$6:AC471),"")</f>
        <v/>
      </c>
      <c r="AE471" s="66" t="str">
        <f>IFERROR(INDEX(po_num,MATCH(466,po_seq,0))&amp;"","")</f>
        <v/>
      </c>
      <c r="AF471" s="66" t="str">
        <f>IF(OR(A471="",p_po=""),"",IF(A471&amp;""=p_po,COUNTIF($A$6:A471,A471),""))</f>
        <v/>
      </c>
      <c r="AG471" s="66" t="str">
        <f>IF(OR(AB471="",A471=""),"",IF(COUNTIFS($A$6:A471,A471,$AB$6:AB471,"&gt;0")=1,1,""))</f>
        <v/>
      </c>
      <c r="AH471" s="70" t="str">
        <f>IF(AB471="","",ROUND(N(W471)*N(J471)*(1-N(K471)),2))</f>
        <v/>
      </c>
      <c r="AI471" s="70" t="str">
        <f>IF(OR(J471="",N(T471)&lt;=0,V471="Oui"),"",ROUND(N(T471)*J471*(1-N(K471)),2))</f>
        <v/>
      </c>
    </row>
    <row r="472">
      <c r="A472" s="63" t="n"/>
      <c r="B472" s="64" t="n"/>
      <c r="C472" s="65" t="n"/>
      <c r="D472" s="66" t="str">
        <f>IF(C472="","",IFERROR(INDEX(sup_name,MATCH($C472,sup_code,0))&amp;"","Fournisseur inconnu"))</f>
        <v/>
      </c>
      <c r="E472" s="63" t="n"/>
      <c r="F472" s="66" t="str">
        <f>IF(E472="","",IFERROR(INDEX(art_des,MATCH($E472,art_ref,0))&amp;"","Article inconnu"))</f>
        <v/>
      </c>
      <c r="G472" s="67" t="str">
        <f>IF(E472="","",IFERROR(INDEX(art_unit,MATCH($E472,art_ref,0))&amp;"",""))</f>
        <v/>
      </c>
      <c r="H472" s="68" t="n"/>
      <c r="I472" s="69" t="n"/>
      <c r="J472" s="70" t="str">
        <f>IF(E472="","",IF(ISNUMBER(I472),I472,IFERROR(IF(ISNUMBER(INDEX(art_price,MATCH($E472,art_ref,0))),INDEX(art_price,MATCH($E472,art_ref,0)),""),"")))</f>
        <v/>
      </c>
      <c r="K472" s="71" t="n"/>
      <c r="L472" s="72" t="n"/>
      <c r="M472" s="72" t="str">
        <f>IF(E472="","",IF(L472&lt;&gt;"",L472,IFERROR(IF(ISNUMBER(INDEX(art_tva,MATCH($E472,art_ref,0))),INDEX(art_tva,MATCH($E472,art_ref,0)),""),"")))</f>
        <v/>
      </c>
      <c r="N472" s="70" t="str">
        <f>IF(OR(E472="",J472=""),"",ROUND(N(H472)*J472*(1-N(K472)),2))</f>
        <v/>
      </c>
      <c r="O472" s="70" t="str">
        <f>IF(OR(N472="",NOT(ISNUMBER(M472))),"",ROUND(N472*M472,2))</f>
        <v/>
      </c>
      <c r="P472" s="70" t="str">
        <f>IF(N472="","",N472+N(O472))</f>
        <v/>
      </c>
      <c r="Q472" s="64" t="n"/>
      <c r="R472" s="73" t="str">
        <f>IF(N(Q472)&gt;0,Q472,IF(OR(N(B472)=0,ISNA(MATCH($C472,sup_code,0))),"",IF(ISNUMBER(INDEX(sup_delay,MATCH($C472,sup_code,0))),B472+INDEX(sup_delay,MATCH($C472,sup_code,0)),"")))</f>
        <v/>
      </c>
      <c r="S472" s="64" t="n"/>
      <c r="T472" s="68" t="n"/>
      <c r="U472" s="64" t="n"/>
      <c r="V472" s="65" t="n"/>
      <c r="W472" s="74" t="str">
        <f>IF(AND(A472="",E472=""),"",IF(V472="Oui",0,MAX(0,ROUND(N(H472)-N(T472),6))))</f>
        <v/>
      </c>
      <c r="X472" s="67" t="str">
        <f>IF(AND(A472="",E472=""),"",IF(V472="Oui","Annulé",IF(AND(N(H472)&gt;0,N(T472)&gt;=N(H472)),"Reçu",IF(N(S472)=0,"Brouillon",IF(AND(ISNUMBER(R472),R472&lt;p_today),"En retard",IF(N(T472)&gt;0,"Partiel","Envoyé"))))))</f>
        <v/>
      </c>
      <c r="Y472" s="75" t="str">
        <f>IF(X472="En retard",p_today-R472,IF(AND(X472="Reçu",ISNUMBER(R472)),MAX(0,N(U472)-R472),""))</f>
        <v/>
      </c>
      <c r="Z472" s="67" t="str">
        <f>IF(AND(A472="",E472=""),"",IF(A472="","N° de bon manquant",IF(N(B472)=0,"Date de commande manquante",IF(C472="","Fournisseur manquant",IF(ISNA(MATCH($C472,sup_code,0)),"Fournisseur inconnu",IF(E472="","Article manquant",IF(ISNA(MATCH($E472,art_ref,0)),"Article inconnu",IF(N(H472)&lt;=0,"Quantité invalide",IF(J472="","Prix manquant",IF(OR(N(K472)&lt;0,N(K472)&gt;=1),"Remise invalide",IF(M472="","TVA manquante",IF(ISNA(MATCH(M472,p_tva,0)),"Taux de TVA inconnu",IF(COUNTIFS(po_num,A472,po_sup,"&lt;&gt;"&amp;C472)&gt;0,"Fournisseur différent sur ce bon",IF(COUNTIFS(po_num,A472,po_date,"&lt;&gt;"&amp;B472)&gt;0,"Date différente sur ce bon",IF(COUNTIF(po_num,A472)&gt;25,"Plus de 25 lignes sur ce bon",IF(R472="","Date de livraison manquante",IF(R472&lt;B472,"Livraison avant la commande",IF(AND(N(T472)&gt;0,N(S472)=0),"Date d'envoi manquante",IF(N(T472)&gt;N(H472),"Reçu plus que commandé",IF(AND(N(T472)&gt;0,N(U472)=0),"Date de réception manquante",IF(AND(N(U472)&gt;0,U472&lt;B472),"Réception avant la commande","OK")))))))))))))))))))))</f>
        <v/>
      </c>
      <c r="AA472" s="66" t="str">
        <f>IF(AND(X472="Reçu",ISNUMBER(R472)),IF(N(U472)&lt;=R472,1,0),"")</f>
        <v/>
      </c>
      <c r="AB472" s="76" t="str">
        <f>IF(OR(X472="Envoyé",X472="Partiel",X472="En retard"),IF(ISNUMBER(R472),R472,100000)+ROW()/100000,"")</f>
        <v/>
      </c>
      <c r="AC472" s="66" t="str">
        <f>IF(A472="","",IF(COUNTIF($A$6:A472,A472)=1,1,""))</f>
        <v/>
      </c>
      <c r="AD472" s="66" t="str">
        <f>IF(AC472=1,COUNT($AC$6:AC472),"")</f>
        <v/>
      </c>
      <c r="AE472" s="66" t="str">
        <f>IFERROR(INDEX(po_num,MATCH(467,po_seq,0))&amp;"","")</f>
        <v/>
      </c>
      <c r="AF472" s="66" t="str">
        <f>IF(OR(A472="",p_po=""),"",IF(A472&amp;""=p_po,COUNTIF($A$6:A472,A472),""))</f>
        <v/>
      </c>
      <c r="AG472" s="66" t="str">
        <f>IF(OR(AB472="",A472=""),"",IF(COUNTIFS($A$6:A472,A472,$AB$6:AB472,"&gt;0")=1,1,""))</f>
        <v/>
      </c>
      <c r="AH472" s="70" t="str">
        <f>IF(AB472="","",ROUND(N(W472)*N(J472)*(1-N(K472)),2))</f>
        <v/>
      </c>
      <c r="AI472" s="70" t="str">
        <f>IF(OR(J472="",N(T472)&lt;=0,V472="Oui"),"",ROUND(N(T472)*J472*(1-N(K472)),2))</f>
        <v/>
      </c>
    </row>
    <row r="473">
      <c r="A473" s="63" t="n"/>
      <c r="B473" s="64" t="n"/>
      <c r="C473" s="65" t="n"/>
      <c r="D473" s="66" t="str">
        <f>IF(C473="","",IFERROR(INDEX(sup_name,MATCH($C473,sup_code,0))&amp;"","Fournisseur inconnu"))</f>
        <v/>
      </c>
      <c r="E473" s="63" t="n"/>
      <c r="F473" s="66" t="str">
        <f>IF(E473="","",IFERROR(INDEX(art_des,MATCH($E473,art_ref,0))&amp;"","Article inconnu"))</f>
        <v/>
      </c>
      <c r="G473" s="67" t="str">
        <f>IF(E473="","",IFERROR(INDEX(art_unit,MATCH($E473,art_ref,0))&amp;"",""))</f>
        <v/>
      </c>
      <c r="H473" s="68" t="n"/>
      <c r="I473" s="69" t="n"/>
      <c r="J473" s="70" t="str">
        <f>IF(E473="","",IF(ISNUMBER(I473),I473,IFERROR(IF(ISNUMBER(INDEX(art_price,MATCH($E473,art_ref,0))),INDEX(art_price,MATCH($E473,art_ref,0)),""),"")))</f>
        <v/>
      </c>
      <c r="K473" s="71" t="n"/>
      <c r="L473" s="72" t="n"/>
      <c r="M473" s="72" t="str">
        <f>IF(E473="","",IF(L473&lt;&gt;"",L473,IFERROR(IF(ISNUMBER(INDEX(art_tva,MATCH($E473,art_ref,0))),INDEX(art_tva,MATCH($E473,art_ref,0)),""),"")))</f>
        <v/>
      </c>
      <c r="N473" s="70" t="str">
        <f>IF(OR(E473="",J473=""),"",ROUND(N(H473)*J473*(1-N(K473)),2))</f>
        <v/>
      </c>
      <c r="O473" s="70" t="str">
        <f>IF(OR(N473="",NOT(ISNUMBER(M473))),"",ROUND(N473*M473,2))</f>
        <v/>
      </c>
      <c r="P473" s="70" t="str">
        <f>IF(N473="","",N473+N(O473))</f>
        <v/>
      </c>
      <c r="Q473" s="64" t="n"/>
      <c r="R473" s="73" t="str">
        <f>IF(N(Q473)&gt;0,Q473,IF(OR(N(B473)=0,ISNA(MATCH($C473,sup_code,0))),"",IF(ISNUMBER(INDEX(sup_delay,MATCH($C473,sup_code,0))),B473+INDEX(sup_delay,MATCH($C473,sup_code,0)),"")))</f>
        <v/>
      </c>
      <c r="S473" s="64" t="n"/>
      <c r="T473" s="68" t="n"/>
      <c r="U473" s="64" t="n"/>
      <c r="V473" s="65" t="n"/>
      <c r="W473" s="74" t="str">
        <f>IF(AND(A473="",E473=""),"",IF(V473="Oui",0,MAX(0,ROUND(N(H473)-N(T473),6))))</f>
        <v/>
      </c>
      <c r="X473" s="67" t="str">
        <f>IF(AND(A473="",E473=""),"",IF(V473="Oui","Annulé",IF(AND(N(H473)&gt;0,N(T473)&gt;=N(H473)),"Reçu",IF(N(S473)=0,"Brouillon",IF(AND(ISNUMBER(R473),R473&lt;p_today),"En retard",IF(N(T473)&gt;0,"Partiel","Envoyé"))))))</f>
        <v/>
      </c>
      <c r="Y473" s="75" t="str">
        <f>IF(X473="En retard",p_today-R473,IF(AND(X473="Reçu",ISNUMBER(R473)),MAX(0,N(U473)-R473),""))</f>
        <v/>
      </c>
      <c r="Z473" s="67" t="str">
        <f>IF(AND(A473="",E473=""),"",IF(A473="","N° de bon manquant",IF(N(B473)=0,"Date de commande manquante",IF(C473="","Fournisseur manquant",IF(ISNA(MATCH($C473,sup_code,0)),"Fournisseur inconnu",IF(E473="","Article manquant",IF(ISNA(MATCH($E473,art_ref,0)),"Article inconnu",IF(N(H473)&lt;=0,"Quantité invalide",IF(J473="","Prix manquant",IF(OR(N(K473)&lt;0,N(K473)&gt;=1),"Remise invalide",IF(M473="","TVA manquante",IF(ISNA(MATCH(M473,p_tva,0)),"Taux de TVA inconnu",IF(COUNTIFS(po_num,A473,po_sup,"&lt;&gt;"&amp;C473)&gt;0,"Fournisseur différent sur ce bon",IF(COUNTIFS(po_num,A473,po_date,"&lt;&gt;"&amp;B473)&gt;0,"Date différente sur ce bon",IF(COUNTIF(po_num,A473)&gt;25,"Plus de 25 lignes sur ce bon",IF(R473="","Date de livraison manquante",IF(R473&lt;B473,"Livraison avant la commande",IF(AND(N(T473)&gt;0,N(S473)=0),"Date d'envoi manquante",IF(N(T473)&gt;N(H473),"Reçu plus que commandé",IF(AND(N(T473)&gt;0,N(U473)=0),"Date de réception manquante",IF(AND(N(U473)&gt;0,U473&lt;B473),"Réception avant la commande","OK")))))))))))))))))))))</f>
        <v/>
      </c>
      <c r="AA473" s="66" t="str">
        <f>IF(AND(X473="Reçu",ISNUMBER(R473)),IF(N(U473)&lt;=R473,1,0),"")</f>
        <v/>
      </c>
      <c r="AB473" s="76" t="str">
        <f>IF(OR(X473="Envoyé",X473="Partiel",X473="En retard"),IF(ISNUMBER(R473),R473,100000)+ROW()/100000,"")</f>
        <v/>
      </c>
      <c r="AC473" s="66" t="str">
        <f>IF(A473="","",IF(COUNTIF($A$6:A473,A473)=1,1,""))</f>
        <v/>
      </c>
      <c r="AD473" s="66" t="str">
        <f>IF(AC473=1,COUNT($AC$6:AC473),"")</f>
        <v/>
      </c>
      <c r="AE473" s="66" t="str">
        <f>IFERROR(INDEX(po_num,MATCH(468,po_seq,0))&amp;"","")</f>
        <v/>
      </c>
      <c r="AF473" s="66" t="str">
        <f>IF(OR(A473="",p_po=""),"",IF(A473&amp;""=p_po,COUNTIF($A$6:A473,A473),""))</f>
        <v/>
      </c>
      <c r="AG473" s="66" t="str">
        <f>IF(OR(AB473="",A473=""),"",IF(COUNTIFS($A$6:A473,A473,$AB$6:AB473,"&gt;0")=1,1,""))</f>
        <v/>
      </c>
      <c r="AH473" s="70" t="str">
        <f>IF(AB473="","",ROUND(N(W473)*N(J473)*(1-N(K473)),2))</f>
        <v/>
      </c>
      <c r="AI473" s="70" t="str">
        <f>IF(OR(J473="",N(T473)&lt;=0,V473="Oui"),"",ROUND(N(T473)*J473*(1-N(K473)),2))</f>
        <v/>
      </c>
    </row>
    <row r="474">
      <c r="A474" s="63" t="n"/>
      <c r="B474" s="64" t="n"/>
      <c r="C474" s="65" t="n"/>
      <c r="D474" s="66" t="str">
        <f>IF(C474="","",IFERROR(INDEX(sup_name,MATCH($C474,sup_code,0))&amp;"","Fournisseur inconnu"))</f>
        <v/>
      </c>
      <c r="E474" s="63" t="n"/>
      <c r="F474" s="66" t="str">
        <f>IF(E474="","",IFERROR(INDEX(art_des,MATCH($E474,art_ref,0))&amp;"","Article inconnu"))</f>
        <v/>
      </c>
      <c r="G474" s="67" t="str">
        <f>IF(E474="","",IFERROR(INDEX(art_unit,MATCH($E474,art_ref,0))&amp;"",""))</f>
        <v/>
      </c>
      <c r="H474" s="68" t="n"/>
      <c r="I474" s="69" t="n"/>
      <c r="J474" s="70" t="str">
        <f>IF(E474="","",IF(ISNUMBER(I474),I474,IFERROR(IF(ISNUMBER(INDEX(art_price,MATCH($E474,art_ref,0))),INDEX(art_price,MATCH($E474,art_ref,0)),""),"")))</f>
        <v/>
      </c>
      <c r="K474" s="71" t="n"/>
      <c r="L474" s="72" t="n"/>
      <c r="M474" s="72" t="str">
        <f>IF(E474="","",IF(L474&lt;&gt;"",L474,IFERROR(IF(ISNUMBER(INDEX(art_tva,MATCH($E474,art_ref,0))),INDEX(art_tva,MATCH($E474,art_ref,0)),""),"")))</f>
        <v/>
      </c>
      <c r="N474" s="70" t="str">
        <f>IF(OR(E474="",J474=""),"",ROUND(N(H474)*J474*(1-N(K474)),2))</f>
        <v/>
      </c>
      <c r="O474" s="70" t="str">
        <f>IF(OR(N474="",NOT(ISNUMBER(M474))),"",ROUND(N474*M474,2))</f>
        <v/>
      </c>
      <c r="P474" s="70" t="str">
        <f>IF(N474="","",N474+N(O474))</f>
        <v/>
      </c>
      <c r="Q474" s="64" t="n"/>
      <c r="R474" s="73" t="str">
        <f>IF(N(Q474)&gt;0,Q474,IF(OR(N(B474)=0,ISNA(MATCH($C474,sup_code,0))),"",IF(ISNUMBER(INDEX(sup_delay,MATCH($C474,sup_code,0))),B474+INDEX(sup_delay,MATCH($C474,sup_code,0)),"")))</f>
        <v/>
      </c>
      <c r="S474" s="64" t="n"/>
      <c r="T474" s="68" t="n"/>
      <c r="U474" s="64" t="n"/>
      <c r="V474" s="65" t="n"/>
      <c r="W474" s="74" t="str">
        <f>IF(AND(A474="",E474=""),"",IF(V474="Oui",0,MAX(0,ROUND(N(H474)-N(T474),6))))</f>
        <v/>
      </c>
      <c r="X474" s="67" t="str">
        <f>IF(AND(A474="",E474=""),"",IF(V474="Oui","Annulé",IF(AND(N(H474)&gt;0,N(T474)&gt;=N(H474)),"Reçu",IF(N(S474)=0,"Brouillon",IF(AND(ISNUMBER(R474),R474&lt;p_today),"En retard",IF(N(T474)&gt;0,"Partiel","Envoyé"))))))</f>
        <v/>
      </c>
      <c r="Y474" s="75" t="str">
        <f>IF(X474="En retard",p_today-R474,IF(AND(X474="Reçu",ISNUMBER(R474)),MAX(0,N(U474)-R474),""))</f>
        <v/>
      </c>
      <c r="Z474" s="67" t="str">
        <f>IF(AND(A474="",E474=""),"",IF(A474="","N° de bon manquant",IF(N(B474)=0,"Date de commande manquante",IF(C474="","Fournisseur manquant",IF(ISNA(MATCH($C474,sup_code,0)),"Fournisseur inconnu",IF(E474="","Article manquant",IF(ISNA(MATCH($E474,art_ref,0)),"Article inconnu",IF(N(H474)&lt;=0,"Quantité invalide",IF(J474="","Prix manquant",IF(OR(N(K474)&lt;0,N(K474)&gt;=1),"Remise invalide",IF(M474="","TVA manquante",IF(ISNA(MATCH(M474,p_tva,0)),"Taux de TVA inconnu",IF(COUNTIFS(po_num,A474,po_sup,"&lt;&gt;"&amp;C474)&gt;0,"Fournisseur différent sur ce bon",IF(COUNTIFS(po_num,A474,po_date,"&lt;&gt;"&amp;B474)&gt;0,"Date différente sur ce bon",IF(COUNTIF(po_num,A474)&gt;25,"Plus de 25 lignes sur ce bon",IF(R474="","Date de livraison manquante",IF(R474&lt;B474,"Livraison avant la commande",IF(AND(N(T474)&gt;0,N(S474)=0),"Date d'envoi manquante",IF(N(T474)&gt;N(H474),"Reçu plus que commandé",IF(AND(N(T474)&gt;0,N(U474)=0),"Date de réception manquante",IF(AND(N(U474)&gt;0,U474&lt;B474),"Réception avant la commande","OK")))))))))))))))))))))</f>
        <v/>
      </c>
      <c r="AA474" s="66" t="str">
        <f>IF(AND(X474="Reçu",ISNUMBER(R474)),IF(N(U474)&lt;=R474,1,0),"")</f>
        <v/>
      </c>
      <c r="AB474" s="76" t="str">
        <f>IF(OR(X474="Envoyé",X474="Partiel",X474="En retard"),IF(ISNUMBER(R474),R474,100000)+ROW()/100000,"")</f>
        <v/>
      </c>
      <c r="AC474" s="66" t="str">
        <f>IF(A474="","",IF(COUNTIF($A$6:A474,A474)=1,1,""))</f>
        <v/>
      </c>
      <c r="AD474" s="66" t="str">
        <f>IF(AC474=1,COUNT($AC$6:AC474),"")</f>
        <v/>
      </c>
      <c r="AE474" s="66" t="str">
        <f>IFERROR(INDEX(po_num,MATCH(469,po_seq,0))&amp;"","")</f>
        <v/>
      </c>
      <c r="AF474" s="66" t="str">
        <f>IF(OR(A474="",p_po=""),"",IF(A474&amp;""=p_po,COUNTIF($A$6:A474,A474),""))</f>
        <v/>
      </c>
      <c r="AG474" s="66" t="str">
        <f>IF(OR(AB474="",A474=""),"",IF(COUNTIFS($A$6:A474,A474,$AB$6:AB474,"&gt;0")=1,1,""))</f>
        <v/>
      </c>
      <c r="AH474" s="70" t="str">
        <f>IF(AB474="","",ROUND(N(W474)*N(J474)*(1-N(K474)),2))</f>
        <v/>
      </c>
      <c r="AI474" s="70" t="str">
        <f>IF(OR(J474="",N(T474)&lt;=0,V474="Oui"),"",ROUND(N(T474)*J474*(1-N(K474)),2))</f>
        <v/>
      </c>
    </row>
    <row r="475">
      <c r="A475" s="63" t="n"/>
      <c r="B475" s="64" t="n"/>
      <c r="C475" s="65" t="n"/>
      <c r="D475" s="66" t="str">
        <f>IF(C475="","",IFERROR(INDEX(sup_name,MATCH($C475,sup_code,0))&amp;"","Fournisseur inconnu"))</f>
        <v/>
      </c>
      <c r="E475" s="63" t="n"/>
      <c r="F475" s="66" t="str">
        <f>IF(E475="","",IFERROR(INDEX(art_des,MATCH($E475,art_ref,0))&amp;"","Article inconnu"))</f>
        <v/>
      </c>
      <c r="G475" s="67" t="str">
        <f>IF(E475="","",IFERROR(INDEX(art_unit,MATCH($E475,art_ref,0))&amp;"",""))</f>
        <v/>
      </c>
      <c r="H475" s="68" t="n"/>
      <c r="I475" s="69" t="n"/>
      <c r="J475" s="70" t="str">
        <f>IF(E475="","",IF(ISNUMBER(I475),I475,IFERROR(IF(ISNUMBER(INDEX(art_price,MATCH($E475,art_ref,0))),INDEX(art_price,MATCH($E475,art_ref,0)),""),"")))</f>
        <v/>
      </c>
      <c r="K475" s="71" t="n"/>
      <c r="L475" s="72" t="n"/>
      <c r="M475" s="72" t="str">
        <f>IF(E475="","",IF(L475&lt;&gt;"",L475,IFERROR(IF(ISNUMBER(INDEX(art_tva,MATCH($E475,art_ref,0))),INDEX(art_tva,MATCH($E475,art_ref,0)),""),"")))</f>
        <v/>
      </c>
      <c r="N475" s="70" t="str">
        <f>IF(OR(E475="",J475=""),"",ROUND(N(H475)*J475*(1-N(K475)),2))</f>
        <v/>
      </c>
      <c r="O475" s="70" t="str">
        <f>IF(OR(N475="",NOT(ISNUMBER(M475))),"",ROUND(N475*M475,2))</f>
        <v/>
      </c>
      <c r="P475" s="70" t="str">
        <f>IF(N475="","",N475+N(O475))</f>
        <v/>
      </c>
      <c r="Q475" s="64" t="n"/>
      <c r="R475" s="73" t="str">
        <f>IF(N(Q475)&gt;0,Q475,IF(OR(N(B475)=0,ISNA(MATCH($C475,sup_code,0))),"",IF(ISNUMBER(INDEX(sup_delay,MATCH($C475,sup_code,0))),B475+INDEX(sup_delay,MATCH($C475,sup_code,0)),"")))</f>
        <v/>
      </c>
      <c r="S475" s="64" t="n"/>
      <c r="T475" s="68" t="n"/>
      <c r="U475" s="64" t="n"/>
      <c r="V475" s="65" t="n"/>
      <c r="W475" s="74" t="str">
        <f>IF(AND(A475="",E475=""),"",IF(V475="Oui",0,MAX(0,ROUND(N(H475)-N(T475),6))))</f>
        <v/>
      </c>
      <c r="X475" s="67" t="str">
        <f>IF(AND(A475="",E475=""),"",IF(V475="Oui","Annulé",IF(AND(N(H475)&gt;0,N(T475)&gt;=N(H475)),"Reçu",IF(N(S475)=0,"Brouillon",IF(AND(ISNUMBER(R475),R475&lt;p_today),"En retard",IF(N(T475)&gt;0,"Partiel","Envoyé"))))))</f>
        <v/>
      </c>
      <c r="Y475" s="75" t="str">
        <f>IF(X475="En retard",p_today-R475,IF(AND(X475="Reçu",ISNUMBER(R475)),MAX(0,N(U475)-R475),""))</f>
        <v/>
      </c>
      <c r="Z475" s="67" t="str">
        <f>IF(AND(A475="",E475=""),"",IF(A475="","N° de bon manquant",IF(N(B475)=0,"Date de commande manquante",IF(C475="","Fournisseur manquant",IF(ISNA(MATCH($C475,sup_code,0)),"Fournisseur inconnu",IF(E475="","Article manquant",IF(ISNA(MATCH($E475,art_ref,0)),"Article inconnu",IF(N(H475)&lt;=0,"Quantité invalide",IF(J475="","Prix manquant",IF(OR(N(K475)&lt;0,N(K475)&gt;=1),"Remise invalide",IF(M475="","TVA manquante",IF(ISNA(MATCH(M475,p_tva,0)),"Taux de TVA inconnu",IF(COUNTIFS(po_num,A475,po_sup,"&lt;&gt;"&amp;C475)&gt;0,"Fournisseur différent sur ce bon",IF(COUNTIFS(po_num,A475,po_date,"&lt;&gt;"&amp;B475)&gt;0,"Date différente sur ce bon",IF(COUNTIF(po_num,A475)&gt;25,"Plus de 25 lignes sur ce bon",IF(R475="","Date de livraison manquante",IF(R475&lt;B475,"Livraison avant la commande",IF(AND(N(T475)&gt;0,N(S475)=0),"Date d'envoi manquante",IF(N(T475)&gt;N(H475),"Reçu plus que commandé",IF(AND(N(T475)&gt;0,N(U475)=0),"Date de réception manquante",IF(AND(N(U475)&gt;0,U475&lt;B475),"Réception avant la commande","OK")))))))))))))))))))))</f>
        <v/>
      </c>
      <c r="AA475" s="66" t="str">
        <f>IF(AND(X475="Reçu",ISNUMBER(R475)),IF(N(U475)&lt;=R475,1,0),"")</f>
        <v/>
      </c>
      <c r="AB475" s="76" t="str">
        <f>IF(OR(X475="Envoyé",X475="Partiel",X475="En retard"),IF(ISNUMBER(R475),R475,100000)+ROW()/100000,"")</f>
        <v/>
      </c>
      <c r="AC475" s="66" t="str">
        <f>IF(A475="","",IF(COUNTIF($A$6:A475,A475)=1,1,""))</f>
        <v/>
      </c>
      <c r="AD475" s="66" t="str">
        <f>IF(AC475=1,COUNT($AC$6:AC475),"")</f>
        <v/>
      </c>
      <c r="AE475" s="66" t="str">
        <f>IFERROR(INDEX(po_num,MATCH(470,po_seq,0))&amp;"","")</f>
        <v/>
      </c>
      <c r="AF475" s="66" t="str">
        <f>IF(OR(A475="",p_po=""),"",IF(A475&amp;""=p_po,COUNTIF($A$6:A475,A475),""))</f>
        <v/>
      </c>
      <c r="AG475" s="66" t="str">
        <f>IF(OR(AB475="",A475=""),"",IF(COUNTIFS($A$6:A475,A475,$AB$6:AB475,"&gt;0")=1,1,""))</f>
        <v/>
      </c>
      <c r="AH475" s="70" t="str">
        <f>IF(AB475="","",ROUND(N(W475)*N(J475)*(1-N(K475)),2))</f>
        <v/>
      </c>
      <c r="AI475" s="70" t="str">
        <f>IF(OR(J475="",N(T475)&lt;=0,V475="Oui"),"",ROUND(N(T475)*J475*(1-N(K475)),2))</f>
        <v/>
      </c>
    </row>
    <row r="476">
      <c r="A476" s="63" t="n"/>
      <c r="B476" s="64" t="n"/>
      <c r="C476" s="65" t="n"/>
      <c r="D476" s="66" t="str">
        <f>IF(C476="","",IFERROR(INDEX(sup_name,MATCH($C476,sup_code,0))&amp;"","Fournisseur inconnu"))</f>
        <v/>
      </c>
      <c r="E476" s="63" t="n"/>
      <c r="F476" s="66" t="str">
        <f>IF(E476="","",IFERROR(INDEX(art_des,MATCH($E476,art_ref,0))&amp;"","Article inconnu"))</f>
        <v/>
      </c>
      <c r="G476" s="67" t="str">
        <f>IF(E476="","",IFERROR(INDEX(art_unit,MATCH($E476,art_ref,0))&amp;"",""))</f>
        <v/>
      </c>
      <c r="H476" s="68" t="n"/>
      <c r="I476" s="69" t="n"/>
      <c r="J476" s="70" t="str">
        <f>IF(E476="","",IF(ISNUMBER(I476),I476,IFERROR(IF(ISNUMBER(INDEX(art_price,MATCH($E476,art_ref,0))),INDEX(art_price,MATCH($E476,art_ref,0)),""),"")))</f>
        <v/>
      </c>
      <c r="K476" s="71" t="n"/>
      <c r="L476" s="72" t="n"/>
      <c r="M476" s="72" t="str">
        <f>IF(E476="","",IF(L476&lt;&gt;"",L476,IFERROR(IF(ISNUMBER(INDEX(art_tva,MATCH($E476,art_ref,0))),INDEX(art_tva,MATCH($E476,art_ref,0)),""),"")))</f>
        <v/>
      </c>
      <c r="N476" s="70" t="str">
        <f>IF(OR(E476="",J476=""),"",ROUND(N(H476)*J476*(1-N(K476)),2))</f>
        <v/>
      </c>
      <c r="O476" s="70" t="str">
        <f>IF(OR(N476="",NOT(ISNUMBER(M476))),"",ROUND(N476*M476,2))</f>
        <v/>
      </c>
      <c r="P476" s="70" t="str">
        <f>IF(N476="","",N476+N(O476))</f>
        <v/>
      </c>
      <c r="Q476" s="64" t="n"/>
      <c r="R476" s="73" t="str">
        <f>IF(N(Q476)&gt;0,Q476,IF(OR(N(B476)=0,ISNA(MATCH($C476,sup_code,0))),"",IF(ISNUMBER(INDEX(sup_delay,MATCH($C476,sup_code,0))),B476+INDEX(sup_delay,MATCH($C476,sup_code,0)),"")))</f>
        <v/>
      </c>
      <c r="S476" s="64" t="n"/>
      <c r="T476" s="68" t="n"/>
      <c r="U476" s="64" t="n"/>
      <c r="V476" s="65" t="n"/>
      <c r="W476" s="74" t="str">
        <f>IF(AND(A476="",E476=""),"",IF(V476="Oui",0,MAX(0,ROUND(N(H476)-N(T476),6))))</f>
        <v/>
      </c>
      <c r="X476" s="67" t="str">
        <f>IF(AND(A476="",E476=""),"",IF(V476="Oui","Annulé",IF(AND(N(H476)&gt;0,N(T476)&gt;=N(H476)),"Reçu",IF(N(S476)=0,"Brouillon",IF(AND(ISNUMBER(R476),R476&lt;p_today),"En retard",IF(N(T476)&gt;0,"Partiel","Envoyé"))))))</f>
        <v/>
      </c>
      <c r="Y476" s="75" t="str">
        <f>IF(X476="En retard",p_today-R476,IF(AND(X476="Reçu",ISNUMBER(R476)),MAX(0,N(U476)-R476),""))</f>
        <v/>
      </c>
      <c r="Z476" s="67" t="str">
        <f>IF(AND(A476="",E476=""),"",IF(A476="","N° de bon manquant",IF(N(B476)=0,"Date de commande manquante",IF(C476="","Fournisseur manquant",IF(ISNA(MATCH($C476,sup_code,0)),"Fournisseur inconnu",IF(E476="","Article manquant",IF(ISNA(MATCH($E476,art_ref,0)),"Article inconnu",IF(N(H476)&lt;=0,"Quantité invalide",IF(J476="","Prix manquant",IF(OR(N(K476)&lt;0,N(K476)&gt;=1),"Remise invalide",IF(M476="","TVA manquante",IF(ISNA(MATCH(M476,p_tva,0)),"Taux de TVA inconnu",IF(COUNTIFS(po_num,A476,po_sup,"&lt;&gt;"&amp;C476)&gt;0,"Fournisseur différent sur ce bon",IF(COUNTIFS(po_num,A476,po_date,"&lt;&gt;"&amp;B476)&gt;0,"Date différente sur ce bon",IF(COUNTIF(po_num,A476)&gt;25,"Plus de 25 lignes sur ce bon",IF(R476="","Date de livraison manquante",IF(R476&lt;B476,"Livraison avant la commande",IF(AND(N(T476)&gt;0,N(S476)=0),"Date d'envoi manquante",IF(N(T476)&gt;N(H476),"Reçu plus que commandé",IF(AND(N(T476)&gt;0,N(U476)=0),"Date de réception manquante",IF(AND(N(U476)&gt;0,U476&lt;B476),"Réception avant la commande","OK")))))))))))))))))))))</f>
        <v/>
      </c>
      <c r="AA476" s="66" t="str">
        <f>IF(AND(X476="Reçu",ISNUMBER(R476)),IF(N(U476)&lt;=R476,1,0),"")</f>
        <v/>
      </c>
      <c r="AB476" s="76" t="str">
        <f>IF(OR(X476="Envoyé",X476="Partiel",X476="En retard"),IF(ISNUMBER(R476),R476,100000)+ROW()/100000,"")</f>
        <v/>
      </c>
      <c r="AC476" s="66" t="str">
        <f>IF(A476="","",IF(COUNTIF($A$6:A476,A476)=1,1,""))</f>
        <v/>
      </c>
      <c r="AD476" s="66" t="str">
        <f>IF(AC476=1,COUNT($AC$6:AC476),"")</f>
        <v/>
      </c>
      <c r="AE476" s="66" t="str">
        <f>IFERROR(INDEX(po_num,MATCH(471,po_seq,0))&amp;"","")</f>
        <v/>
      </c>
      <c r="AF476" s="66" t="str">
        <f>IF(OR(A476="",p_po=""),"",IF(A476&amp;""=p_po,COUNTIF($A$6:A476,A476),""))</f>
        <v/>
      </c>
      <c r="AG476" s="66" t="str">
        <f>IF(OR(AB476="",A476=""),"",IF(COUNTIFS($A$6:A476,A476,$AB$6:AB476,"&gt;0")=1,1,""))</f>
        <v/>
      </c>
      <c r="AH476" s="70" t="str">
        <f>IF(AB476="","",ROUND(N(W476)*N(J476)*(1-N(K476)),2))</f>
        <v/>
      </c>
      <c r="AI476" s="70" t="str">
        <f>IF(OR(J476="",N(T476)&lt;=0,V476="Oui"),"",ROUND(N(T476)*J476*(1-N(K476)),2))</f>
        <v/>
      </c>
    </row>
    <row r="477">
      <c r="A477" s="63" t="n"/>
      <c r="B477" s="64" t="n"/>
      <c r="C477" s="65" t="n"/>
      <c r="D477" s="66" t="str">
        <f>IF(C477="","",IFERROR(INDEX(sup_name,MATCH($C477,sup_code,0))&amp;"","Fournisseur inconnu"))</f>
        <v/>
      </c>
      <c r="E477" s="63" t="n"/>
      <c r="F477" s="66" t="str">
        <f>IF(E477="","",IFERROR(INDEX(art_des,MATCH($E477,art_ref,0))&amp;"","Article inconnu"))</f>
        <v/>
      </c>
      <c r="G477" s="67" t="str">
        <f>IF(E477="","",IFERROR(INDEX(art_unit,MATCH($E477,art_ref,0))&amp;"",""))</f>
        <v/>
      </c>
      <c r="H477" s="68" t="n"/>
      <c r="I477" s="69" t="n"/>
      <c r="J477" s="70" t="str">
        <f>IF(E477="","",IF(ISNUMBER(I477),I477,IFERROR(IF(ISNUMBER(INDEX(art_price,MATCH($E477,art_ref,0))),INDEX(art_price,MATCH($E477,art_ref,0)),""),"")))</f>
        <v/>
      </c>
      <c r="K477" s="71" t="n"/>
      <c r="L477" s="72" t="n"/>
      <c r="M477" s="72" t="str">
        <f>IF(E477="","",IF(L477&lt;&gt;"",L477,IFERROR(IF(ISNUMBER(INDEX(art_tva,MATCH($E477,art_ref,0))),INDEX(art_tva,MATCH($E477,art_ref,0)),""),"")))</f>
        <v/>
      </c>
      <c r="N477" s="70" t="str">
        <f>IF(OR(E477="",J477=""),"",ROUND(N(H477)*J477*(1-N(K477)),2))</f>
        <v/>
      </c>
      <c r="O477" s="70" t="str">
        <f>IF(OR(N477="",NOT(ISNUMBER(M477))),"",ROUND(N477*M477,2))</f>
        <v/>
      </c>
      <c r="P477" s="70" t="str">
        <f>IF(N477="","",N477+N(O477))</f>
        <v/>
      </c>
      <c r="Q477" s="64" t="n"/>
      <c r="R477" s="73" t="str">
        <f>IF(N(Q477)&gt;0,Q477,IF(OR(N(B477)=0,ISNA(MATCH($C477,sup_code,0))),"",IF(ISNUMBER(INDEX(sup_delay,MATCH($C477,sup_code,0))),B477+INDEX(sup_delay,MATCH($C477,sup_code,0)),"")))</f>
        <v/>
      </c>
      <c r="S477" s="64" t="n"/>
      <c r="T477" s="68" t="n"/>
      <c r="U477" s="64" t="n"/>
      <c r="V477" s="65" t="n"/>
      <c r="W477" s="74" t="str">
        <f>IF(AND(A477="",E477=""),"",IF(V477="Oui",0,MAX(0,ROUND(N(H477)-N(T477),6))))</f>
        <v/>
      </c>
      <c r="X477" s="67" t="str">
        <f>IF(AND(A477="",E477=""),"",IF(V477="Oui","Annulé",IF(AND(N(H477)&gt;0,N(T477)&gt;=N(H477)),"Reçu",IF(N(S477)=0,"Brouillon",IF(AND(ISNUMBER(R477),R477&lt;p_today),"En retard",IF(N(T477)&gt;0,"Partiel","Envoyé"))))))</f>
        <v/>
      </c>
      <c r="Y477" s="75" t="str">
        <f>IF(X477="En retard",p_today-R477,IF(AND(X477="Reçu",ISNUMBER(R477)),MAX(0,N(U477)-R477),""))</f>
        <v/>
      </c>
      <c r="Z477" s="67" t="str">
        <f>IF(AND(A477="",E477=""),"",IF(A477="","N° de bon manquant",IF(N(B477)=0,"Date de commande manquante",IF(C477="","Fournisseur manquant",IF(ISNA(MATCH($C477,sup_code,0)),"Fournisseur inconnu",IF(E477="","Article manquant",IF(ISNA(MATCH($E477,art_ref,0)),"Article inconnu",IF(N(H477)&lt;=0,"Quantité invalide",IF(J477="","Prix manquant",IF(OR(N(K477)&lt;0,N(K477)&gt;=1),"Remise invalide",IF(M477="","TVA manquante",IF(ISNA(MATCH(M477,p_tva,0)),"Taux de TVA inconnu",IF(COUNTIFS(po_num,A477,po_sup,"&lt;&gt;"&amp;C477)&gt;0,"Fournisseur différent sur ce bon",IF(COUNTIFS(po_num,A477,po_date,"&lt;&gt;"&amp;B477)&gt;0,"Date différente sur ce bon",IF(COUNTIF(po_num,A477)&gt;25,"Plus de 25 lignes sur ce bon",IF(R477="","Date de livraison manquante",IF(R477&lt;B477,"Livraison avant la commande",IF(AND(N(T477)&gt;0,N(S477)=0),"Date d'envoi manquante",IF(N(T477)&gt;N(H477),"Reçu plus que commandé",IF(AND(N(T477)&gt;0,N(U477)=0),"Date de réception manquante",IF(AND(N(U477)&gt;0,U477&lt;B477),"Réception avant la commande","OK")))))))))))))))))))))</f>
        <v/>
      </c>
      <c r="AA477" s="66" t="str">
        <f>IF(AND(X477="Reçu",ISNUMBER(R477)),IF(N(U477)&lt;=R477,1,0),"")</f>
        <v/>
      </c>
      <c r="AB477" s="76" t="str">
        <f>IF(OR(X477="Envoyé",X477="Partiel",X477="En retard"),IF(ISNUMBER(R477),R477,100000)+ROW()/100000,"")</f>
        <v/>
      </c>
      <c r="AC477" s="66" t="str">
        <f>IF(A477="","",IF(COUNTIF($A$6:A477,A477)=1,1,""))</f>
        <v/>
      </c>
      <c r="AD477" s="66" t="str">
        <f>IF(AC477=1,COUNT($AC$6:AC477),"")</f>
        <v/>
      </c>
      <c r="AE477" s="66" t="str">
        <f>IFERROR(INDEX(po_num,MATCH(472,po_seq,0))&amp;"","")</f>
        <v/>
      </c>
      <c r="AF477" s="66" t="str">
        <f>IF(OR(A477="",p_po=""),"",IF(A477&amp;""=p_po,COUNTIF($A$6:A477,A477),""))</f>
        <v/>
      </c>
      <c r="AG477" s="66" t="str">
        <f>IF(OR(AB477="",A477=""),"",IF(COUNTIFS($A$6:A477,A477,$AB$6:AB477,"&gt;0")=1,1,""))</f>
        <v/>
      </c>
      <c r="AH477" s="70" t="str">
        <f>IF(AB477="","",ROUND(N(W477)*N(J477)*(1-N(K477)),2))</f>
        <v/>
      </c>
      <c r="AI477" s="70" t="str">
        <f>IF(OR(J477="",N(T477)&lt;=0,V477="Oui"),"",ROUND(N(T477)*J477*(1-N(K477)),2))</f>
        <v/>
      </c>
    </row>
    <row r="478">
      <c r="A478" s="63" t="n"/>
      <c r="B478" s="64" t="n"/>
      <c r="C478" s="65" t="n"/>
      <c r="D478" s="66" t="str">
        <f>IF(C478="","",IFERROR(INDEX(sup_name,MATCH($C478,sup_code,0))&amp;"","Fournisseur inconnu"))</f>
        <v/>
      </c>
      <c r="E478" s="63" t="n"/>
      <c r="F478" s="66" t="str">
        <f>IF(E478="","",IFERROR(INDEX(art_des,MATCH($E478,art_ref,0))&amp;"","Article inconnu"))</f>
        <v/>
      </c>
      <c r="G478" s="67" t="str">
        <f>IF(E478="","",IFERROR(INDEX(art_unit,MATCH($E478,art_ref,0))&amp;"",""))</f>
        <v/>
      </c>
      <c r="H478" s="68" t="n"/>
      <c r="I478" s="69" t="n"/>
      <c r="J478" s="70" t="str">
        <f>IF(E478="","",IF(ISNUMBER(I478),I478,IFERROR(IF(ISNUMBER(INDEX(art_price,MATCH($E478,art_ref,0))),INDEX(art_price,MATCH($E478,art_ref,0)),""),"")))</f>
        <v/>
      </c>
      <c r="K478" s="71" t="n"/>
      <c r="L478" s="72" t="n"/>
      <c r="M478" s="72" t="str">
        <f>IF(E478="","",IF(L478&lt;&gt;"",L478,IFERROR(IF(ISNUMBER(INDEX(art_tva,MATCH($E478,art_ref,0))),INDEX(art_tva,MATCH($E478,art_ref,0)),""),"")))</f>
        <v/>
      </c>
      <c r="N478" s="70" t="str">
        <f>IF(OR(E478="",J478=""),"",ROUND(N(H478)*J478*(1-N(K478)),2))</f>
        <v/>
      </c>
      <c r="O478" s="70" t="str">
        <f>IF(OR(N478="",NOT(ISNUMBER(M478))),"",ROUND(N478*M478,2))</f>
        <v/>
      </c>
      <c r="P478" s="70" t="str">
        <f>IF(N478="","",N478+N(O478))</f>
        <v/>
      </c>
      <c r="Q478" s="64" t="n"/>
      <c r="R478" s="73" t="str">
        <f>IF(N(Q478)&gt;0,Q478,IF(OR(N(B478)=0,ISNA(MATCH($C478,sup_code,0))),"",IF(ISNUMBER(INDEX(sup_delay,MATCH($C478,sup_code,0))),B478+INDEX(sup_delay,MATCH($C478,sup_code,0)),"")))</f>
        <v/>
      </c>
      <c r="S478" s="64" t="n"/>
      <c r="T478" s="68" t="n"/>
      <c r="U478" s="64" t="n"/>
      <c r="V478" s="65" t="n"/>
      <c r="W478" s="74" t="str">
        <f>IF(AND(A478="",E478=""),"",IF(V478="Oui",0,MAX(0,ROUND(N(H478)-N(T478),6))))</f>
        <v/>
      </c>
      <c r="X478" s="67" t="str">
        <f>IF(AND(A478="",E478=""),"",IF(V478="Oui","Annulé",IF(AND(N(H478)&gt;0,N(T478)&gt;=N(H478)),"Reçu",IF(N(S478)=0,"Brouillon",IF(AND(ISNUMBER(R478),R478&lt;p_today),"En retard",IF(N(T478)&gt;0,"Partiel","Envoyé"))))))</f>
        <v/>
      </c>
      <c r="Y478" s="75" t="str">
        <f>IF(X478="En retard",p_today-R478,IF(AND(X478="Reçu",ISNUMBER(R478)),MAX(0,N(U478)-R478),""))</f>
        <v/>
      </c>
      <c r="Z478" s="67" t="str">
        <f>IF(AND(A478="",E478=""),"",IF(A478="","N° de bon manquant",IF(N(B478)=0,"Date de commande manquante",IF(C478="","Fournisseur manquant",IF(ISNA(MATCH($C478,sup_code,0)),"Fournisseur inconnu",IF(E478="","Article manquant",IF(ISNA(MATCH($E478,art_ref,0)),"Article inconnu",IF(N(H478)&lt;=0,"Quantité invalide",IF(J478="","Prix manquant",IF(OR(N(K478)&lt;0,N(K478)&gt;=1),"Remise invalide",IF(M478="","TVA manquante",IF(ISNA(MATCH(M478,p_tva,0)),"Taux de TVA inconnu",IF(COUNTIFS(po_num,A478,po_sup,"&lt;&gt;"&amp;C478)&gt;0,"Fournisseur différent sur ce bon",IF(COUNTIFS(po_num,A478,po_date,"&lt;&gt;"&amp;B478)&gt;0,"Date différente sur ce bon",IF(COUNTIF(po_num,A478)&gt;25,"Plus de 25 lignes sur ce bon",IF(R478="","Date de livraison manquante",IF(R478&lt;B478,"Livraison avant la commande",IF(AND(N(T478)&gt;0,N(S478)=0),"Date d'envoi manquante",IF(N(T478)&gt;N(H478),"Reçu plus que commandé",IF(AND(N(T478)&gt;0,N(U478)=0),"Date de réception manquante",IF(AND(N(U478)&gt;0,U478&lt;B478),"Réception avant la commande","OK")))))))))))))))))))))</f>
        <v/>
      </c>
      <c r="AA478" s="66" t="str">
        <f>IF(AND(X478="Reçu",ISNUMBER(R478)),IF(N(U478)&lt;=R478,1,0),"")</f>
        <v/>
      </c>
      <c r="AB478" s="76" t="str">
        <f>IF(OR(X478="Envoyé",X478="Partiel",X478="En retard"),IF(ISNUMBER(R478),R478,100000)+ROW()/100000,"")</f>
        <v/>
      </c>
      <c r="AC478" s="66" t="str">
        <f>IF(A478="","",IF(COUNTIF($A$6:A478,A478)=1,1,""))</f>
        <v/>
      </c>
      <c r="AD478" s="66" t="str">
        <f>IF(AC478=1,COUNT($AC$6:AC478),"")</f>
        <v/>
      </c>
      <c r="AE478" s="66" t="str">
        <f>IFERROR(INDEX(po_num,MATCH(473,po_seq,0))&amp;"","")</f>
        <v/>
      </c>
      <c r="AF478" s="66" t="str">
        <f>IF(OR(A478="",p_po=""),"",IF(A478&amp;""=p_po,COUNTIF($A$6:A478,A478),""))</f>
        <v/>
      </c>
      <c r="AG478" s="66" t="str">
        <f>IF(OR(AB478="",A478=""),"",IF(COUNTIFS($A$6:A478,A478,$AB$6:AB478,"&gt;0")=1,1,""))</f>
        <v/>
      </c>
      <c r="AH478" s="70" t="str">
        <f>IF(AB478="","",ROUND(N(W478)*N(J478)*(1-N(K478)),2))</f>
        <v/>
      </c>
      <c r="AI478" s="70" t="str">
        <f>IF(OR(J478="",N(T478)&lt;=0,V478="Oui"),"",ROUND(N(T478)*J478*(1-N(K478)),2))</f>
        <v/>
      </c>
    </row>
    <row r="479">
      <c r="A479" s="63" t="n"/>
      <c r="B479" s="64" t="n"/>
      <c r="C479" s="65" t="n"/>
      <c r="D479" s="66" t="str">
        <f>IF(C479="","",IFERROR(INDEX(sup_name,MATCH($C479,sup_code,0))&amp;"","Fournisseur inconnu"))</f>
        <v/>
      </c>
      <c r="E479" s="63" t="n"/>
      <c r="F479" s="66" t="str">
        <f>IF(E479="","",IFERROR(INDEX(art_des,MATCH($E479,art_ref,0))&amp;"","Article inconnu"))</f>
        <v/>
      </c>
      <c r="G479" s="67" t="str">
        <f>IF(E479="","",IFERROR(INDEX(art_unit,MATCH($E479,art_ref,0))&amp;"",""))</f>
        <v/>
      </c>
      <c r="H479" s="68" t="n"/>
      <c r="I479" s="69" t="n"/>
      <c r="J479" s="70" t="str">
        <f>IF(E479="","",IF(ISNUMBER(I479),I479,IFERROR(IF(ISNUMBER(INDEX(art_price,MATCH($E479,art_ref,0))),INDEX(art_price,MATCH($E479,art_ref,0)),""),"")))</f>
        <v/>
      </c>
      <c r="K479" s="71" t="n"/>
      <c r="L479" s="72" t="n"/>
      <c r="M479" s="72" t="str">
        <f>IF(E479="","",IF(L479&lt;&gt;"",L479,IFERROR(IF(ISNUMBER(INDEX(art_tva,MATCH($E479,art_ref,0))),INDEX(art_tva,MATCH($E479,art_ref,0)),""),"")))</f>
        <v/>
      </c>
      <c r="N479" s="70" t="str">
        <f>IF(OR(E479="",J479=""),"",ROUND(N(H479)*J479*(1-N(K479)),2))</f>
        <v/>
      </c>
      <c r="O479" s="70" t="str">
        <f>IF(OR(N479="",NOT(ISNUMBER(M479))),"",ROUND(N479*M479,2))</f>
        <v/>
      </c>
      <c r="P479" s="70" t="str">
        <f>IF(N479="","",N479+N(O479))</f>
        <v/>
      </c>
      <c r="Q479" s="64" t="n"/>
      <c r="R479" s="73" t="str">
        <f>IF(N(Q479)&gt;0,Q479,IF(OR(N(B479)=0,ISNA(MATCH($C479,sup_code,0))),"",IF(ISNUMBER(INDEX(sup_delay,MATCH($C479,sup_code,0))),B479+INDEX(sup_delay,MATCH($C479,sup_code,0)),"")))</f>
        <v/>
      </c>
      <c r="S479" s="64" t="n"/>
      <c r="T479" s="68" t="n"/>
      <c r="U479" s="64" t="n"/>
      <c r="V479" s="65" t="n"/>
      <c r="W479" s="74" t="str">
        <f>IF(AND(A479="",E479=""),"",IF(V479="Oui",0,MAX(0,ROUND(N(H479)-N(T479),6))))</f>
        <v/>
      </c>
      <c r="X479" s="67" t="str">
        <f>IF(AND(A479="",E479=""),"",IF(V479="Oui","Annulé",IF(AND(N(H479)&gt;0,N(T479)&gt;=N(H479)),"Reçu",IF(N(S479)=0,"Brouillon",IF(AND(ISNUMBER(R479),R479&lt;p_today),"En retard",IF(N(T479)&gt;0,"Partiel","Envoyé"))))))</f>
        <v/>
      </c>
      <c r="Y479" s="75" t="str">
        <f>IF(X479="En retard",p_today-R479,IF(AND(X479="Reçu",ISNUMBER(R479)),MAX(0,N(U479)-R479),""))</f>
        <v/>
      </c>
      <c r="Z479" s="67" t="str">
        <f>IF(AND(A479="",E479=""),"",IF(A479="","N° de bon manquant",IF(N(B479)=0,"Date de commande manquante",IF(C479="","Fournisseur manquant",IF(ISNA(MATCH($C479,sup_code,0)),"Fournisseur inconnu",IF(E479="","Article manquant",IF(ISNA(MATCH($E479,art_ref,0)),"Article inconnu",IF(N(H479)&lt;=0,"Quantité invalide",IF(J479="","Prix manquant",IF(OR(N(K479)&lt;0,N(K479)&gt;=1),"Remise invalide",IF(M479="","TVA manquante",IF(ISNA(MATCH(M479,p_tva,0)),"Taux de TVA inconnu",IF(COUNTIFS(po_num,A479,po_sup,"&lt;&gt;"&amp;C479)&gt;0,"Fournisseur différent sur ce bon",IF(COUNTIFS(po_num,A479,po_date,"&lt;&gt;"&amp;B479)&gt;0,"Date différente sur ce bon",IF(COUNTIF(po_num,A479)&gt;25,"Plus de 25 lignes sur ce bon",IF(R479="","Date de livraison manquante",IF(R479&lt;B479,"Livraison avant la commande",IF(AND(N(T479)&gt;0,N(S479)=0),"Date d'envoi manquante",IF(N(T479)&gt;N(H479),"Reçu plus que commandé",IF(AND(N(T479)&gt;0,N(U479)=0),"Date de réception manquante",IF(AND(N(U479)&gt;0,U479&lt;B479),"Réception avant la commande","OK")))))))))))))))))))))</f>
        <v/>
      </c>
      <c r="AA479" s="66" t="str">
        <f>IF(AND(X479="Reçu",ISNUMBER(R479)),IF(N(U479)&lt;=R479,1,0),"")</f>
        <v/>
      </c>
      <c r="AB479" s="76" t="str">
        <f>IF(OR(X479="Envoyé",X479="Partiel",X479="En retard"),IF(ISNUMBER(R479),R479,100000)+ROW()/100000,"")</f>
        <v/>
      </c>
      <c r="AC479" s="66" t="str">
        <f>IF(A479="","",IF(COUNTIF($A$6:A479,A479)=1,1,""))</f>
        <v/>
      </c>
      <c r="AD479" s="66" t="str">
        <f>IF(AC479=1,COUNT($AC$6:AC479),"")</f>
        <v/>
      </c>
      <c r="AE479" s="66" t="str">
        <f>IFERROR(INDEX(po_num,MATCH(474,po_seq,0))&amp;"","")</f>
        <v/>
      </c>
      <c r="AF479" s="66" t="str">
        <f>IF(OR(A479="",p_po=""),"",IF(A479&amp;""=p_po,COUNTIF($A$6:A479,A479),""))</f>
        <v/>
      </c>
      <c r="AG479" s="66" t="str">
        <f>IF(OR(AB479="",A479=""),"",IF(COUNTIFS($A$6:A479,A479,$AB$6:AB479,"&gt;0")=1,1,""))</f>
        <v/>
      </c>
      <c r="AH479" s="70" t="str">
        <f>IF(AB479="","",ROUND(N(W479)*N(J479)*(1-N(K479)),2))</f>
        <v/>
      </c>
      <c r="AI479" s="70" t="str">
        <f>IF(OR(J479="",N(T479)&lt;=0,V479="Oui"),"",ROUND(N(T479)*J479*(1-N(K479)),2))</f>
        <v/>
      </c>
    </row>
    <row r="480">
      <c r="A480" s="63" t="n"/>
      <c r="B480" s="64" t="n"/>
      <c r="C480" s="65" t="n"/>
      <c r="D480" s="66" t="str">
        <f>IF(C480="","",IFERROR(INDEX(sup_name,MATCH($C480,sup_code,0))&amp;"","Fournisseur inconnu"))</f>
        <v/>
      </c>
      <c r="E480" s="63" t="n"/>
      <c r="F480" s="66" t="str">
        <f>IF(E480="","",IFERROR(INDEX(art_des,MATCH($E480,art_ref,0))&amp;"","Article inconnu"))</f>
        <v/>
      </c>
      <c r="G480" s="67" t="str">
        <f>IF(E480="","",IFERROR(INDEX(art_unit,MATCH($E480,art_ref,0))&amp;"",""))</f>
        <v/>
      </c>
      <c r="H480" s="68" t="n"/>
      <c r="I480" s="69" t="n"/>
      <c r="J480" s="70" t="str">
        <f>IF(E480="","",IF(ISNUMBER(I480),I480,IFERROR(IF(ISNUMBER(INDEX(art_price,MATCH($E480,art_ref,0))),INDEX(art_price,MATCH($E480,art_ref,0)),""),"")))</f>
        <v/>
      </c>
      <c r="K480" s="71" t="n"/>
      <c r="L480" s="72" t="n"/>
      <c r="M480" s="72" t="str">
        <f>IF(E480="","",IF(L480&lt;&gt;"",L480,IFERROR(IF(ISNUMBER(INDEX(art_tva,MATCH($E480,art_ref,0))),INDEX(art_tva,MATCH($E480,art_ref,0)),""),"")))</f>
        <v/>
      </c>
      <c r="N480" s="70" t="str">
        <f>IF(OR(E480="",J480=""),"",ROUND(N(H480)*J480*(1-N(K480)),2))</f>
        <v/>
      </c>
      <c r="O480" s="70" t="str">
        <f>IF(OR(N480="",NOT(ISNUMBER(M480))),"",ROUND(N480*M480,2))</f>
        <v/>
      </c>
      <c r="P480" s="70" t="str">
        <f>IF(N480="","",N480+N(O480))</f>
        <v/>
      </c>
      <c r="Q480" s="64" t="n"/>
      <c r="R480" s="73" t="str">
        <f>IF(N(Q480)&gt;0,Q480,IF(OR(N(B480)=0,ISNA(MATCH($C480,sup_code,0))),"",IF(ISNUMBER(INDEX(sup_delay,MATCH($C480,sup_code,0))),B480+INDEX(sup_delay,MATCH($C480,sup_code,0)),"")))</f>
        <v/>
      </c>
      <c r="S480" s="64" t="n"/>
      <c r="T480" s="68" t="n"/>
      <c r="U480" s="64" t="n"/>
      <c r="V480" s="65" t="n"/>
      <c r="W480" s="74" t="str">
        <f>IF(AND(A480="",E480=""),"",IF(V480="Oui",0,MAX(0,ROUND(N(H480)-N(T480),6))))</f>
        <v/>
      </c>
      <c r="X480" s="67" t="str">
        <f>IF(AND(A480="",E480=""),"",IF(V480="Oui","Annulé",IF(AND(N(H480)&gt;0,N(T480)&gt;=N(H480)),"Reçu",IF(N(S480)=0,"Brouillon",IF(AND(ISNUMBER(R480),R480&lt;p_today),"En retard",IF(N(T480)&gt;0,"Partiel","Envoyé"))))))</f>
        <v/>
      </c>
      <c r="Y480" s="75" t="str">
        <f>IF(X480="En retard",p_today-R480,IF(AND(X480="Reçu",ISNUMBER(R480)),MAX(0,N(U480)-R480),""))</f>
        <v/>
      </c>
      <c r="Z480" s="67" t="str">
        <f>IF(AND(A480="",E480=""),"",IF(A480="","N° de bon manquant",IF(N(B480)=0,"Date de commande manquante",IF(C480="","Fournisseur manquant",IF(ISNA(MATCH($C480,sup_code,0)),"Fournisseur inconnu",IF(E480="","Article manquant",IF(ISNA(MATCH($E480,art_ref,0)),"Article inconnu",IF(N(H480)&lt;=0,"Quantité invalide",IF(J480="","Prix manquant",IF(OR(N(K480)&lt;0,N(K480)&gt;=1),"Remise invalide",IF(M480="","TVA manquante",IF(ISNA(MATCH(M480,p_tva,0)),"Taux de TVA inconnu",IF(COUNTIFS(po_num,A480,po_sup,"&lt;&gt;"&amp;C480)&gt;0,"Fournisseur différent sur ce bon",IF(COUNTIFS(po_num,A480,po_date,"&lt;&gt;"&amp;B480)&gt;0,"Date différente sur ce bon",IF(COUNTIF(po_num,A480)&gt;25,"Plus de 25 lignes sur ce bon",IF(R480="","Date de livraison manquante",IF(R480&lt;B480,"Livraison avant la commande",IF(AND(N(T480)&gt;0,N(S480)=0),"Date d'envoi manquante",IF(N(T480)&gt;N(H480),"Reçu plus que commandé",IF(AND(N(T480)&gt;0,N(U480)=0),"Date de réception manquante",IF(AND(N(U480)&gt;0,U480&lt;B480),"Réception avant la commande","OK")))))))))))))))))))))</f>
        <v/>
      </c>
      <c r="AA480" s="66" t="str">
        <f>IF(AND(X480="Reçu",ISNUMBER(R480)),IF(N(U480)&lt;=R480,1,0),"")</f>
        <v/>
      </c>
      <c r="AB480" s="76" t="str">
        <f>IF(OR(X480="Envoyé",X480="Partiel",X480="En retard"),IF(ISNUMBER(R480),R480,100000)+ROW()/100000,"")</f>
        <v/>
      </c>
      <c r="AC480" s="66" t="str">
        <f>IF(A480="","",IF(COUNTIF($A$6:A480,A480)=1,1,""))</f>
        <v/>
      </c>
      <c r="AD480" s="66" t="str">
        <f>IF(AC480=1,COUNT($AC$6:AC480),"")</f>
        <v/>
      </c>
      <c r="AE480" s="66" t="str">
        <f>IFERROR(INDEX(po_num,MATCH(475,po_seq,0))&amp;"","")</f>
        <v/>
      </c>
      <c r="AF480" s="66" t="str">
        <f>IF(OR(A480="",p_po=""),"",IF(A480&amp;""=p_po,COUNTIF($A$6:A480,A480),""))</f>
        <v/>
      </c>
      <c r="AG480" s="66" t="str">
        <f>IF(OR(AB480="",A480=""),"",IF(COUNTIFS($A$6:A480,A480,$AB$6:AB480,"&gt;0")=1,1,""))</f>
        <v/>
      </c>
      <c r="AH480" s="70" t="str">
        <f>IF(AB480="","",ROUND(N(W480)*N(J480)*(1-N(K480)),2))</f>
        <v/>
      </c>
      <c r="AI480" s="70" t="str">
        <f>IF(OR(J480="",N(T480)&lt;=0,V480="Oui"),"",ROUND(N(T480)*J480*(1-N(K480)),2))</f>
        <v/>
      </c>
    </row>
    <row r="481">
      <c r="A481" s="63" t="n"/>
      <c r="B481" s="64" t="n"/>
      <c r="C481" s="65" t="n"/>
      <c r="D481" s="66" t="str">
        <f>IF(C481="","",IFERROR(INDEX(sup_name,MATCH($C481,sup_code,0))&amp;"","Fournisseur inconnu"))</f>
        <v/>
      </c>
      <c r="E481" s="63" t="n"/>
      <c r="F481" s="66" t="str">
        <f>IF(E481="","",IFERROR(INDEX(art_des,MATCH($E481,art_ref,0))&amp;"","Article inconnu"))</f>
        <v/>
      </c>
      <c r="G481" s="67" t="str">
        <f>IF(E481="","",IFERROR(INDEX(art_unit,MATCH($E481,art_ref,0))&amp;"",""))</f>
        <v/>
      </c>
      <c r="H481" s="68" t="n"/>
      <c r="I481" s="69" t="n"/>
      <c r="J481" s="70" t="str">
        <f>IF(E481="","",IF(ISNUMBER(I481),I481,IFERROR(IF(ISNUMBER(INDEX(art_price,MATCH($E481,art_ref,0))),INDEX(art_price,MATCH($E481,art_ref,0)),""),"")))</f>
        <v/>
      </c>
      <c r="K481" s="71" t="n"/>
      <c r="L481" s="72" t="n"/>
      <c r="M481" s="72" t="str">
        <f>IF(E481="","",IF(L481&lt;&gt;"",L481,IFERROR(IF(ISNUMBER(INDEX(art_tva,MATCH($E481,art_ref,0))),INDEX(art_tva,MATCH($E481,art_ref,0)),""),"")))</f>
        <v/>
      </c>
      <c r="N481" s="70" t="str">
        <f>IF(OR(E481="",J481=""),"",ROUND(N(H481)*J481*(1-N(K481)),2))</f>
        <v/>
      </c>
      <c r="O481" s="70" t="str">
        <f>IF(OR(N481="",NOT(ISNUMBER(M481))),"",ROUND(N481*M481,2))</f>
        <v/>
      </c>
      <c r="P481" s="70" t="str">
        <f>IF(N481="","",N481+N(O481))</f>
        <v/>
      </c>
      <c r="Q481" s="64" t="n"/>
      <c r="R481" s="73" t="str">
        <f>IF(N(Q481)&gt;0,Q481,IF(OR(N(B481)=0,ISNA(MATCH($C481,sup_code,0))),"",IF(ISNUMBER(INDEX(sup_delay,MATCH($C481,sup_code,0))),B481+INDEX(sup_delay,MATCH($C481,sup_code,0)),"")))</f>
        <v/>
      </c>
      <c r="S481" s="64" t="n"/>
      <c r="T481" s="68" t="n"/>
      <c r="U481" s="64" t="n"/>
      <c r="V481" s="65" t="n"/>
      <c r="W481" s="74" t="str">
        <f>IF(AND(A481="",E481=""),"",IF(V481="Oui",0,MAX(0,ROUND(N(H481)-N(T481),6))))</f>
        <v/>
      </c>
      <c r="X481" s="67" t="str">
        <f>IF(AND(A481="",E481=""),"",IF(V481="Oui","Annulé",IF(AND(N(H481)&gt;0,N(T481)&gt;=N(H481)),"Reçu",IF(N(S481)=0,"Brouillon",IF(AND(ISNUMBER(R481),R481&lt;p_today),"En retard",IF(N(T481)&gt;0,"Partiel","Envoyé"))))))</f>
        <v/>
      </c>
      <c r="Y481" s="75" t="str">
        <f>IF(X481="En retard",p_today-R481,IF(AND(X481="Reçu",ISNUMBER(R481)),MAX(0,N(U481)-R481),""))</f>
        <v/>
      </c>
      <c r="Z481" s="67" t="str">
        <f>IF(AND(A481="",E481=""),"",IF(A481="","N° de bon manquant",IF(N(B481)=0,"Date de commande manquante",IF(C481="","Fournisseur manquant",IF(ISNA(MATCH($C481,sup_code,0)),"Fournisseur inconnu",IF(E481="","Article manquant",IF(ISNA(MATCH($E481,art_ref,0)),"Article inconnu",IF(N(H481)&lt;=0,"Quantité invalide",IF(J481="","Prix manquant",IF(OR(N(K481)&lt;0,N(K481)&gt;=1),"Remise invalide",IF(M481="","TVA manquante",IF(ISNA(MATCH(M481,p_tva,0)),"Taux de TVA inconnu",IF(COUNTIFS(po_num,A481,po_sup,"&lt;&gt;"&amp;C481)&gt;0,"Fournisseur différent sur ce bon",IF(COUNTIFS(po_num,A481,po_date,"&lt;&gt;"&amp;B481)&gt;0,"Date différente sur ce bon",IF(COUNTIF(po_num,A481)&gt;25,"Plus de 25 lignes sur ce bon",IF(R481="","Date de livraison manquante",IF(R481&lt;B481,"Livraison avant la commande",IF(AND(N(T481)&gt;0,N(S481)=0),"Date d'envoi manquante",IF(N(T481)&gt;N(H481),"Reçu plus que commandé",IF(AND(N(T481)&gt;0,N(U481)=0),"Date de réception manquante",IF(AND(N(U481)&gt;0,U481&lt;B481),"Réception avant la commande","OK")))))))))))))))))))))</f>
        <v/>
      </c>
      <c r="AA481" s="66" t="str">
        <f>IF(AND(X481="Reçu",ISNUMBER(R481)),IF(N(U481)&lt;=R481,1,0),"")</f>
        <v/>
      </c>
      <c r="AB481" s="76" t="str">
        <f>IF(OR(X481="Envoyé",X481="Partiel",X481="En retard"),IF(ISNUMBER(R481),R481,100000)+ROW()/100000,"")</f>
        <v/>
      </c>
      <c r="AC481" s="66" t="str">
        <f>IF(A481="","",IF(COUNTIF($A$6:A481,A481)=1,1,""))</f>
        <v/>
      </c>
      <c r="AD481" s="66" t="str">
        <f>IF(AC481=1,COUNT($AC$6:AC481),"")</f>
        <v/>
      </c>
      <c r="AE481" s="66" t="str">
        <f>IFERROR(INDEX(po_num,MATCH(476,po_seq,0))&amp;"","")</f>
        <v/>
      </c>
      <c r="AF481" s="66" t="str">
        <f>IF(OR(A481="",p_po=""),"",IF(A481&amp;""=p_po,COUNTIF($A$6:A481,A481),""))</f>
        <v/>
      </c>
      <c r="AG481" s="66" t="str">
        <f>IF(OR(AB481="",A481=""),"",IF(COUNTIFS($A$6:A481,A481,$AB$6:AB481,"&gt;0")=1,1,""))</f>
        <v/>
      </c>
      <c r="AH481" s="70" t="str">
        <f>IF(AB481="","",ROUND(N(W481)*N(J481)*(1-N(K481)),2))</f>
        <v/>
      </c>
      <c r="AI481" s="70" t="str">
        <f>IF(OR(J481="",N(T481)&lt;=0,V481="Oui"),"",ROUND(N(T481)*J481*(1-N(K481)),2))</f>
        <v/>
      </c>
    </row>
    <row r="482">
      <c r="A482" s="63" t="n"/>
      <c r="B482" s="64" t="n"/>
      <c r="C482" s="65" t="n"/>
      <c r="D482" s="66" t="str">
        <f>IF(C482="","",IFERROR(INDEX(sup_name,MATCH($C482,sup_code,0))&amp;"","Fournisseur inconnu"))</f>
        <v/>
      </c>
      <c r="E482" s="63" t="n"/>
      <c r="F482" s="66" t="str">
        <f>IF(E482="","",IFERROR(INDEX(art_des,MATCH($E482,art_ref,0))&amp;"","Article inconnu"))</f>
        <v/>
      </c>
      <c r="G482" s="67" t="str">
        <f>IF(E482="","",IFERROR(INDEX(art_unit,MATCH($E482,art_ref,0))&amp;"",""))</f>
        <v/>
      </c>
      <c r="H482" s="68" t="n"/>
      <c r="I482" s="69" t="n"/>
      <c r="J482" s="70" t="str">
        <f>IF(E482="","",IF(ISNUMBER(I482),I482,IFERROR(IF(ISNUMBER(INDEX(art_price,MATCH($E482,art_ref,0))),INDEX(art_price,MATCH($E482,art_ref,0)),""),"")))</f>
        <v/>
      </c>
      <c r="K482" s="71" t="n"/>
      <c r="L482" s="72" t="n"/>
      <c r="M482" s="72" t="str">
        <f>IF(E482="","",IF(L482&lt;&gt;"",L482,IFERROR(IF(ISNUMBER(INDEX(art_tva,MATCH($E482,art_ref,0))),INDEX(art_tva,MATCH($E482,art_ref,0)),""),"")))</f>
        <v/>
      </c>
      <c r="N482" s="70" t="str">
        <f>IF(OR(E482="",J482=""),"",ROUND(N(H482)*J482*(1-N(K482)),2))</f>
        <v/>
      </c>
      <c r="O482" s="70" t="str">
        <f>IF(OR(N482="",NOT(ISNUMBER(M482))),"",ROUND(N482*M482,2))</f>
        <v/>
      </c>
      <c r="P482" s="70" t="str">
        <f>IF(N482="","",N482+N(O482))</f>
        <v/>
      </c>
      <c r="Q482" s="64" t="n"/>
      <c r="R482" s="73" t="str">
        <f>IF(N(Q482)&gt;0,Q482,IF(OR(N(B482)=0,ISNA(MATCH($C482,sup_code,0))),"",IF(ISNUMBER(INDEX(sup_delay,MATCH($C482,sup_code,0))),B482+INDEX(sup_delay,MATCH($C482,sup_code,0)),"")))</f>
        <v/>
      </c>
      <c r="S482" s="64" t="n"/>
      <c r="T482" s="68" t="n"/>
      <c r="U482" s="64" t="n"/>
      <c r="V482" s="65" t="n"/>
      <c r="W482" s="74" t="str">
        <f>IF(AND(A482="",E482=""),"",IF(V482="Oui",0,MAX(0,ROUND(N(H482)-N(T482),6))))</f>
        <v/>
      </c>
      <c r="X482" s="67" t="str">
        <f>IF(AND(A482="",E482=""),"",IF(V482="Oui","Annulé",IF(AND(N(H482)&gt;0,N(T482)&gt;=N(H482)),"Reçu",IF(N(S482)=0,"Brouillon",IF(AND(ISNUMBER(R482),R482&lt;p_today),"En retard",IF(N(T482)&gt;0,"Partiel","Envoyé"))))))</f>
        <v/>
      </c>
      <c r="Y482" s="75" t="str">
        <f>IF(X482="En retard",p_today-R482,IF(AND(X482="Reçu",ISNUMBER(R482)),MAX(0,N(U482)-R482),""))</f>
        <v/>
      </c>
      <c r="Z482" s="67" t="str">
        <f>IF(AND(A482="",E482=""),"",IF(A482="","N° de bon manquant",IF(N(B482)=0,"Date de commande manquante",IF(C482="","Fournisseur manquant",IF(ISNA(MATCH($C482,sup_code,0)),"Fournisseur inconnu",IF(E482="","Article manquant",IF(ISNA(MATCH($E482,art_ref,0)),"Article inconnu",IF(N(H482)&lt;=0,"Quantité invalide",IF(J482="","Prix manquant",IF(OR(N(K482)&lt;0,N(K482)&gt;=1),"Remise invalide",IF(M482="","TVA manquante",IF(ISNA(MATCH(M482,p_tva,0)),"Taux de TVA inconnu",IF(COUNTIFS(po_num,A482,po_sup,"&lt;&gt;"&amp;C482)&gt;0,"Fournisseur différent sur ce bon",IF(COUNTIFS(po_num,A482,po_date,"&lt;&gt;"&amp;B482)&gt;0,"Date différente sur ce bon",IF(COUNTIF(po_num,A482)&gt;25,"Plus de 25 lignes sur ce bon",IF(R482="","Date de livraison manquante",IF(R482&lt;B482,"Livraison avant la commande",IF(AND(N(T482)&gt;0,N(S482)=0),"Date d'envoi manquante",IF(N(T482)&gt;N(H482),"Reçu plus que commandé",IF(AND(N(T482)&gt;0,N(U482)=0),"Date de réception manquante",IF(AND(N(U482)&gt;0,U482&lt;B482),"Réception avant la commande","OK")))))))))))))))))))))</f>
        <v/>
      </c>
      <c r="AA482" s="66" t="str">
        <f>IF(AND(X482="Reçu",ISNUMBER(R482)),IF(N(U482)&lt;=R482,1,0),"")</f>
        <v/>
      </c>
      <c r="AB482" s="76" t="str">
        <f>IF(OR(X482="Envoyé",X482="Partiel",X482="En retard"),IF(ISNUMBER(R482),R482,100000)+ROW()/100000,"")</f>
        <v/>
      </c>
      <c r="AC482" s="66" t="str">
        <f>IF(A482="","",IF(COUNTIF($A$6:A482,A482)=1,1,""))</f>
        <v/>
      </c>
      <c r="AD482" s="66" t="str">
        <f>IF(AC482=1,COUNT($AC$6:AC482),"")</f>
        <v/>
      </c>
      <c r="AE482" s="66" t="str">
        <f>IFERROR(INDEX(po_num,MATCH(477,po_seq,0))&amp;"","")</f>
        <v/>
      </c>
      <c r="AF482" s="66" t="str">
        <f>IF(OR(A482="",p_po=""),"",IF(A482&amp;""=p_po,COUNTIF($A$6:A482,A482),""))</f>
        <v/>
      </c>
      <c r="AG482" s="66" t="str">
        <f>IF(OR(AB482="",A482=""),"",IF(COUNTIFS($A$6:A482,A482,$AB$6:AB482,"&gt;0")=1,1,""))</f>
        <v/>
      </c>
      <c r="AH482" s="70" t="str">
        <f>IF(AB482="","",ROUND(N(W482)*N(J482)*(1-N(K482)),2))</f>
        <v/>
      </c>
      <c r="AI482" s="70" t="str">
        <f>IF(OR(J482="",N(T482)&lt;=0,V482="Oui"),"",ROUND(N(T482)*J482*(1-N(K482)),2))</f>
        <v/>
      </c>
    </row>
    <row r="483">
      <c r="A483" s="63" t="n"/>
      <c r="B483" s="64" t="n"/>
      <c r="C483" s="65" t="n"/>
      <c r="D483" s="66" t="str">
        <f>IF(C483="","",IFERROR(INDEX(sup_name,MATCH($C483,sup_code,0))&amp;"","Fournisseur inconnu"))</f>
        <v/>
      </c>
      <c r="E483" s="63" t="n"/>
      <c r="F483" s="66" t="str">
        <f>IF(E483="","",IFERROR(INDEX(art_des,MATCH($E483,art_ref,0))&amp;"","Article inconnu"))</f>
        <v/>
      </c>
      <c r="G483" s="67" t="str">
        <f>IF(E483="","",IFERROR(INDEX(art_unit,MATCH($E483,art_ref,0))&amp;"",""))</f>
        <v/>
      </c>
      <c r="H483" s="68" t="n"/>
      <c r="I483" s="69" t="n"/>
      <c r="J483" s="70" t="str">
        <f>IF(E483="","",IF(ISNUMBER(I483),I483,IFERROR(IF(ISNUMBER(INDEX(art_price,MATCH($E483,art_ref,0))),INDEX(art_price,MATCH($E483,art_ref,0)),""),"")))</f>
        <v/>
      </c>
      <c r="K483" s="71" t="n"/>
      <c r="L483" s="72" t="n"/>
      <c r="M483" s="72" t="str">
        <f>IF(E483="","",IF(L483&lt;&gt;"",L483,IFERROR(IF(ISNUMBER(INDEX(art_tva,MATCH($E483,art_ref,0))),INDEX(art_tva,MATCH($E483,art_ref,0)),""),"")))</f>
        <v/>
      </c>
      <c r="N483" s="70" t="str">
        <f>IF(OR(E483="",J483=""),"",ROUND(N(H483)*J483*(1-N(K483)),2))</f>
        <v/>
      </c>
      <c r="O483" s="70" t="str">
        <f>IF(OR(N483="",NOT(ISNUMBER(M483))),"",ROUND(N483*M483,2))</f>
        <v/>
      </c>
      <c r="P483" s="70" t="str">
        <f>IF(N483="","",N483+N(O483))</f>
        <v/>
      </c>
      <c r="Q483" s="64" t="n"/>
      <c r="R483" s="73" t="str">
        <f>IF(N(Q483)&gt;0,Q483,IF(OR(N(B483)=0,ISNA(MATCH($C483,sup_code,0))),"",IF(ISNUMBER(INDEX(sup_delay,MATCH($C483,sup_code,0))),B483+INDEX(sup_delay,MATCH($C483,sup_code,0)),"")))</f>
        <v/>
      </c>
      <c r="S483" s="64" t="n"/>
      <c r="T483" s="68" t="n"/>
      <c r="U483" s="64" t="n"/>
      <c r="V483" s="65" t="n"/>
      <c r="W483" s="74" t="str">
        <f>IF(AND(A483="",E483=""),"",IF(V483="Oui",0,MAX(0,ROUND(N(H483)-N(T483),6))))</f>
        <v/>
      </c>
      <c r="X483" s="67" t="str">
        <f>IF(AND(A483="",E483=""),"",IF(V483="Oui","Annulé",IF(AND(N(H483)&gt;0,N(T483)&gt;=N(H483)),"Reçu",IF(N(S483)=0,"Brouillon",IF(AND(ISNUMBER(R483),R483&lt;p_today),"En retard",IF(N(T483)&gt;0,"Partiel","Envoyé"))))))</f>
        <v/>
      </c>
      <c r="Y483" s="75" t="str">
        <f>IF(X483="En retard",p_today-R483,IF(AND(X483="Reçu",ISNUMBER(R483)),MAX(0,N(U483)-R483),""))</f>
        <v/>
      </c>
      <c r="Z483" s="67" t="str">
        <f>IF(AND(A483="",E483=""),"",IF(A483="","N° de bon manquant",IF(N(B483)=0,"Date de commande manquante",IF(C483="","Fournisseur manquant",IF(ISNA(MATCH($C483,sup_code,0)),"Fournisseur inconnu",IF(E483="","Article manquant",IF(ISNA(MATCH($E483,art_ref,0)),"Article inconnu",IF(N(H483)&lt;=0,"Quantité invalide",IF(J483="","Prix manquant",IF(OR(N(K483)&lt;0,N(K483)&gt;=1),"Remise invalide",IF(M483="","TVA manquante",IF(ISNA(MATCH(M483,p_tva,0)),"Taux de TVA inconnu",IF(COUNTIFS(po_num,A483,po_sup,"&lt;&gt;"&amp;C483)&gt;0,"Fournisseur différent sur ce bon",IF(COUNTIFS(po_num,A483,po_date,"&lt;&gt;"&amp;B483)&gt;0,"Date différente sur ce bon",IF(COUNTIF(po_num,A483)&gt;25,"Plus de 25 lignes sur ce bon",IF(R483="","Date de livraison manquante",IF(R483&lt;B483,"Livraison avant la commande",IF(AND(N(T483)&gt;0,N(S483)=0),"Date d'envoi manquante",IF(N(T483)&gt;N(H483),"Reçu plus que commandé",IF(AND(N(T483)&gt;0,N(U483)=0),"Date de réception manquante",IF(AND(N(U483)&gt;0,U483&lt;B483),"Réception avant la commande","OK")))))))))))))))))))))</f>
        <v/>
      </c>
      <c r="AA483" s="66" t="str">
        <f>IF(AND(X483="Reçu",ISNUMBER(R483)),IF(N(U483)&lt;=R483,1,0),"")</f>
        <v/>
      </c>
      <c r="AB483" s="76" t="str">
        <f>IF(OR(X483="Envoyé",X483="Partiel",X483="En retard"),IF(ISNUMBER(R483),R483,100000)+ROW()/100000,"")</f>
        <v/>
      </c>
      <c r="AC483" s="66" t="str">
        <f>IF(A483="","",IF(COUNTIF($A$6:A483,A483)=1,1,""))</f>
        <v/>
      </c>
      <c r="AD483" s="66" t="str">
        <f>IF(AC483=1,COUNT($AC$6:AC483),"")</f>
        <v/>
      </c>
      <c r="AE483" s="66" t="str">
        <f>IFERROR(INDEX(po_num,MATCH(478,po_seq,0))&amp;"","")</f>
        <v/>
      </c>
      <c r="AF483" s="66" t="str">
        <f>IF(OR(A483="",p_po=""),"",IF(A483&amp;""=p_po,COUNTIF($A$6:A483,A483),""))</f>
        <v/>
      </c>
      <c r="AG483" s="66" t="str">
        <f>IF(OR(AB483="",A483=""),"",IF(COUNTIFS($A$6:A483,A483,$AB$6:AB483,"&gt;0")=1,1,""))</f>
        <v/>
      </c>
      <c r="AH483" s="70" t="str">
        <f>IF(AB483="","",ROUND(N(W483)*N(J483)*(1-N(K483)),2))</f>
        <v/>
      </c>
      <c r="AI483" s="70" t="str">
        <f>IF(OR(J483="",N(T483)&lt;=0,V483="Oui"),"",ROUND(N(T483)*J483*(1-N(K483)),2))</f>
        <v/>
      </c>
    </row>
    <row r="484">
      <c r="A484" s="63" t="n"/>
      <c r="B484" s="64" t="n"/>
      <c r="C484" s="65" t="n"/>
      <c r="D484" s="66" t="str">
        <f>IF(C484="","",IFERROR(INDEX(sup_name,MATCH($C484,sup_code,0))&amp;"","Fournisseur inconnu"))</f>
        <v/>
      </c>
      <c r="E484" s="63" t="n"/>
      <c r="F484" s="66" t="str">
        <f>IF(E484="","",IFERROR(INDEX(art_des,MATCH($E484,art_ref,0))&amp;"","Article inconnu"))</f>
        <v/>
      </c>
      <c r="G484" s="67" t="str">
        <f>IF(E484="","",IFERROR(INDEX(art_unit,MATCH($E484,art_ref,0))&amp;"",""))</f>
        <v/>
      </c>
      <c r="H484" s="68" t="n"/>
      <c r="I484" s="69" t="n"/>
      <c r="J484" s="70" t="str">
        <f>IF(E484="","",IF(ISNUMBER(I484),I484,IFERROR(IF(ISNUMBER(INDEX(art_price,MATCH($E484,art_ref,0))),INDEX(art_price,MATCH($E484,art_ref,0)),""),"")))</f>
        <v/>
      </c>
      <c r="K484" s="71" t="n"/>
      <c r="L484" s="72" t="n"/>
      <c r="M484" s="72" t="str">
        <f>IF(E484="","",IF(L484&lt;&gt;"",L484,IFERROR(IF(ISNUMBER(INDEX(art_tva,MATCH($E484,art_ref,0))),INDEX(art_tva,MATCH($E484,art_ref,0)),""),"")))</f>
        <v/>
      </c>
      <c r="N484" s="70" t="str">
        <f>IF(OR(E484="",J484=""),"",ROUND(N(H484)*J484*(1-N(K484)),2))</f>
        <v/>
      </c>
      <c r="O484" s="70" t="str">
        <f>IF(OR(N484="",NOT(ISNUMBER(M484))),"",ROUND(N484*M484,2))</f>
        <v/>
      </c>
      <c r="P484" s="70" t="str">
        <f>IF(N484="","",N484+N(O484))</f>
        <v/>
      </c>
      <c r="Q484" s="64" t="n"/>
      <c r="R484" s="73" t="str">
        <f>IF(N(Q484)&gt;0,Q484,IF(OR(N(B484)=0,ISNA(MATCH($C484,sup_code,0))),"",IF(ISNUMBER(INDEX(sup_delay,MATCH($C484,sup_code,0))),B484+INDEX(sup_delay,MATCH($C484,sup_code,0)),"")))</f>
        <v/>
      </c>
      <c r="S484" s="64" t="n"/>
      <c r="T484" s="68" t="n"/>
      <c r="U484" s="64" t="n"/>
      <c r="V484" s="65" t="n"/>
      <c r="W484" s="74" t="str">
        <f>IF(AND(A484="",E484=""),"",IF(V484="Oui",0,MAX(0,ROUND(N(H484)-N(T484),6))))</f>
        <v/>
      </c>
      <c r="X484" s="67" t="str">
        <f>IF(AND(A484="",E484=""),"",IF(V484="Oui","Annulé",IF(AND(N(H484)&gt;0,N(T484)&gt;=N(H484)),"Reçu",IF(N(S484)=0,"Brouillon",IF(AND(ISNUMBER(R484),R484&lt;p_today),"En retard",IF(N(T484)&gt;0,"Partiel","Envoyé"))))))</f>
        <v/>
      </c>
      <c r="Y484" s="75" t="str">
        <f>IF(X484="En retard",p_today-R484,IF(AND(X484="Reçu",ISNUMBER(R484)),MAX(0,N(U484)-R484),""))</f>
        <v/>
      </c>
      <c r="Z484" s="67" t="str">
        <f>IF(AND(A484="",E484=""),"",IF(A484="","N° de bon manquant",IF(N(B484)=0,"Date de commande manquante",IF(C484="","Fournisseur manquant",IF(ISNA(MATCH($C484,sup_code,0)),"Fournisseur inconnu",IF(E484="","Article manquant",IF(ISNA(MATCH($E484,art_ref,0)),"Article inconnu",IF(N(H484)&lt;=0,"Quantité invalide",IF(J484="","Prix manquant",IF(OR(N(K484)&lt;0,N(K484)&gt;=1),"Remise invalide",IF(M484="","TVA manquante",IF(ISNA(MATCH(M484,p_tva,0)),"Taux de TVA inconnu",IF(COUNTIFS(po_num,A484,po_sup,"&lt;&gt;"&amp;C484)&gt;0,"Fournisseur différent sur ce bon",IF(COUNTIFS(po_num,A484,po_date,"&lt;&gt;"&amp;B484)&gt;0,"Date différente sur ce bon",IF(COUNTIF(po_num,A484)&gt;25,"Plus de 25 lignes sur ce bon",IF(R484="","Date de livraison manquante",IF(R484&lt;B484,"Livraison avant la commande",IF(AND(N(T484)&gt;0,N(S484)=0),"Date d'envoi manquante",IF(N(T484)&gt;N(H484),"Reçu plus que commandé",IF(AND(N(T484)&gt;0,N(U484)=0),"Date de réception manquante",IF(AND(N(U484)&gt;0,U484&lt;B484),"Réception avant la commande","OK")))))))))))))))))))))</f>
        <v/>
      </c>
      <c r="AA484" s="66" t="str">
        <f>IF(AND(X484="Reçu",ISNUMBER(R484)),IF(N(U484)&lt;=R484,1,0),"")</f>
        <v/>
      </c>
      <c r="AB484" s="76" t="str">
        <f>IF(OR(X484="Envoyé",X484="Partiel",X484="En retard"),IF(ISNUMBER(R484),R484,100000)+ROW()/100000,"")</f>
        <v/>
      </c>
      <c r="AC484" s="66" t="str">
        <f>IF(A484="","",IF(COUNTIF($A$6:A484,A484)=1,1,""))</f>
        <v/>
      </c>
      <c r="AD484" s="66" t="str">
        <f>IF(AC484=1,COUNT($AC$6:AC484),"")</f>
        <v/>
      </c>
      <c r="AE484" s="66" t="str">
        <f>IFERROR(INDEX(po_num,MATCH(479,po_seq,0))&amp;"","")</f>
        <v/>
      </c>
      <c r="AF484" s="66" t="str">
        <f>IF(OR(A484="",p_po=""),"",IF(A484&amp;""=p_po,COUNTIF($A$6:A484,A484),""))</f>
        <v/>
      </c>
      <c r="AG484" s="66" t="str">
        <f>IF(OR(AB484="",A484=""),"",IF(COUNTIFS($A$6:A484,A484,$AB$6:AB484,"&gt;0")=1,1,""))</f>
        <v/>
      </c>
      <c r="AH484" s="70" t="str">
        <f>IF(AB484="","",ROUND(N(W484)*N(J484)*(1-N(K484)),2))</f>
        <v/>
      </c>
      <c r="AI484" s="70" t="str">
        <f>IF(OR(J484="",N(T484)&lt;=0,V484="Oui"),"",ROUND(N(T484)*J484*(1-N(K484)),2))</f>
        <v/>
      </c>
    </row>
    <row r="485">
      <c r="A485" s="63" t="n"/>
      <c r="B485" s="64" t="n"/>
      <c r="C485" s="65" t="n"/>
      <c r="D485" s="66" t="str">
        <f>IF(C485="","",IFERROR(INDEX(sup_name,MATCH($C485,sup_code,0))&amp;"","Fournisseur inconnu"))</f>
        <v/>
      </c>
      <c r="E485" s="63" t="n"/>
      <c r="F485" s="66" t="str">
        <f>IF(E485="","",IFERROR(INDEX(art_des,MATCH($E485,art_ref,0))&amp;"","Article inconnu"))</f>
        <v/>
      </c>
      <c r="G485" s="67" t="str">
        <f>IF(E485="","",IFERROR(INDEX(art_unit,MATCH($E485,art_ref,0))&amp;"",""))</f>
        <v/>
      </c>
      <c r="H485" s="68" t="n"/>
      <c r="I485" s="69" t="n"/>
      <c r="J485" s="70" t="str">
        <f>IF(E485="","",IF(ISNUMBER(I485),I485,IFERROR(IF(ISNUMBER(INDEX(art_price,MATCH($E485,art_ref,0))),INDEX(art_price,MATCH($E485,art_ref,0)),""),"")))</f>
        <v/>
      </c>
      <c r="K485" s="71" t="n"/>
      <c r="L485" s="72" t="n"/>
      <c r="M485" s="72" t="str">
        <f>IF(E485="","",IF(L485&lt;&gt;"",L485,IFERROR(IF(ISNUMBER(INDEX(art_tva,MATCH($E485,art_ref,0))),INDEX(art_tva,MATCH($E485,art_ref,0)),""),"")))</f>
        <v/>
      </c>
      <c r="N485" s="70" t="str">
        <f>IF(OR(E485="",J485=""),"",ROUND(N(H485)*J485*(1-N(K485)),2))</f>
        <v/>
      </c>
      <c r="O485" s="70" t="str">
        <f>IF(OR(N485="",NOT(ISNUMBER(M485))),"",ROUND(N485*M485,2))</f>
        <v/>
      </c>
      <c r="P485" s="70" t="str">
        <f>IF(N485="","",N485+N(O485))</f>
        <v/>
      </c>
      <c r="Q485" s="64" t="n"/>
      <c r="R485" s="73" t="str">
        <f>IF(N(Q485)&gt;0,Q485,IF(OR(N(B485)=0,ISNA(MATCH($C485,sup_code,0))),"",IF(ISNUMBER(INDEX(sup_delay,MATCH($C485,sup_code,0))),B485+INDEX(sup_delay,MATCH($C485,sup_code,0)),"")))</f>
        <v/>
      </c>
      <c r="S485" s="64" t="n"/>
      <c r="T485" s="68" t="n"/>
      <c r="U485" s="64" t="n"/>
      <c r="V485" s="65" t="n"/>
      <c r="W485" s="74" t="str">
        <f>IF(AND(A485="",E485=""),"",IF(V485="Oui",0,MAX(0,ROUND(N(H485)-N(T485),6))))</f>
        <v/>
      </c>
      <c r="X485" s="67" t="str">
        <f>IF(AND(A485="",E485=""),"",IF(V485="Oui","Annulé",IF(AND(N(H485)&gt;0,N(T485)&gt;=N(H485)),"Reçu",IF(N(S485)=0,"Brouillon",IF(AND(ISNUMBER(R485),R485&lt;p_today),"En retard",IF(N(T485)&gt;0,"Partiel","Envoyé"))))))</f>
        <v/>
      </c>
      <c r="Y485" s="75" t="str">
        <f>IF(X485="En retard",p_today-R485,IF(AND(X485="Reçu",ISNUMBER(R485)),MAX(0,N(U485)-R485),""))</f>
        <v/>
      </c>
      <c r="Z485" s="67" t="str">
        <f>IF(AND(A485="",E485=""),"",IF(A485="","N° de bon manquant",IF(N(B485)=0,"Date de commande manquante",IF(C485="","Fournisseur manquant",IF(ISNA(MATCH($C485,sup_code,0)),"Fournisseur inconnu",IF(E485="","Article manquant",IF(ISNA(MATCH($E485,art_ref,0)),"Article inconnu",IF(N(H485)&lt;=0,"Quantité invalide",IF(J485="","Prix manquant",IF(OR(N(K485)&lt;0,N(K485)&gt;=1),"Remise invalide",IF(M485="","TVA manquante",IF(ISNA(MATCH(M485,p_tva,0)),"Taux de TVA inconnu",IF(COUNTIFS(po_num,A485,po_sup,"&lt;&gt;"&amp;C485)&gt;0,"Fournisseur différent sur ce bon",IF(COUNTIFS(po_num,A485,po_date,"&lt;&gt;"&amp;B485)&gt;0,"Date différente sur ce bon",IF(COUNTIF(po_num,A485)&gt;25,"Plus de 25 lignes sur ce bon",IF(R485="","Date de livraison manquante",IF(R485&lt;B485,"Livraison avant la commande",IF(AND(N(T485)&gt;0,N(S485)=0),"Date d'envoi manquante",IF(N(T485)&gt;N(H485),"Reçu plus que commandé",IF(AND(N(T485)&gt;0,N(U485)=0),"Date de réception manquante",IF(AND(N(U485)&gt;0,U485&lt;B485),"Réception avant la commande","OK")))))))))))))))))))))</f>
        <v/>
      </c>
      <c r="AA485" s="66" t="str">
        <f>IF(AND(X485="Reçu",ISNUMBER(R485)),IF(N(U485)&lt;=R485,1,0),"")</f>
        <v/>
      </c>
      <c r="AB485" s="76" t="str">
        <f>IF(OR(X485="Envoyé",X485="Partiel",X485="En retard"),IF(ISNUMBER(R485),R485,100000)+ROW()/100000,"")</f>
        <v/>
      </c>
      <c r="AC485" s="66" t="str">
        <f>IF(A485="","",IF(COUNTIF($A$6:A485,A485)=1,1,""))</f>
        <v/>
      </c>
      <c r="AD485" s="66" t="str">
        <f>IF(AC485=1,COUNT($AC$6:AC485),"")</f>
        <v/>
      </c>
      <c r="AE485" s="66" t="str">
        <f>IFERROR(INDEX(po_num,MATCH(480,po_seq,0))&amp;"","")</f>
        <v/>
      </c>
      <c r="AF485" s="66" t="str">
        <f>IF(OR(A485="",p_po=""),"",IF(A485&amp;""=p_po,COUNTIF($A$6:A485,A485),""))</f>
        <v/>
      </c>
      <c r="AG485" s="66" t="str">
        <f>IF(OR(AB485="",A485=""),"",IF(COUNTIFS($A$6:A485,A485,$AB$6:AB485,"&gt;0")=1,1,""))</f>
        <v/>
      </c>
      <c r="AH485" s="70" t="str">
        <f>IF(AB485="","",ROUND(N(W485)*N(J485)*(1-N(K485)),2))</f>
        <v/>
      </c>
      <c r="AI485" s="70" t="str">
        <f>IF(OR(J485="",N(T485)&lt;=0,V485="Oui"),"",ROUND(N(T485)*J485*(1-N(K485)),2))</f>
        <v/>
      </c>
    </row>
    <row r="486">
      <c r="A486" s="63" t="n"/>
      <c r="B486" s="64" t="n"/>
      <c r="C486" s="65" t="n"/>
      <c r="D486" s="66" t="str">
        <f>IF(C486="","",IFERROR(INDEX(sup_name,MATCH($C486,sup_code,0))&amp;"","Fournisseur inconnu"))</f>
        <v/>
      </c>
      <c r="E486" s="63" t="n"/>
      <c r="F486" s="66" t="str">
        <f>IF(E486="","",IFERROR(INDEX(art_des,MATCH($E486,art_ref,0))&amp;"","Article inconnu"))</f>
        <v/>
      </c>
      <c r="G486" s="67" t="str">
        <f>IF(E486="","",IFERROR(INDEX(art_unit,MATCH($E486,art_ref,0))&amp;"",""))</f>
        <v/>
      </c>
      <c r="H486" s="68" t="n"/>
      <c r="I486" s="69" t="n"/>
      <c r="J486" s="70" t="str">
        <f>IF(E486="","",IF(ISNUMBER(I486),I486,IFERROR(IF(ISNUMBER(INDEX(art_price,MATCH($E486,art_ref,0))),INDEX(art_price,MATCH($E486,art_ref,0)),""),"")))</f>
        <v/>
      </c>
      <c r="K486" s="71" t="n"/>
      <c r="L486" s="72" t="n"/>
      <c r="M486" s="72" t="str">
        <f>IF(E486="","",IF(L486&lt;&gt;"",L486,IFERROR(IF(ISNUMBER(INDEX(art_tva,MATCH($E486,art_ref,0))),INDEX(art_tva,MATCH($E486,art_ref,0)),""),"")))</f>
        <v/>
      </c>
      <c r="N486" s="70" t="str">
        <f>IF(OR(E486="",J486=""),"",ROUND(N(H486)*J486*(1-N(K486)),2))</f>
        <v/>
      </c>
      <c r="O486" s="70" t="str">
        <f>IF(OR(N486="",NOT(ISNUMBER(M486))),"",ROUND(N486*M486,2))</f>
        <v/>
      </c>
      <c r="P486" s="70" t="str">
        <f>IF(N486="","",N486+N(O486))</f>
        <v/>
      </c>
      <c r="Q486" s="64" t="n"/>
      <c r="R486" s="73" t="str">
        <f>IF(N(Q486)&gt;0,Q486,IF(OR(N(B486)=0,ISNA(MATCH($C486,sup_code,0))),"",IF(ISNUMBER(INDEX(sup_delay,MATCH($C486,sup_code,0))),B486+INDEX(sup_delay,MATCH($C486,sup_code,0)),"")))</f>
        <v/>
      </c>
      <c r="S486" s="64" t="n"/>
      <c r="T486" s="68" t="n"/>
      <c r="U486" s="64" t="n"/>
      <c r="V486" s="65" t="n"/>
      <c r="W486" s="74" t="str">
        <f>IF(AND(A486="",E486=""),"",IF(V486="Oui",0,MAX(0,ROUND(N(H486)-N(T486),6))))</f>
        <v/>
      </c>
      <c r="X486" s="67" t="str">
        <f>IF(AND(A486="",E486=""),"",IF(V486="Oui","Annulé",IF(AND(N(H486)&gt;0,N(T486)&gt;=N(H486)),"Reçu",IF(N(S486)=0,"Brouillon",IF(AND(ISNUMBER(R486),R486&lt;p_today),"En retard",IF(N(T486)&gt;0,"Partiel","Envoyé"))))))</f>
        <v/>
      </c>
      <c r="Y486" s="75" t="str">
        <f>IF(X486="En retard",p_today-R486,IF(AND(X486="Reçu",ISNUMBER(R486)),MAX(0,N(U486)-R486),""))</f>
        <v/>
      </c>
      <c r="Z486" s="67" t="str">
        <f>IF(AND(A486="",E486=""),"",IF(A486="","N° de bon manquant",IF(N(B486)=0,"Date de commande manquante",IF(C486="","Fournisseur manquant",IF(ISNA(MATCH($C486,sup_code,0)),"Fournisseur inconnu",IF(E486="","Article manquant",IF(ISNA(MATCH($E486,art_ref,0)),"Article inconnu",IF(N(H486)&lt;=0,"Quantité invalide",IF(J486="","Prix manquant",IF(OR(N(K486)&lt;0,N(K486)&gt;=1),"Remise invalide",IF(M486="","TVA manquante",IF(ISNA(MATCH(M486,p_tva,0)),"Taux de TVA inconnu",IF(COUNTIFS(po_num,A486,po_sup,"&lt;&gt;"&amp;C486)&gt;0,"Fournisseur différent sur ce bon",IF(COUNTIFS(po_num,A486,po_date,"&lt;&gt;"&amp;B486)&gt;0,"Date différente sur ce bon",IF(COUNTIF(po_num,A486)&gt;25,"Plus de 25 lignes sur ce bon",IF(R486="","Date de livraison manquante",IF(R486&lt;B486,"Livraison avant la commande",IF(AND(N(T486)&gt;0,N(S486)=0),"Date d'envoi manquante",IF(N(T486)&gt;N(H486),"Reçu plus que commandé",IF(AND(N(T486)&gt;0,N(U486)=0),"Date de réception manquante",IF(AND(N(U486)&gt;0,U486&lt;B486),"Réception avant la commande","OK")))))))))))))))))))))</f>
        <v/>
      </c>
      <c r="AA486" s="66" t="str">
        <f>IF(AND(X486="Reçu",ISNUMBER(R486)),IF(N(U486)&lt;=R486,1,0),"")</f>
        <v/>
      </c>
      <c r="AB486" s="76" t="str">
        <f>IF(OR(X486="Envoyé",X486="Partiel",X486="En retard"),IF(ISNUMBER(R486),R486,100000)+ROW()/100000,"")</f>
        <v/>
      </c>
      <c r="AC486" s="66" t="str">
        <f>IF(A486="","",IF(COUNTIF($A$6:A486,A486)=1,1,""))</f>
        <v/>
      </c>
      <c r="AD486" s="66" t="str">
        <f>IF(AC486=1,COUNT($AC$6:AC486),"")</f>
        <v/>
      </c>
      <c r="AE486" s="66" t="str">
        <f>IFERROR(INDEX(po_num,MATCH(481,po_seq,0))&amp;"","")</f>
        <v/>
      </c>
      <c r="AF486" s="66" t="str">
        <f>IF(OR(A486="",p_po=""),"",IF(A486&amp;""=p_po,COUNTIF($A$6:A486,A486),""))</f>
        <v/>
      </c>
      <c r="AG486" s="66" t="str">
        <f>IF(OR(AB486="",A486=""),"",IF(COUNTIFS($A$6:A486,A486,$AB$6:AB486,"&gt;0")=1,1,""))</f>
        <v/>
      </c>
      <c r="AH486" s="70" t="str">
        <f>IF(AB486="","",ROUND(N(W486)*N(J486)*(1-N(K486)),2))</f>
        <v/>
      </c>
      <c r="AI486" s="70" t="str">
        <f>IF(OR(J486="",N(T486)&lt;=0,V486="Oui"),"",ROUND(N(T486)*J486*(1-N(K486)),2))</f>
        <v/>
      </c>
    </row>
    <row r="487">
      <c r="A487" s="63" t="n"/>
      <c r="B487" s="64" t="n"/>
      <c r="C487" s="65" t="n"/>
      <c r="D487" s="66" t="str">
        <f>IF(C487="","",IFERROR(INDEX(sup_name,MATCH($C487,sup_code,0))&amp;"","Fournisseur inconnu"))</f>
        <v/>
      </c>
      <c r="E487" s="63" t="n"/>
      <c r="F487" s="66" t="str">
        <f>IF(E487="","",IFERROR(INDEX(art_des,MATCH($E487,art_ref,0))&amp;"","Article inconnu"))</f>
        <v/>
      </c>
      <c r="G487" s="67" t="str">
        <f>IF(E487="","",IFERROR(INDEX(art_unit,MATCH($E487,art_ref,0))&amp;"",""))</f>
        <v/>
      </c>
      <c r="H487" s="68" t="n"/>
      <c r="I487" s="69" t="n"/>
      <c r="J487" s="70" t="str">
        <f>IF(E487="","",IF(ISNUMBER(I487),I487,IFERROR(IF(ISNUMBER(INDEX(art_price,MATCH($E487,art_ref,0))),INDEX(art_price,MATCH($E487,art_ref,0)),""),"")))</f>
        <v/>
      </c>
      <c r="K487" s="71" t="n"/>
      <c r="L487" s="72" t="n"/>
      <c r="M487" s="72" t="str">
        <f>IF(E487="","",IF(L487&lt;&gt;"",L487,IFERROR(IF(ISNUMBER(INDEX(art_tva,MATCH($E487,art_ref,0))),INDEX(art_tva,MATCH($E487,art_ref,0)),""),"")))</f>
        <v/>
      </c>
      <c r="N487" s="70" t="str">
        <f>IF(OR(E487="",J487=""),"",ROUND(N(H487)*J487*(1-N(K487)),2))</f>
        <v/>
      </c>
      <c r="O487" s="70" t="str">
        <f>IF(OR(N487="",NOT(ISNUMBER(M487))),"",ROUND(N487*M487,2))</f>
        <v/>
      </c>
      <c r="P487" s="70" t="str">
        <f>IF(N487="","",N487+N(O487))</f>
        <v/>
      </c>
      <c r="Q487" s="64" t="n"/>
      <c r="R487" s="73" t="str">
        <f>IF(N(Q487)&gt;0,Q487,IF(OR(N(B487)=0,ISNA(MATCH($C487,sup_code,0))),"",IF(ISNUMBER(INDEX(sup_delay,MATCH($C487,sup_code,0))),B487+INDEX(sup_delay,MATCH($C487,sup_code,0)),"")))</f>
        <v/>
      </c>
      <c r="S487" s="64" t="n"/>
      <c r="T487" s="68" t="n"/>
      <c r="U487" s="64" t="n"/>
      <c r="V487" s="65" t="n"/>
      <c r="W487" s="74" t="str">
        <f>IF(AND(A487="",E487=""),"",IF(V487="Oui",0,MAX(0,ROUND(N(H487)-N(T487),6))))</f>
        <v/>
      </c>
      <c r="X487" s="67" t="str">
        <f>IF(AND(A487="",E487=""),"",IF(V487="Oui","Annulé",IF(AND(N(H487)&gt;0,N(T487)&gt;=N(H487)),"Reçu",IF(N(S487)=0,"Brouillon",IF(AND(ISNUMBER(R487),R487&lt;p_today),"En retard",IF(N(T487)&gt;0,"Partiel","Envoyé"))))))</f>
        <v/>
      </c>
      <c r="Y487" s="75" t="str">
        <f>IF(X487="En retard",p_today-R487,IF(AND(X487="Reçu",ISNUMBER(R487)),MAX(0,N(U487)-R487),""))</f>
        <v/>
      </c>
      <c r="Z487" s="67" t="str">
        <f>IF(AND(A487="",E487=""),"",IF(A487="","N° de bon manquant",IF(N(B487)=0,"Date de commande manquante",IF(C487="","Fournisseur manquant",IF(ISNA(MATCH($C487,sup_code,0)),"Fournisseur inconnu",IF(E487="","Article manquant",IF(ISNA(MATCH($E487,art_ref,0)),"Article inconnu",IF(N(H487)&lt;=0,"Quantité invalide",IF(J487="","Prix manquant",IF(OR(N(K487)&lt;0,N(K487)&gt;=1),"Remise invalide",IF(M487="","TVA manquante",IF(ISNA(MATCH(M487,p_tva,0)),"Taux de TVA inconnu",IF(COUNTIFS(po_num,A487,po_sup,"&lt;&gt;"&amp;C487)&gt;0,"Fournisseur différent sur ce bon",IF(COUNTIFS(po_num,A487,po_date,"&lt;&gt;"&amp;B487)&gt;0,"Date différente sur ce bon",IF(COUNTIF(po_num,A487)&gt;25,"Plus de 25 lignes sur ce bon",IF(R487="","Date de livraison manquante",IF(R487&lt;B487,"Livraison avant la commande",IF(AND(N(T487)&gt;0,N(S487)=0),"Date d'envoi manquante",IF(N(T487)&gt;N(H487),"Reçu plus que commandé",IF(AND(N(T487)&gt;0,N(U487)=0),"Date de réception manquante",IF(AND(N(U487)&gt;0,U487&lt;B487),"Réception avant la commande","OK")))))))))))))))))))))</f>
        <v/>
      </c>
      <c r="AA487" s="66" t="str">
        <f>IF(AND(X487="Reçu",ISNUMBER(R487)),IF(N(U487)&lt;=R487,1,0),"")</f>
        <v/>
      </c>
      <c r="AB487" s="76" t="str">
        <f>IF(OR(X487="Envoyé",X487="Partiel",X487="En retard"),IF(ISNUMBER(R487),R487,100000)+ROW()/100000,"")</f>
        <v/>
      </c>
      <c r="AC487" s="66" t="str">
        <f>IF(A487="","",IF(COUNTIF($A$6:A487,A487)=1,1,""))</f>
        <v/>
      </c>
      <c r="AD487" s="66" t="str">
        <f>IF(AC487=1,COUNT($AC$6:AC487),"")</f>
        <v/>
      </c>
      <c r="AE487" s="66" t="str">
        <f>IFERROR(INDEX(po_num,MATCH(482,po_seq,0))&amp;"","")</f>
        <v/>
      </c>
      <c r="AF487" s="66" t="str">
        <f>IF(OR(A487="",p_po=""),"",IF(A487&amp;""=p_po,COUNTIF($A$6:A487,A487),""))</f>
        <v/>
      </c>
      <c r="AG487" s="66" t="str">
        <f>IF(OR(AB487="",A487=""),"",IF(COUNTIFS($A$6:A487,A487,$AB$6:AB487,"&gt;0")=1,1,""))</f>
        <v/>
      </c>
      <c r="AH487" s="70" t="str">
        <f>IF(AB487="","",ROUND(N(W487)*N(J487)*(1-N(K487)),2))</f>
        <v/>
      </c>
      <c r="AI487" s="70" t="str">
        <f>IF(OR(J487="",N(T487)&lt;=0,V487="Oui"),"",ROUND(N(T487)*J487*(1-N(K487)),2))</f>
        <v/>
      </c>
    </row>
    <row r="488">
      <c r="A488" s="63" t="n"/>
      <c r="B488" s="64" t="n"/>
      <c r="C488" s="65" t="n"/>
      <c r="D488" s="66" t="str">
        <f>IF(C488="","",IFERROR(INDEX(sup_name,MATCH($C488,sup_code,0))&amp;"","Fournisseur inconnu"))</f>
        <v/>
      </c>
      <c r="E488" s="63" t="n"/>
      <c r="F488" s="66" t="str">
        <f>IF(E488="","",IFERROR(INDEX(art_des,MATCH($E488,art_ref,0))&amp;"","Article inconnu"))</f>
        <v/>
      </c>
      <c r="G488" s="67" t="str">
        <f>IF(E488="","",IFERROR(INDEX(art_unit,MATCH($E488,art_ref,0))&amp;"",""))</f>
        <v/>
      </c>
      <c r="H488" s="68" t="n"/>
      <c r="I488" s="69" t="n"/>
      <c r="J488" s="70" t="str">
        <f>IF(E488="","",IF(ISNUMBER(I488),I488,IFERROR(IF(ISNUMBER(INDEX(art_price,MATCH($E488,art_ref,0))),INDEX(art_price,MATCH($E488,art_ref,0)),""),"")))</f>
        <v/>
      </c>
      <c r="K488" s="71" t="n"/>
      <c r="L488" s="72" t="n"/>
      <c r="M488" s="72" t="str">
        <f>IF(E488="","",IF(L488&lt;&gt;"",L488,IFERROR(IF(ISNUMBER(INDEX(art_tva,MATCH($E488,art_ref,0))),INDEX(art_tva,MATCH($E488,art_ref,0)),""),"")))</f>
        <v/>
      </c>
      <c r="N488" s="70" t="str">
        <f>IF(OR(E488="",J488=""),"",ROUND(N(H488)*J488*(1-N(K488)),2))</f>
        <v/>
      </c>
      <c r="O488" s="70" t="str">
        <f>IF(OR(N488="",NOT(ISNUMBER(M488))),"",ROUND(N488*M488,2))</f>
        <v/>
      </c>
      <c r="P488" s="70" t="str">
        <f>IF(N488="","",N488+N(O488))</f>
        <v/>
      </c>
      <c r="Q488" s="64" t="n"/>
      <c r="R488" s="73" t="str">
        <f>IF(N(Q488)&gt;0,Q488,IF(OR(N(B488)=0,ISNA(MATCH($C488,sup_code,0))),"",IF(ISNUMBER(INDEX(sup_delay,MATCH($C488,sup_code,0))),B488+INDEX(sup_delay,MATCH($C488,sup_code,0)),"")))</f>
        <v/>
      </c>
      <c r="S488" s="64" t="n"/>
      <c r="T488" s="68" t="n"/>
      <c r="U488" s="64" t="n"/>
      <c r="V488" s="65" t="n"/>
      <c r="W488" s="74" t="str">
        <f>IF(AND(A488="",E488=""),"",IF(V488="Oui",0,MAX(0,ROUND(N(H488)-N(T488),6))))</f>
        <v/>
      </c>
      <c r="X488" s="67" t="str">
        <f>IF(AND(A488="",E488=""),"",IF(V488="Oui","Annulé",IF(AND(N(H488)&gt;0,N(T488)&gt;=N(H488)),"Reçu",IF(N(S488)=0,"Brouillon",IF(AND(ISNUMBER(R488),R488&lt;p_today),"En retard",IF(N(T488)&gt;0,"Partiel","Envoyé"))))))</f>
        <v/>
      </c>
      <c r="Y488" s="75" t="str">
        <f>IF(X488="En retard",p_today-R488,IF(AND(X488="Reçu",ISNUMBER(R488)),MAX(0,N(U488)-R488),""))</f>
        <v/>
      </c>
      <c r="Z488" s="67" t="str">
        <f>IF(AND(A488="",E488=""),"",IF(A488="","N° de bon manquant",IF(N(B488)=0,"Date de commande manquante",IF(C488="","Fournisseur manquant",IF(ISNA(MATCH($C488,sup_code,0)),"Fournisseur inconnu",IF(E488="","Article manquant",IF(ISNA(MATCH($E488,art_ref,0)),"Article inconnu",IF(N(H488)&lt;=0,"Quantité invalide",IF(J488="","Prix manquant",IF(OR(N(K488)&lt;0,N(K488)&gt;=1),"Remise invalide",IF(M488="","TVA manquante",IF(ISNA(MATCH(M488,p_tva,0)),"Taux de TVA inconnu",IF(COUNTIFS(po_num,A488,po_sup,"&lt;&gt;"&amp;C488)&gt;0,"Fournisseur différent sur ce bon",IF(COUNTIFS(po_num,A488,po_date,"&lt;&gt;"&amp;B488)&gt;0,"Date différente sur ce bon",IF(COUNTIF(po_num,A488)&gt;25,"Plus de 25 lignes sur ce bon",IF(R488="","Date de livraison manquante",IF(R488&lt;B488,"Livraison avant la commande",IF(AND(N(T488)&gt;0,N(S488)=0),"Date d'envoi manquante",IF(N(T488)&gt;N(H488),"Reçu plus que commandé",IF(AND(N(T488)&gt;0,N(U488)=0),"Date de réception manquante",IF(AND(N(U488)&gt;0,U488&lt;B488),"Réception avant la commande","OK")))))))))))))))))))))</f>
        <v/>
      </c>
      <c r="AA488" s="66" t="str">
        <f>IF(AND(X488="Reçu",ISNUMBER(R488)),IF(N(U488)&lt;=R488,1,0),"")</f>
        <v/>
      </c>
      <c r="AB488" s="76" t="str">
        <f>IF(OR(X488="Envoyé",X488="Partiel",X488="En retard"),IF(ISNUMBER(R488),R488,100000)+ROW()/100000,"")</f>
        <v/>
      </c>
      <c r="AC488" s="66" t="str">
        <f>IF(A488="","",IF(COUNTIF($A$6:A488,A488)=1,1,""))</f>
        <v/>
      </c>
      <c r="AD488" s="66" t="str">
        <f>IF(AC488=1,COUNT($AC$6:AC488),"")</f>
        <v/>
      </c>
      <c r="AE488" s="66" t="str">
        <f>IFERROR(INDEX(po_num,MATCH(483,po_seq,0))&amp;"","")</f>
        <v/>
      </c>
      <c r="AF488" s="66" t="str">
        <f>IF(OR(A488="",p_po=""),"",IF(A488&amp;""=p_po,COUNTIF($A$6:A488,A488),""))</f>
        <v/>
      </c>
      <c r="AG488" s="66" t="str">
        <f>IF(OR(AB488="",A488=""),"",IF(COUNTIFS($A$6:A488,A488,$AB$6:AB488,"&gt;0")=1,1,""))</f>
        <v/>
      </c>
      <c r="AH488" s="70" t="str">
        <f>IF(AB488="","",ROUND(N(W488)*N(J488)*(1-N(K488)),2))</f>
        <v/>
      </c>
      <c r="AI488" s="70" t="str">
        <f>IF(OR(J488="",N(T488)&lt;=0,V488="Oui"),"",ROUND(N(T488)*J488*(1-N(K488)),2))</f>
        <v/>
      </c>
    </row>
    <row r="489">
      <c r="A489" s="63" t="n"/>
      <c r="B489" s="64" t="n"/>
      <c r="C489" s="65" t="n"/>
      <c r="D489" s="66" t="str">
        <f>IF(C489="","",IFERROR(INDEX(sup_name,MATCH($C489,sup_code,0))&amp;"","Fournisseur inconnu"))</f>
        <v/>
      </c>
      <c r="E489" s="63" t="n"/>
      <c r="F489" s="66" t="str">
        <f>IF(E489="","",IFERROR(INDEX(art_des,MATCH($E489,art_ref,0))&amp;"","Article inconnu"))</f>
        <v/>
      </c>
      <c r="G489" s="67" t="str">
        <f>IF(E489="","",IFERROR(INDEX(art_unit,MATCH($E489,art_ref,0))&amp;"",""))</f>
        <v/>
      </c>
      <c r="H489" s="68" t="n"/>
      <c r="I489" s="69" t="n"/>
      <c r="J489" s="70" t="str">
        <f>IF(E489="","",IF(ISNUMBER(I489),I489,IFERROR(IF(ISNUMBER(INDEX(art_price,MATCH($E489,art_ref,0))),INDEX(art_price,MATCH($E489,art_ref,0)),""),"")))</f>
        <v/>
      </c>
      <c r="K489" s="71" t="n"/>
      <c r="L489" s="72" t="n"/>
      <c r="M489" s="72" t="str">
        <f>IF(E489="","",IF(L489&lt;&gt;"",L489,IFERROR(IF(ISNUMBER(INDEX(art_tva,MATCH($E489,art_ref,0))),INDEX(art_tva,MATCH($E489,art_ref,0)),""),"")))</f>
        <v/>
      </c>
      <c r="N489" s="70" t="str">
        <f>IF(OR(E489="",J489=""),"",ROUND(N(H489)*J489*(1-N(K489)),2))</f>
        <v/>
      </c>
      <c r="O489" s="70" t="str">
        <f>IF(OR(N489="",NOT(ISNUMBER(M489))),"",ROUND(N489*M489,2))</f>
        <v/>
      </c>
      <c r="P489" s="70" t="str">
        <f>IF(N489="","",N489+N(O489))</f>
        <v/>
      </c>
      <c r="Q489" s="64" t="n"/>
      <c r="R489" s="73" t="str">
        <f>IF(N(Q489)&gt;0,Q489,IF(OR(N(B489)=0,ISNA(MATCH($C489,sup_code,0))),"",IF(ISNUMBER(INDEX(sup_delay,MATCH($C489,sup_code,0))),B489+INDEX(sup_delay,MATCH($C489,sup_code,0)),"")))</f>
        <v/>
      </c>
      <c r="S489" s="64" t="n"/>
      <c r="T489" s="68" t="n"/>
      <c r="U489" s="64" t="n"/>
      <c r="V489" s="65" t="n"/>
      <c r="W489" s="74" t="str">
        <f>IF(AND(A489="",E489=""),"",IF(V489="Oui",0,MAX(0,ROUND(N(H489)-N(T489),6))))</f>
        <v/>
      </c>
      <c r="X489" s="67" t="str">
        <f>IF(AND(A489="",E489=""),"",IF(V489="Oui","Annulé",IF(AND(N(H489)&gt;0,N(T489)&gt;=N(H489)),"Reçu",IF(N(S489)=0,"Brouillon",IF(AND(ISNUMBER(R489),R489&lt;p_today),"En retard",IF(N(T489)&gt;0,"Partiel","Envoyé"))))))</f>
        <v/>
      </c>
      <c r="Y489" s="75" t="str">
        <f>IF(X489="En retard",p_today-R489,IF(AND(X489="Reçu",ISNUMBER(R489)),MAX(0,N(U489)-R489),""))</f>
        <v/>
      </c>
      <c r="Z489" s="67" t="str">
        <f>IF(AND(A489="",E489=""),"",IF(A489="","N° de bon manquant",IF(N(B489)=0,"Date de commande manquante",IF(C489="","Fournisseur manquant",IF(ISNA(MATCH($C489,sup_code,0)),"Fournisseur inconnu",IF(E489="","Article manquant",IF(ISNA(MATCH($E489,art_ref,0)),"Article inconnu",IF(N(H489)&lt;=0,"Quantité invalide",IF(J489="","Prix manquant",IF(OR(N(K489)&lt;0,N(K489)&gt;=1),"Remise invalide",IF(M489="","TVA manquante",IF(ISNA(MATCH(M489,p_tva,0)),"Taux de TVA inconnu",IF(COUNTIFS(po_num,A489,po_sup,"&lt;&gt;"&amp;C489)&gt;0,"Fournisseur différent sur ce bon",IF(COUNTIFS(po_num,A489,po_date,"&lt;&gt;"&amp;B489)&gt;0,"Date différente sur ce bon",IF(COUNTIF(po_num,A489)&gt;25,"Plus de 25 lignes sur ce bon",IF(R489="","Date de livraison manquante",IF(R489&lt;B489,"Livraison avant la commande",IF(AND(N(T489)&gt;0,N(S489)=0),"Date d'envoi manquante",IF(N(T489)&gt;N(H489),"Reçu plus que commandé",IF(AND(N(T489)&gt;0,N(U489)=0),"Date de réception manquante",IF(AND(N(U489)&gt;0,U489&lt;B489),"Réception avant la commande","OK")))))))))))))))))))))</f>
        <v/>
      </c>
      <c r="AA489" s="66" t="str">
        <f>IF(AND(X489="Reçu",ISNUMBER(R489)),IF(N(U489)&lt;=R489,1,0),"")</f>
        <v/>
      </c>
      <c r="AB489" s="76" t="str">
        <f>IF(OR(X489="Envoyé",X489="Partiel",X489="En retard"),IF(ISNUMBER(R489),R489,100000)+ROW()/100000,"")</f>
        <v/>
      </c>
      <c r="AC489" s="66" t="str">
        <f>IF(A489="","",IF(COUNTIF($A$6:A489,A489)=1,1,""))</f>
        <v/>
      </c>
      <c r="AD489" s="66" t="str">
        <f>IF(AC489=1,COUNT($AC$6:AC489),"")</f>
        <v/>
      </c>
      <c r="AE489" s="66" t="str">
        <f>IFERROR(INDEX(po_num,MATCH(484,po_seq,0))&amp;"","")</f>
        <v/>
      </c>
      <c r="AF489" s="66" t="str">
        <f>IF(OR(A489="",p_po=""),"",IF(A489&amp;""=p_po,COUNTIF($A$6:A489,A489),""))</f>
        <v/>
      </c>
      <c r="AG489" s="66" t="str">
        <f>IF(OR(AB489="",A489=""),"",IF(COUNTIFS($A$6:A489,A489,$AB$6:AB489,"&gt;0")=1,1,""))</f>
        <v/>
      </c>
      <c r="AH489" s="70" t="str">
        <f>IF(AB489="","",ROUND(N(W489)*N(J489)*(1-N(K489)),2))</f>
        <v/>
      </c>
      <c r="AI489" s="70" t="str">
        <f>IF(OR(J489="",N(T489)&lt;=0,V489="Oui"),"",ROUND(N(T489)*J489*(1-N(K489)),2))</f>
        <v/>
      </c>
    </row>
    <row r="490">
      <c r="A490" s="63" t="n"/>
      <c r="B490" s="64" t="n"/>
      <c r="C490" s="65" t="n"/>
      <c r="D490" s="66" t="str">
        <f>IF(C490="","",IFERROR(INDEX(sup_name,MATCH($C490,sup_code,0))&amp;"","Fournisseur inconnu"))</f>
        <v/>
      </c>
      <c r="E490" s="63" t="n"/>
      <c r="F490" s="66" t="str">
        <f>IF(E490="","",IFERROR(INDEX(art_des,MATCH($E490,art_ref,0))&amp;"","Article inconnu"))</f>
        <v/>
      </c>
      <c r="G490" s="67" t="str">
        <f>IF(E490="","",IFERROR(INDEX(art_unit,MATCH($E490,art_ref,0))&amp;"",""))</f>
        <v/>
      </c>
      <c r="H490" s="68" t="n"/>
      <c r="I490" s="69" t="n"/>
      <c r="J490" s="70" t="str">
        <f>IF(E490="","",IF(ISNUMBER(I490),I490,IFERROR(IF(ISNUMBER(INDEX(art_price,MATCH($E490,art_ref,0))),INDEX(art_price,MATCH($E490,art_ref,0)),""),"")))</f>
        <v/>
      </c>
      <c r="K490" s="71" t="n"/>
      <c r="L490" s="72" t="n"/>
      <c r="M490" s="72" t="str">
        <f>IF(E490="","",IF(L490&lt;&gt;"",L490,IFERROR(IF(ISNUMBER(INDEX(art_tva,MATCH($E490,art_ref,0))),INDEX(art_tva,MATCH($E490,art_ref,0)),""),"")))</f>
        <v/>
      </c>
      <c r="N490" s="70" t="str">
        <f>IF(OR(E490="",J490=""),"",ROUND(N(H490)*J490*(1-N(K490)),2))</f>
        <v/>
      </c>
      <c r="O490" s="70" t="str">
        <f>IF(OR(N490="",NOT(ISNUMBER(M490))),"",ROUND(N490*M490,2))</f>
        <v/>
      </c>
      <c r="P490" s="70" t="str">
        <f>IF(N490="","",N490+N(O490))</f>
        <v/>
      </c>
      <c r="Q490" s="64" t="n"/>
      <c r="R490" s="73" t="str">
        <f>IF(N(Q490)&gt;0,Q490,IF(OR(N(B490)=0,ISNA(MATCH($C490,sup_code,0))),"",IF(ISNUMBER(INDEX(sup_delay,MATCH($C490,sup_code,0))),B490+INDEX(sup_delay,MATCH($C490,sup_code,0)),"")))</f>
        <v/>
      </c>
      <c r="S490" s="64" t="n"/>
      <c r="T490" s="68" t="n"/>
      <c r="U490" s="64" t="n"/>
      <c r="V490" s="65" t="n"/>
      <c r="W490" s="74" t="str">
        <f>IF(AND(A490="",E490=""),"",IF(V490="Oui",0,MAX(0,ROUND(N(H490)-N(T490),6))))</f>
        <v/>
      </c>
      <c r="X490" s="67" t="str">
        <f>IF(AND(A490="",E490=""),"",IF(V490="Oui","Annulé",IF(AND(N(H490)&gt;0,N(T490)&gt;=N(H490)),"Reçu",IF(N(S490)=0,"Brouillon",IF(AND(ISNUMBER(R490),R490&lt;p_today),"En retard",IF(N(T490)&gt;0,"Partiel","Envoyé"))))))</f>
        <v/>
      </c>
      <c r="Y490" s="75" t="str">
        <f>IF(X490="En retard",p_today-R490,IF(AND(X490="Reçu",ISNUMBER(R490)),MAX(0,N(U490)-R490),""))</f>
        <v/>
      </c>
      <c r="Z490" s="67" t="str">
        <f>IF(AND(A490="",E490=""),"",IF(A490="","N° de bon manquant",IF(N(B490)=0,"Date de commande manquante",IF(C490="","Fournisseur manquant",IF(ISNA(MATCH($C490,sup_code,0)),"Fournisseur inconnu",IF(E490="","Article manquant",IF(ISNA(MATCH($E490,art_ref,0)),"Article inconnu",IF(N(H490)&lt;=0,"Quantité invalide",IF(J490="","Prix manquant",IF(OR(N(K490)&lt;0,N(K490)&gt;=1),"Remise invalide",IF(M490="","TVA manquante",IF(ISNA(MATCH(M490,p_tva,0)),"Taux de TVA inconnu",IF(COUNTIFS(po_num,A490,po_sup,"&lt;&gt;"&amp;C490)&gt;0,"Fournisseur différent sur ce bon",IF(COUNTIFS(po_num,A490,po_date,"&lt;&gt;"&amp;B490)&gt;0,"Date différente sur ce bon",IF(COUNTIF(po_num,A490)&gt;25,"Plus de 25 lignes sur ce bon",IF(R490="","Date de livraison manquante",IF(R490&lt;B490,"Livraison avant la commande",IF(AND(N(T490)&gt;0,N(S490)=0),"Date d'envoi manquante",IF(N(T490)&gt;N(H490),"Reçu plus que commandé",IF(AND(N(T490)&gt;0,N(U490)=0),"Date de réception manquante",IF(AND(N(U490)&gt;0,U490&lt;B490),"Réception avant la commande","OK")))))))))))))))))))))</f>
        <v/>
      </c>
      <c r="AA490" s="66" t="str">
        <f>IF(AND(X490="Reçu",ISNUMBER(R490)),IF(N(U490)&lt;=R490,1,0),"")</f>
        <v/>
      </c>
      <c r="AB490" s="76" t="str">
        <f>IF(OR(X490="Envoyé",X490="Partiel",X490="En retard"),IF(ISNUMBER(R490),R490,100000)+ROW()/100000,"")</f>
        <v/>
      </c>
      <c r="AC490" s="66" t="str">
        <f>IF(A490="","",IF(COUNTIF($A$6:A490,A490)=1,1,""))</f>
        <v/>
      </c>
      <c r="AD490" s="66" t="str">
        <f>IF(AC490=1,COUNT($AC$6:AC490),"")</f>
        <v/>
      </c>
      <c r="AE490" s="66" t="str">
        <f>IFERROR(INDEX(po_num,MATCH(485,po_seq,0))&amp;"","")</f>
        <v/>
      </c>
      <c r="AF490" s="66" t="str">
        <f>IF(OR(A490="",p_po=""),"",IF(A490&amp;""=p_po,COUNTIF($A$6:A490,A490),""))</f>
        <v/>
      </c>
      <c r="AG490" s="66" t="str">
        <f>IF(OR(AB490="",A490=""),"",IF(COUNTIFS($A$6:A490,A490,$AB$6:AB490,"&gt;0")=1,1,""))</f>
        <v/>
      </c>
      <c r="AH490" s="70" t="str">
        <f>IF(AB490="","",ROUND(N(W490)*N(J490)*(1-N(K490)),2))</f>
        <v/>
      </c>
      <c r="AI490" s="70" t="str">
        <f>IF(OR(J490="",N(T490)&lt;=0,V490="Oui"),"",ROUND(N(T490)*J490*(1-N(K490)),2))</f>
        <v/>
      </c>
    </row>
    <row r="491">
      <c r="A491" s="63" t="n"/>
      <c r="B491" s="64" t="n"/>
      <c r="C491" s="65" t="n"/>
      <c r="D491" s="66" t="str">
        <f>IF(C491="","",IFERROR(INDEX(sup_name,MATCH($C491,sup_code,0))&amp;"","Fournisseur inconnu"))</f>
        <v/>
      </c>
      <c r="E491" s="63" t="n"/>
      <c r="F491" s="66" t="str">
        <f>IF(E491="","",IFERROR(INDEX(art_des,MATCH($E491,art_ref,0))&amp;"","Article inconnu"))</f>
        <v/>
      </c>
      <c r="G491" s="67" t="str">
        <f>IF(E491="","",IFERROR(INDEX(art_unit,MATCH($E491,art_ref,0))&amp;"",""))</f>
        <v/>
      </c>
      <c r="H491" s="68" t="n"/>
      <c r="I491" s="69" t="n"/>
      <c r="J491" s="70" t="str">
        <f>IF(E491="","",IF(ISNUMBER(I491),I491,IFERROR(IF(ISNUMBER(INDEX(art_price,MATCH($E491,art_ref,0))),INDEX(art_price,MATCH($E491,art_ref,0)),""),"")))</f>
        <v/>
      </c>
      <c r="K491" s="71" t="n"/>
      <c r="L491" s="72" t="n"/>
      <c r="M491" s="72" t="str">
        <f>IF(E491="","",IF(L491&lt;&gt;"",L491,IFERROR(IF(ISNUMBER(INDEX(art_tva,MATCH($E491,art_ref,0))),INDEX(art_tva,MATCH($E491,art_ref,0)),""),"")))</f>
        <v/>
      </c>
      <c r="N491" s="70" t="str">
        <f>IF(OR(E491="",J491=""),"",ROUND(N(H491)*J491*(1-N(K491)),2))</f>
        <v/>
      </c>
      <c r="O491" s="70" t="str">
        <f>IF(OR(N491="",NOT(ISNUMBER(M491))),"",ROUND(N491*M491,2))</f>
        <v/>
      </c>
      <c r="P491" s="70" t="str">
        <f>IF(N491="","",N491+N(O491))</f>
        <v/>
      </c>
      <c r="Q491" s="64" t="n"/>
      <c r="R491" s="73" t="str">
        <f>IF(N(Q491)&gt;0,Q491,IF(OR(N(B491)=0,ISNA(MATCH($C491,sup_code,0))),"",IF(ISNUMBER(INDEX(sup_delay,MATCH($C491,sup_code,0))),B491+INDEX(sup_delay,MATCH($C491,sup_code,0)),"")))</f>
        <v/>
      </c>
      <c r="S491" s="64" t="n"/>
      <c r="T491" s="68" t="n"/>
      <c r="U491" s="64" t="n"/>
      <c r="V491" s="65" t="n"/>
      <c r="W491" s="74" t="str">
        <f>IF(AND(A491="",E491=""),"",IF(V491="Oui",0,MAX(0,ROUND(N(H491)-N(T491),6))))</f>
        <v/>
      </c>
      <c r="X491" s="67" t="str">
        <f>IF(AND(A491="",E491=""),"",IF(V491="Oui","Annulé",IF(AND(N(H491)&gt;0,N(T491)&gt;=N(H491)),"Reçu",IF(N(S491)=0,"Brouillon",IF(AND(ISNUMBER(R491),R491&lt;p_today),"En retard",IF(N(T491)&gt;0,"Partiel","Envoyé"))))))</f>
        <v/>
      </c>
      <c r="Y491" s="75" t="str">
        <f>IF(X491="En retard",p_today-R491,IF(AND(X491="Reçu",ISNUMBER(R491)),MAX(0,N(U491)-R491),""))</f>
        <v/>
      </c>
      <c r="Z491" s="67" t="str">
        <f>IF(AND(A491="",E491=""),"",IF(A491="","N° de bon manquant",IF(N(B491)=0,"Date de commande manquante",IF(C491="","Fournisseur manquant",IF(ISNA(MATCH($C491,sup_code,0)),"Fournisseur inconnu",IF(E491="","Article manquant",IF(ISNA(MATCH($E491,art_ref,0)),"Article inconnu",IF(N(H491)&lt;=0,"Quantité invalide",IF(J491="","Prix manquant",IF(OR(N(K491)&lt;0,N(K491)&gt;=1),"Remise invalide",IF(M491="","TVA manquante",IF(ISNA(MATCH(M491,p_tva,0)),"Taux de TVA inconnu",IF(COUNTIFS(po_num,A491,po_sup,"&lt;&gt;"&amp;C491)&gt;0,"Fournisseur différent sur ce bon",IF(COUNTIFS(po_num,A491,po_date,"&lt;&gt;"&amp;B491)&gt;0,"Date différente sur ce bon",IF(COUNTIF(po_num,A491)&gt;25,"Plus de 25 lignes sur ce bon",IF(R491="","Date de livraison manquante",IF(R491&lt;B491,"Livraison avant la commande",IF(AND(N(T491)&gt;0,N(S491)=0),"Date d'envoi manquante",IF(N(T491)&gt;N(H491),"Reçu plus que commandé",IF(AND(N(T491)&gt;0,N(U491)=0),"Date de réception manquante",IF(AND(N(U491)&gt;0,U491&lt;B491),"Réception avant la commande","OK")))))))))))))))))))))</f>
        <v/>
      </c>
      <c r="AA491" s="66" t="str">
        <f>IF(AND(X491="Reçu",ISNUMBER(R491)),IF(N(U491)&lt;=R491,1,0),"")</f>
        <v/>
      </c>
      <c r="AB491" s="76" t="str">
        <f>IF(OR(X491="Envoyé",X491="Partiel",X491="En retard"),IF(ISNUMBER(R491),R491,100000)+ROW()/100000,"")</f>
        <v/>
      </c>
      <c r="AC491" s="66" t="str">
        <f>IF(A491="","",IF(COUNTIF($A$6:A491,A491)=1,1,""))</f>
        <v/>
      </c>
      <c r="AD491" s="66" t="str">
        <f>IF(AC491=1,COUNT($AC$6:AC491),"")</f>
        <v/>
      </c>
      <c r="AE491" s="66" t="str">
        <f>IFERROR(INDEX(po_num,MATCH(486,po_seq,0))&amp;"","")</f>
        <v/>
      </c>
      <c r="AF491" s="66" t="str">
        <f>IF(OR(A491="",p_po=""),"",IF(A491&amp;""=p_po,COUNTIF($A$6:A491,A491),""))</f>
        <v/>
      </c>
      <c r="AG491" s="66" t="str">
        <f>IF(OR(AB491="",A491=""),"",IF(COUNTIFS($A$6:A491,A491,$AB$6:AB491,"&gt;0")=1,1,""))</f>
        <v/>
      </c>
      <c r="AH491" s="70" t="str">
        <f>IF(AB491="","",ROUND(N(W491)*N(J491)*(1-N(K491)),2))</f>
        <v/>
      </c>
      <c r="AI491" s="70" t="str">
        <f>IF(OR(J491="",N(T491)&lt;=0,V491="Oui"),"",ROUND(N(T491)*J491*(1-N(K491)),2))</f>
        <v/>
      </c>
    </row>
    <row r="492">
      <c r="A492" s="63" t="n"/>
      <c r="B492" s="64" t="n"/>
      <c r="C492" s="65" t="n"/>
      <c r="D492" s="66" t="str">
        <f>IF(C492="","",IFERROR(INDEX(sup_name,MATCH($C492,sup_code,0))&amp;"","Fournisseur inconnu"))</f>
        <v/>
      </c>
      <c r="E492" s="63" t="n"/>
      <c r="F492" s="66" t="str">
        <f>IF(E492="","",IFERROR(INDEX(art_des,MATCH($E492,art_ref,0))&amp;"","Article inconnu"))</f>
        <v/>
      </c>
      <c r="G492" s="67" t="str">
        <f>IF(E492="","",IFERROR(INDEX(art_unit,MATCH($E492,art_ref,0))&amp;"",""))</f>
        <v/>
      </c>
      <c r="H492" s="68" t="n"/>
      <c r="I492" s="69" t="n"/>
      <c r="J492" s="70" t="str">
        <f>IF(E492="","",IF(ISNUMBER(I492),I492,IFERROR(IF(ISNUMBER(INDEX(art_price,MATCH($E492,art_ref,0))),INDEX(art_price,MATCH($E492,art_ref,0)),""),"")))</f>
        <v/>
      </c>
      <c r="K492" s="71" t="n"/>
      <c r="L492" s="72" t="n"/>
      <c r="M492" s="72" t="str">
        <f>IF(E492="","",IF(L492&lt;&gt;"",L492,IFERROR(IF(ISNUMBER(INDEX(art_tva,MATCH($E492,art_ref,0))),INDEX(art_tva,MATCH($E492,art_ref,0)),""),"")))</f>
        <v/>
      </c>
      <c r="N492" s="70" t="str">
        <f>IF(OR(E492="",J492=""),"",ROUND(N(H492)*J492*(1-N(K492)),2))</f>
        <v/>
      </c>
      <c r="O492" s="70" t="str">
        <f>IF(OR(N492="",NOT(ISNUMBER(M492))),"",ROUND(N492*M492,2))</f>
        <v/>
      </c>
      <c r="P492" s="70" t="str">
        <f>IF(N492="","",N492+N(O492))</f>
        <v/>
      </c>
      <c r="Q492" s="64" t="n"/>
      <c r="R492" s="73" t="str">
        <f>IF(N(Q492)&gt;0,Q492,IF(OR(N(B492)=0,ISNA(MATCH($C492,sup_code,0))),"",IF(ISNUMBER(INDEX(sup_delay,MATCH($C492,sup_code,0))),B492+INDEX(sup_delay,MATCH($C492,sup_code,0)),"")))</f>
        <v/>
      </c>
      <c r="S492" s="64" t="n"/>
      <c r="T492" s="68" t="n"/>
      <c r="U492" s="64" t="n"/>
      <c r="V492" s="65" t="n"/>
      <c r="W492" s="74" t="str">
        <f>IF(AND(A492="",E492=""),"",IF(V492="Oui",0,MAX(0,ROUND(N(H492)-N(T492),6))))</f>
        <v/>
      </c>
      <c r="X492" s="67" t="str">
        <f>IF(AND(A492="",E492=""),"",IF(V492="Oui","Annulé",IF(AND(N(H492)&gt;0,N(T492)&gt;=N(H492)),"Reçu",IF(N(S492)=0,"Brouillon",IF(AND(ISNUMBER(R492),R492&lt;p_today),"En retard",IF(N(T492)&gt;0,"Partiel","Envoyé"))))))</f>
        <v/>
      </c>
      <c r="Y492" s="75" t="str">
        <f>IF(X492="En retard",p_today-R492,IF(AND(X492="Reçu",ISNUMBER(R492)),MAX(0,N(U492)-R492),""))</f>
        <v/>
      </c>
      <c r="Z492" s="67" t="str">
        <f>IF(AND(A492="",E492=""),"",IF(A492="","N° de bon manquant",IF(N(B492)=0,"Date de commande manquante",IF(C492="","Fournisseur manquant",IF(ISNA(MATCH($C492,sup_code,0)),"Fournisseur inconnu",IF(E492="","Article manquant",IF(ISNA(MATCH($E492,art_ref,0)),"Article inconnu",IF(N(H492)&lt;=0,"Quantité invalide",IF(J492="","Prix manquant",IF(OR(N(K492)&lt;0,N(K492)&gt;=1),"Remise invalide",IF(M492="","TVA manquante",IF(ISNA(MATCH(M492,p_tva,0)),"Taux de TVA inconnu",IF(COUNTIFS(po_num,A492,po_sup,"&lt;&gt;"&amp;C492)&gt;0,"Fournisseur différent sur ce bon",IF(COUNTIFS(po_num,A492,po_date,"&lt;&gt;"&amp;B492)&gt;0,"Date différente sur ce bon",IF(COUNTIF(po_num,A492)&gt;25,"Plus de 25 lignes sur ce bon",IF(R492="","Date de livraison manquante",IF(R492&lt;B492,"Livraison avant la commande",IF(AND(N(T492)&gt;0,N(S492)=0),"Date d'envoi manquante",IF(N(T492)&gt;N(H492),"Reçu plus que commandé",IF(AND(N(T492)&gt;0,N(U492)=0),"Date de réception manquante",IF(AND(N(U492)&gt;0,U492&lt;B492),"Réception avant la commande","OK")))))))))))))))))))))</f>
        <v/>
      </c>
      <c r="AA492" s="66" t="str">
        <f>IF(AND(X492="Reçu",ISNUMBER(R492)),IF(N(U492)&lt;=R492,1,0),"")</f>
        <v/>
      </c>
      <c r="AB492" s="76" t="str">
        <f>IF(OR(X492="Envoyé",X492="Partiel",X492="En retard"),IF(ISNUMBER(R492),R492,100000)+ROW()/100000,"")</f>
        <v/>
      </c>
      <c r="AC492" s="66" t="str">
        <f>IF(A492="","",IF(COUNTIF($A$6:A492,A492)=1,1,""))</f>
        <v/>
      </c>
      <c r="AD492" s="66" t="str">
        <f>IF(AC492=1,COUNT($AC$6:AC492),"")</f>
        <v/>
      </c>
      <c r="AE492" s="66" t="str">
        <f>IFERROR(INDEX(po_num,MATCH(487,po_seq,0))&amp;"","")</f>
        <v/>
      </c>
      <c r="AF492" s="66" t="str">
        <f>IF(OR(A492="",p_po=""),"",IF(A492&amp;""=p_po,COUNTIF($A$6:A492,A492),""))</f>
        <v/>
      </c>
      <c r="AG492" s="66" t="str">
        <f>IF(OR(AB492="",A492=""),"",IF(COUNTIFS($A$6:A492,A492,$AB$6:AB492,"&gt;0")=1,1,""))</f>
        <v/>
      </c>
      <c r="AH492" s="70" t="str">
        <f>IF(AB492="","",ROUND(N(W492)*N(J492)*(1-N(K492)),2))</f>
        <v/>
      </c>
      <c r="AI492" s="70" t="str">
        <f>IF(OR(J492="",N(T492)&lt;=0,V492="Oui"),"",ROUND(N(T492)*J492*(1-N(K492)),2))</f>
        <v/>
      </c>
    </row>
    <row r="493">
      <c r="A493" s="63" t="n"/>
      <c r="B493" s="64" t="n"/>
      <c r="C493" s="65" t="n"/>
      <c r="D493" s="66" t="str">
        <f>IF(C493="","",IFERROR(INDEX(sup_name,MATCH($C493,sup_code,0))&amp;"","Fournisseur inconnu"))</f>
        <v/>
      </c>
      <c r="E493" s="63" t="n"/>
      <c r="F493" s="66" t="str">
        <f>IF(E493="","",IFERROR(INDEX(art_des,MATCH($E493,art_ref,0))&amp;"","Article inconnu"))</f>
        <v/>
      </c>
      <c r="G493" s="67" t="str">
        <f>IF(E493="","",IFERROR(INDEX(art_unit,MATCH($E493,art_ref,0))&amp;"",""))</f>
        <v/>
      </c>
      <c r="H493" s="68" t="n"/>
      <c r="I493" s="69" t="n"/>
      <c r="J493" s="70" t="str">
        <f>IF(E493="","",IF(ISNUMBER(I493),I493,IFERROR(IF(ISNUMBER(INDEX(art_price,MATCH($E493,art_ref,0))),INDEX(art_price,MATCH($E493,art_ref,0)),""),"")))</f>
        <v/>
      </c>
      <c r="K493" s="71" t="n"/>
      <c r="L493" s="72" t="n"/>
      <c r="M493" s="72" t="str">
        <f>IF(E493="","",IF(L493&lt;&gt;"",L493,IFERROR(IF(ISNUMBER(INDEX(art_tva,MATCH($E493,art_ref,0))),INDEX(art_tva,MATCH($E493,art_ref,0)),""),"")))</f>
        <v/>
      </c>
      <c r="N493" s="70" t="str">
        <f>IF(OR(E493="",J493=""),"",ROUND(N(H493)*J493*(1-N(K493)),2))</f>
        <v/>
      </c>
      <c r="O493" s="70" t="str">
        <f>IF(OR(N493="",NOT(ISNUMBER(M493))),"",ROUND(N493*M493,2))</f>
        <v/>
      </c>
      <c r="P493" s="70" t="str">
        <f>IF(N493="","",N493+N(O493))</f>
        <v/>
      </c>
      <c r="Q493" s="64" t="n"/>
      <c r="R493" s="73" t="str">
        <f>IF(N(Q493)&gt;0,Q493,IF(OR(N(B493)=0,ISNA(MATCH($C493,sup_code,0))),"",IF(ISNUMBER(INDEX(sup_delay,MATCH($C493,sup_code,0))),B493+INDEX(sup_delay,MATCH($C493,sup_code,0)),"")))</f>
        <v/>
      </c>
      <c r="S493" s="64" t="n"/>
      <c r="T493" s="68" t="n"/>
      <c r="U493" s="64" t="n"/>
      <c r="V493" s="65" t="n"/>
      <c r="W493" s="74" t="str">
        <f>IF(AND(A493="",E493=""),"",IF(V493="Oui",0,MAX(0,ROUND(N(H493)-N(T493),6))))</f>
        <v/>
      </c>
      <c r="X493" s="67" t="str">
        <f>IF(AND(A493="",E493=""),"",IF(V493="Oui","Annulé",IF(AND(N(H493)&gt;0,N(T493)&gt;=N(H493)),"Reçu",IF(N(S493)=0,"Brouillon",IF(AND(ISNUMBER(R493),R493&lt;p_today),"En retard",IF(N(T493)&gt;0,"Partiel","Envoyé"))))))</f>
        <v/>
      </c>
      <c r="Y493" s="75" t="str">
        <f>IF(X493="En retard",p_today-R493,IF(AND(X493="Reçu",ISNUMBER(R493)),MAX(0,N(U493)-R493),""))</f>
        <v/>
      </c>
      <c r="Z493" s="67" t="str">
        <f>IF(AND(A493="",E493=""),"",IF(A493="","N° de bon manquant",IF(N(B493)=0,"Date de commande manquante",IF(C493="","Fournisseur manquant",IF(ISNA(MATCH($C493,sup_code,0)),"Fournisseur inconnu",IF(E493="","Article manquant",IF(ISNA(MATCH($E493,art_ref,0)),"Article inconnu",IF(N(H493)&lt;=0,"Quantité invalide",IF(J493="","Prix manquant",IF(OR(N(K493)&lt;0,N(K493)&gt;=1),"Remise invalide",IF(M493="","TVA manquante",IF(ISNA(MATCH(M493,p_tva,0)),"Taux de TVA inconnu",IF(COUNTIFS(po_num,A493,po_sup,"&lt;&gt;"&amp;C493)&gt;0,"Fournisseur différent sur ce bon",IF(COUNTIFS(po_num,A493,po_date,"&lt;&gt;"&amp;B493)&gt;0,"Date différente sur ce bon",IF(COUNTIF(po_num,A493)&gt;25,"Plus de 25 lignes sur ce bon",IF(R493="","Date de livraison manquante",IF(R493&lt;B493,"Livraison avant la commande",IF(AND(N(T493)&gt;0,N(S493)=0),"Date d'envoi manquante",IF(N(T493)&gt;N(H493),"Reçu plus que commandé",IF(AND(N(T493)&gt;0,N(U493)=0),"Date de réception manquante",IF(AND(N(U493)&gt;0,U493&lt;B493),"Réception avant la commande","OK")))))))))))))))))))))</f>
        <v/>
      </c>
      <c r="AA493" s="66" t="str">
        <f>IF(AND(X493="Reçu",ISNUMBER(R493)),IF(N(U493)&lt;=R493,1,0),"")</f>
        <v/>
      </c>
      <c r="AB493" s="76" t="str">
        <f>IF(OR(X493="Envoyé",X493="Partiel",X493="En retard"),IF(ISNUMBER(R493),R493,100000)+ROW()/100000,"")</f>
        <v/>
      </c>
      <c r="AC493" s="66" t="str">
        <f>IF(A493="","",IF(COUNTIF($A$6:A493,A493)=1,1,""))</f>
        <v/>
      </c>
      <c r="AD493" s="66" t="str">
        <f>IF(AC493=1,COUNT($AC$6:AC493),"")</f>
        <v/>
      </c>
      <c r="AE493" s="66" t="str">
        <f>IFERROR(INDEX(po_num,MATCH(488,po_seq,0))&amp;"","")</f>
        <v/>
      </c>
      <c r="AF493" s="66" t="str">
        <f>IF(OR(A493="",p_po=""),"",IF(A493&amp;""=p_po,COUNTIF($A$6:A493,A493),""))</f>
        <v/>
      </c>
      <c r="AG493" s="66" t="str">
        <f>IF(OR(AB493="",A493=""),"",IF(COUNTIFS($A$6:A493,A493,$AB$6:AB493,"&gt;0")=1,1,""))</f>
        <v/>
      </c>
      <c r="AH493" s="70" t="str">
        <f>IF(AB493="","",ROUND(N(W493)*N(J493)*(1-N(K493)),2))</f>
        <v/>
      </c>
      <c r="AI493" s="70" t="str">
        <f>IF(OR(J493="",N(T493)&lt;=0,V493="Oui"),"",ROUND(N(T493)*J493*(1-N(K493)),2))</f>
        <v/>
      </c>
    </row>
    <row r="494">
      <c r="A494" s="63" t="n"/>
      <c r="B494" s="64" t="n"/>
      <c r="C494" s="65" t="n"/>
      <c r="D494" s="66" t="str">
        <f>IF(C494="","",IFERROR(INDEX(sup_name,MATCH($C494,sup_code,0))&amp;"","Fournisseur inconnu"))</f>
        <v/>
      </c>
      <c r="E494" s="63" t="n"/>
      <c r="F494" s="66" t="str">
        <f>IF(E494="","",IFERROR(INDEX(art_des,MATCH($E494,art_ref,0))&amp;"","Article inconnu"))</f>
        <v/>
      </c>
      <c r="G494" s="67" t="str">
        <f>IF(E494="","",IFERROR(INDEX(art_unit,MATCH($E494,art_ref,0))&amp;"",""))</f>
        <v/>
      </c>
      <c r="H494" s="68" t="n"/>
      <c r="I494" s="69" t="n"/>
      <c r="J494" s="70" t="str">
        <f>IF(E494="","",IF(ISNUMBER(I494),I494,IFERROR(IF(ISNUMBER(INDEX(art_price,MATCH($E494,art_ref,0))),INDEX(art_price,MATCH($E494,art_ref,0)),""),"")))</f>
        <v/>
      </c>
      <c r="K494" s="71" t="n"/>
      <c r="L494" s="72" t="n"/>
      <c r="M494" s="72" t="str">
        <f>IF(E494="","",IF(L494&lt;&gt;"",L494,IFERROR(IF(ISNUMBER(INDEX(art_tva,MATCH($E494,art_ref,0))),INDEX(art_tva,MATCH($E494,art_ref,0)),""),"")))</f>
        <v/>
      </c>
      <c r="N494" s="70" t="str">
        <f>IF(OR(E494="",J494=""),"",ROUND(N(H494)*J494*(1-N(K494)),2))</f>
        <v/>
      </c>
      <c r="O494" s="70" t="str">
        <f>IF(OR(N494="",NOT(ISNUMBER(M494))),"",ROUND(N494*M494,2))</f>
        <v/>
      </c>
      <c r="P494" s="70" t="str">
        <f>IF(N494="","",N494+N(O494))</f>
        <v/>
      </c>
      <c r="Q494" s="64" t="n"/>
      <c r="R494" s="73" t="str">
        <f>IF(N(Q494)&gt;0,Q494,IF(OR(N(B494)=0,ISNA(MATCH($C494,sup_code,0))),"",IF(ISNUMBER(INDEX(sup_delay,MATCH($C494,sup_code,0))),B494+INDEX(sup_delay,MATCH($C494,sup_code,0)),"")))</f>
        <v/>
      </c>
      <c r="S494" s="64" t="n"/>
      <c r="T494" s="68" t="n"/>
      <c r="U494" s="64" t="n"/>
      <c r="V494" s="65" t="n"/>
      <c r="W494" s="74" t="str">
        <f>IF(AND(A494="",E494=""),"",IF(V494="Oui",0,MAX(0,ROUND(N(H494)-N(T494),6))))</f>
        <v/>
      </c>
      <c r="X494" s="67" t="str">
        <f>IF(AND(A494="",E494=""),"",IF(V494="Oui","Annulé",IF(AND(N(H494)&gt;0,N(T494)&gt;=N(H494)),"Reçu",IF(N(S494)=0,"Brouillon",IF(AND(ISNUMBER(R494),R494&lt;p_today),"En retard",IF(N(T494)&gt;0,"Partiel","Envoyé"))))))</f>
        <v/>
      </c>
      <c r="Y494" s="75" t="str">
        <f>IF(X494="En retard",p_today-R494,IF(AND(X494="Reçu",ISNUMBER(R494)),MAX(0,N(U494)-R494),""))</f>
        <v/>
      </c>
      <c r="Z494" s="67" t="str">
        <f>IF(AND(A494="",E494=""),"",IF(A494="","N° de bon manquant",IF(N(B494)=0,"Date de commande manquante",IF(C494="","Fournisseur manquant",IF(ISNA(MATCH($C494,sup_code,0)),"Fournisseur inconnu",IF(E494="","Article manquant",IF(ISNA(MATCH($E494,art_ref,0)),"Article inconnu",IF(N(H494)&lt;=0,"Quantité invalide",IF(J494="","Prix manquant",IF(OR(N(K494)&lt;0,N(K494)&gt;=1),"Remise invalide",IF(M494="","TVA manquante",IF(ISNA(MATCH(M494,p_tva,0)),"Taux de TVA inconnu",IF(COUNTIFS(po_num,A494,po_sup,"&lt;&gt;"&amp;C494)&gt;0,"Fournisseur différent sur ce bon",IF(COUNTIFS(po_num,A494,po_date,"&lt;&gt;"&amp;B494)&gt;0,"Date différente sur ce bon",IF(COUNTIF(po_num,A494)&gt;25,"Plus de 25 lignes sur ce bon",IF(R494="","Date de livraison manquante",IF(R494&lt;B494,"Livraison avant la commande",IF(AND(N(T494)&gt;0,N(S494)=0),"Date d'envoi manquante",IF(N(T494)&gt;N(H494),"Reçu plus que commandé",IF(AND(N(T494)&gt;0,N(U494)=0),"Date de réception manquante",IF(AND(N(U494)&gt;0,U494&lt;B494),"Réception avant la commande","OK")))))))))))))))))))))</f>
        <v/>
      </c>
      <c r="AA494" s="66" t="str">
        <f>IF(AND(X494="Reçu",ISNUMBER(R494)),IF(N(U494)&lt;=R494,1,0),"")</f>
        <v/>
      </c>
      <c r="AB494" s="76" t="str">
        <f>IF(OR(X494="Envoyé",X494="Partiel",X494="En retard"),IF(ISNUMBER(R494),R494,100000)+ROW()/100000,"")</f>
        <v/>
      </c>
      <c r="AC494" s="66" t="str">
        <f>IF(A494="","",IF(COUNTIF($A$6:A494,A494)=1,1,""))</f>
        <v/>
      </c>
      <c r="AD494" s="66" t="str">
        <f>IF(AC494=1,COUNT($AC$6:AC494),"")</f>
        <v/>
      </c>
      <c r="AE494" s="66" t="str">
        <f>IFERROR(INDEX(po_num,MATCH(489,po_seq,0))&amp;"","")</f>
        <v/>
      </c>
      <c r="AF494" s="66" t="str">
        <f>IF(OR(A494="",p_po=""),"",IF(A494&amp;""=p_po,COUNTIF($A$6:A494,A494),""))</f>
        <v/>
      </c>
      <c r="AG494" s="66" t="str">
        <f>IF(OR(AB494="",A494=""),"",IF(COUNTIFS($A$6:A494,A494,$AB$6:AB494,"&gt;0")=1,1,""))</f>
        <v/>
      </c>
      <c r="AH494" s="70" t="str">
        <f>IF(AB494="","",ROUND(N(W494)*N(J494)*(1-N(K494)),2))</f>
        <v/>
      </c>
      <c r="AI494" s="70" t="str">
        <f>IF(OR(J494="",N(T494)&lt;=0,V494="Oui"),"",ROUND(N(T494)*J494*(1-N(K494)),2))</f>
        <v/>
      </c>
    </row>
    <row r="495">
      <c r="A495" s="63" t="n"/>
      <c r="B495" s="64" t="n"/>
      <c r="C495" s="65" t="n"/>
      <c r="D495" s="66" t="str">
        <f>IF(C495="","",IFERROR(INDEX(sup_name,MATCH($C495,sup_code,0))&amp;"","Fournisseur inconnu"))</f>
        <v/>
      </c>
      <c r="E495" s="63" t="n"/>
      <c r="F495" s="66" t="str">
        <f>IF(E495="","",IFERROR(INDEX(art_des,MATCH($E495,art_ref,0))&amp;"","Article inconnu"))</f>
        <v/>
      </c>
      <c r="G495" s="67" t="str">
        <f>IF(E495="","",IFERROR(INDEX(art_unit,MATCH($E495,art_ref,0))&amp;"",""))</f>
        <v/>
      </c>
      <c r="H495" s="68" t="n"/>
      <c r="I495" s="69" t="n"/>
      <c r="J495" s="70" t="str">
        <f>IF(E495="","",IF(ISNUMBER(I495),I495,IFERROR(IF(ISNUMBER(INDEX(art_price,MATCH($E495,art_ref,0))),INDEX(art_price,MATCH($E495,art_ref,0)),""),"")))</f>
        <v/>
      </c>
      <c r="K495" s="71" t="n"/>
      <c r="L495" s="72" t="n"/>
      <c r="M495" s="72" t="str">
        <f>IF(E495="","",IF(L495&lt;&gt;"",L495,IFERROR(IF(ISNUMBER(INDEX(art_tva,MATCH($E495,art_ref,0))),INDEX(art_tva,MATCH($E495,art_ref,0)),""),"")))</f>
        <v/>
      </c>
      <c r="N495" s="70" t="str">
        <f>IF(OR(E495="",J495=""),"",ROUND(N(H495)*J495*(1-N(K495)),2))</f>
        <v/>
      </c>
      <c r="O495" s="70" t="str">
        <f>IF(OR(N495="",NOT(ISNUMBER(M495))),"",ROUND(N495*M495,2))</f>
        <v/>
      </c>
      <c r="P495" s="70" t="str">
        <f>IF(N495="","",N495+N(O495))</f>
        <v/>
      </c>
      <c r="Q495" s="64" t="n"/>
      <c r="R495" s="73" t="str">
        <f>IF(N(Q495)&gt;0,Q495,IF(OR(N(B495)=0,ISNA(MATCH($C495,sup_code,0))),"",IF(ISNUMBER(INDEX(sup_delay,MATCH($C495,sup_code,0))),B495+INDEX(sup_delay,MATCH($C495,sup_code,0)),"")))</f>
        <v/>
      </c>
      <c r="S495" s="64" t="n"/>
      <c r="T495" s="68" t="n"/>
      <c r="U495" s="64" t="n"/>
      <c r="V495" s="65" t="n"/>
      <c r="W495" s="74" t="str">
        <f>IF(AND(A495="",E495=""),"",IF(V495="Oui",0,MAX(0,ROUND(N(H495)-N(T495),6))))</f>
        <v/>
      </c>
      <c r="X495" s="67" t="str">
        <f>IF(AND(A495="",E495=""),"",IF(V495="Oui","Annulé",IF(AND(N(H495)&gt;0,N(T495)&gt;=N(H495)),"Reçu",IF(N(S495)=0,"Brouillon",IF(AND(ISNUMBER(R495),R495&lt;p_today),"En retard",IF(N(T495)&gt;0,"Partiel","Envoyé"))))))</f>
        <v/>
      </c>
      <c r="Y495" s="75" t="str">
        <f>IF(X495="En retard",p_today-R495,IF(AND(X495="Reçu",ISNUMBER(R495)),MAX(0,N(U495)-R495),""))</f>
        <v/>
      </c>
      <c r="Z495" s="67" t="str">
        <f>IF(AND(A495="",E495=""),"",IF(A495="","N° de bon manquant",IF(N(B495)=0,"Date de commande manquante",IF(C495="","Fournisseur manquant",IF(ISNA(MATCH($C495,sup_code,0)),"Fournisseur inconnu",IF(E495="","Article manquant",IF(ISNA(MATCH($E495,art_ref,0)),"Article inconnu",IF(N(H495)&lt;=0,"Quantité invalide",IF(J495="","Prix manquant",IF(OR(N(K495)&lt;0,N(K495)&gt;=1),"Remise invalide",IF(M495="","TVA manquante",IF(ISNA(MATCH(M495,p_tva,0)),"Taux de TVA inconnu",IF(COUNTIFS(po_num,A495,po_sup,"&lt;&gt;"&amp;C495)&gt;0,"Fournisseur différent sur ce bon",IF(COUNTIFS(po_num,A495,po_date,"&lt;&gt;"&amp;B495)&gt;0,"Date différente sur ce bon",IF(COUNTIF(po_num,A495)&gt;25,"Plus de 25 lignes sur ce bon",IF(R495="","Date de livraison manquante",IF(R495&lt;B495,"Livraison avant la commande",IF(AND(N(T495)&gt;0,N(S495)=0),"Date d'envoi manquante",IF(N(T495)&gt;N(H495),"Reçu plus que commandé",IF(AND(N(T495)&gt;0,N(U495)=0),"Date de réception manquante",IF(AND(N(U495)&gt;0,U495&lt;B495),"Réception avant la commande","OK")))))))))))))))))))))</f>
        <v/>
      </c>
      <c r="AA495" s="66" t="str">
        <f>IF(AND(X495="Reçu",ISNUMBER(R495)),IF(N(U495)&lt;=R495,1,0),"")</f>
        <v/>
      </c>
      <c r="AB495" s="76" t="str">
        <f>IF(OR(X495="Envoyé",X495="Partiel",X495="En retard"),IF(ISNUMBER(R495),R495,100000)+ROW()/100000,"")</f>
        <v/>
      </c>
      <c r="AC495" s="66" t="str">
        <f>IF(A495="","",IF(COUNTIF($A$6:A495,A495)=1,1,""))</f>
        <v/>
      </c>
      <c r="AD495" s="66" t="str">
        <f>IF(AC495=1,COUNT($AC$6:AC495),"")</f>
        <v/>
      </c>
      <c r="AE495" s="66" t="str">
        <f>IFERROR(INDEX(po_num,MATCH(490,po_seq,0))&amp;"","")</f>
        <v/>
      </c>
      <c r="AF495" s="66" t="str">
        <f>IF(OR(A495="",p_po=""),"",IF(A495&amp;""=p_po,COUNTIF($A$6:A495,A495),""))</f>
        <v/>
      </c>
      <c r="AG495" s="66" t="str">
        <f>IF(OR(AB495="",A495=""),"",IF(COUNTIFS($A$6:A495,A495,$AB$6:AB495,"&gt;0")=1,1,""))</f>
        <v/>
      </c>
      <c r="AH495" s="70" t="str">
        <f>IF(AB495="","",ROUND(N(W495)*N(J495)*(1-N(K495)),2))</f>
        <v/>
      </c>
      <c r="AI495" s="70" t="str">
        <f>IF(OR(J495="",N(T495)&lt;=0,V495="Oui"),"",ROUND(N(T495)*J495*(1-N(K495)),2))</f>
        <v/>
      </c>
    </row>
    <row r="496">
      <c r="A496" s="63" t="n"/>
      <c r="B496" s="64" t="n"/>
      <c r="C496" s="65" t="n"/>
      <c r="D496" s="66" t="str">
        <f>IF(C496="","",IFERROR(INDEX(sup_name,MATCH($C496,sup_code,0))&amp;"","Fournisseur inconnu"))</f>
        <v/>
      </c>
      <c r="E496" s="63" t="n"/>
      <c r="F496" s="66" t="str">
        <f>IF(E496="","",IFERROR(INDEX(art_des,MATCH($E496,art_ref,0))&amp;"","Article inconnu"))</f>
        <v/>
      </c>
      <c r="G496" s="67" t="str">
        <f>IF(E496="","",IFERROR(INDEX(art_unit,MATCH($E496,art_ref,0))&amp;"",""))</f>
        <v/>
      </c>
      <c r="H496" s="68" t="n"/>
      <c r="I496" s="69" t="n"/>
      <c r="J496" s="70" t="str">
        <f>IF(E496="","",IF(ISNUMBER(I496),I496,IFERROR(IF(ISNUMBER(INDEX(art_price,MATCH($E496,art_ref,0))),INDEX(art_price,MATCH($E496,art_ref,0)),""),"")))</f>
        <v/>
      </c>
      <c r="K496" s="71" t="n"/>
      <c r="L496" s="72" t="n"/>
      <c r="M496" s="72" t="str">
        <f>IF(E496="","",IF(L496&lt;&gt;"",L496,IFERROR(IF(ISNUMBER(INDEX(art_tva,MATCH($E496,art_ref,0))),INDEX(art_tva,MATCH($E496,art_ref,0)),""),"")))</f>
        <v/>
      </c>
      <c r="N496" s="70" t="str">
        <f>IF(OR(E496="",J496=""),"",ROUND(N(H496)*J496*(1-N(K496)),2))</f>
        <v/>
      </c>
      <c r="O496" s="70" t="str">
        <f>IF(OR(N496="",NOT(ISNUMBER(M496))),"",ROUND(N496*M496,2))</f>
        <v/>
      </c>
      <c r="P496" s="70" t="str">
        <f>IF(N496="","",N496+N(O496))</f>
        <v/>
      </c>
      <c r="Q496" s="64" t="n"/>
      <c r="R496" s="73" t="str">
        <f>IF(N(Q496)&gt;0,Q496,IF(OR(N(B496)=0,ISNA(MATCH($C496,sup_code,0))),"",IF(ISNUMBER(INDEX(sup_delay,MATCH($C496,sup_code,0))),B496+INDEX(sup_delay,MATCH($C496,sup_code,0)),"")))</f>
        <v/>
      </c>
      <c r="S496" s="64" t="n"/>
      <c r="T496" s="68" t="n"/>
      <c r="U496" s="64" t="n"/>
      <c r="V496" s="65" t="n"/>
      <c r="W496" s="74" t="str">
        <f>IF(AND(A496="",E496=""),"",IF(V496="Oui",0,MAX(0,ROUND(N(H496)-N(T496),6))))</f>
        <v/>
      </c>
      <c r="X496" s="67" t="str">
        <f>IF(AND(A496="",E496=""),"",IF(V496="Oui","Annulé",IF(AND(N(H496)&gt;0,N(T496)&gt;=N(H496)),"Reçu",IF(N(S496)=0,"Brouillon",IF(AND(ISNUMBER(R496),R496&lt;p_today),"En retard",IF(N(T496)&gt;0,"Partiel","Envoyé"))))))</f>
        <v/>
      </c>
      <c r="Y496" s="75" t="str">
        <f>IF(X496="En retard",p_today-R496,IF(AND(X496="Reçu",ISNUMBER(R496)),MAX(0,N(U496)-R496),""))</f>
        <v/>
      </c>
      <c r="Z496" s="67" t="str">
        <f>IF(AND(A496="",E496=""),"",IF(A496="","N° de bon manquant",IF(N(B496)=0,"Date de commande manquante",IF(C496="","Fournisseur manquant",IF(ISNA(MATCH($C496,sup_code,0)),"Fournisseur inconnu",IF(E496="","Article manquant",IF(ISNA(MATCH($E496,art_ref,0)),"Article inconnu",IF(N(H496)&lt;=0,"Quantité invalide",IF(J496="","Prix manquant",IF(OR(N(K496)&lt;0,N(K496)&gt;=1),"Remise invalide",IF(M496="","TVA manquante",IF(ISNA(MATCH(M496,p_tva,0)),"Taux de TVA inconnu",IF(COUNTIFS(po_num,A496,po_sup,"&lt;&gt;"&amp;C496)&gt;0,"Fournisseur différent sur ce bon",IF(COUNTIFS(po_num,A496,po_date,"&lt;&gt;"&amp;B496)&gt;0,"Date différente sur ce bon",IF(COUNTIF(po_num,A496)&gt;25,"Plus de 25 lignes sur ce bon",IF(R496="","Date de livraison manquante",IF(R496&lt;B496,"Livraison avant la commande",IF(AND(N(T496)&gt;0,N(S496)=0),"Date d'envoi manquante",IF(N(T496)&gt;N(H496),"Reçu plus que commandé",IF(AND(N(T496)&gt;0,N(U496)=0),"Date de réception manquante",IF(AND(N(U496)&gt;0,U496&lt;B496),"Réception avant la commande","OK")))))))))))))))))))))</f>
        <v/>
      </c>
      <c r="AA496" s="66" t="str">
        <f>IF(AND(X496="Reçu",ISNUMBER(R496)),IF(N(U496)&lt;=R496,1,0),"")</f>
        <v/>
      </c>
      <c r="AB496" s="76" t="str">
        <f>IF(OR(X496="Envoyé",X496="Partiel",X496="En retard"),IF(ISNUMBER(R496),R496,100000)+ROW()/100000,"")</f>
        <v/>
      </c>
      <c r="AC496" s="66" t="str">
        <f>IF(A496="","",IF(COUNTIF($A$6:A496,A496)=1,1,""))</f>
        <v/>
      </c>
      <c r="AD496" s="66" t="str">
        <f>IF(AC496=1,COUNT($AC$6:AC496),"")</f>
        <v/>
      </c>
      <c r="AE496" s="66" t="str">
        <f>IFERROR(INDEX(po_num,MATCH(491,po_seq,0))&amp;"","")</f>
        <v/>
      </c>
      <c r="AF496" s="66" t="str">
        <f>IF(OR(A496="",p_po=""),"",IF(A496&amp;""=p_po,COUNTIF($A$6:A496,A496),""))</f>
        <v/>
      </c>
      <c r="AG496" s="66" t="str">
        <f>IF(OR(AB496="",A496=""),"",IF(COUNTIFS($A$6:A496,A496,$AB$6:AB496,"&gt;0")=1,1,""))</f>
        <v/>
      </c>
      <c r="AH496" s="70" t="str">
        <f>IF(AB496="","",ROUND(N(W496)*N(J496)*(1-N(K496)),2))</f>
        <v/>
      </c>
      <c r="AI496" s="70" t="str">
        <f>IF(OR(J496="",N(T496)&lt;=0,V496="Oui"),"",ROUND(N(T496)*J496*(1-N(K496)),2))</f>
        <v/>
      </c>
    </row>
    <row r="497">
      <c r="A497" s="63" t="n"/>
      <c r="B497" s="64" t="n"/>
      <c r="C497" s="65" t="n"/>
      <c r="D497" s="66" t="str">
        <f>IF(C497="","",IFERROR(INDEX(sup_name,MATCH($C497,sup_code,0))&amp;"","Fournisseur inconnu"))</f>
        <v/>
      </c>
      <c r="E497" s="63" t="n"/>
      <c r="F497" s="66" t="str">
        <f>IF(E497="","",IFERROR(INDEX(art_des,MATCH($E497,art_ref,0))&amp;"","Article inconnu"))</f>
        <v/>
      </c>
      <c r="G497" s="67" t="str">
        <f>IF(E497="","",IFERROR(INDEX(art_unit,MATCH($E497,art_ref,0))&amp;"",""))</f>
        <v/>
      </c>
      <c r="H497" s="68" t="n"/>
      <c r="I497" s="69" t="n"/>
      <c r="J497" s="70" t="str">
        <f>IF(E497="","",IF(ISNUMBER(I497),I497,IFERROR(IF(ISNUMBER(INDEX(art_price,MATCH($E497,art_ref,0))),INDEX(art_price,MATCH($E497,art_ref,0)),""),"")))</f>
        <v/>
      </c>
      <c r="K497" s="71" t="n"/>
      <c r="L497" s="72" t="n"/>
      <c r="M497" s="72" t="str">
        <f>IF(E497="","",IF(L497&lt;&gt;"",L497,IFERROR(IF(ISNUMBER(INDEX(art_tva,MATCH($E497,art_ref,0))),INDEX(art_tva,MATCH($E497,art_ref,0)),""),"")))</f>
        <v/>
      </c>
      <c r="N497" s="70" t="str">
        <f>IF(OR(E497="",J497=""),"",ROUND(N(H497)*J497*(1-N(K497)),2))</f>
        <v/>
      </c>
      <c r="O497" s="70" t="str">
        <f>IF(OR(N497="",NOT(ISNUMBER(M497))),"",ROUND(N497*M497,2))</f>
        <v/>
      </c>
      <c r="P497" s="70" t="str">
        <f>IF(N497="","",N497+N(O497))</f>
        <v/>
      </c>
      <c r="Q497" s="64" t="n"/>
      <c r="R497" s="73" t="str">
        <f>IF(N(Q497)&gt;0,Q497,IF(OR(N(B497)=0,ISNA(MATCH($C497,sup_code,0))),"",IF(ISNUMBER(INDEX(sup_delay,MATCH($C497,sup_code,0))),B497+INDEX(sup_delay,MATCH($C497,sup_code,0)),"")))</f>
        <v/>
      </c>
      <c r="S497" s="64" t="n"/>
      <c r="T497" s="68" t="n"/>
      <c r="U497" s="64" t="n"/>
      <c r="V497" s="65" t="n"/>
      <c r="W497" s="74" t="str">
        <f>IF(AND(A497="",E497=""),"",IF(V497="Oui",0,MAX(0,ROUND(N(H497)-N(T497),6))))</f>
        <v/>
      </c>
      <c r="X497" s="67" t="str">
        <f>IF(AND(A497="",E497=""),"",IF(V497="Oui","Annulé",IF(AND(N(H497)&gt;0,N(T497)&gt;=N(H497)),"Reçu",IF(N(S497)=0,"Brouillon",IF(AND(ISNUMBER(R497),R497&lt;p_today),"En retard",IF(N(T497)&gt;0,"Partiel","Envoyé"))))))</f>
        <v/>
      </c>
      <c r="Y497" s="75" t="str">
        <f>IF(X497="En retard",p_today-R497,IF(AND(X497="Reçu",ISNUMBER(R497)),MAX(0,N(U497)-R497),""))</f>
        <v/>
      </c>
      <c r="Z497" s="67" t="str">
        <f>IF(AND(A497="",E497=""),"",IF(A497="","N° de bon manquant",IF(N(B497)=0,"Date de commande manquante",IF(C497="","Fournisseur manquant",IF(ISNA(MATCH($C497,sup_code,0)),"Fournisseur inconnu",IF(E497="","Article manquant",IF(ISNA(MATCH($E497,art_ref,0)),"Article inconnu",IF(N(H497)&lt;=0,"Quantité invalide",IF(J497="","Prix manquant",IF(OR(N(K497)&lt;0,N(K497)&gt;=1),"Remise invalide",IF(M497="","TVA manquante",IF(ISNA(MATCH(M497,p_tva,0)),"Taux de TVA inconnu",IF(COUNTIFS(po_num,A497,po_sup,"&lt;&gt;"&amp;C497)&gt;0,"Fournisseur différent sur ce bon",IF(COUNTIFS(po_num,A497,po_date,"&lt;&gt;"&amp;B497)&gt;0,"Date différente sur ce bon",IF(COUNTIF(po_num,A497)&gt;25,"Plus de 25 lignes sur ce bon",IF(R497="","Date de livraison manquante",IF(R497&lt;B497,"Livraison avant la commande",IF(AND(N(T497)&gt;0,N(S497)=0),"Date d'envoi manquante",IF(N(T497)&gt;N(H497),"Reçu plus que commandé",IF(AND(N(T497)&gt;0,N(U497)=0),"Date de réception manquante",IF(AND(N(U497)&gt;0,U497&lt;B497),"Réception avant la commande","OK")))))))))))))))))))))</f>
        <v/>
      </c>
      <c r="AA497" s="66" t="str">
        <f>IF(AND(X497="Reçu",ISNUMBER(R497)),IF(N(U497)&lt;=R497,1,0),"")</f>
        <v/>
      </c>
      <c r="AB497" s="76" t="str">
        <f>IF(OR(X497="Envoyé",X497="Partiel",X497="En retard"),IF(ISNUMBER(R497),R497,100000)+ROW()/100000,"")</f>
        <v/>
      </c>
      <c r="AC497" s="66" t="str">
        <f>IF(A497="","",IF(COUNTIF($A$6:A497,A497)=1,1,""))</f>
        <v/>
      </c>
      <c r="AD497" s="66" t="str">
        <f>IF(AC497=1,COUNT($AC$6:AC497),"")</f>
        <v/>
      </c>
      <c r="AE497" s="66" t="str">
        <f>IFERROR(INDEX(po_num,MATCH(492,po_seq,0))&amp;"","")</f>
        <v/>
      </c>
      <c r="AF497" s="66" t="str">
        <f>IF(OR(A497="",p_po=""),"",IF(A497&amp;""=p_po,COUNTIF($A$6:A497,A497),""))</f>
        <v/>
      </c>
      <c r="AG497" s="66" t="str">
        <f>IF(OR(AB497="",A497=""),"",IF(COUNTIFS($A$6:A497,A497,$AB$6:AB497,"&gt;0")=1,1,""))</f>
        <v/>
      </c>
      <c r="AH497" s="70" t="str">
        <f>IF(AB497="","",ROUND(N(W497)*N(J497)*(1-N(K497)),2))</f>
        <v/>
      </c>
      <c r="AI497" s="70" t="str">
        <f>IF(OR(J497="",N(T497)&lt;=0,V497="Oui"),"",ROUND(N(T497)*J497*(1-N(K497)),2))</f>
        <v/>
      </c>
    </row>
    <row r="498">
      <c r="A498" s="63" t="n"/>
      <c r="B498" s="64" t="n"/>
      <c r="C498" s="65" t="n"/>
      <c r="D498" s="66" t="str">
        <f>IF(C498="","",IFERROR(INDEX(sup_name,MATCH($C498,sup_code,0))&amp;"","Fournisseur inconnu"))</f>
        <v/>
      </c>
      <c r="E498" s="63" t="n"/>
      <c r="F498" s="66" t="str">
        <f>IF(E498="","",IFERROR(INDEX(art_des,MATCH($E498,art_ref,0))&amp;"","Article inconnu"))</f>
        <v/>
      </c>
      <c r="G498" s="67" t="str">
        <f>IF(E498="","",IFERROR(INDEX(art_unit,MATCH($E498,art_ref,0))&amp;"",""))</f>
        <v/>
      </c>
      <c r="H498" s="68" t="n"/>
      <c r="I498" s="69" t="n"/>
      <c r="J498" s="70" t="str">
        <f>IF(E498="","",IF(ISNUMBER(I498),I498,IFERROR(IF(ISNUMBER(INDEX(art_price,MATCH($E498,art_ref,0))),INDEX(art_price,MATCH($E498,art_ref,0)),""),"")))</f>
        <v/>
      </c>
      <c r="K498" s="71" t="n"/>
      <c r="L498" s="72" t="n"/>
      <c r="M498" s="72" t="str">
        <f>IF(E498="","",IF(L498&lt;&gt;"",L498,IFERROR(IF(ISNUMBER(INDEX(art_tva,MATCH($E498,art_ref,0))),INDEX(art_tva,MATCH($E498,art_ref,0)),""),"")))</f>
        <v/>
      </c>
      <c r="N498" s="70" t="str">
        <f>IF(OR(E498="",J498=""),"",ROUND(N(H498)*J498*(1-N(K498)),2))</f>
        <v/>
      </c>
      <c r="O498" s="70" t="str">
        <f>IF(OR(N498="",NOT(ISNUMBER(M498))),"",ROUND(N498*M498,2))</f>
        <v/>
      </c>
      <c r="P498" s="70" t="str">
        <f>IF(N498="","",N498+N(O498))</f>
        <v/>
      </c>
      <c r="Q498" s="64" t="n"/>
      <c r="R498" s="73" t="str">
        <f>IF(N(Q498)&gt;0,Q498,IF(OR(N(B498)=0,ISNA(MATCH($C498,sup_code,0))),"",IF(ISNUMBER(INDEX(sup_delay,MATCH($C498,sup_code,0))),B498+INDEX(sup_delay,MATCH($C498,sup_code,0)),"")))</f>
        <v/>
      </c>
      <c r="S498" s="64" t="n"/>
      <c r="T498" s="68" t="n"/>
      <c r="U498" s="64" t="n"/>
      <c r="V498" s="65" t="n"/>
      <c r="W498" s="74" t="str">
        <f>IF(AND(A498="",E498=""),"",IF(V498="Oui",0,MAX(0,ROUND(N(H498)-N(T498),6))))</f>
        <v/>
      </c>
      <c r="X498" s="67" t="str">
        <f>IF(AND(A498="",E498=""),"",IF(V498="Oui","Annulé",IF(AND(N(H498)&gt;0,N(T498)&gt;=N(H498)),"Reçu",IF(N(S498)=0,"Brouillon",IF(AND(ISNUMBER(R498),R498&lt;p_today),"En retard",IF(N(T498)&gt;0,"Partiel","Envoyé"))))))</f>
        <v/>
      </c>
      <c r="Y498" s="75" t="str">
        <f>IF(X498="En retard",p_today-R498,IF(AND(X498="Reçu",ISNUMBER(R498)),MAX(0,N(U498)-R498),""))</f>
        <v/>
      </c>
      <c r="Z498" s="67" t="str">
        <f>IF(AND(A498="",E498=""),"",IF(A498="","N° de bon manquant",IF(N(B498)=0,"Date de commande manquante",IF(C498="","Fournisseur manquant",IF(ISNA(MATCH($C498,sup_code,0)),"Fournisseur inconnu",IF(E498="","Article manquant",IF(ISNA(MATCH($E498,art_ref,0)),"Article inconnu",IF(N(H498)&lt;=0,"Quantité invalide",IF(J498="","Prix manquant",IF(OR(N(K498)&lt;0,N(K498)&gt;=1),"Remise invalide",IF(M498="","TVA manquante",IF(ISNA(MATCH(M498,p_tva,0)),"Taux de TVA inconnu",IF(COUNTIFS(po_num,A498,po_sup,"&lt;&gt;"&amp;C498)&gt;0,"Fournisseur différent sur ce bon",IF(COUNTIFS(po_num,A498,po_date,"&lt;&gt;"&amp;B498)&gt;0,"Date différente sur ce bon",IF(COUNTIF(po_num,A498)&gt;25,"Plus de 25 lignes sur ce bon",IF(R498="","Date de livraison manquante",IF(R498&lt;B498,"Livraison avant la commande",IF(AND(N(T498)&gt;0,N(S498)=0),"Date d'envoi manquante",IF(N(T498)&gt;N(H498),"Reçu plus que commandé",IF(AND(N(T498)&gt;0,N(U498)=0),"Date de réception manquante",IF(AND(N(U498)&gt;0,U498&lt;B498),"Réception avant la commande","OK")))))))))))))))))))))</f>
        <v/>
      </c>
      <c r="AA498" s="66" t="str">
        <f>IF(AND(X498="Reçu",ISNUMBER(R498)),IF(N(U498)&lt;=R498,1,0),"")</f>
        <v/>
      </c>
      <c r="AB498" s="76" t="str">
        <f>IF(OR(X498="Envoyé",X498="Partiel",X498="En retard"),IF(ISNUMBER(R498),R498,100000)+ROW()/100000,"")</f>
        <v/>
      </c>
      <c r="AC498" s="66" t="str">
        <f>IF(A498="","",IF(COUNTIF($A$6:A498,A498)=1,1,""))</f>
        <v/>
      </c>
      <c r="AD498" s="66" t="str">
        <f>IF(AC498=1,COUNT($AC$6:AC498),"")</f>
        <v/>
      </c>
      <c r="AE498" s="66" t="str">
        <f>IFERROR(INDEX(po_num,MATCH(493,po_seq,0))&amp;"","")</f>
        <v/>
      </c>
      <c r="AF498" s="66" t="str">
        <f>IF(OR(A498="",p_po=""),"",IF(A498&amp;""=p_po,COUNTIF($A$6:A498,A498),""))</f>
        <v/>
      </c>
      <c r="AG498" s="66" t="str">
        <f>IF(OR(AB498="",A498=""),"",IF(COUNTIFS($A$6:A498,A498,$AB$6:AB498,"&gt;0")=1,1,""))</f>
        <v/>
      </c>
      <c r="AH498" s="70" t="str">
        <f>IF(AB498="","",ROUND(N(W498)*N(J498)*(1-N(K498)),2))</f>
        <v/>
      </c>
      <c r="AI498" s="70" t="str">
        <f>IF(OR(J498="",N(T498)&lt;=0,V498="Oui"),"",ROUND(N(T498)*J498*(1-N(K498)),2))</f>
        <v/>
      </c>
    </row>
    <row r="499">
      <c r="A499" s="63" t="n"/>
      <c r="B499" s="64" t="n"/>
      <c r="C499" s="65" t="n"/>
      <c r="D499" s="66" t="str">
        <f>IF(C499="","",IFERROR(INDEX(sup_name,MATCH($C499,sup_code,0))&amp;"","Fournisseur inconnu"))</f>
        <v/>
      </c>
      <c r="E499" s="63" t="n"/>
      <c r="F499" s="66" t="str">
        <f>IF(E499="","",IFERROR(INDEX(art_des,MATCH($E499,art_ref,0))&amp;"","Article inconnu"))</f>
        <v/>
      </c>
      <c r="G499" s="67" t="str">
        <f>IF(E499="","",IFERROR(INDEX(art_unit,MATCH($E499,art_ref,0))&amp;"",""))</f>
        <v/>
      </c>
      <c r="H499" s="68" t="n"/>
      <c r="I499" s="69" t="n"/>
      <c r="J499" s="70" t="str">
        <f>IF(E499="","",IF(ISNUMBER(I499),I499,IFERROR(IF(ISNUMBER(INDEX(art_price,MATCH($E499,art_ref,0))),INDEX(art_price,MATCH($E499,art_ref,0)),""),"")))</f>
        <v/>
      </c>
      <c r="K499" s="71" t="n"/>
      <c r="L499" s="72" t="n"/>
      <c r="M499" s="72" t="str">
        <f>IF(E499="","",IF(L499&lt;&gt;"",L499,IFERROR(IF(ISNUMBER(INDEX(art_tva,MATCH($E499,art_ref,0))),INDEX(art_tva,MATCH($E499,art_ref,0)),""),"")))</f>
        <v/>
      </c>
      <c r="N499" s="70" t="str">
        <f>IF(OR(E499="",J499=""),"",ROUND(N(H499)*J499*(1-N(K499)),2))</f>
        <v/>
      </c>
      <c r="O499" s="70" t="str">
        <f>IF(OR(N499="",NOT(ISNUMBER(M499))),"",ROUND(N499*M499,2))</f>
        <v/>
      </c>
      <c r="P499" s="70" t="str">
        <f>IF(N499="","",N499+N(O499))</f>
        <v/>
      </c>
      <c r="Q499" s="64" t="n"/>
      <c r="R499" s="73" t="str">
        <f>IF(N(Q499)&gt;0,Q499,IF(OR(N(B499)=0,ISNA(MATCH($C499,sup_code,0))),"",IF(ISNUMBER(INDEX(sup_delay,MATCH($C499,sup_code,0))),B499+INDEX(sup_delay,MATCH($C499,sup_code,0)),"")))</f>
        <v/>
      </c>
      <c r="S499" s="64" t="n"/>
      <c r="T499" s="68" t="n"/>
      <c r="U499" s="64" t="n"/>
      <c r="V499" s="65" t="n"/>
      <c r="W499" s="74" t="str">
        <f>IF(AND(A499="",E499=""),"",IF(V499="Oui",0,MAX(0,ROUND(N(H499)-N(T499),6))))</f>
        <v/>
      </c>
      <c r="X499" s="67" t="str">
        <f>IF(AND(A499="",E499=""),"",IF(V499="Oui","Annulé",IF(AND(N(H499)&gt;0,N(T499)&gt;=N(H499)),"Reçu",IF(N(S499)=0,"Brouillon",IF(AND(ISNUMBER(R499),R499&lt;p_today),"En retard",IF(N(T499)&gt;0,"Partiel","Envoyé"))))))</f>
        <v/>
      </c>
      <c r="Y499" s="75" t="str">
        <f>IF(X499="En retard",p_today-R499,IF(AND(X499="Reçu",ISNUMBER(R499)),MAX(0,N(U499)-R499),""))</f>
        <v/>
      </c>
      <c r="Z499" s="67" t="str">
        <f>IF(AND(A499="",E499=""),"",IF(A499="","N° de bon manquant",IF(N(B499)=0,"Date de commande manquante",IF(C499="","Fournisseur manquant",IF(ISNA(MATCH($C499,sup_code,0)),"Fournisseur inconnu",IF(E499="","Article manquant",IF(ISNA(MATCH($E499,art_ref,0)),"Article inconnu",IF(N(H499)&lt;=0,"Quantité invalide",IF(J499="","Prix manquant",IF(OR(N(K499)&lt;0,N(K499)&gt;=1),"Remise invalide",IF(M499="","TVA manquante",IF(ISNA(MATCH(M499,p_tva,0)),"Taux de TVA inconnu",IF(COUNTIFS(po_num,A499,po_sup,"&lt;&gt;"&amp;C499)&gt;0,"Fournisseur différent sur ce bon",IF(COUNTIFS(po_num,A499,po_date,"&lt;&gt;"&amp;B499)&gt;0,"Date différente sur ce bon",IF(COUNTIF(po_num,A499)&gt;25,"Plus de 25 lignes sur ce bon",IF(R499="","Date de livraison manquante",IF(R499&lt;B499,"Livraison avant la commande",IF(AND(N(T499)&gt;0,N(S499)=0),"Date d'envoi manquante",IF(N(T499)&gt;N(H499),"Reçu plus que commandé",IF(AND(N(T499)&gt;0,N(U499)=0),"Date de réception manquante",IF(AND(N(U499)&gt;0,U499&lt;B499),"Réception avant la commande","OK")))))))))))))))))))))</f>
        <v/>
      </c>
      <c r="AA499" s="66" t="str">
        <f>IF(AND(X499="Reçu",ISNUMBER(R499)),IF(N(U499)&lt;=R499,1,0),"")</f>
        <v/>
      </c>
      <c r="AB499" s="76" t="str">
        <f>IF(OR(X499="Envoyé",X499="Partiel",X499="En retard"),IF(ISNUMBER(R499),R499,100000)+ROW()/100000,"")</f>
        <v/>
      </c>
      <c r="AC499" s="66" t="str">
        <f>IF(A499="","",IF(COUNTIF($A$6:A499,A499)=1,1,""))</f>
        <v/>
      </c>
      <c r="AD499" s="66" t="str">
        <f>IF(AC499=1,COUNT($AC$6:AC499),"")</f>
        <v/>
      </c>
      <c r="AE499" s="66" t="str">
        <f>IFERROR(INDEX(po_num,MATCH(494,po_seq,0))&amp;"","")</f>
        <v/>
      </c>
      <c r="AF499" s="66" t="str">
        <f>IF(OR(A499="",p_po=""),"",IF(A499&amp;""=p_po,COUNTIF($A$6:A499,A499),""))</f>
        <v/>
      </c>
      <c r="AG499" s="66" t="str">
        <f>IF(OR(AB499="",A499=""),"",IF(COUNTIFS($A$6:A499,A499,$AB$6:AB499,"&gt;0")=1,1,""))</f>
        <v/>
      </c>
      <c r="AH499" s="70" t="str">
        <f>IF(AB499="","",ROUND(N(W499)*N(J499)*(1-N(K499)),2))</f>
        <v/>
      </c>
      <c r="AI499" s="70" t="str">
        <f>IF(OR(J499="",N(T499)&lt;=0,V499="Oui"),"",ROUND(N(T499)*J499*(1-N(K499)),2))</f>
        <v/>
      </c>
    </row>
    <row r="500">
      <c r="A500" s="63" t="n"/>
      <c r="B500" s="64" t="n"/>
      <c r="C500" s="65" t="n"/>
      <c r="D500" s="66" t="str">
        <f>IF(C500="","",IFERROR(INDEX(sup_name,MATCH($C500,sup_code,0))&amp;"","Fournisseur inconnu"))</f>
        <v/>
      </c>
      <c r="E500" s="63" t="n"/>
      <c r="F500" s="66" t="str">
        <f>IF(E500="","",IFERROR(INDEX(art_des,MATCH($E500,art_ref,0))&amp;"","Article inconnu"))</f>
        <v/>
      </c>
      <c r="G500" s="67" t="str">
        <f>IF(E500="","",IFERROR(INDEX(art_unit,MATCH($E500,art_ref,0))&amp;"",""))</f>
        <v/>
      </c>
      <c r="H500" s="68" t="n"/>
      <c r="I500" s="69" t="n"/>
      <c r="J500" s="70" t="str">
        <f>IF(E500="","",IF(ISNUMBER(I500),I500,IFERROR(IF(ISNUMBER(INDEX(art_price,MATCH($E500,art_ref,0))),INDEX(art_price,MATCH($E500,art_ref,0)),""),"")))</f>
        <v/>
      </c>
      <c r="K500" s="71" t="n"/>
      <c r="L500" s="72" t="n"/>
      <c r="M500" s="72" t="str">
        <f>IF(E500="","",IF(L500&lt;&gt;"",L500,IFERROR(IF(ISNUMBER(INDEX(art_tva,MATCH($E500,art_ref,0))),INDEX(art_tva,MATCH($E500,art_ref,0)),""),"")))</f>
        <v/>
      </c>
      <c r="N500" s="70" t="str">
        <f>IF(OR(E500="",J500=""),"",ROUND(N(H500)*J500*(1-N(K500)),2))</f>
        <v/>
      </c>
      <c r="O500" s="70" t="str">
        <f>IF(OR(N500="",NOT(ISNUMBER(M500))),"",ROUND(N500*M500,2))</f>
        <v/>
      </c>
      <c r="P500" s="70" t="str">
        <f>IF(N500="","",N500+N(O500))</f>
        <v/>
      </c>
      <c r="Q500" s="64" t="n"/>
      <c r="R500" s="73" t="str">
        <f>IF(N(Q500)&gt;0,Q500,IF(OR(N(B500)=0,ISNA(MATCH($C500,sup_code,0))),"",IF(ISNUMBER(INDEX(sup_delay,MATCH($C500,sup_code,0))),B500+INDEX(sup_delay,MATCH($C500,sup_code,0)),"")))</f>
        <v/>
      </c>
      <c r="S500" s="64" t="n"/>
      <c r="T500" s="68" t="n"/>
      <c r="U500" s="64" t="n"/>
      <c r="V500" s="65" t="n"/>
      <c r="W500" s="74" t="str">
        <f>IF(AND(A500="",E500=""),"",IF(V500="Oui",0,MAX(0,ROUND(N(H500)-N(T500),6))))</f>
        <v/>
      </c>
      <c r="X500" s="67" t="str">
        <f>IF(AND(A500="",E500=""),"",IF(V500="Oui","Annulé",IF(AND(N(H500)&gt;0,N(T500)&gt;=N(H500)),"Reçu",IF(N(S500)=0,"Brouillon",IF(AND(ISNUMBER(R500),R500&lt;p_today),"En retard",IF(N(T500)&gt;0,"Partiel","Envoyé"))))))</f>
        <v/>
      </c>
      <c r="Y500" s="75" t="str">
        <f>IF(X500="En retard",p_today-R500,IF(AND(X500="Reçu",ISNUMBER(R500)),MAX(0,N(U500)-R500),""))</f>
        <v/>
      </c>
      <c r="Z500" s="67" t="str">
        <f>IF(AND(A500="",E500=""),"",IF(A500="","N° de bon manquant",IF(N(B500)=0,"Date de commande manquante",IF(C500="","Fournisseur manquant",IF(ISNA(MATCH($C500,sup_code,0)),"Fournisseur inconnu",IF(E500="","Article manquant",IF(ISNA(MATCH($E500,art_ref,0)),"Article inconnu",IF(N(H500)&lt;=0,"Quantité invalide",IF(J500="","Prix manquant",IF(OR(N(K500)&lt;0,N(K500)&gt;=1),"Remise invalide",IF(M500="","TVA manquante",IF(ISNA(MATCH(M500,p_tva,0)),"Taux de TVA inconnu",IF(COUNTIFS(po_num,A500,po_sup,"&lt;&gt;"&amp;C500)&gt;0,"Fournisseur différent sur ce bon",IF(COUNTIFS(po_num,A500,po_date,"&lt;&gt;"&amp;B500)&gt;0,"Date différente sur ce bon",IF(COUNTIF(po_num,A500)&gt;25,"Plus de 25 lignes sur ce bon",IF(R500="","Date de livraison manquante",IF(R500&lt;B500,"Livraison avant la commande",IF(AND(N(T500)&gt;0,N(S500)=0),"Date d'envoi manquante",IF(N(T500)&gt;N(H500),"Reçu plus que commandé",IF(AND(N(T500)&gt;0,N(U500)=0),"Date de réception manquante",IF(AND(N(U500)&gt;0,U500&lt;B500),"Réception avant la commande","OK")))))))))))))))))))))</f>
        <v/>
      </c>
      <c r="AA500" s="66" t="str">
        <f>IF(AND(X500="Reçu",ISNUMBER(R500)),IF(N(U500)&lt;=R500,1,0),"")</f>
        <v/>
      </c>
      <c r="AB500" s="76" t="str">
        <f>IF(OR(X500="Envoyé",X500="Partiel",X500="En retard"),IF(ISNUMBER(R500),R500,100000)+ROW()/100000,"")</f>
        <v/>
      </c>
      <c r="AC500" s="66" t="str">
        <f>IF(A500="","",IF(COUNTIF($A$6:A500,A500)=1,1,""))</f>
        <v/>
      </c>
      <c r="AD500" s="66" t="str">
        <f>IF(AC500=1,COUNT($AC$6:AC500),"")</f>
        <v/>
      </c>
      <c r="AE500" s="66" t="str">
        <f>IFERROR(INDEX(po_num,MATCH(495,po_seq,0))&amp;"","")</f>
        <v/>
      </c>
      <c r="AF500" s="66" t="str">
        <f>IF(OR(A500="",p_po=""),"",IF(A500&amp;""=p_po,COUNTIF($A$6:A500,A500),""))</f>
        <v/>
      </c>
      <c r="AG500" s="66" t="str">
        <f>IF(OR(AB500="",A500=""),"",IF(COUNTIFS($A$6:A500,A500,$AB$6:AB500,"&gt;0")=1,1,""))</f>
        <v/>
      </c>
      <c r="AH500" s="70" t="str">
        <f>IF(AB500="","",ROUND(N(W500)*N(J500)*(1-N(K500)),2))</f>
        <v/>
      </c>
      <c r="AI500" s="70" t="str">
        <f>IF(OR(J500="",N(T500)&lt;=0,V500="Oui"),"",ROUND(N(T500)*J500*(1-N(K500)),2))</f>
        <v/>
      </c>
    </row>
    <row r="501">
      <c r="A501" s="63" t="n"/>
      <c r="B501" s="64" t="n"/>
      <c r="C501" s="65" t="n"/>
      <c r="D501" s="66" t="str">
        <f>IF(C501="","",IFERROR(INDEX(sup_name,MATCH($C501,sup_code,0))&amp;"","Fournisseur inconnu"))</f>
        <v/>
      </c>
      <c r="E501" s="63" t="n"/>
      <c r="F501" s="66" t="str">
        <f>IF(E501="","",IFERROR(INDEX(art_des,MATCH($E501,art_ref,0))&amp;"","Article inconnu"))</f>
        <v/>
      </c>
      <c r="G501" s="67" t="str">
        <f>IF(E501="","",IFERROR(INDEX(art_unit,MATCH($E501,art_ref,0))&amp;"",""))</f>
        <v/>
      </c>
      <c r="H501" s="68" t="n"/>
      <c r="I501" s="69" t="n"/>
      <c r="J501" s="70" t="str">
        <f>IF(E501="","",IF(ISNUMBER(I501),I501,IFERROR(IF(ISNUMBER(INDEX(art_price,MATCH($E501,art_ref,0))),INDEX(art_price,MATCH($E501,art_ref,0)),""),"")))</f>
        <v/>
      </c>
      <c r="K501" s="71" t="n"/>
      <c r="L501" s="72" t="n"/>
      <c r="M501" s="72" t="str">
        <f>IF(E501="","",IF(L501&lt;&gt;"",L501,IFERROR(IF(ISNUMBER(INDEX(art_tva,MATCH($E501,art_ref,0))),INDEX(art_tva,MATCH($E501,art_ref,0)),""),"")))</f>
        <v/>
      </c>
      <c r="N501" s="70" t="str">
        <f>IF(OR(E501="",J501=""),"",ROUND(N(H501)*J501*(1-N(K501)),2))</f>
        <v/>
      </c>
      <c r="O501" s="70" t="str">
        <f>IF(OR(N501="",NOT(ISNUMBER(M501))),"",ROUND(N501*M501,2))</f>
        <v/>
      </c>
      <c r="P501" s="70" t="str">
        <f>IF(N501="","",N501+N(O501))</f>
        <v/>
      </c>
      <c r="Q501" s="64" t="n"/>
      <c r="R501" s="73" t="str">
        <f>IF(N(Q501)&gt;0,Q501,IF(OR(N(B501)=0,ISNA(MATCH($C501,sup_code,0))),"",IF(ISNUMBER(INDEX(sup_delay,MATCH($C501,sup_code,0))),B501+INDEX(sup_delay,MATCH($C501,sup_code,0)),"")))</f>
        <v/>
      </c>
      <c r="S501" s="64" t="n"/>
      <c r="T501" s="68" t="n"/>
      <c r="U501" s="64" t="n"/>
      <c r="V501" s="65" t="n"/>
      <c r="W501" s="74" t="str">
        <f>IF(AND(A501="",E501=""),"",IF(V501="Oui",0,MAX(0,ROUND(N(H501)-N(T501),6))))</f>
        <v/>
      </c>
      <c r="X501" s="67" t="str">
        <f>IF(AND(A501="",E501=""),"",IF(V501="Oui","Annulé",IF(AND(N(H501)&gt;0,N(T501)&gt;=N(H501)),"Reçu",IF(N(S501)=0,"Brouillon",IF(AND(ISNUMBER(R501),R501&lt;p_today),"En retard",IF(N(T501)&gt;0,"Partiel","Envoyé"))))))</f>
        <v/>
      </c>
      <c r="Y501" s="75" t="str">
        <f>IF(X501="En retard",p_today-R501,IF(AND(X501="Reçu",ISNUMBER(R501)),MAX(0,N(U501)-R501),""))</f>
        <v/>
      </c>
      <c r="Z501" s="67" t="str">
        <f>IF(AND(A501="",E501=""),"",IF(A501="","N° de bon manquant",IF(N(B501)=0,"Date de commande manquante",IF(C501="","Fournisseur manquant",IF(ISNA(MATCH($C501,sup_code,0)),"Fournisseur inconnu",IF(E501="","Article manquant",IF(ISNA(MATCH($E501,art_ref,0)),"Article inconnu",IF(N(H501)&lt;=0,"Quantité invalide",IF(J501="","Prix manquant",IF(OR(N(K501)&lt;0,N(K501)&gt;=1),"Remise invalide",IF(M501="","TVA manquante",IF(ISNA(MATCH(M501,p_tva,0)),"Taux de TVA inconnu",IF(COUNTIFS(po_num,A501,po_sup,"&lt;&gt;"&amp;C501)&gt;0,"Fournisseur différent sur ce bon",IF(COUNTIFS(po_num,A501,po_date,"&lt;&gt;"&amp;B501)&gt;0,"Date différente sur ce bon",IF(COUNTIF(po_num,A501)&gt;25,"Plus de 25 lignes sur ce bon",IF(R501="","Date de livraison manquante",IF(R501&lt;B501,"Livraison avant la commande",IF(AND(N(T501)&gt;0,N(S501)=0),"Date d'envoi manquante",IF(N(T501)&gt;N(H501),"Reçu plus que commandé",IF(AND(N(T501)&gt;0,N(U501)=0),"Date de réception manquante",IF(AND(N(U501)&gt;0,U501&lt;B501),"Réception avant la commande","OK")))))))))))))))))))))</f>
        <v/>
      </c>
      <c r="AA501" s="66" t="str">
        <f>IF(AND(X501="Reçu",ISNUMBER(R501)),IF(N(U501)&lt;=R501,1,0),"")</f>
        <v/>
      </c>
      <c r="AB501" s="76" t="str">
        <f>IF(OR(X501="Envoyé",X501="Partiel",X501="En retard"),IF(ISNUMBER(R501),R501,100000)+ROW()/100000,"")</f>
        <v/>
      </c>
      <c r="AC501" s="66" t="str">
        <f>IF(A501="","",IF(COUNTIF($A$6:A501,A501)=1,1,""))</f>
        <v/>
      </c>
      <c r="AD501" s="66" t="str">
        <f>IF(AC501=1,COUNT($AC$6:AC501),"")</f>
        <v/>
      </c>
      <c r="AE501" s="66" t="str">
        <f>IFERROR(INDEX(po_num,MATCH(496,po_seq,0))&amp;"","")</f>
        <v/>
      </c>
      <c r="AF501" s="66" t="str">
        <f>IF(OR(A501="",p_po=""),"",IF(A501&amp;""=p_po,COUNTIF($A$6:A501,A501),""))</f>
        <v/>
      </c>
      <c r="AG501" s="66" t="str">
        <f>IF(OR(AB501="",A501=""),"",IF(COUNTIFS($A$6:A501,A501,$AB$6:AB501,"&gt;0")=1,1,""))</f>
        <v/>
      </c>
      <c r="AH501" s="70" t="str">
        <f>IF(AB501="","",ROUND(N(W501)*N(J501)*(1-N(K501)),2))</f>
        <v/>
      </c>
      <c r="AI501" s="70" t="str">
        <f>IF(OR(J501="",N(T501)&lt;=0,V501="Oui"),"",ROUND(N(T501)*J501*(1-N(K501)),2))</f>
        <v/>
      </c>
    </row>
    <row r="502">
      <c r="A502" s="63" t="n"/>
      <c r="B502" s="64" t="n"/>
      <c r="C502" s="65" t="n"/>
      <c r="D502" s="66" t="str">
        <f>IF(C502="","",IFERROR(INDEX(sup_name,MATCH($C502,sup_code,0))&amp;"","Fournisseur inconnu"))</f>
        <v/>
      </c>
      <c r="E502" s="63" t="n"/>
      <c r="F502" s="66" t="str">
        <f>IF(E502="","",IFERROR(INDEX(art_des,MATCH($E502,art_ref,0))&amp;"","Article inconnu"))</f>
        <v/>
      </c>
      <c r="G502" s="67" t="str">
        <f>IF(E502="","",IFERROR(INDEX(art_unit,MATCH($E502,art_ref,0))&amp;"",""))</f>
        <v/>
      </c>
      <c r="H502" s="68" t="n"/>
      <c r="I502" s="69" t="n"/>
      <c r="J502" s="70" t="str">
        <f>IF(E502="","",IF(ISNUMBER(I502),I502,IFERROR(IF(ISNUMBER(INDEX(art_price,MATCH($E502,art_ref,0))),INDEX(art_price,MATCH($E502,art_ref,0)),""),"")))</f>
        <v/>
      </c>
      <c r="K502" s="71" t="n"/>
      <c r="L502" s="72" t="n"/>
      <c r="M502" s="72" t="str">
        <f>IF(E502="","",IF(L502&lt;&gt;"",L502,IFERROR(IF(ISNUMBER(INDEX(art_tva,MATCH($E502,art_ref,0))),INDEX(art_tva,MATCH($E502,art_ref,0)),""),"")))</f>
        <v/>
      </c>
      <c r="N502" s="70" t="str">
        <f>IF(OR(E502="",J502=""),"",ROUND(N(H502)*J502*(1-N(K502)),2))</f>
        <v/>
      </c>
      <c r="O502" s="70" t="str">
        <f>IF(OR(N502="",NOT(ISNUMBER(M502))),"",ROUND(N502*M502,2))</f>
        <v/>
      </c>
      <c r="P502" s="70" t="str">
        <f>IF(N502="","",N502+N(O502))</f>
        <v/>
      </c>
      <c r="Q502" s="64" t="n"/>
      <c r="R502" s="73" t="str">
        <f>IF(N(Q502)&gt;0,Q502,IF(OR(N(B502)=0,ISNA(MATCH($C502,sup_code,0))),"",IF(ISNUMBER(INDEX(sup_delay,MATCH($C502,sup_code,0))),B502+INDEX(sup_delay,MATCH($C502,sup_code,0)),"")))</f>
        <v/>
      </c>
      <c r="S502" s="64" t="n"/>
      <c r="T502" s="68" t="n"/>
      <c r="U502" s="64" t="n"/>
      <c r="V502" s="65" t="n"/>
      <c r="W502" s="74" t="str">
        <f>IF(AND(A502="",E502=""),"",IF(V502="Oui",0,MAX(0,ROUND(N(H502)-N(T502),6))))</f>
        <v/>
      </c>
      <c r="X502" s="67" t="str">
        <f>IF(AND(A502="",E502=""),"",IF(V502="Oui","Annulé",IF(AND(N(H502)&gt;0,N(T502)&gt;=N(H502)),"Reçu",IF(N(S502)=0,"Brouillon",IF(AND(ISNUMBER(R502),R502&lt;p_today),"En retard",IF(N(T502)&gt;0,"Partiel","Envoyé"))))))</f>
        <v/>
      </c>
      <c r="Y502" s="75" t="str">
        <f>IF(X502="En retard",p_today-R502,IF(AND(X502="Reçu",ISNUMBER(R502)),MAX(0,N(U502)-R502),""))</f>
        <v/>
      </c>
      <c r="Z502" s="67" t="str">
        <f>IF(AND(A502="",E502=""),"",IF(A502="","N° de bon manquant",IF(N(B502)=0,"Date de commande manquante",IF(C502="","Fournisseur manquant",IF(ISNA(MATCH($C502,sup_code,0)),"Fournisseur inconnu",IF(E502="","Article manquant",IF(ISNA(MATCH($E502,art_ref,0)),"Article inconnu",IF(N(H502)&lt;=0,"Quantité invalide",IF(J502="","Prix manquant",IF(OR(N(K502)&lt;0,N(K502)&gt;=1),"Remise invalide",IF(M502="","TVA manquante",IF(ISNA(MATCH(M502,p_tva,0)),"Taux de TVA inconnu",IF(COUNTIFS(po_num,A502,po_sup,"&lt;&gt;"&amp;C502)&gt;0,"Fournisseur différent sur ce bon",IF(COUNTIFS(po_num,A502,po_date,"&lt;&gt;"&amp;B502)&gt;0,"Date différente sur ce bon",IF(COUNTIF(po_num,A502)&gt;25,"Plus de 25 lignes sur ce bon",IF(R502="","Date de livraison manquante",IF(R502&lt;B502,"Livraison avant la commande",IF(AND(N(T502)&gt;0,N(S502)=0),"Date d'envoi manquante",IF(N(T502)&gt;N(H502),"Reçu plus que commandé",IF(AND(N(T502)&gt;0,N(U502)=0),"Date de réception manquante",IF(AND(N(U502)&gt;0,U502&lt;B502),"Réception avant la commande","OK")))))))))))))))))))))</f>
        <v/>
      </c>
      <c r="AA502" s="66" t="str">
        <f>IF(AND(X502="Reçu",ISNUMBER(R502)),IF(N(U502)&lt;=R502,1,0),"")</f>
        <v/>
      </c>
      <c r="AB502" s="76" t="str">
        <f>IF(OR(X502="Envoyé",X502="Partiel",X502="En retard"),IF(ISNUMBER(R502),R502,100000)+ROW()/100000,"")</f>
        <v/>
      </c>
      <c r="AC502" s="66" t="str">
        <f>IF(A502="","",IF(COUNTIF($A$6:A502,A502)=1,1,""))</f>
        <v/>
      </c>
      <c r="AD502" s="66" t="str">
        <f>IF(AC502=1,COUNT($AC$6:AC502),"")</f>
        <v/>
      </c>
      <c r="AE502" s="66" t="str">
        <f>IFERROR(INDEX(po_num,MATCH(497,po_seq,0))&amp;"","")</f>
        <v/>
      </c>
      <c r="AF502" s="66" t="str">
        <f>IF(OR(A502="",p_po=""),"",IF(A502&amp;""=p_po,COUNTIF($A$6:A502,A502),""))</f>
        <v/>
      </c>
      <c r="AG502" s="66" t="str">
        <f>IF(OR(AB502="",A502=""),"",IF(COUNTIFS($A$6:A502,A502,$AB$6:AB502,"&gt;0")=1,1,""))</f>
        <v/>
      </c>
      <c r="AH502" s="70" t="str">
        <f>IF(AB502="","",ROUND(N(W502)*N(J502)*(1-N(K502)),2))</f>
        <v/>
      </c>
      <c r="AI502" s="70" t="str">
        <f>IF(OR(J502="",N(T502)&lt;=0,V502="Oui"),"",ROUND(N(T502)*J502*(1-N(K502)),2))</f>
        <v/>
      </c>
    </row>
    <row r="503">
      <c r="A503" s="63" t="n"/>
      <c r="B503" s="64" t="n"/>
      <c r="C503" s="65" t="n"/>
      <c r="D503" s="66" t="str">
        <f>IF(C503="","",IFERROR(INDEX(sup_name,MATCH($C503,sup_code,0))&amp;"","Fournisseur inconnu"))</f>
        <v/>
      </c>
      <c r="E503" s="63" t="n"/>
      <c r="F503" s="66" t="str">
        <f>IF(E503="","",IFERROR(INDEX(art_des,MATCH($E503,art_ref,0))&amp;"","Article inconnu"))</f>
        <v/>
      </c>
      <c r="G503" s="67" t="str">
        <f>IF(E503="","",IFERROR(INDEX(art_unit,MATCH($E503,art_ref,0))&amp;"",""))</f>
        <v/>
      </c>
      <c r="H503" s="68" t="n"/>
      <c r="I503" s="69" t="n"/>
      <c r="J503" s="70" t="str">
        <f>IF(E503="","",IF(ISNUMBER(I503),I503,IFERROR(IF(ISNUMBER(INDEX(art_price,MATCH($E503,art_ref,0))),INDEX(art_price,MATCH($E503,art_ref,0)),""),"")))</f>
        <v/>
      </c>
      <c r="K503" s="71" t="n"/>
      <c r="L503" s="72" t="n"/>
      <c r="M503" s="72" t="str">
        <f>IF(E503="","",IF(L503&lt;&gt;"",L503,IFERROR(IF(ISNUMBER(INDEX(art_tva,MATCH($E503,art_ref,0))),INDEX(art_tva,MATCH($E503,art_ref,0)),""),"")))</f>
        <v/>
      </c>
      <c r="N503" s="70" t="str">
        <f>IF(OR(E503="",J503=""),"",ROUND(N(H503)*J503*(1-N(K503)),2))</f>
        <v/>
      </c>
      <c r="O503" s="70" t="str">
        <f>IF(OR(N503="",NOT(ISNUMBER(M503))),"",ROUND(N503*M503,2))</f>
        <v/>
      </c>
      <c r="P503" s="70" t="str">
        <f>IF(N503="","",N503+N(O503))</f>
        <v/>
      </c>
      <c r="Q503" s="64" t="n"/>
      <c r="R503" s="73" t="str">
        <f>IF(N(Q503)&gt;0,Q503,IF(OR(N(B503)=0,ISNA(MATCH($C503,sup_code,0))),"",IF(ISNUMBER(INDEX(sup_delay,MATCH($C503,sup_code,0))),B503+INDEX(sup_delay,MATCH($C503,sup_code,0)),"")))</f>
        <v/>
      </c>
      <c r="S503" s="64" t="n"/>
      <c r="T503" s="68" t="n"/>
      <c r="U503" s="64" t="n"/>
      <c r="V503" s="65" t="n"/>
      <c r="W503" s="74" t="str">
        <f>IF(AND(A503="",E503=""),"",IF(V503="Oui",0,MAX(0,ROUND(N(H503)-N(T503),6))))</f>
        <v/>
      </c>
      <c r="X503" s="67" t="str">
        <f>IF(AND(A503="",E503=""),"",IF(V503="Oui","Annulé",IF(AND(N(H503)&gt;0,N(T503)&gt;=N(H503)),"Reçu",IF(N(S503)=0,"Brouillon",IF(AND(ISNUMBER(R503),R503&lt;p_today),"En retard",IF(N(T503)&gt;0,"Partiel","Envoyé"))))))</f>
        <v/>
      </c>
      <c r="Y503" s="75" t="str">
        <f>IF(X503="En retard",p_today-R503,IF(AND(X503="Reçu",ISNUMBER(R503)),MAX(0,N(U503)-R503),""))</f>
        <v/>
      </c>
      <c r="Z503" s="67" t="str">
        <f>IF(AND(A503="",E503=""),"",IF(A503="","N° de bon manquant",IF(N(B503)=0,"Date de commande manquante",IF(C503="","Fournisseur manquant",IF(ISNA(MATCH($C503,sup_code,0)),"Fournisseur inconnu",IF(E503="","Article manquant",IF(ISNA(MATCH($E503,art_ref,0)),"Article inconnu",IF(N(H503)&lt;=0,"Quantité invalide",IF(J503="","Prix manquant",IF(OR(N(K503)&lt;0,N(K503)&gt;=1),"Remise invalide",IF(M503="","TVA manquante",IF(ISNA(MATCH(M503,p_tva,0)),"Taux de TVA inconnu",IF(COUNTIFS(po_num,A503,po_sup,"&lt;&gt;"&amp;C503)&gt;0,"Fournisseur différent sur ce bon",IF(COUNTIFS(po_num,A503,po_date,"&lt;&gt;"&amp;B503)&gt;0,"Date différente sur ce bon",IF(COUNTIF(po_num,A503)&gt;25,"Plus de 25 lignes sur ce bon",IF(R503="","Date de livraison manquante",IF(R503&lt;B503,"Livraison avant la commande",IF(AND(N(T503)&gt;0,N(S503)=0),"Date d'envoi manquante",IF(N(T503)&gt;N(H503),"Reçu plus que commandé",IF(AND(N(T503)&gt;0,N(U503)=0),"Date de réception manquante",IF(AND(N(U503)&gt;0,U503&lt;B503),"Réception avant la commande","OK")))))))))))))))))))))</f>
        <v/>
      </c>
      <c r="AA503" s="66" t="str">
        <f>IF(AND(X503="Reçu",ISNUMBER(R503)),IF(N(U503)&lt;=R503,1,0),"")</f>
        <v/>
      </c>
      <c r="AB503" s="76" t="str">
        <f>IF(OR(X503="Envoyé",X503="Partiel",X503="En retard"),IF(ISNUMBER(R503),R503,100000)+ROW()/100000,"")</f>
        <v/>
      </c>
      <c r="AC503" s="66" t="str">
        <f>IF(A503="","",IF(COUNTIF($A$6:A503,A503)=1,1,""))</f>
        <v/>
      </c>
      <c r="AD503" s="66" t="str">
        <f>IF(AC503=1,COUNT($AC$6:AC503),"")</f>
        <v/>
      </c>
      <c r="AE503" s="66" t="str">
        <f>IFERROR(INDEX(po_num,MATCH(498,po_seq,0))&amp;"","")</f>
        <v/>
      </c>
      <c r="AF503" s="66" t="str">
        <f>IF(OR(A503="",p_po=""),"",IF(A503&amp;""=p_po,COUNTIF($A$6:A503,A503),""))</f>
        <v/>
      </c>
      <c r="AG503" s="66" t="str">
        <f>IF(OR(AB503="",A503=""),"",IF(COUNTIFS($A$6:A503,A503,$AB$6:AB503,"&gt;0")=1,1,""))</f>
        <v/>
      </c>
      <c r="AH503" s="70" t="str">
        <f>IF(AB503="","",ROUND(N(W503)*N(J503)*(1-N(K503)),2))</f>
        <v/>
      </c>
      <c r="AI503" s="70" t="str">
        <f>IF(OR(J503="",N(T503)&lt;=0,V503="Oui"),"",ROUND(N(T503)*J503*(1-N(K503)),2))</f>
        <v/>
      </c>
    </row>
    <row r="504">
      <c r="A504" s="63" t="n"/>
      <c r="B504" s="64" t="n"/>
      <c r="C504" s="65" t="n"/>
      <c r="D504" s="66" t="str">
        <f>IF(C504="","",IFERROR(INDEX(sup_name,MATCH($C504,sup_code,0))&amp;"","Fournisseur inconnu"))</f>
        <v/>
      </c>
      <c r="E504" s="63" t="n"/>
      <c r="F504" s="66" t="str">
        <f>IF(E504="","",IFERROR(INDEX(art_des,MATCH($E504,art_ref,0))&amp;"","Article inconnu"))</f>
        <v/>
      </c>
      <c r="G504" s="67" t="str">
        <f>IF(E504="","",IFERROR(INDEX(art_unit,MATCH($E504,art_ref,0))&amp;"",""))</f>
        <v/>
      </c>
      <c r="H504" s="68" t="n"/>
      <c r="I504" s="69" t="n"/>
      <c r="J504" s="70" t="str">
        <f>IF(E504="","",IF(ISNUMBER(I504),I504,IFERROR(IF(ISNUMBER(INDEX(art_price,MATCH($E504,art_ref,0))),INDEX(art_price,MATCH($E504,art_ref,0)),""),"")))</f>
        <v/>
      </c>
      <c r="K504" s="71" t="n"/>
      <c r="L504" s="72" t="n"/>
      <c r="M504" s="72" t="str">
        <f>IF(E504="","",IF(L504&lt;&gt;"",L504,IFERROR(IF(ISNUMBER(INDEX(art_tva,MATCH($E504,art_ref,0))),INDEX(art_tva,MATCH($E504,art_ref,0)),""),"")))</f>
        <v/>
      </c>
      <c r="N504" s="70" t="str">
        <f>IF(OR(E504="",J504=""),"",ROUND(N(H504)*J504*(1-N(K504)),2))</f>
        <v/>
      </c>
      <c r="O504" s="70" t="str">
        <f>IF(OR(N504="",NOT(ISNUMBER(M504))),"",ROUND(N504*M504,2))</f>
        <v/>
      </c>
      <c r="P504" s="70" t="str">
        <f>IF(N504="","",N504+N(O504))</f>
        <v/>
      </c>
      <c r="Q504" s="64" t="n"/>
      <c r="R504" s="73" t="str">
        <f>IF(N(Q504)&gt;0,Q504,IF(OR(N(B504)=0,ISNA(MATCH($C504,sup_code,0))),"",IF(ISNUMBER(INDEX(sup_delay,MATCH($C504,sup_code,0))),B504+INDEX(sup_delay,MATCH($C504,sup_code,0)),"")))</f>
        <v/>
      </c>
      <c r="S504" s="64" t="n"/>
      <c r="T504" s="68" t="n"/>
      <c r="U504" s="64" t="n"/>
      <c r="V504" s="65" t="n"/>
      <c r="W504" s="74" t="str">
        <f>IF(AND(A504="",E504=""),"",IF(V504="Oui",0,MAX(0,ROUND(N(H504)-N(T504),6))))</f>
        <v/>
      </c>
      <c r="X504" s="67" t="str">
        <f>IF(AND(A504="",E504=""),"",IF(V504="Oui","Annulé",IF(AND(N(H504)&gt;0,N(T504)&gt;=N(H504)),"Reçu",IF(N(S504)=0,"Brouillon",IF(AND(ISNUMBER(R504),R504&lt;p_today),"En retard",IF(N(T504)&gt;0,"Partiel","Envoyé"))))))</f>
        <v/>
      </c>
      <c r="Y504" s="75" t="str">
        <f>IF(X504="En retard",p_today-R504,IF(AND(X504="Reçu",ISNUMBER(R504)),MAX(0,N(U504)-R504),""))</f>
        <v/>
      </c>
      <c r="Z504" s="67" t="str">
        <f>IF(AND(A504="",E504=""),"",IF(A504="","N° de bon manquant",IF(N(B504)=0,"Date de commande manquante",IF(C504="","Fournisseur manquant",IF(ISNA(MATCH($C504,sup_code,0)),"Fournisseur inconnu",IF(E504="","Article manquant",IF(ISNA(MATCH($E504,art_ref,0)),"Article inconnu",IF(N(H504)&lt;=0,"Quantité invalide",IF(J504="","Prix manquant",IF(OR(N(K504)&lt;0,N(K504)&gt;=1),"Remise invalide",IF(M504="","TVA manquante",IF(ISNA(MATCH(M504,p_tva,0)),"Taux de TVA inconnu",IF(COUNTIFS(po_num,A504,po_sup,"&lt;&gt;"&amp;C504)&gt;0,"Fournisseur différent sur ce bon",IF(COUNTIFS(po_num,A504,po_date,"&lt;&gt;"&amp;B504)&gt;0,"Date différente sur ce bon",IF(COUNTIF(po_num,A504)&gt;25,"Plus de 25 lignes sur ce bon",IF(R504="","Date de livraison manquante",IF(R504&lt;B504,"Livraison avant la commande",IF(AND(N(T504)&gt;0,N(S504)=0),"Date d'envoi manquante",IF(N(T504)&gt;N(H504),"Reçu plus que commandé",IF(AND(N(T504)&gt;0,N(U504)=0),"Date de réception manquante",IF(AND(N(U504)&gt;0,U504&lt;B504),"Réception avant la commande","OK")))))))))))))))))))))</f>
        <v/>
      </c>
      <c r="AA504" s="66" t="str">
        <f>IF(AND(X504="Reçu",ISNUMBER(R504)),IF(N(U504)&lt;=R504,1,0),"")</f>
        <v/>
      </c>
      <c r="AB504" s="76" t="str">
        <f>IF(OR(X504="Envoyé",X504="Partiel",X504="En retard"),IF(ISNUMBER(R504),R504,100000)+ROW()/100000,"")</f>
        <v/>
      </c>
      <c r="AC504" s="66" t="str">
        <f>IF(A504="","",IF(COUNTIF($A$6:A504,A504)=1,1,""))</f>
        <v/>
      </c>
      <c r="AD504" s="66" t="str">
        <f>IF(AC504=1,COUNT($AC$6:AC504),"")</f>
        <v/>
      </c>
      <c r="AE504" s="66" t="str">
        <f>IFERROR(INDEX(po_num,MATCH(499,po_seq,0))&amp;"","")</f>
        <v/>
      </c>
      <c r="AF504" s="66" t="str">
        <f>IF(OR(A504="",p_po=""),"",IF(A504&amp;""=p_po,COUNTIF($A$6:A504,A504),""))</f>
        <v/>
      </c>
      <c r="AG504" s="66" t="str">
        <f>IF(OR(AB504="",A504=""),"",IF(COUNTIFS($A$6:A504,A504,$AB$6:AB504,"&gt;0")=1,1,""))</f>
        <v/>
      </c>
      <c r="AH504" s="70" t="str">
        <f>IF(AB504="","",ROUND(N(W504)*N(J504)*(1-N(K504)),2))</f>
        <v/>
      </c>
      <c r="AI504" s="70" t="str">
        <f>IF(OR(J504="",N(T504)&lt;=0,V504="Oui"),"",ROUND(N(T504)*J504*(1-N(K504)),2))</f>
        <v/>
      </c>
    </row>
    <row r="505">
      <c r="A505" s="63" t="n"/>
      <c r="B505" s="64" t="n"/>
      <c r="C505" s="65" t="n"/>
      <c r="D505" s="66" t="str">
        <f>IF(C505="","",IFERROR(INDEX(sup_name,MATCH($C505,sup_code,0))&amp;"","Fournisseur inconnu"))</f>
        <v/>
      </c>
      <c r="E505" s="63" t="n"/>
      <c r="F505" s="66" t="str">
        <f>IF(E505="","",IFERROR(INDEX(art_des,MATCH($E505,art_ref,0))&amp;"","Article inconnu"))</f>
        <v/>
      </c>
      <c r="G505" s="67" t="str">
        <f>IF(E505="","",IFERROR(INDEX(art_unit,MATCH($E505,art_ref,0))&amp;"",""))</f>
        <v/>
      </c>
      <c r="H505" s="68" t="n"/>
      <c r="I505" s="69" t="n"/>
      <c r="J505" s="70" t="str">
        <f>IF(E505="","",IF(ISNUMBER(I505),I505,IFERROR(IF(ISNUMBER(INDEX(art_price,MATCH($E505,art_ref,0))),INDEX(art_price,MATCH($E505,art_ref,0)),""),"")))</f>
        <v/>
      </c>
      <c r="K505" s="71" t="n"/>
      <c r="L505" s="72" t="n"/>
      <c r="M505" s="72" t="str">
        <f>IF(E505="","",IF(L505&lt;&gt;"",L505,IFERROR(IF(ISNUMBER(INDEX(art_tva,MATCH($E505,art_ref,0))),INDEX(art_tva,MATCH($E505,art_ref,0)),""),"")))</f>
        <v/>
      </c>
      <c r="N505" s="70" t="str">
        <f>IF(OR(E505="",J505=""),"",ROUND(N(H505)*J505*(1-N(K505)),2))</f>
        <v/>
      </c>
      <c r="O505" s="70" t="str">
        <f>IF(OR(N505="",NOT(ISNUMBER(M505))),"",ROUND(N505*M505,2))</f>
        <v/>
      </c>
      <c r="P505" s="70" t="str">
        <f>IF(N505="","",N505+N(O505))</f>
        <v/>
      </c>
      <c r="Q505" s="64" t="n"/>
      <c r="R505" s="73" t="str">
        <f>IF(N(Q505)&gt;0,Q505,IF(OR(N(B505)=0,ISNA(MATCH($C505,sup_code,0))),"",IF(ISNUMBER(INDEX(sup_delay,MATCH($C505,sup_code,0))),B505+INDEX(sup_delay,MATCH($C505,sup_code,0)),"")))</f>
        <v/>
      </c>
      <c r="S505" s="64" t="n"/>
      <c r="T505" s="68" t="n"/>
      <c r="U505" s="64" t="n"/>
      <c r="V505" s="65" t="n"/>
      <c r="W505" s="74" t="str">
        <f>IF(AND(A505="",E505=""),"",IF(V505="Oui",0,MAX(0,ROUND(N(H505)-N(T505),6))))</f>
        <v/>
      </c>
      <c r="X505" s="67" t="str">
        <f>IF(AND(A505="",E505=""),"",IF(V505="Oui","Annulé",IF(AND(N(H505)&gt;0,N(T505)&gt;=N(H505)),"Reçu",IF(N(S505)=0,"Brouillon",IF(AND(ISNUMBER(R505),R505&lt;p_today),"En retard",IF(N(T505)&gt;0,"Partiel","Envoyé"))))))</f>
        <v/>
      </c>
      <c r="Y505" s="75" t="str">
        <f>IF(X505="En retard",p_today-R505,IF(AND(X505="Reçu",ISNUMBER(R505)),MAX(0,N(U505)-R505),""))</f>
        <v/>
      </c>
      <c r="Z505" s="67" t="str">
        <f>IF(AND(A505="",E505=""),"",IF(A505="","N° de bon manquant",IF(N(B505)=0,"Date de commande manquante",IF(C505="","Fournisseur manquant",IF(ISNA(MATCH($C505,sup_code,0)),"Fournisseur inconnu",IF(E505="","Article manquant",IF(ISNA(MATCH($E505,art_ref,0)),"Article inconnu",IF(N(H505)&lt;=0,"Quantité invalide",IF(J505="","Prix manquant",IF(OR(N(K505)&lt;0,N(K505)&gt;=1),"Remise invalide",IF(M505="","TVA manquante",IF(ISNA(MATCH(M505,p_tva,0)),"Taux de TVA inconnu",IF(COUNTIFS(po_num,A505,po_sup,"&lt;&gt;"&amp;C505)&gt;0,"Fournisseur différent sur ce bon",IF(COUNTIFS(po_num,A505,po_date,"&lt;&gt;"&amp;B505)&gt;0,"Date différente sur ce bon",IF(COUNTIF(po_num,A505)&gt;25,"Plus de 25 lignes sur ce bon",IF(R505="","Date de livraison manquante",IF(R505&lt;B505,"Livraison avant la commande",IF(AND(N(T505)&gt;0,N(S505)=0),"Date d'envoi manquante",IF(N(T505)&gt;N(H505),"Reçu plus que commandé",IF(AND(N(T505)&gt;0,N(U505)=0),"Date de réception manquante",IF(AND(N(U505)&gt;0,U505&lt;B505),"Réception avant la commande","OK")))))))))))))))))))))</f>
        <v/>
      </c>
      <c r="AA505" s="66" t="str">
        <f>IF(AND(X505="Reçu",ISNUMBER(R505)),IF(N(U505)&lt;=R505,1,0),"")</f>
        <v/>
      </c>
      <c r="AB505" s="76" t="str">
        <f>IF(OR(X505="Envoyé",X505="Partiel",X505="En retard"),IF(ISNUMBER(R505),R505,100000)+ROW()/100000,"")</f>
        <v/>
      </c>
      <c r="AC505" s="66" t="str">
        <f>IF(A505="","",IF(COUNTIF($A$6:A505,A505)=1,1,""))</f>
        <v/>
      </c>
      <c r="AD505" s="66" t="str">
        <f>IF(AC505=1,COUNT($AC$6:AC505),"")</f>
        <v/>
      </c>
      <c r="AE505" s="66" t="str">
        <f>IFERROR(INDEX(po_num,MATCH(500,po_seq,0))&amp;"","")</f>
        <v/>
      </c>
      <c r="AF505" s="66" t="str">
        <f>IF(OR(A505="",p_po=""),"",IF(A505&amp;""=p_po,COUNTIF($A$6:A505,A505),""))</f>
        <v/>
      </c>
      <c r="AG505" s="66" t="str">
        <f>IF(OR(AB505="",A505=""),"",IF(COUNTIFS($A$6:A505,A505,$AB$6:AB505,"&gt;0")=1,1,""))</f>
        <v/>
      </c>
      <c r="AH505" s="70" t="str">
        <f>IF(AB505="","",ROUND(N(W505)*N(J505)*(1-N(K505)),2))</f>
        <v/>
      </c>
      <c r="AI505" s="70" t="str">
        <f>IF(OR(J505="",N(T505)&lt;=0,V505="Oui"),"",ROUND(N(T505)*J505*(1-N(K505)),2))</f>
        <v/>
      </c>
    </row>
    <row r="506">
      <c r="A506" s="63" t="n"/>
      <c r="B506" s="64" t="n"/>
      <c r="C506" s="65" t="n"/>
      <c r="D506" s="66" t="str">
        <f>IF(C506="","",IFERROR(INDEX(sup_name,MATCH($C506,sup_code,0))&amp;"","Fournisseur inconnu"))</f>
        <v/>
      </c>
      <c r="E506" s="63" t="n"/>
      <c r="F506" s="66" t="str">
        <f>IF(E506="","",IFERROR(INDEX(art_des,MATCH($E506,art_ref,0))&amp;"","Article inconnu"))</f>
        <v/>
      </c>
      <c r="G506" s="67" t="str">
        <f>IF(E506="","",IFERROR(INDEX(art_unit,MATCH($E506,art_ref,0))&amp;"",""))</f>
        <v/>
      </c>
      <c r="H506" s="68" t="n"/>
      <c r="I506" s="69" t="n"/>
      <c r="J506" s="70" t="str">
        <f>IF(E506="","",IF(ISNUMBER(I506),I506,IFERROR(IF(ISNUMBER(INDEX(art_price,MATCH($E506,art_ref,0))),INDEX(art_price,MATCH($E506,art_ref,0)),""),"")))</f>
        <v/>
      </c>
      <c r="K506" s="71" t="n"/>
      <c r="L506" s="72" t="n"/>
      <c r="M506" s="72" t="str">
        <f>IF(E506="","",IF(L506&lt;&gt;"",L506,IFERROR(IF(ISNUMBER(INDEX(art_tva,MATCH($E506,art_ref,0))),INDEX(art_tva,MATCH($E506,art_ref,0)),""),"")))</f>
        <v/>
      </c>
      <c r="N506" s="70" t="str">
        <f>IF(OR(E506="",J506=""),"",ROUND(N(H506)*J506*(1-N(K506)),2))</f>
        <v/>
      </c>
      <c r="O506" s="70" t="str">
        <f>IF(OR(N506="",NOT(ISNUMBER(M506))),"",ROUND(N506*M506,2))</f>
        <v/>
      </c>
      <c r="P506" s="70" t="str">
        <f>IF(N506="","",N506+N(O506))</f>
        <v/>
      </c>
      <c r="Q506" s="64" t="n"/>
      <c r="R506" s="73" t="str">
        <f>IF(N(Q506)&gt;0,Q506,IF(OR(N(B506)=0,ISNA(MATCH($C506,sup_code,0))),"",IF(ISNUMBER(INDEX(sup_delay,MATCH($C506,sup_code,0))),B506+INDEX(sup_delay,MATCH($C506,sup_code,0)),"")))</f>
        <v/>
      </c>
      <c r="S506" s="64" t="n"/>
      <c r="T506" s="68" t="n"/>
      <c r="U506" s="64" t="n"/>
      <c r="V506" s="65" t="n"/>
      <c r="W506" s="74" t="str">
        <f>IF(AND(A506="",E506=""),"",IF(V506="Oui",0,MAX(0,ROUND(N(H506)-N(T506),6))))</f>
        <v/>
      </c>
      <c r="X506" s="67" t="str">
        <f>IF(AND(A506="",E506=""),"",IF(V506="Oui","Annulé",IF(AND(N(H506)&gt;0,N(T506)&gt;=N(H506)),"Reçu",IF(N(S506)=0,"Brouillon",IF(AND(ISNUMBER(R506),R506&lt;p_today),"En retard",IF(N(T506)&gt;0,"Partiel","Envoyé"))))))</f>
        <v/>
      </c>
      <c r="Y506" s="75" t="str">
        <f>IF(X506="En retard",p_today-R506,IF(AND(X506="Reçu",ISNUMBER(R506)),MAX(0,N(U506)-R506),""))</f>
        <v/>
      </c>
      <c r="Z506" s="67" t="str">
        <f>IF(AND(A506="",E506=""),"",IF(A506="","N° de bon manquant",IF(N(B506)=0,"Date de commande manquante",IF(C506="","Fournisseur manquant",IF(ISNA(MATCH($C506,sup_code,0)),"Fournisseur inconnu",IF(E506="","Article manquant",IF(ISNA(MATCH($E506,art_ref,0)),"Article inconnu",IF(N(H506)&lt;=0,"Quantité invalide",IF(J506="","Prix manquant",IF(OR(N(K506)&lt;0,N(K506)&gt;=1),"Remise invalide",IF(M506="","TVA manquante",IF(ISNA(MATCH(M506,p_tva,0)),"Taux de TVA inconnu",IF(COUNTIFS(po_num,A506,po_sup,"&lt;&gt;"&amp;C506)&gt;0,"Fournisseur différent sur ce bon",IF(COUNTIFS(po_num,A506,po_date,"&lt;&gt;"&amp;B506)&gt;0,"Date différente sur ce bon",IF(COUNTIF(po_num,A506)&gt;25,"Plus de 25 lignes sur ce bon",IF(R506="","Date de livraison manquante",IF(R506&lt;B506,"Livraison avant la commande",IF(AND(N(T506)&gt;0,N(S506)=0),"Date d'envoi manquante",IF(N(T506)&gt;N(H506),"Reçu plus que commandé",IF(AND(N(T506)&gt;0,N(U506)=0),"Date de réception manquante",IF(AND(N(U506)&gt;0,U506&lt;B506),"Réception avant la commande","OK")))))))))))))))))))))</f>
        <v/>
      </c>
      <c r="AA506" s="66" t="str">
        <f>IF(AND(X506="Reçu",ISNUMBER(R506)),IF(N(U506)&lt;=R506,1,0),"")</f>
        <v/>
      </c>
      <c r="AB506" s="76" t="str">
        <f>IF(OR(X506="Envoyé",X506="Partiel",X506="En retard"),IF(ISNUMBER(R506),R506,100000)+ROW()/100000,"")</f>
        <v/>
      </c>
      <c r="AC506" s="66" t="str">
        <f>IF(A506="","",IF(COUNTIF($A$6:A506,A506)=1,1,""))</f>
        <v/>
      </c>
      <c r="AD506" s="66" t="str">
        <f>IF(AC506=1,COUNT($AC$6:AC506),"")</f>
        <v/>
      </c>
      <c r="AE506" s="66" t="str">
        <f>IFERROR(INDEX(po_num,MATCH(501,po_seq,0))&amp;"","")</f>
        <v/>
      </c>
      <c r="AF506" s="66" t="str">
        <f>IF(OR(A506="",p_po=""),"",IF(A506&amp;""=p_po,COUNTIF($A$6:A506,A506),""))</f>
        <v/>
      </c>
      <c r="AG506" s="66" t="str">
        <f>IF(OR(AB506="",A506=""),"",IF(COUNTIFS($A$6:A506,A506,$AB$6:AB506,"&gt;0")=1,1,""))</f>
        <v/>
      </c>
      <c r="AH506" s="70" t="str">
        <f>IF(AB506="","",ROUND(N(W506)*N(J506)*(1-N(K506)),2))</f>
        <v/>
      </c>
      <c r="AI506" s="70" t="str">
        <f>IF(OR(J506="",N(T506)&lt;=0,V506="Oui"),"",ROUND(N(T506)*J506*(1-N(K506)),2))</f>
        <v/>
      </c>
    </row>
    <row r="507">
      <c r="A507" s="63" t="n"/>
      <c r="B507" s="64" t="n"/>
      <c r="C507" s="65" t="n"/>
      <c r="D507" s="66" t="str">
        <f>IF(C507="","",IFERROR(INDEX(sup_name,MATCH($C507,sup_code,0))&amp;"","Fournisseur inconnu"))</f>
        <v/>
      </c>
      <c r="E507" s="63" t="n"/>
      <c r="F507" s="66" t="str">
        <f>IF(E507="","",IFERROR(INDEX(art_des,MATCH($E507,art_ref,0))&amp;"","Article inconnu"))</f>
        <v/>
      </c>
      <c r="G507" s="67" t="str">
        <f>IF(E507="","",IFERROR(INDEX(art_unit,MATCH($E507,art_ref,0))&amp;"",""))</f>
        <v/>
      </c>
      <c r="H507" s="68" t="n"/>
      <c r="I507" s="69" t="n"/>
      <c r="J507" s="70" t="str">
        <f>IF(E507="","",IF(ISNUMBER(I507),I507,IFERROR(IF(ISNUMBER(INDEX(art_price,MATCH($E507,art_ref,0))),INDEX(art_price,MATCH($E507,art_ref,0)),""),"")))</f>
        <v/>
      </c>
      <c r="K507" s="71" t="n"/>
      <c r="L507" s="72" t="n"/>
      <c r="M507" s="72" t="str">
        <f>IF(E507="","",IF(L507&lt;&gt;"",L507,IFERROR(IF(ISNUMBER(INDEX(art_tva,MATCH($E507,art_ref,0))),INDEX(art_tva,MATCH($E507,art_ref,0)),""),"")))</f>
        <v/>
      </c>
      <c r="N507" s="70" t="str">
        <f>IF(OR(E507="",J507=""),"",ROUND(N(H507)*J507*(1-N(K507)),2))</f>
        <v/>
      </c>
      <c r="O507" s="70" t="str">
        <f>IF(OR(N507="",NOT(ISNUMBER(M507))),"",ROUND(N507*M507,2))</f>
        <v/>
      </c>
      <c r="P507" s="70" t="str">
        <f>IF(N507="","",N507+N(O507))</f>
        <v/>
      </c>
      <c r="Q507" s="64" t="n"/>
      <c r="R507" s="73" t="str">
        <f>IF(N(Q507)&gt;0,Q507,IF(OR(N(B507)=0,ISNA(MATCH($C507,sup_code,0))),"",IF(ISNUMBER(INDEX(sup_delay,MATCH($C507,sup_code,0))),B507+INDEX(sup_delay,MATCH($C507,sup_code,0)),"")))</f>
        <v/>
      </c>
      <c r="S507" s="64" t="n"/>
      <c r="T507" s="68" t="n"/>
      <c r="U507" s="64" t="n"/>
      <c r="V507" s="65" t="n"/>
      <c r="W507" s="74" t="str">
        <f>IF(AND(A507="",E507=""),"",IF(V507="Oui",0,MAX(0,ROUND(N(H507)-N(T507),6))))</f>
        <v/>
      </c>
      <c r="X507" s="67" t="str">
        <f>IF(AND(A507="",E507=""),"",IF(V507="Oui","Annulé",IF(AND(N(H507)&gt;0,N(T507)&gt;=N(H507)),"Reçu",IF(N(S507)=0,"Brouillon",IF(AND(ISNUMBER(R507),R507&lt;p_today),"En retard",IF(N(T507)&gt;0,"Partiel","Envoyé"))))))</f>
        <v/>
      </c>
      <c r="Y507" s="75" t="str">
        <f>IF(X507="En retard",p_today-R507,IF(AND(X507="Reçu",ISNUMBER(R507)),MAX(0,N(U507)-R507),""))</f>
        <v/>
      </c>
      <c r="Z507" s="67" t="str">
        <f>IF(AND(A507="",E507=""),"",IF(A507="","N° de bon manquant",IF(N(B507)=0,"Date de commande manquante",IF(C507="","Fournisseur manquant",IF(ISNA(MATCH($C507,sup_code,0)),"Fournisseur inconnu",IF(E507="","Article manquant",IF(ISNA(MATCH($E507,art_ref,0)),"Article inconnu",IF(N(H507)&lt;=0,"Quantité invalide",IF(J507="","Prix manquant",IF(OR(N(K507)&lt;0,N(K507)&gt;=1),"Remise invalide",IF(M507="","TVA manquante",IF(ISNA(MATCH(M507,p_tva,0)),"Taux de TVA inconnu",IF(COUNTIFS(po_num,A507,po_sup,"&lt;&gt;"&amp;C507)&gt;0,"Fournisseur différent sur ce bon",IF(COUNTIFS(po_num,A507,po_date,"&lt;&gt;"&amp;B507)&gt;0,"Date différente sur ce bon",IF(COUNTIF(po_num,A507)&gt;25,"Plus de 25 lignes sur ce bon",IF(R507="","Date de livraison manquante",IF(R507&lt;B507,"Livraison avant la commande",IF(AND(N(T507)&gt;0,N(S507)=0),"Date d'envoi manquante",IF(N(T507)&gt;N(H507),"Reçu plus que commandé",IF(AND(N(T507)&gt;0,N(U507)=0),"Date de réception manquante",IF(AND(N(U507)&gt;0,U507&lt;B507),"Réception avant la commande","OK")))))))))))))))))))))</f>
        <v/>
      </c>
      <c r="AA507" s="66" t="str">
        <f>IF(AND(X507="Reçu",ISNUMBER(R507)),IF(N(U507)&lt;=R507,1,0),"")</f>
        <v/>
      </c>
      <c r="AB507" s="76" t="str">
        <f>IF(OR(X507="Envoyé",X507="Partiel",X507="En retard"),IF(ISNUMBER(R507),R507,100000)+ROW()/100000,"")</f>
        <v/>
      </c>
      <c r="AC507" s="66" t="str">
        <f>IF(A507="","",IF(COUNTIF($A$6:A507,A507)=1,1,""))</f>
        <v/>
      </c>
      <c r="AD507" s="66" t="str">
        <f>IF(AC507=1,COUNT($AC$6:AC507),"")</f>
        <v/>
      </c>
      <c r="AE507" s="66" t="str">
        <f>IFERROR(INDEX(po_num,MATCH(502,po_seq,0))&amp;"","")</f>
        <v/>
      </c>
      <c r="AF507" s="66" t="str">
        <f>IF(OR(A507="",p_po=""),"",IF(A507&amp;""=p_po,COUNTIF($A$6:A507,A507),""))</f>
        <v/>
      </c>
      <c r="AG507" s="66" t="str">
        <f>IF(OR(AB507="",A507=""),"",IF(COUNTIFS($A$6:A507,A507,$AB$6:AB507,"&gt;0")=1,1,""))</f>
        <v/>
      </c>
      <c r="AH507" s="70" t="str">
        <f>IF(AB507="","",ROUND(N(W507)*N(J507)*(1-N(K507)),2))</f>
        <v/>
      </c>
      <c r="AI507" s="70" t="str">
        <f>IF(OR(J507="",N(T507)&lt;=0,V507="Oui"),"",ROUND(N(T507)*J507*(1-N(K507)),2))</f>
        <v/>
      </c>
    </row>
    <row r="508">
      <c r="A508" s="63" t="n"/>
      <c r="B508" s="64" t="n"/>
      <c r="C508" s="65" t="n"/>
      <c r="D508" s="66" t="str">
        <f>IF(C508="","",IFERROR(INDEX(sup_name,MATCH($C508,sup_code,0))&amp;"","Fournisseur inconnu"))</f>
        <v/>
      </c>
      <c r="E508" s="63" t="n"/>
      <c r="F508" s="66" t="str">
        <f>IF(E508="","",IFERROR(INDEX(art_des,MATCH($E508,art_ref,0))&amp;"","Article inconnu"))</f>
        <v/>
      </c>
      <c r="G508" s="67" t="str">
        <f>IF(E508="","",IFERROR(INDEX(art_unit,MATCH($E508,art_ref,0))&amp;"",""))</f>
        <v/>
      </c>
      <c r="H508" s="68" t="n"/>
      <c r="I508" s="69" t="n"/>
      <c r="J508" s="70" t="str">
        <f>IF(E508="","",IF(ISNUMBER(I508),I508,IFERROR(IF(ISNUMBER(INDEX(art_price,MATCH($E508,art_ref,0))),INDEX(art_price,MATCH($E508,art_ref,0)),""),"")))</f>
        <v/>
      </c>
      <c r="K508" s="71" t="n"/>
      <c r="L508" s="72" t="n"/>
      <c r="M508" s="72" t="str">
        <f>IF(E508="","",IF(L508&lt;&gt;"",L508,IFERROR(IF(ISNUMBER(INDEX(art_tva,MATCH($E508,art_ref,0))),INDEX(art_tva,MATCH($E508,art_ref,0)),""),"")))</f>
        <v/>
      </c>
      <c r="N508" s="70" t="str">
        <f>IF(OR(E508="",J508=""),"",ROUND(N(H508)*J508*(1-N(K508)),2))</f>
        <v/>
      </c>
      <c r="O508" s="70" t="str">
        <f>IF(OR(N508="",NOT(ISNUMBER(M508))),"",ROUND(N508*M508,2))</f>
        <v/>
      </c>
      <c r="P508" s="70" t="str">
        <f>IF(N508="","",N508+N(O508))</f>
        <v/>
      </c>
      <c r="Q508" s="64" t="n"/>
      <c r="R508" s="73" t="str">
        <f>IF(N(Q508)&gt;0,Q508,IF(OR(N(B508)=0,ISNA(MATCH($C508,sup_code,0))),"",IF(ISNUMBER(INDEX(sup_delay,MATCH($C508,sup_code,0))),B508+INDEX(sup_delay,MATCH($C508,sup_code,0)),"")))</f>
        <v/>
      </c>
      <c r="S508" s="64" t="n"/>
      <c r="T508" s="68" t="n"/>
      <c r="U508" s="64" t="n"/>
      <c r="V508" s="65" t="n"/>
      <c r="W508" s="74" t="str">
        <f>IF(AND(A508="",E508=""),"",IF(V508="Oui",0,MAX(0,ROUND(N(H508)-N(T508),6))))</f>
        <v/>
      </c>
      <c r="X508" s="67" t="str">
        <f>IF(AND(A508="",E508=""),"",IF(V508="Oui","Annulé",IF(AND(N(H508)&gt;0,N(T508)&gt;=N(H508)),"Reçu",IF(N(S508)=0,"Brouillon",IF(AND(ISNUMBER(R508),R508&lt;p_today),"En retard",IF(N(T508)&gt;0,"Partiel","Envoyé"))))))</f>
        <v/>
      </c>
      <c r="Y508" s="75" t="str">
        <f>IF(X508="En retard",p_today-R508,IF(AND(X508="Reçu",ISNUMBER(R508)),MAX(0,N(U508)-R508),""))</f>
        <v/>
      </c>
      <c r="Z508" s="67" t="str">
        <f>IF(AND(A508="",E508=""),"",IF(A508="","N° de bon manquant",IF(N(B508)=0,"Date de commande manquante",IF(C508="","Fournisseur manquant",IF(ISNA(MATCH($C508,sup_code,0)),"Fournisseur inconnu",IF(E508="","Article manquant",IF(ISNA(MATCH($E508,art_ref,0)),"Article inconnu",IF(N(H508)&lt;=0,"Quantité invalide",IF(J508="","Prix manquant",IF(OR(N(K508)&lt;0,N(K508)&gt;=1),"Remise invalide",IF(M508="","TVA manquante",IF(ISNA(MATCH(M508,p_tva,0)),"Taux de TVA inconnu",IF(COUNTIFS(po_num,A508,po_sup,"&lt;&gt;"&amp;C508)&gt;0,"Fournisseur différent sur ce bon",IF(COUNTIFS(po_num,A508,po_date,"&lt;&gt;"&amp;B508)&gt;0,"Date différente sur ce bon",IF(COUNTIF(po_num,A508)&gt;25,"Plus de 25 lignes sur ce bon",IF(R508="","Date de livraison manquante",IF(R508&lt;B508,"Livraison avant la commande",IF(AND(N(T508)&gt;0,N(S508)=0),"Date d'envoi manquante",IF(N(T508)&gt;N(H508),"Reçu plus que commandé",IF(AND(N(T508)&gt;0,N(U508)=0),"Date de réception manquante",IF(AND(N(U508)&gt;0,U508&lt;B508),"Réception avant la commande","OK")))))))))))))))))))))</f>
        <v/>
      </c>
      <c r="AA508" s="66" t="str">
        <f>IF(AND(X508="Reçu",ISNUMBER(R508)),IF(N(U508)&lt;=R508,1,0),"")</f>
        <v/>
      </c>
      <c r="AB508" s="76" t="str">
        <f>IF(OR(X508="Envoyé",X508="Partiel",X508="En retard"),IF(ISNUMBER(R508),R508,100000)+ROW()/100000,"")</f>
        <v/>
      </c>
      <c r="AC508" s="66" t="str">
        <f>IF(A508="","",IF(COUNTIF($A$6:A508,A508)=1,1,""))</f>
        <v/>
      </c>
      <c r="AD508" s="66" t="str">
        <f>IF(AC508=1,COUNT($AC$6:AC508),"")</f>
        <v/>
      </c>
      <c r="AE508" s="66" t="str">
        <f>IFERROR(INDEX(po_num,MATCH(503,po_seq,0))&amp;"","")</f>
        <v/>
      </c>
      <c r="AF508" s="66" t="str">
        <f>IF(OR(A508="",p_po=""),"",IF(A508&amp;""=p_po,COUNTIF($A$6:A508,A508),""))</f>
        <v/>
      </c>
      <c r="AG508" s="66" t="str">
        <f>IF(OR(AB508="",A508=""),"",IF(COUNTIFS($A$6:A508,A508,$AB$6:AB508,"&gt;0")=1,1,""))</f>
        <v/>
      </c>
      <c r="AH508" s="70" t="str">
        <f>IF(AB508="","",ROUND(N(W508)*N(J508)*(1-N(K508)),2))</f>
        <v/>
      </c>
      <c r="AI508" s="70" t="str">
        <f>IF(OR(J508="",N(T508)&lt;=0,V508="Oui"),"",ROUND(N(T508)*J508*(1-N(K508)),2))</f>
        <v/>
      </c>
    </row>
    <row r="509">
      <c r="A509" s="63" t="n"/>
      <c r="B509" s="64" t="n"/>
      <c r="C509" s="65" t="n"/>
      <c r="D509" s="66" t="str">
        <f>IF(C509="","",IFERROR(INDEX(sup_name,MATCH($C509,sup_code,0))&amp;"","Fournisseur inconnu"))</f>
        <v/>
      </c>
      <c r="E509" s="63" t="n"/>
      <c r="F509" s="66" t="str">
        <f>IF(E509="","",IFERROR(INDEX(art_des,MATCH($E509,art_ref,0))&amp;"","Article inconnu"))</f>
        <v/>
      </c>
      <c r="G509" s="67" t="str">
        <f>IF(E509="","",IFERROR(INDEX(art_unit,MATCH($E509,art_ref,0))&amp;"",""))</f>
        <v/>
      </c>
      <c r="H509" s="68" t="n"/>
      <c r="I509" s="69" t="n"/>
      <c r="J509" s="70" t="str">
        <f>IF(E509="","",IF(ISNUMBER(I509),I509,IFERROR(IF(ISNUMBER(INDEX(art_price,MATCH($E509,art_ref,0))),INDEX(art_price,MATCH($E509,art_ref,0)),""),"")))</f>
        <v/>
      </c>
      <c r="K509" s="71" t="n"/>
      <c r="L509" s="72" t="n"/>
      <c r="M509" s="72" t="str">
        <f>IF(E509="","",IF(L509&lt;&gt;"",L509,IFERROR(IF(ISNUMBER(INDEX(art_tva,MATCH($E509,art_ref,0))),INDEX(art_tva,MATCH($E509,art_ref,0)),""),"")))</f>
        <v/>
      </c>
      <c r="N509" s="70" t="str">
        <f>IF(OR(E509="",J509=""),"",ROUND(N(H509)*J509*(1-N(K509)),2))</f>
        <v/>
      </c>
      <c r="O509" s="70" t="str">
        <f>IF(OR(N509="",NOT(ISNUMBER(M509))),"",ROUND(N509*M509,2))</f>
        <v/>
      </c>
      <c r="P509" s="70" t="str">
        <f>IF(N509="","",N509+N(O509))</f>
        <v/>
      </c>
      <c r="Q509" s="64" t="n"/>
      <c r="R509" s="73" t="str">
        <f>IF(N(Q509)&gt;0,Q509,IF(OR(N(B509)=0,ISNA(MATCH($C509,sup_code,0))),"",IF(ISNUMBER(INDEX(sup_delay,MATCH($C509,sup_code,0))),B509+INDEX(sup_delay,MATCH($C509,sup_code,0)),"")))</f>
        <v/>
      </c>
      <c r="S509" s="64" t="n"/>
      <c r="T509" s="68" t="n"/>
      <c r="U509" s="64" t="n"/>
      <c r="V509" s="65" t="n"/>
      <c r="W509" s="74" t="str">
        <f>IF(AND(A509="",E509=""),"",IF(V509="Oui",0,MAX(0,ROUND(N(H509)-N(T509),6))))</f>
        <v/>
      </c>
      <c r="X509" s="67" t="str">
        <f>IF(AND(A509="",E509=""),"",IF(V509="Oui","Annulé",IF(AND(N(H509)&gt;0,N(T509)&gt;=N(H509)),"Reçu",IF(N(S509)=0,"Brouillon",IF(AND(ISNUMBER(R509),R509&lt;p_today),"En retard",IF(N(T509)&gt;0,"Partiel","Envoyé"))))))</f>
        <v/>
      </c>
      <c r="Y509" s="75" t="str">
        <f>IF(X509="En retard",p_today-R509,IF(AND(X509="Reçu",ISNUMBER(R509)),MAX(0,N(U509)-R509),""))</f>
        <v/>
      </c>
      <c r="Z509" s="67" t="str">
        <f>IF(AND(A509="",E509=""),"",IF(A509="","N° de bon manquant",IF(N(B509)=0,"Date de commande manquante",IF(C509="","Fournisseur manquant",IF(ISNA(MATCH($C509,sup_code,0)),"Fournisseur inconnu",IF(E509="","Article manquant",IF(ISNA(MATCH($E509,art_ref,0)),"Article inconnu",IF(N(H509)&lt;=0,"Quantité invalide",IF(J509="","Prix manquant",IF(OR(N(K509)&lt;0,N(K509)&gt;=1),"Remise invalide",IF(M509="","TVA manquante",IF(ISNA(MATCH(M509,p_tva,0)),"Taux de TVA inconnu",IF(COUNTIFS(po_num,A509,po_sup,"&lt;&gt;"&amp;C509)&gt;0,"Fournisseur différent sur ce bon",IF(COUNTIFS(po_num,A509,po_date,"&lt;&gt;"&amp;B509)&gt;0,"Date différente sur ce bon",IF(COUNTIF(po_num,A509)&gt;25,"Plus de 25 lignes sur ce bon",IF(R509="","Date de livraison manquante",IF(R509&lt;B509,"Livraison avant la commande",IF(AND(N(T509)&gt;0,N(S509)=0),"Date d'envoi manquante",IF(N(T509)&gt;N(H509),"Reçu plus que commandé",IF(AND(N(T509)&gt;0,N(U509)=0),"Date de réception manquante",IF(AND(N(U509)&gt;0,U509&lt;B509),"Réception avant la commande","OK")))))))))))))))))))))</f>
        <v/>
      </c>
      <c r="AA509" s="66" t="str">
        <f>IF(AND(X509="Reçu",ISNUMBER(R509)),IF(N(U509)&lt;=R509,1,0),"")</f>
        <v/>
      </c>
      <c r="AB509" s="76" t="str">
        <f>IF(OR(X509="Envoyé",X509="Partiel",X509="En retard"),IF(ISNUMBER(R509),R509,100000)+ROW()/100000,"")</f>
        <v/>
      </c>
      <c r="AC509" s="66" t="str">
        <f>IF(A509="","",IF(COUNTIF($A$6:A509,A509)=1,1,""))</f>
        <v/>
      </c>
      <c r="AD509" s="66" t="str">
        <f>IF(AC509=1,COUNT($AC$6:AC509),"")</f>
        <v/>
      </c>
      <c r="AE509" s="66" t="str">
        <f>IFERROR(INDEX(po_num,MATCH(504,po_seq,0))&amp;"","")</f>
        <v/>
      </c>
      <c r="AF509" s="66" t="str">
        <f>IF(OR(A509="",p_po=""),"",IF(A509&amp;""=p_po,COUNTIF($A$6:A509,A509),""))</f>
        <v/>
      </c>
      <c r="AG509" s="66" t="str">
        <f>IF(OR(AB509="",A509=""),"",IF(COUNTIFS($A$6:A509,A509,$AB$6:AB509,"&gt;0")=1,1,""))</f>
        <v/>
      </c>
      <c r="AH509" s="70" t="str">
        <f>IF(AB509="","",ROUND(N(W509)*N(J509)*(1-N(K509)),2))</f>
        <v/>
      </c>
      <c r="AI509" s="70" t="str">
        <f>IF(OR(J509="",N(T509)&lt;=0,V509="Oui"),"",ROUND(N(T509)*J509*(1-N(K509)),2))</f>
        <v/>
      </c>
    </row>
    <row r="510">
      <c r="A510" s="63" t="n"/>
      <c r="B510" s="64" t="n"/>
      <c r="C510" s="65" t="n"/>
      <c r="D510" s="66" t="str">
        <f>IF(C510="","",IFERROR(INDEX(sup_name,MATCH($C510,sup_code,0))&amp;"","Fournisseur inconnu"))</f>
        <v/>
      </c>
      <c r="E510" s="63" t="n"/>
      <c r="F510" s="66" t="str">
        <f>IF(E510="","",IFERROR(INDEX(art_des,MATCH($E510,art_ref,0))&amp;"","Article inconnu"))</f>
        <v/>
      </c>
      <c r="G510" s="67" t="str">
        <f>IF(E510="","",IFERROR(INDEX(art_unit,MATCH($E510,art_ref,0))&amp;"",""))</f>
        <v/>
      </c>
      <c r="H510" s="68" t="n"/>
      <c r="I510" s="69" t="n"/>
      <c r="J510" s="70" t="str">
        <f>IF(E510="","",IF(ISNUMBER(I510),I510,IFERROR(IF(ISNUMBER(INDEX(art_price,MATCH($E510,art_ref,0))),INDEX(art_price,MATCH($E510,art_ref,0)),""),"")))</f>
        <v/>
      </c>
      <c r="K510" s="71" t="n"/>
      <c r="L510" s="72" t="n"/>
      <c r="M510" s="72" t="str">
        <f>IF(E510="","",IF(L510&lt;&gt;"",L510,IFERROR(IF(ISNUMBER(INDEX(art_tva,MATCH($E510,art_ref,0))),INDEX(art_tva,MATCH($E510,art_ref,0)),""),"")))</f>
        <v/>
      </c>
      <c r="N510" s="70" t="str">
        <f>IF(OR(E510="",J510=""),"",ROUND(N(H510)*J510*(1-N(K510)),2))</f>
        <v/>
      </c>
      <c r="O510" s="70" t="str">
        <f>IF(OR(N510="",NOT(ISNUMBER(M510))),"",ROUND(N510*M510,2))</f>
        <v/>
      </c>
      <c r="P510" s="70" t="str">
        <f>IF(N510="","",N510+N(O510))</f>
        <v/>
      </c>
      <c r="Q510" s="64" t="n"/>
      <c r="R510" s="73" t="str">
        <f>IF(N(Q510)&gt;0,Q510,IF(OR(N(B510)=0,ISNA(MATCH($C510,sup_code,0))),"",IF(ISNUMBER(INDEX(sup_delay,MATCH($C510,sup_code,0))),B510+INDEX(sup_delay,MATCH($C510,sup_code,0)),"")))</f>
        <v/>
      </c>
      <c r="S510" s="64" t="n"/>
      <c r="T510" s="68" t="n"/>
      <c r="U510" s="64" t="n"/>
      <c r="V510" s="65" t="n"/>
      <c r="W510" s="74" t="str">
        <f>IF(AND(A510="",E510=""),"",IF(V510="Oui",0,MAX(0,ROUND(N(H510)-N(T510),6))))</f>
        <v/>
      </c>
      <c r="X510" s="67" t="str">
        <f>IF(AND(A510="",E510=""),"",IF(V510="Oui","Annulé",IF(AND(N(H510)&gt;0,N(T510)&gt;=N(H510)),"Reçu",IF(N(S510)=0,"Brouillon",IF(AND(ISNUMBER(R510),R510&lt;p_today),"En retard",IF(N(T510)&gt;0,"Partiel","Envoyé"))))))</f>
        <v/>
      </c>
      <c r="Y510" s="75" t="str">
        <f>IF(X510="En retard",p_today-R510,IF(AND(X510="Reçu",ISNUMBER(R510)),MAX(0,N(U510)-R510),""))</f>
        <v/>
      </c>
      <c r="Z510" s="67" t="str">
        <f>IF(AND(A510="",E510=""),"",IF(A510="","N° de bon manquant",IF(N(B510)=0,"Date de commande manquante",IF(C510="","Fournisseur manquant",IF(ISNA(MATCH($C510,sup_code,0)),"Fournisseur inconnu",IF(E510="","Article manquant",IF(ISNA(MATCH($E510,art_ref,0)),"Article inconnu",IF(N(H510)&lt;=0,"Quantité invalide",IF(J510="","Prix manquant",IF(OR(N(K510)&lt;0,N(K510)&gt;=1),"Remise invalide",IF(M510="","TVA manquante",IF(ISNA(MATCH(M510,p_tva,0)),"Taux de TVA inconnu",IF(COUNTIFS(po_num,A510,po_sup,"&lt;&gt;"&amp;C510)&gt;0,"Fournisseur différent sur ce bon",IF(COUNTIFS(po_num,A510,po_date,"&lt;&gt;"&amp;B510)&gt;0,"Date différente sur ce bon",IF(COUNTIF(po_num,A510)&gt;25,"Plus de 25 lignes sur ce bon",IF(R510="","Date de livraison manquante",IF(R510&lt;B510,"Livraison avant la commande",IF(AND(N(T510)&gt;0,N(S510)=0),"Date d'envoi manquante",IF(N(T510)&gt;N(H510),"Reçu plus que commandé",IF(AND(N(T510)&gt;0,N(U510)=0),"Date de réception manquante",IF(AND(N(U510)&gt;0,U510&lt;B510),"Réception avant la commande","OK")))))))))))))))))))))</f>
        <v/>
      </c>
      <c r="AA510" s="66" t="str">
        <f>IF(AND(X510="Reçu",ISNUMBER(R510)),IF(N(U510)&lt;=R510,1,0),"")</f>
        <v/>
      </c>
      <c r="AB510" s="76" t="str">
        <f>IF(OR(X510="Envoyé",X510="Partiel",X510="En retard"),IF(ISNUMBER(R510),R510,100000)+ROW()/100000,"")</f>
        <v/>
      </c>
      <c r="AC510" s="66" t="str">
        <f>IF(A510="","",IF(COUNTIF($A$6:A510,A510)=1,1,""))</f>
        <v/>
      </c>
      <c r="AD510" s="66" t="str">
        <f>IF(AC510=1,COUNT($AC$6:AC510),"")</f>
        <v/>
      </c>
      <c r="AE510" s="66" t="str">
        <f>IFERROR(INDEX(po_num,MATCH(505,po_seq,0))&amp;"","")</f>
        <v/>
      </c>
      <c r="AF510" s="66" t="str">
        <f>IF(OR(A510="",p_po=""),"",IF(A510&amp;""=p_po,COUNTIF($A$6:A510,A510),""))</f>
        <v/>
      </c>
      <c r="AG510" s="66" t="str">
        <f>IF(OR(AB510="",A510=""),"",IF(COUNTIFS($A$6:A510,A510,$AB$6:AB510,"&gt;0")=1,1,""))</f>
        <v/>
      </c>
      <c r="AH510" s="70" t="str">
        <f>IF(AB510="","",ROUND(N(W510)*N(J510)*(1-N(K510)),2))</f>
        <v/>
      </c>
      <c r="AI510" s="70" t="str">
        <f>IF(OR(J510="",N(T510)&lt;=0,V510="Oui"),"",ROUND(N(T510)*J510*(1-N(K510)),2))</f>
        <v/>
      </c>
    </row>
    <row r="511">
      <c r="A511" s="63" t="n"/>
      <c r="B511" s="64" t="n"/>
      <c r="C511" s="65" t="n"/>
      <c r="D511" s="66" t="str">
        <f>IF(C511="","",IFERROR(INDEX(sup_name,MATCH($C511,sup_code,0))&amp;"","Fournisseur inconnu"))</f>
        <v/>
      </c>
      <c r="E511" s="63" t="n"/>
      <c r="F511" s="66" t="str">
        <f>IF(E511="","",IFERROR(INDEX(art_des,MATCH($E511,art_ref,0))&amp;"","Article inconnu"))</f>
        <v/>
      </c>
      <c r="G511" s="67" t="str">
        <f>IF(E511="","",IFERROR(INDEX(art_unit,MATCH($E511,art_ref,0))&amp;"",""))</f>
        <v/>
      </c>
      <c r="H511" s="68" t="n"/>
      <c r="I511" s="69" t="n"/>
      <c r="J511" s="70" t="str">
        <f>IF(E511="","",IF(ISNUMBER(I511),I511,IFERROR(IF(ISNUMBER(INDEX(art_price,MATCH($E511,art_ref,0))),INDEX(art_price,MATCH($E511,art_ref,0)),""),"")))</f>
        <v/>
      </c>
      <c r="K511" s="71" t="n"/>
      <c r="L511" s="72" t="n"/>
      <c r="M511" s="72" t="str">
        <f>IF(E511="","",IF(L511&lt;&gt;"",L511,IFERROR(IF(ISNUMBER(INDEX(art_tva,MATCH($E511,art_ref,0))),INDEX(art_tva,MATCH($E511,art_ref,0)),""),"")))</f>
        <v/>
      </c>
      <c r="N511" s="70" t="str">
        <f>IF(OR(E511="",J511=""),"",ROUND(N(H511)*J511*(1-N(K511)),2))</f>
        <v/>
      </c>
      <c r="O511" s="70" t="str">
        <f>IF(OR(N511="",NOT(ISNUMBER(M511))),"",ROUND(N511*M511,2))</f>
        <v/>
      </c>
      <c r="P511" s="70" t="str">
        <f>IF(N511="","",N511+N(O511))</f>
        <v/>
      </c>
      <c r="Q511" s="64" t="n"/>
      <c r="R511" s="73" t="str">
        <f>IF(N(Q511)&gt;0,Q511,IF(OR(N(B511)=0,ISNA(MATCH($C511,sup_code,0))),"",IF(ISNUMBER(INDEX(sup_delay,MATCH($C511,sup_code,0))),B511+INDEX(sup_delay,MATCH($C511,sup_code,0)),"")))</f>
        <v/>
      </c>
      <c r="S511" s="64" t="n"/>
      <c r="T511" s="68" t="n"/>
      <c r="U511" s="64" t="n"/>
      <c r="V511" s="65" t="n"/>
      <c r="W511" s="74" t="str">
        <f>IF(AND(A511="",E511=""),"",IF(V511="Oui",0,MAX(0,ROUND(N(H511)-N(T511),6))))</f>
        <v/>
      </c>
      <c r="X511" s="67" t="str">
        <f>IF(AND(A511="",E511=""),"",IF(V511="Oui","Annulé",IF(AND(N(H511)&gt;0,N(T511)&gt;=N(H511)),"Reçu",IF(N(S511)=0,"Brouillon",IF(AND(ISNUMBER(R511),R511&lt;p_today),"En retard",IF(N(T511)&gt;0,"Partiel","Envoyé"))))))</f>
        <v/>
      </c>
      <c r="Y511" s="75" t="str">
        <f>IF(X511="En retard",p_today-R511,IF(AND(X511="Reçu",ISNUMBER(R511)),MAX(0,N(U511)-R511),""))</f>
        <v/>
      </c>
      <c r="Z511" s="67" t="str">
        <f>IF(AND(A511="",E511=""),"",IF(A511="","N° de bon manquant",IF(N(B511)=0,"Date de commande manquante",IF(C511="","Fournisseur manquant",IF(ISNA(MATCH($C511,sup_code,0)),"Fournisseur inconnu",IF(E511="","Article manquant",IF(ISNA(MATCH($E511,art_ref,0)),"Article inconnu",IF(N(H511)&lt;=0,"Quantité invalide",IF(J511="","Prix manquant",IF(OR(N(K511)&lt;0,N(K511)&gt;=1),"Remise invalide",IF(M511="","TVA manquante",IF(ISNA(MATCH(M511,p_tva,0)),"Taux de TVA inconnu",IF(COUNTIFS(po_num,A511,po_sup,"&lt;&gt;"&amp;C511)&gt;0,"Fournisseur différent sur ce bon",IF(COUNTIFS(po_num,A511,po_date,"&lt;&gt;"&amp;B511)&gt;0,"Date différente sur ce bon",IF(COUNTIF(po_num,A511)&gt;25,"Plus de 25 lignes sur ce bon",IF(R511="","Date de livraison manquante",IF(R511&lt;B511,"Livraison avant la commande",IF(AND(N(T511)&gt;0,N(S511)=0),"Date d'envoi manquante",IF(N(T511)&gt;N(H511),"Reçu plus que commandé",IF(AND(N(T511)&gt;0,N(U511)=0),"Date de réception manquante",IF(AND(N(U511)&gt;0,U511&lt;B511),"Réception avant la commande","OK")))))))))))))))))))))</f>
        <v/>
      </c>
      <c r="AA511" s="66" t="str">
        <f>IF(AND(X511="Reçu",ISNUMBER(R511)),IF(N(U511)&lt;=R511,1,0),"")</f>
        <v/>
      </c>
      <c r="AB511" s="76" t="str">
        <f>IF(OR(X511="Envoyé",X511="Partiel",X511="En retard"),IF(ISNUMBER(R511),R511,100000)+ROW()/100000,"")</f>
        <v/>
      </c>
      <c r="AC511" s="66" t="str">
        <f>IF(A511="","",IF(COUNTIF($A$6:A511,A511)=1,1,""))</f>
        <v/>
      </c>
      <c r="AD511" s="66" t="str">
        <f>IF(AC511=1,COUNT($AC$6:AC511),"")</f>
        <v/>
      </c>
      <c r="AE511" s="66" t="str">
        <f>IFERROR(INDEX(po_num,MATCH(506,po_seq,0))&amp;"","")</f>
        <v/>
      </c>
      <c r="AF511" s="66" t="str">
        <f>IF(OR(A511="",p_po=""),"",IF(A511&amp;""=p_po,COUNTIF($A$6:A511,A511),""))</f>
        <v/>
      </c>
      <c r="AG511" s="66" t="str">
        <f>IF(OR(AB511="",A511=""),"",IF(COUNTIFS($A$6:A511,A511,$AB$6:AB511,"&gt;0")=1,1,""))</f>
        <v/>
      </c>
      <c r="AH511" s="70" t="str">
        <f>IF(AB511="","",ROUND(N(W511)*N(J511)*(1-N(K511)),2))</f>
        <v/>
      </c>
      <c r="AI511" s="70" t="str">
        <f>IF(OR(J511="",N(T511)&lt;=0,V511="Oui"),"",ROUND(N(T511)*J511*(1-N(K511)),2))</f>
        <v/>
      </c>
    </row>
    <row r="512">
      <c r="A512" s="63" t="n"/>
      <c r="B512" s="64" t="n"/>
      <c r="C512" s="65" t="n"/>
      <c r="D512" s="66" t="str">
        <f>IF(C512="","",IFERROR(INDEX(sup_name,MATCH($C512,sup_code,0))&amp;"","Fournisseur inconnu"))</f>
        <v/>
      </c>
      <c r="E512" s="63" t="n"/>
      <c r="F512" s="66" t="str">
        <f>IF(E512="","",IFERROR(INDEX(art_des,MATCH($E512,art_ref,0))&amp;"","Article inconnu"))</f>
        <v/>
      </c>
      <c r="G512" s="67" t="str">
        <f>IF(E512="","",IFERROR(INDEX(art_unit,MATCH($E512,art_ref,0))&amp;"",""))</f>
        <v/>
      </c>
      <c r="H512" s="68" t="n"/>
      <c r="I512" s="69" t="n"/>
      <c r="J512" s="70" t="str">
        <f>IF(E512="","",IF(ISNUMBER(I512),I512,IFERROR(IF(ISNUMBER(INDEX(art_price,MATCH($E512,art_ref,0))),INDEX(art_price,MATCH($E512,art_ref,0)),""),"")))</f>
        <v/>
      </c>
      <c r="K512" s="71" t="n"/>
      <c r="L512" s="72" t="n"/>
      <c r="M512" s="72" t="str">
        <f>IF(E512="","",IF(L512&lt;&gt;"",L512,IFERROR(IF(ISNUMBER(INDEX(art_tva,MATCH($E512,art_ref,0))),INDEX(art_tva,MATCH($E512,art_ref,0)),""),"")))</f>
        <v/>
      </c>
      <c r="N512" s="70" t="str">
        <f>IF(OR(E512="",J512=""),"",ROUND(N(H512)*J512*(1-N(K512)),2))</f>
        <v/>
      </c>
      <c r="O512" s="70" t="str">
        <f>IF(OR(N512="",NOT(ISNUMBER(M512))),"",ROUND(N512*M512,2))</f>
        <v/>
      </c>
      <c r="P512" s="70" t="str">
        <f>IF(N512="","",N512+N(O512))</f>
        <v/>
      </c>
      <c r="Q512" s="64" t="n"/>
      <c r="R512" s="73" t="str">
        <f>IF(N(Q512)&gt;0,Q512,IF(OR(N(B512)=0,ISNA(MATCH($C512,sup_code,0))),"",IF(ISNUMBER(INDEX(sup_delay,MATCH($C512,sup_code,0))),B512+INDEX(sup_delay,MATCH($C512,sup_code,0)),"")))</f>
        <v/>
      </c>
      <c r="S512" s="64" t="n"/>
      <c r="T512" s="68" t="n"/>
      <c r="U512" s="64" t="n"/>
      <c r="V512" s="65" t="n"/>
      <c r="W512" s="74" t="str">
        <f>IF(AND(A512="",E512=""),"",IF(V512="Oui",0,MAX(0,ROUND(N(H512)-N(T512),6))))</f>
        <v/>
      </c>
      <c r="X512" s="67" t="str">
        <f>IF(AND(A512="",E512=""),"",IF(V512="Oui","Annulé",IF(AND(N(H512)&gt;0,N(T512)&gt;=N(H512)),"Reçu",IF(N(S512)=0,"Brouillon",IF(AND(ISNUMBER(R512),R512&lt;p_today),"En retard",IF(N(T512)&gt;0,"Partiel","Envoyé"))))))</f>
        <v/>
      </c>
      <c r="Y512" s="75" t="str">
        <f>IF(X512="En retard",p_today-R512,IF(AND(X512="Reçu",ISNUMBER(R512)),MAX(0,N(U512)-R512),""))</f>
        <v/>
      </c>
      <c r="Z512" s="67" t="str">
        <f>IF(AND(A512="",E512=""),"",IF(A512="","N° de bon manquant",IF(N(B512)=0,"Date de commande manquante",IF(C512="","Fournisseur manquant",IF(ISNA(MATCH($C512,sup_code,0)),"Fournisseur inconnu",IF(E512="","Article manquant",IF(ISNA(MATCH($E512,art_ref,0)),"Article inconnu",IF(N(H512)&lt;=0,"Quantité invalide",IF(J512="","Prix manquant",IF(OR(N(K512)&lt;0,N(K512)&gt;=1),"Remise invalide",IF(M512="","TVA manquante",IF(ISNA(MATCH(M512,p_tva,0)),"Taux de TVA inconnu",IF(COUNTIFS(po_num,A512,po_sup,"&lt;&gt;"&amp;C512)&gt;0,"Fournisseur différent sur ce bon",IF(COUNTIFS(po_num,A512,po_date,"&lt;&gt;"&amp;B512)&gt;0,"Date différente sur ce bon",IF(COUNTIF(po_num,A512)&gt;25,"Plus de 25 lignes sur ce bon",IF(R512="","Date de livraison manquante",IF(R512&lt;B512,"Livraison avant la commande",IF(AND(N(T512)&gt;0,N(S512)=0),"Date d'envoi manquante",IF(N(T512)&gt;N(H512),"Reçu plus que commandé",IF(AND(N(T512)&gt;0,N(U512)=0),"Date de réception manquante",IF(AND(N(U512)&gt;0,U512&lt;B512),"Réception avant la commande","OK")))))))))))))))))))))</f>
        <v/>
      </c>
      <c r="AA512" s="66" t="str">
        <f>IF(AND(X512="Reçu",ISNUMBER(R512)),IF(N(U512)&lt;=R512,1,0),"")</f>
        <v/>
      </c>
      <c r="AB512" s="76" t="str">
        <f>IF(OR(X512="Envoyé",X512="Partiel",X512="En retard"),IF(ISNUMBER(R512),R512,100000)+ROW()/100000,"")</f>
        <v/>
      </c>
      <c r="AC512" s="66" t="str">
        <f>IF(A512="","",IF(COUNTIF($A$6:A512,A512)=1,1,""))</f>
        <v/>
      </c>
      <c r="AD512" s="66" t="str">
        <f>IF(AC512=1,COUNT($AC$6:AC512),"")</f>
        <v/>
      </c>
      <c r="AE512" s="66" t="str">
        <f>IFERROR(INDEX(po_num,MATCH(507,po_seq,0))&amp;"","")</f>
        <v/>
      </c>
      <c r="AF512" s="66" t="str">
        <f>IF(OR(A512="",p_po=""),"",IF(A512&amp;""=p_po,COUNTIF($A$6:A512,A512),""))</f>
        <v/>
      </c>
      <c r="AG512" s="66" t="str">
        <f>IF(OR(AB512="",A512=""),"",IF(COUNTIFS($A$6:A512,A512,$AB$6:AB512,"&gt;0")=1,1,""))</f>
        <v/>
      </c>
      <c r="AH512" s="70" t="str">
        <f>IF(AB512="","",ROUND(N(W512)*N(J512)*(1-N(K512)),2))</f>
        <v/>
      </c>
      <c r="AI512" s="70" t="str">
        <f>IF(OR(J512="",N(T512)&lt;=0,V512="Oui"),"",ROUND(N(T512)*J512*(1-N(K512)),2))</f>
        <v/>
      </c>
    </row>
    <row r="513">
      <c r="A513" s="63" t="n"/>
      <c r="B513" s="64" t="n"/>
      <c r="C513" s="65" t="n"/>
      <c r="D513" s="66" t="str">
        <f>IF(C513="","",IFERROR(INDEX(sup_name,MATCH($C513,sup_code,0))&amp;"","Fournisseur inconnu"))</f>
        <v/>
      </c>
      <c r="E513" s="63" t="n"/>
      <c r="F513" s="66" t="str">
        <f>IF(E513="","",IFERROR(INDEX(art_des,MATCH($E513,art_ref,0))&amp;"","Article inconnu"))</f>
        <v/>
      </c>
      <c r="G513" s="67" t="str">
        <f>IF(E513="","",IFERROR(INDEX(art_unit,MATCH($E513,art_ref,0))&amp;"",""))</f>
        <v/>
      </c>
      <c r="H513" s="68" t="n"/>
      <c r="I513" s="69" t="n"/>
      <c r="J513" s="70" t="str">
        <f>IF(E513="","",IF(ISNUMBER(I513),I513,IFERROR(IF(ISNUMBER(INDEX(art_price,MATCH($E513,art_ref,0))),INDEX(art_price,MATCH($E513,art_ref,0)),""),"")))</f>
        <v/>
      </c>
      <c r="K513" s="71" t="n"/>
      <c r="L513" s="72" t="n"/>
      <c r="M513" s="72" t="str">
        <f>IF(E513="","",IF(L513&lt;&gt;"",L513,IFERROR(IF(ISNUMBER(INDEX(art_tva,MATCH($E513,art_ref,0))),INDEX(art_tva,MATCH($E513,art_ref,0)),""),"")))</f>
        <v/>
      </c>
      <c r="N513" s="70" t="str">
        <f>IF(OR(E513="",J513=""),"",ROUND(N(H513)*J513*(1-N(K513)),2))</f>
        <v/>
      </c>
      <c r="O513" s="70" t="str">
        <f>IF(OR(N513="",NOT(ISNUMBER(M513))),"",ROUND(N513*M513,2))</f>
        <v/>
      </c>
      <c r="P513" s="70" t="str">
        <f>IF(N513="","",N513+N(O513))</f>
        <v/>
      </c>
      <c r="Q513" s="64" t="n"/>
      <c r="R513" s="73" t="str">
        <f>IF(N(Q513)&gt;0,Q513,IF(OR(N(B513)=0,ISNA(MATCH($C513,sup_code,0))),"",IF(ISNUMBER(INDEX(sup_delay,MATCH($C513,sup_code,0))),B513+INDEX(sup_delay,MATCH($C513,sup_code,0)),"")))</f>
        <v/>
      </c>
      <c r="S513" s="64" t="n"/>
      <c r="T513" s="68" t="n"/>
      <c r="U513" s="64" t="n"/>
      <c r="V513" s="65" t="n"/>
      <c r="W513" s="74" t="str">
        <f>IF(AND(A513="",E513=""),"",IF(V513="Oui",0,MAX(0,ROUND(N(H513)-N(T513),6))))</f>
        <v/>
      </c>
      <c r="X513" s="67" t="str">
        <f>IF(AND(A513="",E513=""),"",IF(V513="Oui","Annulé",IF(AND(N(H513)&gt;0,N(T513)&gt;=N(H513)),"Reçu",IF(N(S513)=0,"Brouillon",IF(AND(ISNUMBER(R513),R513&lt;p_today),"En retard",IF(N(T513)&gt;0,"Partiel","Envoyé"))))))</f>
        <v/>
      </c>
      <c r="Y513" s="75" t="str">
        <f>IF(X513="En retard",p_today-R513,IF(AND(X513="Reçu",ISNUMBER(R513)),MAX(0,N(U513)-R513),""))</f>
        <v/>
      </c>
      <c r="Z513" s="67" t="str">
        <f>IF(AND(A513="",E513=""),"",IF(A513="","N° de bon manquant",IF(N(B513)=0,"Date de commande manquante",IF(C513="","Fournisseur manquant",IF(ISNA(MATCH($C513,sup_code,0)),"Fournisseur inconnu",IF(E513="","Article manquant",IF(ISNA(MATCH($E513,art_ref,0)),"Article inconnu",IF(N(H513)&lt;=0,"Quantité invalide",IF(J513="","Prix manquant",IF(OR(N(K513)&lt;0,N(K513)&gt;=1),"Remise invalide",IF(M513="","TVA manquante",IF(ISNA(MATCH(M513,p_tva,0)),"Taux de TVA inconnu",IF(COUNTIFS(po_num,A513,po_sup,"&lt;&gt;"&amp;C513)&gt;0,"Fournisseur différent sur ce bon",IF(COUNTIFS(po_num,A513,po_date,"&lt;&gt;"&amp;B513)&gt;0,"Date différente sur ce bon",IF(COUNTIF(po_num,A513)&gt;25,"Plus de 25 lignes sur ce bon",IF(R513="","Date de livraison manquante",IF(R513&lt;B513,"Livraison avant la commande",IF(AND(N(T513)&gt;0,N(S513)=0),"Date d'envoi manquante",IF(N(T513)&gt;N(H513),"Reçu plus que commandé",IF(AND(N(T513)&gt;0,N(U513)=0),"Date de réception manquante",IF(AND(N(U513)&gt;0,U513&lt;B513),"Réception avant la commande","OK")))))))))))))))))))))</f>
        <v/>
      </c>
      <c r="AA513" s="66" t="str">
        <f>IF(AND(X513="Reçu",ISNUMBER(R513)),IF(N(U513)&lt;=R513,1,0),"")</f>
        <v/>
      </c>
      <c r="AB513" s="76" t="str">
        <f>IF(OR(X513="Envoyé",X513="Partiel",X513="En retard"),IF(ISNUMBER(R513),R513,100000)+ROW()/100000,"")</f>
        <v/>
      </c>
      <c r="AC513" s="66" t="str">
        <f>IF(A513="","",IF(COUNTIF($A$6:A513,A513)=1,1,""))</f>
        <v/>
      </c>
      <c r="AD513" s="66" t="str">
        <f>IF(AC513=1,COUNT($AC$6:AC513),"")</f>
        <v/>
      </c>
      <c r="AE513" s="66" t="str">
        <f>IFERROR(INDEX(po_num,MATCH(508,po_seq,0))&amp;"","")</f>
        <v/>
      </c>
      <c r="AF513" s="66" t="str">
        <f>IF(OR(A513="",p_po=""),"",IF(A513&amp;""=p_po,COUNTIF($A$6:A513,A513),""))</f>
        <v/>
      </c>
      <c r="AG513" s="66" t="str">
        <f>IF(OR(AB513="",A513=""),"",IF(COUNTIFS($A$6:A513,A513,$AB$6:AB513,"&gt;0")=1,1,""))</f>
        <v/>
      </c>
      <c r="AH513" s="70" t="str">
        <f>IF(AB513="","",ROUND(N(W513)*N(J513)*(1-N(K513)),2))</f>
        <v/>
      </c>
      <c r="AI513" s="70" t="str">
        <f>IF(OR(J513="",N(T513)&lt;=0,V513="Oui"),"",ROUND(N(T513)*J513*(1-N(K513)),2))</f>
        <v/>
      </c>
    </row>
    <row r="514">
      <c r="A514" s="63" t="n"/>
      <c r="B514" s="64" t="n"/>
      <c r="C514" s="65" t="n"/>
      <c r="D514" s="66" t="str">
        <f>IF(C514="","",IFERROR(INDEX(sup_name,MATCH($C514,sup_code,0))&amp;"","Fournisseur inconnu"))</f>
        <v/>
      </c>
      <c r="E514" s="63" t="n"/>
      <c r="F514" s="66" t="str">
        <f>IF(E514="","",IFERROR(INDEX(art_des,MATCH($E514,art_ref,0))&amp;"","Article inconnu"))</f>
        <v/>
      </c>
      <c r="G514" s="67" t="str">
        <f>IF(E514="","",IFERROR(INDEX(art_unit,MATCH($E514,art_ref,0))&amp;"",""))</f>
        <v/>
      </c>
      <c r="H514" s="68" t="n"/>
      <c r="I514" s="69" t="n"/>
      <c r="J514" s="70" t="str">
        <f>IF(E514="","",IF(ISNUMBER(I514),I514,IFERROR(IF(ISNUMBER(INDEX(art_price,MATCH($E514,art_ref,0))),INDEX(art_price,MATCH($E514,art_ref,0)),""),"")))</f>
        <v/>
      </c>
      <c r="K514" s="71" t="n"/>
      <c r="L514" s="72" t="n"/>
      <c r="M514" s="72" t="str">
        <f>IF(E514="","",IF(L514&lt;&gt;"",L514,IFERROR(IF(ISNUMBER(INDEX(art_tva,MATCH($E514,art_ref,0))),INDEX(art_tva,MATCH($E514,art_ref,0)),""),"")))</f>
        <v/>
      </c>
      <c r="N514" s="70" t="str">
        <f>IF(OR(E514="",J514=""),"",ROUND(N(H514)*J514*(1-N(K514)),2))</f>
        <v/>
      </c>
      <c r="O514" s="70" t="str">
        <f>IF(OR(N514="",NOT(ISNUMBER(M514))),"",ROUND(N514*M514,2))</f>
        <v/>
      </c>
      <c r="P514" s="70" t="str">
        <f>IF(N514="","",N514+N(O514))</f>
        <v/>
      </c>
      <c r="Q514" s="64" t="n"/>
      <c r="R514" s="73" t="str">
        <f>IF(N(Q514)&gt;0,Q514,IF(OR(N(B514)=0,ISNA(MATCH($C514,sup_code,0))),"",IF(ISNUMBER(INDEX(sup_delay,MATCH($C514,sup_code,0))),B514+INDEX(sup_delay,MATCH($C514,sup_code,0)),"")))</f>
        <v/>
      </c>
      <c r="S514" s="64" t="n"/>
      <c r="T514" s="68" t="n"/>
      <c r="U514" s="64" t="n"/>
      <c r="V514" s="65" t="n"/>
      <c r="W514" s="74" t="str">
        <f>IF(AND(A514="",E514=""),"",IF(V514="Oui",0,MAX(0,ROUND(N(H514)-N(T514),6))))</f>
        <v/>
      </c>
      <c r="X514" s="67" t="str">
        <f>IF(AND(A514="",E514=""),"",IF(V514="Oui","Annulé",IF(AND(N(H514)&gt;0,N(T514)&gt;=N(H514)),"Reçu",IF(N(S514)=0,"Brouillon",IF(AND(ISNUMBER(R514),R514&lt;p_today),"En retard",IF(N(T514)&gt;0,"Partiel","Envoyé"))))))</f>
        <v/>
      </c>
      <c r="Y514" s="75" t="str">
        <f>IF(X514="En retard",p_today-R514,IF(AND(X514="Reçu",ISNUMBER(R514)),MAX(0,N(U514)-R514),""))</f>
        <v/>
      </c>
      <c r="Z514" s="67" t="str">
        <f>IF(AND(A514="",E514=""),"",IF(A514="","N° de bon manquant",IF(N(B514)=0,"Date de commande manquante",IF(C514="","Fournisseur manquant",IF(ISNA(MATCH($C514,sup_code,0)),"Fournisseur inconnu",IF(E514="","Article manquant",IF(ISNA(MATCH($E514,art_ref,0)),"Article inconnu",IF(N(H514)&lt;=0,"Quantité invalide",IF(J514="","Prix manquant",IF(OR(N(K514)&lt;0,N(K514)&gt;=1),"Remise invalide",IF(M514="","TVA manquante",IF(ISNA(MATCH(M514,p_tva,0)),"Taux de TVA inconnu",IF(COUNTIFS(po_num,A514,po_sup,"&lt;&gt;"&amp;C514)&gt;0,"Fournisseur différent sur ce bon",IF(COUNTIFS(po_num,A514,po_date,"&lt;&gt;"&amp;B514)&gt;0,"Date différente sur ce bon",IF(COUNTIF(po_num,A514)&gt;25,"Plus de 25 lignes sur ce bon",IF(R514="","Date de livraison manquante",IF(R514&lt;B514,"Livraison avant la commande",IF(AND(N(T514)&gt;0,N(S514)=0),"Date d'envoi manquante",IF(N(T514)&gt;N(H514),"Reçu plus que commandé",IF(AND(N(T514)&gt;0,N(U514)=0),"Date de réception manquante",IF(AND(N(U514)&gt;0,U514&lt;B514),"Réception avant la commande","OK")))))))))))))))))))))</f>
        <v/>
      </c>
      <c r="AA514" s="66" t="str">
        <f>IF(AND(X514="Reçu",ISNUMBER(R514)),IF(N(U514)&lt;=R514,1,0),"")</f>
        <v/>
      </c>
      <c r="AB514" s="76" t="str">
        <f>IF(OR(X514="Envoyé",X514="Partiel",X514="En retard"),IF(ISNUMBER(R514),R514,100000)+ROW()/100000,"")</f>
        <v/>
      </c>
      <c r="AC514" s="66" t="str">
        <f>IF(A514="","",IF(COUNTIF($A$6:A514,A514)=1,1,""))</f>
        <v/>
      </c>
      <c r="AD514" s="66" t="str">
        <f>IF(AC514=1,COUNT($AC$6:AC514),"")</f>
        <v/>
      </c>
      <c r="AE514" s="66" t="str">
        <f>IFERROR(INDEX(po_num,MATCH(509,po_seq,0))&amp;"","")</f>
        <v/>
      </c>
      <c r="AF514" s="66" t="str">
        <f>IF(OR(A514="",p_po=""),"",IF(A514&amp;""=p_po,COUNTIF($A$6:A514,A514),""))</f>
        <v/>
      </c>
      <c r="AG514" s="66" t="str">
        <f>IF(OR(AB514="",A514=""),"",IF(COUNTIFS($A$6:A514,A514,$AB$6:AB514,"&gt;0")=1,1,""))</f>
        <v/>
      </c>
      <c r="AH514" s="70" t="str">
        <f>IF(AB514="","",ROUND(N(W514)*N(J514)*(1-N(K514)),2))</f>
        <v/>
      </c>
      <c r="AI514" s="70" t="str">
        <f>IF(OR(J514="",N(T514)&lt;=0,V514="Oui"),"",ROUND(N(T514)*J514*(1-N(K514)),2))</f>
        <v/>
      </c>
    </row>
    <row r="515">
      <c r="A515" s="63" t="n"/>
      <c r="B515" s="64" t="n"/>
      <c r="C515" s="65" t="n"/>
      <c r="D515" s="66" t="str">
        <f>IF(C515="","",IFERROR(INDEX(sup_name,MATCH($C515,sup_code,0))&amp;"","Fournisseur inconnu"))</f>
        <v/>
      </c>
      <c r="E515" s="63" t="n"/>
      <c r="F515" s="66" t="str">
        <f>IF(E515="","",IFERROR(INDEX(art_des,MATCH($E515,art_ref,0))&amp;"","Article inconnu"))</f>
        <v/>
      </c>
      <c r="G515" s="67" t="str">
        <f>IF(E515="","",IFERROR(INDEX(art_unit,MATCH($E515,art_ref,0))&amp;"",""))</f>
        <v/>
      </c>
      <c r="H515" s="68" t="n"/>
      <c r="I515" s="69" t="n"/>
      <c r="J515" s="70" t="str">
        <f>IF(E515="","",IF(ISNUMBER(I515),I515,IFERROR(IF(ISNUMBER(INDEX(art_price,MATCH($E515,art_ref,0))),INDEX(art_price,MATCH($E515,art_ref,0)),""),"")))</f>
        <v/>
      </c>
      <c r="K515" s="71" t="n"/>
      <c r="L515" s="72" t="n"/>
      <c r="M515" s="72" t="str">
        <f>IF(E515="","",IF(L515&lt;&gt;"",L515,IFERROR(IF(ISNUMBER(INDEX(art_tva,MATCH($E515,art_ref,0))),INDEX(art_tva,MATCH($E515,art_ref,0)),""),"")))</f>
        <v/>
      </c>
      <c r="N515" s="70" t="str">
        <f>IF(OR(E515="",J515=""),"",ROUND(N(H515)*J515*(1-N(K515)),2))</f>
        <v/>
      </c>
      <c r="O515" s="70" t="str">
        <f>IF(OR(N515="",NOT(ISNUMBER(M515))),"",ROUND(N515*M515,2))</f>
        <v/>
      </c>
      <c r="P515" s="70" t="str">
        <f>IF(N515="","",N515+N(O515))</f>
        <v/>
      </c>
      <c r="Q515" s="64" t="n"/>
      <c r="R515" s="73" t="str">
        <f>IF(N(Q515)&gt;0,Q515,IF(OR(N(B515)=0,ISNA(MATCH($C515,sup_code,0))),"",IF(ISNUMBER(INDEX(sup_delay,MATCH($C515,sup_code,0))),B515+INDEX(sup_delay,MATCH($C515,sup_code,0)),"")))</f>
        <v/>
      </c>
      <c r="S515" s="64" t="n"/>
      <c r="T515" s="68" t="n"/>
      <c r="U515" s="64" t="n"/>
      <c r="V515" s="65" t="n"/>
      <c r="W515" s="74" t="str">
        <f>IF(AND(A515="",E515=""),"",IF(V515="Oui",0,MAX(0,ROUND(N(H515)-N(T515),6))))</f>
        <v/>
      </c>
      <c r="X515" s="67" t="str">
        <f>IF(AND(A515="",E515=""),"",IF(V515="Oui","Annulé",IF(AND(N(H515)&gt;0,N(T515)&gt;=N(H515)),"Reçu",IF(N(S515)=0,"Brouillon",IF(AND(ISNUMBER(R515),R515&lt;p_today),"En retard",IF(N(T515)&gt;0,"Partiel","Envoyé"))))))</f>
        <v/>
      </c>
      <c r="Y515" s="75" t="str">
        <f>IF(X515="En retard",p_today-R515,IF(AND(X515="Reçu",ISNUMBER(R515)),MAX(0,N(U515)-R515),""))</f>
        <v/>
      </c>
      <c r="Z515" s="67" t="str">
        <f>IF(AND(A515="",E515=""),"",IF(A515="","N° de bon manquant",IF(N(B515)=0,"Date de commande manquante",IF(C515="","Fournisseur manquant",IF(ISNA(MATCH($C515,sup_code,0)),"Fournisseur inconnu",IF(E515="","Article manquant",IF(ISNA(MATCH($E515,art_ref,0)),"Article inconnu",IF(N(H515)&lt;=0,"Quantité invalide",IF(J515="","Prix manquant",IF(OR(N(K515)&lt;0,N(K515)&gt;=1),"Remise invalide",IF(M515="","TVA manquante",IF(ISNA(MATCH(M515,p_tva,0)),"Taux de TVA inconnu",IF(COUNTIFS(po_num,A515,po_sup,"&lt;&gt;"&amp;C515)&gt;0,"Fournisseur différent sur ce bon",IF(COUNTIFS(po_num,A515,po_date,"&lt;&gt;"&amp;B515)&gt;0,"Date différente sur ce bon",IF(COUNTIF(po_num,A515)&gt;25,"Plus de 25 lignes sur ce bon",IF(R515="","Date de livraison manquante",IF(R515&lt;B515,"Livraison avant la commande",IF(AND(N(T515)&gt;0,N(S515)=0),"Date d'envoi manquante",IF(N(T515)&gt;N(H515),"Reçu plus que commandé",IF(AND(N(T515)&gt;0,N(U515)=0),"Date de réception manquante",IF(AND(N(U515)&gt;0,U515&lt;B515),"Réception avant la commande","OK")))))))))))))))))))))</f>
        <v/>
      </c>
      <c r="AA515" s="66" t="str">
        <f>IF(AND(X515="Reçu",ISNUMBER(R515)),IF(N(U515)&lt;=R515,1,0),"")</f>
        <v/>
      </c>
      <c r="AB515" s="76" t="str">
        <f>IF(OR(X515="Envoyé",X515="Partiel",X515="En retard"),IF(ISNUMBER(R515),R515,100000)+ROW()/100000,"")</f>
        <v/>
      </c>
      <c r="AC515" s="66" t="str">
        <f>IF(A515="","",IF(COUNTIF($A$6:A515,A515)=1,1,""))</f>
        <v/>
      </c>
      <c r="AD515" s="66" t="str">
        <f>IF(AC515=1,COUNT($AC$6:AC515),"")</f>
        <v/>
      </c>
      <c r="AE515" s="66" t="str">
        <f>IFERROR(INDEX(po_num,MATCH(510,po_seq,0))&amp;"","")</f>
        <v/>
      </c>
      <c r="AF515" s="66" t="str">
        <f>IF(OR(A515="",p_po=""),"",IF(A515&amp;""=p_po,COUNTIF($A$6:A515,A515),""))</f>
        <v/>
      </c>
      <c r="AG515" s="66" t="str">
        <f>IF(OR(AB515="",A515=""),"",IF(COUNTIFS($A$6:A515,A515,$AB$6:AB515,"&gt;0")=1,1,""))</f>
        <v/>
      </c>
      <c r="AH515" s="70" t="str">
        <f>IF(AB515="","",ROUND(N(W515)*N(J515)*(1-N(K515)),2))</f>
        <v/>
      </c>
      <c r="AI515" s="70" t="str">
        <f>IF(OR(J515="",N(T515)&lt;=0,V515="Oui"),"",ROUND(N(T515)*J515*(1-N(K515)),2))</f>
        <v/>
      </c>
    </row>
    <row r="516">
      <c r="A516" s="63" t="n"/>
      <c r="B516" s="64" t="n"/>
      <c r="C516" s="65" t="n"/>
      <c r="D516" s="66" t="str">
        <f>IF(C516="","",IFERROR(INDEX(sup_name,MATCH($C516,sup_code,0))&amp;"","Fournisseur inconnu"))</f>
        <v/>
      </c>
      <c r="E516" s="63" t="n"/>
      <c r="F516" s="66" t="str">
        <f>IF(E516="","",IFERROR(INDEX(art_des,MATCH($E516,art_ref,0))&amp;"","Article inconnu"))</f>
        <v/>
      </c>
      <c r="G516" s="67" t="str">
        <f>IF(E516="","",IFERROR(INDEX(art_unit,MATCH($E516,art_ref,0))&amp;"",""))</f>
        <v/>
      </c>
      <c r="H516" s="68" t="n"/>
      <c r="I516" s="69" t="n"/>
      <c r="J516" s="70" t="str">
        <f>IF(E516="","",IF(ISNUMBER(I516),I516,IFERROR(IF(ISNUMBER(INDEX(art_price,MATCH($E516,art_ref,0))),INDEX(art_price,MATCH($E516,art_ref,0)),""),"")))</f>
        <v/>
      </c>
      <c r="K516" s="71" t="n"/>
      <c r="L516" s="72" t="n"/>
      <c r="M516" s="72" t="str">
        <f>IF(E516="","",IF(L516&lt;&gt;"",L516,IFERROR(IF(ISNUMBER(INDEX(art_tva,MATCH($E516,art_ref,0))),INDEX(art_tva,MATCH($E516,art_ref,0)),""),"")))</f>
        <v/>
      </c>
      <c r="N516" s="70" t="str">
        <f>IF(OR(E516="",J516=""),"",ROUND(N(H516)*J516*(1-N(K516)),2))</f>
        <v/>
      </c>
      <c r="O516" s="70" t="str">
        <f>IF(OR(N516="",NOT(ISNUMBER(M516))),"",ROUND(N516*M516,2))</f>
        <v/>
      </c>
      <c r="P516" s="70" t="str">
        <f>IF(N516="","",N516+N(O516))</f>
        <v/>
      </c>
      <c r="Q516" s="64" t="n"/>
      <c r="R516" s="73" t="str">
        <f>IF(N(Q516)&gt;0,Q516,IF(OR(N(B516)=0,ISNA(MATCH($C516,sup_code,0))),"",IF(ISNUMBER(INDEX(sup_delay,MATCH($C516,sup_code,0))),B516+INDEX(sup_delay,MATCH($C516,sup_code,0)),"")))</f>
        <v/>
      </c>
      <c r="S516" s="64" t="n"/>
      <c r="T516" s="68" t="n"/>
      <c r="U516" s="64" t="n"/>
      <c r="V516" s="65" t="n"/>
      <c r="W516" s="74" t="str">
        <f>IF(AND(A516="",E516=""),"",IF(V516="Oui",0,MAX(0,ROUND(N(H516)-N(T516),6))))</f>
        <v/>
      </c>
      <c r="X516" s="67" t="str">
        <f>IF(AND(A516="",E516=""),"",IF(V516="Oui","Annulé",IF(AND(N(H516)&gt;0,N(T516)&gt;=N(H516)),"Reçu",IF(N(S516)=0,"Brouillon",IF(AND(ISNUMBER(R516),R516&lt;p_today),"En retard",IF(N(T516)&gt;0,"Partiel","Envoyé"))))))</f>
        <v/>
      </c>
      <c r="Y516" s="75" t="str">
        <f>IF(X516="En retard",p_today-R516,IF(AND(X516="Reçu",ISNUMBER(R516)),MAX(0,N(U516)-R516),""))</f>
        <v/>
      </c>
      <c r="Z516" s="67" t="str">
        <f>IF(AND(A516="",E516=""),"",IF(A516="","N° de bon manquant",IF(N(B516)=0,"Date de commande manquante",IF(C516="","Fournisseur manquant",IF(ISNA(MATCH($C516,sup_code,0)),"Fournisseur inconnu",IF(E516="","Article manquant",IF(ISNA(MATCH($E516,art_ref,0)),"Article inconnu",IF(N(H516)&lt;=0,"Quantité invalide",IF(J516="","Prix manquant",IF(OR(N(K516)&lt;0,N(K516)&gt;=1),"Remise invalide",IF(M516="","TVA manquante",IF(ISNA(MATCH(M516,p_tva,0)),"Taux de TVA inconnu",IF(COUNTIFS(po_num,A516,po_sup,"&lt;&gt;"&amp;C516)&gt;0,"Fournisseur différent sur ce bon",IF(COUNTIFS(po_num,A516,po_date,"&lt;&gt;"&amp;B516)&gt;0,"Date différente sur ce bon",IF(COUNTIF(po_num,A516)&gt;25,"Plus de 25 lignes sur ce bon",IF(R516="","Date de livraison manquante",IF(R516&lt;B516,"Livraison avant la commande",IF(AND(N(T516)&gt;0,N(S516)=0),"Date d'envoi manquante",IF(N(T516)&gt;N(H516),"Reçu plus que commandé",IF(AND(N(T516)&gt;0,N(U516)=0),"Date de réception manquante",IF(AND(N(U516)&gt;0,U516&lt;B516),"Réception avant la commande","OK")))))))))))))))))))))</f>
        <v/>
      </c>
      <c r="AA516" s="66" t="str">
        <f>IF(AND(X516="Reçu",ISNUMBER(R516)),IF(N(U516)&lt;=R516,1,0),"")</f>
        <v/>
      </c>
      <c r="AB516" s="76" t="str">
        <f>IF(OR(X516="Envoyé",X516="Partiel",X516="En retard"),IF(ISNUMBER(R516),R516,100000)+ROW()/100000,"")</f>
        <v/>
      </c>
      <c r="AC516" s="66" t="str">
        <f>IF(A516="","",IF(COUNTIF($A$6:A516,A516)=1,1,""))</f>
        <v/>
      </c>
      <c r="AD516" s="66" t="str">
        <f>IF(AC516=1,COUNT($AC$6:AC516),"")</f>
        <v/>
      </c>
      <c r="AE516" s="66" t="str">
        <f>IFERROR(INDEX(po_num,MATCH(511,po_seq,0))&amp;"","")</f>
        <v/>
      </c>
      <c r="AF516" s="66" t="str">
        <f>IF(OR(A516="",p_po=""),"",IF(A516&amp;""=p_po,COUNTIF($A$6:A516,A516),""))</f>
        <v/>
      </c>
      <c r="AG516" s="66" t="str">
        <f>IF(OR(AB516="",A516=""),"",IF(COUNTIFS($A$6:A516,A516,$AB$6:AB516,"&gt;0")=1,1,""))</f>
        <v/>
      </c>
      <c r="AH516" s="70" t="str">
        <f>IF(AB516="","",ROUND(N(W516)*N(J516)*(1-N(K516)),2))</f>
        <v/>
      </c>
      <c r="AI516" s="70" t="str">
        <f>IF(OR(J516="",N(T516)&lt;=0,V516="Oui"),"",ROUND(N(T516)*J516*(1-N(K516)),2))</f>
        <v/>
      </c>
    </row>
    <row r="517">
      <c r="A517" s="63" t="n"/>
      <c r="B517" s="64" t="n"/>
      <c r="C517" s="65" t="n"/>
      <c r="D517" s="66" t="str">
        <f>IF(C517="","",IFERROR(INDEX(sup_name,MATCH($C517,sup_code,0))&amp;"","Fournisseur inconnu"))</f>
        <v/>
      </c>
      <c r="E517" s="63" t="n"/>
      <c r="F517" s="66" t="str">
        <f>IF(E517="","",IFERROR(INDEX(art_des,MATCH($E517,art_ref,0))&amp;"","Article inconnu"))</f>
        <v/>
      </c>
      <c r="G517" s="67" t="str">
        <f>IF(E517="","",IFERROR(INDEX(art_unit,MATCH($E517,art_ref,0))&amp;"",""))</f>
        <v/>
      </c>
      <c r="H517" s="68" t="n"/>
      <c r="I517" s="69" t="n"/>
      <c r="J517" s="70" t="str">
        <f>IF(E517="","",IF(ISNUMBER(I517),I517,IFERROR(IF(ISNUMBER(INDEX(art_price,MATCH($E517,art_ref,0))),INDEX(art_price,MATCH($E517,art_ref,0)),""),"")))</f>
        <v/>
      </c>
      <c r="K517" s="71" t="n"/>
      <c r="L517" s="72" t="n"/>
      <c r="M517" s="72" t="str">
        <f>IF(E517="","",IF(L517&lt;&gt;"",L517,IFERROR(IF(ISNUMBER(INDEX(art_tva,MATCH($E517,art_ref,0))),INDEX(art_tva,MATCH($E517,art_ref,0)),""),"")))</f>
        <v/>
      </c>
      <c r="N517" s="70" t="str">
        <f>IF(OR(E517="",J517=""),"",ROUND(N(H517)*J517*(1-N(K517)),2))</f>
        <v/>
      </c>
      <c r="O517" s="70" t="str">
        <f>IF(OR(N517="",NOT(ISNUMBER(M517))),"",ROUND(N517*M517,2))</f>
        <v/>
      </c>
      <c r="P517" s="70" t="str">
        <f>IF(N517="","",N517+N(O517))</f>
        <v/>
      </c>
      <c r="Q517" s="64" t="n"/>
      <c r="R517" s="73" t="str">
        <f>IF(N(Q517)&gt;0,Q517,IF(OR(N(B517)=0,ISNA(MATCH($C517,sup_code,0))),"",IF(ISNUMBER(INDEX(sup_delay,MATCH($C517,sup_code,0))),B517+INDEX(sup_delay,MATCH($C517,sup_code,0)),"")))</f>
        <v/>
      </c>
      <c r="S517" s="64" t="n"/>
      <c r="T517" s="68" t="n"/>
      <c r="U517" s="64" t="n"/>
      <c r="V517" s="65" t="n"/>
      <c r="W517" s="74" t="str">
        <f>IF(AND(A517="",E517=""),"",IF(V517="Oui",0,MAX(0,ROUND(N(H517)-N(T517),6))))</f>
        <v/>
      </c>
      <c r="X517" s="67" t="str">
        <f>IF(AND(A517="",E517=""),"",IF(V517="Oui","Annulé",IF(AND(N(H517)&gt;0,N(T517)&gt;=N(H517)),"Reçu",IF(N(S517)=0,"Brouillon",IF(AND(ISNUMBER(R517),R517&lt;p_today),"En retard",IF(N(T517)&gt;0,"Partiel","Envoyé"))))))</f>
        <v/>
      </c>
      <c r="Y517" s="75" t="str">
        <f>IF(X517="En retard",p_today-R517,IF(AND(X517="Reçu",ISNUMBER(R517)),MAX(0,N(U517)-R517),""))</f>
        <v/>
      </c>
      <c r="Z517" s="67" t="str">
        <f>IF(AND(A517="",E517=""),"",IF(A517="","N° de bon manquant",IF(N(B517)=0,"Date de commande manquante",IF(C517="","Fournisseur manquant",IF(ISNA(MATCH($C517,sup_code,0)),"Fournisseur inconnu",IF(E517="","Article manquant",IF(ISNA(MATCH($E517,art_ref,0)),"Article inconnu",IF(N(H517)&lt;=0,"Quantité invalide",IF(J517="","Prix manquant",IF(OR(N(K517)&lt;0,N(K517)&gt;=1),"Remise invalide",IF(M517="","TVA manquante",IF(ISNA(MATCH(M517,p_tva,0)),"Taux de TVA inconnu",IF(COUNTIFS(po_num,A517,po_sup,"&lt;&gt;"&amp;C517)&gt;0,"Fournisseur différent sur ce bon",IF(COUNTIFS(po_num,A517,po_date,"&lt;&gt;"&amp;B517)&gt;0,"Date différente sur ce bon",IF(COUNTIF(po_num,A517)&gt;25,"Plus de 25 lignes sur ce bon",IF(R517="","Date de livraison manquante",IF(R517&lt;B517,"Livraison avant la commande",IF(AND(N(T517)&gt;0,N(S517)=0),"Date d'envoi manquante",IF(N(T517)&gt;N(H517),"Reçu plus que commandé",IF(AND(N(T517)&gt;0,N(U517)=0),"Date de réception manquante",IF(AND(N(U517)&gt;0,U517&lt;B517),"Réception avant la commande","OK")))))))))))))))))))))</f>
        <v/>
      </c>
      <c r="AA517" s="66" t="str">
        <f>IF(AND(X517="Reçu",ISNUMBER(R517)),IF(N(U517)&lt;=R517,1,0),"")</f>
        <v/>
      </c>
      <c r="AB517" s="76" t="str">
        <f>IF(OR(X517="Envoyé",X517="Partiel",X517="En retard"),IF(ISNUMBER(R517),R517,100000)+ROW()/100000,"")</f>
        <v/>
      </c>
      <c r="AC517" s="66" t="str">
        <f>IF(A517="","",IF(COUNTIF($A$6:A517,A517)=1,1,""))</f>
        <v/>
      </c>
      <c r="AD517" s="66" t="str">
        <f>IF(AC517=1,COUNT($AC$6:AC517),"")</f>
        <v/>
      </c>
      <c r="AE517" s="66" t="str">
        <f>IFERROR(INDEX(po_num,MATCH(512,po_seq,0))&amp;"","")</f>
        <v/>
      </c>
      <c r="AF517" s="66" t="str">
        <f>IF(OR(A517="",p_po=""),"",IF(A517&amp;""=p_po,COUNTIF($A$6:A517,A517),""))</f>
        <v/>
      </c>
      <c r="AG517" s="66" t="str">
        <f>IF(OR(AB517="",A517=""),"",IF(COUNTIFS($A$6:A517,A517,$AB$6:AB517,"&gt;0")=1,1,""))</f>
        <v/>
      </c>
      <c r="AH517" s="70" t="str">
        <f>IF(AB517="","",ROUND(N(W517)*N(J517)*(1-N(K517)),2))</f>
        <v/>
      </c>
      <c r="AI517" s="70" t="str">
        <f>IF(OR(J517="",N(T517)&lt;=0,V517="Oui"),"",ROUND(N(T517)*J517*(1-N(K517)),2))</f>
        <v/>
      </c>
    </row>
    <row r="518">
      <c r="A518" s="63" t="n"/>
      <c r="B518" s="64" t="n"/>
      <c r="C518" s="65" t="n"/>
      <c r="D518" s="66" t="str">
        <f>IF(C518="","",IFERROR(INDEX(sup_name,MATCH($C518,sup_code,0))&amp;"","Fournisseur inconnu"))</f>
        <v/>
      </c>
      <c r="E518" s="63" t="n"/>
      <c r="F518" s="66" t="str">
        <f>IF(E518="","",IFERROR(INDEX(art_des,MATCH($E518,art_ref,0))&amp;"","Article inconnu"))</f>
        <v/>
      </c>
      <c r="G518" s="67" t="str">
        <f>IF(E518="","",IFERROR(INDEX(art_unit,MATCH($E518,art_ref,0))&amp;"",""))</f>
        <v/>
      </c>
      <c r="H518" s="68" t="n"/>
      <c r="I518" s="69" t="n"/>
      <c r="J518" s="70" t="str">
        <f>IF(E518="","",IF(ISNUMBER(I518),I518,IFERROR(IF(ISNUMBER(INDEX(art_price,MATCH($E518,art_ref,0))),INDEX(art_price,MATCH($E518,art_ref,0)),""),"")))</f>
        <v/>
      </c>
      <c r="K518" s="71" t="n"/>
      <c r="L518" s="72" t="n"/>
      <c r="M518" s="72" t="str">
        <f>IF(E518="","",IF(L518&lt;&gt;"",L518,IFERROR(IF(ISNUMBER(INDEX(art_tva,MATCH($E518,art_ref,0))),INDEX(art_tva,MATCH($E518,art_ref,0)),""),"")))</f>
        <v/>
      </c>
      <c r="N518" s="70" t="str">
        <f>IF(OR(E518="",J518=""),"",ROUND(N(H518)*J518*(1-N(K518)),2))</f>
        <v/>
      </c>
      <c r="O518" s="70" t="str">
        <f>IF(OR(N518="",NOT(ISNUMBER(M518))),"",ROUND(N518*M518,2))</f>
        <v/>
      </c>
      <c r="P518" s="70" t="str">
        <f>IF(N518="","",N518+N(O518))</f>
        <v/>
      </c>
      <c r="Q518" s="64" t="n"/>
      <c r="R518" s="73" t="str">
        <f>IF(N(Q518)&gt;0,Q518,IF(OR(N(B518)=0,ISNA(MATCH($C518,sup_code,0))),"",IF(ISNUMBER(INDEX(sup_delay,MATCH($C518,sup_code,0))),B518+INDEX(sup_delay,MATCH($C518,sup_code,0)),"")))</f>
        <v/>
      </c>
      <c r="S518" s="64" t="n"/>
      <c r="T518" s="68" t="n"/>
      <c r="U518" s="64" t="n"/>
      <c r="V518" s="65" t="n"/>
      <c r="W518" s="74" t="str">
        <f>IF(AND(A518="",E518=""),"",IF(V518="Oui",0,MAX(0,ROUND(N(H518)-N(T518),6))))</f>
        <v/>
      </c>
      <c r="X518" s="67" t="str">
        <f>IF(AND(A518="",E518=""),"",IF(V518="Oui","Annulé",IF(AND(N(H518)&gt;0,N(T518)&gt;=N(H518)),"Reçu",IF(N(S518)=0,"Brouillon",IF(AND(ISNUMBER(R518),R518&lt;p_today),"En retard",IF(N(T518)&gt;0,"Partiel","Envoyé"))))))</f>
        <v/>
      </c>
      <c r="Y518" s="75" t="str">
        <f>IF(X518="En retard",p_today-R518,IF(AND(X518="Reçu",ISNUMBER(R518)),MAX(0,N(U518)-R518),""))</f>
        <v/>
      </c>
      <c r="Z518" s="67" t="str">
        <f>IF(AND(A518="",E518=""),"",IF(A518="","N° de bon manquant",IF(N(B518)=0,"Date de commande manquante",IF(C518="","Fournisseur manquant",IF(ISNA(MATCH($C518,sup_code,0)),"Fournisseur inconnu",IF(E518="","Article manquant",IF(ISNA(MATCH($E518,art_ref,0)),"Article inconnu",IF(N(H518)&lt;=0,"Quantité invalide",IF(J518="","Prix manquant",IF(OR(N(K518)&lt;0,N(K518)&gt;=1),"Remise invalide",IF(M518="","TVA manquante",IF(ISNA(MATCH(M518,p_tva,0)),"Taux de TVA inconnu",IF(COUNTIFS(po_num,A518,po_sup,"&lt;&gt;"&amp;C518)&gt;0,"Fournisseur différent sur ce bon",IF(COUNTIFS(po_num,A518,po_date,"&lt;&gt;"&amp;B518)&gt;0,"Date différente sur ce bon",IF(COUNTIF(po_num,A518)&gt;25,"Plus de 25 lignes sur ce bon",IF(R518="","Date de livraison manquante",IF(R518&lt;B518,"Livraison avant la commande",IF(AND(N(T518)&gt;0,N(S518)=0),"Date d'envoi manquante",IF(N(T518)&gt;N(H518),"Reçu plus que commandé",IF(AND(N(T518)&gt;0,N(U518)=0),"Date de réception manquante",IF(AND(N(U518)&gt;0,U518&lt;B518),"Réception avant la commande","OK")))))))))))))))))))))</f>
        <v/>
      </c>
      <c r="AA518" s="66" t="str">
        <f>IF(AND(X518="Reçu",ISNUMBER(R518)),IF(N(U518)&lt;=R518,1,0),"")</f>
        <v/>
      </c>
      <c r="AB518" s="76" t="str">
        <f>IF(OR(X518="Envoyé",X518="Partiel",X518="En retard"),IF(ISNUMBER(R518),R518,100000)+ROW()/100000,"")</f>
        <v/>
      </c>
      <c r="AC518" s="66" t="str">
        <f>IF(A518="","",IF(COUNTIF($A$6:A518,A518)=1,1,""))</f>
        <v/>
      </c>
      <c r="AD518" s="66" t="str">
        <f>IF(AC518=1,COUNT($AC$6:AC518),"")</f>
        <v/>
      </c>
      <c r="AE518" s="66" t="str">
        <f>IFERROR(INDEX(po_num,MATCH(513,po_seq,0))&amp;"","")</f>
        <v/>
      </c>
      <c r="AF518" s="66" t="str">
        <f>IF(OR(A518="",p_po=""),"",IF(A518&amp;""=p_po,COUNTIF($A$6:A518,A518),""))</f>
        <v/>
      </c>
      <c r="AG518" s="66" t="str">
        <f>IF(OR(AB518="",A518=""),"",IF(COUNTIFS($A$6:A518,A518,$AB$6:AB518,"&gt;0")=1,1,""))</f>
        <v/>
      </c>
      <c r="AH518" s="70" t="str">
        <f>IF(AB518="","",ROUND(N(W518)*N(J518)*(1-N(K518)),2))</f>
        <v/>
      </c>
      <c r="AI518" s="70" t="str">
        <f>IF(OR(J518="",N(T518)&lt;=0,V518="Oui"),"",ROUND(N(T518)*J518*(1-N(K518)),2))</f>
        <v/>
      </c>
    </row>
    <row r="519">
      <c r="A519" s="63" t="n"/>
      <c r="B519" s="64" t="n"/>
      <c r="C519" s="65" t="n"/>
      <c r="D519" s="66" t="str">
        <f>IF(C519="","",IFERROR(INDEX(sup_name,MATCH($C519,sup_code,0))&amp;"","Fournisseur inconnu"))</f>
        <v/>
      </c>
      <c r="E519" s="63" t="n"/>
      <c r="F519" s="66" t="str">
        <f>IF(E519="","",IFERROR(INDEX(art_des,MATCH($E519,art_ref,0))&amp;"","Article inconnu"))</f>
        <v/>
      </c>
      <c r="G519" s="67" t="str">
        <f>IF(E519="","",IFERROR(INDEX(art_unit,MATCH($E519,art_ref,0))&amp;"",""))</f>
        <v/>
      </c>
      <c r="H519" s="68" t="n"/>
      <c r="I519" s="69" t="n"/>
      <c r="J519" s="70" t="str">
        <f>IF(E519="","",IF(ISNUMBER(I519),I519,IFERROR(IF(ISNUMBER(INDEX(art_price,MATCH($E519,art_ref,0))),INDEX(art_price,MATCH($E519,art_ref,0)),""),"")))</f>
        <v/>
      </c>
      <c r="K519" s="71" t="n"/>
      <c r="L519" s="72" t="n"/>
      <c r="M519" s="72" t="str">
        <f>IF(E519="","",IF(L519&lt;&gt;"",L519,IFERROR(IF(ISNUMBER(INDEX(art_tva,MATCH($E519,art_ref,0))),INDEX(art_tva,MATCH($E519,art_ref,0)),""),"")))</f>
        <v/>
      </c>
      <c r="N519" s="70" t="str">
        <f>IF(OR(E519="",J519=""),"",ROUND(N(H519)*J519*(1-N(K519)),2))</f>
        <v/>
      </c>
      <c r="O519" s="70" t="str">
        <f>IF(OR(N519="",NOT(ISNUMBER(M519))),"",ROUND(N519*M519,2))</f>
        <v/>
      </c>
      <c r="P519" s="70" t="str">
        <f>IF(N519="","",N519+N(O519))</f>
        <v/>
      </c>
      <c r="Q519" s="64" t="n"/>
      <c r="R519" s="73" t="str">
        <f>IF(N(Q519)&gt;0,Q519,IF(OR(N(B519)=0,ISNA(MATCH($C519,sup_code,0))),"",IF(ISNUMBER(INDEX(sup_delay,MATCH($C519,sup_code,0))),B519+INDEX(sup_delay,MATCH($C519,sup_code,0)),"")))</f>
        <v/>
      </c>
      <c r="S519" s="64" t="n"/>
      <c r="T519" s="68" t="n"/>
      <c r="U519" s="64" t="n"/>
      <c r="V519" s="65" t="n"/>
      <c r="W519" s="74" t="str">
        <f>IF(AND(A519="",E519=""),"",IF(V519="Oui",0,MAX(0,ROUND(N(H519)-N(T519),6))))</f>
        <v/>
      </c>
      <c r="X519" s="67" t="str">
        <f>IF(AND(A519="",E519=""),"",IF(V519="Oui","Annulé",IF(AND(N(H519)&gt;0,N(T519)&gt;=N(H519)),"Reçu",IF(N(S519)=0,"Brouillon",IF(AND(ISNUMBER(R519),R519&lt;p_today),"En retard",IF(N(T519)&gt;0,"Partiel","Envoyé"))))))</f>
        <v/>
      </c>
      <c r="Y519" s="75" t="str">
        <f>IF(X519="En retard",p_today-R519,IF(AND(X519="Reçu",ISNUMBER(R519)),MAX(0,N(U519)-R519),""))</f>
        <v/>
      </c>
      <c r="Z519" s="67" t="str">
        <f>IF(AND(A519="",E519=""),"",IF(A519="","N° de bon manquant",IF(N(B519)=0,"Date de commande manquante",IF(C519="","Fournisseur manquant",IF(ISNA(MATCH($C519,sup_code,0)),"Fournisseur inconnu",IF(E519="","Article manquant",IF(ISNA(MATCH($E519,art_ref,0)),"Article inconnu",IF(N(H519)&lt;=0,"Quantité invalide",IF(J519="","Prix manquant",IF(OR(N(K519)&lt;0,N(K519)&gt;=1),"Remise invalide",IF(M519="","TVA manquante",IF(ISNA(MATCH(M519,p_tva,0)),"Taux de TVA inconnu",IF(COUNTIFS(po_num,A519,po_sup,"&lt;&gt;"&amp;C519)&gt;0,"Fournisseur différent sur ce bon",IF(COUNTIFS(po_num,A519,po_date,"&lt;&gt;"&amp;B519)&gt;0,"Date différente sur ce bon",IF(COUNTIF(po_num,A519)&gt;25,"Plus de 25 lignes sur ce bon",IF(R519="","Date de livraison manquante",IF(R519&lt;B519,"Livraison avant la commande",IF(AND(N(T519)&gt;0,N(S519)=0),"Date d'envoi manquante",IF(N(T519)&gt;N(H519),"Reçu plus que commandé",IF(AND(N(T519)&gt;0,N(U519)=0),"Date de réception manquante",IF(AND(N(U519)&gt;0,U519&lt;B519),"Réception avant la commande","OK")))))))))))))))))))))</f>
        <v/>
      </c>
      <c r="AA519" s="66" t="str">
        <f>IF(AND(X519="Reçu",ISNUMBER(R519)),IF(N(U519)&lt;=R519,1,0),"")</f>
        <v/>
      </c>
      <c r="AB519" s="76" t="str">
        <f>IF(OR(X519="Envoyé",X519="Partiel",X519="En retard"),IF(ISNUMBER(R519),R519,100000)+ROW()/100000,"")</f>
        <v/>
      </c>
      <c r="AC519" s="66" t="str">
        <f>IF(A519="","",IF(COUNTIF($A$6:A519,A519)=1,1,""))</f>
        <v/>
      </c>
      <c r="AD519" s="66" t="str">
        <f>IF(AC519=1,COUNT($AC$6:AC519),"")</f>
        <v/>
      </c>
      <c r="AE519" s="66" t="str">
        <f>IFERROR(INDEX(po_num,MATCH(514,po_seq,0))&amp;"","")</f>
        <v/>
      </c>
      <c r="AF519" s="66" t="str">
        <f>IF(OR(A519="",p_po=""),"",IF(A519&amp;""=p_po,COUNTIF($A$6:A519,A519),""))</f>
        <v/>
      </c>
      <c r="AG519" s="66" t="str">
        <f>IF(OR(AB519="",A519=""),"",IF(COUNTIFS($A$6:A519,A519,$AB$6:AB519,"&gt;0")=1,1,""))</f>
        <v/>
      </c>
      <c r="AH519" s="70" t="str">
        <f>IF(AB519="","",ROUND(N(W519)*N(J519)*(1-N(K519)),2))</f>
        <v/>
      </c>
      <c r="AI519" s="70" t="str">
        <f>IF(OR(J519="",N(T519)&lt;=0,V519="Oui"),"",ROUND(N(T519)*J519*(1-N(K519)),2))</f>
        <v/>
      </c>
    </row>
    <row r="520">
      <c r="A520" s="63" t="n"/>
      <c r="B520" s="64" t="n"/>
      <c r="C520" s="65" t="n"/>
      <c r="D520" s="66" t="str">
        <f>IF(C520="","",IFERROR(INDEX(sup_name,MATCH($C520,sup_code,0))&amp;"","Fournisseur inconnu"))</f>
        <v/>
      </c>
      <c r="E520" s="63" t="n"/>
      <c r="F520" s="66" t="str">
        <f>IF(E520="","",IFERROR(INDEX(art_des,MATCH($E520,art_ref,0))&amp;"","Article inconnu"))</f>
        <v/>
      </c>
      <c r="G520" s="67" t="str">
        <f>IF(E520="","",IFERROR(INDEX(art_unit,MATCH($E520,art_ref,0))&amp;"",""))</f>
        <v/>
      </c>
      <c r="H520" s="68" t="n"/>
      <c r="I520" s="69" t="n"/>
      <c r="J520" s="70" t="str">
        <f>IF(E520="","",IF(ISNUMBER(I520),I520,IFERROR(IF(ISNUMBER(INDEX(art_price,MATCH($E520,art_ref,0))),INDEX(art_price,MATCH($E520,art_ref,0)),""),"")))</f>
        <v/>
      </c>
      <c r="K520" s="71" t="n"/>
      <c r="L520" s="72" t="n"/>
      <c r="M520" s="72" t="str">
        <f>IF(E520="","",IF(L520&lt;&gt;"",L520,IFERROR(IF(ISNUMBER(INDEX(art_tva,MATCH($E520,art_ref,0))),INDEX(art_tva,MATCH($E520,art_ref,0)),""),"")))</f>
        <v/>
      </c>
      <c r="N520" s="70" t="str">
        <f>IF(OR(E520="",J520=""),"",ROUND(N(H520)*J520*(1-N(K520)),2))</f>
        <v/>
      </c>
      <c r="O520" s="70" t="str">
        <f>IF(OR(N520="",NOT(ISNUMBER(M520))),"",ROUND(N520*M520,2))</f>
        <v/>
      </c>
      <c r="P520" s="70" t="str">
        <f>IF(N520="","",N520+N(O520))</f>
        <v/>
      </c>
      <c r="Q520" s="64" t="n"/>
      <c r="R520" s="73" t="str">
        <f>IF(N(Q520)&gt;0,Q520,IF(OR(N(B520)=0,ISNA(MATCH($C520,sup_code,0))),"",IF(ISNUMBER(INDEX(sup_delay,MATCH($C520,sup_code,0))),B520+INDEX(sup_delay,MATCH($C520,sup_code,0)),"")))</f>
        <v/>
      </c>
      <c r="S520" s="64" t="n"/>
      <c r="T520" s="68" t="n"/>
      <c r="U520" s="64" t="n"/>
      <c r="V520" s="65" t="n"/>
      <c r="W520" s="74" t="str">
        <f>IF(AND(A520="",E520=""),"",IF(V520="Oui",0,MAX(0,ROUND(N(H520)-N(T520),6))))</f>
        <v/>
      </c>
      <c r="X520" s="67" t="str">
        <f>IF(AND(A520="",E520=""),"",IF(V520="Oui","Annulé",IF(AND(N(H520)&gt;0,N(T520)&gt;=N(H520)),"Reçu",IF(N(S520)=0,"Brouillon",IF(AND(ISNUMBER(R520),R520&lt;p_today),"En retard",IF(N(T520)&gt;0,"Partiel","Envoyé"))))))</f>
        <v/>
      </c>
      <c r="Y520" s="75" t="str">
        <f>IF(X520="En retard",p_today-R520,IF(AND(X520="Reçu",ISNUMBER(R520)),MAX(0,N(U520)-R520),""))</f>
        <v/>
      </c>
      <c r="Z520" s="67" t="str">
        <f>IF(AND(A520="",E520=""),"",IF(A520="","N° de bon manquant",IF(N(B520)=0,"Date de commande manquante",IF(C520="","Fournisseur manquant",IF(ISNA(MATCH($C520,sup_code,0)),"Fournisseur inconnu",IF(E520="","Article manquant",IF(ISNA(MATCH($E520,art_ref,0)),"Article inconnu",IF(N(H520)&lt;=0,"Quantité invalide",IF(J520="","Prix manquant",IF(OR(N(K520)&lt;0,N(K520)&gt;=1),"Remise invalide",IF(M520="","TVA manquante",IF(ISNA(MATCH(M520,p_tva,0)),"Taux de TVA inconnu",IF(COUNTIFS(po_num,A520,po_sup,"&lt;&gt;"&amp;C520)&gt;0,"Fournisseur différent sur ce bon",IF(COUNTIFS(po_num,A520,po_date,"&lt;&gt;"&amp;B520)&gt;0,"Date différente sur ce bon",IF(COUNTIF(po_num,A520)&gt;25,"Plus de 25 lignes sur ce bon",IF(R520="","Date de livraison manquante",IF(R520&lt;B520,"Livraison avant la commande",IF(AND(N(T520)&gt;0,N(S520)=0),"Date d'envoi manquante",IF(N(T520)&gt;N(H520),"Reçu plus que commandé",IF(AND(N(T520)&gt;0,N(U520)=0),"Date de réception manquante",IF(AND(N(U520)&gt;0,U520&lt;B520),"Réception avant la commande","OK")))))))))))))))))))))</f>
        <v/>
      </c>
      <c r="AA520" s="66" t="str">
        <f>IF(AND(X520="Reçu",ISNUMBER(R520)),IF(N(U520)&lt;=R520,1,0),"")</f>
        <v/>
      </c>
      <c r="AB520" s="76" t="str">
        <f>IF(OR(X520="Envoyé",X520="Partiel",X520="En retard"),IF(ISNUMBER(R520),R520,100000)+ROW()/100000,"")</f>
        <v/>
      </c>
      <c r="AC520" s="66" t="str">
        <f>IF(A520="","",IF(COUNTIF($A$6:A520,A520)=1,1,""))</f>
        <v/>
      </c>
      <c r="AD520" s="66" t="str">
        <f>IF(AC520=1,COUNT($AC$6:AC520),"")</f>
        <v/>
      </c>
      <c r="AE520" s="66" t="str">
        <f>IFERROR(INDEX(po_num,MATCH(515,po_seq,0))&amp;"","")</f>
        <v/>
      </c>
      <c r="AF520" s="66" t="str">
        <f>IF(OR(A520="",p_po=""),"",IF(A520&amp;""=p_po,COUNTIF($A$6:A520,A520),""))</f>
        <v/>
      </c>
      <c r="AG520" s="66" t="str">
        <f>IF(OR(AB520="",A520=""),"",IF(COUNTIFS($A$6:A520,A520,$AB$6:AB520,"&gt;0")=1,1,""))</f>
        <v/>
      </c>
      <c r="AH520" s="70" t="str">
        <f>IF(AB520="","",ROUND(N(W520)*N(J520)*(1-N(K520)),2))</f>
        <v/>
      </c>
      <c r="AI520" s="70" t="str">
        <f>IF(OR(J520="",N(T520)&lt;=0,V520="Oui"),"",ROUND(N(T520)*J520*(1-N(K520)),2))</f>
        <v/>
      </c>
    </row>
    <row r="521">
      <c r="A521" s="63" t="n"/>
      <c r="B521" s="64" t="n"/>
      <c r="C521" s="65" t="n"/>
      <c r="D521" s="66" t="str">
        <f>IF(C521="","",IFERROR(INDEX(sup_name,MATCH($C521,sup_code,0))&amp;"","Fournisseur inconnu"))</f>
        <v/>
      </c>
      <c r="E521" s="63" t="n"/>
      <c r="F521" s="66" t="str">
        <f>IF(E521="","",IFERROR(INDEX(art_des,MATCH($E521,art_ref,0))&amp;"","Article inconnu"))</f>
        <v/>
      </c>
      <c r="G521" s="67" t="str">
        <f>IF(E521="","",IFERROR(INDEX(art_unit,MATCH($E521,art_ref,0))&amp;"",""))</f>
        <v/>
      </c>
      <c r="H521" s="68" t="n"/>
      <c r="I521" s="69" t="n"/>
      <c r="J521" s="70" t="str">
        <f>IF(E521="","",IF(ISNUMBER(I521),I521,IFERROR(IF(ISNUMBER(INDEX(art_price,MATCH($E521,art_ref,0))),INDEX(art_price,MATCH($E521,art_ref,0)),""),"")))</f>
        <v/>
      </c>
      <c r="K521" s="71" t="n"/>
      <c r="L521" s="72" t="n"/>
      <c r="M521" s="72" t="str">
        <f>IF(E521="","",IF(L521&lt;&gt;"",L521,IFERROR(IF(ISNUMBER(INDEX(art_tva,MATCH($E521,art_ref,0))),INDEX(art_tva,MATCH($E521,art_ref,0)),""),"")))</f>
        <v/>
      </c>
      <c r="N521" s="70" t="str">
        <f>IF(OR(E521="",J521=""),"",ROUND(N(H521)*J521*(1-N(K521)),2))</f>
        <v/>
      </c>
      <c r="O521" s="70" t="str">
        <f>IF(OR(N521="",NOT(ISNUMBER(M521))),"",ROUND(N521*M521,2))</f>
        <v/>
      </c>
      <c r="P521" s="70" t="str">
        <f>IF(N521="","",N521+N(O521))</f>
        <v/>
      </c>
      <c r="Q521" s="64" t="n"/>
      <c r="R521" s="73" t="str">
        <f>IF(N(Q521)&gt;0,Q521,IF(OR(N(B521)=0,ISNA(MATCH($C521,sup_code,0))),"",IF(ISNUMBER(INDEX(sup_delay,MATCH($C521,sup_code,0))),B521+INDEX(sup_delay,MATCH($C521,sup_code,0)),"")))</f>
        <v/>
      </c>
      <c r="S521" s="64" t="n"/>
      <c r="T521" s="68" t="n"/>
      <c r="U521" s="64" t="n"/>
      <c r="V521" s="65" t="n"/>
      <c r="W521" s="74" t="str">
        <f>IF(AND(A521="",E521=""),"",IF(V521="Oui",0,MAX(0,ROUND(N(H521)-N(T521),6))))</f>
        <v/>
      </c>
      <c r="X521" s="67" t="str">
        <f>IF(AND(A521="",E521=""),"",IF(V521="Oui","Annulé",IF(AND(N(H521)&gt;0,N(T521)&gt;=N(H521)),"Reçu",IF(N(S521)=0,"Brouillon",IF(AND(ISNUMBER(R521),R521&lt;p_today),"En retard",IF(N(T521)&gt;0,"Partiel","Envoyé"))))))</f>
        <v/>
      </c>
      <c r="Y521" s="75" t="str">
        <f>IF(X521="En retard",p_today-R521,IF(AND(X521="Reçu",ISNUMBER(R521)),MAX(0,N(U521)-R521),""))</f>
        <v/>
      </c>
      <c r="Z521" s="67" t="str">
        <f>IF(AND(A521="",E521=""),"",IF(A521="","N° de bon manquant",IF(N(B521)=0,"Date de commande manquante",IF(C521="","Fournisseur manquant",IF(ISNA(MATCH($C521,sup_code,0)),"Fournisseur inconnu",IF(E521="","Article manquant",IF(ISNA(MATCH($E521,art_ref,0)),"Article inconnu",IF(N(H521)&lt;=0,"Quantité invalide",IF(J521="","Prix manquant",IF(OR(N(K521)&lt;0,N(K521)&gt;=1),"Remise invalide",IF(M521="","TVA manquante",IF(ISNA(MATCH(M521,p_tva,0)),"Taux de TVA inconnu",IF(COUNTIFS(po_num,A521,po_sup,"&lt;&gt;"&amp;C521)&gt;0,"Fournisseur différent sur ce bon",IF(COUNTIFS(po_num,A521,po_date,"&lt;&gt;"&amp;B521)&gt;0,"Date différente sur ce bon",IF(COUNTIF(po_num,A521)&gt;25,"Plus de 25 lignes sur ce bon",IF(R521="","Date de livraison manquante",IF(R521&lt;B521,"Livraison avant la commande",IF(AND(N(T521)&gt;0,N(S521)=0),"Date d'envoi manquante",IF(N(T521)&gt;N(H521),"Reçu plus que commandé",IF(AND(N(T521)&gt;0,N(U521)=0),"Date de réception manquante",IF(AND(N(U521)&gt;0,U521&lt;B521),"Réception avant la commande","OK")))))))))))))))))))))</f>
        <v/>
      </c>
      <c r="AA521" s="66" t="str">
        <f>IF(AND(X521="Reçu",ISNUMBER(R521)),IF(N(U521)&lt;=R521,1,0),"")</f>
        <v/>
      </c>
      <c r="AB521" s="76" t="str">
        <f>IF(OR(X521="Envoyé",X521="Partiel",X521="En retard"),IF(ISNUMBER(R521),R521,100000)+ROW()/100000,"")</f>
        <v/>
      </c>
      <c r="AC521" s="66" t="str">
        <f>IF(A521="","",IF(COUNTIF($A$6:A521,A521)=1,1,""))</f>
        <v/>
      </c>
      <c r="AD521" s="66" t="str">
        <f>IF(AC521=1,COUNT($AC$6:AC521),"")</f>
        <v/>
      </c>
      <c r="AE521" s="66" t="str">
        <f>IFERROR(INDEX(po_num,MATCH(516,po_seq,0))&amp;"","")</f>
        <v/>
      </c>
      <c r="AF521" s="66" t="str">
        <f>IF(OR(A521="",p_po=""),"",IF(A521&amp;""=p_po,COUNTIF($A$6:A521,A521),""))</f>
        <v/>
      </c>
      <c r="AG521" s="66" t="str">
        <f>IF(OR(AB521="",A521=""),"",IF(COUNTIFS($A$6:A521,A521,$AB$6:AB521,"&gt;0")=1,1,""))</f>
        <v/>
      </c>
      <c r="AH521" s="70" t="str">
        <f>IF(AB521="","",ROUND(N(W521)*N(J521)*(1-N(K521)),2))</f>
        <v/>
      </c>
      <c r="AI521" s="70" t="str">
        <f>IF(OR(J521="",N(T521)&lt;=0,V521="Oui"),"",ROUND(N(T521)*J521*(1-N(K521)),2))</f>
        <v/>
      </c>
    </row>
    <row r="522">
      <c r="A522" s="63" t="n"/>
      <c r="B522" s="64" t="n"/>
      <c r="C522" s="65" t="n"/>
      <c r="D522" s="66" t="str">
        <f>IF(C522="","",IFERROR(INDEX(sup_name,MATCH($C522,sup_code,0))&amp;"","Fournisseur inconnu"))</f>
        <v/>
      </c>
      <c r="E522" s="63" t="n"/>
      <c r="F522" s="66" t="str">
        <f>IF(E522="","",IFERROR(INDEX(art_des,MATCH($E522,art_ref,0))&amp;"","Article inconnu"))</f>
        <v/>
      </c>
      <c r="G522" s="67" t="str">
        <f>IF(E522="","",IFERROR(INDEX(art_unit,MATCH($E522,art_ref,0))&amp;"",""))</f>
        <v/>
      </c>
      <c r="H522" s="68" t="n"/>
      <c r="I522" s="69" t="n"/>
      <c r="J522" s="70" t="str">
        <f>IF(E522="","",IF(ISNUMBER(I522),I522,IFERROR(IF(ISNUMBER(INDEX(art_price,MATCH($E522,art_ref,0))),INDEX(art_price,MATCH($E522,art_ref,0)),""),"")))</f>
        <v/>
      </c>
      <c r="K522" s="71" t="n"/>
      <c r="L522" s="72" t="n"/>
      <c r="M522" s="72" t="str">
        <f>IF(E522="","",IF(L522&lt;&gt;"",L522,IFERROR(IF(ISNUMBER(INDEX(art_tva,MATCH($E522,art_ref,0))),INDEX(art_tva,MATCH($E522,art_ref,0)),""),"")))</f>
        <v/>
      </c>
      <c r="N522" s="70" t="str">
        <f>IF(OR(E522="",J522=""),"",ROUND(N(H522)*J522*(1-N(K522)),2))</f>
        <v/>
      </c>
      <c r="O522" s="70" t="str">
        <f>IF(OR(N522="",NOT(ISNUMBER(M522))),"",ROUND(N522*M522,2))</f>
        <v/>
      </c>
      <c r="P522" s="70" t="str">
        <f>IF(N522="","",N522+N(O522))</f>
        <v/>
      </c>
      <c r="Q522" s="64" t="n"/>
      <c r="R522" s="73" t="str">
        <f>IF(N(Q522)&gt;0,Q522,IF(OR(N(B522)=0,ISNA(MATCH($C522,sup_code,0))),"",IF(ISNUMBER(INDEX(sup_delay,MATCH($C522,sup_code,0))),B522+INDEX(sup_delay,MATCH($C522,sup_code,0)),"")))</f>
        <v/>
      </c>
      <c r="S522" s="64" t="n"/>
      <c r="T522" s="68" t="n"/>
      <c r="U522" s="64" t="n"/>
      <c r="V522" s="65" t="n"/>
      <c r="W522" s="74" t="str">
        <f>IF(AND(A522="",E522=""),"",IF(V522="Oui",0,MAX(0,ROUND(N(H522)-N(T522),6))))</f>
        <v/>
      </c>
      <c r="X522" s="67" t="str">
        <f>IF(AND(A522="",E522=""),"",IF(V522="Oui","Annulé",IF(AND(N(H522)&gt;0,N(T522)&gt;=N(H522)),"Reçu",IF(N(S522)=0,"Brouillon",IF(AND(ISNUMBER(R522),R522&lt;p_today),"En retard",IF(N(T522)&gt;0,"Partiel","Envoyé"))))))</f>
        <v/>
      </c>
      <c r="Y522" s="75" t="str">
        <f>IF(X522="En retard",p_today-R522,IF(AND(X522="Reçu",ISNUMBER(R522)),MAX(0,N(U522)-R522),""))</f>
        <v/>
      </c>
      <c r="Z522" s="67" t="str">
        <f>IF(AND(A522="",E522=""),"",IF(A522="","N° de bon manquant",IF(N(B522)=0,"Date de commande manquante",IF(C522="","Fournisseur manquant",IF(ISNA(MATCH($C522,sup_code,0)),"Fournisseur inconnu",IF(E522="","Article manquant",IF(ISNA(MATCH($E522,art_ref,0)),"Article inconnu",IF(N(H522)&lt;=0,"Quantité invalide",IF(J522="","Prix manquant",IF(OR(N(K522)&lt;0,N(K522)&gt;=1),"Remise invalide",IF(M522="","TVA manquante",IF(ISNA(MATCH(M522,p_tva,0)),"Taux de TVA inconnu",IF(COUNTIFS(po_num,A522,po_sup,"&lt;&gt;"&amp;C522)&gt;0,"Fournisseur différent sur ce bon",IF(COUNTIFS(po_num,A522,po_date,"&lt;&gt;"&amp;B522)&gt;0,"Date différente sur ce bon",IF(COUNTIF(po_num,A522)&gt;25,"Plus de 25 lignes sur ce bon",IF(R522="","Date de livraison manquante",IF(R522&lt;B522,"Livraison avant la commande",IF(AND(N(T522)&gt;0,N(S522)=0),"Date d'envoi manquante",IF(N(T522)&gt;N(H522),"Reçu plus que commandé",IF(AND(N(T522)&gt;0,N(U522)=0),"Date de réception manquante",IF(AND(N(U522)&gt;0,U522&lt;B522),"Réception avant la commande","OK")))))))))))))))))))))</f>
        <v/>
      </c>
      <c r="AA522" s="66" t="str">
        <f>IF(AND(X522="Reçu",ISNUMBER(R522)),IF(N(U522)&lt;=R522,1,0),"")</f>
        <v/>
      </c>
      <c r="AB522" s="76" t="str">
        <f>IF(OR(X522="Envoyé",X522="Partiel",X522="En retard"),IF(ISNUMBER(R522),R522,100000)+ROW()/100000,"")</f>
        <v/>
      </c>
      <c r="AC522" s="66" t="str">
        <f>IF(A522="","",IF(COUNTIF($A$6:A522,A522)=1,1,""))</f>
        <v/>
      </c>
      <c r="AD522" s="66" t="str">
        <f>IF(AC522=1,COUNT($AC$6:AC522),"")</f>
        <v/>
      </c>
      <c r="AE522" s="66" t="str">
        <f>IFERROR(INDEX(po_num,MATCH(517,po_seq,0))&amp;"","")</f>
        <v/>
      </c>
      <c r="AF522" s="66" t="str">
        <f>IF(OR(A522="",p_po=""),"",IF(A522&amp;""=p_po,COUNTIF($A$6:A522,A522),""))</f>
        <v/>
      </c>
      <c r="AG522" s="66" t="str">
        <f>IF(OR(AB522="",A522=""),"",IF(COUNTIFS($A$6:A522,A522,$AB$6:AB522,"&gt;0")=1,1,""))</f>
        <v/>
      </c>
      <c r="AH522" s="70" t="str">
        <f>IF(AB522="","",ROUND(N(W522)*N(J522)*(1-N(K522)),2))</f>
        <v/>
      </c>
      <c r="AI522" s="70" t="str">
        <f>IF(OR(J522="",N(T522)&lt;=0,V522="Oui"),"",ROUND(N(T522)*J522*(1-N(K522)),2))</f>
        <v/>
      </c>
    </row>
    <row r="523">
      <c r="A523" s="63" t="n"/>
      <c r="B523" s="64" t="n"/>
      <c r="C523" s="65" t="n"/>
      <c r="D523" s="66" t="str">
        <f>IF(C523="","",IFERROR(INDEX(sup_name,MATCH($C523,sup_code,0))&amp;"","Fournisseur inconnu"))</f>
        <v/>
      </c>
      <c r="E523" s="63" t="n"/>
      <c r="F523" s="66" t="str">
        <f>IF(E523="","",IFERROR(INDEX(art_des,MATCH($E523,art_ref,0))&amp;"","Article inconnu"))</f>
        <v/>
      </c>
      <c r="G523" s="67" t="str">
        <f>IF(E523="","",IFERROR(INDEX(art_unit,MATCH($E523,art_ref,0))&amp;"",""))</f>
        <v/>
      </c>
      <c r="H523" s="68" t="n"/>
      <c r="I523" s="69" t="n"/>
      <c r="J523" s="70" t="str">
        <f>IF(E523="","",IF(ISNUMBER(I523),I523,IFERROR(IF(ISNUMBER(INDEX(art_price,MATCH($E523,art_ref,0))),INDEX(art_price,MATCH($E523,art_ref,0)),""),"")))</f>
        <v/>
      </c>
      <c r="K523" s="71" t="n"/>
      <c r="L523" s="72" t="n"/>
      <c r="M523" s="72" t="str">
        <f>IF(E523="","",IF(L523&lt;&gt;"",L523,IFERROR(IF(ISNUMBER(INDEX(art_tva,MATCH($E523,art_ref,0))),INDEX(art_tva,MATCH($E523,art_ref,0)),""),"")))</f>
        <v/>
      </c>
      <c r="N523" s="70" t="str">
        <f>IF(OR(E523="",J523=""),"",ROUND(N(H523)*J523*(1-N(K523)),2))</f>
        <v/>
      </c>
      <c r="O523" s="70" t="str">
        <f>IF(OR(N523="",NOT(ISNUMBER(M523))),"",ROUND(N523*M523,2))</f>
        <v/>
      </c>
      <c r="P523" s="70" t="str">
        <f>IF(N523="","",N523+N(O523))</f>
        <v/>
      </c>
      <c r="Q523" s="64" t="n"/>
      <c r="R523" s="73" t="str">
        <f>IF(N(Q523)&gt;0,Q523,IF(OR(N(B523)=0,ISNA(MATCH($C523,sup_code,0))),"",IF(ISNUMBER(INDEX(sup_delay,MATCH($C523,sup_code,0))),B523+INDEX(sup_delay,MATCH($C523,sup_code,0)),"")))</f>
        <v/>
      </c>
      <c r="S523" s="64" t="n"/>
      <c r="T523" s="68" t="n"/>
      <c r="U523" s="64" t="n"/>
      <c r="V523" s="65" t="n"/>
      <c r="W523" s="74" t="str">
        <f>IF(AND(A523="",E523=""),"",IF(V523="Oui",0,MAX(0,ROUND(N(H523)-N(T523),6))))</f>
        <v/>
      </c>
      <c r="X523" s="67" t="str">
        <f>IF(AND(A523="",E523=""),"",IF(V523="Oui","Annulé",IF(AND(N(H523)&gt;0,N(T523)&gt;=N(H523)),"Reçu",IF(N(S523)=0,"Brouillon",IF(AND(ISNUMBER(R523),R523&lt;p_today),"En retard",IF(N(T523)&gt;0,"Partiel","Envoyé"))))))</f>
        <v/>
      </c>
      <c r="Y523" s="75" t="str">
        <f>IF(X523="En retard",p_today-R523,IF(AND(X523="Reçu",ISNUMBER(R523)),MAX(0,N(U523)-R523),""))</f>
        <v/>
      </c>
      <c r="Z523" s="67" t="str">
        <f>IF(AND(A523="",E523=""),"",IF(A523="","N° de bon manquant",IF(N(B523)=0,"Date de commande manquante",IF(C523="","Fournisseur manquant",IF(ISNA(MATCH($C523,sup_code,0)),"Fournisseur inconnu",IF(E523="","Article manquant",IF(ISNA(MATCH($E523,art_ref,0)),"Article inconnu",IF(N(H523)&lt;=0,"Quantité invalide",IF(J523="","Prix manquant",IF(OR(N(K523)&lt;0,N(K523)&gt;=1),"Remise invalide",IF(M523="","TVA manquante",IF(ISNA(MATCH(M523,p_tva,0)),"Taux de TVA inconnu",IF(COUNTIFS(po_num,A523,po_sup,"&lt;&gt;"&amp;C523)&gt;0,"Fournisseur différent sur ce bon",IF(COUNTIFS(po_num,A523,po_date,"&lt;&gt;"&amp;B523)&gt;0,"Date différente sur ce bon",IF(COUNTIF(po_num,A523)&gt;25,"Plus de 25 lignes sur ce bon",IF(R523="","Date de livraison manquante",IF(R523&lt;B523,"Livraison avant la commande",IF(AND(N(T523)&gt;0,N(S523)=0),"Date d'envoi manquante",IF(N(T523)&gt;N(H523),"Reçu plus que commandé",IF(AND(N(T523)&gt;0,N(U523)=0),"Date de réception manquante",IF(AND(N(U523)&gt;0,U523&lt;B523),"Réception avant la commande","OK")))))))))))))))))))))</f>
        <v/>
      </c>
      <c r="AA523" s="66" t="str">
        <f>IF(AND(X523="Reçu",ISNUMBER(R523)),IF(N(U523)&lt;=R523,1,0),"")</f>
        <v/>
      </c>
      <c r="AB523" s="76" t="str">
        <f>IF(OR(X523="Envoyé",X523="Partiel",X523="En retard"),IF(ISNUMBER(R523),R523,100000)+ROW()/100000,"")</f>
        <v/>
      </c>
      <c r="AC523" s="66" t="str">
        <f>IF(A523="","",IF(COUNTIF($A$6:A523,A523)=1,1,""))</f>
        <v/>
      </c>
      <c r="AD523" s="66" t="str">
        <f>IF(AC523=1,COUNT($AC$6:AC523),"")</f>
        <v/>
      </c>
      <c r="AE523" s="66" t="str">
        <f>IFERROR(INDEX(po_num,MATCH(518,po_seq,0))&amp;"","")</f>
        <v/>
      </c>
      <c r="AF523" s="66" t="str">
        <f>IF(OR(A523="",p_po=""),"",IF(A523&amp;""=p_po,COUNTIF($A$6:A523,A523),""))</f>
        <v/>
      </c>
      <c r="AG523" s="66" t="str">
        <f>IF(OR(AB523="",A523=""),"",IF(COUNTIFS($A$6:A523,A523,$AB$6:AB523,"&gt;0")=1,1,""))</f>
        <v/>
      </c>
      <c r="AH523" s="70" t="str">
        <f>IF(AB523="","",ROUND(N(W523)*N(J523)*(1-N(K523)),2))</f>
        <v/>
      </c>
      <c r="AI523" s="70" t="str">
        <f>IF(OR(J523="",N(T523)&lt;=0,V523="Oui"),"",ROUND(N(T523)*J523*(1-N(K523)),2))</f>
        <v/>
      </c>
    </row>
    <row r="524">
      <c r="A524" s="63" t="n"/>
      <c r="B524" s="64" t="n"/>
      <c r="C524" s="65" t="n"/>
      <c r="D524" s="66" t="str">
        <f>IF(C524="","",IFERROR(INDEX(sup_name,MATCH($C524,sup_code,0))&amp;"","Fournisseur inconnu"))</f>
        <v/>
      </c>
      <c r="E524" s="63" t="n"/>
      <c r="F524" s="66" t="str">
        <f>IF(E524="","",IFERROR(INDEX(art_des,MATCH($E524,art_ref,0))&amp;"","Article inconnu"))</f>
        <v/>
      </c>
      <c r="G524" s="67" t="str">
        <f>IF(E524="","",IFERROR(INDEX(art_unit,MATCH($E524,art_ref,0))&amp;"",""))</f>
        <v/>
      </c>
      <c r="H524" s="68" t="n"/>
      <c r="I524" s="69" t="n"/>
      <c r="J524" s="70" t="str">
        <f>IF(E524="","",IF(ISNUMBER(I524),I524,IFERROR(IF(ISNUMBER(INDEX(art_price,MATCH($E524,art_ref,0))),INDEX(art_price,MATCH($E524,art_ref,0)),""),"")))</f>
        <v/>
      </c>
      <c r="K524" s="71" t="n"/>
      <c r="L524" s="72" t="n"/>
      <c r="M524" s="72" t="str">
        <f>IF(E524="","",IF(L524&lt;&gt;"",L524,IFERROR(IF(ISNUMBER(INDEX(art_tva,MATCH($E524,art_ref,0))),INDEX(art_tva,MATCH($E524,art_ref,0)),""),"")))</f>
        <v/>
      </c>
      <c r="N524" s="70" t="str">
        <f>IF(OR(E524="",J524=""),"",ROUND(N(H524)*J524*(1-N(K524)),2))</f>
        <v/>
      </c>
      <c r="O524" s="70" t="str">
        <f>IF(OR(N524="",NOT(ISNUMBER(M524))),"",ROUND(N524*M524,2))</f>
        <v/>
      </c>
      <c r="P524" s="70" t="str">
        <f>IF(N524="","",N524+N(O524))</f>
        <v/>
      </c>
      <c r="Q524" s="64" t="n"/>
      <c r="R524" s="73" t="str">
        <f>IF(N(Q524)&gt;0,Q524,IF(OR(N(B524)=0,ISNA(MATCH($C524,sup_code,0))),"",IF(ISNUMBER(INDEX(sup_delay,MATCH($C524,sup_code,0))),B524+INDEX(sup_delay,MATCH($C524,sup_code,0)),"")))</f>
        <v/>
      </c>
      <c r="S524" s="64" t="n"/>
      <c r="T524" s="68" t="n"/>
      <c r="U524" s="64" t="n"/>
      <c r="V524" s="65" t="n"/>
      <c r="W524" s="74" t="str">
        <f>IF(AND(A524="",E524=""),"",IF(V524="Oui",0,MAX(0,ROUND(N(H524)-N(T524),6))))</f>
        <v/>
      </c>
      <c r="X524" s="67" t="str">
        <f>IF(AND(A524="",E524=""),"",IF(V524="Oui","Annulé",IF(AND(N(H524)&gt;0,N(T524)&gt;=N(H524)),"Reçu",IF(N(S524)=0,"Brouillon",IF(AND(ISNUMBER(R524),R524&lt;p_today),"En retard",IF(N(T524)&gt;0,"Partiel","Envoyé"))))))</f>
        <v/>
      </c>
      <c r="Y524" s="75" t="str">
        <f>IF(X524="En retard",p_today-R524,IF(AND(X524="Reçu",ISNUMBER(R524)),MAX(0,N(U524)-R524),""))</f>
        <v/>
      </c>
      <c r="Z524" s="67" t="str">
        <f>IF(AND(A524="",E524=""),"",IF(A524="","N° de bon manquant",IF(N(B524)=0,"Date de commande manquante",IF(C524="","Fournisseur manquant",IF(ISNA(MATCH($C524,sup_code,0)),"Fournisseur inconnu",IF(E524="","Article manquant",IF(ISNA(MATCH($E524,art_ref,0)),"Article inconnu",IF(N(H524)&lt;=0,"Quantité invalide",IF(J524="","Prix manquant",IF(OR(N(K524)&lt;0,N(K524)&gt;=1),"Remise invalide",IF(M524="","TVA manquante",IF(ISNA(MATCH(M524,p_tva,0)),"Taux de TVA inconnu",IF(COUNTIFS(po_num,A524,po_sup,"&lt;&gt;"&amp;C524)&gt;0,"Fournisseur différent sur ce bon",IF(COUNTIFS(po_num,A524,po_date,"&lt;&gt;"&amp;B524)&gt;0,"Date différente sur ce bon",IF(COUNTIF(po_num,A524)&gt;25,"Plus de 25 lignes sur ce bon",IF(R524="","Date de livraison manquante",IF(R524&lt;B524,"Livraison avant la commande",IF(AND(N(T524)&gt;0,N(S524)=0),"Date d'envoi manquante",IF(N(T524)&gt;N(H524),"Reçu plus que commandé",IF(AND(N(T524)&gt;0,N(U524)=0),"Date de réception manquante",IF(AND(N(U524)&gt;0,U524&lt;B524),"Réception avant la commande","OK")))))))))))))))))))))</f>
        <v/>
      </c>
      <c r="AA524" s="66" t="str">
        <f>IF(AND(X524="Reçu",ISNUMBER(R524)),IF(N(U524)&lt;=R524,1,0),"")</f>
        <v/>
      </c>
      <c r="AB524" s="76" t="str">
        <f>IF(OR(X524="Envoyé",X524="Partiel",X524="En retard"),IF(ISNUMBER(R524),R524,100000)+ROW()/100000,"")</f>
        <v/>
      </c>
      <c r="AC524" s="66" t="str">
        <f>IF(A524="","",IF(COUNTIF($A$6:A524,A524)=1,1,""))</f>
        <v/>
      </c>
      <c r="AD524" s="66" t="str">
        <f>IF(AC524=1,COUNT($AC$6:AC524),"")</f>
        <v/>
      </c>
      <c r="AE524" s="66" t="str">
        <f>IFERROR(INDEX(po_num,MATCH(519,po_seq,0))&amp;"","")</f>
        <v/>
      </c>
      <c r="AF524" s="66" t="str">
        <f>IF(OR(A524="",p_po=""),"",IF(A524&amp;""=p_po,COUNTIF($A$6:A524,A524),""))</f>
        <v/>
      </c>
      <c r="AG524" s="66" t="str">
        <f>IF(OR(AB524="",A524=""),"",IF(COUNTIFS($A$6:A524,A524,$AB$6:AB524,"&gt;0")=1,1,""))</f>
        <v/>
      </c>
      <c r="AH524" s="70" t="str">
        <f>IF(AB524="","",ROUND(N(W524)*N(J524)*(1-N(K524)),2))</f>
        <v/>
      </c>
      <c r="AI524" s="70" t="str">
        <f>IF(OR(J524="",N(T524)&lt;=0,V524="Oui"),"",ROUND(N(T524)*J524*(1-N(K524)),2))</f>
        <v/>
      </c>
    </row>
    <row r="525">
      <c r="A525" s="63" t="n"/>
      <c r="B525" s="64" t="n"/>
      <c r="C525" s="65" t="n"/>
      <c r="D525" s="66" t="str">
        <f>IF(C525="","",IFERROR(INDEX(sup_name,MATCH($C525,sup_code,0))&amp;"","Fournisseur inconnu"))</f>
        <v/>
      </c>
      <c r="E525" s="63" t="n"/>
      <c r="F525" s="66" t="str">
        <f>IF(E525="","",IFERROR(INDEX(art_des,MATCH($E525,art_ref,0))&amp;"","Article inconnu"))</f>
        <v/>
      </c>
      <c r="G525" s="67" t="str">
        <f>IF(E525="","",IFERROR(INDEX(art_unit,MATCH($E525,art_ref,0))&amp;"",""))</f>
        <v/>
      </c>
      <c r="H525" s="68" t="n"/>
      <c r="I525" s="69" t="n"/>
      <c r="J525" s="70" t="str">
        <f>IF(E525="","",IF(ISNUMBER(I525),I525,IFERROR(IF(ISNUMBER(INDEX(art_price,MATCH($E525,art_ref,0))),INDEX(art_price,MATCH($E525,art_ref,0)),""),"")))</f>
        <v/>
      </c>
      <c r="K525" s="71" t="n"/>
      <c r="L525" s="72" t="n"/>
      <c r="M525" s="72" t="str">
        <f>IF(E525="","",IF(L525&lt;&gt;"",L525,IFERROR(IF(ISNUMBER(INDEX(art_tva,MATCH($E525,art_ref,0))),INDEX(art_tva,MATCH($E525,art_ref,0)),""),"")))</f>
        <v/>
      </c>
      <c r="N525" s="70" t="str">
        <f>IF(OR(E525="",J525=""),"",ROUND(N(H525)*J525*(1-N(K525)),2))</f>
        <v/>
      </c>
      <c r="O525" s="70" t="str">
        <f>IF(OR(N525="",NOT(ISNUMBER(M525))),"",ROUND(N525*M525,2))</f>
        <v/>
      </c>
      <c r="P525" s="70" t="str">
        <f>IF(N525="","",N525+N(O525))</f>
        <v/>
      </c>
      <c r="Q525" s="64" t="n"/>
      <c r="R525" s="73" t="str">
        <f>IF(N(Q525)&gt;0,Q525,IF(OR(N(B525)=0,ISNA(MATCH($C525,sup_code,0))),"",IF(ISNUMBER(INDEX(sup_delay,MATCH($C525,sup_code,0))),B525+INDEX(sup_delay,MATCH($C525,sup_code,0)),"")))</f>
        <v/>
      </c>
      <c r="S525" s="64" t="n"/>
      <c r="T525" s="68" t="n"/>
      <c r="U525" s="64" t="n"/>
      <c r="V525" s="65" t="n"/>
      <c r="W525" s="74" t="str">
        <f>IF(AND(A525="",E525=""),"",IF(V525="Oui",0,MAX(0,ROUND(N(H525)-N(T525),6))))</f>
        <v/>
      </c>
      <c r="X525" s="67" t="str">
        <f>IF(AND(A525="",E525=""),"",IF(V525="Oui","Annulé",IF(AND(N(H525)&gt;0,N(T525)&gt;=N(H525)),"Reçu",IF(N(S525)=0,"Brouillon",IF(AND(ISNUMBER(R525),R525&lt;p_today),"En retard",IF(N(T525)&gt;0,"Partiel","Envoyé"))))))</f>
        <v/>
      </c>
      <c r="Y525" s="75" t="str">
        <f>IF(X525="En retard",p_today-R525,IF(AND(X525="Reçu",ISNUMBER(R525)),MAX(0,N(U525)-R525),""))</f>
        <v/>
      </c>
      <c r="Z525" s="67" t="str">
        <f>IF(AND(A525="",E525=""),"",IF(A525="","N° de bon manquant",IF(N(B525)=0,"Date de commande manquante",IF(C525="","Fournisseur manquant",IF(ISNA(MATCH($C525,sup_code,0)),"Fournisseur inconnu",IF(E525="","Article manquant",IF(ISNA(MATCH($E525,art_ref,0)),"Article inconnu",IF(N(H525)&lt;=0,"Quantité invalide",IF(J525="","Prix manquant",IF(OR(N(K525)&lt;0,N(K525)&gt;=1),"Remise invalide",IF(M525="","TVA manquante",IF(ISNA(MATCH(M525,p_tva,0)),"Taux de TVA inconnu",IF(COUNTIFS(po_num,A525,po_sup,"&lt;&gt;"&amp;C525)&gt;0,"Fournisseur différent sur ce bon",IF(COUNTIFS(po_num,A525,po_date,"&lt;&gt;"&amp;B525)&gt;0,"Date différente sur ce bon",IF(COUNTIF(po_num,A525)&gt;25,"Plus de 25 lignes sur ce bon",IF(R525="","Date de livraison manquante",IF(R525&lt;B525,"Livraison avant la commande",IF(AND(N(T525)&gt;0,N(S525)=0),"Date d'envoi manquante",IF(N(T525)&gt;N(H525),"Reçu plus que commandé",IF(AND(N(T525)&gt;0,N(U525)=0),"Date de réception manquante",IF(AND(N(U525)&gt;0,U525&lt;B525),"Réception avant la commande","OK")))))))))))))))))))))</f>
        <v/>
      </c>
      <c r="AA525" s="66" t="str">
        <f>IF(AND(X525="Reçu",ISNUMBER(R525)),IF(N(U525)&lt;=R525,1,0),"")</f>
        <v/>
      </c>
      <c r="AB525" s="76" t="str">
        <f>IF(OR(X525="Envoyé",X525="Partiel",X525="En retard"),IF(ISNUMBER(R525),R525,100000)+ROW()/100000,"")</f>
        <v/>
      </c>
      <c r="AC525" s="66" t="str">
        <f>IF(A525="","",IF(COUNTIF($A$6:A525,A525)=1,1,""))</f>
        <v/>
      </c>
      <c r="AD525" s="66" t="str">
        <f>IF(AC525=1,COUNT($AC$6:AC525),"")</f>
        <v/>
      </c>
      <c r="AE525" s="66" t="str">
        <f>IFERROR(INDEX(po_num,MATCH(520,po_seq,0))&amp;"","")</f>
        <v/>
      </c>
      <c r="AF525" s="66" t="str">
        <f>IF(OR(A525="",p_po=""),"",IF(A525&amp;""=p_po,COUNTIF($A$6:A525,A525),""))</f>
        <v/>
      </c>
      <c r="AG525" s="66" t="str">
        <f>IF(OR(AB525="",A525=""),"",IF(COUNTIFS($A$6:A525,A525,$AB$6:AB525,"&gt;0")=1,1,""))</f>
        <v/>
      </c>
      <c r="AH525" s="70" t="str">
        <f>IF(AB525="","",ROUND(N(W525)*N(J525)*(1-N(K525)),2))</f>
        <v/>
      </c>
      <c r="AI525" s="70" t="str">
        <f>IF(OR(J525="",N(T525)&lt;=0,V525="Oui"),"",ROUND(N(T525)*J525*(1-N(K525)),2))</f>
        <v/>
      </c>
    </row>
    <row r="526">
      <c r="A526" s="63" t="n"/>
      <c r="B526" s="64" t="n"/>
      <c r="C526" s="65" t="n"/>
      <c r="D526" s="66" t="str">
        <f>IF(C526="","",IFERROR(INDEX(sup_name,MATCH($C526,sup_code,0))&amp;"","Fournisseur inconnu"))</f>
        <v/>
      </c>
      <c r="E526" s="63" t="n"/>
      <c r="F526" s="66" t="str">
        <f>IF(E526="","",IFERROR(INDEX(art_des,MATCH($E526,art_ref,0))&amp;"","Article inconnu"))</f>
        <v/>
      </c>
      <c r="G526" s="67" t="str">
        <f>IF(E526="","",IFERROR(INDEX(art_unit,MATCH($E526,art_ref,0))&amp;"",""))</f>
        <v/>
      </c>
      <c r="H526" s="68" t="n"/>
      <c r="I526" s="69" t="n"/>
      <c r="J526" s="70" t="str">
        <f>IF(E526="","",IF(ISNUMBER(I526),I526,IFERROR(IF(ISNUMBER(INDEX(art_price,MATCH($E526,art_ref,0))),INDEX(art_price,MATCH($E526,art_ref,0)),""),"")))</f>
        <v/>
      </c>
      <c r="K526" s="71" t="n"/>
      <c r="L526" s="72" t="n"/>
      <c r="M526" s="72" t="str">
        <f>IF(E526="","",IF(L526&lt;&gt;"",L526,IFERROR(IF(ISNUMBER(INDEX(art_tva,MATCH($E526,art_ref,0))),INDEX(art_tva,MATCH($E526,art_ref,0)),""),"")))</f>
        <v/>
      </c>
      <c r="N526" s="70" t="str">
        <f>IF(OR(E526="",J526=""),"",ROUND(N(H526)*J526*(1-N(K526)),2))</f>
        <v/>
      </c>
      <c r="O526" s="70" t="str">
        <f>IF(OR(N526="",NOT(ISNUMBER(M526))),"",ROUND(N526*M526,2))</f>
        <v/>
      </c>
      <c r="P526" s="70" t="str">
        <f>IF(N526="","",N526+N(O526))</f>
        <v/>
      </c>
      <c r="Q526" s="64" t="n"/>
      <c r="R526" s="73" t="str">
        <f>IF(N(Q526)&gt;0,Q526,IF(OR(N(B526)=0,ISNA(MATCH($C526,sup_code,0))),"",IF(ISNUMBER(INDEX(sup_delay,MATCH($C526,sup_code,0))),B526+INDEX(sup_delay,MATCH($C526,sup_code,0)),"")))</f>
        <v/>
      </c>
      <c r="S526" s="64" t="n"/>
      <c r="T526" s="68" t="n"/>
      <c r="U526" s="64" t="n"/>
      <c r="V526" s="65" t="n"/>
      <c r="W526" s="74" t="str">
        <f>IF(AND(A526="",E526=""),"",IF(V526="Oui",0,MAX(0,ROUND(N(H526)-N(T526),6))))</f>
        <v/>
      </c>
      <c r="X526" s="67" t="str">
        <f>IF(AND(A526="",E526=""),"",IF(V526="Oui","Annulé",IF(AND(N(H526)&gt;0,N(T526)&gt;=N(H526)),"Reçu",IF(N(S526)=0,"Brouillon",IF(AND(ISNUMBER(R526),R526&lt;p_today),"En retard",IF(N(T526)&gt;0,"Partiel","Envoyé"))))))</f>
        <v/>
      </c>
      <c r="Y526" s="75" t="str">
        <f>IF(X526="En retard",p_today-R526,IF(AND(X526="Reçu",ISNUMBER(R526)),MAX(0,N(U526)-R526),""))</f>
        <v/>
      </c>
      <c r="Z526" s="67" t="str">
        <f>IF(AND(A526="",E526=""),"",IF(A526="","N° de bon manquant",IF(N(B526)=0,"Date de commande manquante",IF(C526="","Fournisseur manquant",IF(ISNA(MATCH($C526,sup_code,0)),"Fournisseur inconnu",IF(E526="","Article manquant",IF(ISNA(MATCH($E526,art_ref,0)),"Article inconnu",IF(N(H526)&lt;=0,"Quantité invalide",IF(J526="","Prix manquant",IF(OR(N(K526)&lt;0,N(K526)&gt;=1),"Remise invalide",IF(M526="","TVA manquante",IF(ISNA(MATCH(M526,p_tva,0)),"Taux de TVA inconnu",IF(COUNTIFS(po_num,A526,po_sup,"&lt;&gt;"&amp;C526)&gt;0,"Fournisseur différent sur ce bon",IF(COUNTIFS(po_num,A526,po_date,"&lt;&gt;"&amp;B526)&gt;0,"Date différente sur ce bon",IF(COUNTIF(po_num,A526)&gt;25,"Plus de 25 lignes sur ce bon",IF(R526="","Date de livraison manquante",IF(R526&lt;B526,"Livraison avant la commande",IF(AND(N(T526)&gt;0,N(S526)=0),"Date d'envoi manquante",IF(N(T526)&gt;N(H526),"Reçu plus que commandé",IF(AND(N(T526)&gt;0,N(U526)=0),"Date de réception manquante",IF(AND(N(U526)&gt;0,U526&lt;B526),"Réception avant la commande","OK")))))))))))))))))))))</f>
        <v/>
      </c>
      <c r="AA526" s="66" t="str">
        <f>IF(AND(X526="Reçu",ISNUMBER(R526)),IF(N(U526)&lt;=R526,1,0),"")</f>
        <v/>
      </c>
      <c r="AB526" s="76" t="str">
        <f>IF(OR(X526="Envoyé",X526="Partiel",X526="En retard"),IF(ISNUMBER(R526),R526,100000)+ROW()/100000,"")</f>
        <v/>
      </c>
      <c r="AC526" s="66" t="str">
        <f>IF(A526="","",IF(COUNTIF($A$6:A526,A526)=1,1,""))</f>
        <v/>
      </c>
      <c r="AD526" s="66" t="str">
        <f>IF(AC526=1,COUNT($AC$6:AC526),"")</f>
        <v/>
      </c>
      <c r="AE526" s="66" t="str">
        <f>IFERROR(INDEX(po_num,MATCH(521,po_seq,0))&amp;"","")</f>
        <v/>
      </c>
      <c r="AF526" s="66" t="str">
        <f>IF(OR(A526="",p_po=""),"",IF(A526&amp;""=p_po,COUNTIF($A$6:A526,A526),""))</f>
        <v/>
      </c>
      <c r="AG526" s="66" t="str">
        <f>IF(OR(AB526="",A526=""),"",IF(COUNTIFS($A$6:A526,A526,$AB$6:AB526,"&gt;0")=1,1,""))</f>
        <v/>
      </c>
      <c r="AH526" s="70" t="str">
        <f>IF(AB526="","",ROUND(N(W526)*N(J526)*(1-N(K526)),2))</f>
        <v/>
      </c>
      <c r="AI526" s="70" t="str">
        <f>IF(OR(J526="",N(T526)&lt;=0,V526="Oui"),"",ROUND(N(T526)*J526*(1-N(K526)),2))</f>
        <v/>
      </c>
    </row>
    <row r="527">
      <c r="A527" s="63" t="n"/>
      <c r="B527" s="64" t="n"/>
      <c r="C527" s="65" t="n"/>
      <c r="D527" s="66" t="str">
        <f>IF(C527="","",IFERROR(INDEX(sup_name,MATCH($C527,sup_code,0))&amp;"","Fournisseur inconnu"))</f>
        <v/>
      </c>
      <c r="E527" s="63" t="n"/>
      <c r="F527" s="66" t="str">
        <f>IF(E527="","",IFERROR(INDEX(art_des,MATCH($E527,art_ref,0))&amp;"","Article inconnu"))</f>
        <v/>
      </c>
      <c r="G527" s="67" t="str">
        <f>IF(E527="","",IFERROR(INDEX(art_unit,MATCH($E527,art_ref,0))&amp;"",""))</f>
        <v/>
      </c>
      <c r="H527" s="68" t="n"/>
      <c r="I527" s="69" t="n"/>
      <c r="J527" s="70" t="str">
        <f>IF(E527="","",IF(ISNUMBER(I527),I527,IFERROR(IF(ISNUMBER(INDEX(art_price,MATCH($E527,art_ref,0))),INDEX(art_price,MATCH($E527,art_ref,0)),""),"")))</f>
        <v/>
      </c>
      <c r="K527" s="71" t="n"/>
      <c r="L527" s="72" t="n"/>
      <c r="M527" s="72" t="str">
        <f>IF(E527="","",IF(L527&lt;&gt;"",L527,IFERROR(IF(ISNUMBER(INDEX(art_tva,MATCH($E527,art_ref,0))),INDEX(art_tva,MATCH($E527,art_ref,0)),""),"")))</f>
        <v/>
      </c>
      <c r="N527" s="70" t="str">
        <f>IF(OR(E527="",J527=""),"",ROUND(N(H527)*J527*(1-N(K527)),2))</f>
        <v/>
      </c>
      <c r="O527" s="70" t="str">
        <f>IF(OR(N527="",NOT(ISNUMBER(M527))),"",ROUND(N527*M527,2))</f>
        <v/>
      </c>
      <c r="P527" s="70" t="str">
        <f>IF(N527="","",N527+N(O527))</f>
        <v/>
      </c>
      <c r="Q527" s="64" t="n"/>
      <c r="R527" s="73" t="str">
        <f>IF(N(Q527)&gt;0,Q527,IF(OR(N(B527)=0,ISNA(MATCH($C527,sup_code,0))),"",IF(ISNUMBER(INDEX(sup_delay,MATCH($C527,sup_code,0))),B527+INDEX(sup_delay,MATCH($C527,sup_code,0)),"")))</f>
        <v/>
      </c>
      <c r="S527" s="64" t="n"/>
      <c r="T527" s="68" t="n"/>
      <c r="U527" s="64" t="n"/>
      <c r="V527" s="65" t="n"/>
      <c r="W527" s="74" t="str">
        <f>IF(AND(A527="",E527=""),"",IF(V527="Oui",0,MAX(0,ROUND(N(H527)-N(T527),6))))</f>
        <v/>
      </c>
      <c r="X527" s="67" t="str">
        <f>IF(AND(A527="",E527=""),"",IF(V527="Oui","Annulé",IF(AND(N(H527)&gt;0,N(T527)&gt;=N(H527)),"Reçu",IF(N(S527)=0,"Brouillon",IF(AND(ISNUMBER(R527),R527&lt;p_today),"En retard",IF(N(T527)&gt;0,"Partiel","Envoyé"))))))</f>
        <v/>
      </c>
      <c r="Y527" s="75" t="str">
        <f>IF(X527="En retard",p_today-R527,IF(AND(X527="Reçu",ISNUMBER(R527)),MAX(0,N(U527)-R527),""))</f>
        <v/>
      </c>
      <c r="Z527" s="67" t="str">
        <f>IF(AND(A527="",E527=""),"",IF(A527="","N° de bon manquant",IF(N(B527)=0,"Date de commande manquante",IF(C527="","Fournisseur manquant",IF(ISNA(MATCH($C527,sup_code,0)),"Fournisseur inconnu",IF(E527="","Article manquant",IF(ISNA(MATCH($E527,art_ref,0)),"Article inconnu",IF(N(H527)&lt;=0,"Quantité invalide",IF(J527="","Prix manquant",IF(OR(N(K527)&lt;0,N(K527)&gt;=1),"Remise invalide",IF(M527="","TVA manquante",IF(ISNA(MATCH(M527,p_tva,0)),"Taux de TVA inconnu",IF(COUNTIFS(po_num,A527,po_sup,"&lt;&gt;"&amp;C527)&gt;0,"Fournisseur différent sur ce bon",IF(COUNTIFS(po_num,A527,po_date,"&lt;&gt;"&amp;B527)&gt;0,"Date différente sur ce bon",IF(COUNTIF(po_num,A527)&gt;25,"Plus de 25 lignes sur ce bon",IF(R527="","Date de livraison manquante",IF(R527&lt;B527,"Livraison avant la commande",IF(AND(N(T527)&gt;0,N(S527)=0),"Date d'envoi manquante",IF(N(T527)&gt;N(H527),"Reçu plus que commandé",IF(AND(N(T527)&gt;0,N(U527)=0),"Date de réception manquante",IF(AND(N(U527)&gt;0,U527&lt;B527),"Réception avant la commande","OK")))))))))))))))))))))</f>
        <v/>
      </c>
      <c r="AA527" s="66" t="str">
        <f>IF(AND(X527="Reçu",ISNUMBER(R527)),IF(N(U527)&lt;=R527,1,0),"")</f>
        <v/>
      </c>
      <c r="AB527" s="76" t="str">
        <f>IF(OR(X527="Envoyé",X527="Partiel",X527="En retard"),IF(ISNUMBER(R527),R527,100000)+ROW()/100000,"")</f>
        <v/>
      </c>
      <c r="AC527" s="66" t="str">
        <f>IF(A527="","",IF(COUNTIF($A$6:A527,A527)=1,1,""))</f>
        <v/>
      </c>
      <c r="AD527" s="66" t="str">
        <f>IF(AC527=1,COUNT($AC$6:AC527),"")</f>
        <v/>
      </c>
      <c r="AE527" s="66" t="str">
        <f>IFERROR(INDEX(po_num,MATCH(522,po_seq,0))&amp;"","")</f>
        <v/>
      </c>
      <c r="AF527" s="66" t="str">
        <f>IF(OR(A527="",p_po=""),"",IF(A527&amp;""=p_po,COUNTIF($A$6:A527,A527),""))</f>
        <v/>
      </c>
      <c r="AG527" s="66" t="str">
        <f>IF(OR(AB527="",A527=""),"",IF(COUNTIFS($A$6:A527,A527,$AB$6:AB527,"&gt;0")=1,1,""))</f>
        <v/>
      </c>
      <c r="AH527" s="70" t="str">
        <f>IF(AB527="","",ROUND(N(W527)*N(J527)*(1-N(K527)),2))</f>
        <v/>
      </c>
      <c r="AI527" s="70" t="str">
        <f>IF(OR(J527="",N(T527)&lt;=0,V527="Oui"),"",ROUND(N(T527)*J527*(1-N(K527)),2))</f>
        <v/>
      </c>
    </row>
    <row r="528">
      <c r="A528" s="63" t="n"/>
      <c r="B528" s="64" t="n"/>
      <c r="C528" s="65" t="n"/>
      <c r="D528" s="66" t="str">
        <f>IF(C528="","",IFERROR(INDEX(sup_name,MATCH($C528,sup_code,0))&amp;"","Fournisseur inconnu"))</f>
        <v/>
      </c>
      <c r="E528" s="63" t="n"/>
      <c r="F528" s="66" t="str">
        <f>IF(E528="","",IFERROR(INDEX(art_des,MATCH($E528,art_ref,0))&amp;"","Article inconnu"))</f>
        <v/>
      </c>
      <c r="G528" s="67" t="str">
        <f>IF(E528="","",IFERROR(INDEX(art_unit,MATCH($E528,art_ref,0))&amp;"",""))</f>
        <v/>
      </c>
      <c r="H528" s="68" t="n"/>
      <c r="I528" s="69" t="n"/>
      <c r="J528" s="70" t="str">
        <f>IF(E528="","",IF(ISNUMBER(I528),I528,IFERROR(IF(ISNUMBER(INDEX(art_price,MATCH($E528,art_ref,0))),INDEX(art_price,MATCH($E528,art_ref,0)),""),"")))</f>
        <v/>
      </c>
      <c r="K528" s="71" t="n"/>
      <c r="L528" s="72" t="n"/>
      <c r="M528" s="72" t="str">
        <f>IF(E528="","",IF(L528&lt;&gt;"",L528,IFERROR(IF(ISNUMBER(INDEX(art_tva,MATCH($E528,art_ref,0))),INDEX(art_tva,MATCH($E528,art_ref,0)),""),"")))</f>
        <v/>
      </c>
      <c r="N528" s="70" t="str">
        <f>IF(OR(E528="",J528=""),"",ROUND(N(H528)*J528*(1-N(K528)),2))</f>
        <v/>
      </c>
      <c r="O528" s="70" t="str">
        <f>IF(OR(N528="",NOT(ISNUMBER(M528))),"",ROUND(N528*M528,2))</f>
        <v/>
      </c>
      <c r="P528" s="70" t="str">
        <f>IF(N528="","",N528+N(O528))</f>
        <v/>
      </c>
      <c r="Q528" s="64" t="n"/>
      <c r="R528" s="73" t="str">
        <f>IF(N(Q528)&gt;0,Q528,IF(OR(N(B528)=0,ISNA(MATCH($C528,sup_code,0))),"",IF(ISNUMBER(INDEX(sup_delay,MATCH($C528,sup_code,0))),B528+INDEX(sup_delay,MATCH($C528,sup_code,0)),"")))</f>
        <v/>
      </c>
      <c r="S528" s="64" t="n"/>
      <c r="T528" s="68" t="n"/>
      <c r="U528" s="64" t="n"/>
      <c r="V528" s="65" t="n"/>
      <c r="W528" s="74" t="str">
        <f>IF(AND(A528="",E528=""),"",IF(V528="Oui",0,MAX(0,ROUND(N(H528)-N(T528),6))))</f>
        <v/>
      </c>
      <c r="X528" s="67" t="str">
        <f>IF(AND(A528="",E528=""),"",IF(V528="Oui","Annulé",IF(AND(N(H528)&gt;0,N(T528)&gt;=N(H528)),"Reçu",IF(N(S528)=0,"Brouillon",IF(AND(ISNUMBER(R528),R528&lt;p_today),"En retard",IF(N(T528)&gt;0,"Partiel","Envoyé"))))))</f>
        <v/>
      </c>
      <c r="Y528" s="75" t="str">
        <f>IF(X528="En retard",p_today-R528,IF(AND(X528="Reçu",ISNUMBER(R528)),MAX(0,N(U528)-R528),""))</f>
        <v/>
      </c>
      <c r="Z528" s="67" t="str">
        <f>IF(AND(A528="",E528=""),"",IF(A528="","N° de bon manquant",IF(N(B528)=0,"Date de commande manquante",IF(C528="","Fournisseur manquant",IF(ISNA(MATCH($C528,sup_code,0)),"Fournisseur inconnu",IF(E528="","Article manquant",IF(ISNA(MATCH($E528,art_ref,0)),"Article inconnu",IF(N(H528)&lt;=0,"Quantité invalide",IF(J528="","Prix manquant",IF(OR(N(K528)&lt;0,N(K528)&gt;=1),"Remise invalide",IF(M528="","TVA manquante",IF(ISNA(MATCH(M528,p_tva,0)),"Taux de TVA inconnu",IF(COUNTIFS(po_num,A528,po_sup,"&lt;&gt;"&amp;C528)&gt;0,"Fournisseur différent sur ce bon",IF(COUNTIFS(po_num,A528,po_date,"&lt;&gt;"&amp;B528)&gt;0,"Date différente sur ce bon",IF(COUNTIF(po_num,A528)&gt;25,"Plus de 25 lignes sur ce bon",IF(R528="","Date de livraison manquante",IF(R528&lt;B528,"Livraison avant la commande",IF(AND(N(T528)&gt;0,N(S528)=0),"Date d'envoi manquante",IF(N(T528)&gt;N(H528),"Reçu plus que commandé",IF(AND(N(T528)&gt;0,N(U528)=0),"Date de réception manquante",IF(AND(N(U528)&gt;0,U528&lt;B528),"Réception avant la commande","OK")))))))))))))))))))))</f>
        <v/>
      </c>
      <c r="AA528" s="66" t="str">
        <f>IF(AND(X528="Reçu",ISNUMBER(R528)),IF(N(U528)&lt;=R528,1,0),"")</f>
        <v/>
      </c>
      <c r="AB528" s="76" t="str">
        <f>IF(OR(X528="Envoyé",X528="Partiel",X528="En retard"),IF(ISNUMBER(R528),R528,100000)+ROW()/100000,"")</f>
        <v/>
      </c>
      <c r="AC528" s="66" t="str">
        <f>IF(A528="","",IF(COUNTIF($A$6:A528,A528)=1,1,""))</f>
        <v/>
      </c>
      <c r="AD528" s="66" t="str">
        <f>IF(AC528=1,COUNT($AC$6:AC528),"")</f>
        <v/>
      </c>
      <c r="AE528" s="66" t="str">
        <f>IFERROR(INDEX(po_num,MATCH(523,po_seq,0))&amp;"","")</f>
        <v/>
      </c>
      <c r="AF528" s="66" t="str">
        <f>IF(OR(A528="",p_po=""),"",IF(A528&amp;""=p_po,COUNTIF($A$6:A528,A528),""))</f>
        <v/>
      </c>
      <c r="AG528" s="66" t="str">
        <f>IF(OR(AB528="",A528=""),"",IF(COUNTIFS($A$6:A528,A528,$AB$6:AB528,"&gt;0")=1,1,""))</f>
        <v/>
      </c>
      <c r="AH528" s="70" t="str">
        <f>IF(AB528="","",ROUND(N(W528)*N(J528)*(1-N(K528)),2))</f>
        <v/>
      </c>
      <c r="AI528" s="70" t="str">
        <f>IF(OR(J528="",N(T528)&lt;=0,V528="Oui"),"",ROUND(N(T528)*J528*(1-N(K528)),2))</f>
        <v/>
      </c>
    </row>
    <row r="529">
      <c r="A529" s="63" t="n"/>
      <c r="B529" s="64" t="n"/>
      <c r="C529" s="65" t="n"/>
      <c r="D529" s="66" t="str">
        <f>IF(C529="","",IFERROR(INDEX(sup_name,MATCH($C529,sup_code,0))&amp;"","Fournisseur inconnu"))</f>
        <v/>
      </c>
      <c r="E529" s="63" t="n"/>
      <c r="F529" s="66" t="str">
        <f>IF(E529="","",IFERROR(INDEX(art_des,MATCH($E529,art_ref,0))&amp;"","Article inconnu"))</f>
        <v/>
      </c>
      <c r="G529" s="67" t="str">
        <f>IF(E529="","",IFERROR(INDEX(art_unit,MATCH($E529,art_ref,0))&amp;"",""))</f>
        <v/>
      </c>
      <c r="H529" s="68" t="n"/>
      <c r="I529" s="69" t="n"/>
      <c r="J529" s="70" t="str">
        <f>IF(E529="","",IF(ISNUMBER(I529),I529,IFERROR(IF(ISNUMBER(INDEX(art_price,MATCH($E529,art_ref,0))),INDEX(art_price,MATCH($E529,art_ref,0)),""),"")))</f>
        <v/>
      </c>
      <c r="K529" s="71" t="n"/>
      <c r="L529" s="72" t="n"/>
      <c r="M529" s="72" t="str">
        <f>IF(E529="","",IF(L529&lt;&gt;"",L529,IFERROR(IF(ISNUMBER(INDEX(art_tva,MATCH($E529,art_ref,0))),INDEX(art_tva,MATCH($E529,art_ref,0)),""),"")))</f>
        <v/>
      </c>
      <c r="N529" s="70" t="str">
        <f>IF(OR(E529="",J529=""),"",ROUND(N(H529)*J529*(1-N(K529)),2))</f>
        <v/>
      </c>
      <c r="O529" s="70" t="str">
        <f>IF(OR(N529="",NOT(ISNUMBER(M529))),"",ROUND(N529*M529,2))</f>
        <v/>
      </c>
      <c r="P529" s="70" t="str">
        <f>IF(N529="","",N529+N(O529))</f>
        <v/>
      </c>
      <c r="Q529" s="64" t="n"/>
      <c r="R529" s="73" t="str">
        <f>IF(N(Q529)&gt;0,Q529,IF(OR(N(B529)=0,ISNA(MATCH($C529,sup_code,0))),"",IF(ISNUMBER(INDEX(sup_delay,MATCH($C529,sup_code,0))),B529+INDEX(sup_delay,MATCH($C529,sup_code,0)),"")))</f>
        <v/>
      </c>
      <c r="S529" s="64" t="n"/>
      <c r="T529" s="68" t="n"/>
      <c r="U529" s="64" t="n"/>
      <c r="V529" s="65" t="n"/>
      <c r="W529" s="74" t="str">
        <f>IF(AND(A529="",E529=""),"",IF(V529="Oui",0,MAX(0,ROUND(N(H529)-N(T529),6))))</f>
        <v/>
      </c>
      <c r="X529" s="67" t="str">
        <f>IF(AND(A529="",E529=""),"",IF(V529="Oui","Annulé",IF(AND(N(H529)&gt;0,N(T529)&gt;=N(H529)),"Reçu",IF(N(S529)=0,"Brouillon",IF(AND(ISNUMBER(R529),R529&lt;p_today),"En retard",IF(N(T529)&gt;0,"Partiel","Envoyé"))))))</f>
        <v/>
      </c>
      <c r="Y529" s="75" t="str">
        <f>IF(X529="En retard",p_today-R529,IF(AND(X529="Reçu",ISNUMBER(R529)),MAX(0,N(U529)-R529),""))</f>
        <v/>
      </c>
      <c r="Z529" s="67" t="str">
        <f>IF(AND(A529="",E529=""),"",IF(A529="","N° de bon manquant",IF(N(B529)=0,"Date de commande manquante",IF(C529="","Fournisseur manquant",IF(ISNA(MATCH($C529,sup_code,0)),"Fournisseur inconnu",IF(E529="","Article manquant",IF(ISNA(MATCH($E529,art_ref,0)),"Article inconnu",IF(N(H529)&lt;=0,"Quantité invalide",IF(J529="","Prix manquant",IF(OR(N(K529)&lt;0,N(K529)&gt;=1),"Remise invalide",IF(M529="","TVA manquante",IF(ISNA(MATCH(M529,p_tva,0)),"Taux de TVA inconnu",IF(COUNTIFS(po_num,A529,po_sup,"&lt;&gt;"&amp;C529)&gt;0,"Fournisseur différent sur ce bon",IF(COUNTIFS(po_num,A529,po_date,"&lt;&gt;"&amp;B529)&gt;0,"Date différente sur ce bon",IF(COUNTIF(po_num,A529)&gt;25,"Plus de 25 lignes sur ce bon",IF(R529="","Date de livraison manquante",IF(R529&lt;B529,"Livraison avant la commande",IF(AND(N(T529)&gt;0,N(S529)=0),"Date d'envoi manquante",IF(N(T529)&gt;N(H529),"Reçu plus que commandé",IF(AND(N(T529)&gt;0,N(U529)=0),"Date de réception manquante",IF(AND(N(U529)&gt;0,U529&lt;B529),"Réception avant la commande","OK")))))))))))))))))))))</f>
        <v/>
      </c>
      <c r="AA529" s="66" t="str">
        <f>IF(AND(X529="Reçu",ISNUMBER(R529)),IF(N(U529)&lt;=R529,1,0),"")</f>
        <v/>
      </c>
      <c r="AB529" s="76" t="str">
        <f>IF(OR(X529="Envoyé",X529="Partiel",X529="En retard"),IF(ISNUMBER(R529),R529,100000)+ROW()/100000,"")</f>
        <v/>
      </c>
      <c r="AC529" s="66" t="str">
        <f>IF(A529="","",IF(COUNTIF($A$6:A529,A529)=1,1,""))</f>
        <v/>
      </c>
      <c r="AD529" s="66" t="str">
        <f>IF(AC529=1,COUNT($AC$6:AC529),"")</f>
        <v/>
      </c>
      <c r="AE529" s="66" t="str">
        <f>IFERROR(INDEX(po_num,MATCH(524,po_seq,0))&amp;"","")</f>
        <v/>
      </c>
      <c r="AF529" s="66" t="str">
        <f>IF(OR(A529="",p_po=""),"",IF(A529&amp;""=p_po,COUNTIF($A$6:A529,A529),""))</f>
        <v/>
      </c>
      <c r="AG529" s="66" t="str">
        <f>IF(OR(AB529="",A529=""),"",IF(COUNTIFS($A$6:A529,A529,$AB$6:AB529,"&gt;0")=1,1,""))</f>
        <v/>
      </c>
      <c r="AH529" s="70" t="str">
        <f>IF(AB529="","",ROUND(N(W529)*N(J529)*(1-N(K529)),2))</f>
        <v/>
      </c>
      <c r="AI529" s="70" t="str">
        <f>IF(OR(J529="",N(T529)&lt;=0,V529="Oui"),"",ROUND(N(T529)*J529*(1-N(K529)),2))</f>
        <v/>
      </c>
    </row>
    <row r="530">
      <c r="A530" s="63" t="n"/>
      <c r="B530" s="64" t="n"/>
      <c r="C530" s="65" t="n"/>
      <c r="D530" s="66" t="str">
        <f>IF(C530="","",IFERROR(INDEX(sup_name,MATCH($C530,sup_code,0))&amp;"","Fournisseur inconnu"))</f>
        <v/>
      </c>
      <c r="E530" s="63" t="n"/>
      <c r="F530" s="66" t="str">
        <f>IF(E530="","",IFERROR(INDEX(art_des,MATCH($E530,art_ref,0))&amp;"","Article inconnu"))</f>
        <v/>
      </c>
      <c r="G530" s="67" t="str">
        <f>IF(E530="","",IFERROR(INDEX(art_unit,MATCH($E530,art_ref,0))&amp;"",""))</f>
        <v/>
      </c>
      <c r="H530" s="68" t="n"/>
      <c r="I530" s="69" t="n"/>
      <c r="J530" s="70" t="str">
        <f>IF(E530="","",IF(ISNUMBER(I530),I530,IFERROR(IF(ISNUMBER(INDEX(art_price,MATCH($E530,art_ref,0))),INDEX(art_price,MATCH($E530,art_ref,0)),""),"")))</f>
        <v/>
      </c>
      <c r="K530" s="71" t="n"/>
      <c r="L530" s="72" t="n"/>
      <c r="M530" s="72" t="str">
        <f>IF(E530="","",IF(L530&lt;&gt;"",L530,IFERROR(IF(ISNUMBER(INDEX(art_tva,MATCH($E530,art_ref,0))),INDEX(art_tva,MATCH($E530,art_ref,0)),""),"")))</f>
        <v/>
      </c>
      <c r="N530" s="70" t="str">
        <f>IF(OR(E530="",J530=""),"",ROUND(N(H530)*J530*(1-N(K530)),2))</f>
        <v/>
      </c>
      <c r="O530" s="70" t="str">
        <f>IF(OR(N530="",NOT(ISNUMBER(M530))),"",ROUND(N530*M530,2))</f>
        <v/>
      </c>
      <c r="P530" s="70" t="str">
        <f>IF(N530="","",N530+N(O530))</f>
        <v/>
      </c>
      <c r="Q530" s="64" t="n"/>
      <c r="R530" s="73" t="str">
        <f>IF(N(Q530)&gt;0,Q530,IF(OR(N(B530)=0,ISNA(MATCH($C530,sup_code,0))),"",IF(ISNUMBER(INDEX(sup_delay,MATCH($C530,sup_code,0))),B530+INDEX(sup_delay,MATCH($C530,sup_code,0)),"")))</f>
        <v/>
      </c>
      <c r="S530" s="64" t="n"/>
      <c r="T530" s="68" t="n"/>
      <c r="U530" s="64" t="n"/>
      <c r="V530" s="65" t="n"/>
      <c r="W530" s="74" t="str">
        <f>IF(AND(A530="",E530=""),"",IF(V530="Oui",0,MAX(0,ROUND(N(H530)-N(T530),6))))</f>
        <v/>
      </c>
      <c r="X530" s="67" t="str">
        <f>IF(AND(A530="",E530=""),"",IF(V530="Oui","Annulé",IF(AND(N(H530)&gt;0,N(T530)&gt;=N(H530)),"Reçu",IF(N(S530)=0,"Brouillon",IF(AND(ISNUMBER(R530),R530&lt;p_today),"En retard",IF(N(T530)&gt;0,"Partiel","Envoyé"))))))</f>
        <v/>
      </c>
      <c r="Y530" s="75" t="str">
        <f>IF(X530="En retard",p_today-R530,IF(AND(X530="Reçu",ISNUMBER(R530)),MAX(0,N(U530)-R530),""))</f>
        <v/>
      </c>
      <c r="Z530" s="67" t="str">
        <f>IF(AND(A530="",E530=""),"",IF(A530="","N° de bon manquant",IF(N(B530)=0,"Date de commande manquante",IF(C530="","Fournisseur manquant",IF(ISNA(MATCH($C530,sup_code,0)),"Fournisseur inconnu",IF(E530="","Article manquant",IF(ISNA(MATCH($E530,art_ref,0)),"Article inconnu",IF(N(H530)&lt;=0,"Quantité invalide",IF(J530="","Prix manquant",IF(OR(N(K530)&lt;0,N(K530)&gt;=1),"Remise invalide",IF(M530="","TVA manquante",IF(ISNA(MATCH(M530,p_tva,0)),"Taux de TVA inconnu",IF(COUNTIFS(po_num,A530,po_sup,"&lt;&gt;"&amp;C530)&gt;0,"Fournisseur différent sur ce bon",IF(COUNTIFS(po_num,A530,po_date,"&lt;&gt;"&amp;B530)&gt;0,"Date différente sur ce bon",IF(COUNTIF(po_num,A530)&gt;25,"Plus de 25 lignes sur ce bon",IF(R530="","Date de livraison manquante",IF(R530&lt;B530,"Livraison avant la commande",IF(AND(N(T530)&gt;0,N(S530)=0),"Date d'envoi manquante",IF(N(T530)&gt;N(H530),"Reçu plus que commandé",IF(AND(N(T530)&gt;0,N(U530)=0),"Date de réception manquante",IF(AND(N(U530)&gt;0,U530&lt;B530),"Réception avant la commande","OK")))))))))))))))))))))</f>
        <v/>
      </c>
      <c r="AA530" s="66" t="str">
        <f>IF(AND(X530="Reçu",ISNUMBER(R530)),IF(N(U530)&lt;=R530,1,0),"")</f>
        <v/>
      </c>
      <c r="AB530" s="76" t="str">
        <f>IF(OR(X530="Envoyé",X530="Partiel",X530="En retard"),IF(ISNUMBER(R530),R530,100000)+ROW()/100000,"")</f>
        <v/>
      </c>
      <c r="AC530" s="66" t="str">
        <f>IF(A530="","",IF(COUNTIF($A$6:A530,A530)=1,1,""))</f>
        <v/>
      </c>
      <c r="AD530" s="66" t="str">
        <f>IF(AC530=1,COUNT($AC$6:AC530),"")</f>
        <v/>
      </c>
      <c r="AE530" s="66" t="str">
        <f>IFERROR(INDEX(po_num,MATCH(525,po_seq,0))&amp;"","")</f>
        <v/>
      </c>
      <c r="AF530" s="66" t="str">
        <f>IF(OR(A530="",p_po=""),"",IF(A530&amp;""=p_po,COUNTIF($A$6:A530,A530),""))</f>
        <v/>
      </c>
      <c r="AG530" s="66" t="str">
        <f>IF(OR(AB530="",A530=""),"",IF(COUNTIFS($A$6:A530,A530,$AB$6:AB530,"&gt;0")=1,1,""))</f>
        <v/>
      </c>
      <c r="AH530" s="70" t="str">
        <f>IF(AB530="","",ROUND(N(W530)*N(J530)*(1-N(K530)),2))</f>
        <v/>
      </c>
      <c r="AI530" s="70" t="str">
        <f>IF(OR(J530="",N(T530)&lt;=0,V530="Oui"),"",ROUND(N(T530)*J530*(1-N(K530)),2))</f>
        <v/>
      </c>
    </row>
    <row r="531">
      <c r="A531" s="63" t="n"/>
      <c r="B531" s="64" t="n"/>
      <c r="C531" s="65" t="n"/>
      <c r="D531" s="66" t="str">
        <f>IF(C531="","",IFERROR(INDEX(sup_name,MATCH($C531,sup_code,0))&amp;"","Fournisseur inconnu"))</f>
        <v/>
      </c>
      <c r="E531" s="63" t="n"/>
      <c r="F531" s="66" t="str">
        <f>IF(E531="","",IFERROR(INDEX(art_des,MATCH($E531,art_ref,0))&amp;"","Article inconnu"))</f>
        <v/>
      </c>
      <c r="G531" s="67" t="str">
        <f>IF(E531="","",IFERROR(INDEX(art_unit,MATCH($E531,art_ref,0))&amp;"",""))</f>
        <v/>
      </c>
      <c r="H531" s="68" t="n"/>
      <c r="I531" s="69" t="n"/>
      <c r="J531" s="70" t="str">
        <f>IF(E531="","",IF(ISNUMBER(I531),I531,IFERROR(IF(ISNUMBER(INDEX(art_price,MATCH($E531,art_ref,0))),INDEX(art_price,MATCH($E531,art_ref,0)),""),"")))</f>
        <v/>
      </c>
      <c r="K531" s="71" t="n"/>
      <c r="L531" s="72" t="n"/>
      <c r="M531" s="72" t="str">
        <f>IF(E531="","",IF(L531&lt;&gt;"",L531,IFERROR(IF(ISNUMBER(INDEX(art_tva,MATCH($E531,art_ref,0))),INDEX(art_tva,MATCH($E531,art_ref,0)),""),"")))</f>
        <v/>
      </c>
      <c r="N531" s="70" t="str">
        <f>IF(OR(E531="",J531=""),"",ROUND(N(H531)*J531*(1-N(K531)),2))</f>
        <v/>
      </c>
      <c r="O531" s="70" t="str">
        <f>IF(OR(N531="",NOT(ISNUMBER(M531))),"",ROUND(N531*M531,2))</f>
        <v/>
      </c>
      <c r="P531" s="70" t="str">
        <f>IF(N531="","",N531+N(O531))</f>
        <v/>
      </c>
      <c r="Q531" s="64" t="n"/>
      <c r="R531" s="73" t="str">
        <f>IF(N(Q531)&gt;0,Q531,IF(OR(N(B531)=0,ISNA(MATCH($C531,sup_code,0))),"",IF(ISNUMBER(INDEX(sup_delay,MATCH($C531,sup_code,0))),B531+INDEX(sup_delay,MATCH($C531,sup_code,0)),"")))</f>
        <v/>
      </c>
      <c r="S531" s="64" t="n"/>
      <c r="T531" s="68" t="n"/>
      <c r="U531" s="64" t="n"/>
      <c r="V531" s="65" t="n"/>
      <c r="W531" s="74" t="str">
        <f>IF(AND(A531="",E531=""),"",IF(V531="Oui",0,MAX(0,ROUND(N(H531)-N(T531),6))))</f>
        <v/>
      </c>
      <c r="X531" s="67" t="str">
        <f>IF(AND(A531="",E531=""),"",IF(V531="Oui","Annulé",IF(AND(N(H531)&gt;0,N(T531)&gt;=N(H531)),"Reçu",IF(N(S531)=0,"Brouillon",IF(AND(ISNUMBER(R531),R531&lt;p_today),"En retard",IF(N(T531)&gt;0,"Partiel","Envoyé"))))))</f>
        <v/>
      </c>
      <c r="Y531" s="75" t="str">
        <f>IF(X531="En retard",p_today-R531,IF(AND(X531="Reçu",ISNUMBER(R531)),MAX(0,N(U531)-R531),""))</f>
        <v/>
      </c>
      <c r="Z531" s="67" t="str">
        <f>IF(AND(A531="",E531=""),"",IF(A531="","N° de bon manquant",IF(N(B531)=0,"Date de commande manquante",IF(C531="","Fournisseur manquant",IF(ISNA(MATCH($C531,sup_code,0)),"Fournisseur inconnu",IF(E531="","Article manquant",IF(ISNA(MATCH($E531,art_ref,0)),"Article inconnu",IF(N(H531)&lt;=0,"Quantité invalide",IF(J531="","Prix manquant",IF(OR(N(K531)&lt;0,N(K531)&gt;=1),"Remise invalide",IF(M531="","TVA manquante",IF(ISNA(MATCH(M531,p_tva,0)),"Taux de TVA inconnu",IF(COUNTIFS(po_num,A531,po_sup,"&lt;&gt;"&amp;C531)&gt;0,"Fournisseur différent sur ce bon",IF(COUNTIFS(po_num,A531,po_date,"&lt;&gt;"&amp;B531)&gt;0,"Date différente sur ce bon",IF(COUNTIF(po_num,A531)&gt;25,"Plus de 25 lignes sur ce bon",IF(R531="","Date de livraison manquante",IF(R531&lt;B531,"Livraison avant la commande",IF(AND(N(T531)&gt;0,N(S531)=0),"Date d'envoi manquante",IF(N(T531)&gt;N(H531),"Reçu plus que commandé",IF(AND(N(T531)&gt;0,N(U531)=0),"Date de réception manquante",IF(AND(N(U531)&gt;0,U531&lt;B531),"Réception avant la commande","OK")))))))))))))))))))))</f>
        <v/>
      </c>
      <c r="AA531" s="66" t="str">
        <f>IF(AND(X531="Reçu",ISNUMBER(R531)),IF(N(U531)&lt;=R531,1,0),"")</f>
        <v/>
      </c>
      <c r="AB531" s="76" t="str">
        <f>IF(OR(X531="Envoyé",X531="Partiel",X531="En retard"),IF(ISNUMBER(R531),R531,100000)+ROW()/100000,"")</f>
        <v/>
      </c>
      <c r="AC531" s="66" t="str">
        <f>IF(A531="","",IF(COUNTIF($A$6:A531,A531)=1,1,""))</f>
        <v/>
      </c>
      <c r="AD531" s="66" t="str">
        <f>IF(AC531=1,COUNT($AC$6:AC531),"")</f>
        <v/>
      </c>
      <c r="AE531" s="66" t="str">
        <f>IFERROR(INDEX(po_num,MATCH(526,po_seq,0))&amp;"","")</f>
        <v/>
      </c>
      <c r="AF531" s="66" t="str">
        <f>IF(OR(A531="",p_po=""),"",IF(A531&amp;""=p_po,COUNTIF($A$6:A531,A531),""))</f>
        <v/>
      </c>
      <c r="AG531" s="66" t="str">
        <f>IF(OR(AB531="",A531=""),"",IF(COUNTIFS($A$6:A531,A531,$AB$6:AB531,"&gt;0")=1,1,""))</f>
        <v/>
      </c>
      <c r="AH531" s="70" t="str">
        <f>IF(AB531="","",ROUND(N(W531)*N(J531)*(1-N(K531)),2))</f>
        <v/>
      </c>
      <c r="AI531" s="70" t="str">
        <f>IF(OR(J531="",N(T531)&lt;=0,V531="Oui"),"",ROUND(N(T531)*J531*(1-N(K531)),2))</f>
        <v/>
      </c>
    </row>
    <row r="532">
      <c r="A532" s="63" t="n"/>
      <c r="B532" s="64" t="n"/>
      <c r="C532" s="65" t="n"/>
      <c r="D532" s="66" t="str">
        <f>IF(C532="","",IFERROR(INDEX(sup_name,MATCH($C532,sup_code,0))&amp;"","Fournisseur inconnu"))</f>
        <v/>
      </c>
      <c r="E532" s="63" t="n"/>
      <c r="F532" s="66" t="str">
        <f>IF(E532="","",IFERROR(INDEX(art_des,MATCH($E532,art_ref,0))&amp;"","Article inconnu"))</f>
        <v/>
      </c>
      <c r="G532" s="67" t="str">
        <f>IF(E532="","",IFERROR(INDEX(art_unit,MATCH($E532,art_ref,0))&amp;"",""))</f>
        <v/>
      </c>
      <c r="H532" s="68" t="n"/>
      <c r="I532" s="69" t="n"/>
      <c r="J532" s="70" t="str">
        <f>IF(E532="","",IF(ISNUMBER(I532),I532,IFERROR(IF(ISNUMBER(INDEX(art_price,MATCH($E532,art_ref,0))),INDEX(art_price,MATCH($E532,art_ref,0)),""),"")))</f>
        <v/>
      </c>
      <c r="K532" s="71" t="n"/>
      <c r="L532" s="72" t="n"/>
      <c r="M532" s="72" t="str">
        <f>IF(E532="","",IF(L532&lt;&gt;"",L532,IFERROR(IF(ISNUMBER(INDEX(art_tva,MATCH($E532,art_ref,0))),INDEX(art_tva,MATCH($E532,art_ref,0)),""),"")))</f>
        <v/>
      </c>
      <c r="N532" s="70" t="str">
        <f>IF(OR(E532="",J532=""),"",ROUND(N(H532)*J532*(1-N(K532)),2))</f>
        <v/>
      </c>
      <c r="O532" s="70" t="str">
        <f>IF(OR(N532="",NOT(ISNUMBER(M532))),"",ROUND(N532*M532,2))</f>
        <v/>
      </c>
      <c r="P532" s="70" t="str">
        <f>IF(N532="","",N532+N(O532))</f>
        <v/>
      </c>
      <c r="Q532" s="64" t="n"/>
      <c r="R532" s="73" t="str">
        <f>IF(N(Q532)&gt;0,Q532,IF(OR(N(B532)=0,ISNA(MATCH($C532,sup_code,0))),"",IF(ISNUMBER(INDEX(sup_delay,MATCH($C532,sup_code,0))),B532+INDEX(sup_delay,MATCH($C532,sup_code,0)),"")))</f>
        <v/>
      </c>
      <c r="S532" s="64" t="n"/>
      <c r="T532" s="68" t="n"/>
      <c r="U532" s="64" t="n"/>
      <c r="V532" s="65" t="n"/>
      <c r="W532" s="74" t="str">
        <f>IF(AND(A532="",E532=""),"",IF(V532="Oui",0,MAX(0,ROUND(N(H532)-N(T532),6))))</f>
        <v/>
      </c>
      <c r="X532" s="67" t="str">
        <f>IF(AND(A532="",E532=""),"",IF(V532="Oui","Annulé",IF(AND(N(H532)&gt;0,N(T532)&gt;=N(H532)),"Reçu",IF(N(S532)=0,"Brouillon",IF(AND(ISNUMBER(R532),R532&lt;p_today),"En retard",IF(N(T532)&gt;0,"Partiel","Envoyé"))))))</f>
        <v/>
      </c>
      <c r="Y532" s="75" t="str">
        <f>IF(X532="En retard",p_today-R532,IF(AND(X532="Reçu",ISNUMBER(R532)),MAX(0,N(U532)-R532),""))</f>
        <v/>
      </c>
      <c r="Z532" s="67" t="str">
        <f>IF(AND(A532="",E532=""),"",IF(A532="","N° de bon manquant",IF(N(B532)=0,"Date de commande manquante",IF(C532="","Fournisseur manquant",IF(ISNA(MATCH($C532,sup_code,0)),"Fournisseur inconnu",IF(E532="","Article manquant",IF(ISNA(MATCH($E532,art_ref,0)),"Article inconnu",IF(N(H532)&lt;=0,"Quantité invalide",IF(J532="","Prix manquant",IF(OR(N(K532)&lt;0,N(K532)&gt;=1),"Remise invalide",IF(M532="","TVA manquante",IF(ISNA(MATCH(M532,p_tva,0)),"Taux de TVA inconnu",IF(COUNTIFS(po_num,A532,po_sup,"&lt;&gt;"&amp;C532)&gt;0,"Fournisseur différent sur ce bon",IF(COUNTIFS(po_num,A532,po_date,"&lt;&gt;"&amp;B532)&gt;0,"Date différente sur ce bon",IF(COUNTIF(po_num,A532)&gt;25,"Plus de 25 lignes sur ce bon",IF(R532="","Date de livraison manquante",IF(R532&lt;B532,"Livraison avant la commande",IF(AND(N(T532)&gt;0,N(S532)=0),"Date d'envoi manquante",IF(N(T532)&gt;N(H532),"Reçu plus que commandé",IF(AND(N(T532)&gt;0,N(U532)=0),"Date de réception manquante",IF(AND(N(U532)&gt;0,U532&lt;B532),"Réception avant la commande","OK")))))))))))))))))))))</f>
        <v/>
      </c>
      <c r="AA532" s="66" t="str">
        <f>IF(AND(X532="Reçu",ISNUMBER(R532)),IF(N(U532)&lt;=R532,1,0),"")</f>
        <v/>
      </c>
      <c r="AB532" s="76" t="str">
        <f>IF(OR(X532="Envoyé",X532="Partiel",X532="En retard"),IF(ISNUMBER(R532),R532,100000)+ROW()/100000,"")</f>
        <v/>
      </c>
      <c r="AC532" s="66" t="str">
        <f>IF(A532="","",IF(COUNTIF($A$6:A532,A532)=1,1,""))</f>
        <v/>
      </c>
      <c r="AD532" s="66" t="str">
        <f>IF(AC532=1,COUNT($AC$6:AC532),"")</f>
        <v/>
      </c>
      <c r="AE532" s="66" t="str">
        <f>IFERROR(INDEX(po_num,MATCH(527,po_seq,0))&amp;"","")</f>
        <v/>
      </c>
      <c r="AF532" s="66" t="str">
        <f>IF(OR(A532="",p_po=""),"",IF(A532&amp;""=p_po,COUNTIF($A$6:A532,A532),""))</f>
        <v/>
      </c>
      <c r="AG532" s="66" t="str">
        <f>IF(OR(AB532="",A532=""),"",IF(COUNTIFS($A$6:A532,A532,$AB$6:AB532,"&gt;0")=1,1,""))</f>
        <v/>
      </c>
      <c r="AH532" s="70" t="str">
        <f>IF(AB532="","",ROUND(N(W532)*N(J532)*(1-N(K532)),2))</f>
        <v/>
      </c>
      <c r="AI532" s="70" t="str">
        <f>IF(OR(J532="",N(T532)&lt;=0,V532="Oui"),"",ROUND(N(T532)*J532*(1-N(K532)),2))</f>
        <v/>
      </c>
    </row>
    <row r="533">
      <c r="A533" s="63" t="n"/>
      <c r="B533" s="64" t="n"/>
      <c r="C533" s="65" t="n"/>
      <c r="D533" s="66" t="str">
        <f>IF(C533="","",IFERROR(INDEX(sup_name,MATCH($C533,sup_code,0))&amp;"","Fournisseur inconnu"))</f>
        <v/>
      </c>
      <c r="E533" s="63" t="n"/>
      <c r="F533" s="66" t="str">
        <f>IF(E533="","",IFERROR(INDEX(art_des,MATCH($E533,art_ref,0))&amp;"","Article inconnu"))</f>
        <v/>
      </c>
      <c r="G533" s="67" t="str">
        <f>IF(E533="","",IFERROR(INDEX(art_unit,MATCH($E533,art_ref,0))&amp;"",""))</f>
        <v/>
      </c>
      <c r="H533" s="68" t="n"/>
      <c r="I533" s="69" t="n"/>
      <c r="J533" s="70" t="str">
        <f>IF(E533="","",IF(ISNUMBER(I533),I533,IFERROR(IF(ISNUMBER(INDEX(art_price,MATCH($E533,art_ref,0))),INDEX(art_price,MATCH($E533,art_ref,0)),""),"")))</f>
        <v/>
      </c>
      <c r="K533" s="71" t="n"/>
      <c r="L533" s="72" t="n"/>
      <c r="M533" s="72" t="str">
        <f>IF(E533="","",IF(L533&lt;&gt;"",L533,IFERROR(IF(ISNUMBER(INDEX(art_tva,MATCH($E533,art_ref,0))),INDEX(art_tva,MATCH($E533,art_ref,0)),""),"")))</f>
        <v/>
      </c>
      <c r="N533" s="70" t="str">
        <f>IF(OR(E533="",J533=""),"",ROUND(N(H533)*J533*(1-N(K533)),2))</f>
        <v/>
      </c>
      <c r="O533" s="70" t="str">
        <f>IF(OR(N533="",NOT(ISNUMBER(M533))),"",ROUND(N533*M533,2))</f>
        <v/>
      </c>
      <c r="P533" s="70" t="str">
        <f>IF(N533="","",N533+N(O533))</f>
        <v/>
      </c>
      <c r="Q533" s="64" t="n"/>
      <c r="R533" s="73" t="str">
        <f>IF(N(Q533)&gt;0,Q533,IF(OR(N(B533)=0,ISNA(MATCH($C533,sup_code,0))),"",IF(ISNUMBER(INDEX(sup_delay,MATCH($C533,sup_code,0))),B533+INDEX(sup_delay,MATCH($C533,sup_code,0)),"")))</f>
        <v/>
      </c>
      <c r="S533" s="64" t="n"/>
      <c r="T533" s="68" t="n"/>
      <c r="U533" s="64" t="n"/>
      <c r="V533" s="65" t="n"/>
      <c r="W533" s="74" t="str">
        <f>IF(AND(A533="",E533=""),"",IF(V533="Oui",0,MAX(0,ROUND(N(H533)-N(T533),6))))</f>
        <v/>
      </c>
      <c r="X533" s="67" t="str">
        <f>IF(AND(A533="",E533=""),"",IF(V533="Oui","Annulé",IF(AND(N(H533)&gt;0,N(T533)&gt;=N(H533)),"Reçu",IF(N(S533)=0,"Brouillon",IF(AND(ISNUMBER(R533),R533&lt;p_today),"En retard",IF(N(T533)&gt;0,"Partiel","Envoyé"))))))</f>
        <v/>
      </c>
      <c r="Y533" s="75" t="str">
        <f>IF(X533="En retard",p_today-R533,IF(AND(X533="Reçu",ISNUMBER(R533)),MAX(0,N(U533)-R533),""))</f>
        <v/>
      </c>
      <c r="Z533" s="67" t="str">
        <f>IF(AND(A533="",E533=""),"",IF(A533="","N° de bon manquant",IF(N(B533)=0,"Date de commande manquante",IF(C533="","Fournisseur manquant",IF(ISNA(MATCH($C533,sup_code,0)),"Fournisseur inconnu",IF(E533="","Article manquant",IF(ISNA(MATCH($E533,art_ref,0)),"Article inconnu",IF(N(H533)&lt;=0,"Quantité invalide",IF(J533="","Prix manquant",IF(OR(N(K533)&lt;0,N(K533)&gt;=1),"Remise invalide",IF(M533="","TVA manquante",IF(ISNA(MATCH(M533,p_tva,0)),"Taux de TVA inconnu",IF(COUNTIFS(po_num,A533,po_sup,"&lt;&gt;"&amp;C533)&gt;0,"Fournisseur différent sur ce bon",IF(COUNTIFS(po_num,A533,po_date,"&lt;&gt;"&amp;B533)&gt;0,"Date différente sur ce bon",IF(COUNTIF(po_num,A533)&gt;25,"Plus de 25 lignes sur ce bon",IF(R533="","Date de livraison manquante",IF(R533&lt;B533,"Livraison avant la commande",IF(AND(N(T533)&gt;0,N(S533)=0),"Date d'envoi manquante",IF(N(T533)&gt;N(H533),"Reçu plus que commandé",IF(AND(N(T533)&gt;0,N(U533)=0),"Date de réception manquante",IF(AND(N(U533)&gt;0,U533&lt;B533),"Réception avant la commande","OK")))))))))))))))))))))</f>
        <v/>
      </c>
      <c r="AA533" s="66" t="str">
        <f>IF(AND(X533="Reçu",ISNUMBER(R533)),IF(N(U533)&lt;=R533,1,0),"")</f>
        <v/>
      </c>
      <c r="AB533" s="76" t="str">
        <f>IF(OR(X533="Envoyé",X533="Partiel",X533="En retard"),IF(ISNUMBER(R533),R533,100000)+ROW()/100000,"")</f>
        <v/>
      </c>
      <c r="AC533" s="66" t="str">
        <f>IF(A533="","",IF(COUNTIF($A$6:A533,A533)=1,1,""))</f>
        <v/>
      </c>
      <c r="AD533" s="66" t="str">
        <f>IF(AC533=1,COUNT($AC$6:AC533),"")</f>
        <v/>
      </c>
      <c r="AE533" s="66" t="str">
        <f>IFERROR(INDEX(po_num,MATCH(528,po_seq,0))&amp;"","")</f>
        <v/>
      </c>
      <c r="AF533" s="66" t="str">
        <f>IF(OR(A533="",p_po=""),"",IF(A533&amp;""=p_po,COUNTIF($A$6:A533,A533),""))</f>
        <v/>
      </c>
      <c r="AG533" s="66" t="str">
        <f>IF(OR(AB533="",A533=""),"",IF(COUNTIFS($A$6:A533,A533,$AB$6:AB533,"&gt;0")=1,1,""))</f>
        <v/>
      </c>
      <c r="AH533" s="70" t="str">
        <f>IF(AB533="","",ROUND(N(W533)*N(J533)*(1-N(K533)),2))</f>
        <v/>
      </c>
      <c r="AI533" s="70" t="str">
        <f>IF(OR(J533="",N(T533)&lt;=0,V533="Oui"),"",ROUND(N(T533)*J533*(1-N(K533)),2))</f>
        <v/>
      </c>
    </row>
    <row r="534">
      <c r="A534" s="63" t="n"/>
      <c r="B534" s="64" t="n"/>
      <c r="C534" s="65" t="n"/>
      <c r="D534" s="66" t="str">
        <f>IF(C534="","",IFERROR(INDEX(sup_name,MATCH($C534,sup_code,0))&amp;"","Fournisseur inconnu"))</f>
        <v/>
      </c>
      <c r="E534" s="63" t="n"/>
      <c r="F534" s="66" t="str">
        <f>IF(E534="","",IFERROR(INDEX(art_des,MATCH($E534,art_ref,0))&amp;"","Article inconnu"))</f>
        <v/>
      </c>
      <c r="G534" s="67" t="str">
        <f>IF(E534="","",IFERROR(INDEX(art_unit,MATCH($E534,art_ref,0))&amp;"",""))</f>
        <v/>
      </c>
      <c r="H534" s="68" t="n"/>
      <c r="I534" s="69" t="n"/>
      <c r="J534" s="70" t="str">
        <f>IF(E534="","",IF(ISNUMBER(I534),I534,IFERROR(IF(ISNUMBER(INDEX(art_price,MATCH($E534,art_ref,0))),INDEX(art_price,MATCH($E534,art_ref,0)),""),"")))</f>
        <v/>
      </c>
      <c r="K534" s="71" t="n"/>
      <c r="L534" s="72" t="n"/>
      <c r="M534" s="72" t="str">
        <f>IF(E534="","",IF(L534&lt;&gt;"",L534,IFERROR(IF(ISNUMBER(INDEX(art_tva,MATCH($E534,art_ref,0))),INDEX(art_tva,MATCH($E534,art_ref,0)),""),"")))</f>
        <v/>
      </c>
      <c r="N534" s="70" t="str">
        <f>IF(OR(E534="",J534=""),"",ROUND(N(H534)*J534*(1-N(K534)),2))</f>
        <v/>
      </c>
      <c r="O534" s="70" t="str">
        <f>IF(OR(N534="",NOT(ISNUMBER(M534))),"",ROUND(N534*M534,2))</f>
        <v/>
      </c>
      <c r="P534" s="70" t="str">
        <f>IF(N534="","",N534+N(O534))</f>
        <v/>
      </c>
      <c r="Q534" s="64" t="n"/>
      <c r="R534" s="73" t="str">
        <f>IF(N(Q534)&gt;0,Q534,IF(OR(N(B534)=0,ISNA(MATCH($C534,sup_code,0))),"",IF(ISNUMBER(INDEX(sup_delay,MATCH($C534,sup_code,0))),B534+INDEX(sup_delay,MATCH($C534,sup_code,0)),"")))</f>
        <v/>
      </c>
      <c r="S534" s="64" t="n"/>
      <c r="T534" s="68" t="n"/>
      <c r="U534" s="64" t="n"/>
      <c r="V534" s="65" t="n"/>
      <c r="W534" s="74" t="str">
        <f>IF(AND(A534="",E534=""),"",IF(V534="Oui",0,MAX(0,ROUND(N(H534)-N(T534),6))))</f>
        <v/>
      </c>
      <c r="X534" s="67" t="str">
        <f>IF(AND(A534="",E534=""),"",IF(V534="Oui","Annulé",IF(AND(N(H534)&gt;0,N(T534)&gt;=N(H534)),"Reçu",IF(N(S534)=0,"Brouillon",IF(AND(ISNUMBER(R534),R534&lt;p_today),"En retard",IF(N(T534)&gt;0,"Partiel","Envoyé"))))))</f>
        <v/>
      </c>
      <c r="Y534" s="75" t="str">
        <f>IF(X534="En retard",p_today-R534,IF(AND(X534="Reçu",ISNUMBER(R534)),MAX(0,N(U534)-R534),""))</f>
        <v/>
      </c>
      <c r="Z534" s="67" t="str">
        <f>IF(AND(A534="",E534=""),"",IF(A534="","N° de bon manquant",IF(N(B534)=0,"Date de commande manquante",IF(C534="","Fournisseur manquant",IF(ISNA(MATCH($C534,sup_code,0)),"Fournisseur inconnu",IF(E534="","Article manquant",IF(ISNA(MATCH($E534,art_ref,0)),"Article inconnu",IF(N(H534)&lt;=0,"Quantité invalide",IF(J534="","Prix manquant",IF(OR(N(K534)&lt;0,N(K534)&gt;=1),"Remise invalide",IF(M534="","TVA manquante",IF(ISNA(MATCH(M534,p_tva,0)),"Taux de TVA inconnu",IF(COUNTIFS(po_num,A534,po_sup,"&lt;&gt;"&amp;C534)&gt;0,"Fournisseur différent sur ce bon",IF(COUNTIFS(po_num,A534,po_date,"&lt;&gt;"&amp;B534)&gt;0,"Date différente sur ce bon",IF(COUNTIF(po_num,A534)&gt;25,"Plus de 25 lignes sur ce bon",IF(R534="","Date de livraison manquante",IF(R534&lt;B534,"Livraison avant la commande",IF(AND(N(T534)&gt;0,N(S534)=0),"Date d'envoi manquante",IF(N(T534)&gt;N(H534),"Reçu plus que commandé",IF(AND(N(T534)&gt;0,N(U534)=0),"Date de réception manquante",IF(AND(N(U534)&gt;0,U534&lt;B534),"Réception avant la commande","OK")))))))))))))))))))))</f>
        <v/>
      </c>
      <c r="AA534" s="66" t="str">
        <f>IF(AND(X534="Reçu",ISNUMBER(R534)),IF(N(U534)&lt;=R534,1,0),"")</f>
        <v/>
      </c>
      <c r="AB534" s="76" t="str">
        <f>IF(OR(X534="Envoyé",X534="Partiel",X534="En retard"),IF(ISNUMBER(R534),R534,100000)+ROW()/100000,"")</f>
        <v/>
      </c>
      <c r="AC534" s="66" t="str">
        <f>IF(A534="","",IF(COUNTIF($A$6:A534,A534)=1,1,""))</f>
        <v/>
      </c>
      <c r="AD534" s="66" t="str">
        <f>IF(AC534=1,COUNT($AC$6:AC534),"")</f>
        <v/>
      </c>
      <c r="AE534" s="66" t="str">
        <f>IFERROR(INDEX(po_num,MATCH(529,po_seq,0))&amp;"","")</f>
        <v/>
      </c>
      <c r="AF534" s="66" t="str">
        <f>IF(OR(A534="",p_po=""),"",IF(A534&amp;""=p_po,COUNTIF($A$6:A534,A534),""))</f>
        <v/>
      </c>
      <c r="AG534" s="66" t="str">
        <f>IF(OR(AB534="",A534=""),"",IF(COUNTIFS($A$6:A534,A534,$AB$6:AB534,"&gt;0")=1,1,""))</f>
        <v/>
      </c>
      <c r="AH534" s="70" t="str">
        <f>IF(AB534="","",ROUND(N(W534)*N(J534)*(1-N(K534)),2))</f>
        <v/>
      </c>
      <c r="AI534" s="70" t="str">
        <f>IF(OR(J534="",N(T534)&lt;=0,V534="Oui"),"",ROUND(N(T534)*J534*(1-N(K534)),2))</f>
        <v/>
      </c>
    </row>
    <row r="535">
      <c r="A535" s="63" t="n"/>
      <c r="B535" s="64" t="n"/>
      <c r="C535" s="65" t="n"/>
      <c r="D535" s="66" t="str">
        <f>IF(C535="","",IFERROR(INDEX(sup_name,MATCH($C535,sup_code,0))&amp;"","Fournisseur inconnu"))</f>
        <v/>
      </c>
      <c r="E535" s="63" t="n"/>
      <c r="F535" s="66" t="str">
        <f>IF(E535="","",IFERROR(INDEX(art_des,MATCH($E535,art_ref,0))&amp;"","Article inconnu"))</f>
        <v/>
      </c>
      <c r="G535" s="67" t="str">
        <f>IF(E535="","",IFERROR(INDEX(art_unit,MATCH($E535,art_ref,0))&amp;"",""))</f>
        <v/>
      </c>
      <c r="H535" s="68" t="n"/>
      <c r="I535" s="69" t="n"/>
      <c r="J535" s="70" t="str">
        <f>IF(E535="","",IF(ISNUMBER(I535),I535,IFERROR(IF(ISNUMBER(INDEX(art_price,MATCH($E535,art_ref,0))),INDEX(art_price,MATCH($E535,art_ref,0)),""),"")))</f>
        <v/>
      </c>
      <c r="K535" s="71" t="n"/>
      <c r="L535" s="72" t="n"/>
      <c r="M535" s="72" t="str">
        <f>IF(E535="","",IF(L535&lt;&gt;"",L535,IFERROR(IF(ISNUMBER(INDEX(art_tva,MATCH($E535,art_ref,0))),INDEX(art_tva,MATCH($E535,art_ref,0)),""),"")))</f>
        <v/>
      </c>
      <c r="N535" s="70" t="str">
        <f>IF(OR(E535="",J535=""),"",ROUND(N(H535)*J535*(1-N(K535)),2))</f>
        <v/>
      </c>
      <c r="O535" s="70" t="str">
        <f>IF(OR(N535="",NOT(ISNUMBER(M535))),"",ROUND(N535*M535,2))</f>
        <v/>
      </c>
      <c r="P535" s="70" t="str">
        <f>IF(N535="","",N535+N(O535))</f>
        <v/>
      </c>
      <c r="Q535" s="64" t="n"/>
      <c r="R535" s="73" t="str">
        <f>IF(N(Q535)&gt;0,Q535,IF(OR(N(B535)=0,ISNA(MATCH($C535,sup_code,0))),"",IF(ISNUMBER(INDEX(sup_delay,MATCH($C535,sup_code,0))),B535+INDEX(sup_delay,MATCH($C535,sup_code,0)),"")))</f>
        <v/>
      </c>
      <c r="S535" s="64" t="n"/>
      <c r="T535" s="68" t="n"/>
      <c r="U535" s="64" t="n"/>
      <c r="V535" s="65" t="n"/>
      <c r="W535" s="74" t="str">
        <f>IF(AND(A535="",E535=""),"",IF(V535="Oui",0,MAX(0,ROUND(N(H535)-N(T535),6))))</f>
        <v/>
      </c>
      <c r="X535" s="67" t="str">
        <f>IF(AND(A535="",E535=""),"",IF(V535="Oui","Annulé",IF(AND(N(H535)&gt;0,N(T535)&gt;=N(H535)),"Reçu",IF(N(S535)=0,"Brouillon",IF(AND(ISNUMBER(R535),R535&lt;p_today),"En retard",IF(N(T535)&gt;0,"Partiel","Envoyé"))))))</f>
        <v/>
      </c>
      <c r="Y535" s="75" t="str">
        <f>IF(X535="En retard",p_today-R535,IF(AND(X535="Reçu",ISNUMBER(R535)),MAX(0,N(U535)-R535),""))</f>
        <v/>
      </c>
      <c r="Z535" s="67" t="str">
        <f>IF(AND(A535="",E535=""),"",IF(A535="","N° de bon manquant",IF(N(B535)=0,"Date de commande manquante",IF(C535="","Fournisseur manquant",IF(ISNA(MATCH($C535,sup_code,0)),"Fournisseur inconnu",IF(E535="","Article manquant",IF(ISNA(MATCH($E535,art_ref,0)),"Article inconnu",IF(N(H535)&lt;=0,"Quantité invalide",IF(J535="","Prix manquant",IF(OR(N(K535)&lt;0,N(K535)&gt;=1),"Remise invalide",IF(M535="","TVA manquante",IF(ISNA(MATCH(M535,p_tva,0)),"Taux de TVA inconnu",IF(COUNTIFS(po_num,A535,po_sup,"&lt;&gt;"&amp;C535)&gt;0,"Fournisseur différent sur ce bon",IF(COUNTIFS(po_num,A535,po_date,"&lt;&gt;"&amp;B535)&gt;0,"Date différente sur ce bon",IF(COUNTIF(po_num,A535)&gt;25,"Plus de 25 lignes sur ce bon",IF(R535="","Date de livraison manquante",IF(R535&lt;B535,"Livraison avant la commande",IF(AND(N(T535)&gt;0,N(S535)=0),"Date d'envoi manquante",IF(N(T535)&gt;N(H535),"Reçu plus que commandé",IF(AND(N(T535)&gt;0,N(U535)=0),"Date de réception manquante",IF(AND(N(U535)&gt;0,U535&lt;B535),"Réception avant la commande","OK")))))))))))))))))))))</f>
        <v/>
      </c>
      <c r="AA535" s="66" t="str">
        <f>IF(AND(X535="Reçu",ISNUMBER(R535)),IF(N(U535)&lt;=R535,1,0),"")</f>
        <v/>
      </c>
      <c r="AB535" s="76" t="str">
        <f>IF(OR(X535="Envoyé",X535="Partiel",X535="En retard"),IF(ISNUMBER(R535),R535,100000)+ROW()/100000,"")</f>
        <v/>
      </c>
      <c r="AC535" s="66" t="str">
        <f>IF(A535="","",IF(COUNTIF($A$6:A535,A535)=1,1,""))</f>
        <v/>
      </c>
      <c r="AD535" s="66" t="str">
        <f>IF(AC535=1,COUNT($AC$6:AC535),"")</f>
        <v/>
      </c>
      <c r="AE535" s="66" t="str">
        <f>IFERROR(INDEX(po_num,MATCH(530,po_seq,0))&amp;"","")</f>
        <v/>
      </c>
      <c r="AF535" s="66" t="str">
        <f>IF(OR(A535="",p_po=""),"",IF(A535&amp;""=p_po,COUNTIF($A$6:A535,A535),""))</f>
        <v/>
      </c>
      <c r="AG535" s="66" t="str">
        <f>IF(OR(AB535="",A535=""),"",IF(COUNTIFS($A$6:A535,A535,$AB$6:AB535,"&gt;0")=1,1,""))</f>
        <v/>
      </c>
      <c r="AH535" s="70" t="str">
        <f>IF(AB535="","",ROUND(N(W535)*N(J535)*(1-N(K535)),2))</f>
        <v/>
      </c>
      <c r="AI535" s="70" t="str">
        <f>IF(OR(J535="",N(T535)&lt;=0,V535="Oui"),"",ROUND(N(T535)*J535*(1-N(K535)),2))</f>
        <v/>
      </c>
    </row>
    <row r="536">
      <c r="A536" s="63" t="n"/>
      <c r="B536" s="64" t="n"/>
      <c r="C536" s="65" t="n"/>
      <c r="D536" s="66" t="str">
        <f>IF(C536="","",IFERROR(INDEX(sup_name,MATCH($C536,sup_code,0))&amp;"","Fournisseur inconnu"))</f>
        <v/>
      </c>
      <c r="E536" s="63" t="n"/>
      <c r="F536" s="66" t="str">
        <f>IF(E536="","",IFERROR(INDEX(art_des,MATCH($E536,art_ref,0))&amp;"","Article inconnu"))</f>
        <v/>
      </c>
      <c r="G536" s="67" t="str">
        <f>IF(E536="","",IFERROR(INDEX(art_unit,MATCH($E536,art_ref,0))&amp;"",""))</f>
        <v/>
      </c>
      <c r="H536" s="68" t="n"/>
      <c r="I536" s="69" t="n"/>
      <c r="J536" s="70" t="str">
        <f>IF(E536="","",IF(ISNUMBER(I536),I536,IFERROR(IF(ISNUMBER(INDEX(art_price,MATCH($E536,art_ref,0))),INDEX(art_price,MATCH($E536,art_ref,0)),""),"")))</f>
        <v/>
      </c>
      <c r="K536" s="71" t="n"/>
      <c r="L536" s="72" t="n"/>
      <c r="M536" s="72" t="str">
        <f>IF(E536="","",IF(L536&lt;&gt;"",L536,IFERROR(IF(ISNUMBER(INDEX(art_tva,MATCH($E536,art_ref,0))),INDEX(art_tva,MATCH($E536,art_ref,0)),""),"")))</f>
        <v/>
      </c>
      <c r="N536" s="70" t="str">
        <f>IF(OR(E536="",J536=""),"",ROUND(N(H536)*J536*(1-N(K536)),2))</f>
        <v/>
      </c>
      <c r="O536" s="70" t="str">
        <f>IF(OR(N536="",NOT(ISNUMBER(M536))),"",ROUND(N536*M536,2))</f>
        <v/>
      </c>
      <c r="P536" s="70" t="str">
        <f>IF(N536="","",N536+N(O536))</f>
        <v/>
      </c>
      <c r="Q536" s="64" t="n"/>
      <c r="R536" s="73" t="str">
        <f>IF(N(Q536)&gt;0,Q536,IF(OR(N(B536)=0,ISNA(MATCH($C536,sup_code,0))),"",IF(ISNUMBER(INDEX(sup_delay,MATCH($C536,sup_code,0))),B536+INDEX(sup_delay,MATCH($C536,sup_code,0)),"")))</f>
        <v/>
      </c>
      <c r="S536" s="64" t="n"/>
      <c r="T536" s="68" t="n"/>
      <c r="U536" s="64" t="n"/>
      <c r="V536" s="65" t="n"/>
      <c r="W536" s="74" t="str">
        <f>IF(AND(A536="",E536=""),"",IF(V536="Oui",0,MAX(0,ROUND(N(H536)-N(T536),6))))</f>
        <v/>
      </c>
      <c r="X536" s="67" t="str">
        <f>IF(AND(A536="",E536=""),"",IF(V536="Oui","Annulé",IF(AND(N(H536)&gt;0,N(T536)&gt;=N(H536)),"Reçu",IF(N(S536)=0,"Brouillon",IF(AND(ISNUMBER(R536),R536&lt;p_today),"En retard",IF(N(T536)&gt;0,"Partiel","Envoyé"))))))</f>
        <v/>
      </c>
      <c r="Y536" s="75" t="str">
        <f>IF(X536="En retard",p_today-R536,IF(AND(X536="Reçu",ISNUMBER(R536)),MAX(0,N(U536)-R536),""))</f>
        <v/>
      </c>
      <c r="Z536" s="67" t="str">
        <f>IF(AND(A536="",E536=""),"",IF(A536="","N° de bon manquant",IF(N(B536)=0,"Date de commande manquante",IF(C536="","Fournisseur manquant",IF(ISNA(MATCH($C536,sup_code,0)),"Fournisseur inconnu",IF(E536="","Article manquant",IF(ISNA(MATCH($E536,art_ref,0)),"Article inconnu",IF(N(H536)&lt;=0,"Quantité invalide",IF(J536="","Prix manquant",IF(OR(N(K536)&lt;0,N(K536)&gt;=1),"Remise invalide",IF(M536="","TVA manquante",IF(ISNA(MATCH(M536,p_tva,0)),"Taux de TVA inconnu",IF(COUNTIFS(po_num,A536,po_sup,"&lt;&gt;"&amp;C536)&gt;0,"Fournisseur différent sur ce bon",IF(COUNTIFS(po_num,A536,po_date,"&lt;&gt;"&amp;B536)&gt;0,"Date différente sur ce bon",IF(COUNTIF(po_num,A536)&gt;25,"Plus de 25 lignes sur ce bon",IF(R536="","Date de livraison manquante",IF(R536&lt;B536,"Livraison avant la commande",IF(AND(N(T536)&gt;0,N(S536)=0),"Date d'envoi manquante",IF(N(T536)&gt;N(H536),"Reçu plus que commandé",IF(AND(N(T536)&gt;0,N(U536)=0),"Date de réception manquante",IF(AND(N(U536)&gt;0,U536&lt;B536),"Réception avant la commande","OK")))))))))))))))))))))</f>
        <v/>
      </c>
      <c r="AA536" s="66" t="str">
        <f>IF(AND(X536="Reçu",ISNUMBER(R536)),IF(N(U536)&lt;=R536,1,0),"")</f>
        <v/>
      </c>
      <c r="AB536" s="76" t="str">
        <f>IF(OR(X536="Envoyé",X536="Partiel",X536="En retard"),IF(ISNUMBER(R536),R536,100000)+ROW()/100000,"")</f>
        <v/>
      </c>
      <c r="AC536" s="66" t="str">
        <f>IF(A536="","",IF(COUNTIF($A$6:A536,A536)=1,1,""))</f>
        <v/>
      </c>
      <c r="AD536" s="66" t="str">
        <f>IF(AC536=1,COUNT($AC$6:AC536),"")</f>
        <v/>
      </c>
      <c r="AE536" s="66" t="str">
        <f>IFERROR(INDEX(po_num,MATCH(531,po_seq,0))&amp;"","")</f>
        <v/>
      </c>
      <c r="AF536" s="66" t="str">
        <f>IF(OR(A536="",p_po=""),"",IF(A536&amp;""=p_po,COUNTIF($A$6:A536,A536),""))</f>
        <v/>
      </c>
      <c r="AG536" s="66" t="str">
        <f>IF(OR(AB536="",A536=""),"",IF(COUNTIFS($A$6:A536,A536,$AB$6:AB536,"&gt;0")=1,1,""))</f>
        <v/>
      </c>
      <c r="AH536" s="70" t="str">
        <f>IF(AB536="","",ROUND(N(W536)*N(J536)*(1-N(K536)),2))</f>
        <v/>
      </c>
      <c r="AI536" s="70" t="str">
        <f>IF(OR(J536="",N(T536)&lt;=0,V536="Oui"),"",ROUND(N(T536)*J536*(1-N(K536)),2))</f>
        <v/>
      </c>
    </row>
    <row r="537">
      <c r="A537" s="63" t="n"/>
      <c r="B537" s="64" t="n"/>
      <c r="C537" s="65" t="n"/>
      <c r="D537" s="66" t="str">
        <f>IF(C537="","",IFERROR(INDEX(sup_name,MATCH($C537,sup_code,0))&amp;"","Fournisseur inconnu"))</f>
        <v/>
      </c>
      <c r="E537" s="63" t="n"/>
      <c r="F537" s="66" t="str">
        <f>IF(E537="","",IFERROR(INDEX(art_des,MATCH($E537,art_ref,0))&amp;"","Article inconnu"))</f>
        <v/>
      </c>
      <c r="G537" s="67" t="str">
        <f>IF(E537="","",IFERROR(INDEX(art_unit,MATCH($E537,art_ref,0))&amp;"",""))</f>
        <v/>
      </c>
      <c r="H537" s="68" t="n"/>
      <c r="I537" s="69" t="n"/>
      <c r="J537" s="70" t="str">
        <f>IF(E537="","",IF(ISNUMBER(I537),I537,IFERROR(IF(ISNUMBER(INDEX(art_price,MATCH($E537,art_ref,0))),INDEX(art_price,MATCH($E537,art_ref,0)),""),"")))</f>
        <v/>
      </c>
      <c r="K537" s="71" t="n"/>
      <c r="L537" s="72" t="n"/>
      <c r="M537" s="72" t="str">
        <f>IF(E537="","",IF(L537&lt;&gt;"",L537,IFERROR(IF(ISNUMBER(INDEX(art_tva,MATCH($E537,art_ref,0))),INDEX(art_tva,MATCH($E537,art_ref,0)),""),"")))</f>
        <v/>
      </c>
      <c r="N537" s="70" t="str">
        <f>IF(OR(E537="",J537=""),"",ROUND(N(H537)*J537*(1-N(K537)),2))</f>
        <v/>
      </c>
      <c r="O537" s="70" t="str">
        <f>IF(OR(N537="",NOT(ISNUMBER(M537))),"",ROUND(N537*M537,2))</f>
        <v/>
      </c>
      <c r="P537" s="70" t="str">
        <f>IF(N537="","",N537+N(O537))</f>
        <v/>
      </c>
      <c r="Q537" s="64" t="n"/>
      <c r="R537" s="73" t="str">
        <f>IF(N(Q537)&gt;0,Q537,IF(OR(N(B537)=0,ISNA(MATCH($C537,sup_code,0))),"",IF(ISNUMBER(INDEX(sup_delay,MATCH($C537,sup_code,0))),B537+INDEX(sup_delay,MATCH($C537,sup_code,0)),"")))</f>
        <v/>
      </c>
      <c r="S537" s="64" t="n"/>
      <c r="T537" s="68" t="n"/>
      <c r="U537" s="64" t="n"/>
      <c r="V537" s="65" t="n"/>
      <c r="W537" s="74" t="str">
        <f>IF(AND(A537="",E537=""),"",IF(V537="Oui",0,MAX(0,ROUND(N(H537)-N(T537),6))))</f>
        <v/>
      </c>
      <c r="X537" s="67" t="str">
        <f>IF(AND(A537="",E537=""),"",IF(V537="Oui","Annulé",IF(AND(N(H537)&gt;0,N(T537)&gt;=N(H537)),"Reçu",IF(N(S537)=0,"Brouillon",IF(AND(ISNUMBER(R537),R537&lt;p_today),"En retard",IF(N(T537)&gt;0,"Partiel","Envoyé"))))))</f>
        <v/>
      </c>
      <c r="Y537" s="75" t="str">
        <f>IF(X537="En retard",p_today-R537,IF(AND(X537="Reçu",ISNUMBER(R537)),MAX(0,N(U537)-R537),""))</f>
        <v/>
      </c>
      <c r="Z537" s="67" t="str">
        <f>IF(AND(A537="",E537=""),"",IF(A537="","N° de bon manquant",IF(N(B537)=0,"Date de commande manquante",IF(C537="","Fournisseur manquant",IF(ISNA(MATCH($C537,sup_code,0)),"Fournisseur inconnu",IF(E537="","Article manquant",IF(ISNA(MATCH($E537,art_ref,0)),"Article inconnu",IF(N(H537)&lt;=0,"Quantité invalide",IF(J537="","Prix manquant",IF(OR(N(K537)&lt;0,N(K537)&gt;=1),"Remise invalide",IF(M537="","TVA manquante",IF(ISNA(MATCH(M537,p_tva,0)),"Taux de TVA inconnu",IF(COUNTIFS(po_num,A537,po_sup,"&lt;&gt;"&amp;C537)&gt;0,"Fournisseur différent sur ce bon",IF(COUNTIFS(po_num,A537,po_date,"&lt;&gt;"&amp;B537)&gt;0,"Date différente sur ce bon",IF(COUNTIF(po_num,A537)&gt;25,"Plus de 25 lignes sur ce bon",IF(R537="","Date de livraison manquante",IF(R537&lt;B537,"Livraison avant la commande",IF(AND(N(T537)&gt;0,N(S537)=0),"Date d'envoi manquante",IF(N(T537)&gt;N(H537),"Reçu plus que commandé",IF(AND(N(T537)&gt;0,N(U537)=0),"Date de réception manquante",IF(AND(N(U537)&gt;0,U537&lt;B537),"Réception avant la commande","OK")))))))))))))))))))))</f>
        <v/>
      </c>
      <c r="AA537" s="66" t="str">
        <f>IF(AND(X537="Reçu",ISNUMBER(R537)),IF(N(U537)&lt;=R537,1,0),"")</f>
        <v/>
      </c>
      <c r="AB537" s="76" t="str">
        <f>IF(OR(X537="Envoyé",X537="Partiel",X537="En retard"),IF(ISNUMBER(R537),R537,100000)+ROW()/100000,"")</f>
        <v/>
      </c>
      <c r="AC537" s="66" t="str">
        <f>IF(A537="","",IF(COUNTIF($A$6:A537,A537)=1,1,""))</f>
        <v/>
      </c>
      <c r="AD537" s="66" t="str">
        <f>IF(AC537=1,COUNT($AC$6:AC537),"")</f>
        <v/>
      </c>
      <c r="AE537" s="66" t="str">
        <f>IFERROR(INDEX(po_num,MATCH(532,po_seq,0))&amp;"","")</f>
        <v/>
      </c>
      <c r="AF537" s="66" t="str">
        <f>IF(OR(A537="",p_po=""),"",IF(A537&amp;""=p_po,COUNTIF($A$6:A537,A537),""))</f>
        <v/>
      </c>
      <c r="AG537" s="66" t="str">
        <f>IF(OR(AB537="",A537=""),"",IF(COUNTIFS($A$6:A537,A537,$AB$6:AB537,"&gt;0")=1,1,""))</f>
        <v/>
      </c>
      <c r="AH537" s="70" t="str">
        <f>IF(AB537="","",ROUND(N(W537)*N(J537)*(1-N(K537)),2))</f>
        <v/>
      </c>
      <c r="AI537" s="70" t="str">
        <f>IF(OR(J537="",N(T537)&lt;=0,V537="Oui"),"",ROUND(N(T537)*J537*(1-N(K537)),2))</f>
        <v/>
      </c>
    </row>
    <row r="538">
      <c r="A538" s="63" t="n"/>
      <c r="B538" s="64" t="n"/>
      <c r="C538" s="65" t="n"/>
      <c r="D538" s="66" t="str">
        <f>IF(C538="","",IFERROR(INDEX(sup_name,MATCH($C538,sup_code,0))&amp;"","Fournisseur inconnu"))</f>
        <v/>
      </c>
      <c r="E538" s="63" t="n"/>
      <c r="F538" s="66" t="str">
        <f>IF(E538="","",IFERROR(INDEX(art_des,MATCH($E538,art_ref,0))&amp;"","Article inconnu"))</f>
        <v/>
      </c>
      <c r="G538" s="67" t="str">
        <f>IF(E538="","",IFERROR(INDEX(art_unit,MATCH($E538,art_ref,0))&amp;"",""))</f>
        <v/>
      </c>
      <c r="H538" s="68" t="n"/>
      <c r="I538" s="69" t="n"/>
      <c r="J538" s="70" t="str">
        <f>IF(E538="","",IF(ISNUMBER(I538),I538,IFERROR(IF(ISNUMBER(INDEX(art_price,MATCH($E538,art_ref,0))),INDEX(art_price,MATCH($E538,art_ref,0)),""),"")))</f>
        <v/>
      </c>
      <c r="K538" s="71" t="n"/>
      <c r="L538" s="72" t="n"/>
      <c r="M538" s="72" t="str">
        <f>IF(E538="","",IF(L538&lt;&gt;"",L538,IFERROR(IF(ISNUMBER(INDEX(art_tva,MATCH($E538,art_ref,0))),INDEX(art_tva,MATCH($E538,art_ref,0)),""),"")))</f>
        <v/>
      </c>
      <c r="N538" s="70" t="str">
        <f>IF(OR(E538="",J538=""),"",ROUND(N(H538)*J538*(1-N(K538)),2))</f>
        <v/>
      </c>
      <c r="O538" s="70" t="str">
        <f>IF(OR(N538="",NOT(ISNUMBER(M538))),"",ROUND(N538*M538,2))</f>
        <v/>
      </c>
      <c r="P538" s="70" t="str">
        <f>IF(N538="","",N538+N(O538))</f>
        <v/>
      </c>
      <c r="Q538" s="64" t="n"/>
      <c r="R538" s="73" t="str">
        <f>IF(N(Q538)&gt;0,Q538,IF(OR(N(B538)=0,ISNA(MATCH($C538,sup_code,0))),"",IF(ISNUMBER(INDEX(sup_delay,MATCH($C538,sup_code,0))),B538+INDEX(sup_delay,MATCH($C538,sup_code,0)),"")))</f>
        <v/>
      </c>
      <c r="S538" s="64" t="n"/>
      <c r="T538" s="68" t="n"/>
      <c r="U538" s="64" t="n"/>
      <c r="V538" s="65" t="n"/>
      <c r="W538" s="74" t="str">
        <f>IF(AND(A538="",E538=""),"",IF(V538="Oui",0,MAX(0,ROUND(N(H538)-N(T538),6))))</f>
        <v/>
      </c>
      <c r="X538" s="67" t="str">
        <f>IF(AND(A538="",E538=""),"",IF(V538="Oui","Annulé",IF(AND(N(H538)&gt;0,N(T538)&gt;=N(H538)),"Reçu",IF(N(S538)=0,"Brouillon",IF(AND(ISNUMBER(R538),R538&lt;p_today),"En retard",IF(N(T538)&gt;0,"Partiel","Envoyé"))))))</f>
        <v/>
      </c>
      <c r="Y538" s="75" t="str">
        <f>IF(X538="En retard",p_today-R538,IF(AND(X538="Reçu",ISNUMBER(R538)),MAX(0,N(U538)-R538),""))</f>
        <v/>
      </c>
      <c r="Z538" s="67" t="str">
        <f>IF(AND(A538="",E538=""),"",IF(A538="","N° de bon manquant",IF(N(B538)=0,"Date de commande manquante",IF(C538="","Fournisseur manquant",IF(ISNA(MATCH($C538,sup_code,0)),"Fournisseur inconnu",IF(E538="","Article manquant",IF(ISNA(MATCH($E538,art_ref,0)),"Article inconnu",IF(N(H538)&lt;=0,"Quantité invalide",IF(J538="","Prix manquant",IF(OR(N(K538)&lt;0,N(K538)&gt;=1),"Remise invalide",IF(M538="","TVA manquante",IF(ISNA(MATCH(M538,p_tva,0)),"Taux de TVA inconnu",IF(COUNTIFS(po_num,A538,po_sup,"&lt;&gt;"&amp;C538)&gt;0,"Fournisseur différent sur ce bon",IF(COUNTIFS(po_num,A538,po_date,"&lt;&gt;"&amp;B538)&gt;0,"Date différente sur ce bon",IF(COUNTIF(po_num,A538)&gt;25,"Plus de 25 lignes sur ce bon",IF(R538="","Date de livraison manquante",IF(R538&lt;B538,"Livraison avant la commande",IF(AND(N(T538)&gt;0,N(S538)=0),"Date d'envoi manquante",IF(N(T538)&gt;N(H538),"Reçu plus que commandé",IF(AND(N(T538)&gt;0,N(U538)=0),"Date de réception manquante",IF(AND(N(U538)&gt;0,U538&lt;B538),"Réception avant la commande","OK")))))))))))))))))))))</f>
        <v/>
      </c>
      <c r="AA538" s="66" t="str">
        <f>IF(AND(X538="Reçu",ISNUMBER(R538)),IF(N(U538)&lt;=R538,1,0),"")</f>
        <v/>
      </c>
      <c r="AB538" s="76" t="str">
        <f>IF(OR(X538="Envoyé",X538="Partiel",X538="En retard"),IF(ISNUMBER(R538),R538,100000)+ROW()/100000,"")</f>
        <v/>
      </c>
      <c r="AC538" s="66" t="str">
        <f>IF(A538="","",IF(COUNTIF($A$6:A538,A538)=1,1,""))</f>
        <v/>
      </c>
      <c r="AD538" s="66" t="str">
        <f>IF(AC538=1,COUNT($AC$6:AC538),"")</f>
        <v/>
      </c>
      <c r="AE538" s="66" t="str">
        <f>IFERROR(INDEX(po_num,MATCH(533,po_seq,0))&amp;"","")</f>
        <v/>
      </c>
      <c r="AF538" s="66" t="str">
        <f>IF(OR(A538="",p_po=""),"",IF(A538&amp;""=p_po,COUNTIF($A$6:A538,A538),""))</f>
        <v/>
      </c>
      <c r="AG538" s="66" t="str">
        <f>IF(OR(AB538="",A538=""),"",IF(COUNTIFS($A$6:A538,A538,$AB$6:AB538,"&gt;0")=1,1,""))</f>
        <v/>
      </c>
      <c r="AH538" s="70" t="str">
        <f>IF(AB538="","",ROUND(N(W538)*N(J538)*(1-N(K538)),2))</f>
        <v/>
      </c>
      <c r="AI538" s="70" t="str">
        <f>IF(OR(J538="",N(T538)&lt;=0,V538="Oui"),"",ROUND(N(T538)*J538*(1-N(K538)),2))</f>
        <v/>
      </c>
    </row>
    <row r="539">
      <c r="A539" s="63" t="n"/>
      <c r="B539" s="64" t="n"/>
      <c r="C539" s="65" t="n"/>
      <c r="D539" s="66" t="str">
        <f>IF(C539="","",IFERROR(INDEX(sup_name,MATCH($C539,sup_code,0))&amp;"","Fournisseur inconnu"))</f>
        <v/>
      </c>
      <c r="E539" s="63" t="n"/>
      <c r="F539" s="66" t="str">
        <f>IF(E539="","",IFERROR(INDEX(art_des,MATCH($E539,art_ref,0))&amp;"","Article inconnu"))</f>
        <v/>
      </c>
      <c r="G539" s="67" t="str">
        <f>IF(E539="","",IFERROR(INDEX(art_unit,MATCH($E539,art_ref,0))&amp;"",""))</f>
        <v/>
      </c>
      <c r="H539" s="68" t="n"/>
      <c r="I539" s="69" t="n"/>
      <c r="J539" s="70" t="str">
        <f>IF(E539="","",IF(ISNUMBER(I539),I539,IFERROR(IF(ISNUMBER(INDEX(art_price,MATCH($E539,art_ref,0))),INDEX(art_price,MATCH($E539,art_ref,0)),""),"")))</f>
        <v/>
      </c>
      <c r="K539" s="71" t="n"/>
      <c r="L539" s="72" t="n"/>
      <c r="M539" s="72" t="str">
        <f>IF(E539="","",IF(L539&lt;&gt;"",L539,IFERROR(IF(ISNUMBER(INDEX(art_tva,MATCH($E539,art_ref,0))),INDEX(art_tva,MATCH($E539,art_ref,0)),""),"")))</f>
        <v/>
      </c>
      <c r="N539" s="70" t="str">
        <f>IF(OR(E539="",J539=""),"",ROUND(N(H539)*J539*(1-N(K539)),2))</f>
        <v/>
      </c>
      <c r="O539" s="70" t="str">
        <f>IF(OR(N539="",NOT(ISNUMBER(M539))),"",ROUND(N539*M539,2))</f>
        <v/>
      </c>
      <c r="P539" s="70" t="str">
        <f>IF(N539="","",N539+N(O539))</f>
        <v/>
      </c>
      <c r="Q539" s="64" t="n"/>
      <c r="R539" s="73" t="str">
        <f>IF(N(Q539)&gt;0,Q539,IF(OR(N(B539)=0,ISNA(MATCH($C539,sup_code,0))),"",IF(ISNUMBER(INDEX(sup_delay,MATCH($C539,sup_code,0))),B539+INDEX(sup_delay,MATCH($C539,sup_code,0)),"")))</f>
        <v/>
      </c>
      <c r="S539" s="64" t="n"/>
      <c r="T539" s="68" t="n"/>
      <c r="U539" s="64" t="n"/>
      <c r="V539" s="65" t="n"/>
      <c r="W539" s="74" t="str">
        <f>IF(AND(A539="",E539=""),"",IF(V539="Oui",0,MAX(0,ROUND(N(H539)-N(T539),6))))</f>
        <v/>
      </c>
      <c r="X539" s="67" t="str">
        <f>IF(AND(A539="",E539=""),"",IF(V539="Oui","Annulé",IF(AND(N(H539)&gt;0,N(T539)&gt;=N(H539)),"Reçu",IF(N(S539)=0,"Brouillon",IF(AND(ISNUMBER(R539),R539&lt;p_today),"En retard",IF(N(T539)&gt;0,"Partiel","Envoyé"))))))</f>
        <v/>
      </c>
      <c r="Y539" s="75" t="str">
        <f>IF(X539="En retard",p_today-R539,IF(AND(X539="Reçu",ISNUMBER(R539)),MAX(0,N(U539)-R539),""))</f>
        <v/>
      </c>
      <c r="Z539" s="67" t="str">
        <f>IF(AND(A539="",E539=""),"",IF(A539="","N° de bon manquant",IF(N(B539)=0,"Date de commande manquante",IF(C539="","Fournisseur manquant",IF(ISNA(MATCH($C539,sup_code,0)),"Fournisseur inconnu",IF(E539="","Article manquant",IF(ISNA(MATCH($E539,art_ref,0)),"Article inconnu",IF(N(H539)&lt;=0,"Quantité invalide",IF(J539="","Prix manquant",IF(OR(N(K539)&lt;0,N(K539)&gt;=1),"Remise invalide",IF(M539="","TVA manquante",IF(ISNA(MATCH(M539,p_tva,0)),"Taux de TVA inconnu",IF(COUNTIFS(po_num,A539,po_sup,"&lt;&gt;"&amp;C539)&gt;0,"Fournisseur différent sur ce bon",IF(COUNTIFS(po_num,A539,po_date,"&lt;&gt;"&amp;B539)&gt;0,"Date différente sur ce bon",IF(COUNTIF(po_num,A539)&gt;25,"Plus de 25 lignes sur ce bon",IF(R539="","Date de livraison manquante",IF(R539&lt;B539,"Livraison avant la commande",IF(AND(N(T539)&gt;0,N(S539)=0),"Date d'envoi manquante",IF(N(T539)&gt;N(H539),"Reçu plus que commandé",IF(AND(N(T539)&gt;0,N(U539)=0),"Date de réception manquante",IF(AND(N(U539)&gt;0,U539&lt;B539),"Réception avant la commande","OK")))))))))))))))))))))</f>
        <v/>
      </c>
      <c r="AA539" s="66" t="str">
        <f>IF(AND(X539="Reçu",ISNUMBER(R539)),IF(N(U539)&lt;=R539,1,0),"")</f>
        <v/>
      </c>
      <c r="AB539" s="76" t="str">
        <f>IF(OR(X539="Envoyé",X539="Partiel",X539="En retard"),IF(ISNUMBER(R539),R539,100000)+ROW()/100000,"")</f>
        <v/>
      </c>
      <c r="AC539" s="66" t="str">
        <f>IF(A539="","",IF(COUNTIF($A$6:A539,A539)=1,1,""))</f>
        <v/>
      </c>
      <c r="AD539" s="66" t="str">
        <f>IF(AC539=1,COUNT($AC$6:AC539),"")</f>
        <v/>
      </c>
      <c r="AE539" s="66" t="str">
        <f>IFERROR(INDEX(po_num,MATCH(534,po_seq,0))&amp;"","")</f>
        <v/>
      </c>
      <c r="AF539" s="66" t="str">
        <f>IF(OR(A539="",p_po=""),"",IF(A539&amp;""=p_po,COUNTIF($A$6:A539,A539),""))</f>
        <v/>
      </c>
      <c r="AG539" s="66" t="str">
        <f>IF(OR(AB539="",A539=""),"",IF(COUNTIFS($A$6:A539,A539,$AB$6:AB539,"&gt;0")=1,1,""))</f>
        <v/>
      </c>
      <c r="AH539" s="70" t="str">
        <f>IF(AB539="","",ROUND(N(W539)*N(J539)*(1-N(K539)),2))</f>
        <v/>
      </c>
      <c r="AI539" s="70" t="str">
        <f>IF(OR(J539="",N(T539)&lt;=0,V539="Oui"),"",ROUND(N(T539)*J539*(1-N(K539)),2))</f>
        <v/>
      </c>
    </row>
    <row r="540">
      <c r="A540" s="63" t="n"/>
      <c r="B540" s="64" t="n"/>
      <c r="C540" s="65" t="n"/>
      <c r="D540" s="66" t="str">
        <f>IF(C540="","",IFERROR(INDEX(sup_name,MATCH($C540,sup_code,0))&amp;"","Fournisseur inconnu"))</f>
        <v/>
      </c>
      <c r="E540" s="63" t="n"/>
      <c r="F540" s="66" t="str">
        <f>IF(E540="","",IFERROR(INDEX(art_des,MATCH($E540,art_ref,0))&amp;"","Article inconnu"))</f>
        <v/>
      </c>
      <c r="G540" s="67" t="str">
        <f>IF(E540="","",IFERROR(INDEX(art_unit,MATCH($E540,art_ref,0))&amp;"",""))</f>
        <v/>
      </c>
      <c r="H540" s="68" t="n"/>
      <c r="I540" s="69" t="n"/>
      <c r="J540" s="70" t="str">
        <f>IF(E540="","",IF(ISNUMBER(I540),I540,IFERROR(IF(ISNUMBER(INDEX(art_price,MATCH($E540,art_ref,0))),INDEX(art_price,MATCH($E540,art_ref,0)),""),"")))</f>
        <v/>
      </c>
      <c r="K540" s="71" t="n"/>
      <c r="L540" s="72" t="n"/>
      <c r="M540" s="72" t="str">
        <f>IF(E540="","",IF(L540&lt;&gt;"",L540,IFERROR(IF(ISNUMBER(INDEX(art_tva,MATCH($E540,art_ref,0))),INDEX(art_tva,MATCH($E540,art_ref,0)),""),"")))</f>
        <v/>
      </c>
      <c r="N540" s="70" t="str">
        <f>IF(OR(E540="",J540=""),"",ROUND(N(H540)*J540*(1-N(K540)),2))</f>
        <v/>
      </c>
      <c r="O540" s="70" t="str">
        <f>IF(OR(N540="",NOT(ISNUMBER(M540))),"",ROUND(N540*M540,2))</f>
        <v/>
      </c>
      <c r="P540" s="70" t="str">
        <f>IF(N540="","",N540+N(O540))</f>
        <v/>
      </c>
      <c r="Q540" s="64" t="n"/>
      <c r="R540" s="73" t="str">
        <f>IF(N(Q540)&gt;0,Q540,IF(OR(N(B540)=0,ISNA(MATCH($C540,sup_code,0))),"",IF(ISNUMBER(INDEX(sup_delay,MATCH($C540,sup_code,0))),B540+INDEX(sup_delay,MATCH($C540,sup_code,0)),"")))</f>
        <v/>
      </c>
      <c r="S540" s="64" t="n"/>
      <c r="T540" s="68" t="n"/>
      <c r="U540" s="64" t="n"/>
      <c r="V540" s="65" t="n"/>
      <c r="W540" s="74" t="str">
        <f>IF(AND(A540="",E540=""),"",IF(V540="Oui",0,MAX(0,ROUND(N(H540)-N(T540),6))))</f>
        <v/>
      </c>
      <c r="X540" s="67" t="str">
        <f>IF(AND(A540="",E540=""),"",IF(V540="Oui","Annulé",IF(AND(N(H540)&gt;0,N(T540)&gt;=N(H540)),"Reçu",IF(N(S540)=0,"Brouillon",IF(AND(ISNUMBER(R540),R540&lt;p_today),"En retard",IF(N(T540)&gt;0,"Partiel","Envoyé"))))))</f>
        <v/>
      </c>
      <c r="Y540" s="75" t="str">
        <f>IF(X540="En retard",p_today-R540,IF(AND(X540="Reçu",ISNUMBER(R540)),MAX(0,N(U540)-R540),""))</f>
        <v/>
      </c>
      <c r="Z540" s="67" t="str">
        <f>IF(AND(A540="",E540=""),"",IF(A540="","N° de bon manquant",IF(N(B540)=0,"Date de commande manquante",IF(C540="","Fournisseur manquant",IF(ISNA(MATCH($C540,sup_code,0)),"Fournisseur inconnu",IF(E540="","Article manquant",IF(ISNA(MATCH($E540,art_ref,0)),"Article inconnu",IF(N(H540)&lt;=0,"Quantité invalide",IF(J540="","Prix manquant",IF(OR(N(K540)&lt;0,N(K540)&gt;=1),"Remise invalide",IF(M540="","TVA manquante",IF(ISNA(MATCH(M540,p_tva,0)),"Taux de TVA inconnu",IF(COUNTIFS(po_num,A540,po_sup,"&lt;&gt;"&amp;C540)&gt;0,"Fournisseur différent sur ce bon",IF(COUNTIFS(po_num,A540,po_date,"&lt;&gt;"&amp;B540)&gt;0,"Date différente sur ce bon",IF(COUNTIF(po_num,A540)&gt;25,"Plus de 25 lignes sur ce bon",IF(R540="","Date de livraison manquante",IF(R540&lt;B540,"Livraison avant la commande",IF(AND(N(T540)&gt;0,N(S540)=0),"Date d'envoi manquante",IF(N(T540)&gt;N(H540),"Reçu plus que commandé",IF(AND(N(T540)&gt;0,N(U540)=0),"Date de réception manquante",IF(AND(N(U540)&gt;0,U540&lt;B540),"Réception avant la commande","OK")))))))))))))))))))))</f>
        <v/>
      </c>
      <c r="AA540" s="66" t="str">
        <f>IF(AND(X540="Reçu",ISNUMBER(R540)),IF(N(U540)&lt;=R540,1,0),"")</f>
        <v/>
      </c>
      <c r="AB540" s="76" t="str">
        <f>IF(OR(X540="Envoyé",X540="Partiel",X540="En retard"),IF(ISNUMBER(R540),R540,100000)+ROW()/100000,"")</f>
        <v/>
      </c>
      <c r="AC540" s="66" t="str">
        <f>IF(A540="","",IF(COUNTIF($A$6:A540,A540)=1,1,""))</f>
        <v/>
      </c>
      <c r="AD540" s="66" t="str">
        <f>IF(AC540=1,COUNT($AC$6:AC540),"")</f>
        <v/>
      </c>
      <c r="AE540" s="66" t="str">
        <f>IFERROR(INDEX(po_num,MATCH(535,po_seq,0))&amp;"","")</f>
        <v/>
      </c>
      <c r="AF540" s="66" t="str">
        <f>IF(OR(A540="",p_po=""),"",IF(A540&amp;""=p_po,COUNTIF($A$6:A540,A540),""))</f>
        <v/>
      </c>
      <c r="AG540" s="66" t="str">
        <f>IF(OR(AB540="",A540=""),"",IF(COUNTIFS($A$6:A540,A540,$AB$6:AB540,"&gt;0")=1,1,""))</f>
        <v/>
      </c>
      <c r="AH540" s="70" t="str">
        <f>IF(AB540="","",ROUND(N(W540)*N(J540)*(1-N(K540)),2))</f>
        <v/>
      </c>
      <c r="AI540" s="70" t="str">
        <f>IF(OR(J540="",N(T540)&lt;=0,V540="Oui"),"",ROUND(N(T540)*J540*(1-N(K540)),2))</f>
        <v/>
      </c>
    </row>
    <row r="541">
      <c r="A541" s="63" t="n"/>
      <c r="B541" s="64" t="n"/>
      <c r="C541" s="65" t="n"/>
      <c r="D541" s="66" t="str">
        <f>IF(C541="","",IFERROR(INDEX(sup_name,MATCH($C541,sup_code,0))&amp;"","Fournisseur inconnu"))</f>
        <v/>
      </c>
      <c r="E541" s="63" t="n"/>
      <c r="F541" s="66" t="str">
        <f>IF(E541="","",IFERROR(INDEX(art_des,MATCH($E541,art_ref,0))&amp;"","Article inconnu"))</f>
        <v/>
      </c>
      <c r="G541" s="67" t="str">
        <f>IF(E541="","",IFERROR(INDEX(art_unit,MATCH($E541,art_ref,0))&amp;"",""))</f>
        <v/>
      </c>
      <c r="H541" s="68" t="n"/>
      <c r="I541" s="69" t="n"/>
      <c r="J541" s="70" t="str">
        <f>IF(E541="","",IF(ISNUMBER(I541),I541,IFERROR(IF(ISNUMBER(INDEX(art_price,MATCH($E541,art_ref,0))),INDEX(art_price,MATCH($E541,art_ref,0)),""),"")))</f>
        <v/>
      </c>
      <c r="K541" s="71" t="n"/>
      <c r="L541" s="72" t="n"/>
      <c r="M541" s="72" t="str">
        <f>IF(E541="","",IF(L541&lt;&gt;"",L541,IFERROR(IF(ISNUMBER(INDEX(art_tva,MATCH($E541,art_ref,0))),INDEX(art_tva,MATCH($E541,art_ref,0)),""),"")))</f>
        <v/>
      </c>
      <c r="N541" s="70" t="str">
        <f>IF(OR(E541="",J541=""),"",ROUND(N(H541)*J541*(1-N(K541)),2))</f>
        <v/>
      </c>
      <c r="O541" s="70" t="str">
        <f>IF(OR(N541="",NOT(ISNUMBER(M541))),"",ROUND(N541*M541,2))</f>
        <v/>
      </c>
      <c r="P541" s="70" t="str">
        <f>IF(N541="","",N541+N(O541))</f>
        <v/>
      </c>
      <c r="Q541" s="64" t="n"/>
      <c r="R541" s="73" t="str">
        <f>IF(N(Q541)&gt;0,Q541,IF(OR(N(B541)=0,ISNA(MATCH($C541,sup_code,0))),"",IF(ISNUMBER(INDEX(sup_delay,MATCH($C541,sup_code,0))),B541+INDEX(sup_delay,MATCH($C541,sup_code,0)),"")))</f>
        <v/>
      </c>
      <c r="S541" s="64" t="n"/>
      <c r="T541" s="68" t="n"/>
      <c r="U541" s="64" t="n"/>
      <c r="V541" s="65" t="n"/>
      <c r="W541" s="74" t="str">
        <f>IF(AND(A541="",E541=""),"",IF(V541="Oui",0,MAX(0,ROUND(N(H541)-N(T541),6))))</f>
        <v/>
      </c>
      <c r="X541" s="67" t="str">
        <f>IF(AND(A541="",E541=""),"",IF(V541="Oui","Annulé",IF(AND(N(H541)&gt;0,N(T541)&gt;=N(H541)),"Reçu",IF(N(S541)=0,"Brouillon",IF(AND(ISNUMBER(R541),R541&lt;p_today),"En retard",IF(N(T541)&gt;0,"Partiel","Envoyé"))))))</f>
        <v/>
      </c>
      <c r="Y541" s="75" t="str">
        <f>IF(X541="En retard",p_today-R541,IF(AND(X541="Reçu",ISNUMBER(R541)),MAX(0,N(U541)-R541),""))</f>
        <v/>
      </c>
      <c r="Z541" s="67" t="str">
        <f>IF(AND(A541="",E541=""),"",IF(A541="","N° de bon manquant",IF(N(B541)=0,"Date de commande manquante",IF(C541="","Fournisseur manquant",IF(ISNA(MATCH($C541,sup_code,0)),"Fournisseur inconnu",IF(E541="","Article manquant",IF(ISNA(MATCH($E541,art_ref,0)),"Article inconnu",IF(N(H541)&lt;=0,"Quantité invalide",IF(J541="","Prix manquant",IF(OR(N(K541)&lt;0,N(K541)&gt;=1),"Remise invalide",IF(M541="","TVA manquante",IF(ISNA(MATCH(M541,p_tva,0)),"Taux de TVA inconnu",IF(COUNTIFS(po_num,A541,po_sup,"&lt;&gt;"&amp;C541)&gt;0,"Fournisseur différent sur ce bon",IF(COUNTIFS(po_num,A541,po_date,"&lt;&gt;"&amp;B541)&gt;0,"Date différente sur ce bon",IF(COUNTIF(po_num,A541)&gt;25,"Plus de 25 lignes sur ce bon",IF(R541="","Date de livraison manquante",IF(R541&lt;B541,"Livraison avant la commande",IF(AND(N(T541)&gt;0,N(S541)=0),"Date d'envoi manquante",IF(N(T541)&gt;N(H541),"Reçu plus que commandé",IF(AND(N(T541)&gt;0,N(U541)=0),"Date de réception manquante",IF(AND(N(U541)&gt;0,U541&lt;B541),"Réception avant la commande","OK")))))))))))))))))))))</f>
        <v/>
      </c>
      <c r="AA541" s="66" t="str">
        <f>IF(AND(X541="Reçu",ISNUMBER(R541)),IF(N(U541)&lt;=R541,1,0),"")</f>
        <v/>
      </c>
      <c r="AB541" s="76" t="str">
        <f>IF(OR(X541="Envoyé",X541="Partiel",X541="En retard"),IF(ISNUMBER(R541),R541,100000)+ROW()/100000,"")</f>
        <v/>
      </c>
      <c r="AC541" s="66" t="str">
        <f>IF(A541="","",IF(COUNTIF($A$6:A541,A541)=1,1,""))</f>
        <v/>
      </c>
      <c r="AD541" s="66" t="str">
        <f>IF(AC541=1,COUNT($AC$6:AC541),"")</f>
        <v/>
      </c>
      <c r="AE541" s="66" t="str">
        <f>IFERROR(INDEX(po_num,MATCH(536,po_seq,0))&amp;"","")</f>
        <v/>
      </c>
      <c r="AF541" s="66" t="str">
        <f>IF(OR(A541="",p_po=""),"",IF(A541&amp;""=p_po,COUNTIF($A$6:A541,A541),""))</f>
        <v/>
      </c>
      <c r="AG541" s="66" t="str">
        <f>IF(OR(AB541="",A541=""),"",IF(COUNTIFS($A$6:A541,A541,$AB$6:AB541,"&gt;0")=1,1,""))</f>
        <v/>
      </c>
      <c r="AH541" s="70" t="str">
        <f>IF(AB541="","",ROUND(N(W541)*N(J541)*(1-N(K541)),2))</f>
        <v/>
      </c>
      <c r="AI541" s="70" t="str">
        <f>IF(OR(J541="",N(T541)&lt;=0,V541="Oui"),"",ROUND(N(T541)*J541*(1-N(K541)),2))</f>
        <v/>
      </c>
    </row>
    <row r="542">
      <c r="A542" s="63" t="n"/>
      <c r="B542" s="64" t="n"/>
      <c r="C542" s="65" t="n"/>
      <c r="D542" s="66" t="str">
        <f>IF(C542="","",IFERROR(INDEX(sup_name,MATCH($C542,sup_code,0))&amp;"","Fournisseur inconnu"))</f>
        <v/>
      </c>
      <c r="E542" s="63" t="n"/>
      <c r="F542" s="66" t="str">
        <f>IF(E542="","",IFERROR(INDEX(art_des,MATCH($E542,art_ref,0))&amp;"","Article inconnu"))</f>
        <v/>
      </c>
      <c r="G542" s="67" t="str">
        <f>IF(E542="","",IFERROR(INDEX(art_unit,MATCH($E542,art_ref,0))&amp;"",""))</f>
        <v/>
      </c>
      <c r="H542" s="68" t="n"/>
      <c r="I542" s="69" t="n"/>
      <c r="J542" s="70" t="str">
        <f>IF(E542="","",IF(ISNUMBER(I542),I542,IFERROR(IF(ISNUMBER(INDEX(art_price,MATCH($E542,art_ref,0))),INDEX(art_price,MATCH($E542,art_ref,0)),""),"")))</f>
        <v/>
      </c>
      <c r="K542" s="71" t="n"/>
      <c r="L542" s="72" t="n"/>
      <c r="M542" s="72" t="str">
        <f>IF(E542="","",IF(L542&lt;&gt;"",L542,IFERROR(IF(ISNUMBER(INDEX(art_tva,MATCH($E542,art_ref,0))),INDEX(art_tva,MATCH($E542,art_ref,0)),""),"")))</f>
        <v/>
      </c>
      <c r="N542" s="70" t="str">
        <f>IF(OR(E542="",J542=""),"",ROUND(N(H542)*J542*(1-N(K542)),2))</f>
        <v/>
      </c>
      <c r="O542" s="70" t="str">
        <f>IF(OR(N542="",NOT(ISNUMBER(M542))),"",ROUND(N542*M542,2))</f>
        <v/>
      </c>
      <c r="P542" s="70" t="str">
        <f>IF(N542="","",N542+N(O542))</f>
        <v/>
      </c>
      <c r="Q542" s="64" t="n"/>
      <c r="R542" s="73" t="str">
        <f>IF(N(Q542)&gt;0,Q542,IF(OR(N(B542)=0,ISNA(MATCH($C542,sup_code,0))),"",IF(ISNUMBER(INDEX(sup_delay,MATCH($C542,sup_code,0))),B542+INDEX(sup_delay,MATCH($C542,sup_code,0)),"")))</f>
        <v/>
      </c>
      <c r="S542" s="64" t="n"/>
      <c r="T542" s="68" t="n"/>
      <c r="U542" s="64" t="n"/>
      <c r="V542" s="65" t="n"/>
      <c r="W542" s="74" t="str">
        <f>IF(AND(A542="",E542=""),"",IF(V542="Oui",0,MAX(0,ROUND(N(H542)-N(T542),6))))</f>
        <v/>
      </c>
      <c r="X542" s="67" t="str">
        <f>IF(AND(A542="",E542=""),"",IF(V542="Oui","Annulé",IF(AND(N(H542)&gt;0,N(T542)&gt;=N(H542)),"Reçu",IF(N(S542)=0,"Brouillon",IF(AND(ISNUMBER(R542),R542&lt;p_today),"En retard",IF(N(T542)&gt;0,"Partiel","Envoyé"))))))</f>
        <v/>
      </c>
      <c r="Y542" s="75" t="str">
        <f>IF(X542="En retard",p_today-R542,IF(AND(X542="Reçu",ISNUMBER(R542)),MAX(0,N(U542)-R542),""))</f>
        <v/>
      </c>
      <c r="Z542" s="67" t="str">
        <f>IF(AND(A542="",E542=""),"",IF(A542="","N° de bon manquant",IF(N(B542)=0,"Date de commande manquante",IF(C542="","Fournisseur manquant",IF(ISNA(MATCH($C542,sup_code,0)),"Fournisseur inconnu",IF(E542="","Article manquant",IF(ISNA(MATCH($E542,art_ref,0)),"Article inconnu",IF(N(H542)&lt;=0,"Quantité invalide",IF(J542="","Prix manquant",IF(OR(N(K542)&lt;0,N(K542)&gt;=1),"Remise invalide",IF(M542="","TVA manquante",IF(ISNA(MATCH(M542,p_tva,0)),"Taux de TVA inconnu",IF(COUNTIFS(po_num,A542,po_sup,"&lt;&gt;"&amp;C542)&gt;0,"Fournisseur différent sur ce bon",IF(COUNTIFS(po_num,A542,po_date,"&lt;&gt;"&amp;B542)&gt;0,"Date différente sur ce bon",IF(COUNTIF(po_num,A542)&gt;25,"Plus de 25 lignes sur ce bon",IF(R542="","Date de livraison manquante",IF(R542&lt;B542,"Livraison avant la commande",IF(AND(N(T542)&gt;0,N(S542)=0),"Date d'envoi manquante",IF(N(T542)&gt;N(H542),"Reçu plus que commandé",IF(AND(N(T542)&gt;0,N(U542)=0),"Date de réception manquante",IF(AND(N(U542)&gt;0,U542&lt;B542),"Réception avant la commande","OK")))))))))))))))))))))</f>
        <v/>
      </c>
      <c r="AA542" s="66" t="str">
        <f>IF(AND(X542="Reçu",ISNUMBER(R542)),IF(N(U542)&lt;=R542,1,0),"")</f>
        <v/>
      </c>
      <c r="AB542" s="76" t="str">
        <f>IF(OR(X542="Envoyé",X542="Partiel",X542="En retard"),IF(ISNUMBER(R542),R542,100000)+ROW()/100000,"")</f>
        <v/>
      </c>
      <c r="AC542" s="66" t="str">
        <f>IF(A542="","",IF(COUNTIF($A$6:A542,A542)=1,1,""))</f>
        <v/>
      </c>
      <c r="AD542" s="66" t="str">
        <f>IF(AC542=1,COUNT($AC$6:AC542),"")</f>
        <v/>
      </c>
      <c r="AE542" s="66" t="str">
        <f>IFERROR(INDEX(po_num,MATCH(537,po_seq,0))&amp;"","")</f>
        <v/>
      </c>
      <c r="AF542" s="66" t="str">
        <f>IF(OR(A542="",p_po=""),"",IF(A542&amp;""=p_po,COUNTIF($A$6:A542,A542),""))</f>
        <v/>
      </c>
      <c r="AG542" s="66" t="str">
        <f>IF(OR(AB542="",A542=""),"",IF(COUNTIFS($A$6:A542,A542,$AB$6:AB542,"&gt;0")=1,1,""))</f>
        <v/>
      </c>
      <c r="AH542" s="70" t="str">
        <f>IF(AB542="","",ROUND(N(W542)*N(J542)*(1-N(K542)),2))</f>
        <v/>
      </c>
      <c r="AI542" s="70" t="str">
        <f>IF(OR(J542="",N(T542)&lt;=0,V542="Oui"),"",ROUND(N(T542)*J542*(1-N(K542)),2))</f>
        <v/>
      </c>
    </row>
    <row r="543">
      <c r="A543" s="63" t="n"/>
      <c r="B543" s="64" t="n"/>
      <c r="C543" s="65" t="n"/>
      <c r="D543" s="66" t="str">
        <f>IF(C543="","",IFERROR(INDEX(sup_name,MATCH($C543,sup_code,0))&amp;"","Fournisseur inconnu"))</f>
        <v/>
      </c>
      <c r="E543" s="63" t="n"/>
      <c r="F543" s="66" t="str">
        <f>IF(E543="","",IFERROR(INDEX(art_des,MATCH($E543,art_ref,0))&amp;"","Article inconnu"))</f>
        <v/>
      </c>
      <c r="G543" s="67" t="str">
        <f>IF(E543="","",IFERROR(INDEX(art_unit,MATCH($E543,art_ref,0))&amp;"",""))</f>
        <v/>
      </c>
      <c r="H543" s="68" t="n"/>
      <c r="I543" s="69" t="n"/>
      <c r="J543" s="70" t="str">
        <f>IF(E543="","",IF(ISNUMBER(I543),I543,IFERROR(IF(ISNUMBER(INDEX(art_price,MATCH($E543,art_ref,0))),INDEX(art_price,MATCH($E543,art_ref,0)),""),"")))</f>
        <v/>
      </c>
      <c r="K543" s="71" t="n"/>
      <c r="L543" s="72" t="n"/>
      <c r="M543" s="72" t="str">
        <f>IF(E543="","",IF(L543&lt;&gt;"",L543,IFERROR(IF(ISNUMBER(INDEX(art_tva,MATCH($E543,art_ref,0))),INDEX(art_tva,MATCH($E543,art_ref,0)),""),"")))</f>
        <v/>
      </c>
      <c r="N543" s="70" t="str">
        <f>IF(OR(E543="",J543=""),"",ROUND(N(H543)*J543*(1-N(K543)),2))</f>
        <v/>
      </c>
      <c r="O543" s="70" t="str">
        <f>IF(OR(N543="",NOT(ISNUMBER(M543))),"",ROUND(N543*M543,2))</f>
        <v/>
      </c>
      <c r="P543" s="70" t="str">
        <f>IF(N543="","",N543+N(O543))</f>
        <v/>
      </c>
      <c r="Q543" s="64" t="n"/>
      <c r="R543" s="73" t="str">
        <f>IF(N(Q543)&gt;0,Q543,IF(OR(N(B543)=0,ISNA(MATCH($C543,sup_code,0))),"",IF(ISNUMBER(INDEX(sup_delay,MATCH($C543,sup_code,0))),B543+INDEX(sup_delay,MATCH($C543,sup_code,0)),"")))</f>
        <v/>
      </c>
      <c r="S543" s="64" t="n"/>
      <c r="T543" s="68" t="n"/>
      <c r="U543" s="64" t="n"/>
      <c r="V543" s="65" t="n"/>
      <c r="W543" s="74" t="str">
        <f>IF(AND(A543="",E543=""),"",IF(V543="Oui",0,MAX(0,ROUND(N(H543)-N(T543),6))))</f>
        <v/>
      </c>
      <c r="X543" s="67" t="str">
        <f>IF(AND(A543="",E543=""),"",IF(V543="Oui","Annulé",IF(AND(N(H543)&gt;0,N(T543)&gt;=N(H543)),"Reçu",IF(N(S543)=0,"Brouillon",IF(AND(ISNUMBER(R543),R543&lt;p_today),"En retard",IF(N(T543)&gt;0,"Partiel","Envoyé"))))))</f>
        <v/>
      </c>
      <c r="Y543" s="75" t="str">
        <f>IF(X543="En retard",p_today-R543,IF(AND(X543="Reçu",ISNUMBER(R543)),MAX(0,N(U543)-R543),""))</f>
        <v/>
      </c>
      <c r="Z543" s="67" t="str">
        <f>IF(AND(A543="",E543=""),"",IF(A543="","N° de bon manquant",IF(N(B543)=0,"Date de commande manquante",IF(C543="","Fournisseur manquant",IF(ISNA(MATCH($C543,sup_code,0)),"Fournisseur inconnu",IF(E543="","Article manquant",IF(ISNA(MATCH($E543,art_ref,0)),"Article inconnu",IF(N(H543)&lt;=0,"Quantité invalide",IF(J543="","Prix manquant",IF(OR(N(K543)&lt;0,N(K543)&gt;=1),"Remise invalide",IF(M543="","TVA manquante",IF(ISNA(MATCH(M543,p_tva,0)),"Taux de TVA inconnu",IF(COUNTIFS(po_num,A543,po_sup,"&lt;&gt;"&amp;C543)&gt;0,"Fournisseur différent sur ce bon",IF(COUNTIFS(po_num,A543,po_date,"&lt;&gt;"&amp;B543)&gt;0,"Date différente sur ce bon",IF(COUNTIF(po_num,A543)&gt;25,"Plus de 25 lignes sur ce bon",IF(R543="","Date de livraison manquante",IF(R543&lt;B543,"Livraison avant la commande",IF(AND(N(T543)&gt;0,N(S543)=0),"Date d'envoi manquante",IF(N(T543)&gt;N(H543),"Reçu plus que commandé",IF(AND(N(T543)&gt;0,N(U543)=0),"Date de réception manquante",IF(AND(N(U543)&gt;0,U543&lt;B543),"Réception avant la commande","OK")))))))))))))))))))))</f>
        <v/>
      </c>
      <c r="AA543" s="66" t="str">
        <f>IF(AND(X543="Reçu",ISNUMBER(R543)),IF(N(U543)&lt;=R543,1,0),"")</f>
        <v/>
      </c>
      <c r="AB543" s="76" t="str">
        <f>IF(OR(X543="Envoyé",X543="Partiel",X543="En retard"),IF(ISNUMBER(R543),R543,100000)+ROW()/100000,"")</f>
        <v/>
      </c>
      <c r="AC543" s="66" t="str">
        <f>IF(A543="","",IF(COUNTIF($A$6:A543,A543)=1,1,""))</f>
        <v/>
      </c>
      <c r="AD543" s="66" t="str">
        <f>IF(AC543=1,COUNT($AC$6:AC543),"")</f>
        <v/>
      </c>
      <c r="AE543" s="66" t="str">
        <f>IFERROR(INDEX(po_num,MATCH(538,po_seq,0))&amp;"","")</f>
        <v/>
      </c>
      <c r="AF543" s="66" t="str">
        <f>IF(OR(A543="",p_po=""),"",IF(A543&amp;""=p_po,COUNTIF($A$6:A543,A543),""))</f>
        <v/>
      </c>
      <c r="AG543" s="66" t="str">
        <f>IF(OR(AB543="",A543=""),"",IF(COUNTIFS($A$6:A543,A543,$AB$6:AB543,"&gt;0")=1,1,""))</f>
        <v/>
      </c>
      <c r="AH543" s="70" t="str">
        <f>IF(AB543="","",ROUND(N(W543)*N(J543)*(1-N(K543)),2))</f>
        <v/>
      </c>
      <c r="AI543" s="70" t="str">
        <f>IF(OR(J543="",N(T543)&lt;=0,V543="Oui"),"",ROUND(N(T543)*J543*(1-N(K543)),2))</f>
        <v/>
      </c>
    </row>
    <row r="544">
      <c r="A544" s="63" t="n"/>
      <c r="B544" s="64" t="n"/>
      <c r="C544" s="65" t="n"/>
      <c r="D544" s="66" t="str">
        <f>IF(C544="","",IFERROR(INDEX(sup_name,MATCH($C544,sup_code,0))&amp;"","Fournisseur inconnu"))</f>
        <v/>
      </c>
      <c r="E544" s="63" t="n"/>
      <c r="F544" s="66" t="str">
        <f>IF(E544="","",IFERROR(INDEX(art_des,MATCH($E544,art_ref,0))&amp;"","Article inconnu"))</f>
        <v/>
      </c>
      <c r="G544" s="67" t="str">
        <f>IF(E544="","",IFERROR(INDEX(art_unit,MATCH($E544,art_ref,0))&amp;"",""))</f>
        <v/>
      </c>
      <c r="H544" s="68" t="n"/>
      <c r="I544" s="69" t="n"/>
      <c r="J544" s="70" t="str">
        <f>IF(E544="","",IF(ISNUMBER(I544),I544,IFERROR(IF(ISNUMBER(INDEX(art_price,MATCH($E544,art_ref,0))),INDEX(art_price,MATCH($E544,art_ref,0)),""),"")))</f>
        <v/>
      </c>
      <c r="K544" s="71" t="n"/>
      <c r="L544" s="72" t="n"/>
      <c r="M544" s="72" t="str">
        <f>IF(E544="","",IF(L544&lt;&gt;"",L544,IFERROR(IF(ISNUMBER(INDEX(art_tva,MATCH($E544,art_ref,0))),INDEX(art_tva,MATCH($E544,art_ref,0)),""),"")))</f>
        <v/>
      </c>
      <c r="N544" s="70" t="str">
        <f>IF(OR(E544="",J544=""),"",ROUND(N(H544)*J544*(1-N(K544)),2))</f>
        <v/>
      </c>
      <c r="O544" s="70" t="str">
        <f>IF(OR(N544="",NOT(ISNUMBER(M544))),"",ROUND(N544*M544,2))</f>
        <v/>
      </c>
      <c r="P544" s="70" t="str">
        <f>IF(N544="","",N544+N(O544))</f>
        <v/>
      </c>
      <c r="Q544" s="64" t="n"/>
      <c r="R544" s="73" t="str">
        <f>IF(N(Q544)&gt;0,Q544,IF(OR(N(B544)=0,ISNA(MATCH($C544,sup_code,0))),"",IF(ISNUMBER(INDEX(sup_delay,MATCH($C544,sup_code,0))),B544+INDEX(sup_delay,MATCH($C544,sup_code,0)),"")))</f>
        <v/>
      </c>
      <c r="S544" s="64" t="n"/>
      <c r="T544" s="68" t="n"/>
      <c r="U544" s="64" t="n"/>
      <c r="V544" s="65" t="n"/>
      <c r="W544" s="74" t="str">
        <f>IF(AND(A544="",E544=""),"",IF(V544="Oui",0,MAX(0,ROUND(N(H544)-N(T544),6))))</f>
        <v/>
      </c>
      <c r="X544" s="67" t="str">
        <f>IF(AND(A544="",E544=""),"",IF(V544="Oui","Annulé",IF(AND(N(H544)&gt;0,N(T544)&gt;=N(H544)),"Reçu",IF(N(S544)=0,"Brouillon",IF(AND(ISNUMBER(R544),R544&lt;p_today),"En retard",IF(N(T544)&gt;0,"Partiel","Envoyé"))))))</f>
        <v/>
      </c>
      <c r="Y544" s="75" t="str">
        <f>IF(X544="En retard",p_today-R544,IF(AND(X544="Reçu",ISNUMBER(R544)),MAX(0,N(U544)-R544),""))</f>
        <v/>
      </c>
      <c r="Z544" s="67" t="str">
        <f>IF(AND(A544="",E544=""),"",IF(A544="","N° de bon manquant",IF(N(B544)=0,"Date de commande manquante",IF(C544="","Fournisseur manquant",IF(ISNA(MATCH($C544,sup_code,0)),"Fournisseur inconnu",IF(E544="","Article manquant",IF(ISNA(MATCH($E544,art_ref,0)),"Article inconnu",IF(N(H544)&lt;=0,"Quantité invalide",IF(J544="","Prix manquant",IF(OR(N(K544)&lt;0,N(K544)&gt;=1),"Remise invalide",IF(M544="","TVA manquante",IF(ISNA(MATCH(M544,p_tva,0)),"Taux de TVA inconnu",IF(COUNTIFS(po_num,A544,po_sup,"&lt;&gt;"&amp;C544)&gt;0,"Fournisseur différent sur ce bon",IF(COUNTIFS(po_num,A544,po_date,"&lt;&gt;"&amp;B544)&gt;0,"Date différente sur ce bon",IF(COUNTIF(po_num,A544)&gt;25,"Plus de 25 lignes sur ce bon",IF(R544="","Date de livraison manquante",IF(R544&lt;B544,"Livraison avant la commande",IF(AND(N(T544)&gt;0,N(S544)=0),"Date d'envoi manquante",IF(N(T544)&gt;N(H544),"Reçu plus que commandé",IF(AND(N(T544)&gt;0,N(U544)=0),"Date de réception manquante",IF(AND(N(U544)&gt;0,U544&lt;B544),"Réception avant la commande","OK")))))))))))))))))))))</f>
        <v/>
      </c>
      <c r="AA544" s="66" t="str">
        <f>IF(AND(X544="Reçu",ISNUMBER(R544)),IF(N(U544)&lt;=R544,1,0),"")</f>
        <v/>
      </c>
      <c r="AB544" s="76" t="str">
        <f>IF(OR(X544="Envoyé",X544="Partiel",X544="En retard"),IF(ISNUMBER(R544),R544,100000)+ROW()/100000,"")</f>
        <v/>
      </c>
      <c r="AC544" s="66" t="str">
        <f>IF(A544="","",IF(COUNTIF($A$6:A544,A544)=1,1,""))</f>
        <v/>
      </c>
      <c r="AD544" s="66" t="str">
        <f>IF(AC544=1,COUNT($AC$6:AC544),"")</f>
        <v/>
      </c>
      <c r="AE544" s="66" t="str">
        <f>IFERROR(INDEX(po_num,MATCH(539,po_seq,0))&amp;"","")</f>
        <v/>
      </c>
      <c r="AF544" s="66" t="str">
        <f>IF(OR(A544="",p_po=""),"",IF(A544&amp;""=p_po,COUNTIF($A$6:A544,A544),""))</f>
        <v/>
      </c>
      <c r="AG544" s="66" t="str">
        <f>IF(OR(AB544="",A544=""),"",IF(COUNTIFS($A$6:A544,A544,$AB$6:AB544,"&gt;0")=1,1,""))</f>
        <v/>
      </c>
      <c r="AH544" s="70" t="str">
        <f>IF(AB544="","",ROUND(N(W544)*N(J544)*(1-N(K544)),2))</f>
        <v/>
      </c>
      <c r="AI544" s="70" t="str">
        <f>IF(OR(J544="",N(T544)&lt;=0,V544="Oui"),"",ROUND(N(T544)*J544*(1-N(K544)),2))</f>
        <v/>
      </c>
    </row>
    <row r="545">
      <c r="A545" s="63" t="n"/>
      <c r="B545" s="64" t="n"/>
      <c r="C545" s="65" t="n"/>
      <c r="D545" s="66" t="str">
        <f>IF(C545="","",IFERROR(INDEX(sup_name,MATCH($C545,sup_code,0))&amp;"","Fournisseur inconnu"))</f>
        <v/>
      </c>
      <c r="E545" s="63" t="n"/>
      <c r="F545" s="66" t="str">
        <f>IF(E545="","",IFERROR(INDEX(art_des,MATCH($E545,art_ref,0))&amp;"","Article inconnu"))</f>
        <v/>
      </c>
      <c r="G545" s="67" t="str">
        <f>IF(E545="","",IFERROR(INDEX(art_unit,MATCH($E545,art_ref,0))&amp;"",""))</f>
        <v/>
      </c>
      <c r="H545" s="68" t="n"/>
      <c r="I545" s="69" t="n"/>
      <c r="J545" s="70" t="str">
        <f>IF(E545="","",IF(ISNUMBER(I545),I545,IFERROR(IF(ISNUMBER(INDEX(art_price,MATCH($E545,art_ref,0))),INDEX(art_price,MATCH($E545,art_ref,0)),""),"")))</f>
        <v/>
      </c>
      <c r="K545" s="71" t="n"/>
      <c r="L545" s="72" t="n"/>
      <c r="M545" s="72" t="str">
        <f>IF(E545="","",IF(L545&lt;&gt;"",L545,IFERROR(IF(ISNUMBER(INDEX(art_tva,MATCH($E545,art_ref,0))),INDEX(art_tva,MATCH($E545,art_ref,0)),""),"")))</f>
        <v/>
      </c>
      <c r="N545" s="70" t="str">
        <f>IF(OR(E545="",J545=""),"",ROUND(N(H545)*J545*(1-N(K545)),2))</f>
        <v/>
      </c>
      <c r="O545" s="70" t="str">
        <f>IF(OR(N545="",NOT(ISNUMBER(M545))),"",ROUND(N545*M545,2))</f>
        <v/>
      </c>
      <c r="P545" s="70" t="str">
        <f>IF(N545="","",N545+N(O545))</f>
        <v/>
      </c>
      <c r="Q545" s="64" t="n"/>
      <c r="R545" s="73" t="str">
        <f>IF(N(Q545)&gt;0,Q545,IF(OR(N(B545)=0,ISNA(MATCH($C545,sup_code,0))),"",IF(ISNUMBER(INDEX(sup_delay,MATCH($C545,sup_code,0))),B545+INDEX(sup_delay,MATCH($C545,sup_code,0)),"")))</f>
        <v/>
      </c>
      <c r="S545" s="64" t="n"/>
      <c r="T545" s="68" t="n"/>
      <c r="U545" s="64" t="n"/>
      <c r="V545" s="65" t="n"/>
      <c r="W545" s="74" t="str">
        <f>IF(AND(A545="",E545=""),"",IF(V545="Oui",0,MAX(0,ROUND(N(H545)-N(T545),6))))</f>
        <v/>
      </c>
      <c r="X545" s="67" t="str">
        <f>IF(AND(A545="",E545=""),"",IF(V545="Oui","Annulé",IF(AND(N(H545)&gt;0,N(T545)&gt;=N(H545)),"Reçu",IF(N(S545)=0,"Brouillon",IF(AND(ISNUMBER(R545),R545&lt;p_today),"En retard",IF(N(T545)&gt;0,"Partiel","Envoyé"))))))</f>
        <v/>
      </c>
      <c r="Y545" s="75" t="str">
        <f>IF(X545="En retard",p_today-R545,IF(AND(X545="Reçu",ISNUMBER(R545)),MAX(0,N(U545)-R545),""))</f>
        <v/>
      </c>
      <c r="Z545" s="67" t="str">
        <f>IF(AND(A545="",E545=""),"",IF(A545="","N° de bon manquant",IF(N(B545)=0,"Date de commande manquante",IF(C545="","Fournisseur manquant",IF(ISNA(MATCH($C545,sup_code,0)),"Fournisseur inconnu",IF(E545="","Article manquant",IF(ISNA(MATCH($E545,art_ref,0)),"Article inconnu",IF(N(H545)&lt;=0,"Quantité invalide",IF(J545="","Prix manquant",IF(OR(N(K545)&lt;0,N(K545)&gt;=1),"Remise invalide",IF(M545="","TVA manquante",IF(ISNA(MATCH(M545,p_tva,0)),"Taux de TVA inconnu",IF(COUNTIFS(po_num,A545,po_sup,"&lt;&gt;"&amp;C545)&gt;0,"Fournisseur différent sur ce bon",IF(COUNTIFS(po_num,A545,po_date,"&lt;&gt;"&amp;B545)&gt;0,"Date différente sur ce bon",IF(COUNTIF(po_num,A545)&gt;25,"Plus de 25 lignes sur ce bon",IF(R545="","Date de livraison manquante",IF(R545&lt;B545,"Livraison avant la commande",IF(AND(N(T545)&gt;0,N(S545)=0),"Date d'envoi manquante",IF(N(T545)&gt;N(H545),"Reçu plus que commandé",IF(AND(N(T545)&gt;0,N(U545)=0),"Date de réception manquante",IF(AND(N(U545)&gt;0,U545&lt;B545),"Réception avant la commande","OK")))))))))))))))))))))</f>
        <v/>
      </c>
      <c r="AA545" s="66" t="str">
        <f>IF(AND(X545="Reçu",ISNUMBER(R545)),IF(N(U545)&lt;=R545,1,0),"")</f>
        <v/>
      </c>
      <c r="AB545" s="76" t="str">
        <f>IF(OR(X545="Envoyé",X545="Partiel",X545="En retard"),IF(ISNUMBER(R545),R545,100000)+ROW()/100000,"")</f>
        <v/>
      </c>
      <c r="AC545" s="66" t="str">
        <f>IF(A545="","",IF(COUNTIF($A$6:A545,A545)=1,1,""))</f>
        <v/>
      </c>
      <c r="AD545" s="66" t="str">
        <f>IF(AC545=1,COUNT($AC$6:AC545),"")</f>
        <v/>
      </c>
      <c r="AE545" s="66" t="str">
        <f>IFERROR(INDEX(po_num,MATCH(540,po_seq,0))&amp;"","")</f>
        <v/>
      </c>
      <c r="AF545" s="66" t="str">
        <f>IF(OR(A545="",p_po=""),"",IF(A545&amp;""=p_po,COUNTIF($A$6:A545,A545),""))</f>
        <v/>
      </c>
      <c r="AG545" s="66" t="str">
        <f>IF(OR(AB545="",A545=""),"",IF(COUNTIFS($A$6:A545,A545,$AB$6:AB545,"&gt;0")=1,1,""))</f>
        <v/>
      </c>
      <c r="AH545" s="70" t="str">
        <f>IF(AB545="","",ROUND(N(W545)*N(J545)*(1-N(K545)),2))</f>
        <v/>
      </c>
      <c r="AI545" s="70" t="str">
        <f>IF(OR(J545="",N(T545)&lt;=0,V545="Oui"),"",ROUND(N(T545)*J545*(1-N(K545)),2))</f>
        <v/>
      </c>
    </row>
    <row r="546">
      <c r="A546" s="63" t="n"/>
      <c r="B546" s="64" t="n"/>
      <c r="C546" s="65" t="n"/>
      <c r="D546" s="66" t="str">
        <f>IF(C546="","",IFERROR(INDEX(sup_name,MATCH($C546,sup_code,0))&amp;"","Fournisseur inconnu"))</f>
        <v/>
      </c>
      <c r="E546" s="63" t="n"/>
      <c r="F546" s="66" t="str">
        <f>IF(E546="","",IFERROR(INDEX(art_des,MATCH($E546,art_ref,0))&amp;"","Article inconnu"))</f>
        <v/>
      </c>
      <c r="G546" s="67" t="str">
        <f>IF(E546="","",IFERROR(INDEX(art_unit,MATCH($E546,art_ref,0))&amp;"",""))</f>
        <v/>
      </c>
      <c r="H546" s="68" t="n"/>
      <c r="I546" s="69" t="n"/>
      <c r="J546" s="70" t="str">
        <f>IF(E546="","",IF(ISNUMBER(I546),I546,IFERROR(IF(ISNUMBER(INDEX(art_price,MATCH($E546,art_ref,0))),INDEX(art_price,MATCH($E546,art_ref,0)),""),"")))</f>
        <v/>
      </c>
      <c r="K546" s="71" t="n"/>
      <c r="L546" s="72" t="n"/>
      <c r="M546" s="72" t="str">
        <f>IF(E546="","",IF(L546&lt;&gt;"",L546,IFERROR(IF(ISNUMBER(INDEX(art_tva,MATCH($E546,art_ref,0))),INDEX(art_tva,MATCH($E546,art_ref,0)),""),"")))</f>
        <v/>
      </c>
      <c r="N546" s="70" t="str">
        <f>IF(OR(E546="",J546=""),"",ROUND(N(H546)*J546*(1-N(K546)),2))</f>
        <v/>
      </c>
      <c r="O546" s="70" t="str">
        <f>IF(OR(N546="",NOT(ISNUMBER(M546))),"",ROUND(N546*M546,2))</f>
        <v/>
      </c>
      <c r="P546" s="70" t="str">
        <f>IF(N546="","",N546+N(O546))</f>
        <v/>
      </c>
      <c r="Q546" s="64" t="n"/>
      <c r="R546" s="73" t="str">
        <f>IF(N(Q546)&gt;0,Q546,IF(OR(N(B546)=0,ISNA(MATCH($C546,sup_code,0))),"",IF(ISNUMBER(INDEX(sup_delay,MATCH($C546,sup_code,0))),B546+INDEX(sup_delay,MATCH($C546,sup_code,0)),"")))</f>
        <v/>
      </c>
      <c r="S546" s="64" t="n"/>
      <c r="T546" s="68" t="n"/>
      <c r="U546" s="64" t="n"/>
      <c r="V546" s="65" t="n"/>
      <c r="W546" s="74" t="str">
        <f>IF(AND(A546="",E546=""),"",IF(V546="Oui",0,MAX(0,ROUND(N(H546)-N(T546),6))))</f>
        <v/>
      </c>
      <c r="X546" s="67" t="str">
        <f>IF(AND(A546="",E546=""),"",IF(V546="Oui","Annulé",IF(AND(N(H546)&gt;0,N(T546)&gt;=N(H546)),"Reçu",IF(N(S546)=0,"Brouillon",IF(AND(ISNUMBER(R546),R546&lt;p_today),"En retard",IF(N(T546)&gt;0,"Partiel","Envoyé"))))))</f>
        <v/>
      </c>
      <c r="Y546" s="75" t="str">
        <f>IF(X546="En retard",p_today-R546,IF(AND(X546="Reçu",ISNUMBER(R546)),MAX(0,N(U546)-R546),""))</f>
        <v/>
      </c>
      <c r="Z546" s="67" t="str">
        <f>IF(AND(A546="",E546=""),"",IF(A546="","N° de bon manquant",IF(N(B546)=0,"Date de commande manquante",IF(C546="","Fournisseur manquant",IF(ISNA(MATCH($C546,sup_code,0)),"Fournisseur inconnu",IF(E546="","Article manquant",IF(ISNA(MATCH($E546,art_ref,0)),"Article inconnu",IF(N(H546)&lt;=0,"Quantité invalide",IF(J546="","Prix manquant",IF(OR(N(K546)&lt;0,N(K546)&gt;=1),"Remise invalide",IF(M546="","TVA manquante",IF(ISNA(MATCH(M546,p_tva,0)),"Taux de TVA inconnu",IF(COUNTIFS(po_num,A546,po_sup,"&lt;&gt;"&amp;C546)&gt;0,"Fournisseur différent sur ce bon",IF(COUNTIFS(po_num,A546,po_date,"&lt;&gt;"&amp;B546)&gt;0,"Date différente sur ce bon",IF(COUNTIF(po_num,A546)&gt;25,"Plus de 25 lignes sur ce bon",IF(R546="","Date de livraison manquante",IF(R546&lt;B546,"Livraison avant la commande",IF(AND(N(T546)&gt;0,N(S546)=0),"Date d'envoi manquante",IF(N(T546)&gt;N(H546),"Reçu plus que commandé",IF(AND(N(T546)&gt;0,N(U546)=0),"Date de réception manquante",IF(AND(N(U546)&gt;0,U546&lt;B546),"Réception avant la commande","OK")))))))))))))))))))))</f>
        <v/>
      </c>
      <c r="AA546" s="66" t="str">
        <f>IF(AND(X546="Reçu",ISNUMBER(R546)),IF(N(U546)&lt;=R546,1,0),"")</f>
        <v/>
      </c>
      <c r="AB546" s="76" t="str">
        <f>IF(OR(X546="Envoyé",X546="Partiel",X546="En retard"),IF(ISNUMBER(R546),R546,100000)+ROW()/100000,"")</f>
        <v/>
      </c>
      <c r="AC546" s="66" t="str">
        <f>IF(A546="","",IF(COUNTIF($A$6:A546,A546)=1,1,""))</f>
        <v/>
      </c>
      <c r="AD546" s="66" t="str">
        <f>IF(AC546=1,COUNT($AC$6:AC546),"")</f>
        <v/>
      </c>
      <c r="AE546" s="66" t="str">
        <f>IFERROR(INDEX(po_num,MATCH(541,po_seq,0))&amp;"","")</f>
        <v/>
      </c>
      <c r="AF546" s="66" t="str">
        <f>IF(OR(A546="",p_po=""),"",IF(A546&amp;""=p_po,COUNTIF($A$6:A546,A546),""))</f>
        <v/>
      </c>
      <c r="AG546" s="66" t="str">
        <f>IF(OR(AB546="",A546=""),"",IF(COUNTIFS($A$6:A546,A546,$AB$6:AB546,"&gt;0")=1,1,""))</f>
        <v/>
      </c>
      <c r="AH546" s="70" t="str">
        <f>IF(AB546="","",ROUND(N(W546)*N(J546)*(1-N(K546)),2))</f>
        <v/>
      </c>
      <c r="AI546" s="70" t="str">
        <f>IF(OR(J546="",N(T546)&lt;=0,V546="Oui"),"",ROUND(N(T546)*J546*(1-N(K546)),2))</f>
        <v/>
      </c>
    </row>
    <row r="547">
      <c r="A547" s="63" t="n"/>
      <c r="B547" s="64" t="n"/>
      <c r="C547" s="65" t="n"/>
      <c r="D547" s="66" t="str">
        <f>IF(C547="","",IFERROR(INDEX(sup_name,MATCH($C547,sup_code,0))&amp;"","Fournisseur inconnu"))</f>
        <v/>
      </c>
      <c r="E547" s="63" t="n"/>
      <c r="F547" s="66" t="str">
        <f>IF(E547="","",IFERROR(INDEX(art_des,MATCH($E547,art_ref,0))&amp;"","Article inconnu"))</f>
        <v/>
      </c>
      <c r="G547" s="67" t="str">
        <f>IF(E547="","",IFERROR(INDEX(art_unit,MATCH($E547,art_ref,0))&amp;"",""))</f>
        <v/>
      </c>
      <c r="H547" s="68" t="n"/>
      <c r="I547" s="69" t="n"/>
      <c r="J547" s="70" t="str">
        <f>IF(E547="","",IF(ISNUMBER(I547),I547,IFERROR(IF(ISNUMBER(INDEX(art_price,MATCH($E547,art_ref,0))),INDEX(art_price,MATCH($E547,art_ref,0)),""),"")))</f>
        <v/>
      </c>
      <c r="K547" s="71" t="n"/>
      <c r="L547" s="72" t="n"/>
      <c r="M547" s="72" t="str">
        <f>IF(E547="","",IF(L547&lt;&gt;"",L547,IFERROR(IF(ISNUMBER(INDEX(art_tva,MATCH($E547,art_ref,0))),INDEX(art_tva,MATCH($E547,art_ref,0)),""),"")))</f>
        <v/>
      </c>
      <c r="N547" s="70" t="str">
        <f>IF(OR(E547="",J547=""),"",ROUND(N(H547)*J547*(1-N(K547)),2))</f>
        <v/>
      </c>
      <c r="O547" s="70" t="str">
        <f>IF(OR(N547="",NOT(ISNUMBER(M547))),"",ROUND(N547*M547,2))</f>
        <v/>
      </c>
      <c r="P547" s="70" t="str">
        <f>IF(N547="","",N547+N(O547))</f>
        <v/>
      </c>
      <c r="Q547" s="64" t="n"/>
      <c r="R547" s="73" t="str">
        <f>IF(N(Q547)&gt;0,Q547,IF(OR(N(B547)=0,ISNA(MATCH($C547,sup_code,0))),"",IF(ISNUMBER(INDEX(sup_delay,MATCH($C547,sup_code,0))),B547+INDEX(sup_delay,MATCH($C547,sup_code,0)),"")))</f>
        <v/>
      </c>
      <c r="S547" s="64" t="n"/>
      <c r="T547" s="68" t="n"/>
      <c r="U547" s="64" t="n"/>
      <c r="V547" s="65" t="n"/>
      <c r="W547" s="74" t="str">
        <f>IF(AND(A547="",E547=""),"",IF(V547="Oui",0,MAX(0,ROUND(N(H547)-N(T547),6))))</f>
        <v/>
      </c>
      <c r="X547" s="67" t="str">
        <f>IF(AND(A547="",E547=""),"",IF(V547="Oui","Annulé",IF(AND(N(H547)&gt;0,N(T547)&gt;=N(H547)),"Reçu",IF(N(S547)=0,"Brouillon",IF(AND(ISNUMBER(R547),R547&lt;p_today),"En retard",IF(N(T547)&gt;0,"Partiel","Envoyé"))))))</f>
        <v/>
      </c>
      <c r="Y547" s="75" t="str">
        <f>IF(X547="En retard",p_today-R547,IF(AND(X547="Reçu",ISNUMBER(R547)),MAX(0,N(U547)-R547),""))</f>
        <v/>
      </c>
      <c r="Z547" s="67" t="str">
        <f>IF(AND(A547="",E547=""),"",IF(A547="","N° de bon manquant",IF(N(B547)=0,"Date de commande manquante",IF(C547="","Fournisseur manquant",IF(ISNA(MATCH($C547,sup_code,0)),"Fournisseur inconnu",IF(E547="","Article manquant",IF(ISNA(MATCH($E547,art_ref,0)),"Article inconnu",IF(N(H547)&lt;=0,"Quantité invalide",IF(J547="","Prix manquant",IF(OR(N(K547)&lt;0,N(K547)&gt;=1),"Remise invalide",IF(M547="","TVA manquante",IF(ISNA(MATCH(M547,p_tva,0)),"Taux de TVA inconnu",IF(COUNTIFS(po_num,A547,po_sup,"&lt;&gt;"&amp;C547)&gt;0,"Fournisseur différent sur ce bon",IF(COUNTIFS(po_num,A547,po_date,"&lt;&gt;"&amp;B547)&gt;0,"Date différente sur ce bon",IF(COUNTIF(po_num,A547)&gt;25,"Plus de 25 lignes sur ce bon",IF(R547="","Date de livraison manquante",IF(R547&lt;B547,"Livraison avant la commande",IF(AND(N(T547)&gt;0,N(S547)=0),"Date d'envoi manquante",IF(N(T547)&gt;N(H547),"Reçu plus que commandé",IF(AND(N(T547)&gt;0,N(U547)=0),"Date de réception manquante",IF(AND(N(U547)&gt;0,U547&lt;B547),"Réception avant la commande","OK")))))))))))))))))))))</f>
        <v/>
      </c>
      <c r="AA547" s="66" t="str">
        <f>IF(AND(X547="Reçu",ISNUMBER(R547)),IF(N(U547)&lt;=R547,1,0),"")</f>
        <v/>
      </c>
      <c r="AB547" s="76" t="str">
        <f>IF(OR(X547="Envoyé",X547="Partiel",X547="En retard"),IF(ISNUMBER(R547),R547,100000)+ROW()/100000,"")</f>
        <v/>
      </c>
      <c r="AC547" s="66" t="str">
        <f>IF(A547="","",IF(COUNTIF($A$6:A547,A547)=1,1,""))</f>
        <v/>
      </c>
      <c r="AD547" s="66" t="str">
        <f>IF(AC547=1,COUNT($AC$6:AC547),"")</f>
        <v/>
      </c>
      <c r="AE547" s="66" t="str">
        <f>IFERROR(INDEX(po_num,MATCH(542,po_seq,0))&amp;"","")</f>
        <v/>
      </c>
      <c r="AF547" s="66" t="str">
        <f>IF(OR(A547="",p_po=""),"",IF(A547&amp;""=p_po,COUNTIF($A$6:A547,A547),""))</f>
        <v/>
      </c>
      <c r="AG547" s="66" t="str">
        <f>IF(OR(AB547="",A547=""),"",IF(COUNTIFS($A$6:A547,A547,$AB$6:AB547,"&gt;0")=1,1,""))</f>
        <v/>
      </c>
      <c r="AH547" s="70" t="str">
        <f>IF(AB547="","",ROUND(N(W547)*N(J547)*(1-N(K547)),2))</f>
        <v/>
      </c>
      <c r="AI547" s="70" t="str">
        <f>IF(OR(J547="",N(T547)&lt;=0,V547="Oui"),"",ROUND(N(T547)*J547*(1-N(K547)),2))</f>
        <v/>
      </c>
    </row>
    <row r="548">
      <c r="A548" s="63" t="n"/>
      <c r="B548" s="64" t="n"/>
      <c r="C548" s="65" t="n"/>
      <c r="D548" s="66" t="str">
        <f>IF(C548="","",IFERROR(INDEX(sup_name,MATCH($C548,sup_code,0))&amp;"","Fournisseur inconnu"))</f>
        <v/>
      </c>
      <c r="E548" s="63" t="n"/>
      <c r="F548" s="66" t="str">
        <f>IF(E548="","",IFERROR(INDEX(art_des,MATCH($E548,art_ref,0))&amp;"","Article inconnu"))</f>
        <v/>
      </c>
      <c r="G548" s="67" t="str">
        <f>IF(E548="","",IFERROR(INDEX(art_unit,MATCH($E548,art_ref,0))&amp;"",""))</f>
        <v/>
      </c>
      <c r="H548" s="68" t="n"/>
      <c r="I548" s="69" t="n"/>
      <c r="J548" s="70" t="str">
        <f>IF(E548="","",IF(ISNUMBER(I548),I548,IFERROR(IF(ISNUMBER(INDEX(art_price,MATCH($E548,art_ref,0))),INDEX(art_price,MATCH($E548,art_ref,0)),""),"")))</f>
        <v/>
      </c>
      <c r="K548" s="71" t="n"/>
      <c r="L548" s="72" t="n"/>
      <c r="M548" s="72" t="str">
        <f>IF(E548="","",IF(L548&lt;&gt;"",L548,IFERROR(IF(ISNUMBER(INDEX(art_tva,MATCH($E548,art_ref,0))),INDEX(art_tva,MATCH($E548,art_ref,0)),""),"")))</f>
        <v/>
      </c>
      <c r="N548" s="70" t="str">
        <f>IF(OR(E548="",J548=""),"",ROUND(N(H548)*J548*(1-N(K548)),2))</f>
        <v/>
      </c>
      <c r="O548" s="70" t="str">
        <f>IF(OR(N548="",NOT(ISNUMBER(M548))),"",ROUND(N548*M548,2))</f>
        <v/>
      </c>
      <c r="P548" s="70" t="str">
        <f>IF(N548="","",N548+N(O548))</f>
        <v/>
      </c>
      <c r="Q548" s="64" t="n"/>
      <c r="R548" s="73" t="str">
        <f>IF(N(Q548)&gt;0,Q548,IF(OR(N(B548)=0,ISNA(MATCH($C548,sup_code,0))),"",IF(ISNUMBER(INDEX(sup_delay,MATCH($C548,sup_code,0))),B548+INDEX(sup_delay,MATCH($C548,sup_code,0)),"")))</f>
        <v/>
      </c>
      <c r="S548" s="64" t="n"/>
      <c r="T548" s="68" t="n"/>
      <c r="U548" s="64" t="n"/>
      <c r="V548" s="65" t="n"/>
      <c r="W548" s="74" t="str">
        <f>IF(AND(A548="",E548=""),"",IF(V548="Oui",0,MAX(0,ROUND(N(H548)-N(T548),6))))</f>
        <v/>
      </c>
      <c r="X548" s="67" t="str">
        <f>IF(AND(A548="",E548=""),"",IF(V548="Oui","Annulé",IF(AND(N(H548)&gt;0,N(T548)&gt;=N(H548)),"Reçu",IF(N(S548)=0,"Brouillon",IF(AND(ISNUMBER(R548),R548&lt;p_today),"En retard",IF(N(T548)&gt;0,"Partiel","Envoyé"))))))</f>
        <v/>
      </c>
      <c r="Y548" s="75" t="str">
        <f>IF(X548="En retard",p_today-R548,IF(AND(X548="Reçu",ISNUMBER(R548)),MAX(0,N(U548)-R548),""))</f>
        <v/>
      </c>
      <c r="Z548" s="67" t="str">
        <f>IF(AND(A548="",E548=""),"",IF(A548="","N° de bon manquant",IF(N(B548)=0,"Date de commande manquante",IF(C548="","Fournisseur manquant",IF(ISNA(MATCH($C548,sup_code,0)),"Fournisseur inconnu",IF(E548="","Article manquant",IF(ISNA(MATCH($E548,art_ref,0)),"Article inconnu",IF(N(H548)&lt;=0,"Quantité invalide",IF(J548="","Prix manquant",IF(OR(N(K548)&lt;0,N(K548)&gt;=1),"Remise invalide",IF(M548="","TVA manquante",IF(ISNA(MATCH(M548,p_tva,0)),"Taux de TVA inconnu",IF(COUNTIFS(po_num,A548,po_sup,"&lt;&gt;"&amp;C548)&gt;0,"Fournisseur différent sur ce bon",IF(COUNTIFS(po_num,A548,po_date,"&lt;&gt;"&amp;B548)&gt;0,"Date différente sur ce bon",IF(COUNTIF(po_num,A548)&gt;25,"Plus de 25 lignes sur ce bon",IF(R548="","Date de livraison manquante",IF(R548&lt;B548,"Livraison avant la commande",IF(AND(N(T548)&gt;0,N(S548)=0),"Date d'envoi manquante",IF(N(T548)&gt;N(H548),"Reçu plus que commandé",IF(AND(N(T548)&gt;0,N(U548)=0),"Date de réception manquante",IF(AND(N(U548)&gt;0,U548&lt;B548),"Réception avant la commande","OK")))))))))))))))))))))</f>
        <v/>
      </c>
      <c r="AA548" s="66" t="str">
        <f>IF(AND(X548="Reçu",ISNUMBER(R548)),IF(N(U548)&lt;=R548,1,0),"")</f>
        <v/>
      </c>
      <c r="AB548" s="76" t="str">
        <f>IF(OR(X548="Envoyé",X548="Partiel",X548="En retard"),IF(ISNUMBER(R548),R548,100000)+ROW()/100000,"")</f>
        <v/>
      </c>
      <c r="AC548" s="66" t="str">
        <f>IF(A548="","",IF(COUNTIF($A$6:A548,A548)=1,1,""))</f>
        <v/>
      </c>
      <c r="AD548" s="66" t="str">
        <f>IF(AC548=1,COUNT($AC$6:AC548),"")</f>
        <v/>
      </c>
      <c r="AE548" s="66" t="str">
        <f>IFERROR(INDEX(po_num,MATCH(543,po_seq,0))&amp;"","")</f>
        <v/>
      </c>
      <c r="AF548" s="66" t="str">
        <f>IF(OR(A548="",p_po=""),"",IF(A548&amp;""=p_po,COUNTIF($A$6:A548,A548),""))</f>
        <v/>
      </c>
      <c r="AG548" s="66" t="str">
        <f>IF(OR(AB548="",A548=""),"",IF(COUNTIFS($A$6:A548,A548,$AB$6:AB548,"&gt;0")=1,1,""))</f>
        <v/>
      </c>
      <c r="AH548" s="70" t="str">
        <f>IF(AB548="","",ROUND(N(W548)*N(J548)*(1-N(K548)),2))</f>
        <v/>
      </c>
      <c r="AI548" s="70" t="str">
        <f>IF(OR(J548="",N(T548)&lt;=0,V548="Oui"),"",ROUND(N(T548)*J548*(1-N(K548)),2))</f>
        <v/>
      </c>
    </row>
    <row r="549">
      <c r="A549" s="63" t="n"/>
      <c r="B549" s="64" t="n"/>
      <c r="C549" s="65" t="n"/>
      <c r="D549" s="66" t="str">
        <f>IF(C549="","",IFERROR(INDEX(sup_name,MATCH($C549,sup_code,0))&amp;"","Fournisseur inconnu"))</f>
        <v/>
      </c>
      <c r="E549" s="63" t="n"/>
      <c r="F549" s="66" t="str">
        <f>IF(E549="","",IFERROR(INDEX(art_des,MATCH($E549,art_ref,0))&amp;"","Article inconnu"))</f>
        <v/>
      </c>
      <c r="G549" s="67" t="str">
        <f>IF(E549="","",IFERROR(INDEX(art_unit,MATCH($E549,art_ref,0))&amp;"",""))</f>
        <v/>
      </c>
      <c r="H549" s="68" t="n"/>
      <c r="I549" s="69" t="n"/>
      <c r="J549" s="70" t="str">
        <f>IF(E549="","",IF(ISNUMBER(I549),I549,IFERROR(IF(ISNUMBER(INDEX(art_price,MATCH($E549,art_ref,0))),INDEX(art_price,MATCH($E549,art_ref,0)),""),"")))</f>
        <v/>
      </c>
      <c r="K549" s="71" t="n"/>
      <c r="L549" s="72" t="n"/>
      <c r="M549" s="72" t="str">
        <f>IF(E549="","",IF(L549&lt;&gt;"",L549,IFERROR(IF(ISNUMBER(INDEX(art_tva,MATCH($E549,art_ref,0))),INDEX(art_tva,MATCH($E549,art_ref,0)),""),"")))</f>
        <v/>
      </c>
      <c r="N549" s="70" t="str">
        <f>IF(OR(E549="",J549=""),"",ROUND(N(H549)*J549*(1-N(K549)),2))</f>
        <v/>
      </c>
      <c r="O549" s="70" t="str">
        <f>IF(OR(N549="",NOT(ISNUMBER(M549))),"",ROUND(N549*M549,2))</f>
        <v/>
      </c>
      <c r="P549" s="70" t="str">
        <f>IF(N549="","",N549+N(O549))</f>
        <v/>
      </c>
      <c r="Q549" s="64" t="n"/>
      <c r="R549" s="73" t="str">
        <f>IF(N(Q549)&gt;0,Q549,IF(OR(N(B549)=0,ISNA(MATCH($C549,sup_code,0))),"",IF(ISNUMBER(INDEX(sup_delay,MATCH($C549,sup_code,0))),B549+INDEX(sup_delay,MATCH($C549,sup_code,0)),"")))</f>
        <v/>
      </c>
      <c r="S549" s="64" t="n"/>
      <c r="T549" s="68" t="n"/>
      <c r="U549" s="64" t="n"/>
      <c r="V549" s="65" t="n"/>
      <c r="W549" s="74" t="str">
        <f>IF(AND(A549="",E549=""),"",IF(V549="Oui",0,MAX(0,ROUND(N(H549)-N(T549),6))))</f>
        <v/>
      </c>
      <c r="X549" s="67" t="str">
        <f>IF(AND(A549="",E549=""),"",IF(V549="Oui","Annulé",IF(AND(N(H549)&gt;0,N(T549)&gt;=N(H549)),"Reçu",IF(N(S549)=0,"Brouillon",IF(AND(ISNUMBER(R549),R549&lt;p_today),"En retard",IF(N(T549)&gt;0,"Partiel","Envoyé"))))))</f>
        <v/>
      </c>
      <c r="Y549" s="75" t="str">
        <f>IF(X549="En retard",p_today-R549,IF(AND(X549="Reçu",ISNUMBER(R549)),MAX(0,N(U549)-R549),""))</f>
        <v/>
      </c>
      <c r="Z549" s="67" t="str">
        <f>IF(AND(A549="",E549=""),"",IF(A549="","N° de bon manquant",IF(N(B549)=0,"Date de commande manquante",IF(C549="","Fournisseur manquant",IF(ISNA(MATCH($C549,sup_code,0)),"Fournisseur inconnu",IF(E549="","Article manquant",IF(ISNA(MATCH($E549,art_ref,0)),"Article inconnu",IF(N(H549)&lt;=0,"Quantité invalide",IF(J549="","Prix manquant",IF(OR(N(K549)&lt;0,N(K549)&gt;=1),"Remise invalide",IF(M549="","TVA manquante",IF(ISNA(MATCH(M549,p_tva,0)),"Taux de TVA inconnu",IF(COUNTIFS(po_num,A549,po_sup,"&lt;&gt;"&amp;C549)&gt;0,"Fournisseur différent sur ce bon",IF(COUNTIFS(po_num,A549,po_date,"&lt;&gt;"&amp;B549)&gt;0,"Date différente sur ce bon",IF(COUNTIF(po_num,A549)&gt;25,"Plus de 25 lignes sur ce bon",IF(R549="","Date de livraison manquante",IF(R549&lt;B549,"Livraison avant la commande",IF(AND(N(T549)&gt;0,N(S549)=0),"Date d'envoi manquante",IF(N(T549)&gt;N(H549),"Reçu plus que commandé",IF(AND(N(T549)&gt;0,N(U549)=0),"Date de réception manquante",IF(AND(N(U549)&gt;0,U549&lt;B549),"Réception avant la commande","OK")))))))))))))))))))))</f>
        <v/>
      </c>
      <c r="AA549" s="66" t="str">
        <f>IF(AND(X549="Reçu",ISNUMBER(R549)),IF(N(U549)&lt;=R549,1,0),"")</f>
        <v/>
      </c>
      <c r="AB549" s="76" t="str">
        <f>IF(OR(X549="Envoyé",X549="Partiel",X549="En retard"),IF(ISNUMBER(R549),R549,100000)+ROW()/100000,"")</f>
        <v/>
      </c>
      <c r="AC549" s="66" t="str">
        <f>IF(A549="","",IF(COUNTIF($A$6:A549,A549)=1,1,""))</f>
        <v/>
      </c>
      <c r="AD549" s="66" t="str">
        <f>IF(AC549=1,COUNT($AC$6:AC549),"")</f>
        <v/>
      </c>
      <c r="AE549" s="66" t="str">
        <f>IFERROR(INDEX(po_num,MATCH(544,po_seq,0))&amp;"","")</f>
        <v/>
      </c>
      <c r="AF549" s="66" t="str">
        <f>IF(OR(A549="",p_po=""),"",IF(A549&amp;""=p_po,COUNTIF($A$6:A549,A549),""))</f>
        <v/>
      </c>
      <c r="AG549" s="66" t="str">
        <f>IF(OR(AB549="",A549=""),"",IF(COUNTIFS($A$6:A549,A549,$AB$6:AB549,"&gt;0")=1,1,""))</f>
        <v/>
      </c>
      <c r="AH549" s="70" t="str">
        <f>IF(AB549="","",ROUND(N(W549)*N(J549)*(1-N(K549)),2))</f>
        <v/>
      </c>
      <c r="AI549" s="70" t="str">
        <f>IF(OR(J549="",N(T549)&lt;=0,V549="Oui"),"",ROUND(N(T549)*J549*(1-N(K549)),2))</f>
        <v/>
      </c>
    </row>
    <row r="550">
      <c r="A550" s="63" t="n"/>
      <c r="B550" s="64" t="n"/>
      <c r="C550" s="65" t="n"/>
      <c r="D550" s="66" t="str">
        <f>IF(C550="","",IFERROR(INDEX(sup_name,MATCH($C550,sup_code,0))&amp;"","Fournisseur inconnu"))</f>
        <v/>
      </c>
      <c r="E550" s="63" t="n"/>
      <c r="F550" s="66" t="str">
        <f>IF(E550="","",IFERROR(INDEX(art_des,MATCH($E550,art_ref,0))&amp;"","Article inconnu"))</f>
        <v/>
      </c>
      <c r="G550" s="67" t="str">
        <f>IF(E550="","",IFERROR(INDEX(art_unit,MATCH($E550,art_ref,0))&amp;"",""))</f>
        <v/>
      </c>
      <c r="H550" s="68" t="n"/>
      <c r="I550" s="69" t="n"/>
      <c r="J550" s="70" t="str">
        <f>IF(E550="","",IF(ISNUMBER(I550),I550,IFERROR(IF(ISNUMBER(INDEX(art_price,MATCH($E550,art_ref,0))),INDEX(art_price,MATCH($E550,art_ref,0)),""),"")))</f>
        <v/>
      </c>
      <c r="K550" s="71" t="n"/>
      <c r="L550" s="72" t="n"/>
      <c r="M550" s="72" t="str">
        <f>IF(E550="","",IF(L550&lt;&gt;"",L550,IFERROR(IF(ISNUMBER(INDEX(art_tva,MATCH($E550,art_ref,0))),INDEX(art_tva,MATCH($E550,art_ref,0)),""),"")))</f>
        <v/>
      </c>
      <c r="N550" s="70" t="str">
        <f>IF(OR(E550="",J550=""),"",ROUND(N(H550)*J550*(1-N(K550)),2))</f>
        <v/>
      </c>
      <c r="O550" s="70" t="str">
        <f>IF(OR(N550="",NOT(ISNUMBER(M550))),"",ROUND(N550*M550,2))</f>
        <v/>
      </c>
      <c r="P550" s="70" t="str">
        <f>IF(N550="","",N550+N(O550))</f>
        <v/>
      </c>
      <c r="Q550" s="64" t="n"/>
      <c r="R550" s="73" t="str">
        <f>IF(N(Q550)&gt;0,Q550,IF(OR(N(B550)=0,ISNA(MATCH($C550,sup_code,0))),"",IF(ISNUMBER(INDEX(sup_delay,MATCH($C550,sup_code,0))),B550+INDEX(sup_delay,MATCH($C550,sup_code,0)),"")))</f>
        <v/>
      </c>
      <c r="S550" s="64" t="n"/>
      <c r="T550" s="68" t="n"/>
      <c r="U550" s="64" t="n"/>
      <c r="V550" s="65" t="n"/>
      <c r="W550" s="74" t="str">
        <f>IF(AND(A550="",E550=""),"",IF(V550="Oui",0,MAX(0,ROUND(N(H550)-N(T550),6))))</f>
        <v/>
      </c>
      <c r="X550" s="67" t="str">
        <f>IF(AND(A550="",E550=""),"",IF(V550="Oui","Annulé",IF(AND(N(H550)&gt;0,N(T550)&gt;=N(H550)),"Reçu",IF(N(S550)=0,"Brouillon",IF(AND(ISNUMBER(R550),R550&lt;p_today),"En retard",IF(N(T550)&gt;0,"Partiel","Envoyé"))))))</f>
        <v/>
      </c>
      <c r="Y550" s="75" t="str">
        <f>IF(X550="En retard",p_today-R550,IF(AND(X550="Reçu",ISNUMBER(R550)),MAX(0,N(U550)-R550),""))</f>
        <v/>
      </c>
      <c r="Z550" s="67" t="str">
        <f>IF(AND(A550="",E550=""),"",IF(A550="","N° de bon manquant",IF(N(B550)=0,"Date de commande manquante",IF(C550="","Fournisseur manquant",IF(ISNA(MATCH($C550,sup_code,0)),"Fournisseur inconnu",IF(E550="","Article manquant",IF(ISNA(MATCH($E550,art_ref,0)),"Article inconnu",IF(N(H550)&lt;=0,"Quantité invalide",IF(J550="","Prix manquant",IF(OR(N(K550)&lt;0,N(K550)&gt;=1),"Remise invalide",IF(M550="","TVA manquante",IF(ISNA(MATCH(M550,p_tva,0)),"Taux de TVA inconnu",IF(COUNTIFS(po_num,A550,po_sup,"&lt;&gt;"&amp;C550)&gt;0,"Fournisseur différent sur ce bon",IF(COUNTIFS(po_num,A550,po_date,"&lt;&gt;"&amp;B550)&gt;0,"Date différente sur ce bon",IF(COUNTIF(po_num,A550)&gt;25,"Plus de 25 lignes sur ce bon",IF(R550="","Date de livraison manquante",IF(R550&lt;B550,"Livraison avant la commande",IF(AND(N(T550)&gt;0,N(S550)=0),"Date d'envoi manquante",IF(N(T550)&gt;N(H550),"Reçu plus que commandé",IF(AND(N(T550)&gt;0,N(U550)=0),"Date de réception manquante",IF(AND(N(U550)&gt;0,U550&lt;B550),"Réception avant la commande","OK")))))))))))))))))))))</f>
        <v/>
      </c>
      <c r="AA550" s="66" t="str">
        <f>IF(AND(X550="Reçu",ISNUMBER(R550)),IF(N(U550)&lt;=R550,1,0),"")</f>
        <v/>
      </c>
      <c r="AB550" s="76" t="str">
        <f>IF(OR(X550="Envoyé",X550="Partiel",X550="En retard"),IF(ISNUMBER(R550),R550,100000)+ROW()/100000,"")</f>
        <v/>
      </c>
      <c r="AC550" s="66" t="str">
        <f>IF(A550="","",IF(COUNTIF($A$6:A550,A550)=1,1,""))</f>
        <v/>
      </c>
      <c r="AD550" s="66" t="str">
        <f>IF(AC550=1,COUNT($AC$6:AC550),"")</f>
        <v/>
      </c>
      <c r="AE550" s="66" t="str">
        <f>IFERROR(INDEX(po_num,MATCH(545,po_seq,0))&amp;"","")</f>
        <v/>
      </c>
      <c r="AF550" s="66" t="str">
        <f>IF(OR(A550="",p_po=""),"",IF(A550&amp;""=p_po,COUNTIF($A$6:A550,A550),""))</f>
        <v/>
      </c>
      <c r="AG550" s="66" t="str">
        <f>IF(OR(AB550="",A550=""),"",IF(COUNTIFS($A$6:A550,A550,$AB$6:AB550,"&gt;0")=1,1,""))</f>
        <v/>
      </c>
      <c r="AH550" s="70" t="str">
        <f>IF(AB550="","",ROUND(N(W550)*N(J550)*(1-N(K550)),2))</f>
        <v/>
      </c>
      <c r="AI550" s="70" t="str">
        <f>IF(OR(J550="",N(T550)&lt;=0,V550="Oui"),"",ROUND(N(T550)*J550*(1-N(K550)),2))</f>
        <v/>
      </c>
    </row>
    <row r="551">
      <c r="A551" s="63" t="n"/>
      <c r="B551" s="64" t="n"/>
      <c r="C551" s="65" t="n"/>
      <c r="D551" s="66" t="str">
        <f>IF(C551="","",IFERROR(INDEX(sup_name,MATCH($C551,sup_code,0))&amp;"","Fournisseur inconnu"))</f>
        <v/>
      </c>
      <c r="E551" s="63" t="n"/>
      <c r="F551" s="66" t="str">
        <f>IF(E551="","",IFERROR(INDEX(art_des,MATCH($E551,art_ref,0))&amp;"","Article inconnu"))</f>
        <v/>
      </c>
      <c r="G551" s="67" t="str">
        <f>IF(E551="","",IFERROR(INDEX(art_unit,MATCH($E551,art_ref,0))&amp;"",""))</f>
        <v/>
      </c>
      <c r="H551" s="68" t="n"/>
      <c r="I551" s="69" t="n"/>
      <c r="J551" s="70" t="str">
        <f>IF(E551="","",IF(ISNUMBER(I551),I551,IFERROR(IF(ISNUMBER(INDEX(art_price,MATCH($E551,art_ref,0))),INDEX(art_price,MATCH($E551,art_ref,0)),""),"")))</f>
        <v/>
      </c>
      <c r="K551" s="71" t="n"/>
      <c r="L551" s="72" t="n"/>
      <c r="M551" s="72" t="str">
        <f>IF(E551="","",IF(L551&lt;&gt;"",L551,IFERROR(IF(ISNUMBER(INDEX(art_tva,MATCH($E551,art_ref,0))),INDEX(art_tva,MATCH($E551,art_ref,0)),""),"")))</f>
        <v/>
      </c>
      <c r="N551" s="70" t="str">
        <f>IF(OR(E551="",J551=""),"",ROUND(N(H551)*J551*(1-N(K551)),2))</f>
        <v/>
      </c>
      <c r="O551" s="70" t="str">
        <f>IF(OR(N551="",NOT(ISNUMBER(M551))),"",ROUND(N551*M551,2))</f>
        <v/>
      </c>
      <c r="P551" s="70" t="str">
        <f>IF(N551="","",N551+N(O551))</f>
        <v/>
      </c>
      <c r="Q551" s="64" t="n"/>
      <c r="R551" s="73" t="str">
        <f>IF(N(Q551)&gt;0,Q551,IF(OR(N(B551)=0,ISNA(MATCH($C551,sup_code,0))),"",IF(ISNUMBER(INDEX(sup_delay,MATCH($C551,sup_code,0))),B551+INDEX(sup_delay,MATCH($C551,sup_code,0)),"")))</f>
        <v/>
      </c>
      <c r="S551" s="64" t="n"/>
      <c r="T551" s="68" t="n"/>
      <c r="U551" s="64" t="n"/>
      <c r="V551" s="65" t="n"/>
      <c r="W551" s="74" t="str">
        <f>IF(AND(A551="",E551=""),"",IF(V551="Oui",0,MAX(0,ROUND(N(H551)-N(T551),6))))</f>
        <v/>
      </c>
      <c r="X551" s="67" t="str">
        <f>IF(AND(A551="",E551=""),"",IF(V551="Oui","Annulé",IF(AND(N(H551)&gt;0,N(T551)&gt;=N(H551)),"Reçu",IF(N(S551)=0,"Brouillon",IF(AND(ISNUMBER(R551),R551&lt;p_today),"En retard",IF(N(T551)&gt;0,"Partiel","Envoyé"))))))</f>
        <v/>
      </c>
      <c r="Y551" s="75" t="str">
        <f>IF(X551="En retard",p_today-R551,IF(AND(X551="Reçu",ISNUMBER(R551)),MAX(0,N(U551)-R551),""))</f>
        <v/>
      </c>
      <c r="Z551" s="67" t="str">
        <f>IF(AND(A551="",E551=""),"",IF(A551="","N° de bon manquant",IF(N(B551)=0,"Date de commande manquante",IF(C551="","Fournisseur manquant",IF(ISNA(MATCH($C551,sup_code,0)),"Fournisseur inconnu",IF(E551="","Article manquant",IF(ISNA(MATCH($E551,art_ref,0)),"Article inconnu",IF(N(H551)&lt;=0,"Quantité invalide",IF(J551="","Prix manquant",IF(OR(N(K551)&lt;0,N(K551)&gt;=1),"Remise invalide",IF(M551="","TVA manquante",IF(ISNA(MATCH(M551,p_tva,0)),"Taux de TVA inconnu",IF(COUNTIFS(po_num,A551,po_sup,"&lt;&gt;"&amp;C551)&gt;0,"Fournisseur différent sur ce bon",IF(COUNTIFS(po_num,A551,po_date,"&lt;&gt;"&amp;B551)&gt;0,"Date différente sur ce bon",IF(COUNTIF(po_num,A551)&gt;25,"Plus de 25 lignes sur ce bon",IF(R551="","Date de livraison manquante",IF(R551&lt;B551,"Livraison avant la commande",IF(AND(N(T551)&gt;0,N(S551)=0),"Date d'envoi manquante",IF(N(T551)&gt;N(H551),"Reçu plus que commandé",IF(AND(N(T551)&gt;0,N(U551)=0),"Date de réception manquante",IF(AND(N(U551)&gt;0,U551&lt;B551),"Réception avant la commande","OK")))))))))))))))))))))</f>
        <v/>
      </c>
      <c r="AA551" s="66" t="str">
        <f>IF(AND(X551="Reçu",ISNUMBER(R551)),IF(N(U551)&lt;=R551,1,0),"")</f>
        <v/>
      </c>
      <c r="AB551" s="76" t="str">
        <f>IF(OR(X551="Envoyé",X551="Partiel",X551="En retard"),IF(ISNUMBER(R551),R551,100000)+ROW()/100000,"")</f>
        <v/>
      </c>
      <c r="AC551" s="66" t="str">
        <f>IF(A551="","",IF(COUNTIF($A$6:A551,A551)=1,1,""))</f>
        <v/>
      </c>
      <c r="AD551" s="66" t="str">
        <f>IF(AC551=1,COUNT($AC$6:AC551),"")</f>
        <v/>
      </c>
      <c r="AE551" s="66" t="str">
        <f>IFERROR(INDEX(po_num,MATCH(546,po_seq,0))&amp;"","")</f>
        <v/>
      </c>
      <c r="AF551" s="66" t="str">
        <f>IF(OR(A551="",p_po=""),"",IF(A551&amp;""=p_po,COUNTIF($A$6:A551,A551),""))</f>
        <v/>
      </c>
      <c r="AG551" s="66" t="str">
        <f>IF(OR(AB551="",A551=""),"",IF(COUNTIFS($A$6:A551,A551,$AB$6:AB551,"&gt;0")=1,1,""))</f>
        <v/>
      </c>
      <c r="AH551" s="70" t="str">
        <f>IF(AB551="","",ROUND(N(W551)*N(J551)*(1-N(K551)),2))</f>
        <v/>
      </c>
      <c r="AI551" s="70" t="str">
        <f>IF(OR(J551="",N(T551)&lt;=0,V551="Oui"),"",ROUND(N(T551)*J551*(1-N(K551)),2))</f>
        <v/>
      </c>
    </row>
    <row r="552">
      <c r="A552" s="63" t="n"/>
      <c r="B552" s="64" t="n"/>
      <c r="C552" s="65" t="n"/>
      <c r="D552" s="66" t="str">
        <f>IF(C552="","",IFERROR(INDEX(sup_name,MATCH($C552,sup_code,0))&amp;"","Fournisseur inconnu"))</f>
        <v/>
      </c>
      <c r="E552" s="63" t="n"/>
      <c r="F552" s="66" t="str">
        <f>IF(E552="","",IFERROR(INDEX(art_des,MATCH($E552,art_ref,0))&amp;"","Article inconnu"))</f>
        <v/>
      </c>
      <c r="G552" s="67" t="str">
        <f>IF(E552="","",IFERROR(INDEX(art_unit,MATCH($E552,art_ref,0))&amp;"",""))</f>
        <v/>
      </c>
      <c r="H552" s="68" t="n"/>
      <c r="I552" s="69" t="n"/>
      <c r="J552" s="70" t="str">
        <f>IF(E552="","",IF(ISNUMBER(I552),I552,IFERROR(IF(ISNUMBER(INDEX(art_price,MATCH($E552,art_ref,0))),INDEX(art_price,MATCH($E552,art_ref,0)),""),"")))</f>
        <v/>
      </c>
      <c r="K552" s="71" t="n"/>
      <c r="L552" s="72" t="n"/>
      <c r="M552" s="72" t="str">
        <f>IF(E552="","",IF(L552&lt;&gt;"",L552,IFERROR(IF(ISNUMBER(INDEX(art_tva,MATCH($E552,art_ref,0))),INDEX(art_tva,MATCH($E552,art_ref,0)),""),"")))</f>
        <v/>
      </c>
      <c r="N552" s="70" t="str">
        <f>IF(OR(E552="",J552=""),"",ROUND(N(H552)*J552*(1-N(K552)),2))</f>
        <v/>
      </c>
      <c r="O552" s="70" t="str">
        <f>IF(OR(N552="",NOT(ISNUMBER(M552))),"",ROUND(N552*M552,2))</f>
        <v/>
      </c>
      <c r="P552" s="70" t="str">
        <f>IF(N552="","",N552+N(O552))</f>
        <v/>
      </c>
      <c r="Q552" s="64" t="n"/>
      <c r="R552" s="73" t="str">
        <f>IF(N(Q552)&gt;0,Q552,IF(OR(N(B552)=0,ISNA(MATCH($C552,sup_code,0))),"",IF(ISNUMBER(INDEX(sup_delay,MATCH($C552,sup_code,0))),B552+INDEX(sup_delay,MATCH($C552,sup_code,0)),"")))</f>
        <v/>
      </c>
      <c r="S552" s="64" t="n"/>
      <c r="T552" s="68" t="n"/>
      <c r="U552" s="64" t="n"/>
      <c r="V552" s="65" t="n"/>
      <c r="W552" s="74" t="str">
        <f>IF(AND(A552="",E552=""),"",IF(V552="Oui",0,MAX(0,ROUND(N(H552)-N(T552),6))))</f>
        <v/>
      </c>
      <c r="X552" s="67" t="str">
        <f>IF(AND(A552="",E552=""),"",IF(V552="Oui","Annulé",IF(AND(N(H552)&gt;0,N(T552)&gt;=N(H552)),"Reçu",IF(N(S552)=0,"Brouillon",IF(AND(ISNUMBER(R552),R552&lt;p_today),"En retard",IF(N(T552)&gt;0,"Partiel","Envoyé"))))))</f>
        <v/>
      </c>
      <c r="Y552" s="75" t="str">
        <f>IF(X552="En retard",p_today-R552,IF(AND(X552="Reçu",ISNUMBER(R552)),MAX(0,N(U552)-R552),""))</f>
        <v/>
      </c>
      <c r="Z552" s="67" t="str">
        <f>IF(AND(A552="",E552=""),"",IF(A552="","N° de bon manquant",IF(N(B552)=0,"Date de commande manquante",IF(C552="","Fournisseur manquant",IF(ISNA(MATCH($C552,sup_code,0)),"Fournisseur inconnu",IF(E552="","Article manquant",IF(ISNA(MATCH($E552,art_ref,0)),"Article inconnu",IF(N(H552)&lt;=0,"Quantité invalide",IF(J552="","Prix manquant",IF(OR(N(K552)&lt;0,N(K552)&gt;=1),"Remise invalide",IF(M552="","TVA manquante",IF(ISNA(MATCH(M552,p_tva,0)),"Taux de TVA inconnu",IF(COUNTIFS(po_num,A552,po_sup,"&lt;&gt;"&amp;C552)&gt;0,"Fournisseur différent sur ce bon",IF(COUNTIFS(po_num,A552,po_date,"&lt;&gt;"&amp;B552)&gt;0,"Date différente sur ce bon",IF(COUNTIF(po_num,A552)&gt;25,"Plus de 25 lignes sur ce bon",IF(R552="","Date de livraison manquante",IF(R552&lt;B552,"Livraison avant la commande",IF(AND(N(T552)&gt;0,N(S552)=0),"Date d'envoi manquante",IF(N(T552)&gt;N(H552),"Reçu plus que commandé",IF(AND(N(T552)&gt;0,N(U552)=0),"Date de réception manquante",IF(AND(N(U552)&gt;0,U552&lt;B552),"Réception avant la commande","OK")))))))))))))))))))))</f>
        <v/>
      </c>
      <c r="AA552" s="66" t="str">
        <f>IF(AND(X552="Reçu",ISNUMBER(R552)),IF(N(U552)&lt;=R552,1,0),"")</f>
        <v/>
      </c>
      <c r="AB552" s="76" t="str">
        <f>IF(OR(X552="Envoyé",X552="Partiel",X552="En retard"),IF(ISNUMBER(R552),R552,100000)+ROW()/100000,"")</f>
        <v/>
      </c>
      <c r="AC552" s="66" t="str">
        <f>IF(A552="","",IF(COUNTIF($A$6:A552,A552)=1,1,""))</f>
        <v/>
      </c>
      <c r="AD552" s="66" t="str">
        <f>IF(AC552=1,COUNT($AC$6:AC552),"")</f>
        <v/>
      </c>
      <c r="AE552" s="66" t="str">
        <f>IFERROR(INDEX(po_num,MATCH(547,po_seq,0))&amp;"","")</f>
        <v/>
      </c>
      <c r="AF552" s="66" t="str">
        <f>IF(OR(A552="",p_po=""),"",IF(A552&amp;""=p_po,COUNTIF($A$6:A552,A552),""))</f>
        <v/>
      </c>
      <c r="AG552" s="66" t="str">
        <f>IF(OR(AB552="",A552=""),"",IF(COUNTIFS($A$6:A552,A552,$AB$6:AB552,"&gt;0")=1,1,""))</f>
        <v/>
      </c>
      <c r="AH552" s="70" t="str">
        <f>IF(AB552="","",ROUND(N(W552)*N(J552)*(1-N(K552)),2))</f>
        <v/>
      </c>
      <c r="AI552" s="70" t="str">
        <f>IF(OR(J552="",N(T552)&lt;=0,V552="Oui"),"",ROUND(N(T552)*J552*(1-N(K552)),2))</f>
        <v/>
      </c>
    </row>
    <row r="553">
      <c r="A553" s="63" t="n"/>
      <c r="B553" s="64" t="n"/>
      <c r="C553" s="65" t="n"/>
      <c r="D553" s="66" t="str">
        <f>IF(C553="","",IFERROR(INDEX(sup_name,MATCH($C553,sup_code,0))&amp;"","Fournisseur inconnu"))</f>
        <v/>
      </c>
      <c r="E553" s="63" t="n"/>
      <c r="F553" s="66" t="str">
        <f>IF(E553="","",IFERROR(INDEX(art_des,MATCH($E553,art_ref,0))&amp;"","Article inconnu"))</f>
        <v/>
      </c>
      <c r="G553" s="67" t="str">
        <f>IF(E553="","",IFERROR(INDEX(art_unit,MATCH($E553,art_ref,0))&amp;"",""))</f>
        <v/>
      </c>
      <c r="H553" s="68" t="n"/>
      <c r="I553" s="69" t="n"/>
      <c r="J553" s="70" t="str">
        <f>IF(E553="","",IF(ISNUMBER(I553),I553,IFERROR(IF(ISNUMBER(INDEX(art_price,MATCH($E553,art_ref,0))),INDEX(art_price,MATCH($E553,art_ref,0)),""),"")))</f>
        <v/>
      </c>
      <c r="K553" s="71" t="n"/>
      <c r="L553" s="72" t="n"/>
      <c r="M553" s="72" t="str">
        <f>IF(E553="","",IF(L553&lt;&gt;"",L553,IFERROR(IF(ISNUMBER(INDEX(art_tva,MATCH($E553,art_ref,0))),INDEX(art_tva,MATCH($E553,art_ref,0)),""),"")))</f>
        <v/>
      </c>
      <c r="N553" s="70" t="str">
        <f>IF(OR(E553="",J553=""),"",ROUND(N(H553)*J553*(1-N(K553)),2))</f>
        <v/>
      </c>
      <c r="O553" s="70" t="str">
        <f>IF(OR(N553="",NOT(ISNUMBER(M553))),"",ROUND(N553*M553,2))</f>
        <v/>
      </c>
      <c r="P553" s="70" t="str">
        <f>IF(N553="","",N553+N(O553))</f>
        <v/>
      </c>
      <c r="Q553" s="64" t="n"/>
      <c r="R553" s="73" t="str">
        <f>IF(N(Q553)&gt;0,Q553,IF(OR(N(B553)=0,ISNA(MATCH($C553,sup_code,0))),"",IF(ISNUMBER(INDEX(sup_delay,MATCH($C553,sup_code,0))),B553+INDEX(sup_delay,MATCH($C553,sup_code,0)),"")))</f>
        <v/>
      </c>
      <c r="S553" s="64" t="n"/>
      <c r="T553" s="68" t="n"/>
      <c r="U553" s="64" t="n"/>
      <c r="V553" s="65" t="n"/>
      <c r="W553" s="74" t="str">
        <f>IF(AND(A553="",E553=""),"",IF(V553="Oui",0,MAX(0,ROUND(N(H553)-N(T553),6))))</f>
        <v/>
      </c>
      <c r="X553" s="67" t="str">
        <f>IF(AND(A553="",E553=""),"",IF(V553="Oui","Annulé",IF(AND(N(H553)&gt;0,N(T553)&gt;=N(H553)),"Reçu",IF(N(S553)=0,"Brouillon",IF(AND(ISNUMBER(R553),R553&lt;p_today),"En retard",IF(N(T553)&gt;0,"Partiel","Envoyé"))))))</f>
        <v/>
      </c>
      <c r="Y553" s="75" t="str">
        <f>IF(X553="En retard",p_today-R553,IF(AND(X553="Reçu",ISNUMBER(R553)),MAX(0,N(U553)-R553),""))</f>
        <v/>
      </c>
      <c r="Z553" s="67" t="str">
        <f>IF(AND(A553="",E553=""),"",IF(A553="","N° de bon manquant",IF(N(B553)=0,"Date de commande manquante",IF(C553="","Fournisseur manquant",IF(ISNA(MATCH($C553,sup_code,0)),"Fournisseur inconnu",IF(E553="","Article manquant",IF(ISNA(MATCH($E553,art_ref,0)),"Article inconnu",IF(N(H553)&lt;=0,"Quantité invalide",IF(J553="","Prix manquant",IF(OR(N(K553)&lt;0,N(K553)&gt;=1),"Remise invalide",IF(M553="","TVA manquante",IF(ISNA(MATCH(M553,p_tva,0)),"Taux de TVA inconnu",IF(COUNTIFS(po_num,A553,po_sup,"&lt;&gt;"&amp;C553)&gt;0,"Fournisseur différent sur ce bon",IF(COUNTIFS(po_num,A553,po_date,"&lt;&gt;"&amp;B553)&gt;0,"Date différente sur ce bon",IF(COUNTIF(po_num,A553)&gt;25,"Plus de 25 lignes sur ce bon",IF(R553="","Date de livraison manquante",IF(R553&lt;B553,"Livraison avant la commande",IF(AND(N(T553)&gt;0,N(S553)=0),"Date d'envoi manquante",IF(N(T553)&gt;N(H553),"Reçu plus que commandé",IF(AND(N(T553)&gt;0,N(U553)=0),"Date de réception manquante",IF(AND(N(U553)&gt;0,U553&lt;B553),"Réception avant la commande","OK")))))))))))))))))))))</f>
        <v/>
      </c>
      <c r="AA553" s="66" t="str">
        <f>IF(AND(X553="Reçu",ISNUMBER(R553)),IF(N(U553)&lt;=R553,1,0),"")</f>
        <v/>
      </c>
      <c r="AB553" s="76" t="str">
        <f>IF(OR(X553="Envoyé",X553="Partiel",X553="En retard"),IF(ISNUMBER(R553),R553,100000)+ROW()/100000,"")</f>
        <v/>
      </c>
      <c r="AC553" s="66" t="str">
        <f>IF(A553="","",IF(COUNTIF($A$6:A553,A553)=1,1,""))</f>
        <v/>
      </c>
      <c r="AD553" s="66" t="str">
        <f>IF(AC553=1,COUNT($AC$6:AC553),"")</f>
        <v/>
      </c>
      <c r="AE553" s="66" t="str">
        <f>IFERROR(INDEX(po_num,MATCH(548,po_seq,0))&amp;"","")</f>
        <v/>
      </c>
      <c r="AF553" s="66" t="str">
        <f>IF(OR(A553="",p_po=""),"",IF(A553&amp;""=p_po,COUNTIF($A$6:A553,A553),""))</f>
        <v/>
      </c>
      <c r="AG553" s="66" t="str">
        <f>IF(OR(AB553="",A553=""),"",IF(COUNTIFS($A$6:A553,A553,$AB$6:AB553,"&gt;0")=1,1,""))</f>
        <v/>
      </c>
      <c r="AH553" s="70" t="str">
        <f>IF(AB553="","",ROUND(N(W553)*N(J553)*(1-N(K553)),2))</f>
        <v/>
      </c>
      <c r="AI553" s="70" t="str">
        <f>IF(OR(J553="",N(T553)&lt;=0,V553="Oui"),"",ROUND(N(T553)*J553*(1-N(K553)),2))</f>
        <v/>
      </c>
    </row>
    <row r="554">
      <c r="A554" s="63" t="n"/>
      <c r="B554" s="64" t="n"/>
      <c r="C554" s="65" t="n"/>
      <c r="D554" s="66" t="str">
        <f>IF(C554="","",IFERROR(INDEX(sup_name,MATCH($C554,sup_code,0))&amp;"","Fournisseur inconnu"))</f>
        <v/>
      </c>
      <c r="E554" s="63" t="n"/>
      <c r="F554" s="66" t="str">
        <f>IF(E554="","",IFERROR(INDEX(art_des,MATCH($E554,art_ref,0))&amp;"","Article inconnu"))</f>
        <v/>
      </c>
      <c r="G554" s="67" t="str">
        <f>IF(E554="","",IFERROR(INDEX(art_unit,MATCH($E554,art_ref,0))&amp;"",""))</f>
        <v/>
      </c>
      <c r="H554" s="68" t="n"/>
      <c r="I554" s="69" t="n"/>
      <c r="J554" s="70" t="str">
        <f>IF(E554="","",IF(ISNUMBER(I554),I554,IFERROR(IF(ISNUMBER(INDEX(art_price,MATCH($E554,art_ref,0))),INDEX(art_price,MATCH($E554,art_ref,0)),""),"")))</f>
        <v/>
      </c>
      <c r="K554" s="71" t="n"/>
      <c r="L554" s="72" t="n"/>
      <c r="M554" s="72" t="str">
        <f>IF(E554="","",IF(L554&lt;&gt;"",L554,IFERROR(IF(ISNUMBER(INDEX(art_tva,MATCH($E554,art_ref,0))),INDEX(art_tva,MATCH($E554,art_ref,0)),""),"")))</f>
        <v/>
      </c>
      <c r="N554" s="70" t="str">
        <f>IF(OR(E554="",J554=""),"",ROUND(N(H554)*J554*(1-N(K554)),2))</f>
        <v/>
      </c>
      <c r="O554" s="70" t="str">
        <f>IF(OR(N554="",NOT(ISNUMBER(M554))),"",ROUND(N554*M554,2))</f>
        <v/>
      </c>
      <c r="P554" s="70" t="str">
        <f>IF(N554="","",N554+N(O554))</f>
        <v/>
      </c>
      <c r="Q554" s="64" t="n"/>
      <c r="R554" s="73" t="str">
        <f>IF(N(Q554)&gt;0,Q554,IF(OR(N(B554)=0,ISNA(MATCH($C554,sup_code,0))),"",IF(ISNUMBER(INDEX(sup_delay,MATCH($C554,sup_code,0))),B554+INDEX(sup_delay,MATCH($C554,sup_code,0)),"")))</f>
        <v/>
      </c>
      <c r="S554" s="64" t="n"/>
      <c r="T554" s="68" t="n"/>
      <c r="U554" s="64" t="n"/>
      <c r="V554" s="65" t="n"/>
      <c r="W554" s="74" t="str">
        <f>IF(AND(A554="",E554=""),"",IF(V554="Oui",0,MAX(0,ROUND(N(H554)-N(T554),6))))</f>
        <v/>
      </c>
      <c r="X554" s="67" t="str">
        <f>IF(AND(A554="",E554=""),"",IF(V554="Oui","Annulé",IF(AND(N(H554)&gt;0,N(T554)&gt;=N(H554)),"Reçu",IF(N(S554)=0,"Brouillon",IF(AND(ISNUMBER(R554),R554&lt;p_today),"En retard",IF(N(T554)&gt;0,"Partiel","Envoyé"))))))</f>
        <v/>
      </c>
      <c r="Y554" s="75" t="str">
        <f>IF(X554="En retard",p_today-R554,IF(AND(X554="Reçu",ISNUMBER(R554)),MAX(0,N(U554)-R554),""))</f>
        <v/>
      </c>
      <c r="Z554" s="67" t="str">
        <f>IF(AND(A554="",E554=""),"",IF(A554="","N° de bon manquant",IF(N(B554)=0,"Date de commande manquante",IF(C554="","Fournisseur manquant",IF(ISNA(MATCH($C554,sup_code,0)),"Fournisseur inconnu",IF(E554="","Article manquant",IF(ISNA(MATCH($E554,art_ref,0)),"Article inconnu",IF(N(H554)&lt;=0,"Quantité invalide",IF(J554="","Prix manquant",IF(OR(N(K554)&lt;0,N(K554)&gt;=1),"Remise invalide",IF(M554="","TVA manquante",IF(ISNA(MATCH(M554,p_tva,0)),"Taux de TVA inconnu",IF(COUNTIFS(po_num,A554,po_sup,"&lt;&gt;"&amp;C554)&gt;0,"Fournisseur différent sur ce bon",IF(COUNTIFS(po_num,A554,po_date,"&lt;&gt;"&amp;B554)&gt;0,"Date différente sur ce bon",IF(COUNTIF(po_num,A554)&gt;25,"Plus de 25 lignes sur ce bon",IF(R554="","Date de livraison manquante",IF(R554&lt;B554,"Livraison avant la commande",IF(AND(N(T554)&gt;0,N(S554)=0),"Date d'envoi manquante",IF(N(T554)&gt;N(H554),"Reçu plus que commandé",IF(AND(N(T554)&gt;0,N(U554)=0),"Date de réception manquante",IF(AND(N(U554)&gt;0,U554&lt;B554),"Réception avant la commande","OK")))))))))))))))))))))</f>
        <v/>
      </c>
      <c r="AA554" s="66" t="str">
        <f>IF(AND(X554="Reçu",ISNUMBER(R554)),IF(N(U554)&lt;=R554,1,0),"")</f>
        <v/>
      </c>
      <c r="AB554" s="76" t="str">
        <f>IF(OR(X554="Envoyé",X554="Partiel",X554="En retard"),IF(ISNUMBER(R554),R554,100000)+ROW()/100000,"")</f>
        <v/>
      </c>
      <c r="AC554" s="66" t="str">
        <f>IF(A554="","",IF(COUNTIF($A$6:A554,A554)=1,1,""))</f>
        <v/>
      </c>
      <c r="AD554" s="66" t="str">
        <f>IF(AC554=1,COUNT($AC$6:AC554),"")</f>
        <v/>
      </c>
      <c r="AE554" s="66" t="str">
        <f>IFERROR(INDEX(po_num,MATCH(549,po_seq,0))&amp;"","")</f>
        <v/>
      </c>
      <c r="AF554" s="66" t="str">
        <f>IF(OR(A554="",p_po=""),"",IF(A554&amp;""=p_po,COUNTIF($A$6:A554,A554),""))</f>
        <v/>
      </c>
      <c r="AG554" s="66" t="str">
        <f>IF(OR(AB554="",A554=""),"",IF(COUNTIFS($A$6:A554,A554,$AB$6:AB554,"&gt;0")=1,1,""))</f>
        <v/>
      </c>
      <c r="AH554" s="70" t="str">
        <f>IF(AB554="","",ROUND(N(W554)*N(J554)*(1-N(K554)),2))</f>
        <v/>
      </c>
      <c r="AI554" s="70" t="str">
        <f>IF(OR(J554="",N(T554)&lt;=0,V554="Oui"),"",ROUND(N(T554)*J554*(1-N(K554)),2))</f>
        <v/>
      </c>
    </row>
    <row r="555">
      <c r="A555" s="63" t="n"/>
      <c r="B555" s="64" t="n"/>
      <c r="C555" s="65" t="n"/>
      <c r="D555" s="66" t="str">
        <f>IF(C555="","",IFERROR(INDEX(sup_name,MATCH($C555,sup_code,0))&amp;"","Fournisseur inconnu"))</f>
        <v/>
      </c>
      <c r="E555" s="63" t="n"/>
      <c r="F555" s="66" t="str">
        <f>IF(E555="","",IFERROR(INDEX(art_des,MATCH($E555,art_ref,0))&amp;"","Article inconnu"))</f>
        <v/>
      </c>
      <c r="G555" s="67" t="str">
        <f>IF(E555="","",IFERROR(INDEX(art_unit,MATCH($E555,art_ref,0))&amp;"",""))</f>
        <v/>
      </c>
      <c r="H555" s="68" t="n"/>
      <c r="I555" s="69" t="n"/>
      <c r="J555" s="70" t="str">
        <f>IF(E555="","",IF(ISNUMBER(I555),I555,IFERROR(IF(ISNUMBER(INDEX(art_price,MATCH($E555,art_ref,0))),INDEX(art_price,MATCH($E555,art_ref,0)),""),"")))</f>
        <v/>
      </c>
      <c r="K555" s="71" t="n"/>
      <c r="L555" s="72" t="n"/>
      <c r="M555" s="72" t="str">
        <f>IF(E555="","",IF(L555&lt;&gt;"",L555,IFERROR(IF(ISNUMBER(INDEX(art_tva,MATCH($E555,art_ref,0))),INDEX(art_tva,MATCH($E555,art_ref,0)),""),"")))</f>
        <v/>
      </c>
      <c r="N555" s="70" t="str">
        <f>IF(OR(E555="",J555=""),"",ROUND(N(H555)*J555*(1-N(K555)),2))</f>
        <v/>
      </c>
      <c r="O555" s="70" t="str">
        <f>IF(OR(N555="",NOT(ISNUMBER(M555))),"",ROUND(N555*M555,2))</f>
        <v/>
      </c>
      <c r="P555" s="70" t="str">
        <f>IF(N555="","",N555+N(O555))</f>
        <v/>
      </c>
      <c r="Q555" s="64" t="n"/>
      <c r="R555" s="73" t="str">
        <f>IF(N(Q555)&gt;0,Q555,IF(OR(N(B555)=0,ISNA(MATCH($C555,sup_code,0))),"",IF(ISNUMBER(INDEX(sup_delay,MATCH($C555,sup_code,0))),B555+INDEX(sup_delay,MATCH($C555,sup_code,0)),"")))</f>
        <v/>
      </c>
      <c r="S555" s="64" t="n"/>
      <c r="T555" s="68" t="n"/>
      <c r="U555" s="64" t="n"/>
      <c r="V555" s="65" t="n"/>
      <c r="W555" s="74" t="str">
        <f>IF(AND(A555="",E555=""),"",IF(V555="Oui",0,MAX(0,ROUND(N(H555)-N(T555),6))))</f>
        <v/>
      </c>
      <c r="X555" s="67" t="str">
        <f>IF(AND(A555="",E555=""),"",IF(V555="Oui","Annulé",IF(AND(N(H555)&gt;0,N(T555)&gt;=N(H555)),"Reçu",IF(N(S555)=0,"Brouillon",IF(AND(ISNUMBER(R555),R555&lt;p_today),"En retard",IF(N(T555)&gt;0,"Partiel","Envoyé"))))))</f>
        <v/>
      </c>
      <c r="Y555" s="75" t="str">
        <f>IF(X555="En retard",p_today-R555,IF(AND(X555="Reçu",ISNUMBER(R555)),MAX(0,N(U555)-R555),""))</f>
        <v/>
      </c>
      <c r="Z555" s="67" t="str">
        <f>IF(AND(A555="",E555=""),"",IF(A555="","N° de bon manquant",IF(N(B555)=0,"Date de commande manquante",IF(C555="","Fournisseur manquant",IF(ISNA(MATCH($C555,sup_code,0)),"Fournisseur inconnu",IF(E555="","Article manquant",IF(ISNA(MATCH($E555,art_ref,0)),"Article inconnu",IF(N(H555)&lt;=0,"Quantité invalide",IF(J555="","Prix manquant",IF(OR(N(K555)&lt;0,N(K555)&gt;=1),"Remise invalide",IF(M555="","TVA manquante",IF(ISNA(MATCH(M555,p_tva,0)),"Taux de TVA inconnu",IF(COUNTIFS(po_num,A555,po_sup,"&lt;&gt;"&amp;C555)&gt;0,"Fournisseur différent sur ce bon",IF(COUNTIFS(po_num,A555,po_date,"&lt;&gt;"&amp;B555)&gt;0,"Date différente sur ce bon",IF(COUNTIF(po_num,A555)&gt;25,"Plus de 25 lignes sur ce bon",IF(R555="","Date de livraison manquante",IF(R555&lt;B555,"Livraison avant la commande",IF(AND(N(T555)&gt;0,N(S555)=0),"Date d'envoi manquante",IF(N(T555)&gt;N(H555),"Reçu plus que commandé",IF(AND(N(T555)&gt;0,N(U555)=0),"Date de réception manquante",IF(AND(N(U555)&gt;0,U555&lt;B555),"Réception avant la commande","OK")))))))))))))))))))))</f>
        <v/>
      </c>
      <c r="AA555" s="66" t="str">
        <f>IF(AND(X555="Reçu",ISNUMBER(R555)),IF(N(U555)&lt;=R555,1,0),"")</f>
        <v/>
      </c>
      <c r="AB555" s="76" t="str">
        <f>IF(OR(X555="Envoyé",X555="Partiel",X555="En retard"),IF(ISNUMBER(R555),R555,100000)+ROW()/100000,"")</f>
        <v/>
      </c>
      <c r="AC555" s="66" t="str">
        <f>IF(A555="","",IF(COUNTIF($A$6:A555,A555)=1,1,""))</f>
        <v/>
      </c>
      <c r="AD555" s="66" t="str">
        <f>IF(AC555=1,COUNT($AC$6:AC555),"")</f>
        <v/>
      </c>
      <c r="AE555" s="66" t="str">
        <f>IFERROR(INDEX(po_num,MATCH(550,po_seq,0))&amp;"","")</f>
        <v/>
      </c>
      <c r="AF555" s="66" t="str">
        <f>IF(OR(A555="",p_po=""),"",IF(A555&amp;""=p_po,COUNTIF($A$6:A555,A555),""))</f>
        <v/>
      </c>
      <c r="AG555" s="66" t="str">
        <f>IF(OR(AB555="",A555=""),"",IF(COUNTIFS($A$6:A555,A555,$AB$6:AB555,"&gt;0")=1,1,""))</f>
        <v/>
      </c>
      <c r="AH555" s="70" t="str">
        <f>IF(AB555="","",ROUND(N(W555)*N(J555)*(1-N(K555)),2))</f>
        <v/>
      </c>
      <c r="AI555" s="70" t="str">
        <f>IF(OR(J555="",N(T555)&lt;=0,V555="Oui"),"",ROUND(N(T555)*J555*(1-N(K555)),2))</f>
        <v/>
      </c>
    </row>
    <row r="556">
      <c r="A556" s="63" t="n"/>
      <c r="B556" s="64" t="n"/>
      <c r="C556" s="65" t="n"/>
      <c r="D556" s="66" t="str">
        <f>IF(C556="","",IFERROR(INDEX(sup_name,MATCH($C556,sup_code,0))&amp;"","Fournisseur inconnu"))</f>
        <v/>
      </c>
      <c r="E556" s="63" t="n"/>
      <c r="F556" s="66" t="str">
        <f>IF(E556="","",IFERROR(INDEX(art_des,MATCH($E556,art_ref,0))&amp;"","Article inconnu"))</f>
        <v/>
      </c>
      <c r="G556" s="67" t="str">
        <f>IF(E556="","",IFERROR(INDEX(art_unit,MATCH($E556,art_ref,0))&amp;"",""))</f>
        <v/>
      </c>
      <c r="H556" s="68" t="n"/>
      <c r="I556" s="69" t="n"/>
      <c r="J556" s="70" t="str">
        <f>IF(E556="","",IF(ISNUMBER(I556),I556,IFERROR(IF(ISNUMBER(INDEX(art_price,MATCH($E556,art_ref,0))),INDEX(art_price,MATCH($E556,art_ref,0)),""),"")))</f>
        <v/>
      </c>
      <c r="K556" s="71" t="n"/>
      <c r="L556" s="72" t="n"/>
      <c r="M556" s="72" t="str">
        <f>IF(E556="","",IF(L556&lt;&gt;"",L556,IFERROR(IF(ISNUMBER(INDEX(art_tva,MATCH($E556,art_ref,0))),INDEX(art_tva,MATCH($E556,art_ref,0)),""),"")))</f>
        <v/>
      </c>
      <c r="N556" s="70" t="str">
        <f>IF(OR(E556="",J556=""),"",ROUND(N(H556)*J556*(1-N(K556)),2))</f>
        <v/>
      </c>
      <c r="O556" s="70" t="str">
        <f>IF(OR(N556="",NOT(ISNUMBER(M556))),"",ROUND(N556*M556,2))</f>
        <v/>
      </c>
      <c r="P556" s="70" t="str">
        <f>IF(N556="","",N556+N(O556))</f>
        <v/>
      </c>
      <c r="Q556" s="64" t="n"/>
      <c r="R556" s="73" t="str">
        <f>IF(N(Q556)&gt;0,Q556,IF(OR(N(B556)=0,ISNA(MATCH($C556,sup_code,0))),"",IF(ISNUMBER(INDEX(sup_delay,MATCH($C556,sup_code,0))),B556+INDEX(sup_delay,MATCH($C556,sup_code,0)),"")))</f>
        <v/>
      </c>
      <c r="S556" s="64" t="n"/>
      <c r="T556" s="68" t="n"/>
      <c r="U556" s="64" t="n"/>
      <c r="V556" s="65" t="n"/>
      <c r="W556" s="74" t="str">
        <f>IF(AND(A556="",E556=""),"",IF(V556="Oui",0,MAX(0,ROUND(N(H556)-N(T556),6))))</f>
        <v/>
      </c>
      <c r="X556" s="67" t="str">
        <f>IF(AND(A556="",E556=""),"",IF(V556="Oui","Annulé",IF(AND(N(H556)&gt;0,N(T556)&gt;=N(H556)),"Reçu",IF(N(S556)=0,"Brouillon",IF(AND(ISNUMBER(R556),R556&lt;p_today),"En retard",IF(N(T556)&gt;0,"Partiel","Envoyé"))))))</f>
        <v/>
      </c>
      <c r="Y556" s="75" t="str">
        <f>IF(X556="En retard",p_today-R556,IF(AND(X556="Reçu",ISNUMBER(R556)),MAX(0,N(U556)-R556),""))</f>
        <v/>
      </c>
      <c r="Z556" s="67" t="str">
        <f>IF(AND(A556="",E556=""),"",IF(A556="","N° de bon manquant",IF(N(B556)=0,"Date de commande manquante",IF(C556="","Fournisseur manquant",IF(ISNA(MATCH($C556,sup_code,0)),"Fournisseur inconnu",IF(E556="","Article manquant",IF(ISNA(MATCH($E556,art_ref,0)),"Article inconnu",IF(N(H556)&lt;=0,"Quantité invalide",IF(J556="","Prix manquant",IF(OR(N(K556)&lt;0,N(K556)&gt;=1),"Remise invalide",IF(M556="","TVA manquante",IF(ISNA(MATCH(M556,p_tva,0)),"Taux de TVA inconnu",IF(COUNTIFS(po_num,A556,po_sup,"&lt;&gt;"&amp;C556)&gt;0,"Fournisseur différent sur ce bon",IF(COUNTIFS(po_num,A556,po_date,"&lt;&gt;"&amp;B556)&gt;0,"Date différente sur ce bon",IF(COUNTIF(po_num,A556)&gt;25,"Plus de 25 lignes sur ce bon",IF(R556="","Date de livraison manquante",IF(R556&lt;B556,"Livraison avant la commande",IF(AND(N(T556)&gt;0,N(S556)=0),"Date d'envoi manquante",IF(N(T556)&gt;N(H556),"Reçu plus que commandé",IF(AND(N(T556)&gt;0,N(U556)=0),"Date de réception manquante",IF(AND(N(U556)&gt;0,U556&lt;B556),"Réception avant la commande","OK")))))))))))))))))))))</f>
        <v/>
      </c>
      <c r="AA556" s="66" t="str">
        <f>IF(AND(X556="Reçu",ISNUMBER(R556)),IF(N(U556)&lt;=R556,1,0),"")</f>
        <v/>
      </c>
      <c r="AB556" s="76" t="str">
        <f>IF(OR(X556="Envoyé",X556="Partiel",X556="En retard"),IF(ISNUMBER(R556),R556,100000)+ROW()/100000,"")</f>
        <v/>
      </c>
      <c r="AC556" s="66" t="str">
        <f>IF(A556="","",IF(COUNTIF($A$6:A556,A556)=1,1,""))</f>
        <v/>
      </c>
      <c r="AD556" s="66" t="str">
        <f>IF(AC556=1,COUNT($AC$6:AC556),"")</f>
        <v/>
      </c>
      <c r="AE556" s="66" t="str">
        <f>IFERROR(INDEX(po_num,MATCH(551,po_seq,0))&amp;"","")</f>
        <v/>
      </c>
      <c r="AF556" s="66" t="str">
        <f>IF(OR(A556="",p_po=""),"",IF(A556&amp;""=p_po,COUNTIF($A$6:A556,A556),""))</f>
        <v/>
      </c>
      <c r="AG556" s="66" t="str">
        <f>IF(OR(AB556="",A556=""),"",IF(COUNTIFS($A$6:A556,A556,$AB$6:AB556,"&gt;0")=1,1,""))</f>
        <v/>
      </c>
      <c r="AH556" s="70" t="str">
        <f>IF(AB556="","",ROUND(N(W556)*N(J556)*(1-N(K556)),2))</f>
        <v/>
      </c>
      <c r="AI556" s="70" t="str">
        <f>IF(OR(J556="",N(T556)&lt;=0,V556="Oui"),"",ROUND(N(T556)*J556*(1-N(K556)),2))</f>
        <v/>
      </c>
    </row>
    <row r="557">
      <c r="A557" s="63" t="n"/>
      <c r="B557" s="64" t="n"/>
      <c r="C557" s="65" t="n"/>
      <c r="D557" s="66" t="str">
        <f>IF(C557="","",IFERROR(INDEX(sup_name,MATCH($C557,sup_code,0))&amp;"","Fournisseur inconnu"))</f>
        <v/>
      </c>
      <c r="E557" s="63" t="n"/>
      <c r="F557" s="66" t="str">
        <f>IF(E557="","",IFERROR(INDEX(art_des,MATCH($E557,art_ref,0))&amp;"","Article inconnu"))</f>
        <v/>
      </c>
      <c r="G557" s="67" t="str">
        <f>IF(E557="","",IFERROR(INDEX(art_unit,MATCH($E557,art_ref,0))&amp;"",""))</f>
        <v/>
      </c>
      <c r="H557" s="68" t="n"/>
      <c r="I557" s="69" t="n"/>
      <c r="J557" s="70" t="str">
        <f>IF(E557="","",IF(ISNUMBER(I557),I557,IFERROR(IF(ISNUMBER(INDEX(art_price,MATCH($E557,art_ref,0))),INDEX(art_price,MATCH($E557,art_ref,0)),""),"")))</f>
        <v/>
      </c>
      <c r="K557" s="71" t="n"/>
      <c r="L557" s="72" t="n"/>
      <c r="M557" s="72" t="str">
        <f>IF(E557="","",IF(L557&lt;&gt;"",L557,IFERROR(IF(ISNUMBER(INDEX(art_tva,MATCH($E557,art_ref,0))),INDEX(art_tva,MATCH($E557,art_ref,0)),""),"")))</f>
        <v/>
      </c>
      <c r="N557" s="70" t="str">
        <f>IF(OR(E557="",J557=""),"",ROUND(N(H557)*J557*(1-N(K557)),2))</f>
        <v/>
      </c>
      <c r="O557" s="70" t="str">
        <f>IF(OR(N557="",NOT(ISNUMBER(M557))),"",ROUND(N557*M557,2))</f>
        <v/>
      </c>
      <c r="P557" s="70" t="str">
        <f>IF(N557="","",N557+N(O557))</f>
        <v/>
      </c>
      <c r="Q557" s="64" t="n"/>
      <c r="R557" s="73" t="str">
        <f>IF(N(Q557)&gt;0,Q557,IF(OR(N(B557)=0,ISNA(MATCH($C557,sup_code,0))),"",IF(ISNUMBER(INDEX(sup_delay,MATCH($C557,sup_code,0))),B557+INDEX(sup_delay,MATCH($C557,sup_code,0)),"")))</f>
        <v/>
      </c>
      <c r="S557" s="64" t="n"/>
      <c r="T557" s="68" t="n"/>
      <c r="U557" s="64" t="n"/>
      <c r="V557" s="65" t="n"/>
      <c r="W557" s="74" t="str">
        <f>IF(AND(A557="",E557=""),"",IF(V557="Oui",0,MAX(0,ROUND(N(H557)-N(T557),6))))</f>
        <v/>
      </c>
      <c r="X557" s="67" t="str">
        <f>IF(AND(A557="",E557=""),"",IF(V557="Oui","Annulé",IF(AND(N(H557)&gt;0,N(T557)&gt;=N(H557)),"Reçu",IF(N(S557)=0,"Brouillon",IF(AND(ISNUMBER(R557),R557&lt;p_today),"En retard",IF(N(T557)&gt;0,"Partiel","Envoyé"))))))</f>
        <v/>
      </c>
      <c r="Y557" s="75" t="str">
        <f>IF(X557="En retard",p_today-R557,IF(AND(X557="Reçu",ISNUMBER(R557)),MAX(0,N(U557)-R557),""))</f>
        <v/>
      </c>
      <c r="Z557" s="67" t="str">
        <f>IF(AND(A557="",E557=""),"",IF(A557="","N° de bon manquant",IF(N(B557)=0,"Date de commande manquante",IF(C557="","Fournisseur manquant",IF(ISNA(MATCH($C557,sup_code,0)),"Fournisseur inconnu",IF(E557="","Article manquant",IF(ISNA(MATCH($E557,art_ref,0)),"Article inconnu",IF(N(H557)&lt;=0,"Quantité invalide",IF(J557="","Prix manquant",IF(OR(N(K557)&lt;0,N(K557)&gt;=1),"Remise invalide",IF(M557="","TVA manquante",IF(ISNA(MATCH(M557,p_tva,0)),"Taux de TVA inconnu",IF(COUNTIFS(po_num,A557,po_sup,"&lt;&gt;"&amp;C557)&gt;0,"Fournisseur différent sur ce bon",IF(COUNTIFS(po_num,A557,po_date,"&lt;&gt;"&amp;B557)&gt;0,"Date différente sur ce bon",IF(COUNTIF(po_num,A557)&gt;25,"Plus de 25 lignes sur ce bon",IF(R557="","Date de livraison manquante",IF(R557&lt;B557,"Livraison avant la commande",IF(AND(N(T557)&gt;0,N(S557)=0),"Date d'envoi manquante",IF(N(T557)&gt;N(H557),"Reçu plus que commandé",IF(AND(N(T557)&gt;0,N(U557)=0),"Date de réception manquante",IF(AND(N(U557)&gt;0,U557&lt;B557),"Réception avant la commande","OK")))))))))))))))))))))</f>
        <v/>
      </c>
      <c r="AA557" s="66" t="str">
        <f>IF(AND(X557="Reçu",ISNUMBER(R557)),IF(N(U557)&lt;=R557,1,0),"")</f>
        <v/>
      </c>
      <c r="AB557" s="76" t="str">
        <f>IF(OR(X557="Envoyé",X557="Partiel",X557="En retard"),IF(ISNUMBER(R557),R557,100000)+ROW()/100000,"")</f>
        <v/>
      </c>
      <c r="AC557" s="66" t="str">
        <f>IF(A557="","",IF(COUNTIF($A$6:A557,A557)=1,1,""))</f>
        <v/>
      </c>
      <c r="AD557" s="66" t="str">
        <f>IF(AC557=1,COUNT($AC$6:AC557),"")</f>
        <v/>
      </c>
      <c r="AE557" s="66" t="str">
        <f>IFERROR(INDEX(po_num,MATCH(552,po_seq,0))&amp;"","")</f>
        <v/>
      </c>
      <c r="AF557" s="66" t="str">
        <f>IF(OR(A557="",p_po=""),"",IF(A557&amp;""=p_po,COUNTIF($A$6:A557,A557),""))</f>
        <v/>
      </c>
      <c r="AG557" s="66" t="str">
        <f>IF(OR(AB557="",A557=""),"",IF(COUNTIFS($A$6:A557,A557,$AB$6:AB557,"&gt;0")=1,1,""))</f>
        <v/>
      </c>
      <c r="AH557" s="70" t="str">
        <f>IF(AB557="","",ROUND(N(W557)*N(J557)*(1-N(K557)),2))</f>
        <v/>
      </c>
      <c r="AI557" s="70" t="str">
        <f>IF(OR(J557="",N(T557)&lt;=0,V557="Oui"),"",ROUND(N(T557)*J557*(1-N(K557)),2))</f>
        <v/>
      </c>
    </row>
    <row r="558">
      <c r="A558" s="63" t="n"/>
      <c r="B558" s="64" t="n"/>
      <c r="C558" s="65" t="n"/>
      <c r="D558" s="66" t="str">
        <f>IF(C558="","",IFERROR(INDEX(sup_name,MATCH($C558,sup_code,0))&amp;"","Fournisseur inconnu"))</f>
        <v/>
      </c>
      <c r="E558" s="63" t="n"/>
      <c r="F558" s="66" t="str">
        <f>IF(E558="","",IFERROR(INDEX(art_des,MATCH($E558,art_ref,0))&amp;"","Article inconnu"))</f>
        <v/>
      </c>
      <c r="G558" s="67" t="str">
        <f>IF(E558="","",IFERROR(INDEX(art_unit,MATCH($E558,art_ref,0))&amp;"",""))</f>
        <v/>
      </c>
      <c r="H558" s="68" t="n"/>
      <c r="I558" s="69" t="n"/>
      <c r="J558" s="70" t="str">
        <f>IF(E558="","",IF(ISNUMBER(I558),I558,IFERROR(IF(ISNUMBER(INDEX(art_price,MATCH($E558,art_ref,0))),INDEX(art_price,MATCH($E558,art_ref,0)),""),"")))</f>
        <v/>
      </c>
      <c r="K558" s="71" t="n"/>
      <c r="L558" s="72" t="n"/>
      <c r="M558" s="72" t="str">
        <f>IF(E558="","",IF(L558&lt;&gt;"",L558,IFERROR(IF(ISNUMBER(INDEX(art_tva,MATCH($E558,art_ref,0))),INDEX(art_tva,MATCH($E558,art_ref,0)),""),"")))</f>
        <v/>
      </c>
      <c r="N558" s="70" t="str">
        <f>IF(OR(E558="",J558=""),"",ROUND(N(H558)*J558*(1-N(K558)),2))</f>
        <v/>
      </c>
      <c r="O558" s="70" t="str">
        <f>IF(OR(N558="",NOT(ISNUMBER(M558))),"",ROUND(N558*M558,2))</f>
        <v/>
      </c>
      <c r="P558" s="70" t="str">
        <f>IF(N558="","",N558+N(O558))</f>
        <v/>
      </c>
      <c r="Q558" s="64" t="n"/>
      <c r="R558" s="73" t="str">
        <f>IF(N(Q558)&gt;0,Q558,IF(OR(N(B558)=0,ISNA(MATCH($C558,sup_code,0))),"",IF(ISNUMBER(INDEX(sup_delay,MATCH($C558,sup_code,0))),B558+INDEX(sup_delay,MATCH($C558,sup_code,0)),"")))</f>
        <v/>
      </c>
      <c r="S558" s="64" t="n"/>
      <c r="T558" s="68" t="n"/>
      <c r="U558" s="64" t="n"/>
      <c r="V558" s="65" t="n"/>
      <c r="W558" s="74" t="str">
        <f>IF(AND(A558="",E558=""),"",IF(V558="Oui",0,MAX(0,ROUND(N(H558)-N(T558),6))))</f>
        <v/>
      </c>
      <c r="X558" s="67" t="str">
        <f>IF(AND(A558="",E558=""),"",IF(V558="Oui","Annulé",IF(AND(N(H558)&gt;0,N(T558)&gt;=N(H558)),"Reçu",IF(N(S558)=0,"Brouillon",IF(AND(ISNUMBER(R558),R558&lt;p_today),"En retard",IF(N(T558)&gt;0,"Partiel","Envoyé"))))))</f>
        <v/>
      </c>
      <c r="Y558" s="75" t="str">
        <f>IF(X558="En retard",p_today-R558,IF(AND(X558="Reçu",ISNUMBER(R558)),MAX(0,N(U558)-R558),""))</f>
        <v/>
      </c>
      <c r="Z558" s="67" t="str">
        <f>IF(AND(A558="",E558=""),"",IF(A558="","N° de bon manquant",IF(N(B558)=0,"Date de commande manquante",IF(C558="","Fournisseur manquant",IF(ISNA(MATCH($C558,sup_code,0)),"Fournisseur inconnu",IF(E558="","Article manquant",IF(ISNA(MATCH($E558,art_ref,0)),"Article inconnu",IF(N(H558)&lt;=0,"Quantité invalide",IF(J558="","Prix manquant",IF(OR(N(K558)&lt;0,N(K558)&gt;=1),"Remise invalide",IF(M558="","TVA manquante",IF(ISNA(MATCH(M558,p_tva,0)),"Taux de TVA inconnu",IF(COUNTIFS(po_num,A558,po_sup,"&lt;&gt;"&amp;C558)&gt;0,"Fournisseur différent sur ce bon",IF(COUNTIFS(po_num,A558,po_date,"&lt;&gt;"&amp;B558)&gt;0,"Date différente sur ce bon",IF(COUNTIF(po_num,A558)&gt;25,"Plus de 25 lignes sur ce bon",IF(R558="","Date de livraison manquante",IF(R558&lt;B558,"Livraison avant la commande",IF(AND(N(T558)&gt;0,N(S558)=0),"Date d'envoi manquante",IF(N(T558)&gt;N(H558),"Reçu plus que commandé",IF(AND(N(T558)&gt;0,N(U558)=0),"Date de réception manquante",IF(AND(N(U558)&gt;0,U558&lt;B558),"Réception avant la commande","OK")))))))))))))))))))))</f>
        <v/>
      </c>
      <c r="AA558" s="66" t="str">
        <f>IF(AND(X558="Reçu",ISNUMBER(R558)),IF(N(U558)&lt;=R558,1,0),"")</f>
        <v/>
      </c>
      <c r="AB558" s="76" t="str">
        <f>IF(OR(X558="Envoyé",X558="Partiel",X558="En retard"),IF(ISNUMBER(R558),R558,100000)+ROW()/100000,"")</f>
        <v/>
      </c>
      <c r="AC558" s="66" t="str">
        <f>IF(A558="","",IF(COUNTIF($A$6:A558,A558)=1,1,""))</f>
        <v/>
      </c>
      <c r="AD558" s="66" t="str">
        <f>IF(AC558=1,COUNT($AC$6:AC558),"")</f>
        <v/>
      </c>
      <c r="AE558" s="66" t="str">
        <f>IFERROR(INDEX(po_num,MATCH(553,po_seq,0))&amp;"","")</f>
        <v/>
      </c>
      <c r="AF558" s="66" t="str">
        <f>IF(OR(A558="",p_po=""),"",IF(A558&amp;""=p_po,COUNTIF($A$6:A558,A558),""))</f>
        <v/>
      </c>
      <c r="AG558" s="66" t="str">
        <f>IF(OR(AB558="",A558=""),"",IF(COUNTIFS($A$6:A558,A558,$AB$6:AB558,"&gt;0")=1,1,""))</f>
        <v/>
      </c>
      <c r="AH558" s="70" t="str">
        <f>IF(AB558="","",ROUND(N(W558)*N(J558)*(1-N(K558)),2))</f>
        <v/>
      </c>
      <c r="AI558" s="70" t="str">
        <f>IF(OR(J558="",N(T558)&lt;=0,V558="Oui"),"",ROUND(N(T558)*J558*(1-N(K558)),2))</f>
        <v/>
      </c>
    </row>
    <row r="559">
      <c r="A559" s="63" t="n"/>
      <c r="B559" s="64" t="n"/>
      <c r="C559" s="65" t="n"/>
      <c r="D559" s="66" t="str">
        <f>IF(C559="","",IFERROR(INDEX(sup_name,MATCH($C559,sup_code,0))&amp;"","Fournisseur inconnu"))</f>
        <v/>
      </c>
      <c r="E559" s="63" t="n"/>
      <c r="F559" s="66" t="str">
        <f>IF(E559="","",IFERROR(INDEX(art_des,MATCH($E559,art_ref,0))&amp;"","Article inconnu"))</f>
        <v/>
      </c>
      <c r="G559" s="67" t="str">
        <f>IF(E559="","",IFERROR(INDEX(art_unit,MATCH($E559,art_ref,0))&amp;"",""))</f>
        <v/>
      </c>
      <c r="H559" s="68" t="n"/>
      <c r="I559" s="69" t="n"/>
      <c r="J559" s="70" t="str">
        <f>IF(E559="","",IF(ISNUMBER(I559),I559,IFERROR(IF(ISNUMBER(INDEX(art_price,MATCH($E559,art_ref,0))),INDEX(art_price,MATCH($E559,art_ref,0)),""),"")))</f>
        <v/>
      </c>
      <c r="K559" s="71" t="n"/>
      <c r="L559" s="72" t="n"/>
      <c r="M559" s="72" t="str">
        <f>IF(E559="","",IF(L559&lt;&gt;"",L559,IFERROR(IF(ISNUMBER(INDEX(art_tva,MATCH($E559,art_ref,0))),INDEX(art_tva,MATCH($E559,art_ref,0)),""),"")))</f>
        <v/>
      </c>
      <c r="N559" s="70" t="str">
        <f>IF(OR(E559="",J559=""),"",ROUND(N(H559)*J559*(1-N(K559)),2))</f>
        <v/>
      </c>
      <c r="O559" s="70" t="str">
        <f>IF(OR(N559="",NOT(ISNUMBER(M559))),"",ROUND(N559*M559,2))</f>
        <v/>
      </c>
      <c r="P559" s="70" t="str">
        <f>IF(N559="","",N559+N(O559))</f>
        <v/>
      </c>
      <c r="Q559" s="64" t="n"/>
      <c r="R559" s="73" t="str">
        <f>IF(N(Q559)&gt;0,Q559,IF(OR(N(B559)=0,ISNA(MATCH($C559,sup_code,0))),"",IF(ISNUMBER(INDEX(sup_delay,MATCH($C559,sup_code,0))),B559+INDEX(sup_delay,MATCH($C559,sup_code,0)),"")))</f>
        <v/>
      </c>
      <c r="S559" s="64" t="n"/>
      <c r="T559" s="68" t="n"/>
      <c r="U559" s="64" t="n"/>
      <c r="V559" s="65" t="n"/>
      <c r="W559" s="74" t="str">
        <f>IF(AND(A559="",E559=""),"",IF(V559="Oui",0,MAX(0,ROUND(N(H559)-N(T559),6))))</f>
        <v/>
      </c>
      <c r="X559" s="67" t="str">
        <f>IF(AND(A559="",E559=""),"",IF(V559="Oui","Annulé",IF(AND(N(H559)&gt;0,N(T559)&gt;=N(H559)),"Reçu",IF(N(S559)=0,"Brouillon",IF(AND(ISNUMBER(R559),R559&lt;p_today),"En retard",IF(N(T559)&gt;0,"Partiel","Envoyé"))))))</f>
        <v/>
      </c>
      <c r="Y559" s="75" t="str">
        <f>IF(X559="En retard",p_today-R559,IF(AND(X559="Reçu",ISNUMBER(R559)),MAX(0,N(U559)-R559),""))</f>
        <v/>
      </c>
      <c r="Z559" s="67" t="str">
        <f>IF(AND(A559="",E559=""),"",IF(A559="","N° de bon manquant",IF(N(B559)=0,"Date de commande manquante",IF(C559="","Fournisseur manquant",IF(ISNA(MATCH($C559,sup_code,0)),"Fournisseur inconnu",IF(E559="","Article manquant",IF(ISNA(MATCH($E559,art_ref,0)),"Article inconnu",IF(N(H559)&lt;=0,"Quantité invalide",IF(J559="","Prix manquant",IF(OR(N(K559)&lt;0,N(K559)&gt;=1),"Remise invalide",IF(M559="","TVA manquante",IF(ISNA(MATCH(M559,p_tva,0)),"Taux de TVA inconnu",IF(COUNTIFS(po_num,A559,po_sup,"&lt;&gt;"&amp;C559)&gt;0,"Fournisseur différent sur ce bon",IF(COUNTIFS(po_num,A559,po_date,"&lt;&gt;"&amp;B559)&gt;0,"Date différente sur ce bon",IF(COUNTIF(po_num,A559)&gt;25,"Plus de 25 lignes sur ce bon",IF(R559="","Date de livraison manquante",IF(R559&lt;B559,"Livraison avant la commande",IF(AND(N(T559)&gt;0,N(S559)=0),"Date d'envoi manquante",IF(N(T559)&gt;N(H559),"Reçu plus que commandé",IF(AND(N(T559)&gt;0,N(U559)=0),"Date de réception manquante",IF(AND(N(U559)&gt;0,U559&lt;B559),"Réception avant la commande","OK")))))))))))))))))))))</f>
        <v/>
      </c>
      <c r="AA559" s="66" t="str">
        <f>IF(AND(X559="Reçu",ISNUMBER(R559)),IF(N(U559)&lt;=R559,1,0),"")</f>
        <v/>
      </c>
      <c r="AB559" s="76" t="str">
        <f>IF(OR(X559="Envoyé",X559="Partiel",X559="En retard"),IF(ISNUMBER(R559),R559,100000)+ROW()/100000,"")</f>
        <v/>
      </c>
      <c r="AC559" s="66" t="str">
        <f>IF(A559="","",IF(COUNTIF($A$6:A559,A559)=1,1,""))</f>
        <v/>
      </c>
      <c r="AD559" s="66" t="str">
        <f>IF(AC559=1,COUNT($AC$6:AC559),"")</f>
        <v/>
      </c>
      <c r="AE559" s="66" t="str">
        <f>IFERROR(INDEX(po_num,MATCH(554,po_seq,0))&amp;"","")</f>
        <v/>
      </c>
      <c r="AF559" s="66" t="str">
        <f>IF(OR(A559="",p_po=""),"",IF(A559&amp;""=p_po,COUNTIF($A$6:A559,A559),""))</f>
        <v/>
      </c>
      <c r="AG559" s="66" t="str">
        <f>IF(OR(AB559="",A559=""),"",IF(COUNTIFS($A$6:A559,A559,$AB$6:AB559,"&gt;0")=1,1,""))</f>
        <v/>
      </c>
      <c r="AH559" s="70" t="str">
        <f>IF(AB559="","",ROUND(N(W559)*N(J559)*(1-N(K559)),2))</f>
        <v/>
      </c>
      <c r="AI559" s="70" t="str">
        <f>IF(OR(J559="",N(T559)&lt;=0,V559="Oui"),"",ROUND(N(T559)*J559*(1-N(K559)),2))</f>
        <v/>
      </c>
    </row>
    <row r="560">
      <c r="A560" s="63" t="n"/>
      <c r="B560" s="64" t="n"/>
      <c r="C560" s="65" t="n"/>
      <c r="D560" s="66" t="str">
        <f>IF(C560="","",IFERROR(INDEX(sup_name,MATCH($C560,sup_code,0))&amp;"","Fournisseur inconnu"))</f>
        <v/>
      </c>
      <c r="E560" s="63" t="n"/>
      <c r="F560" s="66" t="str">
        <f>IF(E560="","",IFERROR(INDEX(art_des,MATCH($E560,art_ref,0))&amp;"","Article inconnu"))</f>
        <v/>
      </c>
      <c r="G560" s="67" t="str">
        <f>IF(E560="","",IFERROR(INDEX(art_unit,MATCH($E560,art_ref,0))&amp;"",""))</f>
        <v/>
      </c>
      <c r="H560" s="68" t="n"/>
      <c r="I560" s="69" t="n"/>
      <c r="J560" s="70" t="str">
        <f>IF(E560="","",IF(ISNUMBER(I560),I560,IFERROR(IF(ISNUMBER(INDEX(art_price,MATCH($E560,art_ref,0))),INDEX(art_price,MATCH($E560,art_ref,0)),""),"")))</f>
        <v/>
      </c>
      <c r="K560" s="71" t="n"/>
      <c r="L560" s="72" t="n"/>
      <c r="M560" s="72" t="str">
        <f>IF(E560="","",IF(L560&lt;&gt;"",L560,IFERROR(IF(ISNUMBER(INDEX(art_tva,MATCH($E560,art_ref,0))),INDEX(art_tva,MATCH($E560,art_ref,0)),""),"")))</f>
        <v/>
      </c>
      <c r="N560" s="70" t="str">
        <f>IF(OR(E560="",J560=""),"",ROUND(N(H560)*J560*(1-N(K560)),2))</f>
        <v/>
      </c>
      <c r="O560" s="70" t="str">
        <f>IF(OR(N560="",NOT(ISNUMBER(M560))),"",ROUND(N560*M560,2))</f>
        <v/>
      </c>
      <c r="P560" s="70" t="str">
        <f>IF(N560="","",N560+N(O560))</f>
        <v/>
      </c>
      <c r="Q560" s="64" t="n"/>
      <c r="R560" s="73" t="str">
        <f>IF(N(Q560)&gt;0,Q560,IF(OR(N(B560)=0,ISNA(MATCH($C560,sup_code,0))),"",IF(ISNUMBER(INDEX(sup_delay,MATCH($C560,sup_code,0))),B560+INDEX(sup_delay,MATCH($C560,sup_code,0)),"")))</f>
        <v/>
      </c>
      <c r="S560" s="64" t="n"/>
      <c r="T560" s="68" t="n"/>
      <c r="U560" s="64" t="n"/>
      <c r="V560" s="65" t="n"/>
      <c r="W560" s="74" t="str">
        <f>IF(AND(A560="",E560=""),"",IF(V560="Oui",0,MAX(0,ROUND(N(H560)-N(T560),6))))</f>
        <v/>
      </c>
      <c r="X560" s="67" t="str">
        <f>IF(AND(A560="",E560=""),"",IF(V560="Oui","Annulé",IF(AND(N(H560)&gt;0,N(T560)&gt;=N(H560)),"Reçu",IF(N(S560)=0,"Brouillon",IF(AND(ISNUMBER(R560),R560&lt;p_today),"En retard",IF(N(T560)&gt;0,"Partiel","Envoyé"))))))</f>
        <v/>
      </c>
      <c r="Y560" s="75" t="str">
        <f>IF(X560="En retard",p_today-R560,IF(AND(X560="Reçu",ISNUMBER(R560)),MAX(0,N(U560)-R560),""))</f>
        <v/>
      </c>
      <c r="Z560" s="67" t="str">
        <f>IF(AND(A560="",E560=""),"",IF(A560="","N° de bon manquant",IF(N(B560)=0,"Date de commande manquante",IF(C560="","Fournisseur manquant",IF(ISNA(MATCH($C560,sup_code,0)),"Fournisseur inconnu",IF(E560="","Article manquant",IF(ISNA(MATCH($E560,art_ref,0)),"Article inconnu",IF(N(H560)&lt;=0,"Quantité invalide",IF(J560="","Prix manquant",IF(OR(N(K560)&lt;0,N(K560)&gt;=1),"Remise invalide",IF(M560="","TVA manquante",IF(ISNA(MATCH(M560,p_tva,0)),"Taux de TVA inconnu",IF(COUNTIFS(po_num,A560,po_sup,"&lt;&gt;"&amp;C560)&gt;0,"Fournisseur différent sur ce bon",IF(COUNTIFS(po_num,A560,po_date,"&lt;&gt;"&amp;B560)&gt;0,"Date différente sur ce bon",IF(COUNTIF(po_num,A560)&gt;25,"Plus de 25 lignes sur ce bon",IF(R560="","Date de livraison manquante",IF(R560&lt;B560,"Livraison avant la commande",IF(AND(N(T560)&gt;0,N(S560)=0),"Date d'envoi manquante",IF(N(T560)&gt;N(H560),"Reçu plus que commandé",IF(AND(N(T560)&gt;0,N(U560)=0),"Date de réception manquante",IF(AND(N(U560)&gt;0,U560&lt;B560),"Réception avant la commande","OK")))))))))))))))))))))</f>
        <v/>
      </c>
      <c r="AA560" s="66" t="str">
        <f>IF(AND(X560="Reçu",ISNUMBER(R560)),IF(N(U560)&lt;=R560,1,0),"")</f>
        <v/>
      </c>
      <c r="AB560" s="76" t="str">
        <f>IF(OR(X560="Envoyé",X560="Partiel",X560="En retard"),IF(ISNUMBER(R560),R560,100000)+ROW()/100000,"")</f>
        <v/>
      </c>
      <c r="AC560" s="66" t="str">
        <f>IF(A560="","",IF(COUNTIF($A$6:A560,A560)=1,1,""))</f>
        <v/>
      </c>
      <c r="AD560" s="66" t="str">
        <f>IF(AC560=1,COUNT($AC$6:AC560),"")</f>
        <v/>
      </c>
      <c r="AE560" s="66" t="str">
        <f>IFERROR(INDEX(po_num,MATCH(555,po_seq,0))&amp;"","")</f>
        <v/>
      </c>
      <c r="AF560" s="66" t="str">
        <f>IF(OR(A560="",p_po=""),"",IF(A560&amp;""=p_po,COUNTIF($A$6:A560,A560),""))</f>
        <v/>
      </c>
      <c r="AG560" s="66" t="str">
        <f>IF(OR(AB560="",A560=""),"",IF(COUNTIFS($A$6:A560,A560,$AB$6:AB560,"&gt;0")=1,1,""))</f>
        <v/>
      </c>
      <c r="AH560" s="70" t="str">
        <f>IF(AB560="","",ROUND(N(W560)*N(J560)*(1-N(K560)),2))</f>
        <v/>
      </c>
      <c r="AI560" s="70" t="str">
        <f>IF(OR(J560="",N(T560)&lt;=0,V560="Oui"),"",ROUND(N(T560)*J560*(1-N(K560)),2))</f>
        <v/>
      </c>
    </row>
    <row r="561">
      <c r="A561" s="63" t="n"/>
      <c r="B561" s="64" t="n"/>
      <c r="C561" s="65" t="n"/>
      <c r="D561" s="66" t="str">
        <f>IF(C561="","",IFERROR(INDEX(sup_name,MATCH($C561,sup_code,0))&amp;"","Fournisseur inconnu"))</f>
        <v/>
      </c>
      <c r="E561" s="63" t="n"/>
      <c r="F561" s="66" t="str">
        <f>IF(E561="","",IFERROR(INDEX(art_des,MATCH($E561,art_ref,0))&amp;"","Article inconnu"))</f>
        <v/>
      </c>
      <c r="G561" s="67" t="str">
        <f>IF(E561="","",IFERROR(INDEX(art_unit,MATCH($E561,art_ref,0))&amp;"",""))</f>
        <v/>
      </c>
      <c r="H561" s="68" t="n"/>
      <c r="I561" s="69" t="n"/>
      <c r="J561" s="70" t="str">
        <f>IF(E561="","",IF(ISNUMBER(I561),I561,IFERROR(IF(ISNUMBER(INDEX(art_price,MATCH($E561,art_ref,0))),INDEX(art_price,MATCH($E561,art_ref,0)),""),"")))</f>
        <v/>
      </c>
      <c r="K561" s="71" t="n"/>
      <c r="L561" s="72" t="n"/>
      <c r="M561" s="72" t="str">
        <f>IF(E561="","",IF(L561&lt;&gt;"",L561,IFERROR(IF(ISNUMBER(INDEX(art_tva,MATCH($E561,art_ref,0))),INDEX(art_tva,MATCH($E561,art_ref,0)),""),"")))</f>
        <v/>
      </c>
      <c r="N561" s="70" t="str">
        <f>IF(OR(E561="",J561=""),"",ROUND(N(H561)*J561*(1-N(K561)),2))</f>
        <v/>
      </c>
      <c r="O561" s="70" t="str">
        <f>IF(OR(N561="",NOT(ISNUMBER(M561))),"",ROUND(N561*M561,2))</f>
        <v/>
      </c>
      <c r="P561" s="70" t="str">
        <f>IF(N561="","",N561+N(O561))</f>
        <v/>
      </c>
      <c r="Q561" s="64" t="n"/>
      <c r="R561" s="73" t="str">
        <f>IF(N(Q561)&gt;0,Q561,IF(OR(N(B561)=0,ISNA(MATCH($C561,sup_code,0))),"",IF(ISNUMBER(INDEX(sup_delay,MATCH($C561,sup_code,0))),B561+INDEX(sup_delay,MATCH($C561,sup_code,0)),"")))</f>
        <v/>
      </c>
      <c r="S561" s="64" t="n"/>
      <c r="T561" s="68" t="n"/>
      <c r="U561" s="64" t="n"/>
      <c r="V561" s="65" t="n"/>
      <c r="W561" s="74" t="str">
        <f>IF(AND(A561="",E561=""),"",IF(V561="Oui",0,MAX(0,ROUND(N(H561)-N(T561),6))))</f>
        <v/>
      </c>
      <c r="X561" s="67" t="str">
        <f>IF(AND(A561="",E561=""),"",IF(V561="Oui","Annulé",IF(AND(N(H561)&gt;0,N(T561)&gt;=N(H561)),"Reçu",IF(N(S561)=0,"Brouillon",IF(AND(ISNUMBER(R561),R561&lt;p_today),"En retard",IF(N(T561)&gt;0,"Partiel","Envoyé"))))))</f>
        <v/>
      </c>
      <c r="Y561" s="75" t="str">
        <f>IF(X561="En retard",p_today-R561,IF(AND(X561="Reçu",ISNUMBER(R561)),MAX(0,N(U561)-R561),""))</f>
        <v/>
      </c>
      <c r="Z561" s="67" t="str">
        <f>IF(AND(A561="",E561=""),"",IF(A561="","N° de bon manquant",IF(N(B561)=0,"Date de commande manquante",IF(C561="","Fournisseur manquant",IF(ISNA(MATCH($C561,sup_code,0)),"Fournisseur inconnu",IF(E561="","Article manquant",IF(ISNA(MATCH($E561,art_ref,0)),"Article inconnu",IF(N(H561)&lt;=0,"Quantité invalide",IF(J561="","Prix manquant",IF(OR(N(K561)&lt;0,N(K561)&gt;=1),"Remise invalide",IF(M561="","TVA manquante",IF(ISNA(MATCH(M561,p_tva,0)),"Taux de TVA inconnu",IF(COUNTIFS(po_num,A561,po_sup,"&lt;&gt;"&amp;C561)&gt;0,"Fournisseur différent sur ce bon",IF(COUNTIFS(po_num,A561,po_date,"&lt;&gt;"&amp;B561)&gt;0,"Date différente sur ce bon",IF(COUNTIF(po_num,A561)&gt;25,"Plus de 25 lignes sur ce bon",IF(R561="","Date de livraison manquante",IF(R561&lt;B561,"Livraison avant la commande",IF(AND(N(T561)&gt;0,N(S561)=0),"Date d'envoi manquante",IF(N(T561)&gt;N(H561),"Reçu plus que commandé",IF(AND(N(T561)&gt;0,N(U561)=0),"Date de réception manquante",IF(AND(N(U561)&gt;0,U561&lt;B561),"Réception avant la commande","OK")))))))))))))))))))))</f>
        <v/>
      </c>
      <c r="AA561" s="66" t="str">
        <f>IF(AND(X561="Reçu",ISNUMBER(R561)),IF(N(U561)&lt;=R561,1,0),"")</f>
        <v/>
      </c>
      <c r="AB561" s="76" t="str">
        <f>IF(OR(X561="Envoyé",X561="Partiel",X561="En retard"),IF(ISNUMBER(R561),R561,100000)+ROW()/100000,"")</f>
        <v/>
      </c>
      <c r="AC561" s="66" t="str">
        <f>IF(A561="","",IF(COUNTIF($A$6:A561,A561)=1,1,""))</f>
        <v/>
      </c>
      <c r="AD561" s="66" t="str">
        <f>IF(AC561=1,COUNT($AC$6:AC561),"")</f>
        <v/>
      </c>
      <c r="AE561" s="66" t="str">
        <f>IFERROR(INDEX(po_num,MATCH(556,po_seq,0))&amp;"","")</f>
        <v/>
      </c>
      <c r="AF561" s="66" t="str">
        <f>IF(OR(A561="",p_po=""),"",IF(A561&amp;""=p_po,COUNTIF($A$6:A561,A561),""))</f>
        <v/>
      </c>
      <c r="AG561" s="66" t="str">
        <f>IF(OR(AB561="",A561=""),"",IF(COUNTIFS($A$6:A561,A561,$AB$6:AB561,"&gt;0")=1,1,""))</f>
        <v/>
      </c>
      <c r="AH561" s="70" t="str">
        <f>IF(AB561="","",ROUND(N(W561)*N(J561)*(1-N(K561)),2))</f>
        <v/>
      </c>
      <c r="AI561" s="70" t="str">
        <f>IF(OR(J561="",N(T561)&lt;=0,V561="Oui"),"",ROUND(N(T561)*J561*(1-N(K561)),2))</f>
        <v/>
      </c>
    </row>
    <row r="562">
      <c r="A562" s="63" t="n"/>
      <c r="B562" s="64" t="n"/>
      <c r="C562" s="65" t="n"/>
      <c r="D562" s="66" t="str">
        <f>IF(C562="","",IFERROR(INDEX(sup_name,MATCH($C562,sup_code,0))&amp;"","Fournisseur inconnu"))</f>
        <v/>
      </c>
      <c r="E562" s="63" t="n"/>
      <c r="F562" s="66" t="str">
        <f>IF(E562="","",IFERROR(INDEX(art_des,MATCH($E562,art_ref,0))&amp;"","Article inconnu"))</f>
        <v/>
      </c>
      <c r="G562" s="67" t="str">
        <f>IF(E562="","",IFERROR(INDEX(art_unit,MATCH($E562,art_ref,0))&amp;"",""))</f>
        <v/>
      </c>
      <c r="H562" s="68" t="n"/>
      <c r="I562" s="69" t="n"/>
      <c r="J562" s="70" t="str">
        <f>IF(E562="","",IF(ISNUMBER(I562),I562,IFERROR(IF(ISNUMBER(INDEX(art_price,MATCH($E562,art_ref,0))),INDEX(art_price,MATCH($E562,art_ref,0)),""),"")))</f>
        <v/>
      </c>
      <c r="K562" s="71" t="n"/>
      <c r="L562" s="72" t="n"/>
      <c r="M562" s="72" t="str">
        <f>IF(E562="","",IF(L562&lt;&gt;"",L562,IFERROR(IF(ISNUMBER(INDEX(art_tva,MATCH($E562,art_ref,0))),INDEX(art_tva,MATCH($E562,art_ref,0)),""),"")))</f>
        <v/>
      </c>
      <c r="N562" s="70" t="str">
        <f>IF(OR(E562="",J562=""),"",ROUND(N(H562)*J562*(1-N(K562)),2))</f>
        <v/>
      </c>
      <c r="O562" s="70" t="str">
        <f>IF(OR(N562="",NOT(ISNUMBER(M562))),"",ROUND(N562*M562,2))</f>
        <v/>
      </c>
      <c r="P562" s="70" t="str">
        <f>IF(N562="","",N562+N(O562))</f>
        <v/>
      </c>
      <c r="Q562" s="64" t="n"/>
      <c r="R562" s="73" t="str">
        <f>IF(N(Q562)&gt;0,Q562,IF(OR(N(B562)=0,ISNA(MATCH($C562,sup_code,0))),"",IF(ISNUMBER(INDEX(sup_delay,MATCH($C562,sup_code,0))),B562+INDEX(sup_delay,MATCH($C562,sup_code,0)),"")))</f>
        <v/>
      </c>
      <c r="S562" s="64" t="n"/>
      <c r="T562" s="68" t="n"/>
      <c r="U562" s="64" t="n"/>
      <c r="V562" s="65" t="n"/>
      <c r="W562" s="74" t="str">
        <f>IF(AND(A562="",E562=""),"",IF(V562="Oui",0,MAX(0,ROUND(N(H562)-N(T562),6))))</f>
        <v/>
      </c>
      <c r="X562" s="67" t="str">
        <f>IF(AND(A562="",E562=""),"",IF(V562="Oui","Annulé",IF(AND(N(H562)&gt;0,N(T562)&gt;=N(H562)),"Reçu",IF(N(S562)=0,"Brouillon",IF(AND(ISNUMBER(R562),R562&lt;p_today),"En retard",IF(N(T562)&gt;0,"Partiel","Envoyé"))))))</f>
        <v/>
      </c>
      <c r="Y562" s="75" t="str">
        <f>IF(X562="En retard",p_today-R562,IF(AND(X562="Reçu",ISNUMBER(R562)),MAX(0,N(U562)-R562),""))</f>
        <v/>
      </c>
      <c r="Z562" s="67" t="str">
        <f>IF(AND(A562="",E562=""),"",IF(A562="","N° de bon manquant",IF(N(B562)=0,"Date de commande manquante",IF(C562="","Fournisseur manquant",IF(ISNA(MATCH($C562,sup_code,0)),"Fournisseur inconnu",IF(E562="","Article manquant",IF(ISNA(MATCH($E562,art_ref,0)),"Article inconnu",IF(N(H562)&lt;=0,"Quantité invalide",IF(J562="","Prix manquant",IF(OR(N(K562)&lt;0,N(K562)&gt;=1),"Remise invalide",IF(M562="","TVA manquante",IF(ISNA(MATCH(M562,p_tva,0)),"Taux de TVA inconnu",IF(COUNTIFS(po_num,A562,po_sup,"&lt;&gt;"&amp;C562)&gt;0,"Fournisseur différent sur ce bon",IF(COUNTIFS(po_num,A562,po_date,"&lt;&gt;"&amp;B562)&gt;0,"Date différente sur ce bon",IF(COUNTIF(po_num,A562)&gt;25,"Plus de 25 lignes sur ce bon",IF(R562="","Date de livraison manquante",IF(R562&lt;B562,"Livraison avant la commande",IF(AND(N(T562)&gt;0,N(S562)=0),"Date d'envoi manquante",IF(N(T562)&gt;N(H562),"Reçu plus que commandé",IF(AND(N(T562)&gt;0,N(U562)=0),"Date de réception manquante",IF(AND(N(U562)&gt;0,U562&lt;B562),"Réception avant la commande","OK")))))))))))))))))))))</f>
        <v/>
      </c>
      <c r="AA562" s="66" t="str">
        <f>IF(AND(X562="Reçu",ISNUMBER(R562)),IF(N(U562)&lt;=R562,1,0),"")</f>
        <v/>
      </c>
      <c r="AB562" s="76" t="str">
        <f>IF(OR(X562="Envoyé",X562="Partiel",X562="En retard"),IF(ISNUMBER(R562),R562,100000)+ROW()/100000,"")</f>
        <v/>
      </c>
      <c r="AC562" s="66" t="str">
        <f>IF(A562="","",IF(COUNTIF($A$6:A562,A562)=1,1,""))</f>
        <v/>
      </c>
      <c r="AD562" s="66" t="str">
        <f>IF(AC562=1,COUNT($AC$6:AC562),"")</f>
        <v/>
      </c>
      <c r="AE562" s="66" t="str">
        <f>IFERROR(INDEX(po_num,MATCH(557,po_seq,0))&amp;"","")</f>
        <v/>
      </c>
      <c r="AF562" s="66" t="str">
        <f>IF(OR(A562="",p_po=""),"",IF(A562&amp;""=p_po,COUNTIF($A$6:A562,A562),""))</f>
        <v/>
      </c>
      <c r="AG562" s="66" t="str">
        <f>IF(OR(AB562="",A562=""),"",IF(COUNTIFS($A$6:A562,A562,$AB$6:AB562,"&gt;0")=1,1,""))</f>
        <v/>
      </c>
      <c r="AH562" s="70" t="str">
        <f>IF(AB562="","",ROUND(N(W562)*N(J562)*(1-N(K562)),2))</f>
        <v/>
      </c>
      <c r="AI562" s="70" t="str">
        <f>IF(OR(J562="",N(T562)&lt;=0,V562="Oui"),"",ROUND(N(T562)*J562*(1-N(K562)),2))</f>
        <v/>
      </c>
    </row>
    <row r="563">
      <c r="A563" s="63" t="n"/>
      <c r="B563" s="64" t="n"/>
      <c r="C563" s="65" t="n"/>
      <c r="D563" s="66" t="str">
        <f>IF(C563="","",IFERROR(INDEX(sup_name,MATCH($C563,sup_code,0))&amp;"","Fournisseur inconnu"))</f>
        <v/>
      </c>
      <c r="E563" s="63" t="n"/>
      <c r="F563" s="66" t="str">
        <f>IF(E563="","",IFERROR(INDEX(art_des,MATCH($E563,art_ref,0))&amp;"","Article inconnu"))</f>
        <v/>
      </c>
      <c r="G563" s="67" t="str">
        <f>IF(E563="","",IFERROR(INDEX(art_unit,MATCH($E563,art_ref,0))&amp;"",""))</f>
        <v/>
      </c>
      <c r="H563" s="68" t="n"/>
      <c r="I563" s="69" t="n"/>
      <c r="J563" s="70" t="str">
        <f>IF(E563="","",IF(ISNUMBER(I563),I563,IFERROR(IF(ISNUMBER(INDEX(art_price,MATCH($E563,art_ref,0))),INDEX(art_price,MATCH($E563,art_ref,0)),""),"")))</f>
        <v/>
      </c>
      <c r="K563" s="71" t="n"/>
      <c r="L563" s="72" t="n"/>
      <c r="M563" s="72" t="str">
        <f>IF(E563="","",IF(L563&lt;&gt;"",L563,IFERROR(IF(ISNUMBER(INDEX(art_tva,MATCH($E563,art_ref,0))),INDEX(art_tva,MATCH($E563,art_ref,0)),""),"")))</f>
        <v/>
      </c>
      <c r="N563" s="70" t="str">
        <f>IF(OR(E563="",J563=""),"",ROUND(N(H563)*J563*(1-N(K563)),2))</f>
        <v/>
      </c>
      <c r="O563" s="70" t="str">
        <f>IF(OR(N563="",NOT(ISNUMBER(M563))),"",ROUND(N563*M563,2))</f>
        <v/>
      </c>
      <c r="P563" s="70" t="str">
        <f>IF(N563="","",N563+N(O563))</f>
        <v/>
      </c>
      <c r="Q563" s="64" t="n"/>
      <c r="R563" s="73" t="str">
        <f>IF(N(Q563)&gt;0,Q563,IF(OR(N(B563)=0,ISNA(MATCH($C563,sup_code,0))),"",IF(ISNUMBER(INDEX(sup_delay,MATCH($C563,sup_code,0))),B563+INDEX(sup_delay,MATCH($C563,sup_code,0)),"")))</f>
        <v/>
      </c>
      <c r="S563" s="64" t="n"/>
      <c r="T563" s="68" t="n"/>
      <c r="U563" s="64" t="n"/>
      <c r="V563" s="65" t="n"/>
      <c r="W563" s="74" t="str">
        <f>IF(AND(A563="",E563=""),"",IF(V563="Oui",0,MAX(0,ROUND(N(H563)-N(T563),6))))</f>
        <v/>
      </c>
      <c r="X563" s="67" t="str">
        <f>IF(AND(A563="",E563=""),"",IF(V563="Oui","Annulé",IF(AND(N(H563)&gt;0,N(T563)&gt;=N(H563)),"Reçu",IF(N(S563)=0,"Brouillon",IF(AND(ISNUMBER(R563),R563&lt;p_today),"En retard",IF(N(T563)&gt;0,"Partiel","Envoyé"))))))</f>
        <v/>
      </c>
      <c r="Y563" s="75" t="str">
        <f>IF(X563="En retard",p_today-R563,IF(AND(X563="Reçu",ISNUMBER(R563)),MAX(0,N(U563)-R563),""))</f>
        <v/>
      </c>
      <c r="Z563" s="67" t="str">
        <f>IF(AND(A563="",E563=""),"",IF(A563="","N° de bon manquant",IF(N(B563)=0,"Date de commande manquante",IF(C563="","Fournisseur manquant",IF(ISNA(MATCH($C563,sup_code,0)),"Fournisseur inconnu",IF(E563="","Article manquant",IF(ISNA(MATCH($E563,art_ref,0)),"Article inconnu",IF(N(H563)&lt;=0,"Quantité invalide",IF(J563="","Prix manquant",IF(OR(N(K563)&lt;0,N(K563)&gt;=1),"Remise invalide",IF(M563="","TVA manquante",IF(ISNA(MATCH(M563,p_tva,0)),"Taux de TVA inconnu",IF(COUNTIFS(po_num,A563,po_sup,"&lt;&gt;"&amp;C563)&gt;0,"Fournisseur différent sur ce bon",IF(COUNTIFS(po_num,A563,po_date,"&lt;&gt;"&amp;B563)&gt;0,"Date différente sur ce bon",IF(COUNTIF(po_num,A563)&gt;25,"Plus de 25 lignes sur ce bon",IF(R563="","Date de livraison manquante",IF(R563&lt;B563,"Livraison avant la commande",IF(AND(N(T563)&gt;0,N(S563)=0),"Date d'envoi manquante",IF(N(T563)&gt;N(H563),"Reçu plus que commandé",IF(AND(N(T563)&gt;0,N(U563)=0),"Date de réception manquante",IF(AND(N(U563)&gt;0,U563&lt;B563),"Réception avant la commande","OK")))))))))))))))))))))</f>
        <v/>
      </c>
      <c r="AA563" s="66" t="str">
        <f>IF(AND(X563="Reçu",ISNUMBER(R563)),IF(N(U563)&lt;=R563,1,0),"")</f>
        <v/>
      </c>
      <c r="AB563" s="76" t="str">
        <f>IF(OR(X563="Envoyé",X563="Partiel",X563="En retard"),IF(ISNUMBER(R563),R563,100000)+ROW()/100000,"")</f>
        <v/>
      </c>
      <c r="AC563" s="66" t="str">
        <f>IF(A563="","",IF(COUNTIF($A$6:A563,A563)=1,1,""))</f>
        <v/>
      </c>
      <c r="AD563" s="66" t="str">
        <f>IF(AC563=1,COUNT($AC$6:AC563),"")</f>
        <v/>
      </c>
      <c r="AE563" s="66" t="str">
        <f>IFERROR(INDEX(po_num,MATCH(558,po_seq,0))&amp;"","")</f>
        <v/>
      </c>
      <c r="AF563" s="66" t="str">
        <f>IF(OR(A563="",p_po=""),"",IF(A563&amp;""=p_po,COUNTIF($A$6:A563,A563),""))</f>
        <v/>
      </c>
      <c r="AG563" s="66" t="str">
        <f>IF(OR(AB563="",A563=""),"",IF(COUNTIFS($A$6:A563,A563,$AB$6:AB563,"&gt;0")=1,1,""))</f>
        <v/>
      </c>
      <c r="AH563" s="70" t="str">
        <f>IF(AB563="","",ROUND(N(W563)*N(J563)*(1-N(K563)),2))</f>
        <v/>
      </c>
      <c r="AI563" s="70" t="str">
        <f>IF(OR(J563="",N(T563)&lt;=0,V563="Oui"),"",ROUND(N(T563)*J563*(1-N(K563)),2))</f>
        <v/>
      </c>
    </row>
    <row r="564">
      <c r="A564" s="63" t="n"/>
      <c r="B564" s="64" t="n"/>
      <c r="C564" s="65" t="n"/>
      <c r="D564" s="66" t="str">
        <f>IF(C564="","",IFERROR(INDEX(sup_name,MATCH($C564,sup_code,0))&amp;"","Fournisseur inconnu"))</f>
        <v/>
      </c>
      <c r="E564" s="63" t="n"/>
      <c r="F564" s="66" t="str">
        <f>IF(E564="","",IFERROR(INDEX(art_des,MATCH($E564,art_ref,0))&amp;"","Article inconnu"))</f>
        <v/>
      </c>
      <c r="G564" s="67" t="str">
        <f>IF(E564="","",IFERROR(INDEX(art_unit,MATCH($E564,art_ref,0))&amp;"",""))</f>
        <v/>
      </c>
      <c r="H564" s="68" t="n"/>
      <c r="I564" s="69" t="n"/>
      <c r="J564" s="70" t="str">
        <f>IF(E564="","",IF(ISNUMBER(I564),I564,IFERROR(IF(ISNUMBER(INDEX(art_price,MATCH($E564,art_ref,0))),INDEX(art_price,MATCH($E564,art_ref,0)),""),"")))</f>
        <v/>
      </c>
      <c r="K564" s="71" t="n"/>
      <c r="L564" s="72" t="n"/>
      <c r="M564" s="72" t="str">
        <f>IF(E564="","",IF(L564&lt;&gt;"",L564,IFERROR(IF(ISNUMBER(INDEX(art_tva,MATCH($E564,art_ref,0))),INDEX(art_tva,MATCH($E564,art_ref,0)),""),"")))</f>
        <v/>
      </c>
      <c r="N564" s="70" t="str">
        <f>IF(OR(E564="",J564=""),"",ROUND(N(H564)*J564*(1-N(K564)),2))</f>
        <v/>
      </c>
      <c r="O564" s="70" t="str">
        <f>IF(OR(N564="",NOT(ISNUMBER(M564))),"",ROUND(N564*M564,2))</f>
        <v/>
      </c>
      <c r="P564" s="70" t="str">
        <f>IF(N564="","",N564+N(O564))</f>
        <v/>
      </c>
      <c r="Q564" s="64" t="n"/>
      <c r="R564" s="73" t="str">
        <f>IF(N(Q564)&gt;0,Q564,IF(OR(N(B564)=0,ISNA(MATCH($C564,sup_code,0))),"",IF(ISNUMBER(INDEX(sup_delay,MATCH($C564,sup_code,0))),B564+INDEX(sup_delay,MATCH($C564,sup_code,0)),"")))</f>
        <v/>
      </c>
      <c r="S564" s="64" t="n"/>
      <c r="T564" s="68" t="n"/>
      <c r="U564" s="64" t="n"/>
      <c r="V564" s="65" t="n"/>
      <c r="W564" s="74" t="str">
        <f>IF(AND(A564="",E564=""),"",IF(V564="Oui",0,MAX(0,ROUND(N(H564)-N(T564),6))))</f>
        <v/>
      </c>
      <c r="X564" s="67" t="str">
        <f>IF(AND(A564="",E564=""),"",IF(V564="Oui","Annulé",IF(AND(N(H564)&gt;0,N(T564)&gt;=N(H564)),"Reçu",IF(N(S564)=0,"Brouillon",IF(AND(ISNUMBER(R564),R564&lt;p_today),"En retard",IF(N(T564)&gt;0,"Partiel","Envoyé"))))))</f>
        <v/>
      </c>
      <c r="Y564" s="75" t="str">
        <f>IF(X564="En retard",p_today-R564,IF(AND(X564="Reçu",ISNUMBER(R564)),MAX(0,N(U564)-R564),""))</f>
        <v/>
      </c>
      <c r="Z564" s="67" t="str">
        <f>IF(AND(A564="",E564=""),"",IF(A564="","N° de bon manquant",IF(N(B564)=0,"Date de commande manquante",IF(C564="","Fournisseur manquant",IF(ISNA(MATCH($C564,sup_code,0)),"Fournisseur inconnu",IF(E564="","Article manquant",IF(ISNA(MATCH($E564,art_ref,0)),"Article inconnu",IF(N(H564)&lt;=0,"Quantité invalide",IF(J564="","Prix manquant",IF(OR(N(K564)&lt;0,N(K564)&gt;=1),"Remise invalide",IF(M564="","TVA manquante",IF(ISNA(MATCH(M564,p_tva,0)),"Taux de TVA inconnu",IF(COUNTIFS(po_num,A564,po_sup,"&lt;&gt;"&amp;C564)&gt;0,"Fournisseur différent sur ce bon",IF(COUNTIFS(po_num,A564,po_date,"&lt;&gt;"&amp;B564)&gt;0,"Date différente sur ce bon",IF(COUNTIF(po_num,A564)&gt;25,"Plus de 25 lignes sur ce bon",IF(R564="","Date de livraison manquante",IF(R564&lt;B564,"Livraison avant la commande",IF(AND(N(T564)&gt;0,N(S564)=0),"Date d'envoi manquante",IF(N(T564)&gt;N(H564),"Reçu plus que commandé",IF(AND(N(T564)&gt;0,N(U564)=0),"Date de réception manquante",IF(AND(N(U564)&gt;0,U564&lt;B564),"Réception avant la commande","OK")))))))))))))))))))))</f>
        <v/>
      </c>
      <c r="AA564" s="66" t="str">
        <f>IF(AND(X564="Reçu",ISNUMBER(R564)),IF(N(U564)&lt;=R564,1,0),"")</f>
        <v/>
      </c>
      <c r="AB564" s="76" t="str">
        <f>IF(OR(X564="Envoyé",X564="Partiel",X564="En retard"),IF(ISNUMBER(R564),R564,100000)+ROW()/100000,"")</f>
        <v/>
      </c>
      <c r="AC564" s="66" t="str">
        <f>IF(A564="","",IF(COUNTIF($A$6:A564,A564)=1,1,""))</f>
        <v/>
      </c>
      <c r="AD564" s="66" t="str">
        <f>IF(AC564=1,COUNT($AC$6:AC564),"")</f>
        <v/>
      </c>
      <c r="AE564" s="66" t="str">
        <f>IFERROR(INDEX(po_num,MATCH(559,po_seq,0))&amp;"","")</f>
        <v/>
      </c>
      <c r="AF564" s="66" t="str">
        <f>IF(OR(A564="",p_po=""),"",IF(A564&amp;""=p_po,COUNTIF($A$6:A564,A564),""))</f>
        <v/>
      </c>
      <c r="AG564" s="66" t="str">
        <f>IF(OR(AB564="",A564=""),"",IF(COUNTIFS($A$6:A564,A564,$AB$6:AB564,"&gt;0")=1,1,""))</f>
        <v/>
      </c>
      <c r="AH564" s="70" t="str">
        <f>IF(AB564="","",ROUND(N(W564)*N(J564)*(1-N(K564)),2))</f>
        <v/>
      </c>
      <c r="AI564" s="70" t="str">
        <f>IF(OR(J564="",N(T564)&lt;=0,V564="Oui"),"",ROUND(N(T564)*J564*(1-N(K564)),2))</f>
        <v/>
      </c>
    </row>
    <row r="565">
      <c r="A565" s="63" t="n"/>
      <c r="B565" s="64" t="n"/>
      <c r="C565" s="65" t="n"/>
      <c r="D565" s="66" t="str">
        <f>IF(C565="","",IFERROR(INDEX(sup_name,MATCH($C565,sup_code,0))&amp;"","Fournisseur inconnu"))</f>
        <v/>
      </c>
      <c r="E565" s="63" t="n"/>
      <c r="F565" s="66" t="str">
        <f>IF(E565="","",IFERROR(INDEX(art_des,MATCH($E565,art_ref,0))&amp;"","Article inconnu"))</f>
        <v/>
      </c>
      <c r="G565" s="67" t="str">
        <f>IF(E565="","",IFERROR(INDEX(art_unit,MATCH($E565,art_ref,0))&amp;"",""))</f>
        <v/>
      </c>
      <c r="H565" s="68" t="n"/>
      <c r="I565" s="69" t="n"/>
      <c r="J565" s="70" t="str">
        <f>IF(E565="","",IF(ISNUMBER(I565),I565,IFERROR(IF(ISNUMBER(INDEX(art_price,MATCH($E565,art_ref,0))),INDEX(art_price,MATCH($E565,art_ref,0)),""),"")))</f>
        <v/>
      </c>
      <c r="K565" s="71" t="n"/>
      <c r="L565" s="72" t="n"/>
      <c r="M565" s="72" t="str">
        <f>IF(E565="","",IF(L565&lt;&gt;"",L565,IFERROR(IF(ISNUMBER(INDEX(art_tva,MATCH($E565,art_ref,0))),INDEX(art_tva,MATCH($E565,art_ref,0)),""),"")))</f>
        <v/>
      </c>
      <c r="N565" s="70" t="str">
        <f>IF(OR(E565="",J565=""),"",ROUND(N(H565)*J565*(1-N(K565)),2))</f>
        <v/>
      </c>
      <c r="O565" s="70" t="str">
        <f>IF(OR(N565="",NOT(ISNUMBER(M565))),"",ROUND(N565*M565,2))</f>
        <v/>
      </c>
      <c r="P565" s="70" t="str">
        <f>IF(N565="","",N565+N(O565))</f>
        <v/>
      </c>
      <c r="Q565" s="64" t="n"/>
      <c r="R565" s="73" t="str">
        <f>IF(N(Q565)&gt;0,Q565,IF(OR(N(B565)=0,ISNA(MATCH($C565,sup_code,0))),"",IF(ISNUMBER(INDEX(sup_delay,MATCH($C565,sup_code,0))),B565+INDEX(sup_delay,MATCH($C565,sup_code,0)),"")))</f>
        <v/>
      </c>
      <c r="S565" s="64" t="n"/>
      <c r="T565" s="68" t="n"/>
      <c r="U565" s="64" t="n"/>
      <c r="V565" s="65" t="n"/>
      <c r="W565" s="74" t="str">
        <f>IF(AND(A565="",E565=""),"",IF(V565="Oui",0,MAX(0,ROUND(N(H565)-N(T565),6))))</f>
        <v/>
      </c>
      <c r="X565" s="67" t="str">
        <f>IF(AND(A565="",E565=""),"",IF(V565="Oui","Annulé",IF(AND(N(H565)&gt;0,N(T565)&gt;=N(H565)),"Reçu",IF(N(S565)=0,"Brouillon",IF(AND(ISNUMBER(R565),R565&lt;p_today),"En retard",IF(N(T565)&gt;0,"Partiel","Envoyé"))))))</f>
        <v/>
      </c>
      <c r="Y565" s="75" t="str">
        <f>IF(X565="En retard",p_today-R565,IF(AND(X565="Reçu",ISNUMBER(R565)),MAX(0,N(U565)-R565),""))</f>
        <v/>
      </c>
      <c r="Z565" s="67" t="str">
        <f>IF(AND(A565="",E565=""),"",IF(A565="","N° de bon manquant",IF(N(B565)=0,"Date de commande manquante",IF(C565="","Fournisseur manquant",IF(ISNA(MATCH($C565,sup_code,0)),"Fournisseur inconnu",IF(E565="","Article manquant",IF(ISNA(MATCH($E565,art_ref,0)),"Article inconnu",IF(N(H565)&lt;=0,"Quantité invalide",IF(J565="","Prix manquant",IF(OR(N(K565)&lt;0,N(K565)&gt;=1),"Remise invalide",IF(M565="","TVA manquante",IF(ISNA(MATCH(M565,p_tva,0)),"Taux de TVA inconnu",IF(COUNTIFS(po_num,A565,po_sup,"&lt;&gt;"&amp;C565)&gt;0,"Fournisseur différent sur ce bon",IF(COUNTIFS(po_num,A565,po_date,"&lt;&gt;"&amp;B565)&gt;0,"Date différente sur ce bon",IF(COUNTIF(po_num,A565)&gt;25,"Plus de 25 lignes sur ce bon",IF(R565="","Date de livraison manquante",IF(R565&lt;B565,"Livraison avant la commande",IF(AND(N(T565)&gt;0,N(S565)=0),"Date d'envoi manquante",IF(N(T565)&gt;N(H565),"Reçu plus que commandé",IF(AND(N(T565)&gt;0,N(U565)=0),"Date de réception manquante",IF(AND(N(U565)&gt;0,U565&lt;B565),"Réception avant la commande","OK")))))))))))))))))))))</f>
        <v/>
      </c>
      <c r="AA565" s="66" t="str">
        <f>IF(AND(X565="Reçu",ISNUMBER(R565)),IF(N(U565)&lt;=R565,1,0),"")</f>
        <v/>
      </c>
      <c r="AB565" s="76" t="str">
        <f>IF(OR(X565="Envoyé",X565="Partiel",X565="En retard"),IF(ISNUMBER(R565),R565,100000)+ROW()/100000,"")</f>
        <v/>
      </c>
      <c r="AC565" s="66" t="str">
        <f>IF(A565="","",IF(COUNTIF($A$6:A565,A565)=1,1,""))</f>
        <v/>
      </c>
      <c r="AD565" s="66" t="str">
        <f>IF(AC565=1,COUNT($AC$6:AC565),"")</f>
        <v/>
      </c>
      <c r="AE565" s="66" t="str">
        <f>IFERROR(INDEX(po_num,MATCH(560,po_seq,0))&amp;"","")</f>
        <v/>
      </c>
      <c r="AF565" s="66" t="str">
        <f>IF(OR(A565="",p_po=""),"",IF(A565&amp;""=p_po,COUNTIF($A$6:A565,A565),""))</f>
        <v/>
      </c>
      <c r="AG565" s="66" t="str">
        <f>IF(OR(AB565="",A565=""),"",IF(COUNTIFS($A$6:A565,A565,$AB$6:AB565,"&gt;0")=1,1,""))</f>
        <v/>
      </c>
      <c r="AH565" s="70" t="str">
        <f>IF(AB565="","",ROUND(N(W565)*N(J565)*(1-N(K565)),2))</f>
        <v/>
      </c>
      <c r="AI565" s="70" t="str">
        <f>IF(OR(J565="",N(T565)&lt;=0,V565="Oui"),"",ROUND(N(T565)*J565*(1-N(K565)),2))</f>
        <v/>
      </c>
    </row>
    <row r="566">
      <c r="A566" s="63" t="n"/>
      <c r="B566" s="64" t="n"/>
      <c r="C566" s="65" t="n"/>
      <c r="D566" s="66" t="str">
        <f>IF(C566="","",IFERROR(INDEX(sup_name,MATCH($C566,sup_code,0))&amp;"","Fournisseur inconnu"))</f>
        <v/>
      </c>
      <c r="E566" s="63" t="n"/>
      <c r="F566" s="66" t="str">
        <f>IF(E566="","",IFERROR(INDEX(art_des,MATCH($E566,art_ref,0))&amp;"","Article inconnu"))</f>
        <v/>
      </c>
      <c r="G566" s="67" t="str">
        <f>IF(E566="","",IFERROR(INDEX(art_unit,MATCH($E566,art_ref,0))&amp;"",""))</f>
        <v/>
      </c>
      <c r="H566" s="68" t="n"/>
      <c r="I566" s="69" t="n"/>
      <c r="J566" s="70" t="str">
        <f>IF(E566="","",IF(ISNUMBER(I566),I566,IFERROR(IF(ISNUMBER(INDEX(art_price,MATCH($E566,art_ref,0))),INDEX(art_price,MATCH($E566,art_ref,0)),""),"")))</f>
        <v/>
      </c>
      <c r="K566" s="71" t="n"/>
      <c r="L566" s="72" t="n"/>
      <c r="M566" s="72" t="str">
        <f>IF(E566="","",IF(L566&lt;&gt;"",L566,IFERROR(IF(ISNUMBER(INDEX(art_tva,MATCH($E566,art_ref,0))),INDEX(art_tva,MATCH($E566,art_ref,0)),""),"")))</f>
        <v/>
      </c>
      <c r="N566" s="70" t="str">
        <f>IF(OR(E566="",J566=""),"",ROUND(N(H566)*J566*(1-N(K566)),2))</f>
        <v/>
      </c>
      <c r="O566" s="70" t="str">
        <f>IF(OR(N566="",NOT(ISNUMBER(M566))),"",ROUND(N566*M566,2))</f>
        <v/>
      </c>
      <c r="P566" s="70" t="str">
        <f>IF(N566="","",N566+N(O566))</f>
        <v/>
      </c>
      <c r="Q566" s="64" t="n"/>
      <c r="R566" s="73" t="str">
        <f>IF(N(Q566)&gt;0,Q566,IF(OR(N(B566)=0,ISNA(MATCH($C566,sup_code,0))),"",IF(ISNUMBER(INDEX(sup_delay,MATCH($C566,sup_code,0))),B566+INDEX(sup_delay,MATCH($C566,sup_code,0)),"")))</f>
        <v/>
      </c>
      <c r="S566" s="64" t="n"/>
      <c r="T566" s="68" t="n"/>
      <c r="U566" s="64" t="n"/>
      <c r="V566" s="65" t="n"/>
      <c r="W566" s="74" t="str">
        <f>IF(AND(A566="",E566=""),"",IF(V566="Oui",0,MAX(0,ROUND(N(H566)-N(T566),6))))</f>
        <v/>
      </c>
      <c r="X566" s="67" t="str">
        <f>IF(AND(A566="",E566=""),"",IF(V566="Oui","Annulé",IF(AND(N(H566)&gt;0,N(T566)&gt;=N(H566)),"Reçu",IF(N(S566)=0,"Brouillon",IF(AND(ISNUMBER(R566),R566&lt;p_today),"En retard",IF(N(T566)&gt;0,"Partiel","Envoyé"))))))</f>
        <v/>
      </c>
      <c r="Y566" s="75" t="str">
        <f>IF(X566="En retard",p_today-R566,IF(AND(X566="Reçu",ISNUMBER(R566)),MAX(0,N(U566)-R566),""))</f>
        <v/>
      </c>
      <c r="Z566" s="67" t="str">
        <f>IF(AND(A566="",E566=""),"",IF(A566="","N° de bon manquant",IF(N(B566)=0,"Date de commande manquante",IF(C566="","Fournisseur manquant",IF(ISNA(MATCH($C566,sup_code,0)),"Fournisseur inconnu",IF(E566="","Article manquant",IF(ISNA(MATCH($E566,art_ref,0)),"Article inconnu",IF(N(H566)&lt;=0,"Quantité invalide",IF(J566="","Prix manquant",IF(OR(N(K566)&lt;0,N(K566)&gt;=1),"Remise invalide",IF(M566="","TVA manquante",IF(ISNA(MATCH(M566,p_tva,0)),"Taux de TVA inconnu",IF(COUNTIFS(po_num,A566,po_sup,"&lt;&gt;"&amp;C566)&gt;0,"Fournisseur différent sur ce bon",IF(COUNTIFS(po_num,A566,po_date,"&lt;&gt;"&amp;B566)&gt;0,"Date différente sur ce bon",IF(COUNTIF(po_num,A566)&gt;25,"Plus de 25 lignes sur ce bon",IF(R566="","Date de livraison manquante",IF(R566&lt;B566,"Livraison avant la commande",IF(AND(N(T566)&gt;0,N(S566)=0),"Date d'envoi manquante",IF(N(T566)&gt;N(H566),"Reçu plus que commandé",IF(AND(N(T566)&gt;0,N(U566)=0),"Date de réception manquante",IF(AND(N(U566)&gt;0,U566&lt;B566),"Réception avant la commande","OK")))))))))))))))))))))</f>
        <v/>
      </c>
      <c r="AA566" s="66" t="str">
        <f>IF(AND(X566="Reçu",ISNUMBER(R566)),IF(N(U566)&lt;=R566,1,0),"")</f>
        <v/>
      </c>
      <c r="AB566" s="76" t="str">
        <f>IF(OR(X566="Envoyé",X566="Partiel",X566="En retard"),IF(ISNUMBER(R566),R566,100000)+ROW()/100000,"")</f>
        <v/>
      </c>
      <c r="AC566" s="66" t="str">
        <f>IF(A566="","",IF(COUNTIF($A$6:A566,A566)=1,1,""))</f>
        <v/>
      </c>
      <c r="AD566" s="66" t="str">
        <f>IF(AC566=1,COUNT($AC$6:AC566),"")</f>
        <v/>
      </c>
      <c r="AE566" s="66" t="str">
        <f>IFERROR(INDEX(po_num,MATCH(561,po_seq,0))&amp;"","")</f>
        <v/>
      </c>
      <c r="AF566" s="66" t="str">
        <f>IF(OR(A566="",p_po=""),"",IF(A566&amp;""=p_po,COUNTIF($A$6:A566,A566),""))</f>
        <v/>
      </c>
      <c r="AG566" s="66" t="str">
        <f>IF(OR(AB566="",A566=""),"",IF(COUNTIFS($A$6:A566,A566,$AB$6:AB566,"&gt;0")=1,1,""))</f>
        <v/>
      </c>
      <c r="AH566" s="70" t="str">
        <f>IF(AB566="","",ROUND(N(W566)*N(J566)*(1-N(K566)),2))</f>
        <v/>
      </c>
      <c r="AI566" s="70" t="str">
        <f>IF(OR(J566="",N(T566)&lt;=0,V566="Oui"),"",ROUND(N(T566)*J566*(1-N(K566)),2))</f>
        <v/>
      </c>
    </row>
    <row r="567">
      <c r="A567" s="63" t="n"/>
      <c r="B567" s="64" t="n"/>
      <c r="C567" s="65" t="n"/>
      <c r="D567" s="66" t="str">
        <f>IF(C567="","",IFERROR(INDEX(sup_name,MATCH($C567,sup_code,0))&amp;"","Fournisseur inconnu"))</f>
        <v/>
      </c>
      <c r="E567" s="63" t="n"/>
      <c r="F567" s="66" t="str">
        <f>IF(E567="","",IFERROR(INDEX(art_des,MATCH($E567,art_ref,0))&amp;"","Article inconnu"))</f>
        <v/>
      </c>
      <c r="G567" s="67" t="str">
        <f>IF(E567="","",IFERROR(INDEX(art_unit,MATCH($E567,art_ref,0))&amp;"",""))</f>
        <v/>
      </c>
      <c r="H567" s="68" t="n"/>
      <c r="I567" s="69" t="n"/>
      <c r="J567" s="70" t="str">
        <f>IF(E567="","",IF(ISNUMBER(I567),I567,IFERROR(IF(ISNUMBER(INDEX(art_price,MATCH($E567,art_ref,0))),INDEX(art_price,MATCH($E567,art_ref,0)),""),"")))</f>
        <v/>
      </c>
      <c r="K567" s="71" t="n"/>
      <c r="L567" s="72" t="n"/>
      <c r="M567" s="72" t="str">
        <f>IF(E567="","",IF(L567&lt;&gt;"",L567,IFERROR(IF(ISNUMBER(INDEX(art_tva,MATCH($E567,art_ref,0))),INDEX(art_tva,MATCH($E567,art_ref,0)),""),"")))</f>
        <v/>
      </c>
      <c r="N567" s="70" t="str">
        <f>IF(OR(E567="",J567=""),"",ROUND(N(H567)*J567*(1-N(K567)),2))</f>
        <v/>
      </c>
      <c r="O567" s="70" t="str">
        <f>IF(OR(N567="",NOT(ISNUMBER(M567))),"",ROUND(N567*M567,2))</f>
        <v/>
      </c>
      <c r="P567" s="70" t="str">
        <f>IF(N567="","",N567+N(O567))</f>
        <v/>
      </c>
      <c r="Q567" s="64" t="n"/>
      <c r="R567" s="73" t="str">
        <f>IF(N(Q567)&gt;0,Q567,IF(OR(N(B567)=0,ISNA(MATCH($C567,sup_code,0))),"",IF(ISNUMBER(INDEX(sup_delay,MATCH($C567,sup_code,0))),B567+INDEX(sup_delay,MATCH($C567,sup_code,0)),"")))</f>
        <v/>
      </c>
      <c r="S567" s="64" t="n"/>
      <c r="T567" s="68" t="n"/>
      <c r="U567" s="64" t="n"/>
      <c r="V567" s="65" t="n"/>
      <c r="W567" s="74" t="str">
        <f>IF(AND(A567="",E567=""),"",IF(V567="Oui",0,MAX(0,ROUND(N(H567)-N(T567),6))))</f>
        <v/>
      </c>
      <c r="X567" s="67" t="str">
        <f>IF(AND(A567="",E567=""),"",IF(V567="Oui","Annulé",IF(AND(N(H567)&gt;0,N(T567)&gt;=N(H567)),"Reçu",IF(N(S567)=0,"Brouillon",IF(AND(ISNUMBER(R567),R567&lt;p_today),"En retard",IF(N(T567)&gt;0,"Partiel","Envoyé"))))))</f>
        <v/>
      </c>
      <c r="Y567" s="75" t="str">
        <f>IF(X567="En retard",p_today-R567,IF(AND(X567="Reçu",ISNUMBER(R567)),MAX(0,N(U567)-R567),""))</f>
        <v/>
      </c>
      <c r="Z567" s="67" t="str">
        <f>IF(AND(A567="",E567=""),"",IF(A567="","N° de bon manquant",IF(N(B567)=0,"Date de commande manquante",IF(C567="","Fournisseur manquant",IF(ISNA(MATCH($C567,sup_code,0)),"Fournisseur inconnu",IF(E567="","Article manquant",IF(ISNA(MATCH($E567,art_ref,0)),"Article inconnu",IF(N(H567)&lt;=0,"Quantité invalide",IF(J567="","Prix manquant",IF(OR(N(K567)&lt;0,N(K567)&gt;=1),"Remise invalide",IF(M567="","TVA manquante",IF(ISNA(MATCH(M567,p_tva,0)),"Taux de TVA inconnu",IF(COUNTIFS(po_num,A567,po_sup,"&lt;&gt;"&amp;C567)&gt;0,"Fournisseur différent sur ce bon",IF(COUNTIFS(po_num,A567,po_date,"&lt;&gt;"&amp;B567)&gt;0,"Date différente sur ce bon",IF(COUNTIF(po_num,A567)&gt;25,"Plus de 25 lignes sur ce bon",IF(R567="","Date de livraison manquante",IF(R567&lt;B567,"Livraison avant la commande",IF(AND(N(T567)&gt;0,N(S567)=0),"Date d'envoi manquante",IF(N(T567)&gt;N(H567),"Reçu plus que commandé",IF(AND(N(T567)&gt;0,N(U567)=0),"Date de réception manquante",IF(AND(N(U567)&gt;0,U567&lt;B567),"Réception avant la commande","OK")))))))))))))))))))))</f>
        <v/>
      </c>
      <c r="AA567" s="66" t="str">
        <f>IF(AND(X567="Reçu",ISNUMBER(R567)),IF(N(U567)&lt;=R567,1,0),"")</f>
        <v/>
      </c>
      <c r="AB567" s="76" t="str">
        <f>IF(OR(X567="Envoyé",X567="Partiel",X567="En retard"),IF(ISNUMBER(R567),R567,100000)+ROW()/100000,"")</f>
        <v/>
      </c>
      <c r="AC567" s="66" t="str">
        <f>IF(A567="","",IF(COUNTIF($A$6:A567,A567)=1,1,""))</f>
        <v/>
      </c>
      <c r="AD567" s="66" t="str">
        <f>IF(AC567=1,COUNT($AC$6:AC567),"")</f>
        <v/>
      </c>
      <c r="AE567" s="66" t="str">
        <f>IFERROR(INDEX(po_num,MATCH(562,po_seq,0))&amp;"","")</f>
        <v/>
      </c>
      <c r="AF567" s="66" t="str">
        <f>IF(OR(A567="",p_po=""),"",IF(A567&amp;""=p_po,COUNTIF($A$6:A567,A567),""))</f>
        <v/>
      </c>
      <c r="AG567" s="66" t="str">
        <f>IF(OR(AB567="",A567=""),"",IF(COUNTIFS($A$6:A567,A567,$AB$6:AB567,"&gt;0")=1,1,""))</f>
        <v/>
      </c>
      <c r="AH567" s="70" t="str">
        <f>IF(AB567="","",ROUND(N(W567)*N(J567)*(1-N(K567)),2))</f>
        <v/>
      </c>
      <c r="AI567" s="70" t="str">
        <f>IF(OR(J567="",N(T567)&lt;=0,V567="Oui"),"",ROUND(N(T567)*J567*(1-N(K567)),2))</f>
        <v/>
      </c>
    </row>
    <row r="568">
      <c r="A568" s="63" t="n"/>
      <c r="B568" s="64" t="n"/>
      <c r="C568" s="65" t="n"/>
      <c r="D568" s="66" t="str">
        <f>IF(C568="","",IFERROR(INDEX(sup_name,MATCH($C568,sup_code,0))&amp;"","Fournisseur inconnu"))</f>
        <v/>
      </c>
      <c r="E568" s="63" t="n"/>
      <c r="F568" s="66" t="str">
        <f>IF(E568="","",IFERROR(INDEX(art_des,MATCH($E568,art_ref,0))&amp;"","Article inconnu"))</f>
        <v/>
      </c>
      <c r="G568" s="67" t="str">
        <f>IF(E568="","",IFERROR(INDEX(art_unit,MATCH($E568,art_ref,0))&amp;"",""))</f>
        <v/>
      </c>
      <c r="H568" s="68" t="n"/>
      <c r="I568" s="69" t="n"/>
      <c r="J568" s="70" t="str">
        <f>IF(E568="","",IF(ISNUMBER(I568),I568,IFERROR(IF(ISNUMBER(INDEX(art_price,MATCH($E568,art_ref,0))),INDEX(art_price,MATCH($E568,art_ref,0)),""),"")))</f>
        <v/>
      </c>
      <c r="K568" s="71" t="n"/>
      <c r="L568" s="72" t="n"/>
      <c r="M568" s="72" t="str">
        <f>IF(E568="","",IF(L568&lt;&gt;"",L568,IFERROR(IF(ISNUMBER(INDEX(art_tva,MATCH($E568,art_ref,0))),INDEX(art_tva,MATCH($E568,art_ref,0)),""),"")))</f>
        <v/>
      </c>
      <c r="N568" s="70" t="str">
        <f>IF(OR(E568="",J568=""),"",ROUND(N(H568)*J568*(1-N(K568)),2))</f>
        <v/>
      </c>
      <c r="O568" s="70" t="str">
        <f>IF(OR(N568="",NOT(ISNUMBER(M568))),"",ROUND(N568*M568,2))</f>
        <v/>
      </c>
      <c r="P568" s="70" t="str">
        <f>IF(N568="","",N568+N(O568))</f>
        <v/>
      </c>
      <c r="Q568" s="64" t="n"/>
      <c r="R568" s="73" t="str">
        <f>IF(N(Q568)&gt;0,Q568,IF(OR(N(B568)=0,ISNA(MATCH($C568,sup_code,0))),"",IF(ISNUMBER(INDEX(sup_delay,MATCH($C568,sup_code,0))),B568+INDEX(sup_delay,MATCH($C568,sup_code,0)),"")))</f>
        <v/>
      </c>
      <c r="S568" s="64" t="n"/>
      <c r="T568" s="68" t="n"/>
      <c r="U568" s="64" t="n"/>
      <c r="V568" s="65" t="n"/>
      <c r="W568" s="74" t="str">
        <f>IF(AND(A568="",E568=""),"",IF(V568="Oui",0,MAX(0,ROUND(N(H568)-N(T568),6))))</f>
        <v/>
      </c>
      <c r="X568" s="67" t="str">
        <f>IF(AND(A568="",E568=""),"",IF(V568="Oui","Annulé",IF(AND(N(H568)&gt;0,N(T568)&gt;=N(H568)),"Reçu",IF(N(S568)=0,"Brouillon",IF(AND(ISNUMBER(R568),R568&lt;p_today),"En retard",IF(N(T568)&gt;0,"Partiel","Envoyé"))))))</f>
        <v/>
      </c>
      <c r="Y568" s="75" t="str">
        <f>IF(X568="En retard",p_today-R568,IF(AND(X568="Reçu",ISNUMBER(R568)),MAX(0,N(U568)-R568),""))</f>
        <v/>
      </c>
      <c r="Z568" s="67" t="str">
        <f>IF(AND(A568="",E568=""),"",IF(A568="","N° de bon manquant",IF(N(B568)=0,"Date de commande manquante",IF(C568="","Fournisseur manquant",IF(ISNA(MATCH($C568,sup_code,0)),"Fournisseur inconnu",IF(E568="","Article manquant",IF(ISNA(MATCH($E568,art_ref,0)),"Article inconnu",IF(N(H568)&lt;=0,"Quantité invalide",IF(J568="","Prix manquant",IF(OR(N(K568)&lt;0,N(K568)&gt;=1),"Remise invalide",IF(M568="","TVA manquante",IF(ISNA(MATCH(M568,p_tva,0)),"Taux de TVA inconnu",IF(COUNTIFS(po_num,A568,po_sup,"&lt;&gt;"&amp;C568)&gt;0,"Fournisseur différent sur ce bon",IF(COUNTIFS(po_num,A568,po_date,"&lt;&gt;"&amp;B568)&gt;0,"Date différente sur ce bon",IF(COUNTIF(po_num,A568)&gt;25,"Plus de 25 lignes sur ce bon",IF(R568="","Date de livraison manquante",IF(R568&lt;B568,"Livraison avant la commande",IF(AND(N(T568)&gt;0,N(S568)=0),"Date d'envoi manquante",IF(N(T568)&gt;N(H568),"Reçu plus que commandé",IF(AND(N(T568)&gt;0,N(U568)=0),"Date de réception manquante",IF(AND(N(U568)&gt;0,U568&lt;B568),"Réception avant la commande","OK")))))))))))))))))))))</f>
        <v/>
      </c>
      <c r="AA568" s="66" t="str">
        <f>IF(AND(X568="Reçu",ISNUMBER(R568)),IF(N(U568)&lt;=R568,1,0),"")</f>
        <v/>
      </c>
      <c r="AB568" s="76" t="str">
        <f>IF(OR(X568="Envoyé",X568="Partiel",X568="En retard"),IF(ISNUMBER(R568),R568,100000)+ROW()/100000,"")</f>
        <v/>
      </c>
      <c r="AC568" s="66" t="str">
        <f>IF(A568="","",IF(COUNTIF($A$6:A568,A568)=1,1,""))</f>
        <v/>
      </c>
      <c r="AD568" s="66" t="str">
        <f>IF(AC568=1,COUNT($AC$6:AC568),"")</f>
        <v/>
      </c>
      <c r="AE568" s="66" t="str">
        <f>IFERROR(INDEX(po_num,MATCH(563,po_seq,0))&amp;"","")</f>
        <v/>
      </c>
      <c r="AF568" s="66" t="str">
        <f>IF(OR(A568="",p_po=""),"",IF(A568&amp;""=p_po,COUNTIF($A$6:A568,A568),""))</f>
        <v/>
      </c>
      <c r="AG568" s="66" t="str">
        <f>IF(OR(AB568="",A568=""),"",IF(COUNTIFS($A$6:A568,A568,$AB$6:AB568,"&gt;0")=1,1,""))</f>
        <v/>
      </c>
      <c r="AH568" s="70" t="str">
        <f>IF(AB568="","",ROUND(N(W568)*N(J568)*(1-N(K568)),2))</f>
        <v/>
      </c>
      <c r="AI568" s="70" t="str">
        <f>IF(OR(J568="",N(T568)&lt;=0,V568="Oui"),"",ROUND(N(T568)*J568*(1-N(K568)),2))</f>
        <v/>
      </c>
    </row>
    <row r="569">
      <c r="A569" s="63" t="n"/>
      <c r="B569" s="64" t="n"/>
      <c r="C569" s="65" t="n"/>
      <c r="D569" s="66" t="str">
        <f>IF(C569="","",IFERROR(INDEX(sup_name,MATCH($C569,sup_code,0))&amp;"","Fournisseur inconnu"))</f>
        <v/>
      </c>
      <c r="E569" s="63" t="n"/>
      <c r="F569" s="66" t="str">
        <f>IF(E569="","",IFERROR(INDEX(art_des,MATCH($E569,art_ref,0))&amp;"","Article inconnu"))</f>
        <v/>
      </c>
      <c r="G569" s="67" t="str">
        <f>IF(E569="","",IFERROR(INDEX(art_unit,MATCH($E569,art_ref,0))&amp;"",""))</f>
        <v/>
      </c>
      <c r="H569" s="68" t="n"/>
      <c r="I569" s="69" t="n"/>
      <c r="J569" s="70" t="str">
        <f>IF(E569="","",IF(ISNUMBER(I569),I569,IFERROR(IF(ISNUMBER(INDEX(art_price,MATCH($E569,art_ref,0))),INDEX(art_price,MATCH($E569,art_ref,0)),""),"")))</f>
        <v/>
      </c>
      <c r="K569" s="71" t="n"/>
      <c r="L569" s="72" t="n"/>
      <c r="M569" s="72" t="str">
        <f>IF(E569="","",IF(L569&lt;&gt;"",L569,IFERROR(IF(ISNUMBER(INDEX(art_tva,MATCH($E569,art_ref,0))),INDEX(art_tva,MATCH($E569,art_ref,0)),""),"")))</f>
        <v/>
      </c>
      <c r="N569" s="70" t="str">
        <f>IF(OR(E569="",J569=""),"",ROUND(N(H569)*J569*(1-N(K569)),2))</f>
        <v/>
      </c>
      <c r="O569" s="70" t="str">
        <f>IF(OR(N569="",NOT(ISNUMBER(M569))),"",ROUND(N569*M569,2))</f>
        <v/>
      </c>
      <c r="P569" s="70" t="str">
        <f>IF(N569="","",N569+N(O569))</f>
        <v/>
      </c>
      <c r="Q569" s="64" t="n"/>
      <c r="R569" s="73" t="str">
        <f>IF(N(Q569)&gt;0,Q569,IF(OR(N(B569)=0,ISNA(MATCH($C569,sup_code,0))),"",IF(ISNUMBER(INDEX(sup_delay,MATCH($C569,sup_code,0))),B569+INDEX(sup_delay,MATCH($C569,sup_code,0)),"")))</f>
        <v/>
      </c>
      <c r="S569" s="64" t="n"/>
      <c r="T569" s="68" t="n"/>
      <c r="U569" s="64" t="n"/>
      <c r="V569" s="65" t="n"/>
      <c r="W569" s="74" t="str">
        <f>IF(AND(A569="",E569=""),"",IF(V569="Oui",0,MAX(0,ROUND(N(H569)-N(T569),6))))</f>
        <v/>
      </c>
      <c r="X569" s="67" t="str">
        <f>IF(AND(A569="",E569=""),"",IF(V569="Oui","Annulé",IF(AND(N(H569)&gt;0,N(T569)&gt;=N(H569)),"Reçu",IF(N(S569)=0,"Brouillon",IF(AND(ISNUMBER(R569),R569&lt;p_today),"En retard",IF(N(T569)&gt;0,"Partiel","Envoyé"))))))</f>
        <v/>
      </c>
      <c r="Y569" s="75" t="str">
        <f>IF(X569="En retard",p_today-R569,IF(AND(X569="Reçu",ISNUMBER(R569)),MAX(0,N(U569)-R569),""))</f>
        <v/>
      </c>
      <c r="Z569" s="67" t="str">
        <f>IF(AND(A569="",E569=""),"",IF(A569="","N° de bon manquant",IF(N(B569)=0,"Date de commande manquante",IF(C569="","Fournisseur manquant",IF(ISNA(MATCH($C569,sup_code,0)),"Fournisseur inconnu",IF(E569="","Article manquant",IF(ISNA(MATCH($E569,art_ref,0)),"Article inconnu",IF(N(H569)&lt;=0,"Quantité invalide",IF(J569="","Prix manquant",IF(OR(N(K569)&lt;0,N(K569)&gt;=1),"Remise invalide",IF(M569="","TVA manquante",IF(ISNA(MATCH(M569,p_tva,0)),"Taux de TVA inconnu",IF(COUNTIFS(po_num,A569,po_sup,"&lt;&gt;"&amp;C569)&gt;0,"Fournisseur différent sur ce bon",IF(COUNTIFS(po_num,A569,po_date,"&lt;&gt;"&amp;B569)&gt;0,"Date différente sur ce bon",IF(COUNTIF(po_num,A569)&gt;25,"Plus de 25 lignes sur ce bon",IF(R569="","Date de livraison manquante",IF(R569&lt;B569,"Livraison avant la commande",IF(AND(N(T569)&gt;0,N(S569)=0),"Date d'envoi manquante",IF(N(T569)&gt;N(H569),"Reçu plus que commandé",IF(AND(N(T569)&gt;0,N(U569)=0),"Date de réception manquante",IF(AND(N(U569)&gt;0,U569&lt;B569),"Réception avant la commande","OK")))))))))))))))))))))</f>
        <v/>
      </c>
      <c r="AA569" s="66" t="str">
        <f>IF(AND(X569="Reçu",ISNUMBER(R569)),IF(N(U569)&lt;=R569,1,0),"")</f>
        <v/>
      </c>
      <c r="AB569" s="76" t="str">
        <f>IF(OR(X569="Envoyé",X569="Partiel",X569="En retard"),IF(ISNUMBER(R569),R569,100000)+ROW()/100000,"")</f>
        <v/>
      </c>
      <c r="AC569" s="66" t="str">
        <f>IF(A569="","",IF(COUNTIF($A$6:A569,A569)=1,1,""))</f>
        <v/>
      </c>
      <c r="AD569" s="66" t="str">
        <f>IF(AC569=1,COUNT($AC$6:AC569),"")</f>
        <v/>
      </c>
      <c r="AE569" s="66" t="str">
        <f>IFERROR(INDEX(po_num,MATCH(564,po_seq,0))&amp;"","")</f>
        <v/>
      </c>
      <c r="AF569" s="66" t="str">
        <f>IF(OR(A569="",p_po=""),"",IF(A569&amp;""=p_po,COUNTIF($A$6:A569,A569),""))</f>
        <v/>
      </c>
      <c r="AG569" s="66" t="str">
        <f>IF(OR(AB569="",A569=""),"",IF(COUNTIFS($A$6:A569,A569,$AB$6:AB569,"&gt;0")=1,1,""))</f>
        <v/>
      </c>
      <c r="AH569" s="70" t="str">
        <f>IF(AB569="","",ROUND(N(W569)*N(J569)*(1-N(K569)),2))</f>
        <v/>
      </c>
      <c r="AI569" s="70" t="str">
        <f>IF(OR(J569="",N(T569)&lt;=0,V569="Oui"),"",ROUND(N(T569)*J569*(1-N(K569)),2))</f>
        <v/>
      </c>
    </row>
    <row r="570">
      <c r="A570" s="63" t="n"/>
      <c r="B570" s="64" t="n"/>
      <c r="C570" s="65" t="n"/>
      <c r="D570" s="66" t="str">
        <f>IF(C570="","",IFERROR(INDEX(sup_name,MATCH($C570,sup_code,0))&amp;"","Fournisseur inconnu"))</f>
        <v/>
      </c>
      <c r="E570" s="63" t="n"/>
      <c r="F570" s="66" t="str">
        <f>IF(E570="","",IFERROR(INDEX(art_des,MATCH($E570,art_ref,0))&amp;"","Article inconnu"))</f>
        <v/>
      </c>
      <c r="G570" s="67" t="str">
        <f>IF(E570="","",IFERROR(INDEX(art_unit,MATCH($E570,art_ref,0))&amp;"",""))</f>
        <v/>
      </c>
      <c r="H570" s="68" t="n"/>
      <c r="I570" s="69" t="n"/>
      <c r="J570" s="70" t="str">
        <f>IF(E570="","",IF(ISNUMBER(I570),I570,IFERROR(IF(ISNUMBER(INDEX(art_price,MATCH($E570,art_ref,0))),INDEX(art_price,MATCH($E570,art_ref,0)),""),"")))</f>
        <v/>
      </c>
      <c r="K570" s="71" t="n"/>
      <c r="L570" s="72" t="n"/>
      <c r="M570" s="72" t="str">
        <f>IF(E570="","",IF(L570&lt;&gt;"",L570,IFERROR(IF(ISNUMBER(INDEX(art_tva,MATCH($E570,art_ref,0))),INDEX(art_tva,MATCH($E570,art_ref,0)),""),"")))</f>
        <v/>
      </c>
      <c r="N570" s="70" t="str">
        <f>IF(OR(E570="",J570=""),"",ROUND(N(H570)*J570*(1-N(K570)),2))</f>
        <v/>
      </c>
      <c r="O570" s="70" t="str">
        <f>IF(OR(N570="",NOT(ISNUMBER(M570))),"",ROUND(N570*M570,2))</f>
        <v/>
      </c>
      <c r="P570" s="70" t="str">
        <f>IF(N570="","",N570+N(O570))</f>
        <v/>
      </c>
      <c r="Q570" s="64" t="n"/>
      <c r="R570" s="73" t="str">
        <f>IF(N(Q570)&gt;0,Q570,IF(OR(N(B570)=0,ISNA(MATCH($C570,sup_code,0))),"",IF(ISNUMBER(INDEX(sup_delay,MATCH($C570,sup_code,0))),B570+INDEX(sup_delay,MATCH($C570,sup_code,0)),"")))</f>
        <v/>
      </c>
      <c r="S570" s="64" t="n"/>
      <c r="T570" s="68" t="n"/>
      <c r="U570" s="64" t="n"/>
      <c r="V570" s="65" t="n"/>
      <c r="W570" s="74" t="str">
        <f>IF(AND(A570="",E570=""),"",IF(V570="Oui",0,MAX(0,ROUND(N(H570)-N(T570),6))))</f>
        <v/>
      </c>
      <c r="X570" s="67" t="str">
        <f>IF(AND(A570="",E570=""),"",IF(V570="Oui","Annulé",IF(AND(N(H570)&gt;0,N(T570)&gt;=N(H570)),"Reçu",IF(N(S570)=0,"Brouillon",IF(AND(ISNUMBER(R570),R570&lt;p_today),"En retard",IF(N(T570)&gt;0,"Partiel","Envoyé"))))))</f>
        <v/>
      </c>
      <c r="Y570" s="75" t="str">
        <f>IF(X570="En retard",p_today-R570,IF(AND(X570="Reçu",ISNUMBER(R570)),MAX(0,N(U570)-R570),""))</f>
        <v/>
      </c>
      <c r="Z570" s="67" t="str">
        <f>IF(AND(A570="",E570=""),"",IF(A570="","N° de bon manquant",IF(N(B570)=0,"Date de commande manquante",IF(C570="","Fournisseur manquant",IF(ISNA(MATCH($C570,sup_code,0)),"Fournisseur inconnu",IF(E570="","Article manquant",IF(ISNA(MATCH($E570,art_ref,0)),"Article inconnu",IF(N(H570)&lt;=0,"Quantité invalide",IF(J570="","Prix manquant",IF(OR(N(K570)&lt;0,N(K570)&gt;=1),"Remise invalide",IF(M570="","TVA manquante",IF(ISNA(MATCH(M570,p_tva,0)),"Taux de TVA inconnu",IF(COUNTIFS(po_num,A570,po_sup,"&lt;&gt;"&amp;C570)&gt;0,"Fournisseur différent sur ce bon",IF(COUNTIFS(po_num,A570,po_date,"&lt;&gt;"&amp;B570)&gt;0,"Date différente sur ce bon",IF(COUNTIF(po_num,A570)&gt;25,"Plus de 25 lignes sur ce bon",IF(R570="","Date de livraison manquante",IF(R570&lt;B570,"Livraison avant la commande",IF(AND(N(T570)&gt;0,N(S570)=0),"Date d'envoi manquante",IF(N(T570)&gt;N(H570),"Reçu plus que commandé",IF(AND(N(T570)&gt;0,N(U570)=0),"Date de réception manquante",IF(AND(N(U570)&gt;0,U570&lt;B570),"Réception avant la commande","OK")))))))))))))))))))))</f>
        <v/>
      </c>
      <c r="AA570" s="66" t="str">
        <f>IF(AND(X570="Reçu",ISNUMBER(R570)),IF(N(U570)&lt;=R570,1,0),"")</f>
        <v/>
      </c>
      <c r="AB570" s="76" t="str">
        <f>IF(OR(X570="Envoyé",X570="Partiel",X570="En retard"),IF(ISNUMBER(R570),R570,100000)+ROW()/100000,"")</f>
        <v/>
      </c>
      <c r="AC570" s="66" t="str">
        <f>IF(A570="","",IF(COUNTIF($A$6:A570,A570)=1,1,""))</f>
        <v/>
      </c>
      <c r="AD570" s="66" t="str">
        <f>IF(AC570=1,COUNT($AC$6:AC570),"")</f>
        <v/>
      </c>
      <c r="AE570" s="66" t="str">
        <f>IFERROR(INDEX(po_num,MATCH(565,po_seq,0))&amp;"","")</f>
        <v/>
      </c>
      <c r="AF570" s="66" t="str">
        <f>IF(OR(A570="",p_po=""),"",IF(A570&amp;""=p_po,COUNTIF($A$6:A570,A570),""))</f>
        <v/>
      </c>
      <c r="AG570" s="66" t="str">
        <f>IF(OR(AB570="",A570=""),"",IF(COUNTIFS($A$6:A570,A570,$AB$6:AB570,"&gt;0")=1,1,""))</f>
        <v/>
      </c>
      <c r="AH570" s="70" t="str">
        <f>IF(AB570="","",ROUND(N(W570)*N(J570)*(1-N(K570)),2))</f>
        <v/>
      </c>
      <c r="AI570" s="70" t="str">
        <f>IF(OR(J570="",N(T570)&lt;=0,V570="Oui"),"",ROUND(N(T570)*J570*(1-N(K570)),2))</f>
        <v/>
      </c>
    </row>
    <row r="571">
      <c r="A571" s="63" t="n"/>
      <c r="B571" s="64" t="n"/>
      <c r="C571" s="65" t="n"/>
      <c r="D571" s="66" t="str">
        <f>IF(C571="","",IFERROR(INDEX(sup_name,MATCH($C571,sup_code,0))&amp;"","Fournisseur inconnu"))</f>
        <v/>
      </c>
      <c r="E571" s="63" t="n"/>
      <c r="F571" s="66" t="str">
        <f>IF(E571="","",IFERROR(INDEX(art_des,MATCH($E571,art_ref,0))&amp;"","Article inconnu"))</f>
        <v/>
      </c>
      <c r="G571" s="67" t="str">
        <f>IF(E571="","",IFERROR(INDEX(art_unit,MATCH($E571,art_ref,0))&amp;"",""))</f>
        <v/>
      </c>
      <c r="H571" s="68" t="n"/>
      <c r="I571" s="69" t="n"/>
      <c r="J571" s="70" t="str">
        <f>IF(E571="","",IF(ISNUMBER(I571),I571,IFERROR(IF(ISNUMBER(INDEX(art_price,MATCH($E571,art_ref,0))),INDEX(art_price,MATCH($E571,art_ref,0)),""),"")))</f>
        <v/>
      </c>
      <c r="K571" s="71" t="n"/>
      <c r="L571" s="72" t="n"/>
      <c r="M571" s="72" t="str">
        <f>IF(E571="","",IF(L571&lt;&gt;"",L571,IFERROR(IF(ISNUMBER(INDEX(art_tva,MATCH($E571,art_ref,0))),INDEX(art_tva,MATCH($E571,art_ref,0)),""),"")))</f>
        <v/>
      </c>
      <c r="N571" s="70" t="str">
        <f>IF(OR(E571="",J571=""),"",ROUND(N(H571)*J571*(1-N(K571)),2))</f>
        <v/>
      </c>
      <c r="O571" s="70" t="str">
        <f>IF(OR(N571="",NOT(ISNUMBER(M571))),"",ROUND(N571*M571,2))</f>
        <v/>
      </c>
      <c r="P571" s="70" t="str">
        <f>IF(N571="","",N571+N(O571))</f>
        <v/>
      </c>
      <c r="Q571" s="64" t="n"/>
      <c r="R571" s="73" t="str">
        <f>IF(N(Q571)&gt;0,Q571,IF(OR(N(B571)=0,ISNA(MATCH($C571,sup_code,0))),"",IF(ISNUMBER(INDEX(sup_delay,MATCH($C571,sup_code,0))),B571+INDEX(sup_delay,MATCH($C571,sup_code,0)),"")))</f>
        <v/>
      </c>
      <c r="S571" s="64" t="n"/>
      <c r="T571" s="68" t="n"/>
      <c r="U571" s="64" t="n"/>
      <c r="V571" s="65" t="n"/>
      <c r="W571" s="74" t="str">
        <f>IF(AND(A571="",E571=""),"",IF(V571="Oui",0,MAX(0,ROUND(N(H571)-N(T571),6))))</f>
        <v/>
      </c>
      <c r="X571" s="67" t="str">
        <f>IF(AND(A571="",E571=""),"",IF(V571="Oui","Annulé",IF(AND(N(H571)&gt;0,N(T571)&gt;=N(H571)),"Reçu",IF(N(S571)=0,"Brouillon",IF(AND(ISNUMBER(R571),R571&lt;p_today),"En retard",IF(N(T571)&gt;0,"Partiel","Envoyé"))))))</f>
        <v/>
      </c>
      <c r="Y571" s="75" t="str">
        <f>IF(X571="En retard",p_today-R571,IF(AND(X571="Reçu",ISNUMBER(R571)),MAX(0,N(U571)-R571),""))</f>
        <v/>
      </c>
      <c r="Z571" s="67" t="str">
        <f>IF(AND(A571="",E571=""),"",IF(A571="","N° de bon manquant",IF(N(B571)=0,"Date de commande manquante",IF(C571="","Fournisseur manquant",IF(ISNA(MATCH($C571,sup_code,0)),"Fournisseur inconnu",IF(E571="","Article manquant",IF(ISNA(MATCH($E571,art_ref,0)),"Article inconnu",IF(N(H571)&lt;=0,"Quantité invalide",IF(J571="","Prix manquant",IF(OR(N(K571)&lt;0,N(K571)&gt;=1),"Remise invalide",IF(M571="","TVA manquante",IF(ISNA(MATCH(M571,p_tva,0)),"Taux de TVA inconnu",IF(COUNTIFS(po_num,A571,po_sup,"&lt;&gt;"&amp;C571)&gt;0,"Fournisseur différent sur ce bon",IF(COUNTIFS(po_num,A571,po_date,"&lt;&gt;"&amp;B571)&gt;0,"Date différente sur ce bon",IF(COUNTIF(po_num,A571)&gt;25,"Plus de 25 lignes sur ce bon",IF(R571="","Date de livraison manquante",IF(R571&lt;B571,"Livraison avant la commande",IF(AND(N(T571)&gt;0,N(S571)=0),"Date d'envoi manquante",IF(N(T571)&gt;N(H571),"Reçu plus que commandé",IF(AND(N(T571)&gt;0,N(U571)=0),"Date de réception manquante",IF(AND(N(U571)&gt;0,U571&lt;B571),"Réception avant la commande","OK")))))))))))))))))))))</f>
        <v/>
      </c>
      <c r="AA571" s="66" t="str">
        <f>IF(AND(X571="Reçu",ISNUMBER(R571)),IF(N(U571)&lt;=R571,1,0),"")</f>
        <v/>
      </c>
      <c r="AB571" s="76" t="str">
        <f>IF(OR(X571="Envoyé",X571="Partiel",X571="En retard"),IF(ISNUMBER(R571),R571,100000)+ROW()/100000,"")</f>
        <v/>
      </c>
      <c r="AC571" s="66" t="str">
        <f>IF(A571="","",IF(COUNTIF($A$6:A571,A571)=1,1,""))</f>
        <v/>
      </c>
      <c r="AD571" s="66" t="str">
        <f>IF(AC571=1,COUNT($AC$6:AC571),"")</f>
        <v/>
      </c>
      <c r="AE571" s="66" t="str">
        <f>IFERROR(INDEX(po_num,MATCH(566,po_seq,0))&amp;"","")</f>
        <v/>
      </c>
      <c r="AF571" s="66" t="str">
        <f>IF(OR(A571="",p_po=""),"",IF(A571&amp;""=p_po,COUNTIF($A$6:A571,A571),""))</f>
        <v/>
      </c>
      <c r="AG571" s="66" t="str">
        <f>IF(OR(AB571="",A571=""),"",IF(COUNTIFS($A$6:A571,A571,$AB$6:AB571,"&gt;0")=1,1,""))</f>
        <v/>
      </c>
      <c r="AH571" s="70" t="str">
        <f>IF(AB571="","",ROUND(N(W571)*N(J571)*(1-N(K571)),2))</f>
        <v/>
      </c>
      <c r="AI571" s="70" t="str">
        <f>IF(OR(J571="",N(T571)&lt;=0,V571="Oui"),"",ROUND(N(T571)*J571*(1-N(K571)),2))</f>
        <v/>
      </c>
    </row>
    <row r="572">
      <c r="A572" s="63" t="n"/>
      <c r="B572" s="64" t="n"/>
      <c r="C572" s="65" t="n"/>
      <c r="D572" s="66" t="str">
        <f>IF(C572="","",IFERROR(INDEX(sup_name,MATCH($C572,sup_code,0))&amp;"","Fournisseur inconnu"))</f>
        <v/>
      </c>
      <c r="E572" s="63" t="n"/>
      <c r="F572" s="66" t="str">
        <f>IF(E572="","",IFERROR(INDEX(art_des,MATCH($E572,art_ref,0))&amp;"","Article inconnu"))</f>
        <v/>
      </c>
      <c r="G572" s="67" t="str">
        <f>IF(E572="","",IFERROR(INDEX(art_unit,MATCH($E572,art_ref,0))&amp;"",""))</f>
        <v/>
      </c>
      <c r="H572" s="68" t="n"/>
      <c r="I572" s="69" t="n"/>
      <c r="J572" s="70" t="str">
        <f>IF(E572="","",IF(ISNUMBER(I572),I572,IFERROR(IF(ISNUMBER(INDEX(art_price,MATCH($E572,art_ref,0))),INDEX(art_price,MATCH($E572,art_ref,0)),""),"")))</f>
        <v/>
      </c>
      <c r="K572" s="71" t="n"/>
      <c r="L572" s="72" t="n"/>
      <c r="M572" s="72" t="str">
        <f>IF(E572="","",IF(L572&lt;&gt;"",L572,IFERROR(IF(ISNUMBER(INDEX(art_tva,MATCH($E572,art_ref,0))),INDEX(art_tva,MATCH($E572,art_ref,0)),""),"")))</f>
        <v/>
      </c>
      <c r="N572" s="70" t="str">
        <f>IF(OR(E572="",J572=""),"",ROUND(N(H572)*J572*(1-N(K572)),2))</f>
        <v/>
      </c>
      <c r="O572" s="70" t="str">
        <f>IF(OR(N572="",NOT(ISNUMBER(M572))),"",ROUND(N572*M572,2))</f>
        <v/>
      </c>
      <c r="P572" s="70" t="str">
        <f>IF(N572="","",N572+N(O572))</f>
        <v/>
      </c>
      <c r="Q572" s="64" t="n"/>
      <c r="R572" s="73" t="str">
        <f>IF(N(Q572)&gt;0,Q572,IF(OR(N(B572)=0,ISNA(MATCH($C572,sup_code,0))),"",IF(ISNUMBER(INDEX(sup_delay,MATCH($C572,sup_code,0))),B572+INDEX(sup_delay,MATCH($C572,sup_code,0)),"")))</f>
        <v/>
      </c>
      <c r="S572" s="64" t="n"/>
      <c r="T572" s="68" t="n"/>
      <c r="U572" s="64" t="n"/>
      <c r="V572" s="65" t="n"/>
      <c r="W572" s="74" t="str">
        <f>IF(AND(A572="",E572=""),"",IF(V572="Oui",0,MAX(0,ROUND(N(H572)-N(T572),6))))</f>
        <v/>
      </c>
      <c r="X572" s="67" t="str">
        <f>IF(AND(A572="",E572=""),"",IF(V572="Oui","Annulé",IF(AND(N(H572)&gt;0,N(T572)&gt;=N(H572)),"Reçu",IF(N(S572)=0,"Brouillon",IF(AND(ISNUMBER(R572),R572&lt;p_today),"En retard",IF(N(T572)&gt;0,"Partiel","Envoyé"))))))</f>
        <v/>
      </c>
      <c r="Y572" s="75" t="str">
        <f>IF(X572="En retard",p_today-R572,IF(AND(X572="Reçu",ISNUMBER(R572)),MAX(0,N(U572)-R572),""))</f>
        <v/>
      </c>
      <c r="Z572" s="67" t="str">
        <f>IF(AND(A572="",E572=""),"",IF(A572="","N° de bon manquant",IF(N(B572)=0,"Date de commande manquante",IF(C572="","Fournisseur manquant",IF(ISNA(MATCH($C572,sup_code,0)),"Fournisseur inconnu",IF(E572="","Article manquant",IF(ISNA(MATCH($E572,art_ref,0)),"Article inconnu",IF(N(H572)&lt;=0,"Quantité invalide",IF(J572="","Prix manquant",IF(OR(N(K572)&lt;0,N(K572)&gt;=1),"Remise invalide",IF(M572="","TVA manquante",IF(ISNA(MATCH(M572,p_tva,0)),"Taux de TVA inconnu",IF(COUNTIFS(po_num,A572,po_sup,"&lt;&gt;"&amp;C572)&gt;0,"Fournisseur différent sur ce bon",IF(COUNTIFS(po_num,A572,po_date,"&lt;&gt;"&amp;B572)&gt;0,"Date différente sur ce bon",IF(COUNTIF(po_num,A572)&gt;25,"Plus de 25 lignes sur ce bon",IF(R572="","Date de livraison manquante",IF(R572&lt;B572,"Livraison avant la commande",IF(AND(N(T572)&gt;0,N(S572)=0),"Date d'envoi manquante",IF(N(T572)&gt;N(H572),"Reçu plus que commandé",IF(AND(N(T572)&gt;0,N(U572)=0),"Date de réception manquante",IF(AND(N(U572)&gt;0,U572&lt;B572),"Réception avant la commande","OK")))))))))))))))))))))</f>
        <v/>
      </c>
      <c r="AA572" s="66" t="str">
        <f>IF(AND(X572="Reçu",ISNUMBER(R572)),IF(N(U572)&lt;=R572,1,0),"")</f>
        <v/>
      </c>
      <c r="AB572" s="76" t="str">
        <f>IF(OR(X572="Envoyé",X572="Partiel",X572="En retard"),IF(ISNUMBER(R572),R572,100000)+ROW()/100000,"")</f>
        <v/>
      </c>
      <c r="AC572" s="66" t="str">
        <f>IF(A572="","",IF(COUNTIF($A$6:A572,A572)=1,1,""))</f>
        <v/>
      </c>
      <c r="AD572" s="66" t="str">
        <f>IF(AC572=1,COUNT($AC$6:AC572),"")</f>
        <v/>
      </c>
      <c r="AE572" s="66" t="str">
        <f>IFERROR(INDEX(po_num,MATCH(567,po_seq,0))&amp;"","")</f>
        <v/>
      </c>
      <c r="AF572" s="66" t="str">
        <f>IF(OR(A572="",p_po=""),"",IF(A572&amp;""=p_po,COUNTIF($A$6:A572,A572),""))</f>
        <v/>
      </c>
      <c r="AG572" s="66" t="str">
        <f>IF(OR(AB572="",A572=""),"",IF(COUNTIFS($A$6:A572,A572,$AB$6:AB572,"&gt;0")=1,1,""))</f>
        <v/>
      </c>
      <c r="AH572" s="70" t="str">
        <f>IF(AB572="","",ROUND(N(W572)*N(J572)*(1-N(K572)),2))</f>
        <v/>
      </c>
      <c r="AI572" s="70" t="str">
        <f>IF(OR(J572="",N(T572)&lt;=0,V572="Oui"),"",ROUND(N(T572)*J572*(1-N(K572)),2))</f>
        <v/>
      </c>
    </row>
    <row r="573">
      <c r="A573" s="63" t="n"/>
      <c r="B573" s="64" t="n"/>
      <c r="C573" s="65" t="n"/>
      <c r="D573" s="66" t="str">
        <f>IF(C573="","",IFERROR(INDEX(sup_name,MATCH($C573,sup_code,0))&amp;"","Fournisseur inconnu"))</f>
        <v/>
      </c>
      <c r="E573" s="63" t="n"/>
      <c r="F573" s="66" t="str">
        <f>IF(E573="","",IFERROR(INDEX(art_des,MATCH($E573,art_ref,0))&amp;"","Article inconnu"))</f>
        <v/>
      </c>
      <c r="G573" s="67" t="str">
        <f>IF(E573="","",IFERROR(INDEX(art_unit,MATCH($E573,art_ref,0))&amp;"",""))</f>
        <v/>
      </c>
      <c r="H573" s="68" t="n"/>
      <c r="I573" s="69" t="n"/>
      <c r="J573" s="70" t="str">
        <f>IF(E573="","",IF(ISNUMBER(I573),I573,IFERROR(IF(ISNUMBER(INDEX(art_price,MATCH($E573,art_ref,0))),INDEX(art_price,MATCH($E573,art_ref,0)),""),"")))</f>
        <v/>
      </c>
      <c r="K573" s="71" t="n"/>
      <c r="L573" s="72" t="n"/>
      <c r="M573" s="72" t="str">
        <f>IF(E573="","",IF(L573&lt;&gt;"",L573,IFERROR(IF(ISNUMBER(INDEX(art_tva,MATCH($E573,art_ref,0))),INDEX(art_tva,MATCH($E573,art_ref,0)),""),"")))</f>
        <v/>
      </c>
      <c r="N573" s="70" t="str">
        <f>IF(OR(E573="",J573=""),"",ROUND(N(H573)*J573*(1-N(K573)),2))</f>
        <v/>
      </c>
      <c r="O573" s="70" t="str">
        <f>IF(OR(N573="",NOT(ISNUMBER(M573))),"",ROUND(N573*M573,2))</f>
        <v/>
      </c>
      <c r="P573" s="70" t="str">
        <f>IF(N573="","",N573+N(O573))</f>
        <v/>
      </c>
      <c r="Q573" s="64" t="n"/>
      <c r="R573" s="73" t="str">
        <f>IF(N(Q573)&gt;0,Q573,IF(OR(N(B573)=0,ISNA(MATCH($C573,sup_code,0))),"",IF(ISNUMBER(INDEX(sup_delay,MATCH($C573,sup_code,0))),B573+INDEX(sup_delay,MATCH($C573,sup_code,0)),"")))</f>
        <v/>
      </c>
      <c r="S573" s="64" t="n"/>
      <c r="T573" s="68" t="n"/>
      <c r="U573" s="64" t="n"/>
      <c r="V573" s="65" t="n"/>
      <c r="W573" s="74" t="str">
        <f>IF(AND(A573="",E573=""),"",IF(V573="Oui",0,MAX(0,ROUND(N(H573)-N(T573),6))))</f>
        <v/>
      </c>
      <c r="X573" s="67" t="str">
        <f>IF(AND(A573="",E573=""),"",IF(V573="Oui","Annulé",IF(AND(N(H573)&gt;0,N(T573)&gt;=N(H573)),"Reçu",IF(N(S573)=0,"Brouillon",IF(AND(ISNUMBER(R573),R573&lt;p_today),"En retard",IF(N(T573)&gt;0,"Partiel","Envoyé"))))))</f>
        <v/>
      </c>
      <c r="Y573" s="75" t="str">
        <f>IF(X573="En retard",p_today-R573,IF(AND(X573="Reçu",ISNUMBER(R573)),MAX(0,N(U573)-R573),""))</f>
        <v/>
      </c>
      <c r="Z573" s="67" t="str">
        <f>IF(AND(A573="",E573=""),"",IF(A573="","N° de bon manquant",IF(N(B573)=0,"Date de commande manquante",IF(C573="","Fournisseur manquant",IF(ISNA(MATCH($C573,sup_code,0)),"Fournisseur inconnu",IF(E573="","Article manquant",IF(ISNA(MATCH($E573,art_ref,0)),"Article inconnu",IF(N(H573)&lt;=0,"Quantité invalide",IF(J573="","Prix manquant",IF(OR(N(K573)&lt;0,N(K573)&gt;=1),"Remise invalide",IF(M573="","TVA manquante",IF(ISNA(MATCH(M573,p_tva,0)),"Taux de TVA inconnu",IF(COUNTIFS(po_num,A573,po_sup,"&lt;&gt;"&amp;C573)&gt;0,"Fournisseur différent sur ce bon",IF(COUNTIFS(po_num,A573,po_date,"&lt;&gt;"&amp;B573)&gt;0,"Date différente sur ce bon",IF(COUNTIF(po_num,A573)&gt;25,"Plus de 25 lignes sur ce bon",IF(R573="","Date de livraison manquante",IF(R573&lt;B573,"Livraison avant la commande",IF(AND(N(T573)&gt;0,N(S573)=0),"Date d'envoi manquante",IF(N(T573)&gt;N(H573),"Reçu plus que commandé",IF(AND(N(T573)&gt;0,N(U573)=0),"Date de réception manquante",IF(AND(N(U573)&gt;0,U573&lt;B573),"Réception avant la commande","OK")))))))))))))))))))))</f>
        <v/>
      </c>
      <c r="AA573" s="66" t="str">
        <f>IF(AND(X573="Reçu",ISNUMBER(R573)),IF(N(U573)&lt;=R573,1,0),"")</f>
        <v/>
      </c>
      <c r="AB573" s="76" t="str">
        <f>IF(OR(X573="Envoyé",X573="Partiel",X573="En retard"),IF(ISNUMBER(R573),R573,100000)+ROW()/100000,"")</f>
        <v/>
      </c>
      <c r="AC573" s="66" t="str">
        <f>IF(A573="","",IF(COUNTIF($A$6:A573,A573)=1,1,""))</f>
        <v/>
      </c>
      <c r="AD573" s="66" t="str">
        <f>IF(AC573=1,COUNT($AC$6:AC573),"")</f>
        <v/>
      </c>
      <c r="AE573" s="66" t="str">
        <f>IFERROR(INDEX(po_num,MATCH(568,po_seq,0))&amp;"","")</f>
        <v/>
      </c>
      <c r="AF573" s="66" t="str">
        <f>IF(OR(A573="",p_po=""),"",IF(A573&amp;""=p_po,COUNTIF($A$6:A573,A573),""))</f>
        <v/>
      </c>
      <c r="AG573" s="66" t="str">
        <f>IF(OR(AB573="",A573=""),"",IF(COUNTIFS($A$6:A573,A573,$AB$6:AB573,"&gt;0")=1,1,""))</f>
        <v/>
      </c>
      <c r="AH573" s="70" t="str">
        <f>IF(AB573="","",ROUND(N(W573)*N(J573)*(1-N(K573)),2))</f>
        <v/>
      </c>
      <c r="AI573" s="70" t="str">
        <f>IF(OR(J573="",N(T573)&lt;=0,V573="Oui"),"",ROUND(N(T573)*J573*(1-N(K573)),2))</f>
        <v/>
      </c>
    </row>
    <row r="574">
      <c r="A574" s="63" t="n"/>
      <c r="B574" s="64" t="n"/>
      <c r="C574" s="65" t="n"/>
      <c r="D574" s="66" t="str">
        <f>IF(C574="","",IFERROR(INDEX(sup_name,MATCH($C574,sup_code,0))&amp;"","Fournisseur inconnu"))</f>
        <v/>
      </c>
      <c r="E574" s="63" t="n"/>
      <c r="F574" s="66" t="str">
        <f>IF(E574="","",IFERROR(INDEX(art_des,MATCH($E574,art_ref,0))&amp;"","Article inconnu"))</f>
        <v/>
      </c>
      <c r="G574" s="67" t="str">
        <f>IF(E574="","",IFERROR(INDEX(art_unit,MATCH($E574,art_ref,0))&amp;"",""))</f>
        <v/>
      </c>
      <c r="H574" s="68" t="n"/>
      <c r="I574" s="69" t="n"/>
      <c r="J574" s="70" t="str">
        <f>IF(E574="","",IF(ISNUMBER(I574),I574,IFERROR(IF(ISNUMBER(INDEX(art_price,MATCH($E574,art_ref,0))),INDEX(art_price,MATCH($E574,art_ref,0)),""),"")))</f>
        <v/>
      </c>
      <c r="K574" s="71" t="n"/>
      <c r="L574" s="72" t="n"/>
      <c r="M574" s="72" t="str">
        <f>IF(E574="","",IF(L574&lt;&gt;"",L574,IFERROR(IF(ISNUMBER(INDEX(art_tva,MATCH($E574,art_ref,0))),INDEX(art_tva,MATCH($E574,art_ref,0)),""),"")))</f>
        <v/>
      </c>
      <c r="N574" s="70" t="str">
        <f>IF(OR(E574="",J574=""),"",ROUND(N(H574)*J574*(1-N(K574)),2))</f>
        <v/>
      </c>
      <c r="O574" s="70" t="str">
        <f>IF(OR(N574="",NOT(ISNUMBER(M574))),"",ROUND(N574*M574,2))</f>
        <v/>
      </c>
      <c r="P574" s="70" t="str">
        <f>IF(N574="","",N574+N(O574))</f>
        <v/>
      </c>
      <c r="Q574" s="64" t="n"/>
      <c r="R574" s="73" t="str">
        <f>IF(N(Q574)&gt;0,Q574,IF(OR(N(B574)=0,ISNA(MATCH($C574,sup_code,0))),"",IF(ISNUMBER(INDEX(sup_delay,MATCH($C574,sup_code,0))),B574+INDEX(sup_delay,MATCH($C574,sup_code,0)),"")))</f>
        <v/>
      </c>
      <c r="S574" s="64" t="n"/>
      <c r="T574" s="68" t="n"/>
      <c r="U574" s="64" t="n"/>
      <c r="V574" s="65" t="n"/>
      <c r="W574" s="74" t="str">
        <f>IF(AND(A574="",E574=""),"",IF(V574="Oui",0,MAX(0,ROUND(N(H574)-N(T574),6))))</f>
        <v/>
      </c>
      <c r="X574" s="67" t="str">
        <f>IF(AND(A574="",E574=""),"",IF(V574="Oui","Annulé",IF(AND(N(H574)&gt;0,N(T574)&gt;=N(H574)),"Reçu",IF(N(S574)=0,"Brouillon",IF(AND(ISNUMBER(R574),R574&lt;p_today),"En retard",IF(N(T574)&gt;0,"Partiel","Envoyé"))))))</f>
        <v/>
      </c>
      <c r="Y574" s="75" t="str">
        <f>IF(X574="En retard",p_today-R574,IF(AND(X574="Reçu",ISNUMBER(R574)),MAX(0,N(U574)-R574),""))</f>
        <v/>
      </c>
      <c r="Z574" s="67" t="str">
        <f>IF(AND(A574="",E574=""),"",IF(A574="","N° de bon manquant",IF(N(B574)=0,"Date de commande manquante",IF(C574="","Fournisseur manquant",IF(ISNA(MATCH($C574,sup_code,0)),"Fournisseur inconnu",IF(E574="","Article manquant",IF(ISNA(MATCH($E574,art_ref,0)),"Article inconnu",IF(N(H574)&lt;=0,"Quantité invalide",IF(J574="","Prix manquant",IF(OR(N(K574)&lt;0,N(K574)&gt;=1),"Remise invalide",IF(M574="","TVA manquante",IF(ISNA(MATCH(M574,p_tva,0)),"Taux de TVA inconnu",IF(COUNTIFS(po_num,A574,po_sup,"&lt;&gt;"&amp;C574)&gt;0,"Fournisseur différent sur ce bon",IF(COUNTIFS(po_num,A574,po_date,"&lt;&gt;"&amp;B574)&gt;0,"Date différente sur ce bon",IF(COUNTIF(po_num,A574)&gt;25,"Plus de 25 lignes sur ce bon",IF(R574="","Date de livraison manquante",IF(R574&lt;B574,"Livraison avant la commande",IF(AND(N(T574)&gt;0,N(S574)=0),"Date d'envoi manquante",IF(N(T574)&gt;N(H574),"Reçu plus que commandé",IF(AND(N(T574)&gt;0,N(U574)=0),"Date de réception manquante",IF(AND(N(U574)&gt;0,U574&lt;B574),"Réception avant la commande","OK")))))))))))))))))))))</f>
        <v/>
      </c>
      <c r="AA574" s="66" t="str">
        <f>IF(AND(X574="Reçu",ISNUMBER(R574)),IF(N(U574)&lt;=R574,1,0),"")</f>
        <v/>
      </c>
      <c r="AB574" s="76" t="str">
        <f>IF(OR(X574="Envoyé",X574="Partiel",X574="En retard"),IF(ISNUMBER(R574),R574,100000)+ROW()/100000,"")</f>
        <v/>
      </c>
      <c r="AC574" s="66" t="str">
        <f>IF(A574="","",IF(COUNTIF($A$6:A574,A574)=1,1,""))</f>
        <v/>
      </c>
      <c r="AD574" s="66" t="str">
        <f>IF(AC574=1,COUNT($AC$6:AC574),"")</f>
        <v/>
      </c>
      <c r="AE574" s="66" t="str">
        <f>IFERROR(INDEX(po_num,MATCH(569,po_seq,0))&amp;"","")</f>
        <v/>
      </c>
      <c r="AF574" s="66" t="str">
        <f>IF(OR(A574="",p_po=""),"",IF(A574&amp;""=p_po,COUNTIF($A$6:A574,A574),""))</f>
        <v/>
      </c>
      <c r="AG574" s="66" t="str">
        <f>IF(OR(AB574="",A574=""),"",IF(COUNTIFS($A$6:A574,A574,$AB$6:AB574,"&gt;0")=1,1,""))</f>
        <v/>
      </c>
      <c r="AH574" s="70" t="str">
        <f>IF(AB574="","",ROUND(N(W574)*N(J574)*(1-N(K574)),2))</f>
        <v/>
      </c>
      <c r="AI574" s="70" t="str">
        <f>IF(OR(J574="",N(T574)&lt;=0,V574="Oui"),"",ROUND(N(T574)*J574*(1-N(K574)),2))</f>
        <v/>
      </c>
    </row>
    <row r="575">
      <c r="A575" s="63" t="n"/>
      <c r="B575" s="64" t="n"/>
      <c r="C575" s="65" t="n"/>
      <c r="D575" s="66" t="str">
        <f>IF(C575="","",IFERROR(INDEX(sup_name,MATCH($C575,sup_code,0))&amp;"","Fournisseur inconnu"))</f>
        <v/>
      </c>
      <c r="E575" s="63" t="n"/>
      <c r="F575" s="66" t="str">
        <f>IF(E575="","",IFERROR(INDEX(art_des,MATCH($E575,art_ref,0))&amp;"","Article inconnu"))</f>
        <v/>
      </c>
      <c r="G575" s="67" t="str">
        <f>IF(E575="","",IFERROR(INDEX(art_unit,MATCH($E575,art_ref,0))&amp;"",""))</f>
        <v/>
      </c>
      <c r="H575" s="68" t="n"/>
      <c r="I575" s="69" t="n"/>
      <c r="J575" s="70" t="str">
        <f>IF(E575="","",IF(ISNUMBER(I575),I575,IFERROR(IF(ISNUMBER(INDEX(art_price,MATCH($E575,art_ref,0))),INDEX(art_price,MATCH($E575,art_ref,0)),""),"")))</f>
        <v/>
      </c>
      <c r="K575" s="71" t="n"/>
      <c r="L575" s="72" t="n"/>
      <c r="M575" s="72" t="str">
        <f>IF(E575="","",IF(L575&lt;&gt;"",L575,IFERROR(IF(ISNUMBER(INDEX(art_tva,MATCH($E575,art_ref,0))),INDEX(art_tva,MATCH($E575,art_ref,0)),""),"")))</f>
        <v/>
      </c>
      <c r="N575" s="70" t="str">
        <f>IF(OR(E575="",J575=""),"",ROUND(N(H575)*J575*(1-N(K575)),2))</f>
        <v/>
      </c>
      <c r="O575" s="70" t="str">
        <f>IF(OR(N575="",NOT(ISNUMBER(M575))),"",ROUND(N575*M575,2))</f>
        <v/>
      </c>
      <c r="P575" s="70" t="str">
        <f>IF(N575="","",N575+N(O575))</f>
        <v/>
      </c>
      <c r="Q575" s="64" t="n"/>
      <c r="R575" s="73" t="str">
        <f>IF(N(Q575)&gt;0,Q575,IF(OR(N(B575)=0,ISNA(MATCH($C575,sup_code,0))),"",IF(ISNUMBER(INDEX(sup_delay,MATCH($C575,sup_code,0))),B575+INDEX(sup_delay,MATCH($C575,sup_code,0)),"")))</f>
        <v/>
      </c>
      <c r="S575" s="64" t="n"/>
      <c r="T575" s="68" t="n"/>
      <c r="U575" s="64" t="n"/>
      <c r="V575" s="65" t="n"/>
      <c r="W575" s="74" t="str">
        <f>IF(AND(A575="",E575=""),"",IF(V575="Oui",0,MAX(0,ROUND(N(H575)-N(T575),6))))</f>
        <v/>
      </c>
      <c r="X575" s="67" t="str">
        <f>IF(AND(A575="",E575=""),"",IF(V575="Oui","Annulé",IF(AND(N(H575)&gt;0,N(T575)&gt;=N(H575)),"Reçu",IF(N(S575)=0,"Brouillon",IF(AND(ISNUMBER(R575),R575&lt;p_today),"En retard",IF(N(T575)&gt;0,"Partiel","Envoyé"))))))</f>
        <v/>
      </c>
      <c r="Y575" s="75" t="str">
        <f>IF(X575="En retard",p_today-R575,IF(AND(X575="Reçu",ISNUMBER(R575)),MAX(0,N(U575)-R575),""))</f>
        <v/>
      </c>
      <c r="Z575" s="67" t="str">
        <f>IF(AND(A575="",E575=""),"",IF(A575="","N° de bon manquant",IF(N(B575)=0,"Date de commande manquante",IF(C575="","Fournisseur manquant",IF(ISNA(MATCH($C575,sup_code,0)),"Fournisseur inconnu",IF(E575="","Article manquant",IF(ISNA(MATCH($E575,art_ref,0)),"Article inconnu",IF(N(H575)&lt;=0,"Quantité invalide",IF(J575="","Prix manquant",IF(OR(N(K575)&lt;0,N(K575)&gt;=1),"Remise invalide",IF(M575="","TVA manquante",IF(ISNA(MATCH(M575,p_tva,0)),"Taux de TVA inconnu",IF(COUNTIFS(po_num,A575,po_sup,"&lt;&gt;"&amp;C575)&gt;0,"Fournisseur différent sur ce bon",IF(COUNTIFS(po_num,A575,po_date,"&lt;&gt;"&amp;B575)&gt;0,"Date différente sur ce bon",IF(COUNTIF(po_num,A575)&gt;25,"Plus de 25 lignes sur ce bon",IF(R575="","Date de livraison manquante",IF(R575&lt;B575,"Livraison avant la commande",IF(AND(N(T575)&gt;0,N(S575)=0),"Date d'envoi manquante",IF(N(T575)&gt;N(H575),"Reçu plus que commandé",IF(AND(N(T575)&gt;0,N(U575)=0),"Date de réception manquante",IF(AND(N(U575)&gt;0,U575&lt;B575),"Réception avant la commande","OK")))))))))))))))))))))</f>
        <v/>
      </c>
      <c r="AA575" s="66" t="str">
        <f>IF(AND(X575="Reçu",ISNUMBER(R575)),IF(N(U575)&lt;=R575,1,0),"")</f>
        <v/>
      </c>
      <c r="AB575" s="76" t="str">
        <f>IF(OR(X575="Envoyé",X575="Partiel",X575="En retard"),IF(ISNUMBER(R575),R575,100000)+ROW()/100000,"")</f>
        <v/>
      </c>
      <c r="AC575" s="66" t="str">
        <f>IF(A575="","",IF(COUNTIF($A$6:A575,A575)=1,1,""))</f>
        <v/>
      </c>
      <c r="AD575" s="66" t="str">
        <f>IF(AC575=1,COUNT($AC$6:AC575),"")</f>
        <v/>
      </c>
      <c r="AE575" s="66" t="str">
        <f>IFERROR(INDEX(po_num,MATCH(570,po_seq,0))&amp;"","")</f>
        <v/>
      </c>
      <c r="AF575" s="66" t="str">
        <f>IF(OR(A575="",p_po=""),"",IF(A575&amp;""=p_po,COUNTIF($A$6:A575,A575),""))</f>
        <v/>
      </c>
      <c r="AG575" s="66" t="str">
        <f>IF(OR(AB575="",A575=""),"",IF(COUNTIFS($A$6:A575,A575,$AB$6:AB575,"&gt;0")=1,1,""))</f>
        <v/>
      </c>
      <c r="AH575" s="70" t="str">
        <f>IF(AB575="","",ROUND(N(W575)*N(J575)*(1-N(K575)),2))</f>
        <v/>
      </c>
      <c r="AI575" s="70" t="str">
        <f>IF(OR(J575="",N(T575)&lt;=0,V575="Oui"),"",ROUND(N(T575)*J575*(1-N(K575)),2))</f>
        <v/>
      </c>
    </row>
    <row r="576">
      <c r="A576" s="63" t="n"/>
      <c r="B576" s="64" t="n"/>
      <c r="C576" s="65" t="n"/>
      <c r="D576" s="66" t="str">
        <f>IF(C576="","",IFERROR(INDEX(sup_name,MATCH($C576,sup_code,0))&amp;"","Fournisseur inconnu"))</f>
        <v/>
      </c>
      <c r="E576" s="63" t="n"/>
      <c r="F576" s="66" t="str">
        <f>IF(E576="","",IFERROR(INDEX(art_des,MATCH($E576,art_ref,0))&amp;"","Article inconnu"))</f>
        <v/>
      </c>
      <c r="G576" s="67" t="str">
        <f>IF(E576="","",IFERROR(INDEX(art_unit,MATCH($E576,art_ref,0))&amp;"",""))</f>
        <v/>
      </c>
      <c r="H576" s="68" t="n"/>
      <c r="I576" s="69" t="n"/>
      <c r="J576" s="70" t="str">
        <f>IF(E576="","",IF(ISNUMBER(I576),I576,IFERROR(IF(ISNUMBER(INDEX(art_price,MATCH($E576,art_ref,0))),INDEX(art_price,MATCH($E576,art_ref,0)),""),"")))</f>
        <v/>
      </c>
      <c r="K576" s="71" t="n"/>
      <c r="L576" s="72" t="n"/>
      <c r="M576" s="72" t="str">
        <f>IF(E576="","",IF(L576&lt;&gt;"",L576,IFERROR(IF(ISNUMBER(INDEX(art_tva,MATCH($E576,art_ref,0))),INDEX(art_tva,MATCH($E576,art_ref,0)),""),"")))</f>
        <v/>
      </c>
      <c r="N576" s="70" t="str">
        <f>IF(OR(E576="",J576=""),"",ROUND(N(H576)*J576*(1-N(K576)),2))</f>
        <v/>
      </c>
      <c r="O576" s="70" t="str">
        <f>IF(OR(N576="",NOT(ISNUMBER(M576))),"",ROUND(N576*M576,2))</f>
        <v/>
      </c>
      <c r="P576" s="70" t="str">
        <f>IF(N576="","",N576+N(O576))</f>
        <v/>
      </c>
      <c r="Q576" s="64" t="n"/>
      <c r="R576" s="73" t="str">
        <f>IF(N(Q576)&gt;0,Q576,IF(OR(N(B576)=0,ISNA(MATCH($C576,sup_code,0))),"",IF(ISNUMBER(INDEX(sup_delay,MATCH($C576,sup_code,0))),B576+INDEX(sup_delay,MATCH($C576,sup_code,0)),"")))</f>
        <v/>
      </c>
      <c r="S576" s="64" t="n"/>
      <c r="T576" s="68" t="n"/>
      <c r="U576" s="64" t="n"/>
      <c r="V576" s="65" t="n"/>
      <c r="W576" s="74" t="str">
        <f>IF(AND(A576="",E576=""),"",IF(V576="Oui",0,MAX(0,ROUND(N(H576)-N(T576),6))))</f>
        <v/>
      </c>
      <c r="X576" s="67" t="str">
        <f>IF(AND(A576="",E576=""),"",IF(V576="Oui","Annulé",IF(AND(N(H576)&gt;0,N(T576)&gt;=N(H576)),"Reçu",IF(N(S576)=0,"Brouillon",IF(AND(ISNUMBER(R576),R576&lt;p_today),"En retard",IF(N(T576)&gt;0,"Partiel","Envoyé"))))))</f>
        <v/>
      </c>
      <c r="Y576" s="75" t="str">
        <f>IF(X576="En retard",p_today-R576,IF(AND(X576="Reçu",ISNUMBER(R576)),MAX(0,N(U576)-R576),""))</f>
        <v/>
      </c>
      <c r="Z576" s="67" t="str">
        <f>IF(AND(A576="",E576=""),"",IF(A576="","N° de bon manquant",IF(N(B576)=0,"Date de commande manquante",IF(C576="","Fournisseur manquant",IF(ISNA(MATCH($C576,sup_code,0)),"Fournisseur inconnu",IF(E576="","Article manquant",IF(ISNA(MATCH($E576,art_ref,0)),"Article inconnu",IF(N(H576)&lt;=0,"Quantité invalide",IF(J576="","Prix manquant",IF(OR(N(K576)&lt;0,N(K576)&gt;=1),"Remise invalide",IF(M576="","TVA manquante",IF(ISNA(MATCH(M576,p_tva,0)),"Taux de TVA inconnu",IF(COUNTIFS(po_num,A576,po_sup,"&lt;&gt;"&amp;C576)&gt;0,"Fournisseur différent sur ce bon",IF(COUNTIFS(po_num,A576,po_date,"&lt;&gt;"&amp;B576)&gt;0,"Date différente sur ce bon",IF(COUNTIF(po_num,A576)&gt;25,"Plus de 25 lignes sur ce bon",IF(R576="","Date de livraison manquante",IF(R576&lt;B576,"Livraison avant la commande",IF(AND(N(T576)&gt;0,N(S576)=0),"Date d'envoi manquante",IF(N(T576)&gt;N(H576),"Reçu plus que commandé",IF(AND(N(T576)&gt;0,N(U576)=0),"Date de réception manquante",IF(AND(N(U576)&gt;0,U576&lt;B576),"Réception avant la commande","OK")))))))))))))))))))))</f>
        <v/>
      </c>
      <c r="AA576" s="66" t="str">
        <f>IF(AND(X576="Reçu",ISNUMBER(R576)),IF(N(U576)&lt;=R576,1,0),"")</f>
        <v/>
      </c>
      <c r="AB576" s="76" t="str">
        <f>IF(OR(X576="Envoyé",X576="Partiel",X576="En retard"),IF(ISNUMBER(R576),R576,100000)+ROW()/100000,"")</f>
        <v/>
      </c>
      <c r="AC576" s="66" t="str">
        <f>IF(A576="","",IF(COUNTIF($A$6:A576,A576)=1,1,""))</f>
        <v/>
      </c>
      <c r="AD576" s="66" t="str">
        <f>IF(AC576=1,COUNT($AC$6:AC576),"")</f>
        <v/>
      </c>
      <c r="AE576" s="66" t="str">
        <f>IFERROR(INDEX(po_num,MATCH(571,po_seq,0))&amp;"","")</f>
        <v/>
      </c>
      <c r="AF576" s="66" t="str">
        <f>IF(OR(A576="",p_po=""),"",IF(A576&amp;""=p_po,COUNTIF($A$6:A576,A576),""))</f>
        <v/>
      </c>
      <c r="AG576" s="66" t="str">
        <f>IF(OR(AB576="",A576=""),"",IF(COUNTIFS($A$6:A576,A576,$AB$6:AB576,"&gt;0")=1,1,""))</f>
        <v/>
      </c>
      <c r="AH576" s="70" t="str">
        <f>IF(AB576="","",ROUND(N(W576)*N(J576)*(1-N(K576)),2))</f>
        <v/>
      </c>
      <c r="AI576" s="70" t="str">
        <f>IF(OR(J576="",N(T576)&lt;=0,V576="Oui"),"",ROUND(N(T576)*J576*(1-N(K576)),2))</f>
        <v/>
      </c>
    </row>
    <row r="577">
      <c r="A577" s="63" t="n"/>
      <c r="B577" s="64" t="n"/>
      <c r="C577" s="65" t="n"/>
      <c r="D577" s="66" t="str">
        <f>IF(C577="","",IFERROR(INDEX(sup_name,MATCH($C577,sup_code,0))&amp;"","Fournisseur inconnu"))</f>
        <v/>
      </c>
      <c r="E577" s="63" t="n"/>
      <c r="F577" s="66" t="str">
        <f>IF(E577="","",IFERROR(INDEX(art_des,MATCH($E577,art_ref,0))&amp;"","Article inconnu"))</f>
        <v/>
      </c>
      <c r="G577" s="67" t="str">
        <f>IF(E577="","",IFERROR(INDEX(art_unit,MATCH($E577,art_ref,0))&amp;"",""))</f>
        <v/>
      </c>
      <c r="H577" s="68" t="n"/>
      <c r="I577" s="69" t="n"/>
      <c r="J577" s="70" t="str">
        <f>IF(E577="","",IF(ISNUMBER(I577),I577,IFERROR(IF(ISNUMBER(INDEX(art_price,MATCH($E577,art_ref,0))),INDEX(art_price,MATCH($E577,art_ref,0)),""),"")))</f>
        <v/>
      </c>
      <c r="K577" s="71" t="n"/>
      <c r="L577" s="72" t="n"/>
      <c r="M577" s="72" t="str">
        <f>IF(E577="","",IF(L577&lt;&gt;"",L577,IFERROR(IF(ISNUMBER(INDEX(art_tva,MATCH($E577,art_ref,0))),INDEX(art_tva,MATCH($E577,art_ref,0)),""),"")))</f>
        <v/>
      </c>
      <c r="N577" s="70" t="str">
        <f>IF(OR(E577="",J577=""),"",ROUND(N(H577)*J577*(1-N(K577)),2))</f>
        <v/>
      </c>
      <c r="O577" s="70" t="str">
        <f>IF(OR(N577="",NOT(ISNUMBER(M577))),"",ROUND(N577*M577,2))</f>
        <v/>
      </c>
      <c r="P577" s="70" t="str">
        <f>IF(N577="","",N577+N(O577))</f>
        <v/>
      </c>
      <c r="Q577" s="64" t="n"/>
      <c r="R577" s="73" t="str">
        <f>IF(N(Q577)&gt;0,Q577,IF(OR(N(B577)=0,ISNA(MATCH($C577,sup_code,0))),"",IF(ISNUMBER(INDEX(sup_delay,MATCH($C577,sup_code,0))),B577+INDEX(sup_delay,MATCH($C577,sup_code,0)),"")))</f>
        <v/>
      </c>
      <c r="S577" s="64" t="n"/>
      <c r="T577" s="68" t="n"/>
      <c r="U577" s="64" t="n"/>
      <c r="V577" s="65" t="n"/>
      <c r="W577" s="74" t="str">
        <f>IF(AND(A577="",E577=""),"",IF(V577="Oui",0,MAX(0,ROUND(N(H577)-N(T577),6))))</f>
        <v/>
      </c>
      <c r="X577" s="67" t="str">
        <f>IF(AND(A577="",E577=""),"",IF(V577="Oui","Annulé",IF(AND(N(H577)&gt;0,N(T577)&gt;=N(H577)),"Reçu",IF(N(S577)=0,"Brouillon",IF(AND(ISNUMBER(R577),R577&lt;p_today),"En retard",IF(N(T577)&gt;0,"Partiel","Envoyé"))))))</f>
        <v/>
      </c>
      <c r="Y577" s="75" t="str">
        <f>IF(X577="En retard",p_today-R577,IF(AND(X577="Reçu",ISNUMBER(R577)),MAX(0,N(U577)-R577),""))</f>
        <v/>
      </c>
      <c r="Z577" s="67" t="str">
        <f>IF(AND(A577="",E577=""),"",IF(A577="","N° de bon manquant",IF(N(B577)=0,"Date de commande manquante",IF(C577="","Fournisseur manquant",IF(ISNA(MATCH($C577,sup_code,0)),"Fournisseur inconnu",IF(E577="","Article manquant",IF(ISNA(MATCH($E577,art_ref,0)),"Article inconnu",IF(N(H577)&lt;=0,"Quantité invalide",IF(J577="","Prix manquant",IF(OR(N(K577)&lt;0,N(K577)&gt;=1),"Remise invalide",IF(M577="","TVA manquante",IF(ISNA(MATCH(M577,p_tva,0)),"Taux de TVA inconnu",IF(COUNTIFS(po_num,A577,po_sup,"&lt;&gt;"&amp;C577)&gt;0,"Fournisseur différent sur ce bon",IF(COUNTIFS(po_num,A577,po_date,"&lt;&gt;"&amp;B577)&gt;0,"Date différente sur ce bon",IF(COUNTIF(po_num,A577)&gt;25,"Plus de 25 lignes sur ce bon",IF(R577="","Date de livraison manquante",IF(R577&lt;B577,"Livraison avant la commande",IF(AND(N(T577)&gt;0,N(S577)=0),"Date d'envoi manquante",IF(N(T577)&gt;N(H577),"Reçu plus que commandé",IF(AND(N(T577)&gt;0,N(U577)=0),"Date de réception manquante",IF(AND(N(U577)&gt;0,U577&lt;B577),"Réception avant la commande","OK")))))))))))))))))))))</f>
        <v/>
      </c>
      <c r="AA577" s="66" t="str">
        <f>IF(AND(X577="Reçu",ISNUMBER(R577)),IF(N(U577)&lt;=R577,1,0),"")</f>
        <v/>
      </c>
      <c r="AB577" s="76" t="str">
        <f>IF(OR(X577="Envoyé",X577="Partiel",X577="En retard"),IF(ISNUMBER(R577),R577,100000)+ROW()/100000,"")</f>
        <v/>
      </c>
      <c r="AC577" s="66" t="str">
        <f>IF(A577="","",IF(COUNTIF($A$6:A577,A577)=1,1,""))</f>
        <v/>
      </c>
      <c r="AD577" s="66" t="str">
        <f>IF(AC577=1,COUNT($AC$6:AC577),"")</f>
        <v/>
      </c>
      <c r="AE577" s="66" t="str">
        <f>IFERROR(INDEX(po_num,MATCH(572,po_seq,0))&amp;"","")</f>
        <v/>
      </c>
      <c r="AF577" s="66" t="str">
        <f>IF(OR(A577="",p_po=""),"",IF(A577&amp;""=p_po,COUNTIF($A$6:A577,A577),""))</f>
        <v/>
      </c>
      <c r="AG577" s="66" t="str">
        <f>IF(OR(AB577="",A577=""),"",IF(COUNTIFS($A$6:A577,A577,$AB$6:AB577,"&gt;0")=1,1,""))</f>
        <v/>
      </c>
      <c r="AH577" s="70" t="str">
        <f>IF(AB577="","",ROUND(N(W577)*N(J577)*(1-N(K577)),2))</f>
        <v/>
      </c>
      <c r="AI577" s="70" t="str">
        <f>IF(OR(J577="",N(T577)&lt;=0,V577="Oui"),"",ROUND(N(T577)*J577*(1-N(K577)),2))</f>
        <v/>
      </c>
    </row>
    <row r="578">
      <c r="A578" s="63" t="n"/>
      <c r="B578" s="64" t="n"/>
      <c r="C578" s="65" t="n"/>
      <c r="D578" s="66" t="str">
        <f>IF(C578="","",IFERROR(INDEX(sup_name,MATCH($C578,sup_code,0))&amp;"","Fournisseur inconnu"))</f>
        <v/>
      </c>
      <c r="E578" s="63" t="n"/>
      <c r="F578" s="66" t="str">
        <f>IF(E578="","",IFERROR(INDEX(art_des,MATCH($E578,art_ref,0))&amp;"","Article inconnu"))</f>
        <v/>
      </c>
      <c r="G578" s="67" t="str">
        <f>IF(E578="","",IFERROR(INDEX(art_unit,MATCH($E578,art_ref,0))&amp;"",""))</f>
        <v/>
      </c>
      <c r="H578" s="68" t="n"/>
      <c r="I578" s="69" t="n"/>
      <c r="J578" s="70" t="str">
        <f>IF(E578="","",IF(ISNUMBER(I578),I578,IFERROR(IF(ISNUMBER(INDEX(art_price,MATCH($E578,art_ref,0))),INDEX(art_price,MATCH($E578,art_ref,0)),""),"")))</f>
        <v/>
      </c>
      <c r="K578" s="71" t="n"/>
      <c r="L578" s="72" t="n"/>
      <c r="M578" s="72" t="str">
        <f>IF(E578="","",IF(L578&lt;&gt;"",L578,IFERROR(IF(ISNUMBER(INDEX(art_tva,MATCH($E578,art_ref,0))),INDEX(art_tva,MATCH($E578,art_ref,0)),""),"")))</f>
        <v/>
      </c>
      <c r="N578" s="70" t="str">
        <f>IF(OR(E578="",J578=""),"",ROUND(N(H578)*J578*(1-N(K578)),2))</f>
        <v/>
      </c>
      <c r="O578" s="70" t="str">
        <f>IF(OR(N578="",NOT(ISNUMBER(M578))),"",ROUND(N578*M578,2))</f>
        <v/>
      </c>
      <c r="P578" s="70" t="str">
        <f>IF(N578="","",N578+N(O578))</f>
        <v/>
      </c>
      <c r="Q578" s="64" t="n"/>
      <c r="R578" s="73" t="str">
        <f>IF(N(Q578)&gt;0,Q578,IF(OR(N(B578)=0,ISNA(MATCH($C578,sup_code,0))),"",IF(ISNUMBER(INDEX(sup_delay,MATCH($C578,sup_code,0))),B578+INDEX(sup_delay,MATCH($C578,sup_code,0)),"")))</f>
        <v/>
      </c>
      <c r="S578" s="64" t="n"/>
      <c r="T578" s="68" t="n"/>
      <c r="U578" s="64" t="n"/>
      <c r="V578" s="65" t="n"/>
      <c r="W578" s="74" t="str">
        <f>IF(AND(A578="",E578=""),"",IF(V578="Oui",0,MAX(0,ROUND(N(H578)-N(T578),6))))</f>
        <v/>
      </c>
      <c r="X578" s="67" t="str">
        <f>IF(AND(A578="",E578=""),"",IF(V578="Oui","Annulé",IF(AND(N(H578)&gt;0,N(T578)&gt;=N(H578)),"Reçu",IF(N(S578)=0,"Brouillon",IF(AND(ISNUMBER(R578),R578&lt;p_today),"En retard",IF(N(T578)&gt;0,"Partiel","Envoyé"))))))</f>
        <v/>
      </c>
      <c r="Y578" s="75" t="str">
        <f>IF(X578="En retard",p_today-R578,IF(AND(X578="Reçu",ISNUMBER(R578)),MAX(0,N(U578)-R578),""))</f>
        <v/>
      </c>
      <c r="Z578" s="67" t="str">
        <f>IF(AND(A578="",E578=""),"",IF(A578="","N° de bon manquant",IF(N(B578)=0,"Date de commande manquante",IF(C578="","Fournisseur manquant",IF(ISNA(MATCH($C578,sup_code,0)),"Fournisseur inconnu",IF(E578="","Article manquant",IF(ISNA(MATCH($E578,art_ref,0)),"Article inconnu",IF(N(H578)&lt;=0,"Quantité invalide",IF(J578="","Prix manquant",IF(OR(N(K578)&lt;0,N(K578)&gt;=1),"Remise invalide",IF(M578="","TVA manquante",IF(ISNA(MATCH(M578,p_tva,0)),"Taux de TVA inconnu",IF(COUNTIFS(po_num,A578,po_sup,"&lt;&gt;"&amp;C578)&gt;0,"Fournisseur différent sur ce bon",IF(COUNTIFS(po_num,A578,po_date,"&lt;&gt;"&amp;B578)&gt;0,"Date différente sur ce bon",IF(COUNTIF(po_num,A578)&gt;25,"Plus de 25 lignes sur ce bon",IF(R578="","Date de livraison manquante",IF(R578&lt;B578,"Livraison avant la commande",IF(AND(N(T578)&gt;0,N(S578)=0),"Date d'envoi manquante",IF(N(T578)&gt;N(H578),"Reçu plus que commandé",IF(AND(N(T578)&gt;0,N(U578)=0),"Date de réception manquante",IF(AND(N(U578)&gt;0,U578&lt;B578),"Réception avant la commande","OK")))))))))))))))))))))</f>
        <v/>
      </c>
      <c r="AA578" s="66" t="str">
        <f>IF(AND(X578="Reçu",ISNUMBER(R578)),IF(N(U578)&lt;=R578,1,0),"")</f>
        <v/>
      </c>
      <c r="AB578" s="76" t="str">
        <f>IF(OR(X578="Envoyé",X578="Partiel",X578="En retard"),IF(ISNUMBER(R578),R578,100000)+ROW()/100000,"")</f>
        <v/>
      </c>
      <c r="AC578" s="66" t="str">
        <f>IF(A578="","",IF(COUNTIF($A$6:A578,A578)=1,1,""))</f>
        <v/>
      </c>
      <c r="AD578" s="66" t="str">
        <f>IF(AC578=1,COUNT($AC$6:AC578),"")</f>
        <v/>
      </c>
      <c r="AE578" s="66" t="str">
        <f>IFERROR(INDEX(po_num,MATCH(573,po_seq,0))&amp;"","")</f>
        <v/>
      </c>
      <c r="AF578" s="66" t="str">
        <f>IF(OR(A578="",p_po=""),"",IF(A578&amp;""=p_po,COUNTIF($A$6:A578,A578),""))</f>
        <v/>
      </c>
      <c r="AG578" s="66" t="str">
        <f>IF(OR(AB578="",A578=""),"",IF(COUNTIFS($A$6:A578,A578,$AB$6:AB578,"&gt;0")=1,1,""))</f>
        <v/>
      </c>
      <c r="AH578" s="70" t="str">
        <f>IF(AB578="","",ROUND(N(W578)*N(J578)*(1-N(K578)),2))</f>
        <v/>
      </c>
      <c r="AI578" s="70" t="str">
        <f>IF(OR(J578="",N(T578)&lt;=0,V578="Oui"),"",ROUND(N(T578)*J578*(1-N(K578)),2))</f>
        <v/>
      </c>
    </row>
    <row r="579">
      <c r="A579" s="63" t="n"/>
      <c r="B579" s="64" t="n"/>
      <c r="C579" s="65" t="n"/>
      <c r="D579" s="66" t="str">
        <f>IF(C579="","",IFERROR(INDEX(sup_name,MATCH($C579,sup_code,0))&amp;"","Fournisseur inconnu"))</f>
        <v/>
      </c>
      <c r="E579" s="63" t="n"/>
      <c r="F579" s="66" t="str">
        <f>IF(E579="","",IFERROR(INDEX(art_des,MATCH($E579,art_ref,0))&amp;"","Article inconnu"))</f>
        <v/>
      </c>
      <c r="G579" s="67" t="str">
        <f>IF(E579="","",IFERROR(INDEX(art_unit,MATCH($E579,art_ref,0))&amp;"",""))</f>
        <v/>
      </c>
      <c r="H579" s="68" t="n"/>
      <c r="I579" s="69" t="n"/>
      <c r="J579" s="70" t="str">
        <f>IF(E579="","",IF(ISNUMBER(I579),I579,IFERROR(IF(ISNUMBER(INDEX(art_price,MATCH($E579,art_ref,0))),INDEX(art_price,MATCH($E579,art_ref,0)),""),"")))</f>
        <v/>
      </c>
      <c r="K579" s="71" t="n"/>
      <c r="L579" s="72" t="n"/>
      <c r="M579" s="72" t="str">
        <f>IF(E579="","",IF(L579&lt;&gt;"",L579,IFERROR(IF(ISNUMBER(INDEX(art_tva,MATCH($E579,art_ref,0))),INDEX(art_tva,MATCH($E579,art_ref,0)),""),"")))</f>
        <v/>
      </c>
      <c r="N579" s="70" t="str">
        <f>IF(OR(E579="",J579=""),"",ROUND(N(H579)*J579*(1-N(K579)),2))</f>
        <v/>
      </c>
      <c r="O579" s="70" t="str">
        <f>IF(OR(N579="",NOT(ISNUMBER(M579))),"",ROUND(N579*M579,2))</f>
        <v/>
      </c>
      <c r="P579" s="70" t="str">
        <f>IF(N579="","",N579+N(O579))</f>
        <v/>
      </c>
      <c r="Q579" s="64" t="n"/>
      <c r="R579" s="73" t="str">
        <f>IF(N(Q579)&gt;0,Q579,IF(OR(N(B579)=0,ISNA(MATCH($C579,sup_code,0))),"",IF(ISNUMBER(INDEX(sup_delay,MATCH($C579,sup_code,0))),B579+INDEX(sup_delay,MATCH($C579,sup_code,0)),"")))</f>
        <v/>
      </c>
      <c r="S579" s="64" t="n"/>
      <c r="T579" s="68" t="n"/>
      <c r="U579" s="64" t="n"/>
      <c r="V579" s="65" t="n"/>
      <c r="W579" s="74" t="str">
        <f>IF(AND(A579="",E579=""),"",IF(V579="Oui",0,MAX(0,ROUND(N(H579)-N(T579),6))))</f>
        <v/>
      </c>
      <c r="X579" s="67" t="str">
        <f>IF(AND(A579="",E579=""),"",IF(V579="Oui","Annulé",IF(AND(N(H579)&gt;0,N(T579)&gt;=N(H579)),"Reçu",IF(N(S579)=0,"Brouillon",IF(AND(ISNUMBER(R579),R579&lt;p_today),"En retard",IF(N(T579)&gt;0,"Partiel","Envoyé"))))))</f>
        <v/>
      </c>
      <c r="Y579" s="75" t="str">
        <f>IF(X579="En retard",p_today-R579,IF(AND(X579="Reçu",ISNUMBER(R579)),MAX(0,N(U579)-R579),""))</f>
        <v/>
      </c>
      <c r="Z579" s="67" t="str">
        <f>IF(AND(A579="",E579=""),"",IF(A579="","N° de bon manquant",IF(N(B579)=0,"Date de commande manquante",IF(C579="","Fournisseur manquant",IF(ISNA(MATCH($C579,sup_code,0)),"Fournisseur inconnu",IF(E579="","Article manquant",IF(ISNA(MATCH($E579,art_ref,0)),"Article inconnu",IF(N(H579)&lt;=0,"Quantité invalide",IF(J579="","Prix manquant",IF(OR(N(K579)&lt;0,N(K579)&gt;=1),"Remise invalide",IF(M579="","TVA manquante",IF(ISNA(MATCH(M579,p_tva,0)),"Taux de TVA inconnu",IF(COUNTIFS(po_num,A579,po_sup,"&lt;&gt;"&amp;C579)&gt;0,"Fournisseur différent sur ce bon",IF(COUNTIFS(po_num,A579,po_date,"&lt;&gt;"&amp;B579)&gt;0,"Date différente sur ce bon",IF(COUNTIF(po_num,A579)&gt;25,"Plus de 25 lignes sur ce bon",IF(R579="","Date de livraison manquante",IF(R579&lt;B579,"Livraison avant la commande",IF(AND(N(T579)&gt;0,N(S579)=0),"Date d'envoi manquante",IF(N(T579)&gt;N(H579),"Reçu plus que commandé",IF(AND(N(T579)&gt;0,N(U579)=0),"Date de réception manquante",IF(AND(N(U579)&gt;0,U579&lt;B579),"Réception avant la commande","OK")))))))))))))))))))))</f>
        <v/>
      </c>
      <c r="AA579" s="66" t="str">
        <f>IF(AND(X579="Reçu",ISNUMBER(R579)),IF(N(U579)&lt;=R579,1,0),"")</f>
        <v/>
      </c>
      <c r="AB579" s="76" t="str">
        <f>IF(OR(X579="Envoyé",X579="Partiel",X579="En retard"),IF(ISNUMBER(R579),R579,100000)+ROW()/100000,"")</f>
        <v/>
      </c>
      <c r="AC579" s="66" t="str">
        <f>IF(A579="","",IF(COUNTIF($A$6:A579,A579)=1,1,""))</f>
        <v/>
      </c>
      <c r="AD579" s="66" t="str">
        <f>IF(AC579=1,COUNT($AC$6:AC579),"")</f>
        <v/>
      </c>
      <c r="AE579" s="66" t="str">
        <f>IFERROR(INDEX(po_num,MATCH(574,po_seq,0))&amp;"","")</f>
        <v/>
      </c>
      <c r="AF579" s="66" t="str">
        <f>IF(OR(A579="",p_po=""),"",IF(A579&amp;""=p_po,COUNTIF($A$6:A579,A579),""))</f>
        <v/>
      </c>
      <c r="AG579" s="66" t="str">
        <f>IF(OR(AB579="",A579=""),"",IF(COUNTIFS($A$6:A579,A579,$AB$6:AB579,"&gt;0")=1,1,""))</f>
        <v/>
      </c>
      <c r="AH579" s="70" t="str">
        <f>IF(AB579="","",ROUND(N(W579)*N(J579)*(1-N(K579)),2))</f>
        <v/>
      </c>
      <c r="AI579" s="70" t="str">
        <f>IF(OR(J579="",N(T579)&lt;=0,V579="Oui"),"",ROUND(N(T579)*J579*(1-N(K579)),2))</f>
        <v/>
      </c>
    </row>
    <row r="580">
      <c r="A580" s="63" t="n"/>
      <c r="B580" s="64" t="n"/>
      <c r="C580" s="65" t="n"/>
      <c r="D580" s="66" t="str">
        <f>IF(C580="","",IFERROR(INDEX(sup_name,MATCH($C580,sup_code,0))&amp;"","Fournisseur inconnu"))</f>
        <v/>
      </c>
      <c r="E580" s="63" t="n"/>
      <c r="F580" s="66" t="str">
        <f>IF(E580="","",IFERROR(INDEX(art_des,MATCH($E580,art_ref,0))&amp;"","Article inconnu"))</f>
        <v/>
      </c>
      <c r="G580" s="67" t="str">
        <f>IF(E580="","",IFERROR(INDEX(art_unit,MATCH($E580,art_ref,0))&amp;"",""))</f>
        <v/>
      </c>
      <c r="H580" s="68" t="n"/>
      <c r="I580" s="69" t="n"/>
      <c r="J580" s="70" t="str">
        <f>IF(E580="","",IF(ISNUMBER(I580),I580,IFERROR(IF(ISNUMBER(INDEX(art_price,MATCH($E580,art_ref,0))),INDEX(art_price,MATCH($E580,art_ref,0)),""),"")))</f>
        <v/>
      </c>
      <c r="K580" s="71" t="n"/>
      <c r="L580" s="72" t="n"/>
      <c r="M580" s="72" t="str">
        <f>IF(E580="","",IF(L580&lt;&gt;"",L580,IFERROR(IF(ISNUMBER(INDEX(art_tva,MATCH($E580,art_ref,0))),INDEX(art_tva,MATCH($E580,art_ref,0)),""),"")))</f>
        <v/>
      </c>
      <c r="N580" s="70" t="str">
        <f>IF(OR(E580="",J580=""),"",ROUND(N(H580)*J580*(1-N(K580)),2))</f>
        <v/>
      </c>
      <c r="O580" s="70" t="str">
        <f>IF(OR(N580="",NOT(ISNUMBER(M580))),"",ROUND(N580*M580,2))</f>
        <v/>
      </c>
      <c r="P580" s="70" t="str">
        <f>IF(N580="","",N580+N(O580))</f>
        <v/>
      </c>
      <c r="Q580" s="64" t="n"/>
      <c r="R580" s="73" t="str">
        <f>IF(N(Q580)&gt;0,Q580,IF(OR(N(B580)=0,ISNA(MATCH($C580,sup_code,0))),"",IF(ISNUMBER(INDEX(sup_delay,MATCH($C580,sup_code,0))),B580+INDEX(sup_delay,MATCH($C580,sup_code,0)),"")))</f>
        <v/>
      </c>
      <c r="S580" s="64" t="n"/>
      <c r="T580" s="68" t="n"/>
      <c r="U580" s="64" t="n"/>
      <c r="V580" s="65" t="n"/>
      <c r="W580" s="74" t="str">
        <f>IF(AND(A580="",E580=""),"",IF(V580="Oui",0,MAX(0,ROUND(N(H580)-N(T580),6))))</f>
        <v/>
      </c>
      <c r="X580" s="67" t="str">
        <f>IF(AND(A580="",E580=""),"",IF(V580="Oui","Annulé",IF(AND(N(H580)&gt;0,N(T580)&gt;=N(H580)),"Reçu",IF(N(S580)=0,"Brouillon",IF(AND(ISNUMBER(R580),R580&lt;p_today),"En retard",IF(N(T580)&gt;0,"Partiel","Envoyé"))))))</f>
        <v/>
      </c>
      <c r="Y580" s="75" t="str">
        <f>IF(X580="En retard",p_today-R580,IF(AND(X580="Reçu",ISNUMBER(R580)),MAX(0,N(U580)-R580),""))</f>
        <v/>
      </c>
      <c r="Z580" s="67" t="str">
        <f>IF(AND(A580="",E580=""),"",IF(A580="","N° de bon manquant",IF(N(B580)=0,"Date de commande manquante",IF(C580="","Fournisseur manquant",IF(ISNA(MATCH($C580,sup_code,0)),"Fournisseur inconnu",IF(E580="","Article manquant",IF(ISNA(MATCH($E580,art_ref,0)),"Article inconnu",IF(N(H580)&lt;=0,"Quantité invalide",IF(J580="","Prix manquant",IF(OR(N(K580)&lt;0,N(K580)&gt;=1),"Remise invalide",IF(M580="","TVA manquante",IF(ISNA(MATCH(M580,p_tva,0)),"Taux de TVA inconnu",IF(COUNTIFS(po_num,A580,po_sup,"&lt;&gt;"&amp;C580)&gt;0,"Fournisseur différent sur ce bon",IF(COUNTIFS(po_num,A580,po_date,"&lt;&gt;"&amp;B580)&gt;0,"Date différente sur ce bon",IF(COUNTIF(po_num,A580)&gt;25,"Plus de 25 lignes sur ce bon",IF(R580="","Date de livraison manquante",IF(R580&lt;B580,"Livraison avant la commande",IF(AND(N(T580)&gt;0,N(S580)=0),"Date d'envoi manquante",IF(N(T580)&gt;N(H580),"Reçu plus que commandé",IF(AND(N(T580)&gt;0,N(U580)=0),"Date de réception manquante",IF(AND(N(U580)&gt;0,U580&lt;B580),"Réception avant la commande","OK")))))))))))))))))))))</f>
        <v/>
      </c>
      <c r="AA580" s="66" t="str">
        <f>IF(AND(X580="Reçu",ISNUMBER(R580)),IF(N(U580)&lt;=R580,1,0),"")</f>
        <v/>
      </c>
      <c r="AB580" s="76" t="str">
        <f>IF(OR(X580="Envoyé",X580="Partiel",X580="En retard"),IF(ISNUMBER(R580),R580,100000)+ROW()/100000,"")</f>
        <v/>
      </c>
      <c r="AC580" s="66" t="str">
        <f>IF(A580="","",IF(COUNTIF($A$6:A580,A580)=1,1,""))</f>
        <v/>
      </c>
      <c r="AD580" s="66" t="str">
        <f>IF(AC580=1,COUNT($AC$6:AC580),"")</f>
        <v/>
      </c>
      <c r="AE580" s="66" t="str">
        <f>IFERROR(INDEX(po_num,MATCH(575,po_seq,0))&amp;"","")</f>
        <v/>
      </c>
      <c r="AF580" s="66" t="str">
        <f>IF(OR(A580="",p_po=""),"",IF(A580&amp;""=p_po,COUNTIF($A$6:A580,A580),""))</f>
        <v/>
      </c>
      <c r="AG580" s="66" t="str">
        <f>IF(OR(AB580="",A580=""),"",IF(COUNTIFS($A$6:A580,A580,$AB$6:AB580,"&gt;0")=1,1,""))</f>
        <v/>
      </c>
      <c r="AH580" s="70" t="str">
        <f>IF(AB580="","",ROUND(N(W580)*N(J580)*(1-N(K580)),2))</f>
        <v/>
      </c>
      <c r="AI580" s="70" t="str">
        <f>IF(OR(J580="",N(T580)&lt;=0,V580="Oui"),"",ROUND(N(T580)*J580*(1-N(K580)),2))</f>
        <v/>
      </c>
    </row>
    <row r="581">
      <c r="A581" s="63" t="n"/>
      <c r="B581" s="64" t="n"/>
      <c r="C581" s="65" t="n"/>
      <c r="D581" s="66" t="str">
        <f>IF(C581="","",IFERROR(INDEX(sup_name,MATCH($C581,sup_code,0))&amp;"","Fournisseur inconnu"))</f>
        <v/>
      </c>
      <c r="E581" s="63" t="n"/>
      <c r="F581" s="66" t="str">
        <f>IF(E581="","",IFERROR(INDEX(art_des,MATCH($E581,art_ref,0))&amp;"","Article inconnu"))</f>
        <v/>
      </c>
      <c r="G581" s="67" t="str">
        <f>IF(E581="","",IFERROR(INDEX(art_unit,MATCH($E581,art_ref,0))&amp;"",""))</f>
        <v/>
      </c>
      <c r="H581" s="68" t="n"/>
      <c r="I581" s="69" t="n"/>
      <c r="J581" s="70" t="str">
        <f>IF(E581="","",IF(ISNUMBER(I581),I581,IFERROR(IF(ISNUMBER(INDEX(art_price,MATCH($E581,art_ref,0))),INDEX(art_price,MATCH($E581,art_ref,0)),""),"")))</f>
        <v/>
      </c>
      <c r="K581" s="71" t="n"/>
      <c r="L581" s="72" t="n"/>
      <c r="M581" s="72" t="str">
        <f>IF(E581="","",IF(L581&lt;&gt;"",L581,IFERROR(IF(ISNUMBER(INDEX(art_tva,MATCH($E581,art_ref,0))),INDEX(art_tva,MATCH($E581,art_ref,0)),""),"")))</f>
        <v/>
      </c>
      <c r="N581" s="70" t="str">
        <f>IF(OR(E581="",J581=""),"",ROUND(N(H581)*J581*(1-N(K581)),2))</f>
        <v/>
      </c>
      <c r="O581" s="70" t="str">
        <f>IF(OR(N581="",NOT(ISNUMBER(M581))),"",ROUND(N581*M581,2))</f>
        <v/>
      </c>
      <c r="P581" s="70" t="str">
        <f>IF(N581="","",N581+N(O581))</f>
        <v/>
      </c>
      <c r="Q581" s="64" t="n"/>
      <c r="R581" s="73" t="str">
        <f>IF(N(Q581)&gt;0,Q581,IF(OR(N(B581)=0,ISNA(MATCH($C581,sup_code,0))),"",IF(ISNUMBER(INDEX(sup_delay,MATCH($C581,sup_code,0))),B581+INDEX(sup_delay,MATCH($C581,sup_code,0)),"")))</f>
        <v/>
      </c>
      <c r="S581" s="64" t="n"/>
      <c r="T581" s="68" t="n"/>
      <c r="U581" s="64" t="n"/>
      <c r="V581" s="65" t="n"/>
      <c r="W581" s="74" t="str">
        <f>IF(AND(A581="",E581=""),"",IF(V581="Oui",0,MAX(0,ROUND(N(H581)-N(T581),6))))</f>
        <v/>
      </c>
      <c r="X581" s="67" t="str">
        <f>IF(AND(A581="",E581=""),"",IF(V581="Oui","Annulé",IF(AND(N(H581)&gt;0,N(T581)&gt;=N(H581)),"Reçu",IF(N(S581)=0,"Brouillon",IF(AND(ISNUMBER(R581),R581&lt;p_today),"En retard",IF(N(T581)&gt;0,"Partiel","Envoyé"))))))</f>
        <v/>
      </c>
      <c r="Y581" s="75" t="str">
        <f>IF(X581="En retard",p_today-R581,IF(AND(X581="Reçu",ISNUMBER(R581)),MAX(0,N(U581)-R581),""))</f>
        <v/>
      </c>
      <c r="Z581" s="67" t="str">
        <f>IF(AND(A581="",E581=""),"",IF(A581="","N° de bon manquant",IF(N(B581)=0,"Date de commande manquante",IF(C581="","Fournisseur manquant",IF(ISNA(MATCH($C581,sup_code,0)),"Fournisseur inconnu",IF(E581="","Article manquant",IF(ISNA(MATCH($E581,art_ref,0)),"Article inconnu",IF(N(H581)&lt;=0,"Quantité invalide",IF(J581="","Prix manquant",IF(OR(N(K581)&lt;0,N(K581)&gt;=1),"Remise invalide",IF(M581="","TVA manquante",IF(ISNA(MATCH(M581,p_tva,0)),"Taux de TVA inconnu",IF(COUNTIFS(po_num,A581,po_sup,"&lt;&gt;"&amp;C581)&gt;0,"Fournisseur différent sur ce bon",IF(COUNTIFS(po_num,A581,po_date,"&lt;&gt;"&amp;B581)&gt;0,"Date différente sur ce bon",IF(COUNTIF(po_num,A581)&gt;25,"Plus de 25 lignes sur ce bon",IF(R581="","Date de livraison manquante",IF(R581&lt;B581,"Livraison avant la commande",IF(AND(N(T581)&gt;0,N(S581)=0),"Date d'envoi manquante",IF(N(T581)&gt;N(H581),"Reçu plus que commandé",IF(AND(N(T581)&gt;0,N(U581)=0),"Date de réception manquante",IF(AND(N(U581)&gt;0,U581&lt;B581),"Réception avant la commande","OK")))))))))))))))))))))</f>
        <v/>
      </c>
      <c r="AA581" s="66" t="str">
        <f>IF(AND(X581="Reçu",ISNUMBER(R581)),IF(N(U581)&lt;=R581,1,0),"")</f>
        <v/>
      </c>
      <c r="AB581" s="76" t="str">
        <f>IF(OR(X581="Envoyé",X581="Partiel",X581="En retard"),IF(ISNUMBER(R581),R581,100000)+ROW()/100000,"")</f>
        <v/>
      </c>
      <c r="AC581" s="66" t="str">
        <f>IF(A581="","",IF(COUNTIF($A$6:A581,A581)=1,1,""))</f>
        <v/>
      </c>
      <c r="AD581" s="66" t="str">
        <f>IF(AC581=1,COUNT($AC$6:AC581),"")</f>
        <v/>
      </c>
      <c r="AE581" s="66" t="str">
        <f>IFERROR(INDEX(po_num,MATCH(576,po_seq,0))&amp;"","")</f>
        <v/>
      </c>
      <c r="AF581" s="66" t="str">
        <f>IF(OR(A581="",p_po=""),"",IF(A581&amp;""=p_po,COUNTIF($A$6:A581,A581),""))</f>
        <v/>
      </c>
      <c r="AG581" s="66" t="str">
        <f>IF(OR(AB581="",A581=""),"",IF(COUNTIFS($A$6:A581,A581,$AB$6:AB581,"&gt;0")=1,1,""))</f>
        <v/>
      </c>
      <c r="AH581" s="70" t="str">
        <f>IF(AB581="","",ROUND(N(W581)*N(J581)*(1-N(K581)),2))</f>
        <v/>
      </c>
      <c r="AI581" s="70" t="str">
        <f>IF(OR(J581="",N(T581)&lt;=0,V581="Oui"),"",ROUND(N(T581)*J581*(1-N(K581)),2))</f>
        <v/>
      </c>
    </row>
    <row r="582">
      <c r="A582" s="63" t="n"/>
      <c r="B582" s="64" t="n"/>
      <c r="C582" s="65" t="n"/>
      <c r="D582" s="66" t="str">
        <f>IF(C582="","",IFERROR(INDEX(sup_name,MATCH($C582,sup_code,0))&amp;"","Fournisseur inconnu"))</f>
        <v/>
      </c>
      <c r="E582" s="63" t="n"/>
      <c r="F582" s="66" t="str">
        <f>IF(E582="","",IFERROR(INDEX(art_des,MATCH($E582,art_ref,0))&amp;"","Article inconnu"))</f>
        <v/>
      </c>
      <c r="G582" s="67" t="str">
        <f>IF(E582="","",IFERROR(INDEX(art_unit,MATCH($E582,art_ref,0))&amp;"",""))</f>
        <v/>
      </c>
      <c r="H582" s="68" t="n"/>
      <c r="I582" s="69" t="n"/>
      <c r="J582" s="70" t="str">
        <f>IF(E582="","",IF(ISNUMBER(I582),I582,IFERROR(IF(ISNUMBER(INDEX(art_price,MATCH($E582,art_ref,0))),INDEX(art_price,MATCH($E582,art_ref,0)),""),"")))</f>
        <v/>
      </c>
      <c r="K582" s="71" t="n"/>
      <c r="L582" s="72" t="n"/>
      <c r="M582" s="72" t="str">
        <f>IF(E582="","",IF(L582&lt;&gt;"",L582,IFERROR(IF(ISNUMBER(INDEX(art_tva,MATCH($E582,art_ref,0))),INDEX(art_tva,MATCH($E582,art_ref,0)),""),"")))</f>
        <v/>
      </c>
      <c r="N582" s="70" t="str">
        <f>IF(OR(E582="",J582=""),"",ROUND(N(H582)*J582*(1-N(K582)),2))</f>
        <v/>
      </c>
      <c r="O582" s="70" t="str">
        <f>IF(OR(N582="",NOT(ISNUMBER(M582))),"",ROUND(N582*M582,2))</f>
        <v/>
      </c>
      <c r="P582" s="70" t="str">
        <f>IF(N582="","",N582+N(O582))</f>
        <v/>
      </c>
      <c r="Q582" s="64" t="n"/>
      <c r="R582" s="73" t="str">
        <f>IF(N(Q582)&gt;0,Q582,IF(OR(N(B582)=0,ISNA(MATCH($C582,sup_code,0))),"",IF(ISNUMBER(INDEX(sup_delay,MATCH($C582,sup_code,0))),B582+INDEX(sup_delay,MATCH($C582,sup_code,0)),"")))</f>
        <v/>
      </c>
      <c r="S582" s="64" t="n"/>
      <c r="T582" s="68" t="n"/>
      <c r="U582" s="64" t="n"/>
      <c r="V582" s="65" t="n"/>
      <c r="W582" s="74" t="str">
        <f>IF(AND(A582="",E582=""),"",IF(V582="Oui",0,MAX(0,ROUND(N(H582)-N(T582),6))))</f>
        <v/>
      </c>
      <c r="X582" s="67" t="str">
        <f>IF(AND(A582="",E582=""),"",IF(V582="Oui","Annulé",IF(AND(N(H582)&gt;0,N(T582)&gt;=N(H582)),"Reçu",IF(N(S582)=0,"Brouillon",IF(AND(ISNUMBER(R582),R582&lt;p_today),"En retard",IF(N(T582)&gt;0,"Partiel","Envoyé"))))))</f>
        <v/>
      </c>
      <c r="Y582" s="75" t="str">
        <f>IF(X582="En retard",p_today-R582,IF(AND(X582="Reçu",ISNUMBER(R582)),MAX(0,N(U582)-R582),""))</f>
        <v/>
      </c>
      <c r="Z582" s="67" t="str">
        <f>IF(AND(A582="",E582=""),"",IF(A582="","N° de bon manquant",IF(N(B582)=0,"Date de commande manquante",IF(C582="","Fournisseur manquant",IF(ISNA(MATCH($C582,sup_code,0)),"Fournisseur inconnu",IF(E582="","Article manquant",IF(ISNA(MATCH($E582,art_ref,0)),"Article inconnu",IF(N(H582)&lt;=0,"Quantité invalide",IF(J582="","Prix manquant",IF(OR(N(K582)&lt;0,N(K582)&gt;=1),"Remise invalide",IF(M582="","TVA manquante",IF(ISNA(MATCH(M582,p_tva,0)),"Taux de TVA inconnu",IF(COUNTIFS(po_num,A582,po_sup,"&lt;&gt;"&amp;C582)&gt;0,"Fournisseur différent sur ce bon",IF(COUNTIFS(po_num,A582,po_date,"&lt;&gt;"&amp;B582)&gt;0,"Date différente sur ce bon",IF(COUNTIF(po_num,A582)&gt;25,"Plus de 25 lignes sur ce bon",IF(R582="","Date de livraison manquante",IF(R582&lt;B582,"Livraison avant la commande",IF(AND(N(T582)&gt;0,N(S582)=0),"Date d'envoi manquante",IF(N(T582)&gt;N(H582),"Reçu plus que commandé",IF(AND(N(T582)&gt;0,N(U582)=0),"Date de réception manquante",IF(AND(N(U582)&gt;0,U582&lt;B582),"Réception avant la commande","OK")))))))))))))))))))))</f>
        <v/>
      </c>
      <c r="AA582" s="66" t="str">
        <f>IF(AND(X582="Reçu",ISNUMBER(R582)),IF(N(U582)&lt;=R582,1,0),"")</f>
        <v/>
      </c>
      <c r="AB582" s="76" t="str">
        <f>IF(OR(X582="Envoyé",X582="Partiel",X582="En retard"),IF(ISNUMBER(R582),R582,100000)+ROW()/100000,"")</f>
        <v/>
      </c>
      <c r="AC582" s="66" t="str">
        <f>IF(A582="","",IF(COUNTIF($A$6:A582,A582)=1,1,""))</f>
        <v/>
      </c>
      <c r="AD582" s="66" t="str">
        <f>IF(AC582=1,COUNT($AC$6:AC582),"")</f>
        <v/>
      </c>
      <c r="AE582" s="66" t="str">
        <f>IFERROR(INDEX(po_num,MATCH(577,po_seq,0))&amp;"","")</f>
        <v/>
      </c>
      <c r="AF582" s="66" t="str">
        <f>IF(OR(A582="",p_po=""),"",IF(A582&amp;""=p_po,COUNTIF($A$6:A582,A582),""))</f>
        <v/>
      </c>
      <c r="AG582" s="66" t="str">
        <f>IF(OR(AB582="",A582=""),"",IF(COUNTIFS($A$6:A582,A582,$AB$6:AB582,"&gt;0")=1,1,""))</f>
        <v/>
      </c>
      <c r="AH582" s="70" t="str">
        <f>IF(AB582="","",ROUND(N(W582)*N(J582)*(1-N(K582)),2))</f>
        <v/>
      </c>
      <c r="AI582" s="70" t="str">
        <f>IF(OR(J582="",N(T582)&lt;=0,V582="Oui"),"",ROUND(N(T582)*J582*(1-N(K582)),2))</f>
        <v/>
      </c>
    </row>
    <row r="583">
      <c r="A583" s="63" t="n"/>
      <c r="B583" s="64" t="n"/>
      <c r="C583" s="65" t="n"/>
      <c r="D583" s="66" t="str">
        <f>IF(C583="","",IFERROR(INDEX(sup_name,MATCH($C583,sup_code,0))&amp;"","Fournisseur inconnu"))</f>
        <v/>
      </c>
      <c r="E583" s="63" t="n"/>
      <c r="F583" s="66" t="str">
        <f>IF(E583="","",IFERROR(INDEX(art_des,MATCH($E583,art_ref,0))&amp;"","Article inconnu"))</f>
        <v/>
      </c>
      <c r="G583" s="67" t="str">
        <f>IF(E583="","",IFERROR(INDEX(art_unit,MATCH($E583,art_ref,0))&amp;"",""))</f>
        <v/>
      </c>
      <c r="H583" s="68" t="n"/>
      <c r="I583" s="69" t="n"/>
      <c r="J583" s="70" t="str">
        <f>IF(E583="","",IF(ISNUMBER(I583),I583,IFERROR(IF(ISNUMBER(INDEX(art_price,MATCH($E583,art_ref,0))),INDEX(art_price,MATCH($E583,art_ref,0)),""),"")))</f>
        <v/>
      </c>
      <c r="K583" s="71" t="n"/>
      <c r="L583" s="72" t="n"/>
      <c r="M583" s="72" t="str">
        <f>IF(E583="","",IF(L583&lt;&gt;"",L583,IFERROR(IF(ISNUMBER(INDEX(art_tva,MATCH($E583,art_ref,0))),INDEX(art_tva,MATCH($E583,art_ref,0)),""),"")))</f>
        <v/>
      </c>
      <c r="N583" s="70" t="str">
        <f>IF(OR(E583="",J583=""),"",ROUND(N(H583)*J583*(1-N(K583)),2))</f>
        <v/>
      </c>
      <c r="O583" s="70" t="str">
        <f>IF(OR(N583="",NOT(ISNUMBER(M583))),"",ROUND(N583*M583,2))</f>
        <v/>
      </c>
      <c r="P583" s="70" t="str">
        <f>IF(N583="","",N583+N(O583))</f>
        <v/>
      </c>
      <c r="Q583" s="64" t="n"/>
      <c r="R583" s="73" t="str">
        <f>IF(N(Q583)&gt;0,Q583,IF(OR(N(B583)=0,ISNA(MATCH($C583,sup_code,0))),"",IF(ISNUMBER(INDEX(sup_delay,MATCH($C583,sup_code,0))),B583+INDEX(sup_delay,MATCH($C583,sup_code,0)),"")))</f>
        <v/>
      </c>
      <c r="S583" s="64" t="n"/>
      <c r="T583" s="68" t="n"/>
      <c r="U583" s="64" t="n"/>
      <c r="V583" s="65" t="n"/>
      <c r="W583" s="74" t="str">
        <f>IF(AND(A583="",E583=""),"",IF(V583="Oui",0,MAX(0,ROUND(N(H583)-N(T583),6))))</f>
        <v/>
      </c>
      <c r="X583" s="67" t="str">
        <f>IF(AND(A583="",E583=""),"",IF(V583="Oui","Annulé",IF(AND(N(H583)&gt;0,N(T583)&gt;=N(H583)),"Reçu",IF(N(S583)=0,"Brouillon",IF(AND(ISNUMBER(R583),R583&lt;p_today),"En retard",IF(N(T583)&gt;0,"Partiel","Envoyé"))))))</f>
        <v/>
      </c>
      <c r="Y583" s="75" t="str">
        <f>IF(X583="En retard",p_today-R583,IF(AND(X583="Reçu",ISNUMBER(R583)),MAX(0,N(U583)-R583),""))</f>
        <v/>
      </c>
      <c r="Z583" s="67" t="str">
        <f>IF(AND(A583="",E583=""),"",IF(A583="","N° de bon manquant",IF(N(B583)=0,"Date de commande manquante",IF(C583="","Fournisseur manquant",IF(ISNA(MATCH($C583,sup_code,0)),"Fournisseur inconnu",IF(E583="","Article manquant",IF(ISNA(MATCH($E583,art_ref,0)),"Article inconnu",IF(N(H583)&lt;=0,"Quantité invalide",IF(J583="","Prix manquant",IF(OR(N(K583)&lt;0,N(K583)&gt;=1),"Remise invalide",IF(M583="","TVA manquante",IF(ISNA(MATCH(M583,p_tva,0)),"Taux de TVA inconnu",IF(COUNTIFS(po_num,A583,po_sup,"&lt;&gt;"&amp;C583)&gt;0,"Fournisseur différent sur ce bon",IF(COUNTIFS(po_num,A583,po_date,"&lt;&gt;"&amp;B583)&gt;0,"Date différente sur ce bon",IF(COUNTIF(po_num,A583)&gt;25,"Plus de 25 lignes sur ce bon",IF(R583="","Date de livraison manquante",IF(R583&lt;B583,"Livraison avant la commande",IF(AND(N(T583)&gt;0,N(S583)=0),"Date d'envoi manquante",IF(N(T583)&gt;N(H583),"Reçu plus que commandé",IF(AND(N(T583)&gt;0,N(U583)=0),"Date de réception manquante",IF(AND(N(U583)&gt;0,U583&lt;B583),"Réception avant la commande","OK")))))))))))))))))))))</f>
        <v/>
      </c>
      <c r="AA583" s="66" t="str">
        <f>IF(AND(X583="Reçu",ISNUMBER(R583)),IF(N(U583)&lt;=R583,1,0),"")</f>
        <v/>
      </c>
      <c r="AB583" s="76" t="str">
        <f>IF(OR(X583="Envoyé",X583="Partiel",X583="En retard"),IF(ISNUMBER(R583),R583,100000)+ROW()/100000,"")</f>
        <v/>
      </c>
      <c r="AC583" s="66" t="str">
        <f>IF(A583="","",IF(COUNTIF($A$6:A583,A583)=1,1,""))</f>
        <v/>
      </c>
      <c r="AD583" s="66" t="str">
        <f>IF(AC583=1,COUNT($AC$6:AC583),"")</f>
        <v/>
      </c>
      <c r="AE583" s="66" t="str">
        <f>IFERROR(INDEX(po_num,MATCH(578,po_seq,0))&amp;"","")</f>
        <v/>
      </c>
      <c r="AF583" s="66" t="str">
        <f>IF(OR(A583="",p_po=""),"",IF(A583&amp;""=p_po,COUNTIF($A$6:A583,A583),""))</f>
        <v/>
      </c>
      <c r="AG583" s="66" t="str">
        <f>IF(OR(AB583="",A583=""),"",IF(COUNTIFS($A$6:A583,A583,$AB$6:AB583,"&gt;0")=1,1,""))</f>
        <v/>
      </c>
      <c r="AH583" s="70" t="str">
        <f>IF(AB583="","",ROUND(N(W583)*N(J583)*(1-N(K583)),2))</f>
        <v/>
      </c>
      <c r="AI583" s="70" t="str">
        <f>IF(OR(J583="",N(T583)&lt;=0,V583="Oui"),"",ROUND(N(T583)*J583*(1-N(K583)),2))</f>
        <v/>
      </c>
    </row>
    <row r="584">
      <c r="A584" s="63" t="n"/>
      <c r="B584" s="64" t="n"/>
      <c r="C584" s="65" t="n"/>
      <c r="D584" s="66" t="str">
        <f>IF(C584="","",IFERROR(INDEX(sup_name,MATCH($C584,sup_code,0))&amp;"","Fournisseur inconnu"))</f>
        <v/>
      </c>
      <c r="E584" s="63" t="n"/>
      <c r="F584" s="66" t="str">
        <f>IF(E584="","",IFERROR(INDEX(art_des,MATCH($E584,art_ref,0))&amp;"","Article inconnu"))</f>
        <v/>
      </c>
      <c r="G584" s="67" t="str">
        <f>IF(E584="","",IFERROR(INDEX(art_unit,MATCH($E584,art_ref,0))&amp;"",""))</f>
        <v/>
      </c>
      <c r="H584" s="68" t="n"/>
      <c r="I584" s="69" t="n"/>
      <c r="J584" s="70" t="str">
        <f>IF(E584="","",IF(ISNUMBER(I584),I584,IFERROR(IF(ISNUMBER(INDEX(art_price,MATCH($E584,art_ref,0))),INDEX(art_price,MATCH($E584,art_ref,0)),""),"")))</f>
        <v/>
      </c>
      <c r="K584" s="71" t="n"/>
      <c r="L584" s="72" t="n"/>
      <c r="M584" s="72" t="str">
        <f>IF(E584="","",IF(L584&lt;&gt;"",L584,IFERROR(IF(ISNUMBER(INDEX(art_tva,MATCH($E584,art_ref,0))),INDEX(art_tva,MATCH($E584,art_ref,0)),""),"")))</f>
        <v/>
      </c>
      <c r="N584" s="70" t="str">
        <f>IF(OR(E584="",J584=""),"",ROUND(N(H584)*J584*(1-N(K584)),2))</f>
        <v/>
      </c>
      <c r="O584" s="70" t="str">
        <f>IF(OR(N584="",NOT(ISNUMBER(M584))),"",ROUND(N584*M584,2))</f>
        <v/>
      </c>
      <c r="P584" s="70" t="str">
        <f>IF(N584="","",N584+N(O584))</f>
        <v/>
      </c>
      <c r="Q584" s="64" t="n"/>
      <c r="R584" s="73" t="str">
        <f>IF(N(Q584)&gt;0,Q584,IF(OR(N(B584)=0,ISNA(MATCH($C584,sup_code,0))),"",IF(ISNUMBER(INDEX(sup_delay,MATCH($C584,sup_code,0))),B584+INDEX(sup_delay,MATCH($C584,sup_code,0)),"")))</f>
        <v/>
      </c>
      <c r="S584" s="64" t="n"/>
      <c r="T584" s="68" t="n"/>
      <c r="U584" s="64" t="n"/>
      <c r="V584" s="65" t="n"/>
      <c r="W584" s="74" t="str">
        <f>IF(AND(A584="",E584=""),"",IF(V584="Oui",0,MAX(0,ROUND(N(H584)-N(T584),6))))</f>
        <v/>
      </c>
      <c r="X584" s="67" t="str">
        <f>IF(AND(A584="",E584=""),"",IF(V584="Oui","Annulé",IF(AND(N(H584)&gt;0,N(T584)&gt;=N(H584)),"Reçu",IF(N(S584)=0,"Brouillon",IF(AND(ISNUMBER(R584),R584&lt;p_today),"En retard",IF(N(T584)&gt;0,"Partiel","Envoyé"))))))</f>
        <v/>
      </c>
      <c r="Y584" s="75" t="str">
        <f>IF(X584="En retard",p_today-R584,IF(AND(X584="Reçu",ISNUMBER(R584)),MAX(0,N(U584)-R584),""))</f>
        <v/>
      </c>
      <c r="Z584" s="67" t="str">
        <f>IF(AND(A584="",E584=""),"",IF(A584="","N° de bon manquant",IF(N(B584)=0,"Date de commande manquante",IF(C584="","Fournisseur manquant",IF(ISNA(MATCH($C584,sup_code,0)),"Fournisseur inconnu",IF(E584="","Article manquant",IF(ISNA(MATCH($E584,art_ref,0)),"Article inconnu",IF(N(H584)&lt;=0,"Quantité invalide",IF(J584="","Prix manquant",IF(OR(N(K584)&lt;0,N(K584)&gt;=1),"Remise invalide",IF(M584="","TVA manquante",IF(ISNA(MATCH(M584,p_tva,0)),"Taux de TVA inconnu",IF(COUNTIFS(po_num,A584,po_sup,"&lt;&gt;"&amp;C584)&gt;0,"Fournisseur différent sur ce bon",IF(COUNTIFS(po_num,A584,po_date,"&lt;&gt;"&amp;B584)&gt;0,"Date différente sur ce bon",IF(COUNTIF(po_num,A584)&gt;25,"Plus de 25 lignes sur ce bon",IF(R584="","Date de livraison manquante",IF(R584&lt;B584,"Livraison avant la commande",IF(AND(N(T584)&gt;0,N(S584)=0),"Date d'envoi manquante",IF(N(T584)&gt;N(H584),"Reçu plus que commandé",IF(AND(N(T584)&gt;0,N(U584)=0),"Date de réception manquante",IF(AND(N(U584)&gt;0,U584&lt;B584),"Réception avant la commande","OK")))))))))))))))))))))</f>
        <v/>
      </c>
      <c r="AA584" s="66" t="str">
        <f>IF(AND(X584="Reçu",ISNUMBER(R584)),IF(N(U584)&lt;=R584,1,0),"")</f>
        <v/>
      </c>
      <c r="AB584" s="76" t="str">
        <f>IF(OR(X584="Envoyé",X584="Partiel",X584="En retard"),IF(ISNUMBER(R584),R584,100000)+ROW()/100000,"")</f>
        <v/>
      </c>
      <c r="AC584" s="66" t="str">
        <f>IF(A584="","",IF(COUNTIF($A$6:A584,A584)=1,1,""))</f>
        <v/>
      </c>
      <c r="AD584" s="66" t="str">
        <f>IF(AC584=1,COUNT($AC$6:AC584),"")</f>
        <v/>
      </c>
      <c r="AE584" s="66" t="str">
        <f>IFERROR(INDEX(po_num,MATCH(579,po_seq,0))&amp;"","")</f>
        <v/>
      </c>
      <c r="AF584" s="66" t="str">
        <f>IF(OR(A584="",p_po=""),"",IF(A584&amp;""=p_po,COUNTIF($A$6:A584,A584),""))</f>
        <v/>
      </c>
      <c r="AG584" s="66" t="str">
        <f>IF(OR(AB584="",A584=""),"",IF(COUNTIFS($A$6:A584,A584,$AB$6:AB584,"&gt;0")=1,1,""))</f>
        <v/>
      </c>
      <c r="AH584" s="70" t="str">
        <f>IF(AB584="","",ROUND(N(W584)*N(J584)*(1-N(K584)),2))</f>
        <v/>
      </c>
      <c r="AI584" s="70" t="str">
        <f>IF(OR(J584="",N(T584)&lt;=0,V584="Oui"),"",ROUND(N(T584)*J584*(1-N(K584)),2))</f>
        <v/>
      </c>
    </row>
    <row r="585">
      <c r="A585" s="63" t="n"/>
      <c r="B585" s="64" t="n"/>
      <c r="C585" s="65" t="n"/>
      <c r="D585" s="66" t="str">
        <f>IF(C585="","",IFERROR(INDEX(sup_name,MATCH($C585,sup_code,0))&amp;"","Fournisseur inconnu"))</f>
        <v/>
      </c>
      <c r="E585" s="63" t="n"/>
      <c r="F585" s="66" t="str">
        <f>IF(E585="","",IFERROR(INDEX(art_des,MATCH($E585,art_ref,0))&amp;"","Article inconnu"))</f>
        <v/>
      </c>
      <c r="G585" s="67" t="str">
        <f>IF(E585="","",IFERROR(INDEX(art_unit,MATCH($E585,art_ref,0))&amp;"",""))</f>
        <v/>
      </c>
      <c r="H585" s="68" t="n"/>
      <c r="I585" s="69" t="n"/>
      <c r="J585" s="70" t="str">
        <f>IF(E585="","",IF(ISNUMBER(I585),I585,IFERROR(IF(ISNUMBER(INDEX(art_price,MATCH($E585,art_ref,0))),INDEX(art_price,MATCH($E585,art_ref,0)),""),"")))</f>
        <v/>
      </c>
      <c r="K585" s="71" t="n"/>
      <c r="L585" s="72" t="n"/>
      <c r="M585" s="72" t="str">
        <f>IF(E585="","",IF(L585&lt;&gt;"",L585,IFERROR(IF(ISNUMBER(INDEX(art_tva,MATCH($E585,art_ref,0))),INDEX(art_tva,MATCH($E585,art_ref,0)),""),"")))</f>
        <v/>
      </c>
      <c r="N585" s="70" t="str">
        <f>IF(OR(E585="",J585=""),"",ROUND(N(H585)*J585*(1-N(K585)),2))</f>
        <v/>
      </c>
      <c r="O585" s="70" t="str">
        <f>IF(OR(N585="",NOT(ISNUMBER(M585))),"",ROUND(N585*M585,2))</f>
        <v/>
      </c>
      <c r="P585" s="70" t="str">
        <f>IF(N585="","",N585+N(O585))</f>
        <v/>
      </c>
      <c r="Q585" s="64" t="n"/>
      <c r="R585" s="73" t="str">
        <f>IF(N(Q585)&gt;0,Q585,IF(OR(N(B585)=0,ISNA(MATCH($C585,sup_code,0))),"",IF(ISNUMBER(INDEX(sup_delay,MATCH($C585,sup_code,0))),B585+INDEX(sup_delay,MATCH($C585,sup_code,0)),"")))</f>
        <v/>
      </c>
      <c r="S585" s="64" t="n"/>
      <c r="T585" s="68" t="n"/>
      <c r="U585" s="64" t="n"/>
      <c r="V585" s="65" t="n"/>
      <c r="W585" s="74" t="str">
        <f>IF(AND(A585="",E585=""),"",IF(V585="Oui",0,MAX(0,ROUND(N(H585)-N(T585),6))))</f>
        <v/>
      </c>
      <c r="X585" s="67" t="str">
        <f>IF(AND(A585="",E585=""),"",IF(V585="Oui","Annulé",IF(AND(N(H585)&gt;0,N(T585)&gt;=N(H585)),"Reçu",IF(N(S585)=0,"Brouillon",IF(AND(ISNUMBER(R585),R585&lt;p_today),"En retard",IF(N(T585)&gt;0,"Partiel","Envoyé"))))))</f>
        <v/>
      </c>
      <c r="Y585" s="75" t="str">
        <f>IF(X585="En retard",p_today-R585,IF(AND(X585="Reçu",ISNUMBER(R585)),MAX(0,N(U585)-R585),""))</f>
        <v/>
      </c>
      <c r="Z585" s="67" t="str">
        <f>IF(AND(A585="",E585=""),"",IF(A585="","N° de bon manquant",IF(N(B585)=0,"Date de commande manquante",IF(C585="","Fournisseur manquant",IF(ISNA(MATCH($C585,sup_code,0)),"Fournisseur inconnu",IF(E585="","Article manquant",IF(ISNA(MATCH($E585,art_ref,0)),"Article inconnu",IF(N(H585)&lt;=0,"Quantité invalide",IF(J585="","Prix manquant",IF(OR(N(K585)&lt;0,N(K585)&gt;=1),"Remise invalide",IF(M585="","TVA manquante",IF(ISNA(MATCH(M585,p_tva,0)),"Taux de TVA inconnu",IF(COUNTIFS(po_num,A585,po_sup,"&lt;&gt;"&amp;C585)&gt;0,"Fournisseur différent sur ce bon",IF(COUNTIFS(po_num,A585,po_date,"&lt;&gt;"&amp;B585)&gt;0,"Date différente sur ce bon",IF(COUNTIF(po_num,A585)&gt;25,"Plus de 25 lignes sur ce bon",IF(R585="","Date de livraison manquante",IF(R585&lt;B585,"Livraison avant la commande",IF(AND(N(T585)&gt;0,N(S585)=0),"Date d'envoi manquante",IF(N(T585)&gt;N(H585),"Reçu plus que commandé",IF(AND(N(T585)&gt;0,N(U585)=0),"Date de réception manquante",IF(AND(N(U585)&gt;0,U585&lt;B585),"Réception avant la commande","OK")))))))))))))))))))))</f>
        <v/>
      </c>
      <c r="AA585" s="66" t="str">
        <f>IF(AND(X585="Reçu",ISNUMBER(R585)),IF(N(U585)&lt;=R585,1,0),"")</f>
        <v/>
      </c>
      <c r="AB585" s="76" t="str">
        <f>IF(OR(X585="Envoyé",X585="Partiel",X585="En retard"),IF(ISNUMBER(R585),R585,100000)+ROW()/100000,"")</f>
        <v/>
      </c>
      <c r="AC585" s="66" t="str">
        <f>IF(A585="","",IF(COUNTIF($A$6:A585,A585)=1,1,""))</f>
        <v/>
      </c>
      <c r="AD585" s="66" t="str">
        <f>IF(AC585=1,COUNT($AC$6:AC585),"")</f>
        <v/>
      </c>
      <c r="AE585" s="66" t="str">
        <f>IFERROR(INDEX(po_num,MATCH(580,po_seq,0))&amp;"","")</f>
        <v/>
      </c>
      <c r="AF585" s="66" t="str">
        <f>IF(OR(A585="",p_po=""),"",IF(A585&amp;""=p_po,COUNTIF($A$6:A585,A585),""))</f>
        <v/>
      </c>
      <c r="AG585" s="66" t="str">
        <f>IF(OR(AB585="",A585=""),"",IF(COUNTIFS($A$6:A585,A585,$AB$6:AB585,"&gt;0")=1,1,""))</f>
        <v/>
      </c>
      <c r="AH585" s="70" t="str">
        <f>IF(AB585="","",ROUND(N(W585)*N(J585)*(1-N(K585)),2))</f>
        <v/>
      </c>
      <c r="AI585" s="70" t="str">
        <f>IF(OR(J585="",N(T585)&lt;=0,V585="Oui"),"",ROUND(N(T585)*J585*(1-N(K585)),2))</f>
        <v/>
      </c>
    </row>
    <row r="586">
      <c r="A586" s="63" t="n"/>
      <c r="B586" s="64" t="n"/>
      <c r="C586" s="65" t="n"/>
      <c r="D586" s="66" t="str">
        <f>IF(C586="","",IFERROR(INDEX(sup_name,MATCH($C586,sup_code,0))&amp;"","Fournisseur inconnu"))</f>
        <v/>
      </c>
      <c r="E586" s="63" t="n"/>
      <c r="F586" s="66" t="str">
        <f>IF(E586="","",IFERROR(INDEX(art_des,MATCH($E586,art_ref,0))&amp;"","Article inconnu"))</f>
        <v/>
      </c>
      <c r="G586" s="67" t="str">
        <f>IF(E586="","",IFERROR(INDEX(art_unit,MATCH($E586,art_ref,0))&amp;"",""))</f>
        <v/>
      </c>
      <c r="H586" s="68" t="n"/>
      <c r="I586" s="69" t="n"/>
      <c r="J586" s="70" t="str">
        <f>IF(E586="","",IF(ISNUMBER(I586),I586,IFERROR(IF(ISNUMBER(INDEX(art_price,MATCH($E586,art_ref,0))),INDEX(art_price,MATCH($E586,art_ref,0)),""),"")))</f>
        <v/>
      </c>
      <c r="K586" s="71" t="n"/>
      <c r="L586" s="72" t="n"/>
      <c r="M586" s="72" t="str">
        <f>IF(E586="","",IF(L586&lt;&gt;"",L586,IFERROR(IF(ISNUMBER(INDEX(art_tva,MATCH($E586,art_ref,0))),INDEX(art_tva,MATCH($E586,art_ref,0)),""),"")))</f>
        <v/>
      </c>
      <c r="N586" s="70" t="str">
        <f>IF(OR(E586="",J586=""),"",ROUND(N(H586)*J586*(1-N(K586)),2))</f>
        <v/>
      </c>
      <c r="O586" s="70" t="str">
        <f>IF(OR(N586="",NOT(ISNUMBER(M586))),"",ROUND(N586*M586,2))</f>
        <v/>
      </c>
      <c r="P586" s="70" t="str">
        <f>IF(N586="","",N586+N(O586))</f>
        <v/>
      </c>
      <c r="Q586" s="64" t="n"/>
      <c r="R586" s="73" t="str">
        <f>IF(N(Q586)&gt;0,Q586,IF(OR(N(B586)=0,ISNA(MATCH($C586,sup_code,0))),"",IF(ISNUMBER(INDEX(sup_delay,MATCH($C586,sup_code,0))),B586+INDEX(sup_delay,MATCH($C586,sup_code,0)),"")))</f>
        <v/>
      </c>
      <c r="S586" s="64" t="n"/>
      <c r="T586" s="68" t="n"/>
      <c r="U586" s="64" t="n"/>
      <c r="V586" s="65" t="n"/>
      <c r="W586" s="74" t="str">
        <f>IF(AND(A586="",E586=""),"",IF(V586="Oui",0,MAX(0,ROUND(N(H586)-N(T586),6))))</f>
        <v/>
      </c>
      <c r="X586" s="67" t="str">
        <f>IF(AND(A586="",E586=""),"",IF(V586="Oui","Annulé",IF(AND(N(H586)&gt;0,N(T586)&gt;=N(H586)),"Reçu",IF(N(S586)=0,"Brouillon",IF(AND(ISNUMBER(R586),R586&lt;p_today),"En retard",IF(N(T586)&gt;0,"Partiel","Envoyé"))))))</f>
        <v/>
      </c>
      <c r="Y586" s="75" t="str">
        <f>IF(X586="En retard",p_today-R586,IF(AND(X586="Reçu",ISNUMBER(R586)),MAX(0,N(U586)-R586),""))</f>
        <v/>
      </c>
      <c r="Z586" s="67" t="str">
        <f>IF(AND(A586="",E586=""),"",IF(A586="","N° de bon manquant",IF(N(B586)=0,"Date de commande manquante",IF(C586="","Fournisseur manquant",IF(ISNA(MATCH($C586,sup_code,0)),"Fournisseur inconnu",IF(E586="","Article manquant",IF(ISNA(MATCH($E586,art_ref,0)),"Article inconnu",IF(N(H586)&lt;=0,"Quantité invalide",IF(J586="","Prix manquant",IF(OR(N(K586)&lt;0,N(K586)&gt;=1),"Remise invalide",IF(M586="","TVA manquante",IF(ISNA(MATCH(M586,p_tva,0)),"Taux de TVA inconnu",IF(COUNTIFS(po_num,A586,po_sup,"&lt;&gt;"&amp;C586)&gt;0,"Fournisseur différent sur ce bon",IF(COUNTIFS(po_num,A586,po_date,"&lt;&gt;"&amp;B586)&gt;0,"Date différente sur ce bon",IF(COUNTIF(po_num,A586)&gt;25,"Plus de 25 lignes sur ce bon",IF(R586="","Date de livraison manquante",IF(R586&lt;B586,"Livraison avant la commande",IF(AND(N(T586)&gt;0,N(S586)=0),"Date d'envoi manquante",IF(N(T586)&gt;N(H586),"Reçu plus que commandé",IF(AND(N(T586)&gt;0,N(U586)=0),"Date de réception manquante",IF(AND(N(U586)&gt;0,U586&lt;B586),"Réception avant la commande","OK")))))))))))))))))))))</f>
        <v/>
      </c>
      <c r="AA586" s="66" t="str">
        <f>IF(AND(X586="Reçu",ISNUMBER(R586)),IF(N(U586)&lt;=R586,1,0),"")</f>
        <v/>
      </c>
      <c r="AB586" s="76" t="str">
        <f>IF(OR(X586="Envoyé",X586="Partiel",X586="En retard"),IF(ISNUMBER(R586),R586,100000)+ROW()/100000,"")</f>
        <v/>
      </c>
      <c r="AC586" s="66" t="str">
        <f>IF(A586="","",IF(COUNTIF($A$6:A586,A586)=1,1,""))</f>
        <v/>
      </c>
      <c r="AD586" s="66" t="str">
        <f>IF(AC586=1,COUNT($AC$6:AC586),"")</f>
        <v/>
      </c>
      <c r="AE586" s="66" t="str">
        <f>IFERROR(INDEX(po_num,MATCH(581,po_seq,0))&amp;"","")</f>
        <v/>
      </c>
      <c r="AF586" s="66" t="str">
        <f>IF(OR(A586="",p_po=""),"",IF(A586&amp;""=p_po,COUNTIF($A$6:A586,A586),""))</f>
        <v/>
      </c>
      <c r="AG586" s="66" t="str">
        <f>IF(OR(AB586="",A586=""),"",IF(COUNTIFS($A$6:A586,A586,$AB$6:AB586,"&gt;0")=1,1,""))</f>
        <v/>
      </c>
      <c r="AH586" s="70" t="str">
        <f>IF(AB586="","",ROUND(N(W586)*N(J586)*(1-N(K586)),2))</f>
        <v/>
      </c>
      <c r="AI586" s="70" t="str">
        <f>IF(OR(J586="",N(T586)&lt;=0,V586="Oui"),"",ROUND(N(T586)*J586*(1-N(K586)),2))</f>
        <v/>
      </c>
    </row>
    <row r="587">
      <c r="A587" s="63" t="n"/>
      <c r="B587" s="64" t="n"/>
      <c r="C587" s="65" t="n"/>
      <c r="D587" s="66" t="str">
        <f>IF(C587="","",IFERROR(INDEX(sup_name,MATCH($C587,sup_code,0))&amp;"","Fournisseur inconnu"))</f>
        <v/>
      </c>
      <c r="E587" s="63" t="n"/>
      <c r="F587" s="66" t="str">
        <f>IF(E587="","",IFERROR(INDEX(art_des,MATCH($E587,art_ref,0))&amp;"","Article inconnu"))</f>
        <v/>
      </c>
      <c r="G587" s="67" t="str">
        <f>IF(E587="","",IFERROR(INDEX(art_unit,MATCH($E587,art_ref,0))&amp;"",""))</f>
        <v/>
      </c>
      <c r="H587" s="68" t="n"/>
      <c r="I587" s="69" t="n"/>
      <c r="J587" s="70" t="str">
        <f>IF(E587="","",IF(ISNUMBER(I587),I587,IFERROR(IF(ISNUMBER(INDEX(art_price,MATCH($E587,art_ref,0))),INDEX(art_price,MATCH($E587,art_ref,0)),""),"")))</f>
        <v/>
      </c>
      <c r="K587" s="71" t="n"/>
      <c r="L587" s="72" t="n"/>
      <c r="M587" s="72" t="str">
        <f>IF(E587="","",IF(L587&lt;&gt;"",L587,IFERROR(IF(ISNUMBER(INDEX(art_tva,MATCH($E587,art_ref,0))),INDEX(art_tva,MATCH($E587,art_ref,0)),""),"")))</f>
        <v/>
      </c>
      <c r="N587" s="70" t="str">
        <f>IF(OR(E587="",J587=""),"",ROUND(N(H587)*J587*(1-N(K587)),2))</f>
        <v/>
      </c>
      <c r="O587" s="70" t="str">
        <f>IF(OR(N587="",NOT(ISNUMBER(M587))),"",ROUND(N587*M587,2))</f>
        <v/>
      </c>
      <c r="P587" s="70" t="str">
        <f>IF(N587="","",N587+N(O587))</f>
        <v/>
      </c>
      <c r="Q587" s="64" t="n"/>
      <c r="R587" s="73" t="str">
        <f>IF(N(Q587)&gt;0,Q587,IF(OR(N(B587)=0,ISNA(MATCH($C587,sup_code,0))),"",IF(ISNUMBER(INDEX(sup_delay,MATCH($C587,sup_code,0))),B587+INDEX(sup_delay,MATCH($C587,sup_code,0)),"")))</f>
        <v/>
      </c>
      <c r="S587" s="64" t="n"/>
      <c r="T587" s="68" t="n"/>
      <c r="U587" s="64" t="n"/>
      <c r="V587" s="65" t="n"/>
      <c r="W587" s="74" t="str">
        <f>IF(AND(A587="",E587=""),"",IF(V587="Oui",0,MAX(0,ROUND(N(H587)-N(T587),6))))</f>
        <v/>
      </c>
      <c r="X587" s="67" t="str">
        <f>IF(AND(A587="",E587=""),"",IF(V587="Oui","Annulé",IF(AND(N(H587)&gt;0,N(T587)&gt;=N(H587)),"Reçu",IF(N(S587)=0,"Brouillon",IF(AND(ISNUMBER(R587),R587&lt;p_today),"En retard",IF(N(T587)&gt;0,"Partiel","Envoyé"))))))</f>
        <v/>
      </c>
      <c r="Y587" s="75" t="str">
        <f>IF(X587="En retard",p_today-R587,IF(AND(X587="Reçu",ISNUMBER(R587)),MAX(0,N(U587)-R587),""))</f>
        <v/>
      </c>
      <c r="Z587" s="67" t="str">
        <f>IF(AND(A587="",E587=""),"",IF(A587="","N° de bon manquant",IF(N(B587)=0,"Date de commande manquante",IF(C587="","Fournisseur manquant",IF(ISNA(MATCH($C587,sup_code,0)),"Fournisseur inconnu",IF(E587="","Article manquant",IF(ISNA(MATCH($E587,art_ref,0)),"Article inconnu",IF(N(H587)&lt;=0,"Quantité invalide",IF(J587="","Prix manquant",IF(OR(N(K587)&lt;0,N(K587)&gt;=1),"Remise invalide",IF(M587="","TVA manquante",IF(ISNA(MATCH(M587,p_tva,0)),"Taux de TVA inconnu",IF(COUNTIFS(po_num,A587,po_sup,"&lt;&gt;"&amp;C587)&gt;0,"Fournisseur différent sur ce bon",IF(COUNTIFS(po_num,A587,po_date,"&lt;&gt;"&amp;B587)&gt;0,"Date différente sur ce bon",IF(COUNTIF(po_num,A587)&gt;25,"Plus de 25 lignes sur ce bon",IF(R587="","Date de livraison manquante",IF(R587&lt;B587,"Livraison avant la commande",IF(AND(N(T587)&gt;0,N(S587)=0),"Date d'envoi manquante",IF(N(T587)&gt;N(H587),"Reçu plus que commandé",IF(AND(N(T587)&gt;0,N(U587)=0),"Date de réception manquante",IF(AND(N(U587)&gt;0,U587&lt;B587),"Réception avant la commande","OK")))))))))))))))))))))</f>
        <v/>
      </c>
      <c r="AA587" s="66" t="str">
        <f>IF(AND(X587="Reçu",ISNUMBER(R587)),IF(N(U587)&lt;=R587,1,0),"")</f>
        <v/>
      </c>
      <c r="AB587" s="76" t="str">
        <f>IF(OR(X587="Envoyé",X587="Partiel",X587="En retard"),IF(ISNUMBER(R587),R587,100000)+ROW()/100000,"")</f>
        <v/>
      </c>
      <c r="AC587" s="66" t="str">
        <f>IF(A587="","",IF(COUNTIF($A$6:A587,A587)=1,1,""))</f>
        <v/>
      </c>
      <c r="AD587" s="66" t="str">
        <f>IF(AC587=1,COUNT($AC$6:AC587),"")</f>
        <v/>
      </c>
      <c r="AE587" s="66" t="str">
        <f>IFERROR(INDEX(po_num,MATCH(582,po_seq,0))&amp;"","")</f>
        <v/>
      </c>
      <c r="AF587" s="66" t="str">
        <f>IF(OR(A587="",p_po=""),"",IF(A587&amp;""=p_po,COUNTIF($A$6:A587,A587),""))</f>
        <v/>
      </c>
      <c r="AG587" s="66" t="str">
        <f>IF(OR(AB587="",A587=""),"",IF(COUNTIFS($A$6:A587,A587,$AB$6:AB587,"&gt;0")=1,1,""))</f>
        <v/>
      </c>
      <c r="AH587" s="70" t="str">
        <f>IF(AB587="","",ROUND(N(W587)*N(J587)*(1-N(K587)),2))</f>
        <v/>
      </c>
      <c r="AI587" s="70" t="str">
        <f>IF(OR(J587="",N(T587)&lt;=0,V587="Oui"),"",ROUND(N(T587)*J587*(1-N(K587)),2))</f>
        <v/>
      </c>
    </row>
    <row r="588">
      <c r="A588" s="63" t="n"/>
      <c r="B588" s="64" t="n"/>
      <c r="C588" s="65" t="n"/>
      <c r="D588" s="66" t="str">
        <f>IF(C588="","",IFERROR(INDEX(sup_name,MATCH($C588,sup_code,0))&amp;"","Fournisseur inconnu"))</f>
        <v/>
      </c>
      <c r="E588" s="63" t="n"/>
      <c r="F588" s="66" t="str">
        <f>IF(E588="","",IFERROR(INDEX(art_des,MATCH($E588,art_ref,0))&amp;"","Article inconnu"))</f>
        <v/>
      </c>
      <c r="G588" s="67" t="str">
        <f>IF(E588="","",IFERROR(INDEX(art_unit,MATCH($E588,art_ref,0))&amp;"",""))</f>
        <v/>
      </c>
      <c r="H588" s="68" t="n"/>
      <c r="I588" s="69" t="n"/>
      <c r="J588" s="70" t="str">
        <f>IF(E588="","",IF(ISNUMBER(I588),I588,IFERROR(IF(ISNUMBER(INDEX(art_price,MATCH($E588,art_ref,0))),INDEX(art_price,MATCH($E588,art_ref,0)),""),"")))</f>
        <v/>
      </c>
      <c r="K588" s="71" t="n"/>
      <c r="L588" s="72" t="n"/>
      <c r="M588" s="72" t="str">
        <f>IF(E588="","",IF(L588&lt;&gt;"",L588,IFERROR(IF(ISNUMBER(INDEX(art_tva,MATCH($E588,art_ref,0))),INDEX(art_tva,MATCH($E588,art_ref,0)),""),"")))</f>
        <v/>
      </c>
      <c r="N588" s="70" t="str">
        <f>IF(OR(E588="",J588=""),"",ROUND(N(H588)*J588*(1-N(K588)),2))</f>
        <v/>
      </c>
      <c r="O588" s="70" t="str">
        <f>IF(OR(N588="",NOT(ISNUMBER(M588))),"",ROUND(N588*M588,2))</f>
        <v/>
      </c>
      <c r="P588" s="70" t="str">
        <f>IF(N588="","",N588+N(O588))</f>
        <v/>
      </c>
      <c r="Q588" s="64" t="n"/>
      <c r="R588" s="73" t="str">
        <f>IF(N(Q588)&gt;0,Q588,IF(OR(N(B588)=0,ISNA(MATCH($C588,sup_code,0))),"",IF(ISNUMBER(INDEX(sup_delay,MATCH($C588,sup_code,0))),B588+INDEX(sup_delay,MATCH($C588,sup_code,0)),"")))</f>
        <v/>
      </c>
      <c r="S588" s="64" t="n"/>
      <c r="T588" s="68" t="n"/>
      <c r="U588" s="64" t="n"/>
      <c r="V588" s="65" t="n"/>
      <c r="W588" s="74" t="str">
        <f>IF(AND(A588="",E588=""),"",IF(V588="Oui",0,MAX(0,ROUND(N(H588)-N(T588),6))))</f>
        <v/>
      </c>
      <c r="X588" s="67" t="str">
        <f>IF(AND(A588="",E588=""),"",IF(V588="Oui","Annulé",IF(AND(N(H588)&gt;0,N(T588)&gt;=N(H588)),"Reçu",IF(N(S588)=0,"Brouillon",IF(AND(ISNUMBER(R588),R588&lt;p_today),"En retard",IF(N(T588)&gt;0,"Partiel","Envoyé"))))))</f>
        <v/>
      </c>
      <c r="Y588" s="75" t="str">
        <f>IF(X588="En retard",p_today-R588,IF(AND(X588="Reçu",ISNUMBER(R588)),MAX(0,N(U588)-R588),""))</f>
        <v/>
      </c>
      <c r="Z588" s="67" t="str">
        <f>IF(AND(A588="",E588=""),"",IF(A588="","N° de bon manquant",IF(N(B588)=0,"Date de commande manquante",IF(C588="","Fournisseur manquant",IF(ISNA(MATCH($C588,sup_code,0)),"Fournisseur inconnu",IF(E588="","Article manquant",IF(ISNA(MATCH($E588,art_ref,0)),"Article inconnu",IF(N(H588)&lt;=0,"Quantité invalide",IF(J588="","Prix manquant",IF(OR(N(K588)&lt;0,N(K588)&gt;=1),"Remise invalide",IF(M588="","TVA manquante",IF(ISNA(MATCH(M588,p_tva,0)),"Taux de TVA inconnu",IF(COUNTIFS(po_num,A588,po_sup,"&lt;&gt;"&amp;C588)&gt;0,"Fournisseur différent sur ce bon",IF(COUNTIFS(po_num,A588,po_date,"&lt;&gt;"&amp;B588)&gt;0,"Date différente sur ce bon",IF(COUNTIF(po_num,A588)&gt;25,"Plus de 25 lignes sur ce bon",IF(R588="","Date de livraison manquante",IF(R588&lt;B588,"Livraison avant la commande",IF(AND(N(T588)&gt;0,N(S588)=0),"Date d'envoi manquante",IF(N(T588)&gt;N(H588),"Reçu plus que commandé",IF(AND(N(T588)&gt;0,N(U588)=0),"Date de réception manquante",IF(AND(N(U588)&gt;0,U588&lt;B588),"Réception avant la commande","OK")))))))))))))))))))))</f>
        <v/>
      </c>
      <c r="AA588" s="66" t="str">
        <f>IF(AND(X588="Reçu",ISNUMBER(R588)),IF(N(U588)&lt;=R588,1,0),"")</f>
        <v/>
      </c>
      <c r="AB588" s="76" t="str">
        <f>IF(OR(X588="Envoyé",X588="Partiel",X588="En retard"),IF(ISNUMBER(R588),R588,100000)+ROW()/100000,"")</f>
        <v/>
      </c>
      <c r="AC588" s="66" t="str">
        <f>IF(A588="","",IF(COUNTIF($A$6:A588,A588)=1,1,""))</f>
        <v/>
      </c>
      <c r="AD588" s="66" t="str">
        <f>IF(AC588=1,COUNT($AC$6:AC588),"")</f>
        <v/>
      </c>
      <c r="AE588" s="66" t="str">
        <f>IFERROR(INDEX(po_num,MATCH(583,po_seq,0))&amp;"","")</f>
        <v/>
      </c>
      <c r="AF588" s="66" t="str">
        <f>IF(OR(A588="",p_po=""),"",IF(A588&amp;""=p_po,COUNTIF($A$6:A588,A588),""))</f>
        <v/>
      </c>
      <c r="AG588" s="66" t="str">
        <f>IF(OR(AB588="",A588=""),"",IF(COUNTIFS($A$6:A588,A588,$AB$6:AB588,"&gt;0")=1,1,""))</f>
        <v/>
      </c>
      <c r="AH588" s="70" t="str">
        <f>IF(AB588="","",ROUND(N(W588)*N(J588)*(1-N(K588)),2))</f>
        <v/>
      </c>
      <c r="AI588" s="70" t="str">
        <f>IF(OR(J588="",N(T588)&lt;=0,V588="Oui"),"",ROUND(N(T588)*J588*(1-N(K588)),2))</f>
        <v/>
      </c>
    </row>
    <row r="589">
      <c r="A589" s="63" t="n"/>
      <c r="B589" s="64" t="n"/>
      <c r="C589" s="65" t="n"/>
      <c r="D589" s="66" t="str">
        <f>IF(C589="","",IFERROR(INDEX(sup_name,MATCH($C589,sup_code,0))&amp;"","Fournisseur inconnu"))</f>
        <v/>
      </c>
      <c r="E589" s="63" t="n"/>
      <c r="F589" s="66" t="str">
        <f>IF(E589="","",IFERROR(INDEX(art_des,MATCH($E589,art_ref,0))&amp;"","Article inconnu"))</f>
        <v/>
      </c>
      <c r="G589" s="67" t="str">
        <f>IF(E589="","",IFERROR(INDEX(art_unit,MATCH($E589,art_ref,0))&amp;"",""))</f>
        <v/>
      </c>
      <c r="H589" s="68" t="n"/>
      <c r="I589" s="69" t="n"/>
      <c r="J589" s="70" t="str">
        <f>IF(E589="","",IF(ISNUMBER(I589),I589,IFERROR(IF(ISNUMBER(INDEX(art_price,MATCH($E589,art_ref,0))),INDEX(art_price,MATCH($E589,art_ref,0)),""),"")))</f>
        <v/>
      </c>
      <c r="K589" s="71" t="n"/>
      <c r="L589" s="72" t="n"/>
      <c r="M589" s="72" t="str">
        <f>IF(E589="","",IF(L589&lt;&gt;"",L589,IFERROR(IF(ISNUMBER(INDEX(art_tva,MATCH($E589,art_ref,0))),INDEX(art_tva,MATCH($E589,art_ref,0)),""),"")))</f>
        <v/>
      </c>
      <c r="N589" s="70" t="str">
        <f>IF(OR(E589="",J589=""),"",ROUND(N(H589)*J589*(1-N(K589)),2))</f>
        <v/>
      </c>
      <c r="O589" s="70" t="str">
        <f>IF(OR(N589="",NOT(ISNUMBER(M589))),"",ROUND(N589*M589,2))</f>
        <v/>
      </c>
      <c r="P589" s="70" t="str">
        <f>IF(N589="","",N589+N(O589))</f>
        <v/>
      </c>
      <c r="Q589" s="64" t="n"/>
      <c r="R589" s="73" t="str">
        <f>IF(N(Q589)&gt;0,Q589,IF(OR(N(B589)=0,ISNA(MATCH($C589,sup_code,0))),"",IF(ISNUMBER(INDEX(sup_delay,MATCH($C589,sup_code,0))),B589+INDEX(sup_delay,MATCH($C589,sup_code,0)),"")))</f>
        <v/>
      </c>
      <c r="S589" s="64" t="n"/>
      <c r="T589" s="68" t="n"/>
      <c r="U589" s="64" t="n"/>
      <c r="V589" s="65" t="n"/>
      <c r="W589" s="74" t="str">
        <f>IF(AND(A589="",E589=""),"",IF(V589="Oui",0,MAX(0,ROUND(N(H589)-N(T589),6))))</f>
        <v/>
      </c>
      <c r="X589" s="67" t="str">
        <f>IF(AND(A589="",E589=""),"",IF(V589="Oui","Annulé",IF(AND(N(H589)&gt;0,N(T589)&gt;=N(H589)),"Reçu",IF(N(S589)=0,"Brouillon",IF(AND(ISNUMBER(R589),R589&lt;p_today),"En retard",IF(N(T589)&gt;0,"Partiel","Envoyé"))))))</f>
        <v/>
      </c>
      <c r="Y589" s="75" t="str">
        <f>IF(X589="En retard",p_today-R589,IF(AND(X589="Reçu",ISNUMBER(R589)),MAX(0,N(U589)-R589),""))</f>
        <v/>
      </c>
      <c r="Z589" s="67" t="str">
        <f>IF(AND(A589="",E589=""),"",IF(A589="","N° de bon manquant",IF(N(B589)=0,"Date de commande manquante",IF(C589="","Fournisseur manquant",IF(ISNA(MATCH($C589,sup_code,0)),"Fournisseur inconnu",IF(E589="","Article manquant",IF(ISNA(MATCH($E589,art_ref,0)),"Article inconnu",IF(N(H589)&lt;=0,"Quantité invalide",IF(J589="","Prix manquant",IF(OR(N(K589)&lt;0,N(K589)&gt;=1),"Remise invalide",IF(M589="","TVA manquante",IF(ISNA(MATCH(M589,p_tva,0)),"Taux de TVA inconnu",IF(COUNTIFS(po_num,A589,po_sup,"&lt;&gt;"&amp;C589)&gt;0,"Fournisseur différent sur ce bon",IF(COUNTIFS(po_num,A589,po_date,"&lt;&gt;"&amp;B589)&gt;0,"Date différente sur ce bon",IF(COUNTIF(po_num,A589)&gt;25,"Plus de 25 lignes sur ce bon",IF(R589="","Date de livraison manquante",IF(R589&lt;B589,"Livraison avant la commande",IF(AND(N(T589)&gt;0,N(S589)=0),"Date d'envoi manquante",IF(N(T589)&gt;N(H589),"Reçu plus que commandé",IF(AND(N(T589)&gt;0,N(U589)=0),"Date de réception manquante",IF(AND(N(U589)&gt;0,U589&lt;B589),"Réception avant la commande","OK")))))))))))))))))))))</f>
        <v/>
      </c>
      <c r="AA589" s="66" t="str">
        <f>IF(AND(X589="Reçu",ISNUMBER(R589)),IF(N(U589)&lt;=R589,1,0),"")</f>
        <v/>
      </c>
      <c r="AB589" s="76" t="str">
        <f>IF(OR(X589="Envoyé",X589="Partiel",X589="En retard"),IF(ISNUMBER(R589),R589,100000)+ROW()/100000,"")</f>
        <v/>
      </c>
      <c r="AC589" s="66" t="str">
        <f>IF(A589="","",IF(COUNTIF($A$6:A589,A589)=1,1,""))</f>
        <v/>
      </c>
      <c r="AD589" s="66" t="str">
        <f>IF(AC589=1,COUNT($AC$6:AC589),"")</f>
        <v/>
      </c>
      <c r="AE589" s="66" t="str">
        <f>IFERROR(INDEX(po_num,MATCH(584,po_seq,0))&amp;"","")</f>
        <v/>
      </c>
      <c r="AF589" s="66" t="str">
        <f>IF(OR(A589="",p_po=""),"",IF(A589&amp;""=p_po,COUNTIF($A$6:A589,A589),""))</f>
        <v/>
      </c>
      <c r="AG589" s="66" t="str">
        <f>IF(OR(AB589="",A589=""),"",IF(COUNTIFS($A$6:A589,A589,$AB$6:AB589,"&gt;0")=1,1,""))</f>
        <v/>
      </c>
      <c r="AH589" s="70" t="str">
        <f>IF(AB589="","",ROUND(N(W589)*N(J589)*(1-N(K589)),2))</f>
        <v/>
      </c>
      <c r="AI589" s="70" t="str">
        <f>IF(OR(J589="",N(T589)&lt;=0,V589="Oui"),"",ROUND(N(T589)*J589*(1-N(K589)),2))</f>
        <v/>
      </c>
    </row>
    <row r="590">
      <c r="A590" s="63" t="n"/>
      <c r="B590" s="64" t="n"/>
      <c r="C590" s="65" t="n"/>
      <c r="D590" s="66" t="str">
        <f>IF(C590="","",IFERROR(INDEX(sup_name,MATCH($C590,sup_code,0))&amp;"","Fournisseur inconnu"))</f>
        <v/>
      </c>
      <c r="E590" s="63" t="n"/>
      <c r="F590" s="66" t="str">
        <f>IF(E590="","",IFERROR(INDEX(art_des,MATCH($E590,art_ref,0))&amp;"","Article inconnu"))</f>
        <v/>
      </c>
      <c r="G590" s="67" t="str">
        <f>IF(E590="","",IFERROR(INDEX(art_unit,MATCH($E590,art_ref,0))&amp;"",""))</f>
        <v/>
      </c>
      <c r="H590" s="68" t="n"/>
      <c r="I590" s="69" t="n"/>
      <c r="J590" s="70" t="str">
        <f>IF(E590="","",IF(ISNUMBER(I590),I590,IFERROR(IF(ISNUMBER(INDEX(art_price,MATCH($E590,art_ref,0))),INDEX(art_price,MATCH($E590,art_ref,0)),""),"")))</f>
        <v/>
      </c>
      <c r="K590" s="71" t="n"/>
      <c r="L590" s="72" t="n"/>
      <c r="M590" s="72" t="str">
        <f>IF(E590="","",IF(L590&lt;&gt;"",L590,IFERROR(IF(ISNUMBER(INDEX(art_tva,MATCH($E590,art_ref,0))),INDEX(art_tva,MATCH($E590,art_ref,0)),""),"")))</f>
        <v/>
      </c>
      <c r="N590" s="70" t="str">
        <f>IF(OR(E590="",J590=""),"",ROUND(N(H590)*J590*(1-N(K590)),2))</f>
        <v/>
      </c>
      <c r="O590" s="70" t="str">
        <f>IF(OR(N590="",NOT(ISNUMBER(M590))),"",ROUND(N590*M590,2))</f>
        <v/>
      </c>
      <c r="P590" s="70" t="str">
        <f>IF(N590="","",N590+N(O590))</f>
        <v/>
      </c>
      <c r="Q590" s="64" t="n"/>
      <c r="R590" s="73" t="str">
        <f>IF(N(Q590)&gt;0,Q590,IF(OR(N(B590)=0,ISNA(MATCH($C590,sup_code,0))),"",IF(ISNUMBER(INDEX(sup_delay,MATCH($C590,sup_code,0))),B590+INDEX(sup_delay,MATCH($C590,sup_code,0)),"")))</f>
        <v/>
      </c>
      <c r="S590" s="64" t="n"/>
      <c r="T590" s="68" t="n"/>
      <c r="U590" s="64" t="n"/>
      <c r="V590" s="65" t="n"/>
      <c r="W590" s="74" t="str">
        <f>IF(AND(A590="",E590=""),"",IF(V590="Oui",0,MAX(0,ROUND(N(H590)-N(T590),6))))</f>
        <v/>
      </c>
      <c r="X590" s="67" t="str">
        <f>IF(AND(A590="",E590=""),"",IF(V590="Oui","Annulé",IF(AND(N(H590)&gt;0,N(T590)&gt;=N(H590)),"Reçu",IF(N(S590)=0,"Brouillon",IF(AND(ISNUMBER(R590),R590&lt;p_today),"En retard",IF(N(T590)&gt;0,"Partiel","Envoyé"))))))</f>
        <v/>
      </c>
      <c r="Y590" s="75" t="str">
        <f>IF(X590="En retard",p_today-R590,IF(AND(X590="Reçu",ISNUMBER(R590)),MAX(0,N(U590)-R590),""))</f>
        <v/>
      </c>
      <c r="Z590" s="67" t="str">
        <f>IF(AND(A590="",E590=""),"",IF(A590="","N° de bon manquant",IF(N(B590)=0,"Date de commande manquante",IF(C590="","Fournisseur manquant",IF(ISNA(MATCH($C590,sup_code,0)),"Fournisseur inconnu",IF(E590="","Article manquant",IF(ISNA(MATCH($E590,art_ref,0)),"Article inconnu",IF(N(H590)&lt;=0,"Quantité invalide",IF(J590="","Prix manquant",IF(OR(N(K590)&lt;0,N(K590)&gt;=1),"Remise invalide",IF(M590="","TVA manquante",IF(ISNA(MATCH(M590,p_tva,0)),"Taux de TVA inconnu",IF(COUNTIFS(po_num,A590,po_sup,"&lt;&gt;"&amp;C590)&gt;0,"Fournisseur différent sur ce bon",IF(COUNTIFS(po_num,A590,po_date,"&lt;&gt;"&amp;B590)&gt;0,"Date différente sur ce bon",IF(COUNTIF(po_num,A590)&gt;25,"Plus de 25 lignes sur ce bon",IF(R590="","Date de livraison manquante",IF(R590&lt;B590,"Livraison avant la commande",IF(AND(N(T590)&gt;0,N(S590)=0),"Date d'envoi manquante",IF(N(T590)&gt;N(H590),"Reçu plus que commandé",IF(AND(N(T590)&gt;0,N(U590)=0),"Date de réception manquante",IF(AND(N(U590)&gt;0,U590&lt;B590),"Réception avant la commande","OK")))))))))))))))))))))</f>
        <v/>
      </c>
      <c r="AA590" s="66" t="str">
        <f>IF(AND(X590="Reçu",ISNUMBER(R590)),IF(N(U590)&lt;=R590,1,0),"")</f>
        <v/>
      </c>
      <c r="AB590" s="76" t="str">
        <f>IF(OR(X590="Envoyé",X590="Partiel",X590="En retard"),IF(ISNUMBER(R590),R590,100000)+ROW()/100000,"")</f>
        <v/>
      </c>
      <c r="AC590" s="66" t="str">
        <f>IF(A590="","",IF(COUNTIF($A$6:A590,A590)=1,1,""))</f>
        <v/>
      </c>
      <c r="AD590" s="66" t="str">
        <f>IF(AC590=1,COUNT($AC$6:AC590),"")</f>
        <v/>
      </c>
      <c r="AE590" s="66" t="str">
        <f>IFERROR(INDEX(po_num,MATCH(585,po_seq,0))&amp;"","")</f>
        <v/>
      </c>
      <c r="AF590" s="66" t="str">
        <f>IF(OR(A590="",p_po=""),"",IF(A590&amp;""=p_po,COUNTIF($A$6:A590,A590),""))</f>
        <v/>
      </c>
      <c r="AG590" s="66" t="str">
        <f>IF(OR(AB590="",A590=""),"",IF(COUNTIFS($A$6:A590,A590,$AB$6:AB590,"&gt;0")=1,1,""))</f>
        <v/>
      </c>
      <c r="AH590" s="70" t="str">
        <f>IF(AB590="","",ROUND(N(W590)*N(J590)*(1-N(K590)),2))</f>
        <v/>
      </c>
      <c r="AI590" s="70" t="str">
        <f>IF(OR(J590="",N(T590)&lt;=0,V590="Oui"),"",ROUND(N(T590)*J590*(1-N(K590)),2))</f>
        <v/>
      </c>
    </row>
    <row r="591">
      <c r="A591" s="63" t="n"/>
      <c r="B591" s="64" t="n"/>
      <c r="C591" s="65" t="n"/>
      <c r="D591" s="66" t="str">
        <f>IF(C591="","",IFERROR(INDEX(sup_name,MATCH($C591,sup_code,0))&amp;"","Fournisseur inconnu"))</f>
        <v/>
      </c>
      <c r="E591" s="63" t="n"/>
      <c r="F591" s="66" t="str">
        <f>IF(E591="","",IFERROR(INDEX(art_des,MATCH($E591,art_ref,0))&amp;"","Article inconnu"))</f>
        <v/>
      </c>
      <c r="G591" s="67" t="str">
        <f>IF(E591="","",IFERROR(INDEX(art_unit,MATCH($E591,art_ref,0))&amp;"",""))</f>
        <v/>
      </c>
      <c r="H591" s="68" t="n"/>
      <c r="I591" s="69" t="n"/>
      <c r="J591" s="70" t="str">
        <f>IF(E591="","",IF(ISNUMBER(I591),I591,IFERROR(IF(ISNUMBER(INDEX(art_price,MATCH($E591,art_ref,0))),INDEX(art_price,MATCH($E591,art_ref,0)),""),"")))</f>
        <v/>
      </c>
      <c r="K591" s="71" t="n"/>
      <c r="L591" s="72" t="n"/>
      <c r="M591" s="72" t="str">
        <f>IF(E591="","",IF(L591&lt;&gt;"",L591,IFERROR(IF(ISNUMBER(INDEX(art_tva,MATCH($E591,art_ref,0))),INDEX(art_tva,MATCH($E591,art_ref,0)),""),"")))</f>
        <v/>
      </c>
      <c r="N591" s="70" t="str">
        <f>IF(OR(E591="",J591=""),"",ROUND(N(H591)*J591*(1-N(K591)),2))</f>
        <v/>
      </c>
      <c r="O591" s="70" t="str">
        <f>IF(OR(N591="",NOT(ISNUMBER(M591))),"",ROUND(N591*M591,2))</f>
        <v/>
      </c>
      <c r="P591" s="70" t="str">
        <f>IF(N591="","",N591+N(O591))</f>
        <v/>
      </c>
      <c r="Q591" s="64" t="n"/>
      <c r="R591" s="73" t="str">
        <f>IF(N(Q591)&gt;0,Q591,IF(OR(N(B591)=0,ISNA(MATCH($C591,sup_code,0))),"",IF(ISNUMBER(INDEX(sup_delay,MATCH($C591,sup_code,0))),B591+INDEX(sup_delay,MATCH($C591,sup_code,0)),"")))</f>
        <v/>
      </c>
      <c r="S591" s="64" t="n"/>
      <c r="T591" s="68" t="n"/>
      <c r="U591" s="64" t="n"/>
      <c r="V591" s="65" t="n"/>
      <c r="W591" s="74" t="str">
        <f>IF(AND(A591="",E591=""),"",IF(V591="Oui",0,MAX(0,ROUND(N(H591)-N(T591),6))))</f>
        <v/>
      </c>
      <c r="X591" s="67" t="str">
        <f>IF(AND(A591="",E591=""),"",IF(V591="Oui","Annulé",IF(AND(N(H591)&gt;0,N(T591)&gt;=N(H591)),"Reçu",IF(N(S591)=0,"Brouillon",IF(AND(ISNUMBER(R591),R591&lt;p_today),"En retard",IF(N(T591)&gt;0,"Partiel","Envoyé"))))))</f>
        <v/>
      </c>
      <c r="Y591" s="75" t="str">
        <f>IF(X591="En retard",p_today-R591,IF(AND(X591="Reçu",ISNUMBER(R591)),MAX(0,N(U591)-R591),""))</f>
        <v/>
      </c>
      <c r="Z591" s="67" t="str">
        <f>IF(AND(A591="",E591=""),"",IF(A591="","N° de bon manquant",IF(N(B591)=0,"Date de commande manquante",IF(C591="","Fournisseur manquant",IF(ISNA(MATCH($C591,sup_code,0)),"Fournisseur inconnu",IF(E591="","Article manquant",IF(ISNA(MATCH($E591,art_ref,0)),"Article inconnu",IF(N(H591)&lt;=0,"Quantité invalide",IF(J591="","Prix manquant",IF(OR(N(K591)&lt;0,N(K591)&gt;=1),"Remise invalide",IF(M591="","TVA manquante",IF(ISNA(MATCH(M591,p_tva,0)),"Taux de TVA inconnu",IF(COUNTIFS(po_num,A591,po_sup,"&lt;&gt;"&amp;C591)&gt;0,"Fournisseur différent sur ce bon",IF(COUNTIFS(po_num,A591,po_date,"&lt;&gt;"&amp;B591)&gt;0,"Date différente sur ce bon",IF(COUNTIF(po_num,A591)&gt;25,"Plus de 25 lignes sur ce bon",IF(R591="","Date de livraison manquante",IF(R591&lt;B591,"Livraison avant la commande",IF(AND(N(T591)&gt;0,N(S591)=0),"Date d'envoi manquante",IF(N(T591)&gt;N(H591),"Reçu plus que commandé",IF(AND(N(T591)&gt;0,N(U591)=0),"Date de réception manquante",IF(AND(N(U591)&gt;0,U591&lt;B591),"Réception avant la commande","OK")))))))))))))))))))))</f>
        <v/>
      </c>
      <c r="AA591" s="66" t="str">
        <f>IF(AND(X591="Reçu",ISNUMBER(R591)),IF(N(U591)&lt;=R591,1,0),"")</f>
        <v/>
      </c>
      <c r="AB591" s="76" t="str">
        <f>IF(OR(X591="Envoyé",X591="Partiel",X591="En retard"),IF(ISNUMBER(R591),R591,100000)+ROW()/100000,"")</f>
        <v/>
      </c>
      <c r="AC591" s="66" t="str">
        <f>IF(A591="","",IF(COUNTIF($A$6:A591,A591)=1,1,""))</f>
        <v/>
      </c>
      <c r="AD591" s="66" t="str">
        <f>IF(AC591=1,COUNT($AC$6:AC591),"")</f>
        <v/>
      </c>
      <c r="AE591" s="66" t="str">
        <f>IFERROR(INDEX(po_num,MATCH(586,po_seq,0))&amp;"","")</f>
        <v/>
      </c>
      <c r="AF591" s="66" t="str">
        <f>IF(OR(A591="",p_po=""),"",IF(A591&amp;""=p_po,COUNTIF($A$6:A591,A591),""))</f>
        <v/>
      </c>
      <c r="AG591" s="66" t="str">
        <f>IF(OR(AB591="",A591=""),"",IF(COUNTIFS($A$6:A591,A591,$AB$6:AB591,"&gt;0")=1,1,""))</f>
        <v/>
      </c>
      <c r="AH591" s="70" t="str">
        <f>IF(AB591="","",ROUND(N(W591)*N(J591)*(1-N(K591)),2))</f>
        <v/>
      </c>
      <c r="AI591" s="70" t="str">
        <f>IF(OR(J591="",N(T591)&lt;=0,V591="Oui"),"",ROUND(N(T591)*J591*(1-N(K591)),2))</f>
        <v/>
      </c>
    </row>
    <row r="592">
      <c r="A592" s="63" t="n"/>
      <c r="B592" s="64" t="n"/>
      <c r="C592" s="65" t="n"/>
      <c r="D592" s="66" t="str">
        <f>IF(C592="","",IFERROR(INDEX(sup_name,MATCH($C592,sup_code,0))&amp;"","Fournisseur inconnu"))</f>
        <v/>
      </c>
      <c r="E592" s="63" t="n"/>
      <c r="F592" s="66" t="str">
        <f>IF(E592="","",IFERROR(INDEX(art_des,MATCH($E592,art_ref,0))&amp;"","Article inconnu"))</f>
        <v/>
      </c>
      <c r="G592" s="67" t="str">
        <f>IF(E592="","",IFERROR(INDEX(art_unit,MATCH($E592,art_ref,0))&amp;"",""))</f>
        <v/>
      </c>
      <c r="H592" s="68" t="n"/>
      <c r="I592" s="69" t="n"/>
      <c r="J592" s="70" t="str">
        <f>IF(E592="","",IF(ISNUMBER(I592),I592,IFERROR(IF(ISNUMBER(INDEX(art_price,MATCH($E592,art_ref,0))),INDEX(art_price,MATCH($E592,art_ref,0)),""),"")))</f>
        <v/>
      </c>
      <c r="K592" s="71" t="n"/>
      <c r="L592" s="72" t="n"/>
      <c r="M592" s="72" t="str">
        <f>IF(E592="","",IF(L592&lt;&gt;"",L592,IFERROR(IF(ISNUMBER(INDEX(art_tva,MATCH($E592,art_ref,0))),INDEX(art_tva,MATCH($E592,art_ref,0)),""),"")))</f>
        <v/>
      </c>
      <c r="N592" s="70" t="str">
        <f>IF(OR(E592="",J592=""),"",ROUND(N(H592)*J592*(1-N(K592)),2))</f>
        <v/>
      </c>
      <c r="O592" s="70" t="str">
        <f>IF(OR(N592="",NOT(ISNUMBER(M592))),"",ROUND(N592*M592,2))</f>
        <v/>
      </c>
      <c r="P592" s="70" t="str">
        <f>IF(N592="","",N592+N(O592))</f>
        <v/>
      </c>
      <c r="Q592" s="64" t="n"/>
      <c r="R592" s="73" t="str">
        <f>IF(N(Q592)&gt;0,Q592,IF(OR(N(B592)=0,ISNA(MATCH($C592,sup_code,0))),"",IF(ISNUMBER(INDEX(sup_delay,MATCH($C592,sup_code,0))),B592+INDEX(sup_delay,MATCH($C592,sup_code,0)),"")))</f>
        <v/>
      </c>
      <c r="S592" s="64" t="n"/>
      <c r="T592" s="68" t="n"/>
      <c r="U592" s="64" t="n"/>
      <c r="V592" s="65" t="n"/>
      <c r="W592" s="74" t="str">
        <f>IF(AND(A592="",E592=""),"",IF(V592="Oui",0,MAX(0,ROUND(N(H592)-N(T592),6))))</f>
        <v/>
      </c>
      <c r="X592" s="67" t="str">
        <f>IF(AND(A592="",E592=""),"",IF(V592="Oui","Annulé",IF(AND(N(H592)&gt;0,N(T592)&gt;=N(H592)),"Reçu",IF(N(S592)=0,"Brouillon",IF(AND(ISNUMBER(R592),R592&lt;p_today),"En retard",IF(N(T592)&gt;0,"Partiel","Envoyé"))))))</f>
        <v/>
      </c>
      <c r="Y592" s="75" t="str">
        <f>IF(X592="En retard",p_today-R592,IF(AND(X592="Reçu",ISNUMBER(R592)),MAX(0,N(U592)-R592),""))</f>
        <v/>
      </c>
      <c r="Z592" s="67" t="str">
        <f>IF(AND(A592="",E592=""),"",IF(A592="","N° de bon manquant",IF(N(B592)=0,"Date de commande manquante",IF(C592="","Fournisseur manquant",IF(ISNA(MATCH($C592,sup_code,0)),"Fournisseur inconnu",IF(E592="","Article manquant",IF(ISNA(MATCH($E592,art_ref,0)),"Article inconnu",IF(N(H592)&lt;=0,"Quantité invalide",IF(J592="","Prix manquant",IF(OR(N(K592)&lt;0,N(K592)&gt;=1),"Remise invalide",IF(M592="","TVA manquante",IF(ISNA(MATCH(M592,p_tva,0)),"Taux de TVA inconnu",IF(COUNTIFS(po_num,A592,po_sup,"&lt;&gt;"&amp;C592)&gt;0,"Fournisseur différent sur ce bon",IF(COUNTIFS(po_num,A592,po_date,"&lt;&gt;"&amp;B592)&gt;0,"Date différente sur ce bon",IF(COUNTIF(po_num,A592)&gt;25,"Plus de 25 lignes sur ce bon",IF(R592="","Date de livraison manquante",IF(R592&lt;B592,"Livraison avant la commande",IF(AND(N(T592)&gt;0,N(S592)=0),"Date d'envoi manquante",IF(N(T592)&gt;N(H592),"Reçu plus que commandé",IF(AND(N(T592)&gt;0,N(U592)=0),"Date de réception manquante",IF(AND(N(U592)&gt;0,U592&lt;B592),"Réception avant la commande","OK")))))))))))))))))))))</f>
        <v/>
      </c>
      <c r="AA592" s="66" t="str">
        <f>IF(AND(X592="Reçu",ISNUMBER(R592)),IF(N(U592)&lt;=R592,1,0),"")</f>
        <v/>
      </c>
      <c r="AB592" s="76" t="str">
        <f>IF(OR(X592="Envoyé",X592="Partiel",X592="En retard"),IF(ISNUMBER(R592),R592,100000)+ROW()/100000,"")</f>
        <v/>
      </c>
      <c r="AC592" s="66" t="str">
        <f>IF(A592="","",IF(COUNTIF($A$6:A592,A592)=1,1,""))</f>
        <v/>
      </c>
      <c r="AD592" s="66" t="str">
        <f>IF(AC592=1,COUNT($AC$6:AC592),"")</f>
        <v/>
      </c>
      <c r="AE592" s="66" t="str">
        <f>IFERROR(INDEX(po_num,MATCH(587,po_seq,0))&amp;"","")</f>
        <v/>
      </c>
      <c r="AF592" s="66" t="str">
        <f>IF(OR(A592="",p_po=""),"",IF(A592&amp;""=p_po,COUNTIF($A$6:A592,A592),""))</f>
        <v/>
      </c>
      <c r="AG592" s="66" t="str">
        <f>IF(OR(AB592="",A592=""),"",IF(COUNTIFS($A$6:A592,A592,$AB$6:AB592,"&gt;0")=1,1,""))</f>
        <v/>
      </c>
      <c r="AH592" s="70" t="str">
        <f>IF(AB592="","",ROUND(N(W592)*N(J592)*(1-N(K592)),2))</f>
        <v/>
      </c>
      <c r="AI592" s="70" t="str">
        <f>IF(OR(J592="",N(T592)&lt;=0,V592="Oui"),"",ROUND(N(T592)*J592*(1-N(K592)),2))</f>
        <v/>
      </c>
    </row>
    <row r="593">
      <c r="A593" s="63" t="n"/>
      <c r="B593" s="64" t="n"/>
      <c r="C593" s="65" t="n"/>
      <c r="D593" s="66" t="str">
        <f>IF(C593="","",IFERROR(INDEX(sup_name,MATCH($C593,sup_code,0))&amp;"","Fournisseur inconnu"))</f>
        <v/>
      </c>
      <c r="E593" s="63" t="n"/>
      <c r="F593" s="66" t="str">
        <f>IF(E593="","",IFERROR(INDEX(art_des,MATCH($E593,art_ref,0))&amp;"","Article inconnu"))</f>
        <v/>
      </c>
      <c r="G593" s="67" t="str">
        <f>IF(E593="","",IFERROR(INDEX(art_unit,MATCH($E593,art_ref,0))&amp;"",""))</f>
        <v/>
      </c>
      <c r="H593" s="68" t="n"/>
      <c r="I593" s="69" t="n"/>
      <c r="J593" s="70" t="str">
        <f>IF(E593="","",IF(ISNUMBER(I593),I593,IFERROR(IF(ISNUMBER(INDEX(art_price,MATCH($E593,art_ref,0))),INDEX(art_price,MATCH($E593,art_ref,0)),""),"")))</f>
        <v/>
      </c>
      <c r="K593" s="71" t="n"/>
      <c r="L593" s="72" t="n"/>
      <c r="M593" s="72" t="str">
        <f>IF(E593="","",IF(L593&lt;&gt;"",L593,IFERROR(IF(ISNUMBER(INDEX(art_tva,MATCH($E593,art_ref,0))),INDEX(art_tva,MATCH($E593,art_ref,0)),""),"")))</f>
        <v/>
      </c>
      <c r="N593" s="70" t="str">
        <f>IF(OR(E593="",J593=""),"",ROUND(N(H593)*J593*(1-N(K593)),2))</f>
        <v/>
      </c>
      <c r="O593" s="70" t="str">
        <f>IF(OR(N593="",NOT(ISNUMBER(M593))),"",ROUND(N593*M593,2))</f>
        <v/>
      </c>
      <c r="P593" s="70" t="str">
        <f>IF(N593="","",N593+N(O593))</f>
        <v/>
      </c>
      <c r="Q593" s="64" t="n"/>
      <c r="R593" s="73" t="str">
        <f>IF(N(Q593)&gt;0,Q593,IF(OR(N(B593)=0,ISNA(MATCH($C593,sup_code,0))),"",IF(ISNUMBER(INDEX(sup_delay,MATCH($C593,sup_code,0))),B593+INDEX(sup_delay,MATCH($C593,sup_code,0)),"")))</f>
        <v/>
      </c>
      <c r="S593" s="64" t="n"/>
      <c r="T593" s="68" t="n"/>
      <c r="U593" s="64" t="n"/>
      <c r="V593" s="65" t="n"/>
      <c r="W593" s="74" t="str">
        <f>IF(AND(A593="",E593=""),"",IF(V593="Oui",0,MAX(0,ROUND(N(H593)-N(T593),6))))</f>
        <v/>
      </c>
      <c r="X593" s="67" t="str">
        <f>IF(AND(A593="",E593=""),"",IF(V593="Oui","Annulé",IF(AND(N(H593)&gt;0,N(T593)&gt;=N(H593)),"Reçu",IF(N(S593)=0,"Brouillon",IF(AND(ISNUMBER(R593),R593&lt;p_today),"En retard",IF(N(T593)&gt;0,"Partiel","Envoyé"))))))</f>
        <v/>
      </c>
      <c r="Y593" s="75" t="str">
        <f>IF(X593="En retard",p_today-R593,IF(AND(X593="Reçu",ISNUMBER(R593)),MAX(0,N(U593)-R593),""))</f>
        <v/>
      </c>
      <c r="Z593" s="67" t="str">
        <f>IF(AND(A593="",E593=""),"",IF(A593="","N° de bon manquant",IF(N(B593)=0,"Date de commande manquante",IF(C593="","Fournisseur manquant",IF(ISNA(MATCH($C593,sup_code,0)),"Fournisseur inconnu",IF(E593="","Article manquant",IF(ISNA(MATCH($E593,art_ref,0)),"Article inconnu",IF(N(H593)&lt;=0,"Quantité invalide",IF(J593="","Prix manquant",IF(OR(N(K593)&lt;0,N(K593)&gt;=1),"Remise invalide",IF(M593="","TVA manquante",IF(ISNA(MATCH(M593,p_tva,0)),"Taux de TVA inconnu",IF(COUNTIFS(po_num,A593,po_sup,"&lt;&gt;"&amp;C593)&gt;0,"Fournisseur différent sur ce bon",IF(COUNTIFS(po_num,A593,po_date,"&lt;&gt;"&amp;B593)&gt;0,"Date différente sur ce bon",IF(COUNTIF(po_num,A593)&gt;25,"Plus de 25 lignes sur ce bon",IF(R593="","Date de livraison manquante",IF(R593&lt;B593,"Livraison avant la commande",IF(AND(N(T593)&gt;0,N(S593)=0),"Date d'envoi manquante",IF(N(T593)&gt;N(H593),"Reçu plus que commandé",IF(AND(N(T593)&gt;0,N(U593)=0),"Date de réception manquante",IF(AND(N(U593)&gt;0,U593&lt;B593),"Réception avant la commande","OK")))))))))))))))))))))</f>
        <v/>
      </c>
      <c r="AA593" s="66" t="str">
        <f>IF(AND(X593="Reçu",ISNUMBER(R593)),IF(N(U593)&lt;=R593,1,0),"")</f>
        <v/>
      </c>
      <c r="AB593" s="76" t="str">
        <f>IF(OR(X593="Envoyé",X593="Partiel",X593="En retard"),IF(ISNUMBER(R593),R593,100000)+ROW()/100000,"")</f>
        <v/>
      </c>
      <c r="AC593" s="66" t="str">
        <f>IF(A593="","",IF(COUNTIF($A$6:A593,A593)=1,1,""))</f>
        <v/>
      </c>
      <c r="AD593" s="66" t="str">
        <f>IF(AC593=1,COUNT($AC$6:AC593),"")</f>
        <v/>
      </c>
      <c r="AE593" s="66" t="str">
        <f>IFERROR(INDEX(po_num,MATCH(588,po_seq,0))&amp;"","")</f>
        <v/>
      </c>
      <c r="AF593" s="66" t="str">
        <f>IF(OR(A593="",p_po=""),"",IF(A593&amp;""=p_po,COUNTIF($A$6:A593,A593),""))</f>
        <v/>
      </c>
      <c r="AG593" s="66" t="str">
        <f>IF(OR(AB593="",A593=""),"",IF(COUNTIFS($A$6:A593,A593,$AB$6:AB593,"&gt;0")=1,1,""))</f>
        <v/>
      </c>
      <c r="AH593" s="70" t="str">
        <f>IF(AB593="","",ROUND(N(W593)*N(J593)*(1-N(K593)),2))</f>
        <v/>
      </c>
      <c r="AI593" s="70" t="str">
        <f>IF(OR(J593="",N(T593)&lt;=0,V593="Oui"),"",ROUND(N(T593)*J593*(1-N(K593)),2))</f>
        <v/>
      </c>
    </row>
    <row r="594">
      <c r="A594" s="63" t="n"/>
      <c r="B594" s="64" t="n"/>
      <c r="C594" s="65" t="n"/>
      <c r="D594" s="66" t="str">
        <f>IF(C594="","",IFERROR(INDEX(sup_name,MATCH($C594,sup_code,0))&amp;"","Fournisseur inconnu"))</f>
        <v/>
      </c>
      <c r="E594" s="63" t="n"/>
      <c r="F594" s="66" t="str">
        <f>IF(E594="","",IFERROR(INDEX(art_des,MATCH($E594,art_ref,0))&amp;"","Article inconnu"))</f>
        <v/>
      </c>
      <c r="G594" s="67" t="str">
        <f>IF(E594="","",IFERROR(INDEX(art_unit,MATCH($E594,art_ref,0))&amp;"",""))</f>
        <v/>
      </c>
      <c r="H594" s="68" t="n"/>
      <c r="I594" s="69" t="n"/>
      <c r="J594" s="70" t="str">
        <f>IF(E594="","",IF(ISNUMBER(I594),I594,IFERROR(IF(ISNUMBER(INDEX(art_price,MATCH($E594,art_ref,0))),INDEX(art_price,MATCH($E594,art_ref,0)),""),"")))</f>
        <v/>
      </c>
      <c r="K594" s="71" t="n"/>
      <c r="L594" s="72" t="n"/>
      <c r="M594" s="72" t="str">
        <f>IF(E594="","",IF(L594&lt;&gt;"",L594,IFERROR(IF(ISNUMBER(INDEX(art_tva,MATCH($E594,art_ref,0))),INDEX(art_tva,MATCH($E594,art_ref,0)),""),"")))</f>
        <v/>
      </c>
      <c r="N594" s="70" t="str">
        <f>IF(OR(E594="",J594=""),"",ROUND(N(H594)*J594*(1-N(K594)),2))</f>
        <v/>
      </c>
      <c r="O594" s="70" t="str">
        <f>IF(OR(N594="",NOT(ISNUMBER(M594))),"",ROUND(N594*M594,2))</f>
        <v/>
      </c>
      <c r="P594" s="70" t="str">
        <f>IF(N594="","",N594+N(O594))</f>
        <v/>
      </c>
      <c r="Q594" s="64" t="n"/>
      <c r="R594" s="73" t="str">
        <f>IF(N(Q594)&gt;0,Q594,IF(OR(N(B594)=0,ISNA(MATCH($C594,sup_code,0))),"",IF(ISNUMBER(INDEX(sup_delay,MATCH($C594,sup_code,0))),B594+INDEX(sup_delay,MATCH($C594,sup_code,0)),"")))</f>
        <v/>
      </c>
      <c r="S594" s="64" t="n"/>
      <c r="T594" s="68" t="n"/>
      <c r="U594" s="64" t="n"/>
      <c r="V594" s="65" t="n"/>
      <c r="W594" s="74" t="str">
        <f>IF(AND(A594="",E594=""),"",IF(V594="Oui",0,MAX(0,ROUND(N(H594)-N(T594),6))))</f>
        <v/>
      </c>
      <c r="X594" s="67" t="str">
        <f>IF(AND(A594="",E594=""),"",IF(V594="Oui","Annulé",IF(AND(N(H594)&gt;0,N(T594)&gt;=N(H594)),"Reçu",IF(N(S594)=0,"Brouillon",IF(AND(ISNUMBER(R594),R594&lt;p_today),"En retard",IF(N(T594)&gt;0,"Partiel","Envoyé"))))))</f>
        <v/>
      </c>
      <c r="Y594" s="75" t="str">
        <f>IF(X594="En retard",p_today-R594,IF(AND(X594="Reçu",ISNUMBER(R594)),MAX(0,N(U594)-R594),""))</f>
        <v/>
      </c>
      <c r="Z594" s="67" t="str">
        <f>IF(AND(A594="",E594=""),"",IF(A594="","N° de bon manquant",IF(N(B594)=0,"Date de commande manquante",IF(C594="","Fournisseur manquant",IF(ISNA(MATCH($C594,sup_code,0)),"Fournisseur inconnu",IF(E594="","Article manquant",IF(ISNA(MATCH($E594,art_ref,0)),"Article inconnu",IF(N(H594)&lt;=0,"Quantité invalide",IF(J594="","Prix manquant",IF(OR(N(K594)&lt;0,N(K594)&gt;=1),"Remise invalide",IF(M594="","TVA manquante",IF(ISNA(MATCH(M594,p_tva,0)),"Taux de TVA inconnu",IF(COUNTIFS(po_num,A594,po_sup,"&lt;&gt;"&amp;C594)&gt;0,"Fournisseur différent sur ce bon",IF(COUNTIFS(po_num,A594,po_date,"&lt;&gt;"&amp;B594)&gt;0,"Date différente sur ce bon",IF(COUNTIF(po_num,A594)&gt;25,"Plus de 25 lignes sur ce bon",IF(R594="","Date de livraison manquante",IF(R594&lt;B594,"Livraison avant la commande",IF(AND(N(T594)&gt;0,N(S594)=0),"Date d'envoi manquante",IF(N(T594)&gt;N(H594),"Reçu plus que commandé",IF(AND(N(T594)&gt;0,N(U594)=0),"Date de réception manquante",IF(AND(N(U594)&gt;0,U594&lt;B594),"Réception avant la commande","OK")))))))))))))))))))))</f>
        <v/>
      </c>
      <c r="AA594" s="66" t="str">
        <f>IF(AND(X594="Reçu",ISNUMBER(R594)),IF(N(U594)&lt;=R594,1,0),"")</f>
        <v/>
      </c>
      <c r="AB594" s="76" t="str">
        <f>IF(OR(X594="Envoyé",X594="Partiel",X594="En retard"),IF(ISNUMBER(R594),R594,100000)+ROW()/100000,"")</f>
        <v/>
      </c>
      <c r="AC594" s="66" t="str">
        <f>IF(A594="","",IF(COUNTIF($A$6:A594,A594)=1,1,""))</f>
        <v/>
      </c>
      <c r="AD594" s="66" t="str">
        <f>IF(AC594=1,COUNT($AC$6:AC594),"")</f>
        <v/>
      </c>
      <c r="AE594" s="66" t="str">
        <f>IFERROR(INDEX(po_num,MATCH(589,po_seq,0))&amp;"","")</f>
        <v/>
      </c>
      <c r="AF594" s="66" t="str">
        <f>IF(OR(A594="",p_po=""),"",IF(A594&amp;""=p_po,COUNTIF($A$6:A594,A594),""))</f>
        <v/>
      </c>
      <c r="AG594" s="66" t="str">
        <f>IF(OR(AB594="",A594=""),"",IF(COUNTIFS($A$6:A594,A594,$AB$6:AB594,"&gt;0")=1,1,""))</f>
        <v/>
      </c>
      <c r="AH594" s="70" t="str">
        <f>IF(AB594="","",ROUND(N(W594)*N(J594)*(1-N(K594)),2))</f>
        <v/>
      </c>
      <c r="AI594" s="70" t="str">
        <f>IF(OR(J594="",N(T594)&lt;=0,V594="Oui"),"",ROUND(N(T594)*J594*(1-N(K594)),2))</f>
        <v/>
      </c>
    </row>
    <row r="595">
      <c r="A595" s="63" t="n"/>
      <c r="B595" s="64" t="n"/>
      <c r="C595" s="65" t="n"/>
      <c r="D595" s="66" t="str">
        <f>IF(C595="","",IFERROR(INDEX(sup_name,MATCH($C595,sup_code,0))&amp;"","Fournisseur inconnu"))</f>
        <v/>
      </c>
      <c r="E595" s="63" t="n"/>
      <c r="F595" s="66" t="str">
        <f>IF(E595="","",IFERROR(INDEX(art_des,MATCH($E595,art_ref,0))&amp;"","Article inconnu"))</f>
        <v/>
      </c>
      <c r="G595" s="67" t="str">
        <f>IF(E595="","",IFERROR(INDEX(art_unit,MATCH($E595,art_ref,0))&amp;"",""))</f>
        <v/>
      </c>
      <c r="H595" s="68" t="n"/>
      <c r="I595" s="69" t="n"/>
      <c r="J595" s="70" t="str">
        <f>IF(E595="","",IF(ISNUMBER(I595),I595,IFERROR(IF(ISNUMBER(INDEX(art_price,MATCH($E595,art_ref,0))),INDEX(art_price,MATCH($E595,art_ref,0)),""),"")))</f>
        <v/>
      </c>
      <c r="K595" s="71" t="n"/>
      <c r="L595" s="72" t="n"/>
      <c r="M595" s="72" t="str">
        <f>IF(E595="","",IF(L595&lt;&gt;"",L595,IFERROR(IF(ISNUMBER(INDEX(art_tva,MATCH($E595,art_ref,0))),INDEX(art_tva,MATCH($E595,art_ref,0)),""),"")))</f>
        <v/>
      </c>
      <c r="N595" s="70" t="str">
        <f>IF(OR(E595="",J595=""),"",ROUND(N(H595)*J595*(1-N(K595)),2))</f>
        <v/>
      </c>
      <c r="O595" s="70" t="str">
        <f>IF(OR(N595="",NOT(ISNUMBER(M595))),"",ROUND(N595*M595,2))</f>
        <v/>
      </c>
      <c r="P595" s="70" t="str">
        <f>IF(N595="","",N595+N(O595))</f>
        <v/>
      </c>
      <c r="Q595" s="64" t="n"/>
      <c r="R595" s="73" t="str">
        <f>IF(N(Q595)&gt;0,Q595,IF(OR(N(B595)=0,ISNA(MATCH($C595,sup_code,0))),"",IF(ISNUMBER(INDEX(sup_delay,MATCH($C595,sup_code,0))),B595+INDEX(sup_delay,MATCH($C595,sup_code,0)),"")))</f>
        <v/>
      </c>
      <c r="S595" s="64" t="n"/>
      <c r="T595" s="68" t="n"/>
      <c r="U595" s="64" t="n"/>
      <c r="V595" s="65" t="n"/>
      <c r="W595" s="74" t="str">
        <f>IF(AND(A595="",E595=""),"",IF(V595="Oui",0,MAX(0,ROUND(N(H595)-N(T595),6))))</f>
        <v/>
      </c>
      <c r="X595" s="67" t="str">
        <f>IF(AND(A595="",E595=""),"",IF(V595="Oui","Annulé",IF(AND(N(H595)&gt;0,N(T595)&gt;=N(H595)),"Reçu",IF(N(S595)=0,"Brouillon",IF(AND(ISNUMBER(R595),R595&lt;p_today),"En retard",IF(N(T595)&gt;0,"Partiel","Envoyé"))))))</f>
        <v/>
      </c>
      <c r="Y595" s="75" t="str">
        <f>IF(X595="En retard",p_today-R595,IF(AND(X595="Reçu",ISNUMBER(R595)),MAX(0,N(U595)-R595),""))</f>
        <v/>
      </c>
      <c r="Z595" s="67" t="str">
        <f>IF(AND(A595="",E595=""),"",IF(A595="","N° de bon manquant",IF(N(B595)=0,"Date de commande manquante",IF(C595="","Fournisseur manquant",IF(ISNA(MATCH($C595,sup_code,0)),"Fournisseur inconnu",IF(E595="","Article manquant",IF(ISNA(MATCH($E595,art_ref,0)),"Article inconnu",IF(N(H595)&lt;=0,"Quantité invalide",IF(J595="","Prix manquant",IF(OR(N(K595)&lt;0,N(K595)&gt;=1),"Remise invalide",IF(M595="","TVA manquante",IF(ISNA(MATCH(M595,p_tva,0)),"Taux de TVA inconnu",IF(COUNTIFS(po_num,A595,po_sup,"&lt;&gt;"&amp;C595)&gt;0,"Fournisseur différent sur ce bon",IF(COUNTIFS(po_num,A595,po_date,"&lt;&gt;"&amp;B595)&gt;0,"Date différente sur ce bon",IF(COUNTIF(po_num,A595)&gt;25,"Plus de 25 lignes sur ce bon",IF(R595="","Date de livraison manquante",IF(R595&lt;B595,"Livraison avant la commande",IF(AND(N(T595)&gt;0,N(S595)=0),"Date d'envoi manquante",IF(N(T595)&gt;N(H595),"Reçu plus que commandé",IF(AND(N(T595)&gt;0,N(U595)=0),"Date de réception manquante",IF(AND(N(U595)&gt;0,U595&lt;B595),"Réception avant la commande","OK")))))))))))))))))))))</f>
        <v/>
      </c>
      <c r="AA595" s="66" t="str">
        <f>IF(AND(X595="Reçu",ISNUMBER(R595)),IF(N(U595)&lt;=R595,1,0),"")</f>
        <v/>
      </c>
      <c r="AB595" s="76" t="str">
        <f>IF(OR(X595="Envoyé",X595="Partiel",X595="En retard"),IF(ISNUMBER(R595),R595,100000)+ROW()/100000,"")</f>
        <v/>
      </c>
      <c r="AC595" s="66" t="str">
        <f>IF(A595="","",IF(COUNTIF($A$6:A595,A595)=1,1,""))</f>
        <v/>
      </c>
      <c r="AD595" s="66" t="str">
        <f>IF(AC595=1,COUNT($AC$6:AC595),"")</f>
        <v/>
      </c>
      <c r="AE595" s="66" t="str">
        <f>IFERROR(INDEX(po_num,MATCH(590,po_seq,0))&amp;"","")</f>
        <v/>
      </c>
      <c r="AF595" s="66" t="str">
        <f>IF(OR(A595="",p_po=""),"",IF(A595&amp;""=p_po,COUNTIF($A$6:A595,A595),""))</f>
        <v/>
      </c>
      <c r="AG595" s="66" t="str">
        <f>IF(OR(AB595="",A595=""),"",IF(COUNTIFS($A$6:A595,A595,$AB$6:AB595,"&gt;0")=1,1,""))</f>
        <v/>
      </c>
      <c r="AH595" s="70" t="str">
        <f>IF(AB595="","",ROUND(N(W595)*N(J595)*(1-N(K595)),2))</f>
        <v/>
      </c>
      <c r="AI595" s="70" t="str">
        <f>IF(OR(J595="",N(T595)&lt;=0,V595="Oui"),"",ROUND(N(T595)*J595*(1-N(K595)),2))</f>
        <v/>
      </c>
    </row>
    <row r="596">
      <c r="A596" s="63" t="n"/>
      <c r="B596" s="64" t="n"/>
      <c r="C596" s="65" t="n"/>
      <c r="D596" s="66" t="str">
        <f>IF(C596="","",IFERROR(INDEX(sup_name,MATCH($C596,sup_code,0))&amp;"","Fournisseur inconnu"))</f>
        <v/>
      </c>
      <c r="E596" s="63" t="n"/>
      <c r="F596" s="66" t="str">
        <f>IF(E596="","",IFERROR(INDEX(art_des,MATCH($E596,art_ref,0))&amp;"","Article inconnu"))</f>
        <v/>
      </c>
      <c r="G596" s="67" t="str">
        <f>IF(E596="","",IFERROR(INDEX(art_unit,MATCH($E596,art_ref,0))&amp;"",""))</f>
        <v/>
      </c>
      <c r="H596" s="68" t="n"/>
      <c r="I596" s="69" t="n"/>
      <c r="J596" s="70" t="str">
        <f>IF(E596="","",IF(ISNUMBER(I596),I596,IFERROR(IF(ISNUMBER(INDEX(art_price,MATCH($E596,art_ref,0))),INDEX(art_price,MATCH($E596,art_ref,0)),""),"")))</f>
        <v/>
      </c>
      <c r="K596" s="71" t="n"/>
      <c r="L596" s="72" t="n"/>
      <c r="M596" s="72" t="str">
        <f>IF(E596="","",IF(L596&lt;&gt;"",L596,IFERROR(IF(ISNUMBER(INDEX(art_tva,MATCH($E596,art_ref,0))),INDEX(art_tva,MATCH($E596,art_ref,0)),""),"")))</f>
        <v/>
      </c>
      <c r="N596" s="70" t="str">
        <f>IF(OR(E596="",J596=""),"",ROUND(N(H596)*J596*(1-N(K596)),2))</f>
        <v/>
      </c>
      <c r="O596" s="70" t="str">
        <f>IF(OR(N596="",NOT(ISNUMBER(M596))),"",ROUND(N596*M596,2))</f>
        <v/>
      </c>
      <c r="P596" s="70" t="str">
        <f>IF(N596="","",N596+N(O596))</f>
        <v/>
      </c>
      <c r="Q596" s="64" t="n"/>
      <c r="R596" s="73" t="str">
        <f>IF(N(Q596)&gt;0,Q596,IF(OR(N(B596)=0,ISNA(MATCH($C596,sup_code,0))),"",IF(ISNUMBER(INDEX(sup_delay,MATCH($C596,sup_code,0))),B596+INDEX(sup_delay,MATCH($C596,sup_code,0)),"")))</f>
        <v/>
      </c>
      <c r="S596" s="64" t="n"/>
      <c r="T596" s="68" t="n"/>
      <c r="U596" s="64" t="n"/>
      <c r="V596" s="65" t="n"/>
      <c r="W596" s="74" t="str">
        <f>IF(AND(A596="",E596=""),"",IF(V596="Oui",0,MAX(0,ROUND(N(H596)-N(T596),6))))</f>
        <v/>
      </c>
      <c r="X596" s="67" t="str">
        <f>IF(AND(A596="",E596=""),"",IF(V596="Oui","Annulé",IF(AND(N(H596)&gt;0,N(T596)&gt;=N(H596)),"Reçu",IF(N(S596)=0,"Brouillon",IF(AND(ISNUMBER(R596),R596&lt;p_today),"En retard",IF(N(T596)&gt;0,"Partiel","Envoyé"))))))</f>
        <v/>
      </c>
      <c r="Y596" s="75" t="str">
        <f>IF(X596="En retard",p_today-R596,IF(AND(X596="Reçu",ISNUMBER(R596)),MAX(0,N(U596)-R596),""))</f>
        <v/>
      </c>
      <c r="Z596" s="67" t="str">
        <f>IF(AND(A596="",E596=""),"",IF(A596="","N° de bon manquant",IF(N(B596)=0,"Date de commande manquante",IF(C596="","Fournisseur manquant",IF(ISNA(MATCH($C596,sup_code,0)),"Fournisseur inconnu",IF(E596="","Article manquant",IF(ISNA(MATCH($E596,art_ref,0)),"Article inconnu",IF(N(H596)&lt;=0,"Quantité invalide",IF(J596="","Prix manquant",IF(OR(N(K596)&lt;0,N(K596)&gt;=1),"Remise invalide",IF(M596="","TVA manquante",IF(ISNA(MATCH(M596,p_tva,0)),"Taux de TVA inconnu",IF(COUNTIFS(po_num,A596,po_sup,"&lt;&gt;"&amp;C596)&gt;0,"Fournisseur différent sur ce bon",IF(COUNTIFS(po_num,A596,po_date,"&lt;&gt;"&amp;B596)&gt;0,"Date différente sur ce bon",IF(COUNTIF(po_num,A596)&gt;25,"Plus de 25 lignes sur ce bon",IF(R596="","Date de livraison manquante",IF(R596&lt;B596,"Livraison avant la commande",IF(AND(N(T596)&gt;0,N(S596)=0),"Date d'envoi manquante",IF(N(T596)&gt;N(H596),"Reçu plus que commandé",IF(AND(N(T596)&gt;0,N(U596)=0),"Date de réception manquante",IF(AND(N(U596)&gt;0,U596&lt;B596),"Réception avant la commande","OK")))))))))))))))))))))</f>
        <v/>
      </c>
      <c r="AA596" s="66" t="str">
        <f>IF(AND(X596="Reçu",ISNUMBER(R596)),IF(N(U596)&lt;=R596,1,0),"")</f>
        <v/>
      </c>
      <c r="AB596" s="76" t="str">
        <f>IF(OR(X596="Envoyé",X596="Partiel",X596="En retard"),IF(ISNUMBER(R596),R596,100000)+ROW()/100000,"")</f>
        <v/>
      </c>
      <c r="AC596" s="66" t="str">
        <f>IF(A596="","",IF(COUNTIF($A$6:A596,A596)=1,1,""))</f>
        <v/>
      </c>
      <c r="AD596" s="66" t="str">
        <f>IF(AC596=1,COUNT($AC$6:AC596),"")</f>
        <v/>
      </c>
      <c r="AE596" s="66" t="str">
        <f>IFERROR(INDEX(po_num,MATCH(591,po_seq,0))&amp;"","")</f>
        <v/>
      </c>
      <c r="AF596" s="66" t="str">
        <f>IF(OR(A596="",p_po=""),"",IF(A596&amp;""=p_po,COUNTIF($A$6:A596,A596),""))</f>
        <v/>
      </c>
      <c r="AG596" s="66" t="str">
        <f>IF(OR(AB596="",A596=""),"",IF(COUNTIFS($A$6:A596,A596,$AB$6:AB596,"&gt;0")=1,1,""))</f>
        <v/>
      </c>
      <c r="AH596" s="70" t="str">
        <f>IF(AB596="","",ROUND(N(W596)*N(J596)*(1-N(K596)),2))</f>
        <v/>
      </c>
      <c r="AI596" s="70" t="str">
        <f>IF(OR(J596="",N(T596)&lt;=0,V596="Oui"),"",ROUND(N(T596)*J596*(1-N(K596)),2))</f>
        <v/>
      </c>
    </row>
    <row r="597">
      <c r="A597" s="63" t="n"/>
      <c r="B597" s="64" t="n"/>
      <c r="C597" s="65" t="n"/>
      <c r="D597" s="66" t="str">
        <f>IF(C597="","",IFERROR(INDEX(sup_name,MATCH($C597,sup_code,0))&amp;"","Fournisseur inconnu"))</f>
        <v/>
      </c>
      <c r="E597" s="63" t="n"/>
      <c r="F597" s="66" t="str">
        <f>IF(E597="","",IFERROR(INDEX(art_des,MATCH($E597,art_ref,0))&amp;"","Article inconnu"))</f>
        <v/>
      </c>
      <c r="G597" s="67" t="str">
        <f>IF(E597="","",IFERROR(INDEX(art_unit,MATCH($E597,art_ref,0))&amp;"",""))</f>
        <v/>
      </c>
      <c r="H597" s="68" t="n"/>
      <c r="I597" s="69" t="n"/>
      <c r="J597" s="70" t="str">
        <f>IF(E597="","",IF(ISNUMBER(I597),I597,IFERROR(IF(ISNUMBER(INDEX(art_price,MATCH($E597,art_ref,0))),INDEX(art_price,MATCH($E597,art_ref,0)),""),"")))</f>
        <v/>
      </c>
      <c r="K597" s="71" t="n"/>
      <c r="L597" s="72" t="n"/>
      <c r="M597" s="72" t="str">
        <f>IF(E597="","",IF(L597&lt;&gt;"",L597,IFERROR(IF(ISNUMBER(INDEX(art_tva,MATCH($E597,art_ref,0))),INDEX(art_tva,MATCH($E597,art_ref,0)),""),"")))</f>
        <v/>
      </c>
      <c r="N597" s="70" t="str">
        <f>IF(OR(E597="",J597=""),"",ROUND(N(H597)*J597*(1-N(K597)),2))</f>
        <v/>
      </c>
      <c r="O597" s="70" t="str">
        <f>IF(OR(N597="",NOT(ISNUMBER(M597))),"",ROUND(N597*M597,2))</f>
        <v/>
      </c>
      <c r="P597" s="70" t="str">
        <f>IF(N597="","",N597+N(O597))</f>
        <v/>
      </c>
      <c r="Q597" s="64" t="n"/>
      <c r="R597" s="73" t="str">
        <f>IF(N(Q597)&gt;0,Q597,IF(OR(N(B597)=0,ISNA(MATCH($C597,sup_code,0))),"",IF(ISNUMBER(INDEX(sup_delay,MATCH($C597,sup_code,0))),B597+INDEX(sup_delay,MATCH($C597,sup_code,0)),"")))</f>
        <v/>
      </c>
      <c r="S597" s="64" t="n"/>
      <c r="T597" s="68" t="n"/>
      <c r="U597" s="64" t="n"/>
      <c r="V597" s="65" t="n"/>
      <c r="W597" s="74" t="str">
        <f>IF(AND(A597="",E597=""),"",IF(V597="Oui",0,MAX(0,ROUND(N(H597)-N(T597),6))))</f>
        <v/>
      </c>
      <c r="X597" s="67" t="str">
        <f>IF(AND(A597="",E597=""),"",IF(V597="Oui","Annulé",IF(AND(N(H597)&gt;0,N(T597)&gt;=N(H597)),"Reçu",IF(N(S597)=0,"Brouillon",IF(AND(ISNUMBER(R597),R597&lt;p_today),"En retard",IF(N(T597)&gt;0,"Partiel","Envoyé"))))))</f>
        <v/>
      </c>
      <c r="Y597" s="75" t="str">
        <f>IF(X597="En retard",p_today-R597,IF(AND(X597="Reçu",ISNUMBER(R597)),MAX(0,N(U597)-R597),""))</f>
        <v/>
      </c>
      <c r="Z597" s="67" t="str">
        <f>IF(AND(A597="",E597=""),"",IF(A597="","N° de bon manquant",IF(N(B597)=0,"Date de commande manquante",IF(C597="","Fournisseur manquant",IF(ISNA(MATCH($C597,sup_code,0)),"Fournisseur inconnu",IF(E597="","Article manquant",IF(ISNA(MATCH($E597,art_ref,0)),"Article inconnu",IF(N(H597)&lt;=0,"Quantité invalide",IF(J597="","Prix manquant",IF(OR(N(K597)&lt;0,N(K597)&gt;=1),"Remise invalide",IF(M597="","TVA manquante",IF(ISNA(MATCH(M597,p_tva,0)),"Taux de TVA inconnu",IF(COUNTIFS(po_num,A597,po_sup,"&lt;&gt;"&amp;C597)&gt;0,"Fournisseur différent sur ce bon",IF(COUNTIFS(po_num,A597,po_date,"&lt;&gt;"&amp;B597)&gt;0,"Date différente sur ce bon",IF(COUNTIF(po_num,A597)&gt;25,"Plus de 25 lignes sur ce bon",IF(R597="","Date de livraison manquante",IF(R597&lt;B597,"Livraison avant la commande",IF(AND(N(T597)&gt;0,N(S597)=0),"Date d'envoi manquante",IF(N(T597)&gt;N(H597),"Reçu plus que commandé",IF(AND(N(T597)&gt;0,N(U597)=0),"Date de réception manquante",IF(AND(N(U597)&gt;0,U597&lt;B597),"Réception avant la commande","OK")))))))))))))))))))))</f>
        <v/>
      </c>
      <c r="AA597" s="66" t="str">
        <f>IF(AND(X597="Reçu",ISNUMBER(R597)),IF(N(U597)&lt;=R597,1,0),"")</f>
        <v/>
      </c>
      <c r="AB597" s="76" t="str">
        <f>IF(OR(X597="Envoyé",X597="Partiel",X597="En retard"),IF(ISNUMBER(R597),R597,100000)+ROW()/100000,"")</f>
        <v/>
      </c>
      <c r="AC597" s="66" t="str">
        <f>IF(A597="","",IF(COUNTIF($A$6:A597,A597)=1,1,""))</f>
        <v/>
      </c>
      <c r="AD597" s="66" t="str">
        <f>IF(AC597=1,COUNT($AC$6:AC597),"")</f>
        <v/>
      </c>
      <c r="AE597" s="66" t="str">
        <f>IFERROR(INDEX(po_num,MATCH(592,po_seq,0))&amp;"","")</f>
        <v/>
      </c>
      <c r="AF597" s="66" t="str">
        <f>IF(OR(A597="",p_po=""),"",IF(A597&amp;""=p_po,COUNTIF($A$6:A597,A597),""))</f>
        <v/>
      </c>
      <c r="AG597" s="66" t="str">
        <f>IF(OR(AB597="",A597=""),"",IF(COUNTIFS($A$6:A597,A597,$AB$6:AB597,"&gt;0")=1,1,""))</f>
        <v/>
      </c>
      <c r="AH597" s="70" t="str">
        <f>IF(AB597="","",ROUND(N(W597)*N(J597)*(1-N(K597)),2))</f>
        <v/>
      </c>
      <c r="AI597" s="70" t="str">
        <f>IF(OR(J597="",N(T597)&lt;=0,V597="Oui"),"",ROUND(N(T597)*J597*(1-N(K597)),2))</f>
        <v/>
      </c>
    </row>
    <row r="598">
      <c r="A598" s="63" t="n"/>
      <c r="B598" s="64" t="n"/>
      <c r="C598" s="65" t="n"/>
      <c r="D598" s="66" t="str">
        <f>IF(C598="","",IFERROR(INDEX(sup_name,MATCH($C598,sup_code,0))&amp;"","Fournisseur inconnu"))</f>
        <v/>
      </c>
      <c r="E598" s="63" t="n"/>
      <c r="F598" s="66" t="str">
        <f>IF(E598="","",IFERROR(INDEX(art_des,MATCH($E598,art_ref,0))&amp;"","Article inconnu"))</f>
        <v/>
      </c>
      <c r="G598" s="67" t="str">
        <f>IF(E598="","",IFERROR(INDEX(art_unit,MATCH($E598,art_ref,0))&amp;"",""))</f>
        <v/>
      </c>
      <c r="H598" s="68" t="n"/>
      <c r="I598" s="69" t="n"/>
      <c r="J598" s="70" t="str">
        <f>IF(E598="","",IF(ISNUMBER(I598),I598,IFERROR(IF(ISNUMBER(INDEX(art_price,MATCH($E598,art_ref,0))),INDEX(art_price,MATCH($E598,art_ref,0)),""),"")))</f>
        <v/>
      </c>
      <c r="K598" s="71" t="n"/>
      <c r="L598" s="72" t="n"/>
      <c r="M598" s="72" t="str">
        <f>IF(E598="","",IF(L598&lt;&gt;"",L598,IFERROR(IF(ISNUMBER(INDEX(art_tva,MATCH($E598,art_ref,0))),INDEX(art_tva,MATCH($E598,art_ref,0)),""),"")))</f>
        <v/>
      </c>
      <c r="N598" s="70" t="str">
        <f>IF(OR(E598="",J598=""),"",ROUND(N(H598)*J598*(1-N(K598)),2))</f>
        <v/>
      </c>
      <c r="O598" s="70" t="str">
        <f>IF(OR(N598="",NOT(ISNUMBER(M598))),"",ROUND(N598*M598,2))</f>
        <v/>
      </c>
      <c r="P598" s="70" t="str">
        <f>IF(N598="","",N598+N(O598))</f>
        <v/>
      </c>
      <c r="Q598" s="64" t="n"/>
      <c r="R598" s="73" t="str">
        <f>IF(N(Q598)&gt;0,Q598,IF(OR(N(B598)=0,ISNA(MATCH($C598,sup_code,0))),"",IF(ISNUMBER(INDEX(sup_delay,MATCH($C598,sup_code,0))),B598+INDEX(sup_delay,MATCH($C598,sup_code,0)),"")))</f>
        <v/>
      </c>
      <c r="S598" s="64" t="n"/>
      <c r="T598" s="68" t="n"/>
      <c r="U598" s="64" t="n"/>
      <c r="V598" s="65" t="n"/>
      <c r="W598" s="74" t="str">
        <f>IF(AND(A598="",E598=""),"",IF(V598="Oui",0,MAX(0,ROUND(N(H598)-N(T598),6))))</f>
        <v/>
      </c>
      <c r="X598" s="67" t="str">
        <f>IF(AND(A598="",E598=""),"",IF(V598="Oui","Annulé",IF(AND(N(H598)&gt;0,N(T598)&gt;=N(H598)),"Reçu",IF(N(S598)=0,"Brouillon",IF(AND(ISNUMBER(R598),R598&lt;p_today),"En retard",IF(N(T598)&gt;0,"Partiel","Envoyé"))))))</f>
        <v/>
      </c>
      <c r="Y598" s="75" t="str">
        <f>IF(X598="En retard",p_today-R598,IF(AND(X598="Reçu",ISNUMBER(R598)),MAX(0,N(U598)-R598),""))</f>
        <v/>
      </c>
      <c r="Z598" s="67" t="str">
        <f>IF(AND(A598="",E598=""),"",IF(A598="","N° de bon manquant",IF(N(B598)=0,"Date de commande manquante",IF(C598="","Fournisseur manquant",IF(ISNA(MATCH($C598,sup_code,0)),"Fournisseur inconnu",IF(E598="","Article manquant",IF(ISNA(MATCH($E598,art_ref,0)),"Article inconnu",IF(N(H598)&lt;=0,"Quantité invalide",IF(J598="","Prix manquant",IF(OR(N(K598)&lt;0,N(K598)&gt;=1),"Remise invalide",IF(M598="","TVA manquante",IF(ISNA(MATCH(M598,p_tva,0)),"Taux de TVA inconnu",IF(COUNTIFS(po_num,A598,po_sup,"&lt;&gt;"&amp;C598)&gt;0,"Fournisseur différent sur ce bon",IF(COUNTIFS(po_num,A598,po_date,"&lt;&gt;"&amp;B598)&gt;0,"Date différente sur ce bon",IF(COUNTIF(po_num,A598)&gt;25,"Plus de 25 lignes sur ce bon",IF(R598="","Date de livraison manquante",IF(R598&lt;B598,"Livraison avant la commande",IF(AND(N(T598)&gt;0,N(S598)=0),"Date d'envoi manquante",IF(N(T598)&gt;N(H598),"Reçu plus que commandé",IF(AND(N(T598)&gt;0,N(U598)=0),"Date de réception manquante",IF(AND(N(U598)&gt;0,U598&lt;B598),"Réception avant la commande","OK")))))))))))))))))))))</f>
        <v/>
      </c>
      <c r="AA598" s="66" t="str">
        <f>IF(AND(X598="Reçu",ISNUMBER(R598)),IF(N(U598)&lt;=R598,1,0),"")</f>
        <v/>
      </c>
      <c r="AB598" s="76" t="str">
        <f>IF(OR(X598="Envoyé",X598="Partiel",X598="En retard"),IF(ISNUMBER(R598),R598,100000)+ROW()/100000,"")</f>
        <v/>
      </c>
      <c r="AC598" s="66" t="str">
        <f>IF(A598="","",IF(COUNTIF($A$6:A598,A598)=1,1,""))</f>
        <v/>
      </c>
      <c r="AD598" s="66" t="str">
        <f>IF(AC598=1,COUNT($AC$6:AC598),"")</f>
        <v/>
      </c>
      <c r="AE598" s="66" t="str">
        <f>IFERROR(INDEX(po_num,MATCH(593,po_seq,0))&amp;"","")</f>
        <v/>
      </c>
      <c r="AF598" s="66" t="str">
        <f>IF(OR(A598="",p_po=""),"",IF(A598&amp;""=p_po,COUNTIF($A$6:A598,A598),""))</f>
        <v/>
      </c>
      <c r="AG598" s="66" t="str">
        <f>IF(OR(AB598="",A598=""),"",IF(COUNTIFS($A$6:A598,A598,$AB$6:AB598,"&gt;0")=1,1,""))</f>
        <v/>
      </c>
      <c r="AH598" s="70" t="str">
        <f>IF(AB598="","",ROUND(N(W598)*N(J598)*(1-N(K598)),2))</f>
        <v/>
      </c>
      <c r="AI598" s="70" t="str">
        <f>IF(OR(J598="",N(T598)&lt;=0,V598="Oui"),"",ROUND(N(T598)*J598*(1-N(K598)),2))</f>
        <v/>
      </c>
    </row>
    <row r="599">
      <c r="A599" s="63" t="n"/>
      <c r="B599" s="64" t="n"/>
      <c r="C599" s="65" t="n"/>
      <c r="D599" s="66" t="str">
        <f>IF(C599="","",IFERROR(INDEX(sup_name,MATCH($C599,sup_code,0))&amp;"","Fournisseur inconnu"))</f>
        <v/>
      </c>
      <c r="E599" s="63" t="n"/>
      <c r="F599" s="66" t="str">
        <f>IF(E599="","",IFERROR(INDEX(art_des,MATCH($E599,art_ref,0))&amp;"","Article inconnu"))</f>
        <v/>
      </c>
      <c r="G599" s="67" t="str">
        <f>IF(E599="","",IFERROR(INDEX(art_unit,MATCH($E599,art_ref,0))&amp;"",""))</f>
        <v/>
      </c>
      <c r="H599" s="68" t="n"/>
      <c r="I599" s="69" t="n"/>
      <c r="J599" s="70" t="str">
        <f>IF(E599="","",IF(ISNUMBER(I599),I599,IFERROR(IF(ISNUMBER(INDEX(art_price,MATCH($E599,art_ref,0))),INDEX(art_price,MATCH($E599,art_ref,0)),""),"")))</f>
        <v/>
      </c>
      <c r="K599" s="71" t="n"/>
      <c r="L599" s="72" t="n"/>
      <c r="M599" s="72" t="str">
        <f>IF(E599="","",IF(L599&lt;&gt;"",L599,IFERROR(IF(ISNUMBER(INDEX(art_tva,MATCH($E599,art_ref,0))),INDEX(art_tva,MATCH($E599,art_ref,0)),""),"")))</f>
        <v/>
      </c>
      <c r="N599" s="70" t="str">
        <f>IF(OR(E599="",J599=""),"",ROUND(N(H599)*J599*(1-N(K599)),2))</f>
        <v/>
      </c>
      <c r="O599" s="70" t="str">
        <f>IF(OR(N599="",NOT(ISNUMBER(M599))),"",ROUND(N599*M599,2))</f>
        <v/>
      </c>
      <c r="P599" s="70" t="str">
        <f>IF(N599="","",N599+N(O599))</f>
        <v/>
      </c>
      <c r="Q599" s="64" t="n"/>
      <c r="R599" s="73" t="str">
        <f>IF(N(Q599)&gt;0,Q599,IF(OR(N(B599)=0,ISNA(MATCH($C599,sup_code,0))),"",IF(ISNUMBER(INDEX(sup_delay,MATCH($C599,sup_code,0))),B599+INDEX(sup_delay,MATCH($C599,sup_code,0)),"")))</f>
        <v/>
      </c>
      <c r="S599" s="64" t="n"/>
      <c r="T599" s="68" t="n"/>
      <c r="U599" s="64" t="n"/>
      <c r="V599" s="65" t="n"/>
      <c r="W599" s="74" t="str">
        <f>IF(AND(A599="",E599=""),"",IF(V599="Oui",0,MAX(0,ROUND(N(H599)-N(T599),6))))</f>
        <v/>
      </c>
      <c r="X599" s="67" t="str">
        <f>IF(AND(A599="",E599=""),"",IF(V599="Oui","Annulé",IF(AND(N(H599)&gt;0,N(T599)&gt;=N(H599)),"Reçu",IF(N(S599)=0,"Brouillon",IF(AND(ISNUMBER(R599),R599&lt;p_today),"En retard",IF(N(T599)&gt;0,"Partiel","Envoyé"))))))</f>
        <v/>
      </c>
      <c r="Y599" s="75" t="str">
        <f>IF(X599="En retard",p_today-R599,IF(AND(X599="Reçu",ISNUMBER(R599)),MAX(0,N(U599)-R599),""))</f>
        <v/>
      </c>
      <c r="Z599" s="67" t="str">
        <f>IF(AND(A599="",E599=""),"",IF(A599="","N° de bon manquant",IF(N(B599)=0,"Date de commande manquante",IF(C599="","Fournisseur manquant",IF(ISNA(MATCH($C599,sup_code,0)),"Fournisseur inconnu",IF(E599="","Article manquant",IF(ISNA(MATCH($E599,art_ref,0)),"Article inconnu",IF(N(H599)&lt;=0,"Quantité invalide",IF(J599="","Prix manquant",IF(OR(N(K599)&lt;0,N(K599)&gt;=1),"Remise invalide",IF(M599="","TVA manquante",IF(ISNA(MATCH(M599,p_tva,0)),"Taux de TVA inconnu",IF(COUNTIFS(po_num,A599,po_sup,"&lt;&gt;"&amp;C599)&gt;0,"Fournisseur différent sur ce bon",IF(COUNTIFS(po_num,A599,po_date,"&lt;&gt;"&amp;B599)&gt;0,"Date différente sur ce bon",IF(COUNTIF(po_num,A599)&gt;25,"Plus de 25 lignes sur ce bon",IF(R599="","Date de livraison manquante",IF(R599&lt;B599,"Livraison avant la commande",IF(AND(N(T599)&gt;0,N(S599)=0),"Date d'envoi manquante",IF(N(T599)&gt;N(H599),"Reçu plus que commandé",IF(AND(N(T599)&gt;0,N(U599)=0),"Date de réception manquante",IF(AND(N(U599)&gt;0,U599&lt;B599),"Réception avant la commande","OK")))))))))))))))))))))</f>
        <v/>
      </c>
      <c r="AA599" s="66" t="str">
        <f>IF(AND(X599="Reçu",ISNUMBER(R599)),IF(N(U599)&lt;=R599,1,0),"")</f>
        <v/>
      </c>
      <c r="AB599" s="76" t="str">
        <f>IF(OR(X599="Envoyé",X599="Partiel",X599="En retard"),IF(ISNUMBER(R599),R599,100000)+ROW()/100000,"")</f>
        <v/>
      </c>
      <c r="AC599" s="66" t="str">
        <f>IF(A599="","",IF(COUNTIF($A$6:A599,A599)=1,1,""))</f>
        <v/>
      </c>
      <c r="AD599" s="66" t="str">
        <f>IF(AC599=1,COUNT($AC$6:AC599),"")</f>
        <v/>
      </c>
      <c r="AE599" s="66" t="str">
        <f>IFERROR(INDEX(po_num,MATCH(594,po_seq,0))&amp;"","")</f>
        <v/>
      </c>
      <c r="AF599" s="66" t="str">
        <f>IF(OR(A599="",p_po=""),"",IF(A599&amp;""=p_po,COUNTIF($A$6:A599,A599),""))</f>
        <v/>
      </c>
      <c r="AG599" s="66" t="str">
        <f>IF(OR(AB599="",A599=""),"",IF(COUNTIFS($A$6:A599,A599,$AB$6:AB599,"&gt;0")=1,1,""))</f>
        <v/>
      </c>
      <c r="AH599" s="70" t="str">
        <f>IF(AB599="","",ROUND(N(W599)*N(J599)*(1-N(K599)),2))</f>
        <v/>
      </c>
      <c r="AI599" s="70" t="str">
        <f>IF(OR(J599="",N(T599)&lt;=0,V599="Oui"),"",ROUND(N(T599)*J599*(1-N(K599)),2))</f>
        <v/>
      </c>
    </row>
    <row r="600">
      <c r="A600" s="63" t="n"/>
      <c r="B600" s="64" t="n"/>
      <c r="C600" s="65" t="n"/>
      <c r="D600" s="66" t="str">
        <f>IF(C600="","",IFERROR(INDEX(sup_name,MATCH($C600,sup_code,0))&amp;"","Fournisseur inconnu"))</f>
        <v/>
      </c>
      <c r="E600" s="63" t="n"/>
      <c r="F600" s="66" t="str">
        <f>IF(E600="","",IFERROR(INDEX(art_des,MATCH($E600,art_ref,0))&amp;"","Article inconnu"))</f>
        <v/>
      </c>
      <c r="G600" s="67" t="str">
        <f>IF(E600="","",IFERROR(INDEX(art_unit,MATCH($E600,art_ref,0))&amp;"",""))</f>
        <v/>
      </c>
      <c r="H600" s="68" t="n"/>
      <c r="I600" s="69" t="n"/>
      <c r="J600" s="70" t="str">
        <f>IF(E600="","",IF(ISNUMBER(I600),I600,IFERROR(IF(ISNUMBER(INDEX(art_price,MATCH($E600,art_ref,0))),INDEX(art_price,MATCH($E600,art_ref,0)),""),"")))</f>
        <v/>
      </c>
      <c r="K600" s="71" t="n"/>
      <c r="L600" s="72" t="n"/>
      <c r="M600" s="72" t="str">
        <f>IF(E600="","",IF(L600&lt;&gt;"",L600,IFERROR(IF(ISNUMBER(INDEX(art_tva,MATCH($E600,art_ref,0))),INDEX(art_tva,MATCH($E600,art_ref,0)),""),"")))</f>
        <v/>
      </c>
      <c r="N600" s="70" t="str">
        <f>IF(OR(E600="",J600=""),"",ROUND(N(H600)*J600*(1-N(K600)),2))</f>
        <v/>
      </c>
      <c r="O600" s="70" t="str">
        <f>IF(OR(N600="",NOT(ISNUMBER(M600))),"",ROUND(N600*M600,2))</f>
        <v/>
      </c>
      <c r="P600" s="70" t="str">
        <f>IF(N600="","",N600+N(O600))</f>
        <v/>
      </c>
      <c r="Q600" s="64" t="n"/>
      <c r="R600" s="73" t="str">
        <f>IF(N(Q600)&gt;0,Q600,IF(OR(N(B600)=0,ISNA(MATCH($C600,sup_code,0))),"",IF(ISNUMBER(INDEX(sup_delay,MATCH($C600,sup_code,0))),B600+INDEX(sup_delay,MATCH($C600,sup_code,0)),"")))</f>
        <v/>
      </c>
      <c r="S600" s="64" t="n"/>
      <c r="T600" s="68" t="n"/>
      <c r="U600" s="64" t="n"/>
      <c r="V600" s="65" t="n"/>
      <c r="W600" s="74" t="str">
        <f>IF(AND(A600="",E600=""),"",IF(V600="Oui",0,MAX(0,ROUND(N(H600)-N(T600),6))))</f>
        <v/>
      </c>
      <c r="X600" s="67" t="str">
        <f>IF(AND(A600="",E600=""),"",IF(V600="Oui","Annulé",IF(AND(N(H600)&gt;0,N(T600)&gt;=N(H600)),"Reçu",IF(N(S600)=0,"Brouillon",IF(AND(ISNUMBER(R600),R600&lt;p_today),"En retard",IF(N(T600)&gt;0,"Partiel","Envoyé"))))))</f>
        <v/>
      </c>
      <c r="Y600" s="75" t="str">
        <f>IF(X600="En retard",p_today-R600,IF(AND(X600="Reçu",ISNUMBER(R600)),MAX(0,N(U600)-R600),""))</f>
        <v/>
      </c>
      <c r="Z600" s="67" t="str">
        <f>IF(AND(A600="",E600=""),"",IF(A600="","N° de bon manquant",IF(N(B600)=0,"Date de commande manquante",IF(C600="","Fournisseur manquant",IF(ISNA(MATCH($C600,sup_code,0)),"Fournisseur inconnu",IF(E600="","Article manquant",IF(ISNA(MATCH($E600,art_ref,0)),"Article inconnu",IF(N(H600)&lt;=0,"Quantité invalide",IF(J600="","Prix manquant",IF(OR(N(K600)&lt;0,N(K600)&gt;=1),"Remise invalide",IF(M600="","TVA manquante",IF(ISNA(MATCH(M600,p_tva,0)),"Taux de TVA inconnu",IF(COUNTIFS(po_num,A600,po_sup,"&lt;&gt;"&amp;C600)&gt;0,"Fournisseur différent sur ce bon",IF(COUNTIFS(po_num,A600,po_date,"&lt;&gt;"&amp;B600)&gt;0,"Date différente sur ce bon",IF(COUNTIF(po_num,A600)&gt;25,"Plus de 25 lignes sur ce bon",IF(R600="","Date de livraison manquante",IF(R600&lt;B600,"Livraison avant la commande",IF(AND(N(T600)&gt;0,N(S600)=0),"Date d'envoi manquante",IF(N(T600)&gt;N(H600),"Reçu plus que commandé",IF(AND(N(T600)&gt;0,N(U600)=0),"Date de réception manquante",IF(AND(N(U600)&gt;0,U600&lt;B600),"Réception avant la commande","OK")))))))))))))))))))))</f>
        <v/>
      </c>
      <c r="AA600" s="66" t="str">
        <f>IF(AND(X600="Reçu",ISNUMBER(R600)),IF(N(U600)&lt;=R600,1,0),"")</f>
        <v/>
      </c>
      <c r="AB600" s="76" t="str">
        <f>IF(OR(X600="Envoyé",X600="Partiel",X600="En retard"),IF(ISNUMBER(R600),R600,100000)+ROW()/100000,"")</f>
        <v/>
      </c>
      <c r="AC600" s="66" t="str">
        <f>IF(A600="","",IF(COUNTIF($A$6:A600,A600)=1,1,""))</f>
        <v/>
      </c>
      <c r="AD600" s="66" t="str">
        <f>IF(AC600=1,COUNT($AC$6:AC600),"")</f>
        <v/>
      </c>
      <c r="AE600" s="66" t="str">
        <f>IFERROR(INDEX(po_num,MATCH(595,po_seq,0))&amp;"","")</f>
        <v/>
      </c>
      <c r="AF600" s="66" t="str">
        <f>IF(OR(A600="",p_po=""),"",IF(A600&amp;""=p_po,COUNTIF($A$6:A600,A600),""))</f>
        <v/>
      </c>
      <c r="AG600" s="66" t="str">
        <f>IF(OR(AB600="",A600=""),"",IF(COUNTIFS($A$6:A600,A600,$AB$6:AB600,"&gt;0")=1,1,""))</f>
        <v/>
      </c>
      <c r="AH600" s="70" t="str">
        <f>IF(AB600="","",ROUND(N(W600)*N(J600)*(1-N(K600)),2))</f>
        <v/>
      </c>
      <c r="AI600" s="70" t="str">
        <f>IF(OR(J600="",N(T600)&lt;=0,V600="Oui"),"",ROUND(N(T600)*J600*(1-N(K600)),2))</f>
        <v/>
      </c>
    </row>
    <row r="601">
      <c r="A601" s="63" t="n"/>
      <c r="B601" s="64" t="n"/>
      <c r="C601" s="65" t="n"/>
      <c r="D601" s="66" t="str">
        <f>IF(C601="","",IFERROR(INDEX(sup_name,MATCH($C601,sup_code,0))&amp;"","Fournisseur inconnu"))</f>
        <v/>
      </c>
      <c r="E601" s="63" t="n"/>
      <c r="F601" s="66" t="str">
        <f>IF(E601="","",IFERROR(INDEX(art_des,MATCH($E601,art_ref,0))&amp;"","Article inconnu"))</f>
        <v/>
      </c>
      <c r="G601" s="67" t="str">
        <f>IF(E601="","",IFERROR(INDEX(art_unit,MATCH($E601,art_ref,0))&amp;"",""))</f>
        <v/>
      </c>
      <c r="H601" s="68" t="n"/>
      <c r="I601" s="69" t="n"/>
      <c r="J601" s="70" t="str">
        <f>IF(E601="","",IF(ISNUMBER(I601),I601,IFERROR(IF(ISNUMBER(INDEX(art_price,MATCH($E601,art_ref,0))),INDEX(art_price,MATCH($E601,art_ref,0)),""),"")))</f>
        <v/>
      </c>
      <c r="K601" s="71" t="n"/>
      <c r="L601" s="72" t="n"/>
      <c r="M601" s="72" t="str">
        <f>IF(E601="","",IF(L601&lt;&gt;"",L601,IFERROR(IF(ISNUMBER(INDEX(art_tva,MATCH($E601,art_ref,0))),INDEX(art_tva,MATCH($E601,art_ref,0)),""),"")))</f>
        <v/>
      </c>
      <c r="N601" s="70" t="str">
        <f>IF(OR(E601="",J601=""),"",ROUND(N(H601)*J601*(1-N(K601)),2))</f>
        <v/>
      </c>
      <c r="O601" s="70" t="str">
        <f>IF(OR(N601="",NOT(ISNUMBER(M601))),"",ROUND(N601*M601,2))</f>
        <v/>
      </c>
      <c r="P601" s="70" t="str">
        <f>IF(N601="","",N601+N(O601))</f>
        <v/>
      </c>
      <c r="Q601" s="64" t="n"/>
      <c r="R601" s="73" t="str">
        <f>IF(N(Q601)&gt;0,Q601,IF(OR(N(B601)=0,ISNA(MATCH($C601,sup_code,0))),"",IF(ISNUMBER(INDEX(sup_delay,MATCH($C601,sup_code,0))),B601+INDEX(sup_delay,MATCH($C601,sup_code,0)),"")))</f>
        <v/>
      </c>
      <c r="S601" s="64" t="n"/>
      <c r="T601" s="68" t="n"/>
      <c r="U601" s="64" t="n"/>
      <c r="V601" s="65" t="n"/>
      <c r="W601" s="74" t="str">
        <f>IF(AND(A601="",E601=""),"",IF(V601="Oui",0,MAX(0,ROUND(N(H601)-N(T601),6))))</f>
        <v/>
      </c>
      <c r="X601" s="67" t="str">
        <f>IF(AND(A601="",E601=""),"",IF(V601="Oui","Annulé",IF(AND(N(H601)&gt;0,N(T601)&gt;=N(H601)),"Reçu",IF(N(S601)=0,"Brouillon",IF(AND(ISNUMBER(R601),R601&lt;p_today),"En retard",IF(N(T601)&gt;0,"Partiel","Envoyé"))))))</f>
        <v/>
      </c>
      <c r="Y601" s="75" t="str">
        <f>IF(X601="En retard",p_today-R601,IF(AND(X601="Reçu",ISNUMBER(R601)),MAX(0,N(U601)-R601),""))</f>
        <v/>
      </c>
      <c r="Z601" s="67" t="str">
        <f>IF(AND(A601="",E601=""),"",IF(A601="","N° de bon manquant",IF(N(B601)=0,"Date de commande manquante",IF(C601="","Fournisseur manquant",IF(ISNA(MATCH($C601,sup_code,0)),"Fournisseur inconnu",IF(E601="","Article manquant",IF(ISNA(MATCH($E601,art_ref,0)),"Article inconnu",IF(N(H601)&lt;=0,"Quantité invalide",IF(J601="","Prix manquant",IF(OR(N(K601)&lt;0,N(K601)&gt;=1),"Remise invalide",IF(M601="","TVA manquante",IF(ISNA(MATCH(M601,p_tva,0)),"Taux de TVA inconnu",IF(COUNTIFS(po_num,A601,po_sup,"&lt;&gt;"&amp;C601)&gt;0,"Fournisseur différent sur ce bon",IF(COUNTIFS(po_num,A601,po_date,"&lt;&gt;"&amp;B601)&gt;0,"Date différente sur ce bon",IF(COUNTIF(po_num,A601)&gt;25,"Plus de 25 lignes sur ce bon",IF(R601="","Date de livraison manquante",IF(R601&lt;B601,"Livraison avant la commande",IF(AND(N(T601)&gt;0,N(S601)=0),"Date d'envoi manquante",IF(N(T601)&gt;N(H601),"Reçu plus que commandé",IF(AND(N(T601)&gt;0,N(U601)=0),"Date de réception manquante",IF(AND(N(U601)&gt;0,U601&lt;B601),"Réception avant la commande","OK")))))))))))))))))))))</f>
        <v/>
      </c>
      <c r="AA601" s="66" t="str">
        <f>IF(AND(X601="Reçu",ISNUMBER(R601)),IF(N(U601)&lt;=R601,1,0),"")</f>
        <v/>
      </c>
      <c r="AB601" s="76" t="str">
        <f>IF(OR(X601="Envoyé",X601="Partiel",X601="En retard"),IF(ISNUMBER(R601),R601,100000)+ROW()/100000,"")</f>
        <v/>
      </c>
      <c r="AC601" s="66" t="str">
        <f>IF(A601="","",IF(COUNTIF($A$6:A601,A601)=1,1,""))</f>
        <v/>
      </c>
      <c r="AD601" s="66" t="str">
        <f>IF(AC601=1,COUNT($AC$6:AC601),"")</f>
        <v/>
      </c>
      <c r="AE601" s="66" t="str">
        <f>IFERROR(INDEX(po_num,MATCH(596,po_seq,0))&amp;"","")</f>
        <v/>
      </c>
      <c r="AF601" s="66" t="str">
        <f>IF(OR(A601="",p_po=""),"",IF(A601&amp;""=p_po,COUNTIF($A$6:A601,A601),""))</f>
        <v/>
      </c>
      <c r="AG601" s="66" t="str">
        <f>IF(OR(AB601="",A601=""),"",IF(COUNTIFS($A$6:A601,A601,$AB$6:AB601,"&gt;0")=1,1,""))</f>
        <v/>
      </c>
      <c r="AH601" s="70" t="str">
        <f>IF(AB601="","",ROUND(N(W601)*N(J601)*(1-N(K601)),2))</f>
        <v/>
      </c>
      <c r="AI601" s="70" t="str">
        <f>IF(OR(J601="",N(T601)&lt;=0,V601="Oui"),"",ROUND(N(T601)*J601*(1-N(K601)),2))</f>
        <v/>
      </c>
    </row>
    <row r="602">
      <c r="A602" s="63" t="n"/>
      <c r="B602" s="64" t="n"/>
      <c r="C602" s="65" t="n"/>
      <c r="D602" s="66" t="str">
        <f>IF(C602="","",IFERROR(INDEX(sup_name,MATCH($C602,sup_code,0))&amp;"","Fournisseur inconnu"))</f>
        <v/>
      </c>
      <c r="E602" s="63" t="n"/>
      <c r="F602" s="66" t="str">
        <f>IF(E602="","",IFERROR(INDEX(art_des,MATCH($E602,art_ref,0))&amp;"","Article inconnu"))</f>
        <v/>
      </c>
      <c r="G602" s="67" t="str">
        <f>IF(E602="","",IFERROR(INDEX(art_unit,MATCH($E602,art_ref,0))&amp;"",""))</f>
        <v/>
      </c>
      <c r="H602" s="68" t="n"/>
      <c r="I602" s="69" t="n"/>
      <c r="J602" s="70" t="str">
        <f>IF(E602="","",IF(ISNUMBER(I602),I602,IFERROR(IF(ISNUMBER(INDEX(art_price,MATCH($E602,art_ref,0))),INDEX(art_price,MATCH($E602,art_ref,0)),""),"")))</f>
        <v/>
      </c>
      <c r="K602" s="71" t="n"/>
      <c r="L602" s="72" t="n"/>
      <c r="M602" s="72" t="str">
        <f>IF(E602="","",IF(L602&lt;&gt;"",L602,IFERROR(IF(ISNUMBER(INDEX(art_tva,MATCH($E602,art_ref,0))),INDEX(art_tva,MATCH($E602,art_ref,0)),""),"")))</f>
        <v/>
      </c>
      <c r="N602" s="70" t="str">
        <f>IF(OR(E602="",J602=""),"",ROUND(N(H602)*J602*(1-N(K602)),2))</f>
        <v/>
      </c>
      <c r="O602" s="70" t="str">
        <f>IF(OR(N602="",NOT(ISNUMBER(M602))),"",ROUND(N602*M602,2))</f>
        <v/>
      </c>
      <c r="P602" s="70" t="str">
        <f>IF(N602="","",N602+N(O602))</f>
        <v/>
      </c>
      <c r="Q602" s="64" t="n"/>
      <c r="R602" s="73" t="str">
        <f>IF(N(Q602)&gt;0,Q602,IF(OR(N(B602)=0,ISNA(MATCH($C602,sup_code,0))),"",IF(ISNUMBER(INDEX(sup_delay,MATCH($C602,sup_code,0))),B602+INDEX(sup_delay,MATCH($C602,sup_code,0)),"")))</f>
        <v/>
      </c>
      <c r="S602" s="64" t="n"/>
      <c r="T602" s="68" t="n"/>
      <c r="U602" s="64" t="n"/>
      <c r="V602" s="65" t="n"/>
      <c r="W602" s="74" t="str">
        <f>IF(AND(A602="",E602=""),"",IF(V602="Oui",0,MAX(0,ROUND(N(H602)-N(T602),6))))</f>
        <v/>
      </c>
      <c r="X602" s="67" t="str">
        <f>IF(AND(A602="",E602=""),"",IF(V602="Oui","Annulé",IF(AND(N(H602)&gt;0,N(T602)&gt;=N(H602)),"Reçu",IF(N(S602)=0,"Brouillon",IF(AND(ISNUMBER(R602),R602&lt;p_today),"En retard",IF(N(T602)&gt;0,"Partiel","Envoyé"))))))</f>
        <v/>
      </c>
      <c r="Y602" s="75" t="str">
        <f>IF(X602="En retard",p_today-R602,IF(AND(X602="Reçu",ISNUMBER(R602)),MAX(0,N(U602)-R602),""))</f>
        <v/>
      </c>
      <c r="Z602" s="67" t="str">
        <f>IF(AND(A602="",E602=""),"",IF(A602="","N° de bon manquant",IF(N(B602)=0,"Date de commande manquante",IF(C602="","Fournisseur manquant",IF(ISNA(MATCH($C602,sup_code,0)),"Fournisseur inconnu",IF(E602="","Article manquant",IF(ISNA(MATCH($E602,art_ref,0)),"Article inconnu",IF(N(H602)&lt;=0,"Quantité invalide",IF(J602="","Prix manquant",IF(OR(N(K602)&lt;0,N(K602)&gt;=1),"Remise invalide",IF(M602="","TVA manquante",IF(ISNA(MATCH(M602,p_tva,0)),"Taux de TVA inconnu",IF(COUNTIFS(po_num,A602,po_sup,"&lt;&gt;"&amp;C602)&gt;0,"Fournisseur différent sur ce bon",IF(COUNTIFS(po_num,A602,po_date,"&lt;&gt;"&amp;B602)&gt;0,"Date différente sur ce bon",IF(COUNTIF(po_num,A602)&gt;25,"Plus de 25 lignes sur ce bon",IF(R602="","Date de livraison manquante",IF(R602&lt;B602,"Livraison avant la commande",IF(AND(N(T602)&gt;0,N(S602)=0),"Date d'envoi manquante",IF(N(T602)&gt;N(H602),"Reçu plus que commandé",IF(AND(N(T602)&gt;0,N(U602)=0),"Date de réception manquante",IF(AND(N(U602)&gt;0,U602&lt;B602),"Réception avant la commande","OK")))))))))))))))))))))</f>
        <v/>
      </c>
      <c r="AA602" s="66" t="str">
        <f>IF(AND(X602="Reçu",ISNUMBER(R602)),IF(N(U602)&lt;=R602,1,0),"")</f>
        <v/>
      </c>
      <c r="AB602" s="76" t="str">
        <f>IF(OR(X602="Envoyé",X602="Partiel",X602="En retard"),IF(ISNUMBER(R602),R602,100000)+ROW()/100000,"")</f>
        <v/>
      </c>
      <c r="AC602" s="66" t="str">
        <f>IF(A602="","",IF(COUNTIF($A$6:A602,A602)=1,1,""))</f>
        <v/>
      </c>
      <c r="AD602" s="66" t="str">
        <f>IF(AC602=1,COUNT($AC$6:AC602),"")</f>
        <v/>
      </c>
      <c r="AE602" s="66" t="str">
        <f>IFERROR(INDEX(po_num,MATCH(597,po_seq,0))&amp;"","")</f>
        <v/>
      </c>
      <c r="AF602" s="66" t="str">
        <f>IF(OR(A602="",p_po=""),"",IF(A602&amp;""=p_po,COUNTIF($A$6:A602,A602),""))</f>
        <v/>
      </c>
      <c r="AG602" s="66" t="str">
        <f>IF(OR(AB602="",A602=""),"",IF(COUNTIFS($A$6:A602,A602,$AB$6:AB602,"&gt;0")=1,1,""))</f>
        <v/>
      </c>
      <c r="AH602" s="70" t="str">
        <f>IF(AB602="","",ROUND(N(W602)*N(J602)*(1-N(K602)),2))</f>
        <v/>
      </c>
      <c r="AI602" s="70" t="str">
        <f>IF(OR(J602="",N(T602)&lt;=0,V602="Oui"),"",ROUND(N(T602)*J602*(1-N(K602)),2))</f>
        <v/>
      </c>
    </row>
    <row r="603">
      <c r="A603" s="63" t="n"/>
      <c r="B603" s="64" t="n"/>
      <c r="C603" s="65" t="n"/>
      <c r="D603" s="66" t="str">
        <f>IF(C603="","",IFERROR(INDEX(sup_name,MATCH($C603,sup_code,0))&amp;"","Fournisseur inconnu"))</f>
        <v/>
      </c>
      <c r="E603" s="63" t="n"/>
      <c r="F603" s="66" t="str">
        <f>IF(E603="","",IFERROR(INDEX(art_des,MATCH($E603,art_ref,0))&amp;"","Article inconnu"))</f>
        <v/>
      </c>
      <c r="G603" s="67" t="str">
        <f>IF(E603="","",IFERROR(INDEX(art_unit,MATCH($E603,art_ref,0))&amp;"",""))</f>
        <v/>
      </c>
      <c r="H603" s="68" t="n"/>
      <c r="I603" s="69" t="n"/>
      <c r="J603" s="70" t="str">
        <f>IF(E603="","",IF(ISNUMBER(I603),I603,IFERROR(IF(ISNUMBER(INDEX(art_price,MATCH($E603,art_ref,0))),INDEX(art_price,MATCH($E603,art_ref,0)),""),"")))</f>
        <v/>
      </c>
      <c r="K603" s="71" t="n"/>
      <c r="L603" s="72" t="n"/>
      <c r="M603" s="72" t="str">
        <f>IF(E603="","",IF(L603&lt;&gt;"",L603,IFERROR(IF(ISNUMBER(INDEX(art_tva,MATCH($E603,art_ref,0))),INDEX(art_tva,MATCH($E603,art_ref,0)),""),"")))</f>
        <v/>
      </c>
      <c r="N603" s="70" t="str">
        <f>IF(OR(E603="",J603=""),"",ROUND(N(H603)*J603*(1-N(K603)),2))</f>
        <v/>
      </c>
      <c r="O603" s="70" t="str">
        <f>IF(OR(N603="",NOT(ISNUMBER(M603))),"",ROUND(N603*M603,2))</f>
        <v/>
      </c>
      <c r="P603" s="70" t="str">
        <f>IF(N603="","",N603+N(O603))</f>
        <v/>
      </c>
      <c r="Q603" s="64" t="n"/>
      <c r="R603" s="73" t="str">
        <f>IF(N(Q603)&gt;0,Q603,IF(OR(N(B603)=0,ISNA(MATCH($C603,sup_code,0))),"",IF(ISNUMBER(INDEX(sup_delay,MATCH($C603,sup_code,0))),B603+INDEX(sup_delay,MATCH($C603,sup_code,0)),"")))</f>
        <v/>
      </c>
      <c r="S603" s="64" t="n"/>
      <c r="T603" s="68" t="n"/>
      <c r="U603" s="64" t="n"/>
      <c r="V603" s="65" t="n"/>
      <c r="W603" s="74" t="str">
        <f>IF(AND(A603="",E603=""),"",IF(V603="Oui",0,MAX(0,ROUND(N(H603)-N(T603),6))))</f>
        <v/>
      </c>
      <c r="X603" s="67" t="str">
        <f>IF(AND(A603="",E603=""),"",IF(V603="Oui","Annulé",IF(AND(N(H603)&gt;0,N(T603)&gt;=N(H603)),"Reçu",IF(N(S603)=0,"Brouillon",IF(AND(ISNUMBER(R603),R603&lt;p_today),"En retard",IF(N(T603)&gt;0,"Partiel","Envoyé"))))))</f>
        <v/>
      </c>
      <c r="Y603" s="75" t="str">
        <f>IF(X603="En retard",p_today-R603,IF(AND(X603="Reçu",ISNUMBER(R603)),MAX(0,N(U603)-R603),""))</f>
        <v/>
      </c>
      <c r="Z603" s="67" t="str">
        <f>IF(AND(A603="",E603=""),"",IF(A603="","N° de bon manquant",IF(N(B603)=0,"Date de commande manquante",IF(C603="","Fournisseur manquant",IF(ISNA(MATCH($C603,sup_code,0)),"Fournisseur inconnu",IF(E603="","Article manquant",IF(ISNA(MATCH($E603,art_ref,0)),"Article inconnu",IF(N(H603)&lt;=0,"Quantité invalide",IF(J603="","Prix manquant",IF(OR(N(K603)&lt;0,N(K603)&gt;=1),"Remise invalide",IF(M603="","TVA manquante",IF(ISNA(MATCH(M603,p_tva,0)),"Taux de TVA inconnu",IF(COUNTIFS(po_num,A603,po_sup,"&lt;&gt;"&amp;C603)&gt;0,"Fournisseur différent sur ce bon",IF(COUNTIFS(po_num,A603,po_date,"&lt;&gt;"&amp;B603)&gt;0,"Date différente sur ce bon",IF(COUNTIF(po_num,A603)&gt;25,"Plus de 25 lignes sur ce bon",IF(R603="","Date de livraison manquante",IF(R603&lt;B603,"Livraison avant la commande",IF(AND(N(T603)&gt;0,N(S603)=0),"Date d'envoi manquante",IF(N(T603)&gt;N(H603),"Reçu plus que commandé",IF(AND(N(T603)&gt;0,N(U603)=0),"Date de réception manquante",IF(AND(N(U603)&gt;0,U603&lt;B603),"Réception avant la commande","OK")))))))))))))))))))))</f>
        <v/>
      </c>
      <c r="AA603" s="66" t="str">
        <f>IF(AND(X603="Reçu",ISNUMBER(R603)),IF(N(U603)&lt;=R603,1,0),"")</f>
        <v/>
      </c>
      <c r="AB603" s="76" t="str">
        <f>IF(OR(X603="Envoyé",X603="Partiel",X603="En retard"),IF(ISNUMBER(R603),R603,100000)+ROW()/100000,"")</f>
        <v/>
      </c>
      <c r="AC603" s="66" t="str">
        <f>IF(A603="","",IF(COUNTIF($A$6:A603,A603)=1,1,""))</f>
        <v/>
      </c>
      <c r="AD603" s="66" t="str">
        <f>IF(AC603=1,COUNT($AC$6:AC603),"")</f>
        <v/>
      </c>
      <c r="AE603" s="66" t="str">
        <f>IFERROR(INDEX(po_num,MATCH(598,po_seq,0))&amp;"","")</f>
        <v/>
      </c>
      <c r="AF603" s="66" t="str">
        <f>IF(OR(A603="",p_po=""),"",IF(A603&amp;""=p_po,COUNTIF($A$6:A603,A603),""))</f>
        <v/>
      </c>
      <c r="AG603" s="66" t="str">
        <f>IF(OR(AB603="",A603=""),"",IF(COUNTIFS($A$6:A603,A603,$AB$6:AB603,"&gt;0")=1,1,""))</f>
        <v/>
      </c>
      <c r="AH603" s="70" t="str">
        <f>IF(AB603="","",ROUND(N(W603)*N(J603)*(1-N(K603)),2))</f>
        <v/>
      </c>
      <c r="AI603" s="70" t="str">
        <f>IF(OR(J603="",N(T603)&lt;=0,V603="Oui"),"",ROUND(N(T603)*J603*(1-N(K603)),2))</f>
        <v/>
      </c>
    </row>
    <row r="604">
      <c r="A604" s="63" t="n"/>
      <c r="B604" s="64" t="n"/>
      <c r="C604" s="65" t="n"/>
      <c r="D604" s="66" t="str">
        <f>IF(C604="","",IFERROR(INDEX(sup_name,MATCH($C604,sup_code,0))&amp;"","Fournisseur inconnu"))</f>
        <v/>
      </c>
      <c r="E604" s="63" t="n"/>
      <c r="F604" s="66" t="str">
        <f>IF(E604="","",IFERROR(INDEX(art_des,MATCH($E604,art_ref,0))&amp;"","Article inconnu"))</f>
        <v/>
      </c>
      <c r="G604" s="67" t="str">
        <f>IF(E604="","",IFERROR(INDEX(art_unit,MATCH($E604,art_ref,0))&amp;"",""))</f>
        <v/>
      </c>
      <c r="H604" s="68" t="n"/>
      <c r="I604" s="69" t="n"/>
      <c r="J604" s="70" t="str">
        <f>IF(E604="","",IF(ISNUMBER(I604),I604,IFERROR(IF(ISNUMBER(INDEX(art_price,MATCH($E604,art_ref,0))),INDEX(art_price,MATCH($E604,art_ref,0)),""),"")))</f>
        <v/>
      </c>
      <c r="K604" s="71" t="n"/>
      <c r="L604" s="72" t="n"/>
      <c r="M604" s="72" t="str">
        <f>IF(E604="","",IF(L604&lt;&gt;"",L604,IFERROR(IF(ISNUMBER(INDEX(art_tva,MATCH($E604,art_ref,0))),INDEX(art_tva,MATCH($E604,art_ref,0)),""),"")))</f>
        <v/>
      </c>
      <c r="N604" s="70" t="str">
        <f>IF(OR(E604="",J604=""),"",ROUND(N(H604)*J604*(1-N(K604)),2))</f>
        <v/>
      </c>
      <c r="O604" s="70" t="str">
        <f>IF(OR(N604="",NOT(ISNUMBER(M604))),"",ROUND(N604*M604,2))</f>
        <v/>
      </c>
      <c r="P604" s="70" t="str">
        <f>IF(N604="","",N604+N(O604))</f>
        <v/>
      </c>
      <c r="Q604" s="64" t="n"/>
      <c r="R604" s="73" t="str">
        <f>IF(N(Q604)&gt;0,Q604,IF(OR(N(B604)=0,ISNA(MATCH($C604,sup_code,0))),"",IF(ISNUMBER(INDEX(sup_delay,MATCH($C604,sup_code,0))),B604+INDEX(sup_delay,MATCH($C604,sup_code,0)),"")))</f>
        <v/>
      </c>
      <c r="S604" s="64" t="n"/>
      <c r="T604" s="68" t="n"/>
      <c r="U604" s="64" t="n"/>
      <c r="V604" s="65" t="n"/>
      <c r="W604" s="74" t="str">
        <f>IF(AND(A604="",E604=""),"",IF(V604="Oui",0,MAX(0,ROUND(N(H604)-N(T604),6))))</f>
        <v/>
      </c>
      <c r="X604" s="67" t="str">
        <f>IF(AND(A604="",E604=""),"",IF(V604="Oui","Annulé",IF(AND(N(H604)&gt;0,N(T604)&gt;=N(H604)),"Reçu",IF(N(S604)=0,"Brouillon",IF(AND(ISNUMBER(R604),R604&lt;p_today),"En retard",IF(N(T604)&gt;0,"Partiel","Envoyé"))))))</f>
        <v/>
      </c>
      <c r="Y604" s="75" t="str">
        <f>IF(X604="En retard",p_today-R604,IF(AND(X604="Reçu",ISNUMBER(R604)),MAX(0,N(U604)-R604),""))</f>
        <v/>
      </c>
      <c r="Z604" s="67" t="str">
        <f>IF(AND(A604="",E604=""),"",IF(A604="","N° de bon manquant",IF(N(B604)=0,"Date de commande manquante",IF(C604="","Fournisseur manquant",IF(ISNA(MATCH($C604,sup_code,0)),"Fournisseur inconnu",IF(E604="","Article manquant",IF(ISNA(MATCH($E604,art_ref,0)),"Article inconnu",IF(N(H604)&lt;=0,"Quantité invalide",IF(J604="","Prix manquant",IF(OR(N(K604)&lt;0,N(K604)&gt;=1),"Remise invalide",IF(M604="","TVA manquante",IF(ISNA(MATCH(M604,p_tva,0)),"Taux de TVA inconnu",IF(COUNTIFS(po_num,A604,po_sup,"&lt;&gt;"&amp;C604)&gt;0,"Fournisseur différent sur ce bon",IF(COUNTIFS(po_num,A604,po_date,"&lt;&gt;"&amp;B604)&gt;0,"Date différente sur ce bon",IF(COUNTIF(po_num,A604)&gt;25,"Plus de 25 lignes sur ce bon",IF(R604="","Date de livraison manquante",IF(R604&lt;B604,"Livraison avant la commande",IF(AND(N(T604)&gt;0,N(S604)=0),"Date d'envoi manquante",IF(N(T604)&gt;N(H604),"Reçu plus que commandé",IF(AND(N(T604)&gt;0,N(U604)=0),"Date de réception manquante",IF(AND(N(U604)&gt;0,U604&lt;B604),"Réception avant la commande","OK")))))))))))))))))))))</f>
        <v/>
      </c>
      <c r="AA604" s="66" t="str">
        <f>IF(AND(X604="Reçu",ISNUMBER(R604)),IF(N(U604)&lt;=R604,1,0),"")</f>
        <v/>
      </c>
      <c r="AB604" s="76" t="str">
        <f>IF(OR(X604="Envoyé",X604="Partiel",X604="En retard"),IF(ISNUMBER(R604),R604,100000)+ROW()/100000,"")</f>
        <v/>
      </c>
      <c r="AC604" s="66" t="str">
        <f>IF(A604="","",IF(COUNTIF($A$6:A604,A604)=1,1,""))</f>
        <v/>
      </c>
      <c r="AD604" s="66" t="str">
        <f>IF(AC604=1,COUNT($AC$6:AC604),"")</f>
        <v/>
      </c>
      <c r="AE604" s="66" t="str">
        <f>IFERROR(INDEX(po_num,MATCH(599,po_seq,0))&amp;"","")</f>
        <v/>
      </c>
      <c r="AF604" s="66" t="str">
        <f>IF(OR(A604="",p_po=""),"",IF(A604&amp;""=p_po,COUNTIF($A$6:A604,A604),""))</f>
        <v/>
      </c>
      <c r="AG604" s="66" t="str">
        <f>IF(OR(AB604="",A604=""),"",IF(COUNTIFS($A$6:A604,A604,$AB$6:AB604,"&gt;0")=1,1,""))</f>
        <v/>
      </c>
      <c r="AH604" s="70" t="str">
        <f>IF(AB604="","",ROUND(N(W604)*N(J604)*(1-N(K604)),2))</f>
        <v/>
      </c>
      <c r="AI604" s="70" t="str">
        <f>IF(OR(J604="",N(T604)&lt;=0,V604="Oui"),"",ROUND(N(T604)*J604*(1-N(K604)),2))</f>
        <v/>
      </c>
    </row>
    <row r="605">
      <c r="A605" s="63" t="n"/>
      <c r="B605" s="64" t="n"/>
      <c r="C605" s="65" t="n"/>
      <c r="D605" s="66" t="str">
        <f>IF(C605="","",IFERROR(INDEX(sup_name,MATCH($C605,sup_code,0))&amp;"","Fournisseur inconnu"))</f>
        <v/>
      </c>
      <c r="E605" s="63" t="n"/>
      <c r="F605" s="66" t="str">
        <f>IF(E605="","",IFERROR(INDEX(art_des,MATCH($E605,art_ref,0))&amp;"","Article inconnu"))</f>
        <v/>
      </c>
      <c r="G605" s="67" t="str">
        <f>IF(E605="","",IFERROR(INDEX(art_unit,MATCH($E605,art_ref,0))&amp;"",""))</f>
        <v/>
      </c>
      <c r="H605" s="68" t="n"/>
      <c r="I605" s="69" t="n"/>
      <c r="J605" s="70" t="str">
        <f>IF(E605="","",IF(ISNUMBER(I605),I605,IFERROR(IF(ISNUMBER(INDEX(art_price,MATCH($E605,art_ref,0))),INDEX(art_price,MATCH($E605,art_ref,0)),""),"")))</f>
        <v/>
      </c>
      <c r="K605" s="71" t="n"/>
      <c r="L605" s="72" t="n"/>
      <c r="M605" s="72" t="str">
        <f>IF(E605="","",IF(L605&lt;&gt;"",L605,IFERROR(IF(ISNUMBER(INDEX(art_tva,MATCH($E605,art_ref,0))),INDEX(art_tva,MATCH($E605,art_ref,0)),""),"")))</f>
        <v/>
      </c>
      <c r="N605" s="70" t="str">
        <f>IF(OR(E605="",J605=""),"",ROUND(N(H605)*J605*(1-N(K605)),2))</f>
        <v/>
      </c>
      <c r="O605" s="70" t="str">
        <f>IF(OR(N605="",NOT(ISNUMBER(M605))),"",ROUND(N605*M605,2))</f>
        <v/>
      </c>
      <c r="P605" s="70" t="str">
        <f>IF(N605="","",N605+N(O605))</f>
        <v/>
      </c>
      <c r="Q605" s="64" t="n"/>
      <c r="R605" s="73" t="str">
        <f>IF(N(Q605)&gt;0,Q605,IF(OR(N(B605)=0,ISNA(MATCH($C605,sup_code,0))),"",IF(ISNUMBER(INDEX(sup_delay,MATCH($C605,sup_code,0))),B605+INDEX(sup_delay,MATCH($C605,sup_code,0)),"")))</f>
        <v/>
      </c>
      <c r="S605" s="64" t="n"/>
      <c r="T605" s="68" t="n"/>
      <c r="U605" s="64" t="n"/>
      <c r="V605" s="65" t="n"/>
      <c r="W605" s="74" t="str">
        <f>IF(AND(A605="",E605=""),"",IF(V605="Oui",0,MAX(0,ROUND(N(H605)-N(T605),6))))</f>
        <v/>
      </c>
      <c r="X605" s="67" t="str">
        <f>IF(AND(A605="",E605=""),"",IF(V605="Oui","Annulé",IF(AND(N(H605)&gt;0,N(T605)&gt;=N(H605)),"Reçu",IF(N(S605)=0,"Brouillon",IF(AND(ISNUMBER(R605),R605&lt;p_today),"En retard",IF(N(T605)&gt;0,"Partiel","Envoyé"))))))</f>
        <v/>
      </c>
      <c r="Y605" s="75" t="str">
        <f>IF(X605="En retard",p_today-R605,IF(AND(X605="Reçu",ISNUMBER(R605)),MAX(0,N(U605)-R605),""))</f>
        <v/>
      </c>
      <c r="Z605" s="67" t="str">
        <f>IF(AND(A605="",E605=""),"",IF(A605="","N° de bon manquant",IF(N(B605)=0,"Date de commande manquante",IF(C605="","Fournisseur manquant",IF(ISNA(MATCH($C605,sup_code,0)),"Fournisseur inconnu",IF(E605="","Article manquant",IF(ISNA(MATCH($E605,art_ref,0)),"Article inconnu",IF(N(H605)&lt;=0,"Quantité invalide",IF(J605="","Prix manquant",IF(OR(N(K605)&lt;0,N(K605)&gt;=1),"Remise invalide",IF(M605="","TVA manquante",IF(ISNA(MATCH(M605,p_tva,0)),"Taux de TVA inconnu",IF(COUNTIFS(po_num,A605,po_sup,"&lt;&gt;"&amp;C605)&gt;0,"Fournisseur différent sur ce bon",IF(COUNTIFS(po_num,A605,po_date,"&lt;&gt;"&amp;B605)&gt;0,"Date différente sur ce bon",IF(COUNTIF(po_num,A605)&gt;25,"Plus de 25 lignes sur ce bon",IF(R605="","Date de livraison manquante",IF(R605&lt;B605,"Livraison avant la commande",IF(AND(N(T605)&gt;0,N(S605)=0),"Date d'envoi manquante",IF(N(T605)&gt;N(H605),"Reçu plus que commandé",IF(AND(N(T605)&gt;0,N(U605)=0),"Date de réception manquante",IF(AND(N(U605)&gt;0,U605&lt;B605),"Réception avant la commande","OK")))))))))))))))))))))</f>
        <v/>
      </c>
      <c r="AA605" s="66" t="str">
        <f>IF(AND(X605="Reçu",ISNUMBER(R605)),IF(N(U605)&lt;=R605,1,0),"")</f>
        <v/>
      </c>
      <c r="AB605" s="76" t="str">
        <f>IF(OR(X605="Envoyé",X605="Partiel",X605="En retard"),IF(ISNUMBER(R605),R605,100000)+ROW()/100000,"")</f>
        <v/>
      </c>
      <c r="AC605" s="66" t="str">
        <f>IF(A605="","",IF(COUNTIF($A$6:A605,A605)=1,1,""))</f>
        <v/>
      </c>
      <c r="AD605" s="66" t="str">
        <f>IF(AC605=1,COUNT($AC$6:AC605),"")</f>
        <v/>
      </c>
      <c r="AE605" s="66" t="str">
        <f>IFERROR(INDEX(po_num,MATCH(600,po_seq,0))&amp;"","")</f>
        <v/>
      </c>
      <c r="AF605" s="66" t="str">
        <f>IF(OR(A605="",p_po=""),"",IF(A605&amp;""=p_po,COUNTIF($A$6:A605,A605),""))</f>
        <v/>
      </c>
      <c r="AG605" s="66" t="str">
        <f>IF(OR(AB605="",A605=""),"",IF(COUNTIFS($A$6:A605,A605,$AB$6:AB605,"&gt;0")=1,1,""))</f>
        <v/>
      </c>
      <c r="AH605" s="70" t="str">
        <f>IF(AB605="","",ROUND(N(W605)*N(J605)*(1-N(K605)),2))</f>
        <v/>
      </c>
      <c r="AI605" s="70" t="str">
        <f>IF(OR(J605="",N(T605)&lt;=0,V605="Oui"),"",ROUND(N(T605)*J605*(1-N(K605)),2))</f>
        <v/>
      </c>
    </row>
    <row r="606">
      <c r="A606" s="63" t="n"/>
      <c r="B606" s="64" t="n"/>
      <c r="C606" s="65" t="n"/>
      <c r="D606" s="66" t="str">
        <f>IF(C606="","",IFERROR(INDEX(sup_name,MATCH($C606,sup_code,0))&amp;"","Fournisseur inconnu"))</f>
        <v/>
      </c>
      <c r="E606" s="63" t="n"/>
      <c r="F606" s="66" t="str">
        <f>IF(E606="","",IFERROR(INDEX(art_des,MATCH($E606,art_ref,0))&amp;"","Article inconnu"))</f>
        <v/>
      </c>
      <c r="G606" s="67" t="str">
        <f>IF(E606="","",IFERROR(INDEX(art_unit,MATCH($E606,art_ref,0))&amp;"",""))</f>
        <v/>
      </c>
      <c r="H606" s="68" t="n"/>
      <c r="I606" s="69" t="n"/>
      <c r="J606" s="70" t="str">
        <f>IF(E606="","",IF(ISNUMBER(I606),I606,IFERROR(IF(ISNUMBER(INDEX(art_price,MATCH($E606,art_ref,0))),INDEX(art_price,MATCH($E606,art_ref,0)),""),"")))</f>
        <v/>
      </c>
      <c r="K606" s="71" t="n"/>
      <c r="L606" s="72" t="n"/>
      <c r="M606" s="72" t="str">
        <f>IF(E606="","",IF(L606&lt;&gt;"",L606,IFERROR(IF(ISNUMBER(INDEX(art_tva,MATCH($E606,art_ref,0))),INDEX(art_tva,MATCH($E606,art_ref,0)),""),"")))</f>
        <v/>
      </c>
      <c r="N606" s="70" t="str">
        <f>IF(OR(E606="",J606=""),"",ROUND(N(H606)*J606*(1-N(K606)),2))</f>
        <v/>
      </c>
      <c r="O606" s="70" t="str">
        <f>IF(OR(N606="",NOT(ISNUMBER(M606))),"",ROUND(N606*M606,2))</f>
        <v/>
      </c>
      <c r="P606" s="70" t="str">
        <f>IF(N606="","",N606+N(O606))</f>
        <v/>
      </c>
      <c r="Q606" s="64" t="n"/>
      <c r="R606" s="73" t="str">
        <f>IF(N(Q606)&gt;0,Q606,IF(OR(N(B606)=0,ISNA(MATCH($C606,sup_code,0))),"",IF(ISNUMBER(INDEX(sup_delay,MATCH($C606,sup_code,0))),B606+INDEX(sup_delay,MATCH($C606,sup_code,0)),"")))</f>
        <v/>
      </c>
      <c r="S606" s="64" t="n"/>
      <c r="T606" s="68" t="n"/>
      <c r="U606" s="64" t="n"/>
      <c r="V606" s="65" t="n"/>
      <c r="W606" s="74" t="str">
        <f>IF(AND(A606="",E606=""),"",IF(V606="Oui",0,MAX(0,ROUND(N(H606)-N(T606),6))))</f>
        <v/>
      </c>
      <c r="X606" s="67" t="str">
        <f>IF(AND(A606="",E606=""),"",IF(V606="Oui","Annulé",IF(AND(N(H606)&gt;0,N(T606)&gt;=N(H606)),"Reçu",IF(N(S606)=0,"Brouillon",IF(AND(ISNUMBER(R606),R606&lt;p_today),"En retard",IF(N(T606)&gt;0,"Partiel","Envoyé"))))))</f>
        <v/>
      </c>
      <c r="Y606" s="75" t="str">
        <f>IF(X606="En retard",p_today-R606,IF(AND(X606="Reçu",ISNUMBER(R606)),MAX(0,N(U606)-R606),""))</f>
        <v/>
      </c>
      <c r="Z606" s="67" t="str">
        <f>IF(AND(A606="",E606=""),"",IF(A606="","N° de bon manquant",IF(N(B606)=0,"Date de commande manquante",IF(C606="","Fournisseur manquant",IF(ISNA(MATCH($C606,sup_code,0)),"Fournisseur inconnu",IF(E606="","Article manquant",IF(ISNA(MATCH($E606,art_ref,0)),"Article inconnu",IF(N(H606)&lt;=0,"Quantité invalide",IF(J606="","Prix manquant",IF(OR(N(K606)&lt;0,N(K606)&gt;=1),"Remise invalide",IF(M606="","TVA manquante",IF(ISNA(MATCH(M606,p_tva,0)),"Taux de TVA inconnu",IF(COUNTIFS(po_num,A606,po_sup,"&lt;&gt;"&amp;C606)&gt;0,"Fournisseur différent sur ce bon",IF(COUNTIFS(po_num,A606,po_date,"&lt;&gt;"&amp;B606)&gt;0,"Date différente sur ce bon",IF(COUNTIF(po_num,A606)&gt;25,"Plus de 25 lignes sur ce bon",IF(R606="","Date de livraison manquante",IF(R606&lt;B606,"Livraison avant la commande",IF(AND(N(T606)&gt;0,N(S606)=0),"Date d'envoi manquante",IF(N(T606)&gt;N(H606),"Reçu plus que commandé",IF(AND(N(T606)&gt;0,N(U606)=0),"Date de réception manquante",IF(AND(N(U606)&gt;0,U606&lt;B606),"Réception avant la commande","OK")))))))))))))))))))))</f>
        <v/>
      </c>
      <c r="AA606" s="66" t="str">
        <f>IF(AND(X606="Reçu",ISNUMBER(R606)),IF(N(U606)&lt;=R606,1,0),"")</f>
        <v/>
      </c>
      <c r="AB606" s="76" t="str">
        <f>IF(OR(X606="Envoyé",X606="Partiel",X606="En retard"),IF(ISNUMBER(R606),R606,100000)+ROW()/100000,"")</f>
        <v/>
      </c>
      <c r="AC606" s="66" t="str">
        <f>IF(A606="","",IF(COUNTIF($A$6:A606,A606)=1,1,""))</f>
        <v/>
      </c>
      <c r="AD606" s="66" t="str">
        <f>IF(AC606=1,COUNT($AC$6:AC606),"")</f>
        <v/>
      </c>
      <c r="AE606" s="66" t="str">
        <f>IFERROR(INDEX(po_num,MATCH(601,po_seq,0))&amp;"","")</f>
        <v/>
      </c>
      <c r="AF606" s="66" t="str">
        <f>IF(OR(A606="",p_po=""),"",IF(A606&amp;""=p_po,COUNTIF($A$6:A606,A606),""))</f>
        <v/>
      </c>
      <c r="AG606" s="66" t="str">
        <f>IF(OR(AB606="",A606=""),"",IF(COUNTIFS($A$6:A606,A606,$AB$6:AB606,"&gt;0")=1,1,""))</f>
        <v/>
      </c>
      <c r="AH606" s="70" t="str">
        <f>IF(AB606="","",ROUND(N(W606)*N(J606)*(1-N(K606)),2))</f>
        <v/>
      </c>
      <c r="AI606" s="70" t="str">
        <f>IF(OR(J606="",N(T606)&lt;=0,V606="Oui"),"",ROUND(N(T606)*J606*(1-N(K606)),2))</f>
        <v/>
      </c>
    </row>
    <row r="607">
      <c r="A607" s="63" t="n"/>
      <c r="B607" s="64" t="n"/>
      <c r="C607" s="65" t="n"/>
      <c r="D607" s="66" t="str">
        <f>IF(C607="","",IFERROR(INDEX(sup_name,MATCH($C607,sup_code,0))&amp;"","Fournisseur inconnu"))</f>
        <v/>
      </c>
      <c r="E607" s="63" t="n"/>
      <c r="F607" s="66" t="str">
        <f>IF(E607="","",IFERROR(INDEX(art_des,MATCH($E607,art_ref,0))&amp;"","Article inconnu"))</f>
        <v/>
      </c>
      <c r="G607" s="67" t="str">
        <f>IF(E607="","",IFERROR(INDEX(art_unit,MATCH($E607,art_ref,0))&amp;"",""))</f>
        <v/>
      </c>
      <c r="H607" s="68" t="n"/>
      <c r="I607" s="69" t="n"/>
      <c r="J607" s="70" t="str">
        <f>IF(E607="","",IF(ISNUMBER(I607),I607,IFERROR(IF(ISNUMBER(INDEX(art_price,MATCH($E607,art_ref,0))),INDEX(art_price,MATCH($E607,art_ref,0)),""),"")))</f>
        <v/>
      </c>
      <c r="K607" s="71" t="n"/>
      <c r="L607" s="72" t="n"/>
      <c r="M607" s="72" t="str">
        <f>IF(E607="","",IF(L607&lt;&gt;"",L607,IFERROR(IF(ISNUMBER(INDEX(art_tva,MATCH($E607,art_ref,0))),INDEX(art_tva,MATCH($E607,art_ref,0)),""),"")))</f>
        <v/>
      </c>
      <c r="N607" s="70" t="str">
        <f>IF(OR(E607="",J607=""),"",ROUND(N(H607)*J607*(1-N(K607)),2))</f>
        <v/>
      </c>
      <c r="O607" s="70" t="str">
        <f>IF(OR(N607="",NOT(ISNUMBER(M607))),"",ROUND(N607*M607,2))</f>
        <v/>
      </c>
      <c r="P607" s="70" t="str">
        <f>IF(N607="","",N607+N(O607))</f>
        <v/>
      </c>
      <c r="Q607" s="64" t="n"/>
      <c r="R607" s="73" t="str">
        <f>IF(N(Q607)&gt;0,Q607,IF(OR(N(B607)=0,ISNA(MATCH($C607,sup_code,0))),"",IF(ISNUMBER(INDEX(sup_delay,MATCH($C607,sup_code,0))),B607+INDEX(sup_delay,MATCH($C607,sup_code,0)),"")))</f>
        <v/>
      </c>
      <c r="S607" s="64" t="n"/>
      <c r="T607" s="68" t="n"/>
      <c r="U607" s="64" t="n"/>
      <c r="V607" s="65" t="n"/>
      <c r="W607" s="74" t="str">
        <f>IF(AND(A607="",E607=""),"",IF(V607="Oui",0,MAX(0,ROUND(N(H607)-N(T607),6))))</f>
        <v/>
      </c>
      <c r="X607" s="67" t="str">
        <f>IF(AND(A607="",E607=""),"",IF(V607="Oui","Annulé",IF(AND(N(H607)&gt;0,N(T607)&gt;=N(H607)),"Reçu",IF(N(S607)=0,"Brouillon",IF(AND(ISNUMBER(R607),R607&lt;p_today),"En retard",IF(N(T607)&gt;0,"Partiel","Envoyé"))))))</f>
        <v/>
      </c>
      <c r="Y607" s="75" t="str">
        <f>IF(X607="En retard",p_today-R607,IF(AND(X607="Reçu",ISNUMBER(R607)),MAX(0,N(U607)-R607),""))</f>
        <v/>
      </c>
      <c r="Z607" s="67" t="str">
        <f>IF(AND(A607="",E607=""),"",IF(A607="","N° de bon manquant",IF(N(B607)=0,"Date de commande manquante",IF(C607="","Fournisseur manquant",IF(ISNA(MATCH($C607,sup_code,0)),"Fournisseur inconnu",IF(E607="","Article manquant",IF(ISNA(MATCH($E607,art_ref,0)),"Article inconnu",IF(N(H607)&lt;=0,"Quantité invalide",IF(J607="","Prix manquant",IF(OR(N(K607)&lt;0,N(K607)&gt;=1),"Remise invalide",IF(M607="","TVA manquante",IF(ISNA(MATCH(M607,p_tva,0)),"Taux de TVA inconnu",IF(COUNTIFS(po_num,A607,po_sup,"&lt;&gt;"&amp;C607)&gt;0,"Fournisseur différent sur ce bon",IF(COUNTIFS(po_num,A607,po_date,"&lt;&gt;"&amp;B607)&gt;0,"Date différente sur ce bon",IF(COUNTIF(po_num,A607)&gt;25,"Plus de 25 lignes sur ce bon",IF(R607="","Date de livraison manquante",IF(R607&lt;B607,"Livraison avant la commande",IF(AND(N(T607)&gt;0,N(S607)=0),"Date d'envoi manquante",IF(N(T607)&gt;N(H607),"Reçu plus que commandé",IF(AND(N(T607)&gt;0,N(U607)=0),"Date de réception manquante",IF(AND(N(U607)&gt;0,U607&lt;B607),"Réception avant la commande","OK")))))))))))))))))))))</f>
        <v/>
      </c>
      <c r="AA607" s="66" t="str">
        <f>IF(AND(X607="Reçu",ISNUMBER(R607)),IF(N(U607)&lt;=R607,1,0),"")</f>
        <v/>
      </c>
      <c r="AB607" s="76" t="str">
        <f>IF(OR(X607="Envoyé",X607="Partiel",X607="En retard"),IF(ISNUMBER(R607),R607,100000)+ROW()/100000,"")</f>
        <v/>
      </c>
      <c r="AC607" s="66" t="str">
        <f>IF(A607="","",IF(COUNTIF($A$6:A607,A607)=1,1,""))</f>
        <v/>
      </c>
      <c r="AD607" s="66" t="str">
        <f>IF(AC607=1,COUNT($AC$6:AC607),"")</f>
        <v/>
      </c>
      <c r="AE607" s="66" t="str">
        <f>IFERROR(INDEX(po_num,MATCH(602,po_seq,0))&amp;"","")</f>
        <v/>
      </c>
      <c r="AF607" s="66" t="str">
        <f>IF(OR(A607="",p_po=""),"",IF(A607&amp;""=p_po,COUNTIF($A$6:A607,A607),""))</f>
        <v/>
      </c>
      <c r="AG607" s="66" t="str">
        <f>IF(OR(AB607="",A607=""),"",IF(COUNTIFS($A$6:A607,A607,$AB$6:AB607,"&gt;0")=1,1,""))</f>
        <v/>
      </c>
      <c r="AH607" s="70" t="str">
        <f>IF(AB607="","",ROUND(N(W607)*N(J607)*(1-N(K607)),2))</f>
        <v/>
      </c>
      <c r="AI607" s="70" t="str">
        <f>IF(OR(J607="",N(T607)&lt;=0,V607="Oui"),"",ROUND(N(T607)*J607*(1-N(K607)),2))</f>
        <v/>
      </c>
    </row>
    <row r="608">
      <c r="A608" s="63" t="n"/>
      <c r="B608" s="64" t="n"/>
      <c r="C608" s="65" t="n"/>
      <c r="D608" s="66" t="str">
        <f>IF(C608="","",IFERROR(INDEX(sup_name,MATCH($C608,sup_code,0))&amp;"","Fournisseur inconnu"))</f>
        <v/>
      </c>
      <c r="E608" s="63" t="n"/>
      <c r="F608" s="66" t="str">
        <f>IF(E608="","",IFERROR(INDEX(art_des,MATCH($E608,art_ref,0))&amp;"","Article inconnu"))</f>
        <v/>
      </c>
      <c r="G608" s="67" t="str">
        <f>IF(E608="","",IFERROR(INDEX(art_unit,MATCH($E608,art_ref,0))&amp;"",""))</f>
        <v/>
      </c>
      <c r="H608" s="68" t="n"/>
      <c r="I608" s="69" t="n"/>
      <c r="J608" s="70" t="str">
        <f>IF(E608="","",IF(ISNUMBER(I608),I608,IFERROR(IF(ISNUMBER(INDEX(art_price,MATCH($E608,art_ref,0))),INDEX(art_price,MATCH($E608,art_ref,0)),""),"")))</f>
        <v/>
      </c>
      <c r="K608" s="71" t="n"/>
      <c r="L608" s="72" t="n"/>
      <c r="M608" s="72" t="str">
        <f>IF(E608="","",IF(L608&lt;&gt;"",L608,IFERROR(IF(ISNUMBER(INDEX(art_tva,MATCH($E608,art_ref,0))),INDEX(art_tva,MATCH($E608,art_ref,0)),""),"")))</f>
        <v/>
      </c>
      <c r="N608" s="70" t="str">
        <f>IF(OR(E608="",J608=""),"",ROUND(N(H608)*J608*(1-N(K608)),2))</f>
        <v/>
      </c>
      <c r="O608" s="70" t="str">
        <f>IF(OR(N608="",NOT(ISNUMBER(M608))),"",ROUND(N608*M608,2))</f>
        <v/>
      </c>
      <c r="P608" s="70" t="str">
        <f>IF(N608="","",N608+N(O608))</f>
        <v/>
      </c>
      <c r="Q608" s="64" t="n"/>
      <c r="R608" s="73" t="str">
        <f>IF(N(Q608)&gt;0,Q608,IF(OR(N(B608)=0,ISNA(MATCH($C608,sup_code,0))),"",IF(ISNUMBER(INDEX(sup_delay,MATCH($C608,sup_code,0))),B608+INDEX(sup_delay,MATCH($C608,sup_code,0)),"")))</f>
        <v/>
      </c>
      <c r="S608" s="64" t="n"/>
      <c r="T608" s="68" t="n"/>
      <c r="U608" s="64" t="n"/>
      <c r="V608" s="65" t="n"/>
      <c r="W608" s="74" t="str">
        <f>IF(AND(A608="",E608=""),"",IF(V608="Oui",0,MAX(0,ROUND(N(H608)-N(T608),6))))</f>
        <v/>
      </c>
      <c r="X608" s="67" t="str">
        <f>IF(AND(A608="",E608=""),"",IF(V608="Oui","Annulé",IF(AND(N(H608)&gt;0,N(T608)&gt;=N(H608)),"Reçu",IF(N(S608)=0,"Brouillon",IF(AND(ISNUMBER(R608),R608&lt;p_today),"En retard",IF(N(T608)&gt;0,"Partiel","Envoyé"))))))</f>
        <v/>
      </c>
      <c r="Y608" s="75" t="str">
        <f>IF(X608="En retard",p_today-R608,IF(AND(X608="Reçu",ISNUMBER(R608)),MAX(0,N(U608)-R608),""))</f>
        <v/>
      </c>
      <c r="Z608" s="67" t="str">
        <f>IF(AND(A608="",E608=""),"",IF(A608="","N° de bon manquant",IF(N(B608)=0,"Date de commande manquante",IF(C608="","Fournisseur manquant",IF(ISNA(MATCH($C608,sup_code,0)),"Fournisseur inconnu",IF(E608="","Article manquant",IF(ISNA(MATCH($E608,art_ref,0)),"Article inconnu",IF(N(H608)&lt;=0,"Quantité invalide",IF(J608="","Prix manquant",IF(OR(N(K608)&lt;0,N(K608)&gt;=1),"Remise invalide",IF(M608="","TVA manquante",IF(ISNA(MATCH(M608,p_tva,0)),"Taux de TVA inconnu",IF(COUNTIFS(po_num,A608,po_sup,"&lt;&gt;"&amp;C608)&gt;0,"Fournisseur différent sur ce bon",IF(COUNTIFS(po_num,A608,po_date,"&lt;&gt;"&amp;B608)&gt;0,"Date différente sur ce bon",IF(COUNTIF(po_num,A608)&gt;25,"Plus de 25 lignes sur ce bon",IF(R608="","Date de livraison manquante",IF(R608&lt;B608,"Livraison avant la commande",IF(AND(N(T608)&gt;0,N(S608)=0),"Date d'envoi manquante",IF(N(T608)&gt;N(H608),"Reçu plus que commandé",IF(AND(N(T608)&gt;0,N(U608)=0),"Date de réception manquante",IF(AND(N(U608)&gt;0,U608&lt;B608),"Réception avant la commande","OK")))))))))))))))))))))</f>
        <v/>
      </c>
      <c r="AA608" s="66" t="str">
        <f>IF(AND(X608="Reçu",ISNUMBER(R608)),IF(N(U608)&lt;=R608,1,0),"")</f>
        <v/>
      </c>
      <c r="AB608" s="76" t="str">
        <f>IF(OR(X608="Envoyé",X608="Partiel",X608="En retard"),IF(ISNUMBER(R608),R608,100000)+ROW()/100000,"")</f>
        <v/>
      </c>
      <c r="AC608" s="66" t="str">
        <f>IF(A608="","",IF(COUNTIF($A$6:A608,A608)=1,1,""))</f>
        <v/>
      </c>
      <c r="AD608" s="66" t="str">
        <f>IF(AC608=1,COUNT($AC$6:AC608),"")</f>
        <v/>
      </c>
      <c r="AE608" s="66" t="str">
        <f>IFERROR(INDEX(po_num,MATCH(603,po_seq,0))&amp;"","")</f>
        <v/>
      </c>
      <c r="AF608" s="66" t="str">
        <f>IF(OR(A608="",p_po=""),"",IF(A608&amp;""=p_po,COUNTIF($A$6:A608,A608),""))</f>
        <v/>
      </c>
      <c r="AG608" s="66" t="str">
        <f>IF(OR(AB608="",A608=""),"",IF(COUNTIFS($A$6:A608,A608,$AB$6:AB608,"&gt;0")=1,1,""))</f>
        <v/>
      </c>
      <c r="AH608" s="70" t="str">
        <f>IF(AB608="","",ROUND(N(W608)*N(J608)*(1-N(K608)),2))</f>
        <v/>
      </c>
      <c r="AI608" s="70" t="str">
        <f>IF(OR(J608="",N(T608)&lt;=0,V608="Oui"),"",ROUND(N(T608)*J608*(1-N(K608)),2))</f>
        <v/>
      </c>
    </row>
    <row r="609">
      <c r="A609" s="63" t="n"/>
      <c r="B609" s="64" t="n"/>
      <c r="C609" s="65" t="n"/>
      <c r="D609" s="66" t="str">
        <f>IF(C609="","",IFERROR(INDEX(sup_name,MATCH($C609,sup_code,0))&amp;"","Fournisseur inconnu"))</f>
        <v/>
      </c>
      <c r="E609" s="63" t="n"/>
      <c r="F609" s="66" t="str">
        <f>IF(E609="","",IFERROR(INDEX(art_des,MATCH($E609,art_ref,0))&amp;"","Article inconnu"))</f>
        <v/>
      </c>
      <c r="G609" s="67" t="str">
        <f>IF(E609="","",IFERROR(INDEX(art_unit,MATCH($E609,art_ref,0))&amp;"",""))</f>
        <v/>
      </c>
      <c r="H609" s="68" t="n"/>
      <c r="I609" s="69" t="n"/>
      <c r="J609" s="70" t="str">
        <f>IF(E609="","",IF(ISNUMBER(I609),I609,IFERROR(IF(ISNUMBER(INDEX(art_price,MATCH($E609,art_ref,0))),INDEX(art_price,MATCH($E609,art_ref,0)),""),"")))</f>
        <v/>
      </c>
      <c r="K609" s="71" t="n"/>
      <c r="L609" s="72" t="n"/>
      <c r="M609" s="72" t="str">
        <f>IF(E609="","",IF(L609&lt;&gt;"",L609,IFERROR(IF(ISNUMBER(INDEX(art_tva,MATCH($E609,art_ref,0))),INDEX(art_tva,MATCH($E609,art_ref,0)),""),"")))</f>
        <v/>
      </c>
      <c r="N609" s="70" t="str">
        <f>IF(OR(E609="",J609=""),"",ROUND(N(H609)*J609*(1-N(K609)),2))</f>
        <v/>
      </c>
      <c r="O609" s="70" t="str">
        <f>IF(OR(N609="",NOT(ISNUMBER(M609))),"",ROUND(N609*M609,2))</f>
        <v/>
      </c>
      <c r="P609" s="70" t="str">
        <f>IF(N609="","",N609+N(O609))</f>
        <v/>
      </c>
      <c r="Q609" s="64" t="n"/>
      <c r="R609" s="73" t="str">
        <f>IF(N(Q609)&gt;0,Q609,IF(OR(N(B609)=0,ISNA(MATCH($C609,sup_code,0))),"",IF(ISNUMBER(INDEX(sup_delay,MATCH($C609,sup_code,0))),B609+INDEX(sup_delay,MATCH($C609,sup_code,0)),"")))</f>
        <v/>
      </c>
      <c r="S609" s="64" t="n"/>
      <c r="T609" s="68" t="n"/>
      <c r="U609" s="64" t="n"/>
      <c r="V609" s="65" t="n"/>
      <c r="W609" s="74" t="str">
        <f>IF(AND(A609="",E609=""),"",IF(V609="Oui",0,MAX(0,ROUND(N(H609)-N(T609),6))))</f>
        <v/>
      </c>
      <c r="X609" s="67" t="str">
        <f>IF(AND(A609="",E609=""),"",IF(V609="Oui","Annulé",IF(AND(N(H609)&gt;0,N(T609)&gt;=N(H609)),"Reçu",IF(N(S609)=0,"Brouillon",IF(AND(ISNUMBER(R609),R609&lt;p_today),"En retard",IF(N(T609)&gt;0,"Partiel","Envoyé"))))))</f>
        <v/>
      </c>
      <c r="Y609" s="75" t="str">
        <f>IF(X609="En retard",p_today-R609,IF(AND(X609="Reçu",ISNUMBER(R609)),MAX(0,N(U609)-R609),""))</f>
        <v/>
      </c>
      <c r="Z609" s="67" t="str">
        <f>IF(AND(A609="",E609=""),"",IF(A609="","N° de bon manquant",IF(N(B609)=0,"Date de commande manquante",IF(C609="","Fournisseur manquant",IF(ISNA(MATCH($C609,sup_code,0)),"Fournisseur inconnu",IF(E609="","Article manquant",IF(ISNA(MATCH($E609,art_ref,0)),"Article inconnu",IF(N(H609)&lt;=0,"Quantité invalide",IF(J609="","Prix manquant",IF(OR(N(K609)&lt;0,N(K609)&gt;=1),"Remise invalide",IF(M609="","TVA manquante",IF(ISNA(MATCH(M609,p_tva,0)),"Taux de TVA inconnu",IF(COUNTIFS(po_num,A609,po_sup,"&lt;&gt;"&amp;C609)&gt;0,"Fournisseur différent sur ce bon",IF(COUNTIFS(po_num,A609,po_date,"&lt;&gt;"&amp;B609)&gt;0,"Date différente sur ce bon",IF(COUNTIF(po_num,A609)&gt;25,"Plus de 25 lignes sur ce bon",IF(R609="","Date de livraison manquante",IF(R609&lt;B609,"Livraison avant la commande",IF(AND(N(T609)&gt;0,N(S609)=0),"Date d'envoi manquante",IF(N(T609)&gt;N(H609),"Reçu plus que commandé",IF(AND(N(T609)&gt;0,N(U609)=0),"Date de réception manquante",IF(AND(N(U609)&gt;0,U609&lt;B609),"Réception avant la commande","OK")))))))))))))))))))))</f>
        <v/>
      </c>
      <c r="AA609" s="66" t="str">
        <f>IF(AND(X609="Reçu",ISNUMBER(R609)),IF(N(U609)&lt;=R609,1,0),"")</f>
        <v/>
      </c>
      <c r="AB609" s="76" t="str">
        <f>IF(OR(X609="Envoyé",X609="Partiel",X609="En retard"),IF(ISNUMBER(R609),R609,100000)+ROW()/100000,"")</f>
        <v/>
      </c>
      <c r="AC609" s="66" t="str">
        <f>IF(A609="","",IF(COUNTIF($A$6:A609,A609)=1,1,""))</f>
        <v/>
      </c>
      <c r="AD609" s="66" t="str">
        <f>IF(AC609=1,COUNT($AC$6:AC609),"")</f>
        <v/>
      </c>
      <c r="AE609" s="66" t="str">
        <f>IFERROR(INDEX(po_num,MATCH(604,po_seq,0))&amp;"","")</f>
        <v/>
      </c>
      <c r="AF609" s="66" t="str">
        <f>IF(OR(A609="",p_po=""),"",IF(A609&amp;""=p_po,COUNTIF($A$6:A609,A609),""))</f>
        <v/>
      </c>
      <c r="AG609" s="66" t="str">
        <f>IF(OR(AB609="",A609=""),"",IF(COUNTIFS($A$6:A609,A609,$AB$6:AB609,"&gt;0")=1,1,""))</f>
        <v/>
      </c>
      <c r="AH609" s="70" t="str">
        <f>IF(AB609="","",ROUND(N(W609)*N(J609)*(1-N(K609)),2))</f>
        <v/>
      </c>
      <c r="AI609" s="70" t="str">
        <f>IF(OR(J609="",N(T609)&lt;=0,V609="Oui"),"",ROUND(N(T609)*J609*(1-N(K609)),2))</f>
        <v/>
      </c>
    </row>
    <row r="610">
      <c r="A610" s="63" t="n"/>
      <c r="B610" s="64" t="n"/>
      <c r="C610" s="65" t="n"/>
      <c r="D610" s="66" t="str">
        <f>IF(C610="","",IFERROR(INDEX(sup_name,MATCH($C610,sup_code,0))&amp;"","Fournisseur inconnu"))</f>
        <v/>
      </c>
      <c r="E610" s="63" t="n"/>
      <c r="F610" s="66" t="str">
        <f>IF(E610="","",IFERROR(INDEX(art_des,MATCH($E610,art_ref,0))&amp;"","Article inconnu"))</f>
        <v/>
      </c>
      <c r="G610" s="67" t="str">
        <f>IF(E610="","",IFERROR(INDEX(art_unit,MATCH($E610,art_ref,0))&amp;"",""))</f>
        <v/>
      </c>
      <c r="H610" s="68" t="n"/>
      <c r="I610" s="69" t="n"/>
      <c r="J610" s="70" t="str">
        <f>IF(E610="","",IF(ISNUMBER(I610),I610,IFERROR(IF(ISNUMBER(INDEX(art_price,MATCH($E610,art_ref,0))),INDEX(art_price,MATCH($E610,art_ref,0)),""),"")))</f>
        <v/>
      </c>
      <c r="K610" s="71" t="n"/>
      <c r="L610" s="72" t="n"/>
      <c r="M610" s="72" t="str">
        <f>IF(E610="","",IF(L610&lt;&gt;"",L610,IFERROR(IF(ISNUMBER(INDEX(art_tva,MATCH($E610,art_ref,0))),INDEX(art_tva,MATCH($E610,art_ref,0)),""),"")))</f>
        <v/>
      </c>
      <c r="N610" s="70" t="str">
        <f>IF(OR(E610="",J610=""),"",ROUND(N(H610)*J610*(1-N(K610)),2))</f>
        <v/>
      </c>
      <c r="O610" s="70" t="str">
        <f>IF(OR(N610="",NOT(ISNUMBER(M610))),"",ROUND(N610*M610,2))</f>
        <v/>
      </c>
      <c r="P610" s="70" t="str">
        <f>IF(N610="","",N610+N(O610))</f>
        <v/>
      </c>
      <c r="Q610" s="64" t="n"/>
      <c r="R610" s="73" t="str">
        <f>IF(N(Q610)&gt;0,Q610,IF(OR(N(B610)=0,ISNA(MATCH($C610,sup_code,0))),"",IF(ISNUMBER(INDEX(sup_delay,MATCH($C610,sup_code,0))),B610+INDEX(sup_delay,MATCH($C610,sup_code,0)),"")))</f>
        <v/>
      </c>
      <c r="S610" s="64" t="n"/>
      <c r="T610" s="68" t="n"/>
      <c r="U610" s="64" t="n"/>
      <c r="V610" s="65" t="n"/>
      <c r="W610" s="74" t="str">
        <f>IF(AND(A610="",E610=""),"",IF(V610="Oui",0,MAX(0,ROUND(N(H610)-N(T610),6))))</f>
        <v/>
      </c>
      <c r="X610" s="67" t="str">
        <f>IF(AND(A610="",E610=""),"",IF(V610="Oui","Annulé",IF(AND(N(H610)&gt;0,N(T610)&gt;=N(H610)),"Reçu",IF(N(S610)=0,"Brouillon",IF(AND(ISNUMBER(R610),R610&lt;p_today),"En retard",IF(N(T610)&gt;0,"Partiel","Envoyé"))))))</f>
        <v/>
      </c>
      <c r="Y610" s="75" t="str">
        <f>IF(X610="En retard",p_today-R610,IF(AND(X610="Reçu",ISNUMBER(R610)),MAX(0,N(U610)-R610),""))</f>
        <v/>
      </c>
      <c r="Z610" s="67" t="str">
        <f>IF(AND(A610="",E610=""),"",IF(A610="","N° de bon manquant",IF(N(B610)=0,"Date de commande manquante",IF(C610="","Fournisseur manquant",IF(ISNA(MATCH($C610,sup_code,0)),"Fournisseur inconnu",IF(E610="","Article manquant",IF(ISNA(MATCH($E610,art_ref,0)),"Article inconnu",IF(N(H610)&lt;=0,"Quantité invalide",IF(J610="","Prix manquant",IF(OR(N(K610)&lt;0,N(K610)&gt;=1),"Remise invalide",IF(M610="","TVA manquante",IF(ISNA(MATCH(M610,p_tva,0)),"Taux de TVA inconnu",IF(COUNTIFS(po_num,A610,po_sup,"&lt;&gt;"&amp;C610)&gt;0,"Fournisseur différent sur ce bon",IF(COUNTIFS(po_num,A610,po_date,"&lt;&gt;"&amp;B610)&gt;0,"Date différente sur ce bon",IF(COUNTIF(po_num,A610)&gt;25,"Plus de 25 lignes sur ce bon",IF(R610="","Date de livraison manquante",IF(R610&lt;B610,"Livraison avant la commande",IF(AND(N(T610)&gt;0,N(S610)=0),"Date d'envoi manquante",IF(N(T610)&gt;N(H610),"Reçu plus que commandé",IF(AND(N(T610)&gt;0,N(U610)=0),"Date de réception manquante",IF(AND(N(U610)&gt;0,U610&lt;B610),"Réception avant la commande","OK")))))))))))))))))))))</f>
        <v/>
      </c>
      <c r="AA610" s="66" t="str">
        <f>IF(AND(X610="Reçu",ISNUMBER(R610)),IF(N(U610)&lt;=R610,1,0),"")</f>
        <v/>
      </c>
      <c r="AB610" s="76" t="str">
        <f>IF(OR(X610="Envoyé",X610="Partiel",X610="En retard"),IF(ISNUMBER(R610),R610,100000)+ROW()/100000,"")</f>
        <v/>
      </c>
      <c r="AC610" s="66" t="str">
        <f>IF(A610="","",IF(COUNTIF($A$6:A610,A610)=1,1,""))</f>
        <v/>
      </c>
      <c r="AD610" s="66" t="str">
        <f>IF(AC610=1,COUNT($AC$6:AC610),"")</f>
        <v/>
      </c>
      <c r="AE610" s="66" t="str">
        <f>IFERROR(INDEX(po_num,MATCH(605,po_seq,0))&amp;"","")</f>
        <v/>
      </c>
      <c r="AF610" s="66" t="str">
        <f>IF(OR(A610="",p_po=""),"",IF(A610&amp;""=p_po,COUNTIF($A$6:A610,A610),""))</f>
        <v/>
      </c>
      <c r="AG610" s="66" t="str">
        <f>IF(OR(AB610="",A610=""),"",IF(COUNTIFS($A$6:A610,A610,$AB$6:AB610,"&gt;0")=1,1,""))</f>
        <v/>
      </c>
      <c r="AH610" s="70" t="str">
        <f>IF(AB610="","",ROUND(N(W610)*N(J610)*(1-N(K610)),2))</f>
        <v/>
      </c>
      <c r="AI610" s="70" t="str">
        <f>IF(OR(J610="",N(T610)&lt;=0,V610="Oui"),"",ROUND(N(T610)*J610*(1-N(K610)),2))</f>
        <v/>
      </c>
    </row>
    <row r="611">
      <c r="A611" s="63" t="n"/>
      <c r="B611" s="64" t="n"/>
      <c r="C611" s="65" t="n"/>
      <c r="D611" s="66" t="str">
        <f>IF(C611="","",IFERROR(INDEX(sup_name,MATCH($C611,sup_code,0))&amp;"","Fournisseur inconnu"))</f>
        <v/>
      </c>
      <c r="E611" s="63" t="n"/>
      <c r="F611" s="66" t="str">
        <f>IF(E611="","",IFERROR(INDEX(art_des,MATCH($E611,art_ref,0))&amp;"","Article inconnu"))</f>
        <v/>
      </c>
      <c r="G611" s="67" t="str">
        <f>IF(E611="","",IFERROR(INDEX(art_unit,MATCH($E611,art_ref,0))&amp;"",""))</f>
        <v/>
      </c>
      <c r="H611" s="68" t="n"/>
      <c r="I611" s="69" t="n"/>
      <c r="J611" s="70" t="str">
        <f>IF(E611="","",IF(ISNUMBER(I611),I611,IFERROR(IF(ISNUMBER(INDEX(art_price,MATCH($E611,art_ref,0))),INDEX(art_price,MATCH($E611,art_ref,0)),""),"")))</f>
        <v/>
      </c>
      <c r="K611" s="71" t="n"/>
      <c r="L611" s="72" t="n"/>
      <c r="M611" s="72" t="str">
        <f>IF(E611="","",IF(L611&lt;&gt;"",L611,IFERROR(IF(ISNUMBER(INDEX(art_tva,MATCH($E611,art_ref,0))),INDEX(art_tva,MATCH($E611,art_ref,0)),""),"")))</f>
        <v/>
      </c>
      <c r="N611" s="70" t="str">
        <f>IF(OR(E611="",J611=""),"",ROUND(N(H611)*J611*(1-N(K611)),2))</f>
        <v/>
      </c>
      <c r="O611" s="70" t="str">
        <f>IF(OR(N611="",NOT(ISNUMBER(M611))),"",ROUND(N611*M611,2))</f>
        <v/>
      </c>
      <c r="P611" s="70" t="str">
        <f>IF(N611="","",N611+N(O611))</f>
        <v/>
      </c>
      <c r="Q611" s="64" t="n"/>
      <c r="R611" s="73" t="str">
        <f>IF(N(Q611)&gt;0,Q611,IF(OR(N(B611)=0,ISNA(MATCH($C611,sup_code,0))),"",IF(ISNUMBER(INDEX(sup_delay,MATCH($C611,sup_code,0))),B611+INDEX(sup_delay,MATCH($C611,sup_code,0)),"")))</f>
        <v/>
      </c>
      <c r="S611" s="64" t="n"/>
      <c r="T611" s="68" t="n"/>
      <c r="U611" s="64" t="n"/>
      <c r="V611" s="65" t="n"/>
      <c r="W611" s="74" t="str">
        <f>IF(AND(A611="",E611=""),"",IF(V611="Oui",0,MAX(0,ROUND(N(H611)-N(T611),6))))</f>
        <v/>
      </c>
      <c r="X611" s="67" t="str">
        <f>IF(AND(A611="",E611=""),"",IF(V611="Oui","Annulé",IF(AND(N(H611)&gt;0,N(T611)&gt;=N(H611)),"Reçu",IF(N(S611)=0,"Brouillon",IF(AND(ISNUMBER(R611),R611&lt;p_today),"En retard",IF(N(T611)&gt;0,"Partiel","Envoyé"))))))</f>
        <v/>
      </c>
      <c r="Y611" s="75" t="str">
        <f>IF(X611="En retard",p_today-R611,IF(AND(X611="Reçu",ISNUMBER(R611)),MAX(0,N(U611)-R611),""))</f>
        <v/>
      </c>
      <c r="Z611" s="67" t="str">
        <f>IF(AND(A611="",E611=""),"",IF(A611="","N° de bon manquant",IF(N(B611)=0,"Date de commande manquante",IF(C611="","Fournisseur manquant",IF(ISNA(MATCH($C611,sup_code,0)),"Fournisseur inconnu",IF(E611="","Article manquant",IF(ISNA(MATCH($E611,art_ref,0)),"Article inconnu",IF(N(H611)&lt;=0,"Quantité invalide",IF(J611="","Prix manquant",IF(OR(N(K611)&lt;0,N(K611)&gt;=1),"Remise invalide",IF(M611="","TVA manquante",IF(ISNA(MATCH(M611,p_tva,0)),"Taux de TVA inconnu",IF(COUNTIFS(po_num,A611,po_sup,"&lt;&gt;"&amp;C611)&gt;0,"Fournisseur différent sur ce bon",IF(COUNTIFS(po_num,A611,po_date,"&lt;&gt;"&amp;B611)&gt;0,"Date différente sur ce bon",IF(COUNTIF(po_num,A611)&gt;25,"Plus de 25 lignes sur ce bon",IF(R611="","Date de livraison manquante",IF(R611&lt;B611,"Livraison avant la commande",IF(AND(N(T611)&gt;0,N(S611)=0),"Date d'envoi manquante",IF(N(T611)&gt;N(H611),"Reçu plus que commandé",IF(AND(N(T611)&gt;0,N(U611)=0),"Date de réception manquante",IF(AND(N(U611)&gt;0,U611&lt;B611),"Réception avant la commande","OK")))))))))))))))))))))</f>
        <v/>
      </c>
      <c r="AA611" s="66" t="str">
        <f>IF(AND(X611="Reçu",ISNUMBER(R611)),IF(N(U611)&lt;=R611,1,0),"")</f>
        <v/>
      </c>
      <c r="AB611" s="76" t="str">
        <f>IF(OR(X611="Envoyé",X611="Partiel",X611="En retard"),IF(ISNUMBER(R611),R611,100000)+ROW()/100000,"")</f>
        <v/>
      </c>
      <c r="AC611" s="66" t="str">
        <f>IF(A611="","",IF(COUNTIF($A$6:A611,A611)=1,1,""))</f>
        <v/>
      </c>
      <c r="AD611" s="66" t="str">
        <f>IF(AC611=1,COUNT($AC$6:AC611),"")</f>
        <v/>
      </c>
      <c r="AE611" s="66" t="str">
        <f>IFERROR(INDEX(po_num,MATCH(606,po_seq,0))&amp;"","")</f>
        <v/>
      </c>
      <c r="AF611" s="66" t="str">
        <f>IF(OR(A611="",p_po=""),"",IF(A611&amp;""=p_po,COUNTIF($A$6:A611,A611),""))</f>
        <v/>
      </c>
      <c r="AG611" s="66" t="str">
        <f>IF(OR(AB611="",A611=""),"",IF(COUNTIFS($A$6:A611,A611,$AB$6:AB611,"&gt;0")=1,1,""))</f>
        <v/>
      </c>
      <c r="AH611" s="70" t="str">
        <f>IF(AB611="","",ROUND(N(W611)*N(J611)*(1-N(K611)),2))</f>
        <v/>
      </c>
      <c r="AI611" s="70" t="str">
        <f>IF(OR(J611="",N(T611)&lt;=0,V611="Oui"),"",ROUND(N(T611)*J611*(1-N(K611)),2))</f>
        <v/>
      </c>
    </row>
    <row r="612">
      <c r="A612" s="63" t="n"/>
      <c r="B612" s="64" t="n"/>
      <c r="C612" s="65" t="n"/>
      <c r="D612" s="66" t="str">
        <f>IF(C612="","",IFERROR(INDEX(sup_name,MATCH($C612,sup_code,0))&amp;"","Fournisseur inconnu"))</f>
        <v/>
      </c>
      <c r="E612" s="63" t="n"/>
      <c r="F612" s="66" t="str">
        <f>IF(E612="","",IFERROR(INDEX(art_des,MATCH($E612,art_ref,0))&amp;"","Article inconnu"))</f>
        <v/>
      </c>
      <c r="G612" s="67" t="str">
        <f>IF(E612="","",IFERROR(INDEX(art_unit,MATCH($E612,art_ref,0))&amp;"",""))</f>
        <v/>
      </c>
      <c r="H612" s="68" t="n"/>
      <c r="I612" s="69" t="n"/>
      <c r="J612" s="70" t="str">
        <f>IF(E612="","",IF(ISNUMBER(I612),I612,IFERROR(IF(ISNUMBER(INDEX(art_price,MATCH($E612,art_ref,0))),INDEX(art_price,MATCH($E612,art_ref,0)),""),"")))</f>
        <v/>
      </c>
      <c r="K612" s="71" t="n"/>
      <c r="L612" s="72" t="n"/>
      <c r="M612" s="72" t="str">
        <f>IF(E612="","",IF(L612&lt;&gt;"",L612,IFERROR(IF(ISNUMBER(INDEX(art_tva,MATCH($E612,art_ref,0))),INDEX(art_tva,MATCH($E612,art_ref,0)),""),"")))</f>
        <v/>
      </c>
      <c r="N612" s="70" t="str">
        <f>IF(OR(E612="",J612=""),"",ROUND(N(H612)*J612*(1-N(K612)),2))</f>
        <v/>
      </c>
      <c r="O612" s="70" t="str">
        <f>IF(OR(N612="",NOT(ISNUMBER(M612))),"",ROUND(N612*M612,2))</f>
        <v/>
      </c>
      <c r="P612" s="70" t="str">
        <f>IF(N612="","",N612+N(O612))</f>
        <v/>
      </c>
      <c r="Q612" s="64" t="n"/>
      <c r="R612" s="73" t="str">
        <f>IF(N(Q612)&gt;0,Q612,IF(OR(N(B612)=0,ISNA(MATCH($C612,sup_code,0))),"",IF(ISNUMBER(INDEX(sup_delay,MATCH($C612,sup_code,0))),B612+INDEX(sup_delay,MATCH($C612,sup_code,0)),"")))</f>
        <v/>
      </c>
      <c r="S612" s="64" t="n"/>
      <c r="T612" s="68" t="n"/>
      <c r="U612" s="64" t="n"/>
      <c r="V612" s="65" t="n"/>
      <c r="W612" s="74" t="str">
        <f>IF(AND(A612="",E612=""),"",IF(V612="Oui",0,MAX(0,ROUND(N(H612)-N(T612),6))))</f>
        <v/>
      </c>
      <c r="X612" s="67" t="str">
        <f>IF(AND(A612="",E612=""),"",IF(V612="Oui","Annulé",IF(AND(N(H612)&gt;0,N(T612)&gt;=N(H612)),"Reçu",IF(N(S612)=0,"Brouillon",IF(AND(ISNUMBER(R612),R612&lt;p_today),"En retard",IF(N(T612)&gt;0,"Partiel","Envoyé"))))))</f>
        <v/>
      </c>
      <c r="Y612" s="75" t="str">
        <f>IF(X612="En retard",p_today-R612,IF(AND(X612="Reçu",ISNUMBER(R612)),MAX(0,N(U612)-R612),""))</f>
        <v/>
      </c>
      <c r="Z612" s="67" t="str">
        <f>IF(AND(A612="",E612=""),"",IF(A612="","N° de bon manquant",IF(N(B612)=0,"Date de commande manquante",IF(C612="","Fournisseur manquant",IF(ISNA(MATCH($C612,sup_code,0)),"Fournisseur inconnu",IF(E612="","Article manquant",IF(ISNA(MATCH($E612,art_ref,0)),"Article inconnu",IF(N(H612)&lt;=0,"Quantité invalide",IF(J612="","Prix manquant",IF(OR(N(K612)&lt;0,N(K612)&gt;=1),"Remise invalide",IF(M612="","TVA manquante",IF(ISNA(MATCH(M612,p_tva,0)),"Taux de TVA inconnu",IF(COUNTIFS(po_num,A612,po_sup,"&lt;&gt;"&amp;C612)&gt;0,"Fournisseur différent sur ce bon",IF(COUNTIFS(po_num,A612,po_date,"&lt;&gt;"&amp;B612)&gt;0,"Date différente sur ce bon",IF(COUNTIF(po_num,A612)&gt;25,"Plus de 25 lignes sur ce bon",IF(R612="","Date de livraison manquante",IF(R612&lt;B612,"Livraison avant la commande",IF(AND(N(T612)&gt;0,N(S612)=0),"Date d'envoi manquante",IF(N(T612)&gt;N(H612),"Reçu plus que commandé",IF(AND(N(T612)&gt;0,N(U612)=0),"Date de réception manquante",IF(AND(N(U612)&gt;0,U612&lt;B612),"Réception avant la commande","OK")))))))))))))))))))))</f>
        <v/>
      </c>
      <c r="AA612" s="66" t="str">
        <f>IF(AND(X612="Reçu",ISNUMBER(R612)),IF(N(U612)&lt;=R612,1,0),"")</f>
        <v/>
      </c>
      <c r="AB612" s="76" t="str">
        <f>IF(OR(X612="Envoyé",X612="Partiel",X612="En retard"),IF(ISNUMBER(R612),R612,100000)+ROW()/100000,"")</f>
        <v/>
      </c>
      <c r="AC612" s="66" t="str">
        <f>IF(A612="","",IF(COUNTIF($A$6:A612,A612)=1,1,""))</f>
        <v/>
      </c>
      <c r="AD612" s="66" t="str">
        <f>IF(AC612=1,COUNT($AC$6:AC612),"")</f>
        <v/>
      </c>
      <c r="AE612" s="66" t="str">
        <f>IFERROR(INDEX(po_num,MATCH(607,po_seq,0))&amp;"","")</f>
        <v/>
      </c>
      <c r="AF612" s="66" t="str">
        <f>IF(OR(A612="",p_po=""),"",IF(A612&amp;""=p_po,COUNTIF($A$6:A612,A612),""))</f>
        <v/>
      </c>
      <c r="AG612" s="66" t="str">
        <f>IF(OR(AB612="",A612=""),"",IF(COUNTIFS($A$6:A612,A612,$AB$6:AB612,"&gt;0")=1,1,""))</f>
        <v/>
      </c>
      <c r="AH612" s="70" t="str">
        <f>IF(AB612="","",ROUND(N(W612)*N(J612)*(1-N(K612)),2))</f>
        <v/>
      </c>
      <c r="AI612" s="70" t="str">
        <f>IF(OR(J612="",N(T612)&lt;=0,V612="Oui"),"",ROUND(N(T612)*J612*(1-N(K612)),2))</f>
        <v/>
      </c>
    </row>
    <row r="613">
      <c r="A613" s="63" t="n"/>
      <c r="B613" s="64" t="n"/>
      <c r="C613" s="65" t="n"/>
      <c r="D613" s="66" t="str">
        <f>IF(C613="","",IFERROR(INDEX(sup_name,MATCH($C613,sup_code,0))&amp;"","Fournisseur inconnu"))</f>
        <v/>
      </c>
      <c r="E613" s="63" t="n"/>
      <c r="F613" s="66" t="str">
        <f>IF(E613="","",IFERROR(INDEX(art_des,MATCH($E613,art_ref,0))&amp;"","Article inconnu"))</f>
        <v/>
      </c>
      <c r="G613" s="67" t="str">
        <f>IF(E613="","",IFERROR(INDEX(art_unit,MATCH($E613,art_ref,0))&amp;"",""))</f>
        <v/>
      </c>
      <c r="H613" s="68" t="n"/>
      <c r="I613" s="69" t="n"/>
      <c r="J613" s="70" t="str">
        <f>IF(E613="","",IF(ISNUMBER(I613),I613,IFERROR(IF(ISNUMBER(INDEX(art_price,MATCH($E613,art_ref,0))),INDEX(art_price,MATCH($E613,art_ref,0)),""),"")))</f>
        <v/>
      </c>
      <c r="K613" s="71" t="n"/>
      <c r="L613" s="72" t="n"/>
      <c r="M613" s="72" t="str">
        <f>IF(E613="","",IF(L613&lt;&gt;"",L613,IFERROR(IF(ISNUMBER(INDEX(art_tva,MATCH($E613,art_ref,0))),INDEX(art_tva,MATCH($E613,art_ref,0)),""),"")))</f>
        <v/>
      </c>
      <c r="N613" s="70" t="str">
        <f>IF(OR(E613="",J613=""),"",ROUND(N(H613)*J613*(1-N(K613)),2))</f>
        <v/>
      </c>
      <c r="O613" s="70" t="str">
        <f>IF(OR(N613="",NOT(ISNUMBER(M613))),"",ROUND(N613*M613,2))</f>
        <v/>
      </c>
      <c r="P613" s="70" t="str">
        <f>IF(N613="","",N613+N(O613))</f>
        <v/>
      </c>
      <c r="Q613" s="64" t="n"/>
      <c r="R613" s="73" t="str">
        <f>IF(N(Q613)&gt;0,Q613,IF(OR(N(B613)=0,ISNA(MATCH($C613,sup_code,0))),"",IF(ISNUMBER(INDEX(sup_delay,MATCH($C613,sup_code,0))),B613+INDEX(sup_delay,MATCH($C613,sup_code,0)),"")))</f>
        <v/>
      </c>
      <c r="S613" s="64" t="n"/>
      <c r="T613" s="68" t="n"/>
      <c r="U613" s="64" t="n"/>
      <c r="V613" s="65" t="n"/>
      <c r="W613" s="74" t="str">
        <f>IF(AND(A613="",E613=""),"",IF(V613="Oui",0,MAX(0,ROUND(N(H613)-N(T613),6))))</f>
        <v/>
      </c>
      <c r="X613" s="67" t="str">
        <f>IF(AND(A613="",E613=""),"",IF(V613="Oui","Annulé",IF(AND(N(H613)&gt;0,N(T613)&gt;=N(H613)),"Reçu",IF(N(S613)=0,"Brouillon",IF(AND(ISNUMBER(R613),R613&lt;p_today),"En retard",IF(N(T613)&gt;0,"Partiel","Envoyé"))))))</f>
        <v/>
      </c>
      <c r="Y613" s="75" t="str">
        <f>IF(X613="En retard",p_today-R613,IF(AND(X613="Reçu",ISNUMBER(R613)),MAX(0,N(U613)-R613),""))</f>
        <v/>
      </c>
      <c r="Z613" s="67" t="str">
        <f>IF(AND(A613="",E613=""),"",IF(A613="","N° de bon manquant",IF(N(B613)=0,"Date de commande manquante",IF(C613="","Fournisseur manquant",IF(ISNA(MATCH($C613,sup_code,0)),"Fournisseur inconnu",IF(E613="","Article manquant",IF(ISNA(MATCH($E613,art_ref,0)),"Article inconnu",IF(N(H613)&lt;=0,"Quantité invalide",IF(J613="","Prix manquant",IF(OR(N(K613)&lt;0,N(K613)&gt;=1),"Remise invalide",IF(M613="","TVA manquante",IF(ISNA(MATCH(M613,p_tva,0)),"Taux de TVA inconnu",IF(COUNTIFS(po_num,A613,po_sup,"&lt;&gt;"&amp;C613)&gt;0,"Fournisseur différent sur ce bon",IF(COUNTIFS(po_num,A613,po_date,"&lt;&gt;"&amp;B613)&gt;0,"Date différente sur ce bon",IF(COUNTIF(po_num,A613)&gt;25,"Plus de 25 lignes sur ce bon",IF(R613="","Date de livraison manquante",IF(R613&lt;B613,"Livraison avant la commande",IF(AND(N(T613)&gt;0,N(S613)=0),"Date d'envoi manquante",IF(N(T613)&gt;N(H613),"Reçu plus que commandé",IF(AND(N(T613)&gt;0,N(U613)=0),"Date de réception manquante",IF(AND(N(U613)&gt;0,U613&lt;B613),"Réception avant la commande","OK")))))))))))))))))))))</f>
        <v/>
      </c>
      <c r="AA613" s="66" t="str">
        <f>IF(AND(X613="Reçu",ISNUMBER(R613)),IF(N(U613)&lt;=R613,1,0),"")</f>
        <v/>
      </c>
      <c r="AB613" s="76" t="str">
        <f>IF(OR(X613="Envoyé",X613="Partiel",X613="En retard"),IF(ISNUMBER(R613),R613,100000)+ROW()/100000,"")</f>
        <v/>
      </c>
      <c r="AC613" s="66" t="str">
        <f>IF(A613="","",IF(COUNTIF($A$6:A613,A613)=1,1,""))</f>
        <v/>
      </c>
      <c r="AD613" s="66" t="str">
        <f>IF(AC613=1,COUNT($AC$6:AC613),"")</f>
        <v/>
      </c>
      <c r="AE613" s="66" t="str">
        <f>IFERROR(INDEX(po_num,MATCH(608,po_seq,0))&amp;"","")</f>
        <v/>
      </c>
      <c r="AF613" s="66" t="str">
        <f>IF(OR(A613="",p_po=""),"",IF(A613&amp;""=p_po,COUNTIF($A$6:A613,A613),""))</f>
        <v/>
      </c>
      <c r="AG613" s="66" t="str">
        <f>IF(OR(AB613="",A613=""),"",IF(COUNTIFS($A$6:A613,A613,$AB$6:AB613,"&gt;0")=1,1,""))</f>
        <v/>
      </c>
      <c r="AH613" s="70" t="str">
        <f>IF(AB613="","",ROUND(N(W613)*N(J613)*(1-N(K613)),2))</f>
        <v/>
      </c>
      <c r="AI613" s="70" t="str">
        <f>IF(OR(J613="",N(T613)&lt;=0,V613="Oui"),"",ROUND(N(T613)*J613*(1-N(K613)),2))</f>
        <v/>
      </c>
    </row>
    <row r="614">
      <c r="A614" s="63" t="n"/>
      <c r="B614" s="64" t="n"/>
      <c r="C614" s="65" t="n"/>
      <c r="D614" s="66" t="str">
        <f>IF(C614="","",IFERROR(INDEX(sup_name,MATCH($C614,sup_code,0))&amp;"","Fournisseur inconnu"))</f>
        <v/>
      </c>
      <c r="E614" s="63" t="n"/>
      <c r="F614" s="66" t="str">
        <f>IF(E614="","",IFERROR(INDEX(art_des,MATCH($E614,art_ref,0))&amp;"","Article inconnu"))</f>
        <v/>
      </c>
      <c r="G614" s="67" t="str">
        <f>IF(E614="","",IFERROR(INDEX(art_unit,MATCH($E614,art_ref,0))&amp;"",""))</f>
        <v/>
      </c>
      <c r="H614" s="68" t="n"/>
      <c r="I614" s="69" t="n"/>
      <c r="J614" s="70" t="str">
        <f>IF(E614="","",IF(ISNUMBER(I614),I614,IFERROR(IF(ISNUMBER(INDEX(art_price,MATCH($E614,art_ref,0))),INDEX(art_price,MATCH($E614,art_ref,0)),""),"")))</f>
        <v/>
      </c>
      <c r="K614" s="71" t="n"/>
      <c r="L614" s="72" t="n"/>
      <c r="M614" s="72" t="str">
        <f>IF(E614="","",IF(L614&lt;&gt;"",L614,IFERROR(IF(ISNUMBER(INDEX(art_tva,MATCH($E614,art_ref,0))),INDEX(art_tva,MATCH($E614,art_ref,0)),""),"")))</f>
        <v/>
      </c>
      <c r="N614" s="70" t="str">
        <f>IF(OR(E614="",J614=""),"",ROUND(N(H614)*J614*(1-N(K614)),2))</f>
        <v/>
      </c>
      <c r="O614" s="70" t="str">
        <f>IF(OR(N614="",NOT(ISNUMBER(M614))),"",ROUND(N614*M614,2))</f>
        <v/>
      </c>
      <c r="P614" s="70" t="str">
        <f>IF(N614="","",N614+N(O614))</f>
        <v/>
      </c>
      <c r="Q614" s="64" t="n"/>
      <c r="R614" s="73" t="str">
        <f>IF(N(Q614)&gt;0,Q614,IF(OR(N(B614)=0,ISNA(MATCH($C614,sup_code,0))),"",IF(ISNUMBER(INDEX(sup_delay,MATCH($C614,sup_code,0))),B614+INDEX(sup_delay,MATCH($C614,sup_code,0)),"")))</f>
        <v/>
      </c>
      <c r="S614" s="64" t="n"/>
      <c r="T614" s="68" t="n"/>
      <c r="U614" s="64" t="n"/>
      <c r="V614" s="65" t="n"/>
      <c r="W614" s="74" t="str">
        <f>IF(AND(A614="",E614=""),"",IF(V614="Oui",0,MAX(0,ROUND(N(H614)-N(T614),6))))</f>
        <v/>
      </c>
      <c r="X614" s="67" t="str">
        <f>IF(AND(A614="",E614=""),"",IF(V614="Oui","Annulé",IF(AND(N(H614)&gt;0,N(T614)&gt;=N(H614)),"Reçu",IF(N(S614)=0,"Brouillon",IF(AND(ISNUMBER(R614),R614&lt;p_today),"En retard",IF(N(T614)&gt;0,"Partiel","Envoyé"))))))</f>
        <v/>
      </c>
      <c r="Y614" s="75" t="str">
        <f>IF(X614="En retard",p_today-R614,IF(AND(X614="Reçu",ISNUMBER(R614)),MAX(0,N(U614)-R614),""))</f>
        <v/>
      </c>
      <c r="Z614" s="67" t="str">
        <f>IF(AND(A614="",E614=""),"",IF(A614="","N° de bon manquant",IF(N(B614)=0,"Date de commande manquante",IF(C614="","Fournisseur manquant",IF(ISNA(MATCH($C614,sup_code,0)),"Fournisseur inconnu",IF(E614="","Article manquant",IF(ISNA(MATCH($E614,art_ref,0)),"Article inconnu",IF(N(H614)&lt;=0,"Quantité invalide",IF(J614="","Prix manquant",IF(OR(N(K614)&lt;0,N(K614)&gt;=1),"Remise invalide",IF(M614="","TVA manquante",IF(ISNA(MATCH(M614,p_tva,0)),"Taux de TVA inconnu",IF(COUNTIFS(po_num,A614,po_sup,"&lt;&gt;"&amp;C614)&gt;0,"Fournisseur différent sur ce bon",IF(COUNTIFS(po_num,A614,po_date,"&lt;&gt;"&amp;B614)&gt;0,"Date différente sur ce bon",IF(COUNTIF(po_num,A614)&gt;25,"Plus de 25 lignes sur ce bon",IF(R614="","Date de livraison manquante",IF(R614&lt;B614,"Livraison avant la commande",IF(AND(N(T614)&gt;0,N(S614)=0),"Date d'envoi manquante",IF(N(T614)&gt;N(H614),"Reçu plus que commandé",IF(AND(N(T614)&gt;0,N(U614)=0),"Date de réception manquante",IF(AND(N(U614)&gt;0,U614&lt;B614),"Réception avant la commande","OK")))))))))))))))))))))</f>
        <v/>
      </c>
      <c r="AA614" s="66" t="str">
        <f>IF(AND(X614="Reçu",ISNUMBER(R614)),IF(N(U614)&lt;=R614,1,0),"")</f>
        <v/>
      </c>
      <c r="AB614" s="76" t="str">
        <f>IF(OR(X614="Envoyé",X614="Partiel",X614="En retard"),IF(ISNUMBER(R614),R614,100000)+ROW()/100000,"")</f>
        <v/>
      </c>
      <c r="AC614" s="66" t="str">
        <f>IF(A614="","",IF(COUNTIF($A$6:A614,A614)=1,1,""))</f>
        <v/>
      </c>
      <c r="AD614" s="66" t="str">
        <f>IF(AC614=1,COUNT($AC$6:AC614),"")</f>
        <v/>
      </c>
      <c r="AE614" s="66" t="str">
        <f>IFERROR(INDEX(po_num,MATCH(609,po_seq,0))&amp;"","")</f>
        <v/>
      </c>
      <c r="AF614" s="66" t="str">
        <f>IF(OR(A614="",p_po=""),"",IF(A614&amp;""=p_po,COUNTIF($A$6:A614,A614),""))</f>
        <v/>
      </c>
      <c r="AG614" s="66" t="str">
        <f>IF(OR(AB614="",A614=""),"",IF(COUNTIFS($A$6:A614,A614,$AB$6:AB614,"&gt;0")=1,1,""))</f>
        <v/>
      </c>
      <c r="AH614" s="70" t="str">
        <f>IF(AB614="","",ROUND(N(W614)*N(J614)*(1-N(K614)),2))</f>
        <v/>
      </c>
      <c r="AI614" s="70" t="str">
        <f>IF(OR(J614="",N(T614)&lt;=0,V614="Oui"),"",ROUND(N(T614)*J614*(1-N(K614)),2))</f>
        <v/>
      </c>
    </row>
    <row r="615">
      <c r="A615" s="63" t="n"/>
      <c r="B615" s="64" t="n"/>
      <c r="C615" s="65" t="n"/>
      <c r="D615" s="66" t="str">
        <f>IF(C615="","",IFERROR(INDEX(sup_name,MATCH($C615,sup_code,0))&amp;"","Fournisseur inconnu"))</f>
        <v/>
      </c>
      <c r="E615" s="63" t="n"/>
      <c r="F615" s="66" t="str">
        <f>IF(E615="","",IFERROR(INDEX(art_des,MATCH($E615,art_ref,0))&amp;"","Article inconnu"))</f>
        <v/>
      </c>
      <c r="G615" s="67" t="str">
        <f>IF(E615="","",IFERROR(INDEX(art_unit,MATCH($E615,art_ref,0))&amp;"",""))</f>
        <v/>
      </c>
      <c r="H615" s="68" t="n"/>
      <c r="I615" s="69" t="n"/>
      <c r="J615" s="70" t="str">
        <f>IF(E615="","",IF(ISNUMBER(I615),I615,IFERROR(IF(ISNUMBER(INDEX(art_price,MATCH($E615,art_ref,0))),INDEX(art_price,MATCH($E615,art_ref,0)),""),"")))</f>
        <v/>
      </c>
      <c r="K615" s="71" t="n"/>
      <c r="L615" s="72" t="n"/>
      <c r="M615" s="72" t="str">
        <f>IF(E615="","",IF(L615&lt;&gt;"",L615,IFERROR(IF(ISNUMBER(INDEX(art_tva,MATCH($E615,art_ref,0))),INDEX(art_tva,MATCH($E615,art_ref,0)),""),"")))</f>
        <v/>
      </c>
      <c r="N615" s="70" t="str">
        <f>IF(OR(E615="",J615=""),"",ROUND(N(H615)*J615*(1-N(K615)),2))</f>
        <v/>
      </c>
      <c r="O615" s="70" t="str">
        <f>IF(OR(N615="",NOT(ISNUMBER(M615))),"",ROUND(N615*M615,2))</f>
        <v/>
      </c>
      <c r="P615" s="70" t="str">
        <f>IF(N615="","",N615+N(O615))</f>
        <v/>
      </c>
      <c r="Q615" s="64" t="n"/>
      <c r="R615" s="73" t="str">
        <f>IF(N(Q615)&gt;0,Q615,IF(OR(N(B615)=0,ISNA(MATCH($C615,sup_code,0))),"",IF(ISNUMBER(INDEX(sup_delay,MATCH($C615,sup_code,0))),B615+INDEX(sup_delay,MATCH($C615,sup_code,0)),"")))</f>
        <v/>
      </c>
      <c r="S615" s="64" t="n"/>
      <c r="T615" s="68" t="n"/>
      <c r="U615" s="64" t="n"/>
      <c r="V615" s="65" t="n"/>
      <c r="W615" s="74" t="str">
        <f>IF(AND(A615="",E615=""),"",IF(V615="Oui",0,MAX(0,ROUND(N(H615)-N(T615),6))))</f>
        <v/>
      </c>
      <c r="X615" s="67" t="str">
        <f>IF(AND(A615="",E615=""),"",IF(V615="Oui","Annulé",IF(AND(N(H615)&gt;0,N(T615)&gt;=N(H615)),"Reçu",IF(N(S615)=0,"Brouillon",IF(AND(ISNUMBER(R615),R615&lt;p_today),"En retard",IF(N(T615)&gt;0,"Partiel","Envoyé"))))))</f>
        <v/>
      </c>
      <c r="Y615" s="75" t="str">
        <f>IF(X615="En retard",p_today-R615,IF(AND(X615="Reçu",ISNUMBER(R615)),MAX(0,N(U615)-R615),""))</f>
        <v/>
      </c>
      <c r="Z615" s="67" t="str">
        <f>IF(AND(A615="",E615=""),"",IF(A615="","N° de bon manquant",IF(N(B615)=0,"Date de commande manquante",IF(C615="","Fournisseur manquant",IF(ISNA(MATCH($C615,sup_code,0)),"Fournisseur inconnu",IF(E615="","Article manquant",IF(ISNA(MATCH($E615,art_ref,0)),"Article inconnu",IF(N(H615)&lt;=0,"Quantité invalide",IF(J615="","Prix manquant",IF(OR(N(K615)&lt;0,N(K615)&gt;=1),"Remise invalide",IF(M615="","TVA manquante",IF(ISNA(MATCH(M615,p_tva,0)),"Taux de TVA inconnu",IF(COUNTIFS(po_num,A615,po_sup,"&lt;&gt;"&amp;C615)&gt;0,"Fournisseur différent sur ce bon",IF(COUNTIFS(po_num,A615,po_date,"&lt;&gt;"&amp;B615)&gt;0,"Date différente sur ce bon",IF(COUNTIF(po_num,A615)&gt;25,"Plus de 25 lignes sur ce bon",IF(R615="","Date de livraison manquante",IF(R615&lt;B615,"Livraison avant la commande",IF(AND(N(T615)&gt;0,N(S615)=0),"Date d'envoi manquante",IF(N(T615)&gt;N(H615),"Reçu plus que commandé",IF(AND(N(T615)&gt;0,N(U615)=0),"Date de réception manquante",IF(AND(N(U615)&gt;0,U615&lt;B615),"Réception avant la commande","OK")))))))))))))))))))))</f>
        <v/>
      </c>
      <c r="AA615" s="66" t="str">
        <f>IF(AND(X615="Reçu",ISNUMBER(R615)),IF(N(U615)&lt;=R615,1,0),"")</f>
        <v/>
      </c>
      <c r="AB615" s="76" t="str">
        <f>IF(OR(X615="Envoyé",X615="Partiel",X615="En retard"),IF(ISNUMBER(R615),R615,100000)+ROW()/100000,"")</f>
        <v/>
      </c>
      <c r="AC615" s="66" t="str">
        <f>IF(A615="","",IF(COUNTIF($A$6:A615,A615)=1,1,""))</f>
        <v/>
      </c>
      <c r="AD615" s="66" t="str">
        <f>IF(AC615=1,COUNT($AC$6:AC615),"")</f>
        <v/>
      </c>
      <c r="AE615" s="66" t="str">
        <f>IFERROR(INDEX(po_num,MATCH(610,po_seq,0))&amp;"","")</f>
        <v/>
      </c>
      <c r="AF615" s="66" t="str">
        <f>IF(OR(A615="",p_po=""),"",IF(A615&amp;""=p_po,COUNTIF($A$6:A615,A615),""))</f>
        <v/>
      </c>
      <c r="AG615" s="66" t="str">
        <f>IF(OR(AB615="",A615=""),"",IF(COUNTIFS($A$6:A615,A615,$AB$6:AB615,"&gt;0")=1,1,""))</f>
        <v/>
      </c>
      <c r="AH615" s="70" t="str">
        <f>IF(AB615="","",ROUND(N(W615)*N(J615)*(1-N(K615)),2))</f>
        <v/>
      </c>
      <c r="AI615" s="70" t="str">
        <f>IF(OR(J615="",N(T615)&lt;=0,V615="Oui"),"",ROUND(N(T615)*J615*(1-N(K615)),2))</f>
        <v/>
      </c>
    </row>
    <row r="616">
      <c r="A616" s="63" t="n"/>
      <c r="B616" s="64" t="n"/>
      <c r="C616" s="65" t="n"/>
      <c r="D616" s="66" t="str">
        <f>IF(C616="","",IFERROR(INDEX(sup_name,MATCH($C616,sup_code,0))&amp;"","Fournisseur inconnu"))</f>
        <v/>
      </c>
      <c r="E616" s="63" t="n"/>
      <c r="F616" s="66" t="str">
        <f>IF(E616="","",IFERROR(INDEX(art_des,MATCH($E616,art_ref,0))&amp;"","Article inconnu"))</f>
        <v/>
      </c>
      <c r="G616" s="67" t="str">
        <f>IF(E616="","",IFERROR(INDEX(art_unit,MATCH($E616,art_ref,0))&amp;"",""))</f>
        <v/>
      </c>
      <c r="H616" s="68" t="n"/>
      <c r="I616" s="69" t="n"/>
      <c r="J616" s="70" t="str">
        <f>IF(E616="","",IF(ISNUMBER(I616),I616,IFERROR(IF(ISNUMBER(INDEX(art_price,MATCH($E616,art_ref,0))),INDEX(art_price,MATCH($E616,art_ref,0)),""),"")))</f>
        <v/>
      </c>
      <c r="K616" s="71" t="n"/>
      <c r="L616" s="72" t="n"/>
      <c r="M616" s="72" t="str">
        <f>IF(E616="","",IF(L616&lt;&gt;"",L616,IFERROR(IF(ISNUMBER(INDEX(art_tva,MATCH($E616,art_ref,0))),INDEX(art_tva,MATCH($E616,art_ref,0)),""),"")))</f>
        <v/>
      </c>
      <c r="N616" s="70" t="str">
        <f>IF(OR(E616="",J616=""),"",ROUND(N(H616)*J616*(1-N(K616)),2))</f>
        <v/>
      </c>
      <c r="O616" s="70" t="str">
        <f>IF(OR(N616="",NOT(ISNUMBER(M616))),"",ROUND(N616*M616,2))</f>
        <v/>
      </c>
      <c r="P616" s="70" t="str">
        <f>IF(N616="","",N616+N(O616))</f>
        <v/>
      </c>
      <c r="Q616" s="64" t="n"/>
      <c r="R616" s="73" t="str">
        <f>IF(N(Q616)&gt;0,Q616,IF(OR(N(B616)=0,ISNA(MATCH($C616,sup_code,0))),"",IF(ISNUMBER(INDEX(sup_delay,MATCH($C616,sup_code,0))),B616+INDEX(sup_delay,MATCH($C616,sup_code,0)),"")))</f>
        <v/>
      </c>
      <c r="S616" s="64" t="n"/>
      <c r="T616" s="68" t="n"/>
      <c r="U616" s="64" t="n"/>
      <c r="V616" s="65" t="n"/>
      <c r="W616" s="74" t="str">
        <f>IF(AND(A616="",E616=""),"",IF(V616="Oui",0,MAX(0,ROUND(N(H616)-N(T616),6))))</f>
        <v/>
      </c>
      <c r="X616" s="67" t="str">
        <f>IF(AND(A616="",E616=""),"",IF(V616="Oui","Annulé",IF(AND(N(H616)&gt;0,N(T616)&gt;=N(H616)),"Reçu",IF(N(S616)=0,"Brouillon",IF(AND(ISNUMBER(R616),R616&lt;p_today),"En retard",IF(N(T616)&gt;0,"Partiel","Envoyé"))))))</f>
        <v/>
      </c>
      <c r="Y616" s="75" t="str">
        <f>IF(X616="En retard",p_today-R616,IF(AND(X616="Reçu",ISNUMBER(R616)),MAX(0,N(U616)-R616),""))</f>
        <v/>
      </c>
      <c r="Z616" s="67" t="str">
        <f>IF(AND(A616="",E616=""),"",IF(A616="","N° de bon manquant",IF(N(B616)=0,"Date de commande manquante",IF(C616="","Fournisseur manquant",IF(ISNA(MATCH($C616,sup_code,0)),"Fournisseur inconnu",IF(E616="","Article manquant",IF(ISNA(MATCH($E616,art_ref,0)),"Article inconnu",IF(N(H616)&lt;=0,"Quantité invalide",IF(J616="","Prix manquant",IF(OR(N(K616)&lt;0,N(K616)&gt;=1),"Remise invalide",IF(M616="","TVA manquante",IF(ISNA(MATCH(M616,p_tva,0)),"Taux de TVA inconnu",IF(COUNTIFS(po_num,A616,po_sup,"&lt;&gt;"&amp;C616)&gt;0,"Fournisseur différent sur ce bon",IF(COUNTIFS(po_num,A616,po_date,"&lt;&gt;"&amp;B616)&gt;0,"Date différente sur ce bon",IF(COUNTIF(po_num,A616)&gt;25,"Plus de 25 lignes sur ce bon",IF(R616="","Date de livraison manquante",IF(R616&lt;B616,"Livraison avant la commande",IF(AND(N(T616)&gt;0,N(S616)=0),"Date d'envoi manquante",IF(N(T616)&gt;N(H616),"Reçu plus que commandé",IF(AND(N(T616)&gt;0,N(U616)=0),"Date de réception manquante",IF(AND(N(U616)&gt;0,U616&lt;B616),"Réception avant la commande","OK")))))))))))))))))))))</f>
        <v/>
      </c>
      <c r="AA616" s="66" t="str">
        <f>IF(AND(X616="Reçu",ISNUMBER(R616)),IF(N(U616)&lt;=R616,1,0),"")</f>
        <v/>
      </c>
      <c r="AB616" s="76" t="str">
        <f>IF(OR(X616="Envoyé",X616="Partiel",X616="En retard"),IF(ISNUMBER(R616),R616,100000)+ROW()/100000,"")</f>
        <v/>
      </c>
      <c r="AC616" s="66" t="str">
        <f>IF(A616="","",IF(COUNTIF($A$6:A616,A616)=1,1,""))</f>
        <v/>
      </c>
      <c r="AD616" s="66" t="str">
        <f>IF(AC616=1,COUNT($AC$6:AC616),"")</f>
        <v/>
      </c>
      <c r="AE616" s="66" t="str">
        <f>IFERROR(INDEX(po_num,MATCH(611,po_seq,0))&amp;"","")</f>
        <v/>
      </c>
      <c r="AF616" s="66" t="str">
        <f>IF(OR(A616="",p_po=""),"",IF(A616&amp;""=p_po,COUNTIF($A$6:A616,A616),""))</f>
        <v/>
      </c>
      <c r="AG616" s="66" t="str">
        <f>IF(OR(AB616="",A616=""),"",IF(COUNTIFS($A$6:A616,A616,$AB$6:AB616,"&gt;0")=1,1,""))</f>
        <v/>
      </c>
      <c r="AH616" s="70" t="str">
        <f>IF(AB616="","",ROUND(N(W616)*N(J616)*(1-N(K616)),2))</f>
        <v/>
      </c>
      <c r="AI616" s="70" t="str">
        <f>IF(OR(J616="",N(T616)&lt;=0,V616="Oui"),"",ROUND(N(T616)*J616*(1-N(K616)),2))</f>
        <v/>
      </c>
    </row>
    <row r="617">
      <c r="A617" s="63" t="n"/>
      <c r="B617" s="64" t="n"/>
      <c r="C617" s="65" t="n"/>
      <c r="D617" s="66" t="str">
        <f>IF(C617="","",IFERROR(INDEX(sup_name,MATCH($C617,sup_code,0))&amp;"","Fournisseur inconnu"))</f>
        <v/>
      </c>
      <c r="E617" s="63" t="n"/>
      <c r="F617" s="66" t="str">
        <f>IF(E617="","",IFERROR(INDEX(art_des,MATCH($E617,art_ref,0))&amp;"","Article inconnu"))</f>
        <v/>
      </c>
      <c r="G617" s="67" t="str">
        <f>IF(E617="","",IFERROR(INDEX(art_unit,MATCH($E617,art_ref,0))&amp;"",""))</f>
        <v/>
      </c>
      <c r="H617" s="68" t="n"/>
      <c r="I617" s="69" t="n"/>
      <c r="J617" s="70" t="str">
        <f>IF(E617="","",IF(ISNUMBER(I617),I617,IFERROR(IF(ISNUMBER(INDEX(art_price,MATCH($E617,art_ref,0))),INDEX(art_price,MATCH($E617,art_ref,0)),""),"")))</f>
        <v/>
      </c>
      <c r="K617" s="71" t="n"/>
      <c r="L617" s="72" t="n"/>
      <c r="M617" s="72" t="str">
        <f>IF(E617="","",IF(L617&lt;&gt;"",L617,IFERROR(IF(ISNUMBER(INDEX(art_tva,MATCH($E617,art_ref,0))),INDEX(art_tva,MATCH($E617,art_ref,0)),""),"")))</f>
        <v/>
      </c>
      <c r="N617" s="70" t="str">
        <f>IF(OR(E617="",J617=""),"",ROUND(N(H617)*J617*(1-N(K617)),2))</f>
        <v/>
      </c>
      <c r="O617" s="70" t="str">
        <f>IF(OR(N617="",NOT(ISNUMBER(M617))),"",ROUND(N617*M617,2))</f>
        <v/>
      </c>
      <c r="P617" s="70" t="str">
        <f>IF(N617="","",N617+N(O617))</f>
        <v/>
      </c>
      <c r="Q617" s="64" t="n"/>
      <c r="R617" s="73" t="str">
        <f>IF(N(Q617)&gt;0,Q617,IF(OR(N(B617)=0,ISNA(MATCH($C617,sup_code,0))),"",IF(ISNUMBER(INDEX(sup_delay,MATCH($C617,sup_code,0))),B617+INDEX(sup_delay,MATCH($C617,sup_code,0)),"")))</f>
        <v/>
      </c>
      <c r="S617" s="64" t="n"/>
      <c r="T617" s="68" t="n"/>
      <c r="U617" s="64" t="n"/>
      <c r="V617" s="65" t="n"/>
      <c r="W617" s="74" t="str">
        <f>IF(AND(A617="",E617=""),"",IF(V617="Oui",0,MAX(0,ROUND(N(H617)-N(T617),6))))</f>
        <v/>
      </c>
      <c r="X617" s="67" t="str">
        <f>IF(AND(A617="",E617=""),"",IF(V617="Oui","Annulé",IF(AND(N(H617)&gt;0,N(T617)&gt;=N(H617)),"Reçu",IF(N(S617)=0,"Brouillon",IF(AND(ISNUMBER(R617),R617&lt;p_today),"En retard",IF(N(T617)&gt;0,"Partiel","Envoyé"))))))</f>
        <v/>
      </c>
      <c r="Y617" s="75" t="str">
        <f>IF(X617="En retard",p_today-R617,IF(AND(X617="Reçu",ISNUMBER(R617)),MAX(0,N(U617)-R617),""))</f>
        <v/>
      </c>
      <c r="Z617" s="67" t="str">
        <f>IF(AND(A617="",E617=""),"",IF(A617="","N° de bon manquant",IF(N(B617)=0,"Date de commande manquante",IF(C617="","Fournisseur manquant",IF(ISNA(MATCH($C617,sup_code,0)),"Fournisseur inconnu",IF(E617="","Article manquant",IF(ISNA(MATCH($E617,art_ref,0)),"Article inconnu",IF(N(H617)&lt;=0,"Quantité invalide",IF(J617="","Prix manquant",IF(OR(N(K617)&lt;0,N(K617)&gt;=1),"Remise invalide",IF(M617="","TVA manquante",IF(ISNA(MATCH(M617,p_tva,0)),"Taux de TVA inconnu",IF(COUNTIFS(po_num,A617,po_sup,"&lt;&gt;"&amp;C617)&gt;0,"Fournisseur différent sur ce bon",IF(COUNTIFS(po_num,A617,po_date,"&lt;&gt;"&amp;B617)&gt;0,"Date différente sur ce bon",IF(COUNTIF(po_num,A617)&gt;25,"Plus de 25 lignes sur ce bon",IF(R617="","Date de livraison manquante",IF(R617&lt;B617,"Livraison avant la commande",IF(AND(N(T617)&gt;0,N(S617)=0),"Date d'envoi manquante",IF(N(T617)&gt;N(H617),"Reçu plus que commandé",IF(AND(N(T617)&gt;0,N(U617)=0),"Date de réception manquante",IF(AND(N(U617)&gt;0,U617&lt;B617),"Réception avant la commande","OK")))))))))))))))))))))</f>
        <v/>
      </c>
      <c r="AA617" s="66" t="str">
        <f>IF(AND(X617="Reçu",ISNUMBER(R617)),IF(N(U617)&lt;=R617,1,0),"")</f>
        <v/>
      </c>
      <c r="AB617" s="76" t="str">
        <f>IF(OR(X617="Envoyé",X617="Partiel",X617="En retard"),IF(ISNUMBER(R617),R617,100000)+ROW()/100000,"")</f>
        <v/>
      </c>
      <c r="AC617" s="66" t="str">
        <f>IF(A617="","",IF(COUNTIF($A$6:A617,A617)=1,1,""))</f>
        <v/>
      </c>
      <c r="AD617" s="66" t="str">
        <f>IF(AC617=1,COUNT($AC$6:AC617),"")</f>
        <v/>
      </c>
      <c r="AE617" s="66" t="str">
        <f>IFERROR(INDEX(po_num,MATCH(612,po_seq,0))&amp;"","")</f>
        <v/>
      </c>
      <c r="AF617" s="66" t="str">
        <f>IF(OR(A617="",p_po=""),"",IF(A617&amp;""=p_po,COUNTIF($A$6:A617,A617),""))</f>
        <v/>
      </c>
      <c r="AG617" s="66" t="str">
        <f>IF(OR(AB617="",A617=""),"",IF(COUNTIFS($A$6:A617,A617,$AB$6:AB617,"&gt;0")=1,1,""))</f>
        <v/>
      </c>
      <c r="AH617" s="70" t="str">
        <f>IF(AB617="","",ROUND(N(W617)*N(J617)*(1-N(K617)),2))</f>
        <v/>
      </c>
      <c r="AI617" s="70" t="str">
        <f>IF(OR(J617="",N(T617)&lt;=0,V617="Oui"),"",ROUND(N(T617)*J617*(1-N(K617)),2))</f>
        <v/>
      </c>
    </row>
    <row r="618">
      <c r="A618" s="63" t="n"/>
      <c r="B618" s="64" t="n"/>
      <c r="C618" s="65" t="n"/>
      <c r="D618" s="66" t="str">
        <f>IF(C618="","",IFERROR(INDEX(sup_name,MATCH($C618,sup_code,0))&amp;"","Fournisseur inconnu"))</f>
        <v/>
      </c>
      <c r="E618" s="63" t="n"/>
      <c r="F618" s="66" t="str">
        <f>IF(E618="","",IFERROR(INDEX(art_des,MATCH($E618,art_ref,0))&amp;"","Article inconnu"))</f>
        <v/>
      </c>
      <c r="G618" s="67" t="str">
        <f>IF(E618="","",IFERROR(INDEX(art_unit,MATCH($E618,art_ref,0))&amp;"",""))</f>
        <v/>
      </c>
      <c r="H618" s="68" t="n"/>
      <c r="I618" s="69" t="n"/>
      <c r="J618" s="70" t="str">
        <f>IF(E618="","",IF(ISNUMBER(I618),I618,IFERROR(IF(ISNUMBER(INDEX(art_price,MATCH($E618,art_ref,0))),INDEX(art_price,MATCH($E618,art_ref,0)),""),"")))</f>
        <v/>
      </c>
      <c r="K618" s="71" t="n"/>
      <c r="L618" s="72" t="n"/>
      <c r="M618" s="72" t="str">
        <f>IF(E618="","",IF(L618&lt;&gt;"",L618,IFERROR(IF(ISNUMBER(INDEX(art_tva,MATCH($E618,art_ref,0))),INDEX(art_tva,MATCH($E618,art_ref,0)),""),"")))</f>
        <v/>
      </c>
      <c r="N618" s="70" t="str">
        <f>IF(OR(E618="",J618=""),"",ROUND(N(H618)*J618*(1-N(K618)),2))</f>
        <v/>
      </c>
      <c r="O618" s="70" t="str">
        <f>IF(OR(N618="",NOT(ISNUMBER(M618))),"",ROUND(N618*M618,2))</f>
        <v/>
      </c>
      <c r="P618" s="70" t="str">
        <f>IF(N618="","",N618+N(O618))</f>
        <v/>
      </c>
      <c r="Q618" s="64" t="n"/>
      <c r="R618" s="73" t="str">
        <f>IF(N(Q618)&gt;0,Q618,IF(OR(N(B618)=0,ISNA(MATCH($C618,sup_code,0))),"",IF(ISNUMBER(INDEX(sup_delay,MATCH($C618,sup_code,0))),B618+INDEX(sup_delay,MATCH($C618,sup_code,0)),"")))</f>
        <v/>
      </c>
      <c r="S618" s="64" t="n"/>
      <c r="T618" s="68" t="n"/>
      <c r="U618" s="64" t="n"/>
      <c r="V618" s="65" t="n"/>
      <c r="W618" s="74" t="str">
        <f>IF(AND(A618="",E618=""),"",IF(V618="Oui",0,MAX(0,ROUND(N(H618)-N(T618),6))))</f>
        <v/>
      </c>
      <c r="X618" s="67" t="str">
        <f>IF(AND(A618="",E618=""),"",IF(V618="Oui","Annulé",IF(AND(N(H618)&gt;0,N(T618)&gt;=N(H618)),"Reçu",IF(N(S618)=0,"Brouillon",IF(AND(ISNUMBER(R618),R618&lt;p_today),"En retard",IF(N(T618)&gt;0,"Partiel","Envoyé"))))))</f>
        <v/>
      </c>
      <c r="Y618" s="75" t="str">
        <f>IF(X618="En retard",p_today-R618,IF(AND(X618="Reçu",ISNUMBER(R618)),MAX(0,N(U618)-R618),""))</f>
        <v/>
      </c>
      <c r="Z618" s="67" t="str">
        <f>IF(AND(A618="",E618=""),"",IF(A618="","N° de bon manquant",IF(N(B618)=0,"Date de commande manquante",IF(C618="","Fournisseur manquant",IF(ISNA(MATCH($C618,sup_code,0)),"Fournisseur inconnu",IF(E618="","Article manquant",IF(ISNA(MATCH($E618,art_ref,0)),"Article inconnu",IF(N(H618)&lt;=0,"Quantité invalide",IF(J618="","Prix manquant",IF(OR(N(K618)&lt;0,N(K618)&gt;=1),"Remise invalide",IF(M618="","TVA manquante",IF(ISNA(MATCH(M618,p_tva,0)),"Taux de TVA inconnu",IF(COUNTIFS(po_num,A618,po_sup,"&lt;&gt;"&amp;C618)&gt;0,"Fournisseur différent sur ce bon",IF(COUNTIFS(po_num,A618,po_date,"&lt;&gt;"&amp;B618)&gt;0,"Date différente sur ce bon",IF(COUNTIF(po_num,A618)&gt;25,"Plus de 25 lignes sur ce bon",IF(R618="","Date de livraison manquante",IF(R618&lt;B618,"Livraison avant la commande",IF(AND(N(T618)&gt;0,N(S618)=0),"Date d'envoi manquante",IF(N(T618)&gt;N(H618),"Reçu plus que commandé",IF(AND(N(T618)&gt;0,N(U618)=0),"Date de réception manquante",IF(AND(N(U618)&gt;0,U618&lt;B618),"Réception avant la commande","OK")))))))))))))))))))))</f>
        <v/>
      </c>
      <c r="AA618" s="66" t="str">
        <f>IF(AND(X618="Reçu",ISNUMBER(R618)),IF(N(U618)&lt;=R618,1,0),"")</f>
        <v/>
      </c>
      <c r="AB618" s="76" t="str">
        <f>IF(OR(X618="Envoyé",X618="Partiel",X618="En retard"),IF(ISNUMBER(R618),R618,100000)+ROW()/100000,"")</f>
        <v/>
      </c>
      <c r="AC618" s="66" t="str">
        <f>IF(A618="","",IF(COUNTIF($A$6:A618,A618)=1,1,""))</f>
        <v/>
      </c>
      <c r="AD618" s="66" t="str">
        <f>IF(AC618=1,COUNT($AC$6:AC618),"")</f>
        <v/>
      </c>
      <c r="AE618" s="66" t="str">
        <f>IFERROR(INDEX(po_num,MATCH(613,po_seq,0))&amp;"","")</f>
        <v/>
      </c>
      <c r="AF618" s="66" t="str">
        <f>IF(OR(A618="",p_po=""),"",IF(A618&amp;""=p_po,COUNTIF($A$6:A618,A618),""))</f>
        <v/>
      </c>
      <c r="AG618" s="66" t="str">
        <f>IF(OR(AB618="",A618=""),"",IF(COUNTIFS($A$6:A618,A618,$AB$6:AB618,"&gt;0")=1,1,""))</f>
        <v/>
      </c>
      <c r="AH618" s="70" t="str">
        <f>IF(AB618="","",ROUND(N(W618)*N(J618)*(1-N(K618)),2))</f>
        <v/>
      </c>
      <c r="AI618" s="70" t="str">
        <f>IF(OR(J618="",N(T618)&lt;=0,V618="Oui"),"",ROUND(N(T618)*J618*(1-N(K618)),2))</f>
        <v/>
      </c>
    </row>
    <row r="619">
      <c r="A619" s="63" t="n"/>
      <c r="B619" s="64" t="n"/>
      <c r="C619" s="65" t="n"/>
      <c r="D619" s="66" t="str">
        <f>IF(C619="","",IFERROR(INDEX(sup_name,MATCH($C619,sup_code,0))&amp;"","Fournisseur inconnu"))</f>
        <v/>
      </c>
      <c r="E619" s="63" t="n"/>
      <c r="F619" s="66" t="str">
        <f>IF(E619="","",IFERROR(INDEX(art_des,MATCH($E619,art_ref,0))&amp;"","Article inconnu"))</f>
        <v/>
      </c>
      <c r="G619" s="67" t="str">
        <f>IF(E619="","",IFERROR(INDEX(art_unit,MATCH($E619,art_ref,0))&amp;"",""))</f>
        <v/>
      </c>
      <c r="H619" s="68" t="n"/>
      <c r="I619" s="69" t="n"/>
      <c r="J619" s="70" t="str">
        <f>IF(E619="","",IF(ISNUMBER(I619),I619,IFERROR(IF(ISNUMBER(INDEX(art_price,MATCH($E619,art_ref,0))),INDEX(art_price,MATCH($E619,art_ref,0)),""),"")))</f>
        <v/>
      </c>
      <c r="K619" s="71" t="n"/>
      <c r="L619" s="72" t="n"/>
      <c r="M619" s="72" t="str">
        <f>IF(E619="","",IF(L619&lt;&gt;"",L619,IFERROR(IF(ISNUMBER(INDEX(art_tva,MATCH($E619,art_ref,0))),INDEX(art_tva,MATCH($E619,art_ref,0)),""),"")))</f>
        <v/>
      </c>
      <c r="N619" s="70" t="str">
        <f>IF(OR(E619="",J619=""),"",ROUND(N(H619)*J619*(1-N(K619)),2))</f>
        <v/>
      </c>
      <c r="O619" s="70" t="str">
        <f>IF(OR(N619="",NOT(ISNUMBER(M619))),"",ROUND(N619*M619,2))</f>
        <v/>
      </c>
      <c r="P619" s="70" t="str">
        <f>IF(N619="","",N619+N(O619))</f>
        <v/>
      </c>
      <c r="Q619" s="64" t="n"/>
      <c r="R619" s="73" t="str">
        <f>IF(N(Q619)&gt;0,Q619,IF(OR(N(B619)=0,ISNA(MATCH($C619,sup_code,0))),"",IF(ISNUMBER(INDEX(sup_delay,MATCH($C619,sup_code,0))),B619+INDEX(sup_delay,MATCH($C619,sup_code,0)),"")))</f>
        <v/>
      </c>
      <c r="S619" s="64" t="n"/>
      <c r="T619" s="68" t="n"/>
      <c r="U619" s="64" t="n"/>
      <c r="V619" s="65" t="n"/>
      <c r="W619" s="74" t="str">
        <f>IF(AND(A619="",E619=""),"",IF(V619="Oui",0,MAX(0,ROUND(N(H619)-N(T619),6))))</f>
        <v/>
      </c>
      <c r="X619" s="67" t="str">
        <f>IF(AND(A619="",E619=""),"",IF(V619="Oui","Annulé",IF(AND(N(H619)&gt;0,N(T619)&gt;=N(H619)),"Reçu",IF(N(S619)=0,"Brouillon",IF(AND(ISNUMBER(R619),R619&lt;p_today),"En retard",IF(N(T619)&gt;0,"Partiel","Envoyé"))))))</f>
        <v/>
      </c>
      <c r="Y619" s="75" t="str">
        <f>IF(X619="En retard",p_today-R619,IF(AND(X619="Reçu",ISNUMBER(R619)),MAX(0,N(U619)-R619),""))</f>
        <v/>
      </c>
      <c r="Z619" s="67" t="str">
        <f>IF(AND(A619="",E619=""),"",IF(A619="","N° de bon manquant",IF(N(B619)=0,"Date de commande manquante",IF(C619="","Fournisseur manquant",IF(ISNA(MATCH($C619,sup_code,0)),"Fournisseur inconnu",IF(E619="","Article manquant",IF(ISNA(MATCH($E619,art_ref,0)),"Article inconnu",IF(N(H619)&lt;=0,"Quantité invalide",IF(J619="","Prix manquant",IF(OR(N(K619)&lt;0,N(K619)&gt;=1),"Remise invalide",IF(M619="","TVA manquante",IF(ISNA(MATCH(M619,p_tva,0)),"Taux de TVA inconnu",IF(COUNTIFS(po_num,A619,po_sup,"&lt;&gt;"&amp;C619)&gt;0,"Fournisseur différent sur ce bon",IF(COUNTIFS(po_num,A619,po_date,"&lt;&gt;"&amp;B619)&gt;0,"Date différente sur ce bon",IF(COUNTIF(po_num,A619)&gt;25,"Plus de 25 lignes sur ce bon",IF(R619="","Date de livraison manquante",IF(R619&lt;B619,"Livraison avant la commande",IF(AND(N(T619)&gt;0,N(S619)=0),"Date d'envoi manquante",IF(N(T619)&gt;N(H619),"Reçu plus que commandé",IF(AND(N(T619)&gt;0,N(U619)=0),"Date de réception manquante",IF(AND(N(U619)&gt;0,U619&lt;B619),"Réception avant la commande","OK")))))))))))))))))))))</f>
        <v/>
      </c>
      <c r="AA619" s="66" t="str">
        <f>IF(AND(X619="Reçu",ISNUMBER(R619)),IF(N(U619)&lt;=R619,1,0),"")</f>
        <v/>
      </c>
      <c r="AB619" s="76" t="str">
        <f>IF(OR(X619="Envoyé",X619="Partiel",X619="En retard"),IF(ISNUMBER(R619),R619,100000)+ROW()/100000,"")</f>
        <v/>
      </c>
      <c r="AC619" s="66" t="str">
        <f>IF(A619="","",IF(COUNTIF($A$6:A619,A619)=1,1,""))</f>
        <v/>
      </c>
      <c r="AD619" s="66" t="str">
        <f>IF(AC619=1,COUNT($AC$6:AC619),"")</f>
        <v/>
      </c>
      <c r="AE619" s="66" t="str">
        <f>IFERROR(INDEX(po_num,MATCH(614,po_seq,0))&amp;"","")</f>
        <v/>
      </c>
      <c r="AF619" s="66" t="str">
        <f>IF(OR(A619="",p_po=""),"",IF(A619&amp;""=p_po,COUNTIF($A$6:A619,A619),""))</f>
        <v/>
      </c>
      <c r="AG619" s="66" t="str">
        <f>IF(OR(AB619="",A619=""),"",IF(COUNTIFS($A$6:A619,A619,$AB$6:AB619,"&gt;0")=1,1,""))</f>
        <v/>
      </c>
      <c r="AH619" s="70" t="str">
        <f>IF(AB619="","",ROUND(N(W619)*N(J619)*(1-N(K619)),2))</f>
        <v/>
      </c>
      <c r="AI619" s="70" t="str">
        <f>IF(OR(J619="",N(T619)&lt;=0,V619="Oui"),"",ROUND(N(T619)*J619*(1-N(K619)),2))</f>
        <v/>
      </c>
    </row>
    <row r="620">
      <c r="A620" s="63" t="n"/>
      <c r="B620" s="64" t="n"/>
      <c r="C620" s="65" t="n"/>
      <c r="D620" s="66" t="str">
        <f>IF(C620="","",IFERROR(INDEX(sup_name,MATCH($C620,sup_code,0))&amp;"","Fournisseur inconnu"))</f>
        <v/>
      </c>
      <c r="E620" s="63" t="n"/>
      <c r="F620" s="66" t="str">
        <f>IF(E620="","",IFERROR(INDEX(art_des,MATCH($E620,art_ref,0))&amp;"","Article inconnu"))</f>
        <v/>
      </c>
      <c r="G620" s="67" t="str">
        <f>IF(E620="","",IFERROR(INDEX(art_unit,MATCH($E620,art_ref,0))&amp;"",""))</f>
        <v/>
      </c>
      <c r="H620" s="68" t="n"/>
      <c r="I620" s="69" t="n"/>
      <c r="J620" s="70" t="str">
        <f>IF(E620="","",IF(ISNUMBER(I620),I620,IFERROR(IF(ISNUMBER(INDEX(art_price,MATCH($E620,art_ref,0))),INDEX(art_price,MATCH($E620,art_ref,0)),""),"")))</f>
        <v/>
      </c>
      <c r="K620" s="71" t="n"/>
      <c r="L620" s="72" t="n"/>
      <c r="M620" s="72" t="str">
        <f>IF(E620="","",IF(L620&lt;&gt;"",L620,IFERROR(IF(ISNUMBER(INDEX(art_tva,MATCH($E620,art_ref,0))),INDEX(art_tva,MATCH($E620,art_ref,0)),""),"")))</f>
        <v/>
      </c>
      <c r="N620" s="70" t="str">
        <f>IF(OR(E620="",J620=""),"",ROUND(N(H620)*J620*(1-N(K620)),2))</f>
        <v/>
      </c>
      <c r="O620" s="70" t="str">
        <f>IF(OR(N620="",NOT(ISNUMBER(M620))),"",ROUND(N620*M620,2))</f>
        <v/>
      </c>
      <c r="P620" s="70" t="str">
        <f>IF(N620="","",N620+N(O620))</f>
        <v/>
      </c>
      <c r="Q620" s="64" t="n"/>
      <c r="R620" s="73" t="str">
        <f>IF(N(Q620)&gt;0,Q620,IF(OR(N(B620)=0,ISNA(MATCH($C620,sup_code,0))),"",IF(ISNUMBER(INDEX(sup_delay,MATCH($C620,sup_code,0))),B620+INDEX(sup_delay,MATCH($C620,sup_code,0)),"")))</f>
        <v/>
      </c>
      <c r="S620" s="64" t="n"/>
      <c r="T620" s="68" t="n"/>
      <c r="U620" s="64" t="n"/>
      <c r="V620" s="65" t="n"/>
      <c r="W620" s="74" t="str">
        <f>IF(AND(A620="",E620=""),"",IF(V620="Oui",0,MAX(0,ROUND(N(H620)-N(T620),6))))</f>
        <v/>
      </c>
      <c r="X620" s="67" t="str">
        <f>IF(AND(A620="",E620=""),"",IF(V620="Oui","Annulé",IF(AND(N(H620)&gt;0,N(T620)&gt;=N(H620)),"Reçu",IF(N(S620)=0,"Brouillon",IF(AND(ISNUMBER(R620),R620&lt;p_today),"En retard",IF(N(T620)&gt;0,"Partiel","Envoyé"))))))</f>
        <v/>
      </c>
      <c r="Y620" s="75" t="str">
        <f>IF(X620="En retard",p_today-R620,IF(AND(X620="Reçu",ISNUMBER(R620)),MAX(0,N(U620)-R620),""))</f>
        <v/>
      </c>
      <c r="Z620" s="67" t="str">
        <f>IF(AND(A620="",E620=""),"",IF(A620="","N° de bon manquant",IF(N(B620)=0,"Date de commande manquante",IF(C620="","Fournisseur manquant",IF(ISNA(MATCH($C620,sup_code,0)),"Fournisseur inconnu",IF(E620="","Article manquant",IF(ISNA(MATCH($E620,art_ref,0)),"Article inconnu",IF(N(H620)&lt;=0,"Quantité invalide",IF(J620="","Prix manquant",IF(OR(N(K620)&lt;0,N(K620)&gt;=1),"Remise invalide",IF(M620="","TVA manquante",IF(ISNA(MATCH(M620,p_tva,0)),"Taux de TVA inconnu",IF(COUNTIFS(po_num,A620,po_sup,"&lt;&gt;"&amp;C620)&gt;0,"Fournisseur différent sur ce bon",IF(COUNTIFS(po_num,A620,po_date,"&lt;&gt;"&amp;B620)&gt;0,"Date différente sur ce bon",IF(COUNTIF(po_num,A620)&gt;25,"Plus de 25 lignes sur ce bon",IF(R620="","Date de livraison manquante",IF(R620&lt;B620,"Livraison avant la commande",IF(AND(N(T620)&gt;0,N(S620)=0),"Date d'envoi manquante",IF(N(T620)&gt;N(H620),"Reçu plus que commandé",IF(AND(N(T620)&gt;0,N(U620)=0),"Date de réception manquante",IF(AND(N(U620)&gt;0,U620&lt;B620),"Réception avant la commande","OK")))))))))))))))))))))</f>
        <v/>
      </c>
      <c r="AA620" s="66" t="str">
        <f>IF(AND(X620="Reçu",ISNUMBER(R620)),IF(N(U620)&lt;=R620,1,0),"")</f>
        <v/>
      </c>
      <c r="AB620" s="76" t="str">
        <f>IF(OR(X620="Envoyé",X620="Partiel",X620="En retard"),IF(ISNUMBER(R620),R620,100000)+ROW()/100000,"")</f>
        <v/>
      </c>
      <c r="AC620" s="66" t="str">
        <f>IF(A620="","",IF(COUNTIF($A$6:A620,A620)=1,1,""))</f>
        <v/>
      </c>
      <c r="AD620" s="66" t="str">
        <f>IF(AC620=1,COUNT($AC$6:AC620),"")</f>
        <v/>
      </c>
      <c r="AE620" s="66" t="str">
        <f>IFERROR(INDEX(po_num,MATCH(615,po_seq,0))&amp;"","")</f>
        <v/>
      </c>
      <c r="AF620" s="66" t="str">
        <f>IF(OR(A620="",p_po=""),"",IF(A620&amp;""=p_po,COUNTIF($A$6:A620,A620),""))</f>
        <v/>
      </c>
      <c r="AG620" s="66" t="str">
        <f>IF(OR(AB620="",A620=""),"",IF(COUNTIFS($A$6:A620,A620,$AB$6:AB620,"&gt;0")=1,1,""))</f>
        <v/>
      </c>
      <c r="AH620" s="70" t="str">
        <f>IF(AB620="","",ROUND(N(W620)*N(J620)*(1-N(K620)),2))</f>
        <v/>
      </c>
      <c r="AI620" s="70" t="str">
        <f>IF(OR(J620="",N(T620)&lt;=0,V620="Oui"),"",ROUND(N(T620)*J620*(1-N(K620)),2))</f>
        <v/>
      </c>
    </row>
    <row r="621">
      <c r="A621" s="63" t="n"/>
      <c r="B621" s="64" t="n"/>
      <c r="C621" s="65" t="n"/>
      <c r="D621" s="66" t="str">
        <f>IF(C621="","",IFERROR(INDEX(sup_name,MATCH($C621,sup_code,0))&amp;"","Fournisseur inconnu"))</f>
        <v/>
      </c>
      <c r="E621" s="63" t="n"/>
      <c r="F621" s="66" t="str">
        <f>IF(E621="","",IFERROR(INDEX(art_des,MATCH($E621,art_ref,0))&amp;"","Article inconnu"))</f>
        <v/>
      </c>
      <c r="G621" s="67" t="str">
        <f>IF(E621="","",IFERROR(INDEX(art_unit,MATCH($E621,art_ref,0))&amp;"",""))</f>
        <v/>
      </c>
      <c r="H621" s="68" t="n"/>
      <c r="I621" s="69" t="n"/>
      <c r="J621" s="70" t="str">
        <f>IF(E621="","",IF(ISNUMBER(I621),I621,IFERROR(IF(ISNUMBER(INDEX(art_price,MATCH($E621,art_ref,0))),INDEX(art_price,MATCH($E621,art_ref,0)),""),"")))</f>
        <v/>
      </c>
      <c r="K621" s="71" t="n"/>
      <c r="L621" s="72" t="n"/>
      <c r="M621" s="72" t="str">
        <f>IF(E621="","",IF(L621&lt;&gt;"",L621,IFERROR(IF(ISNUMBER(INDEX(art_tva,MATCH($E621,art_ref,0))),INDEX(art_tva,MATCH($E621,art_ref,0)),""),"")))</f>
        <v/>
      </c>
      <c r="N621" s="70" t="str">
        <f>IF(OR(E621="",J621=""),"",ROUND(N(H621)*J621*(1-N(K621)),2))</f>
        <v/>
      </c>
      <c r="O621" s="70" t="str">
        <f>IF(OR(N621="",NOT(ISNUMBER(M621))),"",ROUND(N621*M621,2))</f>
        <v/>
      </c>
      <c r="P621" s="70" t="str">
        <f>IF(N621="","",N621+N(O621))</f>
        <v/>
      </c>
      <c r="Q621" s="64" t="n"/>
      <c r="R621" s="73" t="str">
        <f>IF(N(Q621)&gt;0,Q621,IF(OR(N(B621)=0,ISNA(MATCH($C621,sup_code,0))),"",IF(ISNUMBER(INDEX(sup_delay,MATCH($C621,sup_code,0))),B621+INDEX(sup_delay,MATCH($C621,sup_code,0)),"")))</f>
        <v/>
      </c>
      <c r="S621" s="64" t="n"/>
      <c r="T621" s="68" t="n"/>
      <c r="U621" s="64" t="n"/>
      <c r="V621" s="65" t="n"/>
      <c r="W621" s="74" t="str">
        <f>IF(AND(A621="",E621=""),"",IF(V621="Oui",0,MAX(0,ROUND(N(H621)-N(T621),6))))</f>
        <v/>
      </c>
      <c r="X621" s="67" t="str">
        <f>IF(AND(A621="",E621=""),"",IF(V621="Oui","Annulé",IF(AND(N(H621)&gt;0,N(T621)&gt;=N(H621)),"Reçu",IF(N(S621)=0,"Brouillon",IF(AND(ISNUMBER(R621),R621&lt;p_today),"En retard",IF(N(T621)&gt;0,"Partiel","Envoyé"))))))</f>
        <v/>
      </c>
      <c r="Y621" s="75" t="str">
        <f>IF(X621="En retard",p_today-R621,IF(AND(X621="Reçu",ISNUMBER(R621)),MAX(0,N(U621)-R621),""))</f>
        <v/>
      </c>
      <c r="Z621" s="67" t="str">
        <f>IF(AND(A621="",E621=""),"",IF(A621="","N° de bon manquant",IF(N(B621)=0,"Date de commande manquante",IF(C621="","Fournisseur manquant",IF(ISNA(MATCH($C621,sup_code,0)),"Fournisseur inconnu",IF(E621="","Article manquant",IF(ISNA(MATCH($E621,art_ref,0)),"Article inconnu",IF(N(H621)&lt;=0,"Quantité invalide",IF(J621="","Prix manquant",IF(OR(N(K621)&lt;0,N(K621)&gt;=1),"Remise invalide",IF(M621="","TVA manquante",IF(ISNA(MATCH(M621,p_tva,0)),"Taux de TVA inconnu",IF(COUNTIFS(po_num,A621,po_sup,"&lt;&gt;"&amp;C621)&gt;0,"Fournisseur différent sur ce bon",IF(COUNTIFS(po_num,A621,po_date,"&lt;&gt;"&amp;B621)&gt;0,"Date différente sur ce bon",IF(COUNTIF(po_num,A621)&gt;25,"Plus de 25 lignes sur ce bon",IF(R621="","Date de livraison manquante",IF(R621&lt;B621,"Livraison avant la commande",IF(AND(N(T621)&gt;0,N(S621)=0),"Date d'envoi manquante",IF(N(T621)&gt;N(H621),"Reçu plus que commandé",IF(AND(N(T621)&gt;0,N(U621)=0),"Date de réception manquante",IF(AND(N(U621)&gt;0,U621&lt;B621),"Réception avant la commande","OK")))))))))))))))))))))</f>
        <v/>
      </c>
      <c r="AA621" s="66" t="str">
        <f>IF(AND(X621="Reçu",ISNUMBER(R621)),IF(N(U621)&lt;=R621,1,0),"")</f>
        <v/>
      </c>
      <c r="AB621" s="76" t="str">
        <f>IF(OR(X621="Envoyé",X621="Partiel",X621="En retard"),IF(ISNUMBER(R621),R621,100000)+ROW()/100000,"")</f>
        <v/>
      </c>
      <c r="AC621" s="66" t="str">
        <f>IF(A621="","",IF(COUNTIF($A$6:A621,A621)=1,1,""))</f>
        <v/>
      </c>
      <c r="AD621" s="66" t="str">
        <f>IF(AC621=1,COUNT($AC$6:AC621),"")</f>
        <v/>
      </c>
      <c r="AE621" s="66" t="str">
        <f>IFERROR(INDEX(po_num,MATCH(616,po_seq,0))&amp;"","")</f>
        <v/>
      </c>
      <c r="AF621" s="66" t="str">
        <f>IF(OR(A621="",p_po=""),"",IF(A621&amp;""=p_po,COUNTIF($A$6:A621,A621),""))</f>
        <v/>
      </c>
      <c r="AG621" s="66" t="str">
        <f>IF(OR(AB621="",A621=""),"",IF(COUNTIFS($A$6:A621,A621,$AB$6:AB621,"&gt;0")=1,1,""))</f>
        <v/>
      </c>
      <c r="AH621" s="70" t="str">
        <f>IF(AB621="","",ROUND(N(W621)*N(J621)*(1-N(K621)),2))</f>
        <v/>
      </c>
      <c r="AI621" s="70" t="str">
        <f>IF(OR(J621="",N(T621)&lt;=0,V621="Oui"),"",ROUND(N(T621)*J621*(1-N(K621)),2))</f>
        <v/>
      </c>
    </row>
    <row r="622">
      <c r="A622" s="63" t="n"/>
      <c r="B622" s="64" t="n"/>
      <c r="C622" s="65" t="n"/>
      <c r="D622" s="66" t="str">
        <f>IF(C622="","",IFERROR(INDEX(sup_name,MATCH($C622,sup_code,0))&amp;"","Fournisseur inconnu"))</f>
        <v/>
      </c>
      <c r="E622" s="63" t="n"/>
      <c r="F622" s="66" t="str">
        <f>IF(E622="","",IFERROR(INDEX(art_des,MATCH($E622,art_ref,0))&amp;"","Article inconnu"))</f>
        <v/>
      </c>
      <c r="G622" s="67" t="str">
        <f>IF(E622="","",IFERROR(INDEX(art_unit,MATCH($E622,art_ref,0))&amp;"",""))</f>
        <v/>
      </c>
      <c r="H622" s="68" t="n"/>
      <c r="I622" s="69" t="n"/>
      <c r="J622" s="70" t="str">
        <f>IF(E622="","",IF(ISNUMBER(I622),I622,IFERROR(IF(ISNUMBER(INDEX(art_price,MATCH($E622,art_ref,0))),INDEX(art_price,MATCH($E622,art_ref,0)),""),"")))</f>
        <v/>
      </c>
      <c r="K622" s="71" t="n"/>
      <c r="L622" s="72" t="n"/>
      <c r="M622" s="72" t="str">
        <f>IF(E622="","",IF(L622&lt;&gt;"",L622,IFERROR(IF(ISNUMBER(INDEX(art_tva,MATCH($E622,art_ref,0))),INDEX(art_tva,MATCH($E622,art_ref,0)),""),"")))</f>
        <v/>
      </c>
      <c r="N622" s="70" t="str">
        <f>IF(OR(E622="",J622=""),"",ROUND(N(H622)*J622*(1-N(K622)),2))</f>
        <v/>
      </c>
      <c r="O622" s="70" t="str">
        <f>IF(OR(N622="",NOT(ISNUMBER(M622))),"",ROUND(N622*M622,2))</f>
        <v/>
      </c>
      <c r="P622" s="70" t="str">
        <f>IF(N622="","",N622+N(O622))</f>
        <v/>
      </c>
      <c r="Q622" s="64" t="n"/>
      <c r="R622" s="73" t="str">
        <f>IF(N(Q622)&gt;0,Q622,IF(OR(N(B622)=0,ISNA(MATCH($C622,sup_code,0))),"",IF(ISNUMBER(INDEX(sup_delay,MATCH($C622,sup_code,0))),B622+INDEX(sup_delay,MATCH($C622,sup_code,0)),"")))</f>
        <v/>
      </c>
      <c r="S622" s="64" t="n"/>
      <c r="T622" s="68" t="n"/>
      <c r="U622" s="64" t="n"/>
      <c r="V622" s="65" t="n"/>
      <c r="W622" s="74" t="str">
        <f>IF(AND(A622="",E622=""),"",IF(V622="Oui",0,MAX(0,ROUND(N(H622)-N(T622),6))))</f>
        <v/>
      </c>
      <c r="X622" s="67" t="str">
        <f>IF(AND(A622="",E622=""),"",IF(V622="Oui","Annulé",IF(AND(N(H622)&gt;0,N(T622)&gt;=N(H622)),"Reçu",IF(N(S622)=0,"Brouillon",IF(AND(ISNUMBER(R622),R622&lt;p_today),"En retard",IF(N(T622)&gt;0,"Partiel","Envoyé"))))))</f>
        <v/>
      </c>
      <c r="Y622" s="75" t="str">
        <f>IF(X622="En retard",p_today-R622,IF(AND(X622="Reçu",ISNUMBER(R622)),MAX(0,N(U622)-R622),""))</f>
        <v/>
      </c>
      <c r="Z622" s="67" t="str">
        <f>IF(AND(A622="",E622=""),"",IF(A622="","N° de bon manquant",IF(N(B622)=0,"Date de commande manquante",IF(C622="","Fournisseur manquant",IF(ISNA(MATCH($C622,sup_code,0)),"Fournisseur inconnu",IF(E622="","Article manquant",IF(ISNA(MATCH($E622,art_ref,0)),"Article inconnu",IF(N(H622)&lt;=0,"Quantité invalide",IF(J622="","Prix manquant",IF(OR(N(K622)&lt;0,N(K622)&gt;=1),"Remise invalide",IF(M622="","TVA manquante",IF(ISNA(MATCH(M622,p_tva,0)),"Taux de TVA inconnu",IF(COUNTIFS(po_num,A622,po_sup,"&lt;&gt;"&amp;C622)&gt;0,"Fournisseur différent sur ce bon",IF(COUNTIFS(po_num,A622,po_date,"&lt;&gt;"&amp;B622)&gt;0,"Date différente sur ce bon",IF(COUNTIF(po_num,A622)&gt;25,"Plus de 25 lignes sur ce bon",IF(R622="","Date de livraison manquante",IF(R622&lt;B622,"Livraison avant la commande",IF(AND(N(T622)&gt;0,N(S622)=0),"Date d'envoi manquante",IF(N(T622)&gt;N(H622),"Reçu plus que commandé",IF(AND(N(T622)&gt;0,N(U622)=0),"Date de réception manquante",IF(AND(N(U622)&gt;0,U622&lt;B622),"Réception avant la commande","OK")))))))))))))))))))))</f>
        <v/>
      </c>
      <c r="AA622" s="66" t="str">
        <f>IF(AND(X622="Reçu",ISNUMBER(R622)),IF(N(U622)&lt;=R622,1,0),"")</f>
        <v/>
      </c>
      <c r="AB622" s="76" t="str">
        <f>IF(OR(X622="Envoyé",X622="Partiel",X622="En retard"),IF(ISNUMBER(R622),R622,100000)+ROW()/100000,"")</f>
        <v/>
      </c>
      <c r="AC622" s="66" t="str">
        <f>IF(A622="","",IF(COUNTIF($A$6:A622,A622)=1,1,""))</f>
        <v/>
      </c>
      <c r="AD622" s="66" t="str">
        <f>IF(AC622=1,COUNT($AC$6:AC622),"")</f>
        <v/>
      </c>
      <c r="AE622" s="66" t="str">
        <f>IFERROR(INDEX(po_num,MATCH(617,po_seq,0))&amp;"","")</f>
        <v/>
      </c>
      <c r="AF622" s="66" t="str">
        <f>IF(OR(A622="",p_po=""),"",IF(A622&amp;""=p_po,COUNTIF($A$6:A622,A622),""))</f>
        <v/>
      </c>
      <c r="AG622" s="66" t="str">
        <f>IF(OR(AB622="",A622=""),"",IF(COUNTIFS($A$6:A622,A622,$AB$6:AB622,"&gt;0")=1,1,""))</f>
        <v/>
      </c>
      <c r="AH622" s="70" t="str">
        <f>IF(AB622="","",ROUND(N(W622)*N(J622)*(1-N(K622)),2))</f>
        <v/>
      </c>
      <c r="AI622" s="70" t="str">
        <f>IF(OR(J622="",N(T622)&lt;=0,V622="Oui"),"",ROUND(N(T622)*J622*(1-N(K622)),2))</f>
        <v/>
      </c>
    </row>
    <row r="623">
      <c r="A623" s="63" t="n"/>
      <c r="B623" s="64" t="n"/>
      <c r="C623" s="65" t="n"/>
      <c r="D623" s="66" t="str">
        <f>IF(C623="","",IFERROR(INDEX(sup_name,MATCH($C623,sup_code,0))&amp;"","Fournisseur inconnu"))</f>
        <v/>
      </c>
      <c r="E623" s="63" t="n"/>
      <c r="F623" s="66" t="str">
        <f>IF(E623="","",IFERROR(INDEX(art_des,MATCH($E623,art_ref,0))&amp;"","Article inconnu"))</f>
        <v/>
      </c>
      <c r="G623" s="67" t="str">
        <f>IF(E623="","",IFERROR(INDEX(art_unit,MATCH($E623,art_ref,0))&amp;"",""))</f>
        <v/>
      </c>
      <c r="H623" s="68" t="n"/>
      <c r="I623" s="69" t="n"/>
      <c r="J623" s="70" t="str">
        <f>IF(E623="","",IF(ISNUMBER(I623),I623,IFERROR(IF(ISNUMBER(INDEX(art_price,MATCH($E623,art_ref,0))),INDEX(art_price,MATCH($E623,art_ref,0)),""),"")))</f>
        <v/>
      </c>
      <c r="K623" s="71" t="n"/>
      <c r="L623" s="72" t="n"/>
      <c r="M623" s="72" t="str">
        <f>IF(E623="","",IF(L623&lt;&gt;"",L623,IFERROR(IF(ISNUMBER(INDEX(art_tva,MATCH($E623,art_ref,0))),INDEX(art_tva,MATCH($E623,art_ref,0)),""),"")))</f>
        <v/>
      </c>
      <c r="N623" s="70" t="str">
        <f>IF(OR(E623="",J623=""),"",ROUND(N(H623)*J623*(1-N(K623)),2))</f>
        <v/>
      </c>
      <c r="O623" s="70" t="str">
        <f>IF(OR(N623="",NOT(ISNUMBER(M623))),"",ROUND(N623*M623,2))</f>
        <v/>
      </c>
      <c r="P623" s="70" t="str">
        <f>IF(N623="","",N623+N(O623))</f>
        <v/>
      </c>
      <c r="Q623" s="64" t="n"/>
      <c r="R623" s="73" t="str">
        <f>IF(N(Q623)&gt;0,Q623,IF(OR(N(B623)=0,ISNA(MATCH($C623,sup_code,0))),"",IF(ISNUMBER(INDEX(sup_delay,MATCH($C623,sup_code,0))),B623+INDEX(sup_delay,MATCH($C623,sup_code,0)),"")))</f>
        <v/>
      </c>
      <c r="S623" s="64" t="n"/>
      <c r="T623" s="68" t="n"/>
      <c r="U623" s="64" t="n"/>
      <c r="V623" s="65" t="n"/>
      <c r="W623" s="74" t="str">
        <f>IF(AND(A623="",E623=""),"",IF(V623="Oui",0,MAX(0,ROUND(N(H623)-N(T623),6))))</f>
        <v/>
      </c>
      <c r="X623" s="67" t="str">
        <f>IF(AND(A623="",E623=""),"",IF(V623="Oui","Annulé",IF(AND(N(H623)&gt;0,N(T623)&gt;=N(H623)),"Reçu",IF(N(S623)=0,"Brouillon",IF(AND(ISNUMBER(R623),R623&lt;p_today),"En retard",IF(N(T623)&gt;0,"Partiel","Envoyé"))))))</f>
        <v/>
      </c>
      <c r="Y623" s="75" t="str">
        <f>IF(X623="En retard",p_today-R623,IF(AND(X623="Reçu",ISNUMBER(R623)),MAX(0,N(U623)-R623),""))</f>
        <v/>
      </c>
      <c r="Z623" s="67" t="str">
        <f>IF(AND(A623="",E623=""),"",IF(A623="","N° de bon manquant",IF(N(B623)=0,"Date de commande manquante",IF(C623="","Fournisseur manquant",IF(ISNA(MATCH($C623,sup_code,0)),"Fournisseur inconnu",IF(E623="","Article manquant",IF(ISNA(MATCH($E623,art_ref,0)),"Article inconnu",IF(N(H623)&lt;=0,"Quantité invalide",IF(J623="","Prix manquant",IF(OR(N(K623)&lt;0,N(K623)&gt;=1),"Remise invalide",IF(M623="","TVA manquante",IF(ISNA(MATCH(M623,p_tva,0)),"Taux de TVA inconnu",IF(COUNTIFS(po_num,A623,po_sup,"&lt;&gt;"&amp;C623)&gt;0,"Fournisseur différent sur ce bon",IF(COUNTIFS(po_num,A623,po_date,"&lt;&gt;"&amp;B623)&gt;0,"Date différente sur ce bon",IF(COUNTIF(po_num,A623)&gt;25,"Plus de 25 lignes sur ce bon",IF(R623="","Date de livraison manquante",IF(R623&lt;B623,"Livraison avant la commande",IF(AND(N(T623)&gt;0,N(S623)=0),"Date d'envoi manquante",IF(N(T623)&gt;N(H623),"Reçu plus que commandé",IF(AND(N(T623)&gt;0,N(U623)=0),"Date de réception manquante",IF(AND(N(U623)&gt;0,U623&lt;B623),"Réception avant la commande","OK")))))))))))))))))))))</f>
        <v/>
      </c>
      <c r="AA623" s="66" t="str">
        <f>IF(AND(X623="Reçu",ISNUMBER(R623)),IF(N(U623)&lt;=R623,1,0),"")</f>
        <v/>
      </c>
      <c r="AB623" s="76" t="str">
        <f>IF(OR(X623="Envoyé",X623="Partiel",X623="En retard"),IF(ISNUMBER(R623),R623,100000)+ROW()/100000,"")</f>
        <v/>
      </c>
      <c r="AC623" s="66" t="str">
        <f>IF(A623="","",IF(COUNTIF($A$6:A623,A623)=1,1,""))</f>
        <v/>
      </c>
      <c r="AD623" s="66" t="str">
        <f>IF(AC623=1,COUNT($AC$6:AC623),"")</f>
        <v/>
      </c>
      <c r="AE623" s="66" t="str">
        <f>IFERROR(INDEX(po_num,MATCH(618,po_seq,0))&amp;"","")</f>
        <v/>
      </c>
      <c r="AF623" s="66" t="str">
        <f>IF(OR(A623="",p_po=""),"",IF(A623&amp;""=p_po,COUNTIF($A$6:A623,A623),""))</f>
        <v/>
      </c>
      <c r="AG623" s="66" t="str">
        <f>IF(OR(AB623="",A623=""),"",IF(COUNTIFS($A$6:A623,A623,$AB$6:AB623,"&gt;0")=1,1,""))</f>
        <v/>
      </c>
      <c r="AH623" s="70" t="str">
        <f>IF(AB623="","",ROUND(N(W623)*N(J623)*(1-N(K623)),2))</f>
        <v/>
      </c>
      <c r="AI623" s="70" t="str">
        <f>IF(OR(J623="",N(T623)&lt;=0,V623="Oui"),"",ROUND(N(T623)*J623*(1-N(K623)),2))</f>
        <v/>
      </c>
    </row>
    <row r="624">
      <c r="A624" s="63" t="n"/>
      <c r="B624" s="64" t="n"/>
      <c r="C624" s="65" t="n"/>
      <c r="D624" s="66" t="str">
        <f>IF(C624="","",IFERROR(INDEX(sup_name,MATCH($C624,sup_code,0))&amp;"","Fournisseur inconnu"))</f>
        <v/>
      </c>
      <c r="E624" s="63" t="n"/>
      <c r="F624" s="66" t="str">
        <f>IF(E624="","",IFERROR(INDEX(art_des,MATCH($E624,art_ref,0))&amp;"","Article inconnu"))</f>
        <v/>
      </c>
      <c r="G624" s="67" t="str">
        <f>IF(E624="","",IFERROR(INDEX(art_unit,MATCH($E624,art_ref,0))&amp;"",""))</f>
        <v/>
      </c>
      <c r="H624" s="68" t="n"/>
      <c r="I624" s="69" t="n"/>
      <c r="J624" s="70" t="str">
        <f>IF(E624="","",IF(ISNUMBER(I624),I624,IFERROR(IF(ISNUMBER(INDEX(art_price,MATCH($E624,art_ref,0))),INDEX(art_price,MATCH($E624,art_ref,0)),""),"")))</f>
        <v/>
      </c>
      <c r="K624" s="71" t="n"/>
      <c r="L624" s="72" t="n"/>
      <c r="M624" s="72" t="str">
        <f>IF(E624="","",IF(L624&lt;&gt;"",L624,IFERROR(IF(ISNUMBER(INDEX(art_tva,MATCH($E624,art_ref,0))),INDEX(art_tva,MATCH($E624,art_ref,0)),""),"")))</f>
        <v/>
      </c>
      <c r="N624" s="70" t="str">
        <f>IF(OR(E624="",J624=""),"",ROUND(N(H624)*J624*(1-N(K624)),2))</f>
        <v/>
      </c>
      <c r="O624" s="70" t="str">
        <f>IF(OR(N624="",NOT(ISNUMBER(M624))),"",ROUND(N624*M624,2))</f>
        <v/>
      </c>
      <c r="P624" s="70" t="str">
        <f>IF(N624="","",N624+N(O624))</f>
        <v/>
      </c>
      <c r="Q624" s="64" t="n"/>
      <c r="R624" s="73" t="str">
        <f>IF(N(Q624)&gt;0,Q624,IF(OR(N(B624)=0,ISNA(MATCH($C624,sup_code,0))),"",IF(ISNUMBER(INDEX(sup_delay,MATCH($C624,sup_code,0))),B624+INDEX(sup_delay,MATCH($C624,sup_code,0)),"")))</f>
        <v/>
      </c>
      <c r="S624" s="64" t="n"/>
      <c r="T624" s="68" t="n"/>
      <c r="U624" s="64" t="n"/>
      <c r="V624" s="65" t="n"/>
      <c r="W624" s="74" t="str">
        <f>IF(AND(A624="",E624=""),"",IF(V624="Oui",0,MAX(0,ROUND(N(H624)-N(T624),6))))</f>
        <v/>
      </c>
      <c r="X624" s="67" t="str">
        <f>IF(AND(A624="",E624=""),"",IF(V624="Oui","Annulé",IF(AND(N(H624)&gt;0,N(T624)&gt;=N(H624)),"Reçu",IF(N(S624)=0,"Brouillon",IF(AND(ISNUMBER(R624),R624&lt;p_today),"En retard",IF(N(T624)&gt;0,"Partiel","Envoyé"))))))</f>
        <v/>
      </c>
      <c r="Y624" s="75" t="str">
        <f>IF(X624="En retard",p_today-R624,IF(AND(X624="Reçu",ISNUMBER(R624)),MAX(0,N(U624)-R624),""))</f>
        <v/>
      </c>
      <c r="Z624" s="67" t="str">
        <f>IF(AND(A624="",E624=""),"",IF(A624="","N° de bon manquant",IF(N(B624)=0,"Date de commande manquante",IF(C624="","Fournisseur manquant",IF(ISNA(MATCH($C624,sup_code,0)),"Fournisseur inconnu",IF(E624="","Article manquant",IF(ISNA(MATCH($E624,art_ref,0)),"Article inconnu",IF(N(H624)&lt;=0,"Quantité invalide",IF(J624="","Prix manquant",IF(OR(N(K624)&lt;0,N(K624)&gt;=1),"Remise invalide",IF(M624="","TVA manquante",IF(ISNA(MATCH(M624,p_tva,0)),"Taux de TVA inconnu",IF(COUNTIFS(po_num,A624,po_sup,"&lt;&gt;"&amp;C624)&gt;0,"Fournisseur différent sur ce bon",IF(COUNTIFS(po_num,A624,po_date,"&lt;&gt;"&amp;B624)&gt;0,"Date différente sur ce bon",IF(COUNTIF(po_num,A624)&gt;25,"Plus de 25 lignes sur ce bon",IF(R624="","Date de livraison manquante",IF(R624&lt;B624,"Livraison avant la commande",IF(AND(N(T624)&gt;0,N(S624)=0),"Date d'envoi manquante",IF(N(T624)&gt;N(H624),"Reçu plus que commandé",IF(AND(N(T624)&gt;0,N(U624)=0),"Date de réception manquante",IF(AND(N(U624)&gt;0,U624&lt;B624),"Réception avant la commande","OK")))))))))))))))))))))</f>
        <v/>
      </c>
      <c r="AA624" s="66" t="str">
        <f>IF(AND(X624="Reçu",ISNUMBER(R624)),IF(N(U624)&lt;=R624,1,0),"")</f>
        <v/>
      </c>
      <c r="AB624" s="76" t="str">
        <f>IF(OR(X624="Envoyé",X624="Partiel",X624="En retard"),IF(ISNUMBER(R624),R624,100000)+ROW()/100000,"")</f>
        <v/>
      </c>
      <c r="AC624" s="66" t="str">
        <f>IF(A624="","",IF(COUNTIF($A$6:A624,A624)=1,1,""))</f>
        <v/>
      </c>
      <c r="AD624" s="66" t="str">
        <f>IF(AC624=1,COUNT($AC$6:AC624),"")</f>
        <v/>
      </c>
      <c r="AE624" s="66" t="str">
        <f>IFERROR(INDEX(po_num,MATCH(619,po_seq,0))&amp;"","")</f>
        <v/>
      </c>
      <c r="AF624" s="66" t="str">
        <f>IF(OR(A624="",p_po=""),"",IF(A624&amp;""=p_po,COUNTIF($A$6:A624,A624),""))</f>
        <v/>
      </c>
      <c r="AG624" s="66" t="str">
        <f>IF(OR(AB624="",A624=""),"",IF(COUNTIFS($A$6:A624,A624,$AB$6:AB624,"&gt;0")=1,1,""))</f>
        <v/>
      </c>
      <c r="AH624" s="70" t="str">
        <f>IF(AB624="","",ROUND(N(W624)*N(J624)*(1-N(K624)),2))</f>
        <v/>
      </c>
      <c r="AI624" s="70" t="str">
        <f>IF(OR(J624="",N(T624)&lt;=0,V624="Oui"),"",ROUND(N(T624)*J624*(1-N(K624)),2))</f>
        <v/>
      </c>
    </row>
    <row r="625">
      <c r="A625" s="63" t="n"/>
      <c r="B625" s="64" t="n"/>
      <c r="C625" s="65" t="n"/>
      <c r="D625" s="66" t="str">
        <f>IF(C625="","",IFERROR(INDEX(sup_name,MATCH($C625,sup_code,0))&amp;"","Fournisseur inconnu"))</f>
        <v/>
      </c>
      <c r="E625" s="63" t="n"/>
      <c r="F625" s="66" t="str">
        <f>IF(E625="","",IFERROR(INDEX(art_des,MATCH($E625,art_ref,0))&amp;"","Article inconnu"))</f>
        <v/>
      </c>
      <c r="G625" s="67" t="str">
        <f>IF(E625="","",IFERROR(INDEX(art_unit,MATCH($E625,art_ref,0))&amp;"",""))</f>
        <v/>
      </c>
      <c r="H625" s="68" t="n"/>
      <c r="I625" s="69" t="n"/>
      <c r="J625" s="70" t="str">
        <f>IF(E625="","",IF(ISNUMBER(I625),I625,IFERROR(IF(ISNUMBER(INDEX(art_price,MATCH($E625,art_ref,0))),INDEX(art_price,MATCH($E625,art_ref,0)),""),"")))</f>
        <v/>
      </c>
      <c r="K625" s="71" t="n"/>
      <c r="L625" s="72" t="n"/>
      <c r="M625" s="72" t="str">
        <f>IF(E625="","",IF(L625&lt;&gt;"",L625,IFERROR(IF(ISNUMBER(INDEX(art_tva,MATCH($E625,art_ref,0))),INDEX(art_tva,MATCH($E625,art_ref,0)),""),"")))</f>
        <v/>
      </c>
      <c r="N625" s="70" t="str">
        <f>IF(OR(E625="",J625=""),"",ROUND(N(H625)*J625*(1-N(K625)),2))</f>
        <v/>
      </c>
      <c r="O625" s="70" t="str">
        <f>IF(OR(N625="",NOT(ISNUMBER(M625))),"",ROUND(N625*M625,2))</f>
        <v/>
      </c>
      <c r="P625" s="70" t="str">
        <f>IF(N625="","",N625+N(O625))</f>
        <v/>
      </c>
      <c r="Q625" s="64" t="n"/>
      <c r="R625" s="73" t="str">
        <f>IF(N(Q625)&gt;0,Q625,IF(OR(N(B625)=0,ISNA(MATCH($C625,sup_code,0))),"",IF(ISNUMBER(INDEX(sup_delay,MATCH($C625,sup_code,0))),B625+INDEX(sup_delay,MATCH($C625,sup_code,0)),"")))</f>
        <v/>
      </c>
      <c r="S625" s="64" t="n"/>
      <c r="T625" s="68" t="n"/>
      <c r="U625" s="64" t="n"/>
      <c r="V625" s="65" t="n"/>
      <c r="W625" s="74" t="str">
        <f>IF(AND(A625="",E625=""),"",IF(V625="Oui",0,MAX(0,ROUND(N(H625)-N(T625),6))))</f>
        <v/>
      </c>
      <c r="X625" s="67" t="str">
        <f>IF(AND(A625="",E625=""),"",IF(V625="Oui","Annulé",IF(AND(N(H625)&gt;0,N(T625)&gt;=N(H625)),"Reçu",IF(N(S625)=0,"Brouillon",IF(AND(ISNUMBER(R625),R625&lt;p_today),"En retard",IF(N(T625)&gt;0,"Partiel","Envoyé"))))))</f>
        <v/>
      </c>
      <c r="Y625" s="75" t="str">
        <f>IF(X625="En retard",p_today-R625,IF(AND(X625="Reçu",ISNUMBER(R625)),MAX(0,N(U625)-R625),""))</f>
        <v/>
      </c>
      <c r="Z625" s="67" t="str">
        <f>IF(AND(A625="",E625=""),"",IF(A625="","N° de bon manquant",IF(N(B625)=0,"Date de commande manquante",IF(C625="","Fournisseur manquant",IF(ISNA(MATCH($C625,sup_code,0)),"Fournisseur inconnu",IF(E625="","Article manquant",IF(ISNA(MATCH($E625,art_ref,0)),"Article inconnu",IF(N(H625)&lt;=0,"Quantité invalide",IF(J625="","Prix manquant",IF(OR(N(K625)&lt;0,N(K625)&gt;=1),"Remise invalide",IF(M625="","TVA manquante",IF(ISNA(MATCH(M625,p_tva,0)),"Taux de TVA inconnu",IF(COUNTIFS(po_num,A625,po_sup,"&lt;&gt;"&amp;C625)&gt;0,"Fournisseur différent sur ce bon",IF(COUNTIFS(po_num,A625,po_date,"&lt;&gt;"&amp;B625)&gt;0,"Date différente sur ce bon",IF(COUNTIF(po_num,A625)&gt;25,"Plus de 25 lignes sur ce bon",IF(R625="","Date de livraison manquante",IF(R625&lt;B625,"Livraison avant la commande",IF(AND(N(T625)&gt;0,N(S625)=0),"Date d'envoi manquante",IF(N(T625)&gt;N(H625),"Reçu plus que commandé",IF(AND(N(T625)&gt;0,N(U625)=0),"Date de réception manquante",IF(AND(N(U625)&gt;0,U625&lt;B625),"Réception avant la commande","OK")))))))))))))))))))))</f>
        <v/>
      </c>
      <c r="AA625" s="66" t="str">
        <f>IF(AND(X625="Reçu",ISNUMBER(R625)),IF(N(U625)&lt;=R625,1,0),"")</f>
        <v/>
      </c>
      <c r="AB625" s="76" t="str">
        <f>IF(OR(X625="Envoyé",X625="Partiel",X625="En retard"),IF(ISNUMBER(R625),R625,100000)+ROW()/100000,"")</f>
        <v/>
      </c>
      <c r="AC625" s="66" t="str">
        <f>IF(A625="","",IF(COUNTIF($A$6:A625,A625)=1,1,""))</f>
        <v/>
      </c>
      <c r="AD625" s="66" t="str">
        <f>IF(AC625=1,COUNT($AC$6:AC625),"")</f>
        <v/>
      </c>
      <c r="AE625" s="66" t="str">
        <f>IFERROR(INDEX(po_num,MATCH(620,po_seq,0))&amp;"","")</f>
        <v/>
      </c>
      <c r="AF625" s="66" t="str">
        <f>IF(OR(A625="",p_po=""),"",IF(A625&amp;""=p_po,COUNTIF($A$6:A625,A625),""))</f>
        <v/>
      </c>
      <c r="AG625" s="66" t="str">
        <f>IF(OR(AB625="",A625=""),"",IF(COUNTIFS($A$6:A625,A625,$AB$6:AB625,"&gt;0")=1,1,""))</f>
        <v/>
      </c>
      <c r="AH625" s="70" t="str">
        <f>IF(AB625="","",ROUND(N(W625)*N(J625)*(1-N(K625)),2))</f>
        <v/>
      </c>
      <c r="AI625" s="70" t="str">
        <f>IF(OR(J625="",N(T625)&lt;=0,V625="Oui"),"",ROUND(N(T625)*J625*(1-N(K625)),2))</f>
        <v/>
      </c>
    </row>
    <row r="626">
      <c r="A626" s="63" t="n"/>
      <c r="B626" s="64" t="n"/>
      <c r="C626" s="65" t="n"/>
      <c r="D626" s="66" t="str">
        <f>IF(C626="","",IFERROR(INDEX(sup_name,MATCH($C626,sup_code,0))&amp;"","Fournisseur inconnu"))</f>
        <v/>
      </c>
      <c r="E626" s="63" t="n"/>
      <c r="F626" s="66" t="str">
        <f>IF(E626="","",IFERROR(INDEX(art_des,MATCH($E626,art_ref,0))&amp;"","Article inconnu"))</f>
        <v/>
      </c>
      <c r="G626" s="67" t="str">
        <f>IF(E626="","",IFERROR(INDEX(art_unit,MATCH($E626,art_ref,0))&amp;"",""))</f>
        <v/>
      </c>
      <c r="H626" s="68" t="n"/>
      <c r="I626" s="69" t="n"/>
      <c r="J626" s="70" t="str">
        <f>IF(E626="","",IF(ISNUMBER(I626),I626,IFERROR(IF(ISNUMBER(INDEX(art_price,MATCH($E626,art_ref,0))),INDEX(art_price,MATCH($E626,art_ref,0)),""),"")))</f>
        <v/>
      </c>
      <c r="K626" s="71" t="n"/>
      <c r="L626" s="72" t="n"/>
      <c r="M626" s="72" t="str">
        <f>IF(E626="","",IF(L626&lt;&gt;"",L626,IFERROR(IF(ISNUMBER(INDEX(art_tva,MATCH($E626,art_ref,0))),INDEX(art_tva,MATCH($E626,art_ref,0)),""),"")))</f>
        <v/>
      </c>
      <c r="N626" s="70" t="str">
        <f>IF(OR(E626="",J626=""),"",ROUND(N(H626)*J626*(1-N(K626)),2))</f>
        <v/>
      </c>
      <c r="O626" s="70" t="str">
        <f>IF(OR(N626="",NOT(ISNUMBER(M626))),"",ROUND(N626*M626,2))</f>
        <v/>
      </c>
      <c r="P626" s="70" t="str">
        <f>IF(N626="","",N626+N(O626))</f>
        <v/>
      </c>
      <c r="Q626" s="64" t="n"/>
      <c r="R626" s="73" t="str">
        <f>IF(N(Q626)&gt;0,Q626,IF(OR(N(B626)=0,ISNA(MATCH($C626,sup_code,0))),"",IF(ISNUMBER(INDEX(sup_delay,MATCH($C626,sup_code,0))),B626+INDEX(sup_delay,MATCH($C626,sup_code,0)),"")))</f>
        <v/>
      </c>
      <c r="S626" s="64" t="n"/>
      <c r="T626" s="68" t="n"/>
      <c r="U626" s="64" t="n"/>
      <c r="V626" s="65" t="n"/>
      <c r="W626" s="74" t="str">
        <f>IF(AND(A626="",E626=""),"",IF(V626="Oui",0,MAX(0,ROUND(N(H626)-N(T626),6))))</f>
        <v/>
      </c>
      <c r="X626" s="67" t="str">
        <f>IF(AND(A626="",E626=""),"",IF(V626="Oui","Annulé",IF(AND(N(H626)&gt;0,N(T626)&gt;=N(H626)),"Reçu",IF(N(S626)=0,"Brouillon",IF(AND(ISNUMBER(R626),R626&lt;p_today),"En retard",IF(N(T626)&gt;0,"Partiel","Envoyé"))))))</f>
        <v/>
      </c>
      <c r="Y626" s="75" t="str">
        <f>IF(X626="En retard",p_today-R626,IF(AND(X626="Reçu",ISNUMBER(R626)),MAX(0,N(U626)-R626),""))</f>
        <v/>
      </c>
      <c r="Z626" s="67" t="str">
        <f>IF(AND(A626="",E626=""),"",IF(A626="","N° de bon manquant",IF(N(B626)=0,"Date de commande manquante",IF(C626="","Fournisseur manquant",IF(ISNA(MATCH($C626,sup_code,0)),"Fournisseur inconnu",IF(E626="","Article manquant",IF(ISNA(MATCH($E626,art_ref,0)),"Article inconnu",IF(N(H626)&lt;=0,"Quantité invalide",IF(J626="","Prix manquant",IF(OR(N(K626)&lt;0,N(K626)&gt;=1),"Remise invalide",IF(M626="","TVA manquante",IF(ISNA(MATCH(M626,p_tva,0)),"Taux de TVA inconnu",IF(COUNTIFS(po_num,A626,po_sup,"&lt;&gt;"&amp;C626)&gt;0,"Fournisseur différent sur ce bon",IF(COUNTIFS(po_num,A626,po_date,"&lt;&gt;"&amp;B626)&gt;0,"Date différente sur ce bon",IF(COUNTIF(po_num,A626)&gt;25,"Plus de 25 lignes sur ce bon",IF(R626="","Date de livraison manquante",IF(R626&lt;B626,"Livraison avant la commande",IF(AND(N(T626)&gt;0,N(S626)=0),"Date d'envoi manquante",IF(N(T626)&gt;N(H626),"Reçu plus que commandé",IF(AND(N(T626)&gt;0,N(U626)=0),"Date de réception manquante",IF(AND(N(U626)&gt;0,U626&lt;B626),"Réception avant la commande","OK")))))))))))))))))))))</f>
        <v/>
      </c>
      <c r="AA626" s="66" t="str">
        <f>IF(AND(X626="Reçu",ISNUMBER(R626)),IF(N(U626)&lt;=R626,1,0),"")</f>
        <v/>
      </c>
      <c r="AB626" s="76" t="str">
        <f>IF(OR(X626="Envoyé",X626="Partiel",X626="En retard"),IF(ISNUMBER(R626),R626,100000)+ROW()/100000,"")</f>
        <v/>
      </c>
      <c r="AC626" s="66" t="str">
        <f>IF(A626="","",IF(COUNTIF($A$6:A626,A626)=1,1,""))</f>
        <v/>
      </c>
      <c r="AD626" s="66" t="str">
        <f>IF(AC626=1,COUNT($AC$6:AC626),"")</f>
        <v/>
      </c>
      <c r="AE626" s="66" t="str">
        <f>IFERROR(INDEX(po_num,MATCH(621,po_seq,0))&amp;"","")</f>
        <v/>
      </c>
      <c r="AF626" s="66" t="str">
        <f>IF(OR(A626="",p_po=""),"",IF(A626&amp;""=p_po,COUNTIF($A$6:A626,A626),""))</f>
        <v/>
      </c>
      <c r="AG626" s="66" t="str">
        <f>IF(OR(AB626="",A626=""),"",IF(COUNTIFS($A$6:A626,A626,$AB$6:AB626,"&gt;0")=1,1,""))</f>
        <v/>
      </c>
      <c r="AH626" s="70" t="str">
        <f>IF(AB626="","",ROUND(N(W626)*N(J626)*(1-N(K626)),2))</f>
        <v/>
      </c>
      <c r="AI626" s="70" t="str">
        <f>IF(OR(J626="",N(T626)&lt;=0,V626="Oui"),"",ROUND(N(T626)*J626*(1-N(K626)),2))</f>
        <v/>
      </c>
    </row>
    <row r="627">
      <c r="A627" s="63" t="n"/>
      <c r="B627" s="64" t="n"/>
      <c r="C627" s="65" t="n"/>
      <c r="D627" s="66" t="str">
        <f>IF(C627="","",IFERROR(INDEX(sup_name,MATCH($C627,sup_code,0))&amp;"","Fournisseur inconnu"))</f>
        <v/>
      </c>
      <c r="E627" s="63" t="n"/>
      <c r="F627" s="66" t="str">
        <f>IF(E627="","",IFERROR(INDEX(art_des,MATCH($E627,art_ref,0))&amp;"","Article inconnu"))</f>
        <v/>
      </c>
      <c r="G627" s="67" t="str">
        <f>IF(E627="","",IFERROR(INDEX(art_unit,MATCH($E627,art_ref,0))&amp;"",""))</f>
        <v/>
      </c>
      <c r="H627" s="68" t="n"/>
      <c r="I627" s="69" t="n"/>
      <c r="J627" s="70" t="str">
        <f>IF(E627="","",IF(ISNUMBER(I627),I627,IFERROR(IF(ISNUMBER(INDEX(art_price,MATCH($E627,art_ref,0))),INDEX(art_price,MATCH($E627,art_ref,0)),""),"")))</f>
        <v/>
      </c>
      <c r="K627" s="71" t="n"/>
      <c r="L627" s="72" t="n"/>
      <c r="M627" s="72" t="str">
        <f>IF(E627="","",IF(L627&lt;&gt;"",L627,IFERROR(IF(ISNUMBER(INDEX(art_tva,MATCH($E627,art_ref,0))),INDEX(art_tva,MATCH($E627,art_ref,0)),""),"")))</f>
        <v/>
      </c>
      <c r="N627" s="70" t="str">
        <f>IF(OR(E627="",J627=""),"",ROUND(N(H627)*J627*(1-N(K627)),2))</f>
        <v/>
      </c>
      <c r="O627" s="70" t="str">
        <f>IF(OR(N627="",NOT(ISNUMBER(M627))),"",ROUND(N627*M627,2))</f>
        <v/>
      </c>
      <c r="P627" s="70" t="str">
        <f>IF(N627="","",N627+N(O627))</f>
        <v/>
      </c>
      <c r="Q627" s="64" t="n"/>
      <c r="R627" s="73" t="str">
        <f>IF(N(Q627)&gt;0,Q627,IF(OR(N(B627)=0,ISNA(MATCH($C627,sup_code,0))),"",IF(ISNUMBER(INDEX(sup_delay,MATCH($C627,sup_code,0))),B627+INDEX(sup_delay,MATCH($C627,sup_code,0)),"")))</f>
        <v/>
      </c>
      <c r="S627" s="64" t="n"/>
      <c r="T627" s="68" t="n"/>
      <c r="U627" s="64" t="n"/>
      <c r="V627" s="65" t="n"/>
      <c r="W627" s="74" t="str">
        <f>IF(AND(A627="",E627=""),"",IF(V627="Oui",0,MAX(0,ROUND(N(H627)-N(T627),6))))</f>
        <v/>
      </c>
      <c r="X627" s="67" t="str">
        <f>IF(AND(A627="",E627=""),"",IF(V627="Oui","Annulé",IF(AND(N(H627)&gt;0,N(T627)&gt;=N(H627)),"Reçu",IF(N(S627)=0,"Brouillon",IF(AND(ISNUMBER(R627),R627&lt;p_today),"En retard",IF(N(T627)&gt;0,"Partiel","Envoyé"))))))</f>
        <v/>
      </c>
      <c r="Y627" s="75" t="str">
        <f>IF(X627="En retard",p_today-R627,IF(AND(X627="Reçu",ISNUMBER(R627)),MAX(0,N(U627)-R627),""))</f>
        <v/>
      </c>
      <c r="Z627" s="67" t="str">
        <f>IF(AND(A627="",E627=""),"",IF(A627="","N° de bon manquant",IF(N(B627)=0,"Date de commande manquante",IF(C627="","Fournisseur manquant",IF(ISNA(MATCH($C627,sup_code,0)),"Fournisseur inconnu",IF(E627="","Article manquant",IF(ISNA(MATCH($E627,art_ref,0)),"Article inconnu",IF(N(H627)&lt;=0,"Quantité invalide",IF(J627="","Prix manquant",IF(OR(N(K627)&lt;0,N(K627)&gt;=1),"Remise invalide",IF(M627="","TVA manquante",IF(ISNA(MATCH(M627,p_tva,0)),"Taux de TVA inconnu",IF(COUNTIFS(po_num,A627,po_sup,"&lt;&gt;"&amp;C627)&gt;0,"Fournisseur différent sur ce bon",IF(COUNTIFS(po_num,A627,po_date,"&lt;&gt;"&amp;B627)&gt;0,"Date différente sur ce bon",IF(COUNTIF(po_num,A627)&gt;25,"Plus de 25 lignes sur ce bon",IF(R627="","Date de livraison manquante",IF(R627&lt;B627,"Livraison avant la commande",IF(AND(N(T627)&gt;0,N(S627)=0),"Date d'envoi manquante",IF(N(T627)&gt;N(H627),"Reçu plus que commandé",IF(AND(N(T627)&gt;0,N(U627)=0),"Date de réception manquante",IF(AND(N(U627)&gt;0,U627&lt;B627),"Réception avant la commande","OK")))))))))))))))))))))</f>
        <v/>
      </c>
      <c r="AA627" s="66" t="str">
        <f>IF(AND(X627="Reçu",ISNUMBER(R627)),IF(N(U627)&lt;=R627,1,0),"")</f>
        <v/>
      </c>
      <c r="AB627" s="76" t="str">
        <f>IF(OR(X627="Envoyé",X627="Partiel",X627="En retard"),IF(ISNUMBER(R627),R627,100000)+ROW()/100000,"")</f>
        <v/>
      </c>
      <c r="AC627" s="66" t="str">
        <f>IF(A627="","",IF(COUNTIF($A$6:A627,A627)=1,1,""))</f>
        <v/>
      </c>
      <c r="AD627" s="66" t="str">
        <f>IF(AC627=1,COUNT($AC$6:AC627),"")</f>
        <v/>
      </c>
      <c r="AE627" s="66" t="str">
        <f>IFERROR(INDEX(po_num,MATCH(622,po_seq,0))&amp;"","")</f>
        <v/>
      </c>
      <c r="AF627" s="66" t="str">
        <f>IF(OR(A627="",p_po=""),"",IF(A627&amp;""=p_po,COUNTIF($A$6:A627,A627),""))</f>
        <v/>
      </c>
      <c r="AG627" s="66" t="str">
        <f>IF(OR(AB627="",A627=""),"",IF(COUNTIFS($A$6:A627,A627,$AB$6:AB627,"&gt;0")=1,1,""))</f>
        <v/>
      </c>
      <c r="AH627" s="70" t="str">
        <f>IF(AB627="","",ROUND(N(W627)*N(J627)*(1-N(K627)),2))</f>
        <v/>
      </c>
      <c r="AI627" s="70" t="str">
        <f>IF(OR(J627="",N(T627)&lt;=0,V627="Oui"),"",ROUND(N(T627)*J627*(1-N(K627)),2))</f>
        <v/>
      </c>
    </row>
    <row r="628">
      <c r="A628" s="63" t="n"/>
      <c r="B628" s="64" t="n"/>
      <c r="C628" s="65" t="n"/>
      <c r="D628" s="66" t="str">
        <f>IF(C628="","",IFERROR(INDEX(sup_name,MATCH($C628,sup_code,0))&amp;"","Fournisseur inconnu"))</f>
        <v/>
      </c>
      <c r="E628" s="63" t="n"/>
      <c r="F628" s="66" t="str">
        <f>IF(E628="","",IFERROR(INDEX(art_des,MATCH($E628,art_ref,0))&amp;"","Article inconnu"))</f>
        <v/>
      </c>
      <c r="G628" s="67" t="str">
        <f>IF(E628="","",IFERROR(INDEX(art_unit,MATCH($E628,art_ref,0))&amp;"",""))</f>
        <v/>
      </c>
      <c r="H628" s="68" t="n"/>
      <c r="I628" s="69" t="n"/>
      <c r="J628" s="70" t="str">
        <f>IF(E628="","",IF(ISNUMBER(I628),I628,IFERROR(IF(ISNUMBER(INDEX(art_price,MATCH($E628,art_ref,0))),INDEX(art_price,MATCH($E628,art_ref,0)),""),"")))</f>
        <v/>
      </c>
      <c r="K628" s="71" t="n"/>
      <c r="L628" s="72" t="n"/>
      <c r="M628" s="72" t="str">
        <f>IF(E628="","",IF(L628&lt;&gt;"",L628,IFERROR(IF(ISNUMBER(INDEX(art_tva,MATCH($E628,art_ref,0))),INDEX(art_tva,MATCH($E628,art_ref,0)),""),"")))</f>
        <v/>
      </c>
      <c r="N628" s="70" t="str">
        <f>IF(OR(E628="",J628=""),"",ROUND(N(H628)*J628*(1-N(K628)),2))</f>
        <v/>
      </c>
      <c r="O628" s="70" t="str">
        <f>IF(OR(N628="",NOT(ISNUMBER(M628))),"",ROUND(N628*M628,2))</f>
        <v/>
      </c>
      <c r="P628" s="70" t="str">
        <f>IF(N628="","",N628+N(O628))</f>
        <v/>
      </c>
      <c r="Q628" s="64" t="n"/>
      <c r="R628" s="73" t="str">
        <f>IF(N(Q628)&gt;0,Q628,IF(OR(N(B628)=0,ISNA(MATCH($C628,sup_code,0))),"",IF(ISNUMBER(INDEX(sup_delay,MATCH($C628,sup_code,0))),B628+INDEX(sup_delay,MATCH($C628,sup_code,0)),"")))</f>
        <v/>
      </c>
      <c r="S628" s="64" t="n"/>
      <c r="T628" s="68" t="n"/>
      <c r="U628" s="64" t="n"/>
      <c r="V628" s="65" t="n"/>
      <c r="W628" s="74" t="str">
        <f>IF(AND(A628="",E628=""),"",IF(V628="Oui",0,MAX(0,ROUND(N(H628)-N(T628),6))))</f>
        <v/>
      </c>
      <c r="X628" s="67" t="str">
        <f>IF(AND(A628="",E628=""),"",IF(V628="Oui","Annulé",IF(AND(N(H628)&gt;0,N(T628)&gt;=N(H628)),"Reçu",IF(N(S628)=0,"Brouillon",IF(AND(ISNUMBER(R628),R628&lt;p_today),"En retard",IF(N(T628)&gt;0,"Partiel","Envoyé"))))))</f>
        <v/>
      </c>
      <c r="Y628" s="75" t="str">
        <f>IF(X628="En retard",p_today-R628,IF(AND(X628="Reçu",ISNUMBER(R628)),MAX(0,N(U628)-R628),""))</f>
        <v/>
      </c>
      <c r="Z628" s="67" t="str">
        <f>IF(AND(A628="",E628=""),"",IF(A628="","N° de bon manquant",IF(N(B628)=0,"Date de commande manquante",IF(C628="","Fournisseur manquant",IF(ISNA(MATCH($C628,sup_code,0)),"Fournisseur inconnu",IF(E628="","Article manquant",IF(ISNA(MATCH($E628,art_ref,0)),"Article inconnu",IF(N(H628)&lt;=0,"Quantité invalide",IF(J628="","Prix manquant",IF(OR(N(K628)&lt;0,N(K628)&gt;=1),"Remise invalide",IF(M628="","TVA manquante",IF(ISNA(MATCH(M628,p_tva,0)),"Taux de TVA inconnu",IF(COUNTIFS(po_num,A628,po_sup,"&lt;&gt;"&amp;C628)&gt;0,"Fournisseur différent sur ce bon",IF(COUNTIFS(po_num,A628,po_date,"&lt;&gt;"&amp;B628)&gt;0,"Date différente sur ce bon",IF(COUNTIF(po_num,A628)&gt;25,"Plus de 25 lignes sur ce bon",IF(R628="","Date de livraison manquante",IF(R628&lt;B628,"Livraison avant la commande",IF(AND(N(T628)&gt;0,N(S628)=0),"Date d'envoi manquante",IF(N(T628)&gt;N(H628),"Reçu plus que commandé",IF(AND(N(T628)&gt;0,N(U628)=0),"Date de réception manquante",IF(AND(N(U628)&gt;0,U628&lt;B628),"Réception avant la commande","OK")))))))))))))))))))))</f>
        <v/>
      </c>
      <c r="AA628" s="66" t="str">
        <f>IF(AND(X628="Reçu",ISNUMBER(R628)),IF(N(U628)&lt;=R628,1,0),"")</f>
        <v/>
      </c>
      <c r="AB628" s="76" t="str">
        <f>IF(OR(X628="Envoyé",X628="Partiel",X628="En retard"),IF(ISNUMBER(R628),R628,100000)+ROW()/100000,"")</f>
        <v/>
      </c>
      <c r="AC628" s="66" t="str">
        <f>IF(A628="","",IF(COUNTIF($A$6:A628,A628)=1,1,""))</f>
        <v/>
      </c>
      <c r="AD628" s="66" t="str">
        <f>IF(AC628=1,COUNT($AC$6:AC628),"")</f>
        <v/>
      </c>
      <c r="AE628" s="66" t="str">
        <f>IFERROR(INDEX(po_num,MATCH(623,po_seq,0))&amp;"","")</f>
        <v/>
      </c>
      <c r="AF628" s="66" t="str">
        <f>IF(OR(A628="",p_po=""),"",IF(A628&amp;""=p_po,COUNTIF($A$6:A628,A628),""))</f>
        <v/>
      </c>
      <c r="AG628" s="66" t="str">
        <f>IF(OR(AB628="",A628=""),"",IF(COUNTIFS($A$6:A628,A628,$AB$6:AB628,"&gt;0")=1,1,""))</f>
        <v/>
      </c>
      <c r="AH628" s="70" t="str">
        <f>IF(AB628="","",ROUND(N(W628)*N(J628)*(1-N(K628)),2))</f>
        <v/>
      </c>
      <c r="AI628" s="70" t="str">
        <f>IF(OR(J628="",N(T628)&lt;=0,V628="Oui"),"",ROUND(N(T628)*J628*(1-N(K628)),2))</f>
        <v/>
      </c>
    </row>
    <row r="629">
      <c r="A629" s="63" t="n"/>
      <c r="B629" s="64" t="n"/>
      <c r="C629" s="65" t="n"/>
      <c r="D629" s="66" t="str">
        <f>IF(C629="","",IFERROR(INDEX(sup_name,MATCH($C629,sup_code,0))&amp;"","Fournisseur inconnu"))</f>
        <v/>
      </c>
      <c r="E629" s="63" t="n"/>
      <c r="F629" s="66" t="str">
        <f>IF(E629="","",IFERROR(INDEX(art_des,MATCH($E629,art_ref,0))&amp;"","Article inconnu"))</f>
        <v/>
      </c>
      <c r="G629" s="67" t="str">
        <f>IF(E629="","",IFERROR(INDEX(art_unit,MATCH($E629,art_ref,0))&amp;"",""))</f>
        <v/>
      </c>
      <c r="H629" s="68" t="n"/>
      <c r="I629" s="69" t="n"/>
      <c r="J629" s="70" t="str">
        <f>IF(E629="","",IF(ISNUMBER(I629),I629,IFERROR(IF(ISNUMBER(INDEX(art_price,MATCH($E629,art_ref,0))),INDEX(art_price,MATCH($E629,art_ref,0)),""),"")))</f>
        <v/>
      </c>
      <c r="K629" s="71" t="n"/>
      <c r="L629" s="72" t="n"/>
      <c r="M629" s="72" t="str">
        <f>IF(E629="","",IF(L629&lt;&gt;"",L629,IFERROR(IF(ISNUMBER(INDEX(art_tva,MATCH($E629,art_ref,0))),INDEX(art_tva,MATCH($E629,art_ref,0)),""),"")))</f>
        <v/>
      </c>
      <c r="N629" s="70" t="str">
        <f>IF(OR(E629="",J629=""),"",ROUND(N(H629)*J629*(1-N(K629)),2))</f>
        <v/>
      </c>
      <c r="O629" s="70" t="str">
        <f>IF(OR(N629="",NOT(ISNUMBER(M629))),"",ROUND(N629*M629,2))</f>
        <v/>
      </c>
      <c r="P629" s="70" t="str">
        <f>IF(N629="","",N629+N(O629))</f>
        <v/>
      </c>
      <c r="Q629" s="64" t="n"/>
      <c r="R629" s="73" t="str">
        <f>IF(N(Q629)&gt;0,Q629,IF(OR(N(B629)=0,ISNA(MATCH($C629,sup_code,0))),"",IF(ISNUMBER(INDEX(sup_delay,MATCH($C629,sup_code,0))),B629+INDEX(sup_delay,MATCH($C629,sup_code,0)),"")))</f>
        <v/>
      </c>
      <c r="S629" s="64" t="n"/>
      <c r="T629" s="68" t="n"/>
      <c r="U629" s="64" t="n"/>
      <c r="V629" s="65" t="n"/>
      <c r="W629" s="74" t="str">
        <f>IF(AND(A629="",E629=""),"",IF(V629="Oui",0,MAX(0,ROUND(N(H629)-N(T629),6))))</f>
        <v/>
      </c>
      <c r="X629" s="67" t="str">
        <f>IF(AND(A629="",E629=""),"",IF(V629="Oui","Annulé",IF(AND(N(H629)&gt;0,N(T629)&gt;=N(H629)),"Reçu",IF(N(S629)=0,"Brouillon",IF(AND(ISNUMBER(R629),R629&lt;p_today),"En retard",IF(N(T629)&gt;0,"Partiel","Envoyé"))))))</f>
        <v/>
      </c>
      <c r="Y629" s="75" t="str">
        <f>IF(X629="En retard",p_today-R629,IF(AND(X629="Reçu",ISNUMBER(R629)),MAX(0,N(U629)-R629),""))</f>
        <v/>
      </c>
      <c r="Z629" s="67" t="str">
        <f>IF(AND(A629="",E629=""),"",IF(A629="","N° de bon manquant",IF(N(B629)=0,"Date de commande manquante",IF(C629="","Fournisseur manquant",IF(ISNA(MATCH($C629,sup_code,0)),"Fournisseur inconnu",IF(E629="","Article manquant",IF(ISNA(MATCH($E629,art_ref,0)),"Article inconnu",IF(N(H629)&lt;=0,"Quantité invalide",IF(J629="","Prix manquant",IF(OR(N(K629)&lt;0,N(K629)&gt;=1),"Remise invalide",IF(M629="","TVA manquante",IF(ISNA(MATCH(M629,p_tva,0)),"Taux de TVA inconnu",IF(COUNTIFS(po_num,A629,po_sup,"&lt;&gt;"&amp;C629)&gt;0,"Fournisseur différent sur ce bon",IF(COUNTIFS(po_num,A629,po_date,"&lt;&gt;"&amp;B629)&gt;0,"Date différente sur ce bon",IF(COUNTIF(po_num,A629)&gt;25,"Plus de 25 lignes sur ce bon",IF(R629="","Date de livraison manquante",IF(R629&lt;B629,"Livraison avant la commande",IF(AND(N(T629)&gt;0,N(S629)=0),"Date d'envoi manquante",IF(N(T629)&gt;N(H629),"Reçu plus que commandé",IF(AND(N(T629)&gt;0,N(U629)=0),"Date de réception manquante",IF(AND(N(U629)&gt;0,U629&lt;B629),"Réception avant la commande","OK")))))))))))))))))))))</f>
        <v/>
      </c>
      <c r="AA629" s="66" t="str">
        <f>IF(AND(X629="Reçu",ISNUMBER(R629)),IF(N(U629)&lt;=R629,1,0),"")</f>
        <v/>
      </c>
      <c r="AB629" s="76" t="str">
        <f>IF(OR(X629="Envoyé",X629="Partiel",X629="En retard"),IF(ISNUMBER(R629),R629,100000)+ROW()/100000,"")</f>
        <v/>
      </c>
      <c r="AC629" s="66" t="str">
        <f>IF(A629="","",IF(COUNTIF($A$6:A629,A629)=1,1,""))</f>
        <v/>
      </c>
      <c r="AD629" s="66" t="str">
        <f>IF(AC629=1,COUNT($AC$6:AC629),"")</f>
        <v/>
      </c>
      <c r="AE629" s="66" t="str">
        <f>IFERROR(INDEX(po_num,MATCH(624,po_seq,0))&amp;"","")</f>
        <v/>
      </c>
      <c r="AF629" s="66" t="str">
        <f>IF(OR(A629="",p_po=""),"",IF(A629&amp;""=p_po,COUNTIF($A$6:A629,A629),""))</f>
        <v/>
      </c>
      <c r="AG629" s="66" t="str">
        <f>IF(OR(AB629="",A629=""),"",IF(COUNTIFS($A$6:A629,A629,$AB$6:AB629,"&gt;0")=1,1,""))</f>
        <v/>
      </c>
      <c r="AH629" s="70" t="str">
        <f>IF(AB629="","",ROUND(N(W629)*N(J629)*(1-N(K629)),2))</f>
        <v/>
      </c>
      <c r="AI629" s="70" t="str">
        <f>IF(OR(J629="",N(T629)&lt;=0,V629="Oui"),"",ROUND(N(T629)*J629*(1-N(K629)),2))</f>
        <v/>
      </c>
    </row>
    <row r="630">
      <c r="A630" s="63" t="n"/>
      <c r="B630" s="64" t="n"/>
      <c r="C630" s="65" t="n"/>
      <c r="D630" s="66" t="str">
        <f>IF(C630="","",IFERROR(INDEX(sup_name,MATCH($C630,sup_code,0))&amp;"","Fournisseur inconnu"))</f>
        <v/>
      </c>
      <c r="E630" s="63" t="n"/>
      <c r="F630" s="66" t="str">
        <f>IF(E630="","",IFERROR(INDEX(art_des,MATCH($E630,art_ref,0))&amp;"","Article inconnu"))</f>
        <v/>
      </c>
      <c r="G630" s="67" t="str">
        <f>IF(E630="","",IFERROR(INDEX(art_unit,MATCH($E630,art_ref,0))&amp;"",""))</f>
        <v/>
      </c>
      <c r="H630" s="68" t="n"/>
      <c r="I630" s="69" t="n"/>
      <c r="J630" s="70" t="str">
        <f>IF(E630="","",IF(ISNUMBER(I630),I630,IFERROR(IF(ISNUMBER(INDEX(art_price,MATCH($E630,art_ref,0))),INDEX(art_price,MATCH($E630,art_ref,0)),""),"")))</f>
        <v/>
      </c>
      <c r="K630" s="71" t="n"/>
      <c r="L630" s="72" t="n"/>
      <c r="M630" s="72" t="str">
        <f>IF(E630="","",IF(L630&lt;&gt;"",L630,IFERROR(IF(ISNUMBER(INDEX(art_tva,MATCH($E630,art_ref,0))),INDEX(art_tva,MATCH($E630,art_ref,0)),""),"")))</f>
        <v/>
      </c>
      <c r="N630" s="70" t="str">
        <f>IF(OR(E630="",J630=""),"",ROUND(N(H630)*J630*(1-N(K630)),2))</f>
        <v/>
      </c>
      <c r="O630" s="70" t="str">
        <f>IF(OR(N630="",NOT(ISNUMBER(M630))),"",ROUND(N630*M630,2))</f>
        <v/>
      </c>
      <c r="P630" s="70" t="str">
        <f>IF(N630="","",N630+N(O630))</f>
        <v/>
      </c>
      <c r="Q630" s="64" t="n"/>
      <c r="R630" s="73" t="str">
        <f>IF(N(Q630)&gt;0,Q630,IF(OR(N(B630)=0,ISNA(MATCH($C630,sup_code,0))),"",IF(ISNUMBER(INDEX(sup_delay,MATCH($C630,sup_code,0))),B630+INDEX(sup_delay,MATCH($C630,sup_code,0)),"")))</f>
        <v/>
      </c>
      <c r="S630" s="64" t="n"/>
      <c r="T630" s="68" t="n"/>
      <c r="U630" s="64" t="n"/>
      <c r="V630" s="65" t="n"/>
      <c r="W630" s="74" t="str">
        <f>IF(AND(A630="",E630=""),"",IF(V630="Oui",0,MAX(0,ROUND(N(H630)-N(T630),6))))</f>
        <v/>
      </c>
      <c r="X630" s="67" t="str">
        <f>IF(AND(A630="",E630=""),"",IF(V630="Oui","Annulé",IF(AND(N(H630)&gt;0,N(T630)&gt;=N(H630)),"Reçu",IF(N(S630)=0,"Brouillon",IF(AND(ISNUMBER(R630),R630&lt;p_today),"En retard",IF(N(T630)&gt;0,"Partiel","Envoyé"))))))</f>
        <v/>
      </c>
      <c r="Y630" s="75" t="str">
        <f>IF(X630="En retard",p_today-R630,IF(AND(X630="Reçu",ISNUMBER(R630)),MAX(0,N(U630)-R630),""))</f>
        <v/>
      </c>
      <c r="Z630" s="67" t="str">
        <f>IF(AND(A630="",E630=""),"",IF(A630="","N° de bon manquant",IF(N(B630)=0,"Date de commande manquante",IF(C630="","Fournisseur manquant",IF(ISNA(MATCH($C630,sup_code,0)),"Fournisseur inconnu",IF(E630="","Article manquant",IF(ISNA(MATCH($E630,art_ref,0)),"Article inconnu",IF(N(H630)&lt;=0,"Quantité invalide",IF(J630="","Prix manquant",IF(OR(N(K630)&lt;0,N(K630)&gt;=1),"Remise invalide",IF(M630="","TVA manquante",IF(ISNA(MATCH(M630,p_tva,0)),"Taux de TVA inconnu",IF(COUNTIFS(po_num,A630,po_sup,"&lt;&gt;"&amp;C630)&gt;0,"Fournisseur différent sur ce bon",IF(COUNTIFS(po_num,A630,po_date,"&lt;&gt;"&amp;B630)&gt;0,"Date différente sur ce bon",IF(COUNTIF(po_num,A630)&gt;25,"Plus de 25 lignes sur ce bon",IF(R630="","Date de livraison manquante",IF(R630&lt;B630,"Livraison avant la commande",IF(AND(N(T630)&gt;0,N(S630)=0),"Date d'envoi manquante",IF(N(T630)&gt;N(H630),"Reçu plus que commandé",IF(AND(N(T630)&gt;0,N(U630)=0),"Date de réception manquante",IF(AND(N(U630)&gt;0,U630&lt;B630),"Réception avant la commande","OK")))))))))))))))))))))</f>
        <v/>
      </c>
      <c r="AA630" s="66" t="str">
        <f>IF(AND(X630="Reçu",ISNUMBER(R630)),IF(N(U630)&lt;=R630,1,0),"")</f>
        <v/>
      </c>
      <c r="AB630" s="76" t="str">
        <f>IF(OR(X630="Envoyé",X630="Partiel",X630="En retard"),IF(ISNUMBER(R630),R630,100000)+ROW()/100000,"")</f>
        <v/>
      </c>
      <c r="AC630" s="66" t="str">
        <f>IF(A630="","",IF(COUNTIF($A$6:A630,A630)=1,1,""))</f>
        <v/>
      </c>
      <c r="AD630" s="66" t="str">
        <f>IF(AC630=1,COUNT($AC$6:AC630),"")</f>
        <v/>
      </c>
      <c r="AE630" s="66" t="str">
        <f>IFERROR(INDEX(po_num,MATCH(625,po_seq,0))&amp;"","")</f>
        <v/>
      </c>
      <c r="AF630" s="66" t="str">
        <f>IF(OR(A630="",p_po=""),"",IF(A630&amp;""=p_po,COUNTIF($A$6:A630,A630),""))</f>
        <v/>
      </c>
      <c r="AG630" s="66" t="str">
        <f>IF(OR(AB630="",A630=""),"",IF(COUNTIFS($A$6:A630,A630,$AB$6:AB630,"&gt;0")=1,1,""))</f>
        <v/>
      </c>
      <c r="AH630" s="70" t="str">
        <f>IF(AB630="","",ROUND(N(W630)*N(J630)*(1-N(K630)),2))</f>
        <v/>
      </c>
      <c r="AI630" s="70" t="str">
        <f>IF(OR(J630="",N(T630)&lt;=0,V630="Oui"),"",ROUND(N(T630)*J630*(1-N(K630)),2))</f>
        <v/>
      </c>
    </row>
    <row r="631">
      <c r="A631" s="63" t="n"/>
      <c r="B631" s="64" t="n"/>
      <c r="C631" s="65" t="n"/>
      <c r="D631" s="66" t="str">
        <f>IF(C631="","",IFERROR(INDEX(sup_name,MATCH($C631,sup_code,0))&amp;"","Fournisseur inconnu"))</f>
        <v/>
      </c>
      <c r="E631" s="63" t="n"/>
      <c r="F631" s="66" t="str">
        <f>IF(E631="","",IFERROR(INDEX(art_des,MATCH($E631,art_ref,0))&amp;"","Article inconnu"))</f>
        <v/>
      </c>
      <c r="G631" s="67" t="str">
        <f>IF(E631="","",IFERROR(INDEX(art_unit,MATCH($E631,art_ref,0))&amp;"",""))</f>
        <v/>
      </c>
      <c r="H631" s="68" t="n"/>
      <c r="I631" s="69" t="n"/>
      <c r="J631" s="70" t="str">
        <f>IF(E631="","",IF(ISNUMBER(I631),I631,IFERROR(IF(ISNUMBER(INDEX(art_price,MATCH($E631,art_ref,0))),INDEX(art_price,MATCH($E631,art_ref,0)),""),"")))</f>
        <v/>
      </c>
      <c r="K631" s="71" t="n"/>
      <c r="L631" s="72" t="n"/>
      <c r="M631" s="72" t="str">
        <f>IF(E631="","",IF(L631&lt;&gt;"",L631,IFERROR(IF(ISNUMBER(INDEX(art_tva,MATCH($E631,art_ref,0))),INDEX(art_tva,MATCH($E631,art_ref,0)),""),"")))</f>
        <v/>
      </c>
      <c r="N631" s="70" t="str">
        <f>IF(OR(E631="",J631=""),"",ROUND(N(H631)*J631*(1-N(K631)),2))</f>
        <v/>
      </c>
      <c r="O631" s="70" t="str">
        <f>IF(OR(N631="",NOT(ISNUMBER(M631))),"",ROUND(N631*M631,2))</f>
        <v/>
      </c>
      <c r="P631" s="70" t="str">
        <f>IF(N631="","",N631+N(O631))</f>
        <v/>
      </c>
      <c r="Q631" s="64" t="n"/>
      <c r="R631" s="73" t="str">
        <f>IF(N(Q631)&gt;0,Q631,IF(OR(N(B631)=0,ISNA(MATCH($C631,sup_code,0))),"",IF(ISNUMBER(INDEX(sup_delay,MATCH($C631,sup_code,0))),B631+INDEX(sup_delay,MATCH($C631,sup_code,0)),"")))</f>
        <v/>
      </c>
      <c r="S631" s="64" t="n"/>
      <c r="T631" s="68" t="n"/>
      <c r="U631" s="64" t="n"/>
      <c r="V631" s="65" t="n"/>
      <c r="W631" s="74" t="str">
        <f>IF(AND(A631="",E631=""),"",IF(V631="Oui",0,MAX(0,ROUND(N(H631)-N(T631),6))))</f>
        <v/>
      </c>
      <c r="X631" s="67" t="str">
        <f>IF(AND(A631="",E631=""),"",IF(V631="Oui","Annulé",IF(AND(N(H631)&gt;0,N(T631)&gt;=N(H631)),"Reçu",IF(N(S631)=0,"Brouillon",IF(AND(ISNUMBER(R631),R631&lt;p_today),"En retard",IF(N(T631)&gt;0,"Partiel","Envoyé"))))))</f>
        <v/>
      </c>
      <c r="Y631" s="75" t="str">
        <f>IF(X631="En retard",p_today-R631,IF(AND(X631="Reçu",ISNUMBER(R631)),MAX(0,N(U631)-R631),""))</f>
        <v/>
      </c>
      <c r="Z631" s="67" t="str">
        <f>IF(AND(A631="",E631=""),"",IF(A631="","N° de bon manquant",IF(N(B631)=0,"Date de commande manquante",IF(C631="","Fournisseur manquant",IF(ISNA(MATCH($C631,sup_code,0)),"Fournisseur inconnu",IF(E631="","Article manquant",IF(ISNA(MATCH($E631,art_ref,0)),"Article inconnu",IF(N(H631)&lt;=0,"Quantité invalide",IF(J631="","Prix manquant",IF(OR(N(K631)&lt;0,N(K631)&gt;=1),"Remise invalide",IF(M631="","TVA manquante",IF(ISNA(MATCH(M631,p_tva,0)),"Taux de TVA inconnu",IF(COUNTIFS(po_num,A631,po_sup,"&lt;&gt;"&amp;C631)&gt;0,"Fournisseur différent sur ce bon",IF(COUNTIFS(po_num,A631,po_date,"&lt;&gt;"&amp;B631)&gt;0,"Date différente sur ce bon",IF(COUNTIF(po_num,A631)&gt;25,"Plus de 25 lignes sur ce bon",IF(R631="","Date de livraison manquante",IF(R631&lt;B631,"Livraison avant la commande",IF(AND(N(T631)&gt;0,N(S631)=0),"Date d'envoi manquante",IF(N(T631)&gt;N(H631),"Reçu plus que commandé",IF(AND(N(T631)&gt;0,N(U631)=0),"Date de réception manquante",IF(AND(N(U631)&gt;0,U631&lt;B631),"Réception avant la commande","OK")))))))))))))))))))))</f>
        <v/>
      </c>
      <c r="AA631" s="66" t="str">
        <f>IF(AND(X631="Reçu",ISNUMBER(R631)),IF(N(U631)&lt;=R631,1,0),"")</f>
        <v/>
      </c>
      <c r="AB631" s="76" t="str">
        <f>IF(OR(X631="Envoyé",X631="Partiel",X631="En retard"),IF(ISNUMBER(R631),R631,100000)+ROW()/100000,"")</f>
        <v/>
      </c>
      <c r="AC631" s="66" t="str">
        <f>IF(A631="","",IF(COUNTIF($A$6:A631,A631)=1,1,""))</f>
        <v/>
      </c>
      <c r="AD631" s="66" t="str">
        <f>IF(AC631=1,COUNT($AC$6:AC631),"")</f>
        <v/>
      </c>
      <c r="AE631" s="66" t="str">
        <f>IFERROR(INDEX(po_num,MATCH(626,po_seq,0))&amp;"","")</f>
        <v/>
      </c>
      <c r="AF631" s="66" t="str">
        <f>IF(OR(A631="",p_po=""),"",IF(A631&amp;""=p_po,COUNTIF($A$6:A631,A631),""))</f>
        <v/>
      </c>
      <c r="AG631" s="66" t="str">
        <f>IF(OR(AB631="",A631=""),"",IF(COUNTIFS($A$6:A631,A631,$AB$6:AB631,"&gt;0")=1,1,""))</f>
        <v/>
      </c>
      <c r="AH631" s="70" t="str">
        <f>IF(AB631="","",ROUND(N(W631)*N(J631)*(1-N(K631)),2))</f>
        <v/>
      </c>
      <c r="AI631" s="70" t="str">
        <f>IF(OR(J631="",N(T631)&lt;=0,V631="Oui"),"",ROUND(N(T631)*J631*(1-N(K631)),2))</f>
        <v/>
      </c>
    </row>
    <row r="632">
      <c r="A632" s="63" t="n"/>
      <c r="B632" s="64" t="n"/>
      <c r="C632" s="65" t="n"/>
      <c r="D632" s="66" t="str">
        <f>IF(C632="","",IFERROR(INDEX(sup_name,MATCH($C632,sup_code,0))&amp;"","Fournisseur inconnu"))</f>
        <v/>
      </c>
      <c r="E632" s="63" t="n"/>
      <c r="F632" s="66" t="str">
        <f>IF(E632="","",IFERROR(INDEX(art_des,MATCH($E632,art_ref,0))&amp;"","Article inconnu"))</f>
        <v/>
      </c>
      <c r="G632" s="67" t="str">
        <f>IF(E632="","",IFERROR(INDEX(art_unit,MATCH($E632,art_ref,0))&amp;"",""))</f>
        <v/>
      </c>
      <c r="H632" s="68" t="n"/>
      <c r="I632" s="69" t="n"/>
      <c r="J632" s="70" t="str">
        <f>IF(E632="","",IF(ISNUMBER(I632),I632,IFERROR(IF(ISNUMBER(INDEX(art_price,MATCH($E632,art_ref,0))),INDEX(art_price,MATCH($E632,art_ref,0)),""),"")))</f>
        <v/>
      </c>
      <c r="K632" s="71" t="n"/>
      <c r="L632" s="72" t="n"/>
      <c r="M632" s="72" t="str">
        <f>IF(E632="","",IF(L632&lt;&gt;"",L632,IFERROR(IF(ISNUMBER(INDEX(art_tva,MATCH($E632,art_ref,0))),INDEX(art_tva,MATCH($E632,art_ref,0)),""),"")))</f>
        <v/>
      </c>
      <c r="N632" s="70" t="str">
        <f>IF(OR(E632="",J632=""),"",ROUND(N(H632)*J632*(1-N(K632)),2))</f>
        <v/>
      </c>
      <c r="O632" s="70" t="str">
        <f>IF(OR(N632="",NOT(ISNUMBER(M632))),"",ROUND(N632*M632,2))</f>
        <v/>
      </c>
      <c r="P632" s="70" t="str">
        <f>IF(N632="","",N632+N(O632))</f>
        <v/>
      </c>
      <c r="Q632" s="64" t="n"/>
      <c r="R632" s="73" t="str">
        <f>IF(N(Q632)&gt;0,Q632,IF(OR(N(B632)=0,ISNA(MATCH($C632,sup_code,0))),"",IF(ISNUMBER(INDEX(sup_delay,MATCH($C632,sup_code,0))),B632+INDEX(sup_delay,MATCH($C632,sup_code,0)),"")))</f>
        <v/>
      </c>
      <c r="S632" s="64" t="n"/>
      <c r="T632" s="68" t="n"/>
      <c r="U632" s="64" t="n"/>
      <c r="V632" s="65" t="n"/>
      <c r="W632" s="74" t="str">
        <f>IF(AND(A632="",E632=""),"",IF(V632="Oui",0,MAX(0,ROUND(N(H632)-N(T632),6))))</f>
        <v/>
      </c>
      <c r="X632" s="67" t="str">
        <f>IF(AND(A632="",E632=""),"",IF(V632="Oui","Annulé",IF(AND(N(H632)&gt;0,N(T632)&gt;=N(H632)),"Reçu",IF(N(S632)=0,"Brouillon",IF(AND(ISNUMBER(R632),R632&lt;p_today),"En retard",IF(N(T632)&gt;0,"Partiel","Envoyé"))))))</f>
        <v/>
      </c>
      <c r="Y632" s="75" t="str">
        <f>IF(X632="En retard",p_today-R632,IF(AND(X632="Reçu",ISNUMBER(R632)),MAX(0,N(U632)-R632),""))</f>
        <v/>
      </c>
      <c r="Z632" s="67" t="str">
        <f>IF(AND(A632="",E632=""),"",IF(A632="","N° de bon manquant",IF(N(B632)=0,"Date de commande manquante",IF(C632="","Fournisseur manquant",IF(ISNA(MATCH($C632,sup_code,0)),"Fournisseur inconnu",IF(E632="","Article manquant",IF(ISNA(MATCH($E632,art_ref,0)),"Article inconnu",IF(N(H632)&lt;=0,"Quantité invalide",IF(J632="","Prix manquant",IF(OR(N(K632)&lt;0,N(K632)&gt;=1),"Remise invalide",IF(M632="","TVA manquante",IF(ISNA(MATCH(M632,p_tva,0)),"Taux de TVA inconnu",IF(COUNTIFS(po_num,A632,po_sup,"&lt;&gt;"&amp;C632)&gt;0,"Fournisseur différent sur ce bon",IF(COUNTIFS(po_num,A632,po_date,"&lt;&gt;"&amp;B632)&gt;0,"Date différente sur ce bon",IF(COUNTIF(po_num,A632)&gt;25,"Plus de 25 lignes sur ce bon",IF(R632="","Date de livraison manquante",IF(R632&lt;B632,"Livraison avant la commande",IF(AND(N(T632)&gt;0,N(S632)=0),"Date d'envoi manquante",IF(N(T632)&gt;N(H632),"Reçu plus que commandé",IF(AND(N(T632)&gt;0,N(U632)=0),"Date de réception manquante",IF(AND(N(U632)&gt;0,U632&lt;B632),"Réception avant la commande","OK")))))))))))))))))))))</f>
        <v/>
      </c>
      <c r="AA632" s="66" t="str">
        <f>IF(AND(X632="Reçu",ISNUMBER(R632)),IF(N(U632)&lt;=R632,1,0),"")</f>
        <v/>
      </c>
      <c r="AB632" s="76" t="str">
        <f>IF(OR(X632="Envoyé",X632="Partiel",X632="En retard"),IF(ISNUMBER(R632),R632,100000)+ROW()/100000,"")</f>
        <v/>
      </c>
      <c r="AC632" s="66" t="str">
        <f>IF(A632="","",IF(COUNTIF($A$6:A632,A632)=1,1,""))</f>
        <v/>
      </c>
      <c r="AD632" s="66" t="str">
        <f>IF(AC632=1,COUNT($AC$6:AC632),"")</f>
        <v/>
      </c>
      <c r="AE632" s="66" t="str">
        <f>IFERROR(INDEX(po_num,MATCH(627,po_seq,0))&amp;"","")</f>
        <v/>
      </c>
      <c r="AF632" s="66" t="str">
        <f>IF(OR(A632="",p_po=""),"",IF(A632&amp;""=p_po,COUNTIF($A$6:A632,A632),""))</f>
        <v/>
      </c>
      <c r="AG632" s="66" t="str">
        <f>IF(OR(AB632="",A632=""),"",IF(COUNTIFS($A$6:A632,A632,$AB$6:AB632,"&gt;0")=1,1,""))</f>
        <v/>
      </c>
      <c r="AH632" s="70" t="str">
        <f>IF(AB632="","",ROUND(N(W632)*N(J632)*(1-N(K632)),2))</f>
        <v/>
      </c>
      <c r="AI632" s="70" t="str">
        <f>IF(OR(J632="",N(T632)&lt;=0,V632="Oui"),"",ROUND(N(T632)*J632*(1-N(K632)),2))</f>
        <v/>
      </c>
    </row>
    <row r="633">
      <c r="A633" s="63" t="n"/>
      <c r="B633" s="64" t="n"/>
      <c r="C633" s="65" t="n"/>
      <c r="D633" s="66" t="str">
        <f>IF(C633="","",IFERROR(INDEX(sup_name,MATCH($C633,sup_code,0))&amp;"","Fournisseur inconnu"))</f>
        <v/>
      </c>
      <c r="E633" s="63" t="n"/>
      <c r="F633" s="66" t="str">
        <f>IF(E633="","",IFERROR(INDEX(art_des,MATCH($E633,art_ref,0))&amp;"","Article inconnu"))</f>
        <v/>
      </c>
      <c r="G633" s="67" t="str">
        <f>IF(E633="","",IFERROR(INDEX(art_unit,MATCH($E633,art_ref,0))&amp;"",""))</f>
        <v/>
      </c>
      <c r="H633" s="68" t="n"/>
      <c r="I633" s="69" t="n"/>
      <c r="J633" s="70" t="str">
        <f>IF(E633="","",IF(ISNUMBER(I633),I633,IFERROR(IF(ISNUMBER(INDEX(art_price,MATCH($E633,art_ref,0))),INDEX(art_price,MATCH($E633,art_ref,0)),""),"")))</f>
        <v/>
      </c>
      <c r="K633" s="71" t="n"/>
      <c r="L633" s="72" t="n"/>
      <c r="M633" s="72" t="str">
        <f>IF(E633="","",IF(L633&lt;&gt;"",L633,IFERROR(IF(ISNUMBER(INDEX(art_tva,MATCH($E633,art_ref,0))),INDEX(art_tva,MATCH($E633,art_ref,0)),""),"")))</f>
        <v/>
      </c>
      <c r="N633" s="70" t="str">
        <f>IF(OR(E633="",J633=""),"",ROUND(N(H633)*J633*(1-N(K633)),2))</f>
        <v/>
      </c>
      <c r="O633" s="70" t="str">
        <f>IF(OR(N633="",NOT(ISNUMBER(M633))),"",ROUND(N633*M633,2))</f>
        <v/>
      </c>
      <c r="P633" s="70" t="str">
        <f>IF(N633="","",N633+N(O633))</f>
        <v/>
      </c>
      <c r="Q633" s="64" t="n"/>
      <c r="R633" s="73" t="str">
        <f>IF(N(Q633)&gt;0,Q633,IF(OR(N(B633)=0,ISNA(MATCH($C633,sup_code,0))),"",IF(ISNUMBER(INDEX(sup_delay,MATCH($C633,sup_code,0))),B633+INDEX(sup_delay,MATCH($C633,sup_code,0)),"")))</f>
        <v/>
      </c>
      <c r="S633" s="64" t="n"/>
      <c r="T633" s="68" t="n"/>
      <c r="U633" s="64" t="n"/>
      <c r="V633" s="65" t="n"/>
      <c r="W633" s="74" t="str">
        <f>IF(AND(A633="",E633=""),"",IF(V633="Oui",0,MAX(0,ROUND(N(H633)-N(T633),6))))</f>
        <v/>
      </c>
      <c r="X633" s="67" t="str">
        <f>IF(AND(A633="",E633=""),"",IF(V633="Oui","Annulé",IF(AND(N(H633)&gt;0,N(T633)&gt;=N(H633)),"Reçu",IF(N(S633)=0,"Brouillon",IF(AND(ISNUMBER(R633),R633&lt;p_today),"En retard",IF(N(T633)&gt;0,"Partiel","Envoyé"))))))</f>
        <v/>
      </c>
      <c r="Y633" s="75" t="str">
        <f>IF(X633="En retard",p_today-R633,IF(AND(X633="Reçu",ISNUMBER(R633)),MAX(0,N(U633)-R633),""))</f>
        <v/>
      </c>
      <c r="Z633" s="67" t="str">
        <f>IF(AND(A633="",E633=""),"",IF(A633="","N° de bon manquant",IF(N(B633)=0,"Date de commande manquante",IF(C633="","Fournisseur manquant",IF(ISNA(MATCH($C633,sup_code,0)),"Fournisseur inconnu",IF(E633="","Article manquant",IF(ISNA(MATCH($E633,art_ref,0)),"Article inconnu",IF(N(H633)&lt;=0,"Quantité invalide",IF(J633="","Prix manquant",IF(OR(N(K633)&lt;0,N(K633)&gt;=1),"Remise invalide",IF(M633="","TVA manquante",IF(ISNA(MATCH(M633,p_tva,0)),"Taux de TVA inconnu",IF(COUNTIFS(po_num,A633,po_sup,"&lt;&gt;"&amp;C633)&gt;0,"Fournisseur différent sur ce bon",IF(COUNTIFS(po_num,A633,po_date,"&lt;&gt;"&amp;B633)&gt;0,"Date différente sur ce bon",IF(COUNTIF(po_num,A633)&gt;25,"Plus de 25 lignes sur ce bon",IF(R633="","Date de livraison manquante",IF(R633&lt;B633,"Livraison avant la commande",IF(AND(N(T633)&gt;0,N(S633)=0),"Date d'envoi manquante",IF(N(T633)&gt;N(H633),"Reçu plus que commandé",IF(AND(N(T633)&gt;0,N(U633)=0),"Date de réception manquante",IF(AND(N(U633)&gt;0,U633&lt;B633),"Réception avant la commande","OK")))))))))))))))))))))</f>
        <v/>
      </c>
      <c r="AA633" s="66" t="str">
        <f>IF(AND(X633="Reçu",ISNUMBER(R633)),IF(N(U633)&lt;=R633,1,0),"")</f>
        <v/>
      </c>
      <c r="AB633" s="76" t="str">
        <f>IF(OR(X633="Envoyé",X633="Partiel",X633="En retard"),IF(ISNUMBER(R633),R633,100000)+ROW()/100000,"")</f>
        <v/>
      </c>
      <c r="AC633" s="66" t="str">
        <f>IF(A633="","",IF(COUNTIF($A$6:A633,A633)=1,1,""))</f>
        <v/>
      </c>
      <c r="AD633" s="66" t="str">
        <f>IF(AC633=1,COUNT($AC$6:AC633),"")</f>
        <v/>
      </c>
      <c r="AE633" s="66" t="str">
        <f>IFERROR(INDEX(po_num,MATCH(628,po_seq,0))&amp;"","")</f>
        <v/>
      </c>
      <c r="AF633" s="66" t="str">
        <f>IF(OR(A633="",p_po=""),"",IF(A633&amp;""=p_po,COUNTIF($A$6:A633,A633),""))</f>
        <v/>
      </c>
      <c r="AG633" s="66" t="str">
        <f>IF(OR(AB633="",A633=""),"",IF(COUNTIFS($A$6:A633,A633,$AB$6:AB633,"&gt;0")=1,1,""))</f>
        <v/>
      </c>
      <c r="AH633" s="70" t="str">
        <f>IF(AB633="","",ROUND(N(W633)*N(J633)*(1-N(K633)),2))</f>
        <v/>
      </c>
      <c r="AI633" s="70" t="str">
        <f>IF(OR(J633="",N(T633)&lt;=0,V633="Oui"),"",ROUND(N(T633)*J633*(1-N(K633)),2))</f>
        <v/>
      </c>
    </row>
    <row r="634">
      <c r="A634" s="63" t="n"/>
      <c r="B634" s="64" t="n"/>
      <c r="C634" s="65" t="n"/>
      <c r="D634" s="66" t="str">
        <f>IF(C634="","",IFERROR(INDEX(sup_name,MATCH($C634,sup_code,0))&amp;"","Fournisseur inconnu"))</f>
        <v/>
      </c>
      <c r="E634" s="63" t="n"/>
      <c r="F634" s="66" t="str">
        <f>IF(E634="","",IFERROR(INDEX(art_des,MATCH($E634,art_ref,0))&amp;"","Article inconnu"))</f>
        <v/>
      </c>
      <c r="G634" s="67" t="str">
        <f>IF(E634="","",IFERROR(INDEX(art_unit,MATCH($E634,art_ref,0))&amp;"",""))</f>
        <v/>
      </c>
      <c r="H634" s="68" t="n"/>
      <c r="I634" s="69" t="n"/>
      <c r="J634" s="70" t="str">
        <f>IF(E634="","",IF(ISNUMBER(I634),I634,IFERROR(IF(ISNUMBER(INDEX(art_price,MATCH($E634,art_ref,0))),INDEX(art_price,MATCH($E634,art_ref,0)),""),"")))</f>
        <v/>
      </c>
      <c r="K634" s="71" t="n"/>
      <c r="L634" s="72" t="n"/>
      <c r="M634" s="72" t="str">
        <f>IF(E634="","",IF(L634&lt;&gt;"",L634,IFERROR(IF(ISNUMBER(INDEX(art_tva,MATCH($E634,art_ref,0))),INDEX(art_tva,MATCH($E634,art_ref,0)),""),"")))</f>
        <v/>
      </c>
      <c r="N634" s="70" t="str">
        <f>IF(OR(E634="",J634=""),"",ROUND(N(H634)*J634*(1-N(K634)),2))</f>
        <v/>
      </c>
      <c r="O634" s="70" t="str">
        <f>IF(OR(N634="",NOT(ISNUMBER(M634))),"",ROUND(N634*M634,2))</f>
        <v/>
      </c>
      <c r="P634" s="70" t="str">
        <f>IF(N634="","",N634+N(O634))</f>
        <v/>
      </c>
      <c r="Q634" s="64" t="n"/>
      <c r="R634" s="73" t="str">
        <f>IF(N(Q634)&gt;0,Q634,IF(OR(N(B634)=0,ISNA(MATCH($C634,sup_code,0))),"",IF(ISNUMBER(INDEX(sup_delay,MATCH($C634,sup_code,0))),B634+INDEX(sup_delay,MATCH($C634,sup_code,0)),"")))</f>
        <v/>
      </c>
      <c r="S634" s="64" t="n"/>
      <c r="T634" s="68" t="n"/>
      <c r="U634" s="64" t="n"/>
      <c r="V634" s="65" t="n"/>
      <c r="W634" s="74" t="str">
        <f>IF(AND(A634="",E634=""),"",IF(V634="Oui",0,MAX(0,ROUND(N(H634)-N(T634),6))))</f>
        <v/>
      </c>
      <c r="X634" s="67" t="str">
        <f>IF(AND(A634="",E634=""),"",IF(V634="Oui","Annulé",IF(AND(N(H634)&gt;0,N(T634)&gt;=N(H634)),"Reçu",IF(N(S634)=0,"Brouillon",IF(AND(ISNUMBER(R634),R634&lt;p_today),"En retard",IF(N(T634)&gt;0,"Partiel","Envoyé"))))))</f>
        <v/>
      </c>
      <c r="Y634" s="75" t="str">
        <f>IF(X634="En retard",p_today-R634,IF(AND(X634="Reçu",ISNUMBER(R634)),MAX(0,N(U634)-R634),""))</f>
        <v/>
      </c>
      <c r="Z634" s="67" t="str">
        <f>IF(AND(A634="",E634=""),"",IF(A634="","N° de bon manquant",IF(N(B634)=0,"Date de commande manquante",IF(C634="","Fournisseur manquant",IF(ISNA(MATCH($C634,sup_code,0)),"Fournisseur inconnu",IF(E634="","Article manquant",IF(ISNA(MATCH($E634,art_ref,0)),"Article inconnu",IF(N(H634)&lt;=0,"Quantité invalide",IF(J634="","Prix manquant",IF(OR(N(K634)&lt;0,N(K634)&gt;=1),"Remise invalide",IF(M634="","TVA manquante",IF(ISNA(MATCH(M634,p_tva,0)),"Taux de TVA inconnu",IF(COUNTIFS(po_num,A634,po_sup,"&lt;&gt;"&amp;C634)&gt;0,"Fournisseur différent sur ce bon",IF(COUNTIFS(po_num,A634,po_date,"&lt;&gt;"&amp;B634)&gt;0,"Date différente sur ce bon",IF(COUNTIF(po_num,A634)&gt;25,"Plus de 25 lignes sur ce bon",IF(R634="","Date de livraison manquante",IF(R634&lt;B634,"Livraison avant la commande",IF(AND(N(T634)&gt;0,N(S634)=0),"Date d'envoi manquante",IF(N(T634)&gt;N(H634),"Reçu plus que commandé",IF(AND(N(T634)&gt;0,N(U634)=0),"Date de réception manquante",IF(AND(N(U634)&gt;0,U634&lt;B634),"Réception avant la commande","OK")))))))))))))))))))))</f>
        <v/>
      </c>
      <c r="AA634" s="66" t="str">
        <f>IF(AND(X634="Reçu",ISNUMBER(R634)),IF(N(U634)&lt;=R634,1,0),"")</f>
        <v/>
      </c>
      <c r="AB634" s="76" t="str">
        <f>IF(OR(X634="Envoyé",X634="Partiel",X634="En retard"),IF(ISNUMBER(R634),R634,100000)+ROW()/100000,"")</f>
        <v/>
      </c>
      <c r="AC634" s="66" t="str">
        <f>IF(A634="","",IF(COUNTIF($A$6:A634,A634)=1,1,""))</f>
        <v/>
      </c>
      <c r="AD634" s="66" t="str">
        <f>IF(AC634=1,COUNT($AC$6:AC634),"")</f>
        <v/>
      </c>
      <c r="AE634" s="66" t="str">
        <f>IFERROR(INDEX(po_num,MATCH(629,po_seq,0))&amp;"","")</f>
        <v/>
      </c>
      <c r="AF634" s="66" t="str">
        <f>IF(OR(A634="",p_po=""),"",IF(A634&amp;""=p_po,COUNTIF($A$6:A634,A634),""))</f>
        <v/>
      </c>
      <c r="AG634" s="66" t="str">
        <f>IF(OR(AB634="",A634=""),"",IF(COUNTIFS($A$6:A634,A634,$AB$6:AB634,"&gt;0")=1,1,""))</f>
        <v/>
      </c>
      <c r="AH634" s="70" t="str">
        <f>IF(AB634="","",ROUND(N(W634)*N(J634)*(1-N(K634)),2))</f>
        <v/>
      </c>
      <c r="AI634" s="70" t="str">
        <f>IF(OR(J634="",N(T634)&lt;=0,V634="Oui"),"",ROUND(N(T634)*J634*(1-N(K634)),2))</f>
        <v/>
      </c>
    </row>
    <row r="635">
      <c r="A635" s="63" t="n"/>
      <c r="B635" s="64" t="n"/>
      <c r="C635" s="65" t="n"/>
      <c r="D635" s="66" t="str">
        <f>IF(C635="","",IFERROR(INDEX(sup_name,MATCH($C635,sup_code,0))&amp;"","Fournisseur inconnu"))</f>
        <v/>
      </c>
      <c r="E635" s="63" t="n"/>
      <c r="F635" s="66" t="str">
        <f>IF(E635="","",IFERROR(INDEX(art_des,MATCH($E635,art_ref,0))&amp;"","Article inconnu"))</f>
        <v/>
      </c>
      <c r="G635" s="67" t="str">
        <f>IF(E635="","",IFERROR(INDEX(art_unit,MATCH($E635,art_ref,0))&amp;"",""))</f>
        <v/>
      </c>
      <c r="H635" s="68" t="n"/>
      <c r="I635" s="69" t="n"/>
      <c r="J635" s="70" t="str">
        <f>IF(E635="","",IF(ISNUMBER(I635),I635,IFERROR(IF(ISNUMBER(INDEX(art_price,MATCH($E635,art_ref,0))),INDEX(art_price,MATCH($E635,art_ref,0)),""),"")))</f>
        <v/>
      </c>
      <c r="K635" s="71" t="n"/>
      <c r="L635" s="72" t="n"/>
      <c r="M635" s="72" t="str">
        <f>IF(E635="","",IF(L635&lt;&gt;"",L635,IFERROR(IF(ISNUMBER(INDEX(art_tva,MATCH($E635,art_ref,0))),INDEX(art_tva,MATCH($E635,art_ref,0)),""),"")))</f>
        <v/>
      </c>
      <c r="N635" s="70" t="str">
        <f>IF(OR(E635="",J635=""),"",ROUND(N(H635)*J635*(1-N(K635)),2))</f>
        <v/>
      </c>
      <c r="O635" s="70" t="str">
        <f>IF(OR(N635="",NOT(ISNUMBER(M635))),"",ROUND(N635*M635,2))</f>
        <v/>
      </c>
      <c r="P635" s="70" t="str">
        <f>IF(N635="","",N635+N(O635))</f>
        <v/>
      </c>
      <c r="Q635" s="64" t="n"/>
      <c r="R635" s="73" t="str">
        <f>IF(N(Q635)&gt;0,Q635,IF(OR(N(B635)=0,ISNA(MATCH($C635,sup_code,0))),"",IF(ISNUMBER(INDEX(sup_delay,MATCH($C635,sup_code,0))),B635+INDEX(sup_delay,MATCH($C635,sup_code,0)),"")))</f>
        <v/>
      </c>
      <c r="S635" s="64" t="n"/>
      <c r="T635" s="68" t="n"/>
      <c r="U635" s="64" t="n"/>
      <c r="V635" s="65" t="n"/>
      <c r="W635" s="74" t="str">
        <f>IF(AND(A635="",E635=""),"",IF(V635="Oui",0,MAX(0,ROUND(N(H635)-N(T635),6))))</f>
        <v/>
      </c>
      <c r="X635" s="67" t="str">
        <f>IF(AND(A635="",E635=""),"",IF(V635="Oui","Annulé",IF(AND(N(H635)&gt;0,N(T635)&gt;=N(H635)),"Reçu",IF(N(S635)=0,"Brouillon",IF(AND(ISNUMBER(R635),R635&lt;p_today),"En retard",IF(N(T635)&gt;0,"Partiel","Envoyé"))))))</f>
        <v/>
      </c>
      <c r="Y635" s="75" t="str">
        <f>IF(X635="En retard",p_today-R635,IF(AND(X635="Reçu",ISNUMBER(R635)),MAX(0,N(U635)-R635),""))</f>
        <v/>
      </c>
      <c r="Z635" s="67" t="str">
        <f>IF(AND(A635="",E635=""),"",IF(A635="","N° de bon manquant",IF(N(B635)=0,"Date de commande manquante",IF(C635="","Fournisseur manquant",IF(ISNA(MATCH($C635,sup_code,0)),"Fournisseur inconnu",IF(E635="","Article manquant",IF(ISNA(MATCH($E635,art_ref,0)),"Article inconnu",IF(N(H635)&lt;=0,"Quantité invalide",IF(J635="","Prix manquant",IF(OR(N(K635)&lt;0,N(K635)&gt;=1),"Remise invalide",IF(M635="","TVA manquante",IF(ISNA(MATCH(M635,p_tva,0)),"Taux de TVA inconnu",IF(COUNTIFS(po_num,A635,po_sup,"&lt;&gt;"&amp;C635)&gt;0,"Fournisseur différent sur ce bon",IF(COUNTIFS(po_num,A635,po_date,"&lt;&gt;"&amp;B635)&gt;0,"Date différente sur ce bon",IF(COUNTIF(po_num,A635)&gt;25,"Plus de 25 lignes sur ce bon",IF(R635="","Date de livraison manquante",IF(R635&lt;B635,"Livraison avant la commande",IF(AND(N(T635)&gt;0,N(S635)=0),"Date d'envoi manquante",IF(N(T635)&gt;N(H635),"Reçu plus que commandé",IF(AND(N(T635)&gt;0,N(U635)=0),"Date de réception manquante",IF(AND(N(U635)&gt;0,U635&lt;B635),"Réception avant la commande","OK")))))))))))))))))))))</f>
        <v/>
      </c>
      <c r="AA635" s="66" t="str">
        <f>IF(AND(X635="Reçu",ISNUMBER(R635)),IF(N(U635)&lt;=R635,1,0),"")</f>
        <v/>
      </c>
      <c r="AB635" s="76" t="str">
        <f>IF(OR(X635="Envoyé",X635="Partiel",X635="En retard"),IF(ISNUMBER(R635),R635,100000)+ROW()/100000,"")</f>
        <v/>
      </c>
      <c r="AC635" s="66" t="str">
        <f>IF(A635="","",IF(COUNTIF($A$6:A635,A635)=1,1,""))</f>
        <v/>
      </c>
      <c r="AD635" s="66" t="str">
        <f>IF(AC635=1,COUNT($AC$6:AC635),"")</f>
        <v/>
      </c>
      <c r="AE635" s="66" t="str">
        <f>IFERROR(INDEX(po_num,MATCH(630,po_seq,0))&amp;"","")</f>
        <v/>
      </c>
      <c r="AF635" s="66" t="str">
        <f>IF(OR(A635="",p_po=""),"",IF(A635&amp;""=p_po,COUNTIF($A$6:A635,A635),""))</f>
        <v/>
      </c>
      <c r="AG635" s="66" t="str">
        <f>IF(OR(AB635="",A635=""),"",IF(COUNTIFS($A$6:A635,A635,$AB$6:AB635,"&gt;0")=1,1,""))</f>
        <v/>
      </c>
      <c r="AH635" s="70" t="str">
        <f>IF(AB635="","",ROUND(N(W635)*N(J635)*(1-N(K635)),2))</f>
        <v/>
      </c>
      <c r="AI635" s="70" t="str">
        <f>IF(OR(J635="",N(T635)&lt;=0,V635="Oui"),"",ROUND(N(T635)*J635*(1-N(K635)),2))</f>
        <v/>
      </c>
    </row>
    <row r="636">
      <c r="A636" s="63" t="n"/>
      <c r="B636" s="64" t="n"/>
      <c r="C636" s="65" t="n"/>
      <c r="D636" s="66" t="str">
        <f>IF(C636="","",IFERROR(INDEX(sup_name,MATCH($C636,sup_code,0))&amp;"","Fournisseur inconnu"))</f>
        <v/>
      </c>
      <c r="E636" s="63" t="n"/>
      <c r="F636" s="66" t="str">
        <f>IF(E636="","",IFERROR(INDEX(art_des,MATCH($E636,art_ref,0))&amp;"","Article inconnu"))</f>
        <v/>
      </c>
      <c r="G636" s="67" t="str">
        <f>IF(E636="","",IFERROR(INDEX(art_unit,MATCH($E636,art_ref,0))&amp;"",""))</f>
        <v/>
      </c>
      <c r="H636" s="68" t="n"/>
      <c r="I636" s="69" t="n"/>
      <c r="J636" s="70" t="str">
        <f>IF(E636="","",IF(ISNUMBER(I636),I636,IFERROR(IF(ISNUMBER(INDEX(art_price,MATCH($E636,art_ref,0))),INDEX(art_price,MATCH($E636,art_ref,0)),""),"")))</f>
        <v/>
      </c>
      <c r="K636" s="71" t="n"/>
      <c r="L636" s="72" t="n"/>
      <c r="M636" s="72" t="str">
        <f>IF(E636="","",IF(L636&lt;&gt;"",L636,IFERROR(IF(ISNUMBER(INDEX(art_tva,MATCH($E636,art_ref,0))),INDEX(art_tva,MATCH($E636,art_ref,0)),""),"")))</f>
        <v/>
      </c>
      <c r="N636" s="70" t="str">
        <f>IF(OR(E636="",J636=""),"",ROUND(N(H636)*J636*(1-N(K636)),2))</f>
        <v/>
      </c>
      <c r="O636" s="70" t="str">
        <f>IF(OR(N636="",NOT(ISNUMBER(M636))),"",ROUND(N636*M636,2))</f>
        <v/>
      </c>
      <c r="P636" s="70" t="str">
        <f>IF(N636="","",N636+N(O636))</f>
        <v/>
      </c>
      <c r="Q636" s="64" t="n"/>
      <c r="R636" s="73" t="str">
        <f>IF(N(Q636)&gt;0,Q636,IF(OR(N(B636)=0,ISNA(MATCH($C636,sup_code,0))),"",IF(ISNUMBER(INDEX(sup_delay,MATCH($C636,sup_code,0))),B636+INDEX(sup_delay,MATCH($C636,sup_code,0)),"")))</f>
        <v/>
      </c>
      <c r="S636" s="64" t="n"/>
      <c r="T636" s="68" t="n"/>
      <c r="U636" s="64" t="n"/>
      <c r="V636" s="65" t="n"/>
      <c r="W636" s="74" t="str">
        <f>IF(AND(A636="",E636=""),"",IF(V636="Oui",0,MAX(0,ROUND(N(H636)-N(T636),6))))</f>
        <v/>
      </c>
      <c r="X636" s="67" t="str">
        <f>IF(AND(A636="",E636=""),"",IF(V636="Oui","Annulé",IF(AND(N(H636)&gt;0,N(T636)&gt;=N(H636)),"Reçu",IF(N(S636)=0,"Brouillon",IF(AND(ISNUMBER(R636),R636&lt;p_today),"En retard",IF(N(T636)&gt;0,"Partiel","Envoyé"))))))</f>
        <v/>
      </c>
      <c r="Y636" s="75" t="str">
        <f>IF(X636="En retard",p_today-R636,IF(AND(X636="Reçu",ISNUMBER(R636)),MAX(0,N(U636)-R636),""))</f>
        <v/>
      </c>
      <c r="Z636" s="67" t="str">
        <f>IF(AND(A636="",E636=""),"",IF(A636="","N° de bon manquant",IF(N(B636)=0,"Date de commande manquante",IF(C636="","Fournisseur manquant",IF(ISNA(MATCH($C636,sup_code,0)),"Fournisseur inconnu",IF(E636="","Article manquant",IF(ISNA(MATCH($E636,art_ref,0)),"Article inconnu",IF(N(H636)&lt;=0,"Quantité invalide",IF(J636="","Prix manquant",IF(OR(N(K636)&lt;0,N(K636)&gt;=1),"Remise invalide",IF(M636="","TVA manquante",IF(ISNA(MATCH(M636,p_tva,0)),"Taux de TVA inconnu",IF(COUNTIFS(po_num,A636,po_sup,"&lt;&gt;"&amp;C636)&gt;0,"Fournisseur différent sur ce bon",IF(COUNTIFS(po_num,A636,po_date,"&lt;&gt;"&amp;B636)&gt;0,"Date différente sur ce bon",IF(COUNTIF(po_num,A636)&gt;25,"Plus de 25 lignes sur ce bon",IF(R636="","Date de livraison manquante",IF(R636&lt;B636,"Livraison avant la commande",IF(AND(N(T636)&gt;0,N(S636)=0),"Date d'envoi manquante",IF(N(T636)&gt;N(H636),"Reçu plus que commandé",IF(AND(N(T636)&gt;0,N(U636)=0),"Date de réception manquante",IF(AND(N(U636)&gt;0,U636&lt;B636),"Réception avant la commande","OK")))))))))))))))))))))</f>
        <v/>
      </c>
      <c r="AA636" s="66" t="str">
        <f>IF(AND(X636="Reçu",ISNUMBER(R636)),IF(N(U636)&lt;=R636,1,0),"")</f>
        <v/>
      </c>
      <c r="AB636" s="76" t="str">
        <f>IF(OR(X636="Envoyé",X636="Partiel",X636="En retard"),IF(ISNUMBER(R636),R636,100000)+ROW()/100000,"")</f>
        <v/>
      </c>
      <c r="AC636" s="66" t="str">
        <f>IF(A636="","",IF(COUNTIF($A$6:A636,A636)=1,1,""))</f>
        <v/>
      </c>
      <c r="AD636" s="66" t="str">
        <f>IF(AC636=1,COUNT($AC$6:AC636),"")</f>
        <v/>
      </c>
      <c r="AE636" s="66" t="str">
        <f>IFERROR(INDEX(po_num,MATCH(631,po_seq,0))&amp;"","")</f>
        <v/>
      </c>
      <c r="AF636" s="66" t="str">
        <f>IF(OR(A636="",p_po=""),"",IF(A636&amp;""=p_po,COUNTIF($A$6:A636,A636),""))</f>
        <v/>
      </c>
      <c r="AG636" s="66" t="str">
        <f>IF(OR(AB636="",A636=""),"",IF(COUNTIFS($A$6:A636,A636,$AB$6:AB636,"&gt;0")=1,1,""))</f>
        <v/>
      </c>
      <c r="AH636" s="70" t="str">
        <f>IF(AB636="","",ROUND(N(W636)*N(J636)*(1-N(K636)),2))</f>
        <v/>
      </c>
      <c r="AI636" s="70" t="str">
        <f>IF(OR(J636="",N(T636)&lt;=0,V636="Oui"),"",ROUND(N(T636)*J636*(1-N(K636)),2))</f>
        <v/>
      </c>
    </row>
    <row r="637">
      <c r="A637" s="63" t="n"/>
      <c r="B637" s="64" t="n"/>
      <c r="C637" s="65" t="n"/>
      <c r="D637" s="66" t="str">
        <f>IF(C637="","",IFERROR(INDEX(sup_name,MATCH($C637,sup_code,0))&amp;"","Fournisseur inconnu"))</f>
        <v/>
      </c>
      <c r="E637" s="63" t="n"/>
      <c r="F637" s="66" t="str">
        <f>IF(E637="","",IFERROR(INDEX(art_des,MATCH($E637,art_ref,0))&amp;"","Article inconnu"))</f>
        <v/>
      </c>
      <c r="G637" s="67" t="str">
        <f>IF(E637="","",IFERROR(INDEX(art_unit,MATCH($E637,art_ref,0))&amp;"",""))</f>
        <v/>
      </c>
      <c r="H637" s="68" t="n"/>
      <c r="I637" s="69" t="n"/>
      <c r="J637" s="70" t="str">
        <f>IF(E637="","",IF(ISNUMBER(I637),I637,IFERROR(IF(ISNUMBER(INDEX(art_price,MATCH($E637,art_ref,0))),INDEX(art_price,MATCH($E637,art_ref,0)),""),"")))</f>
        <v/>
      </c>
      <c r="K637" s="71" t="n"/>
      <c r="L637" s="72" t="n"/>
      <c r="M637" s="72" t="str">
        <f>IF(E637="","",IF(L637&lt;&gt;"",L637,IFERROR(IF(ISNUMBER(INDEX(art_tva,MATCH($E637,art_ref,0))),INDEX(art_tva,MATCH($E637,art_ref,0)),""),"")))</f>
        <v/>
      </c>
      <c r="N637" s="70" t="str">
        <f>IF(OR(E637="",J637=""),"",ROUND(N(H637)*J637*(1-N(K637)),2))</f>
        <v/>
      </c>
      <c r="O637" s="70" t="str">
        <f>IF(OR(N637="",NOT(ISNUMBER(M637))),"",ROUND(N637*M637,2))</f>
        <v/>
      </c>
      <c r="P637" s="70" t="str">
        <f>IF(N637="","",N637+N(O637))</f>
        <v/>
      </c>
      <c r="Q637" s="64" t="n"/>
      <c r="R637" s="73" t="str">
        <f>IF(N(Q637)&gt;0,Q637,IF(OR(N(B637)=0,ISNA(MATCH($C637,sup_code,0))),"",IF(ISNUMBER(INDEX(sup_delay,MATCH($C637,sup_code,0))),B637+INDEX(sup_delay,MATCH($C637,sup_code,0)),"")))</f>
        <v/>
      </c>
      <c r="S637" s="64" t="n"/>
      <c r="T637" s="68" t="n"/>
      <c r="U637" s="64" t="n"/>
      <c r="V637" s="65" t="n"/>
      <c r="W637" s="74" t="str">
        <f>IF(AND(A637="",E637=""),"",IF(V637="Oui",0,MAX(0,ROUND(N(H637)-N(T637),6))))</f>
        <v/>
      </c>
      <c r="X637" s="67" t="str">
        <f>IF(AND(A637="",E637=""),"",IF(V637="Oui","Annulé",IF(AND(N(H637)&gt;0,N(T637)&gt;=N(H637)),"Reçu",IF(N(S637)=0,"Brouillon",IF(AND(ISNUMBER(R637),R637&lt;p_today),"En retard",IF(N(T637)&gt;0,"Partiel","Envoyé"))))))</f>
        <v/>
      </c>
      <c r="Y637" s="75" t="str">
        <f>IF(X637="En retard",p_today-R637,IF(AND(X637="Reçu",ISNUMBER(R637)),MAX(0,N(U637)-R637),""))</f>
        <v/>
      </c>
      <c r="Z637" s="67" t="str">
        <f>IF(AND(A637="",E637=""),"",IF(A637="","N° de bon manquant",IF(N(B637)=0,"Date de commande manquante",IF(C637="","Fournisseur manquant",IF(ISNA(MATCH($C637,sup_code,0)),"Fournisseur inconnu",IF(E637="","Article manquant",IF(ISNA(MATCH($E637,art_ref,0)),"Article inconnu",IF(N(H637)&lt;=0,"Quantité invalide",IF(J637="","Prix manquant",IF(OR(N(K637)&lt;0,N(K637)&gt;=1),"Remise invalide",IF(M637="","TVA manquante",IF(ISNA(MATCH(M637,p_tva,0)),"Taux de TVA inconnu",IF(COUNTIFS(po_num,A637,po_sup,"&lt;&gt;"&amp;C637)&gt;0,"Fournisseur différent sur ce bon",IF(COUNTIFS(po_num,A637,po_date,"&lt;&gt;"&amp;B637)&gt;0,"Date différente sur ce bon",IF(COUNTIF(po_num,A637)&gt;25,"Plus de 25 lignes sur ce bon",IF(R637="","Date de livraison manquante",IF(R637&lt;B637,"Livraison avant la commande",IF(AND(N(T637)&gt;0,N(S637)=0),"Date d'envoi manquante",IF(N(T637)&gt;N(H637),"Reçu plus que commandé",IF(AND(N(T637)&gt;0,N(U637)=0),"Date de réception manquante",IF(AND(N(U637)&gt;0,U637&lt;B637),"Réception avant la commande","OK")))))))))))))))))))))</f>
        <v/>
      </c>
      <c r="AA637" s="66" t="str">
        <f>IF(AND(X637="Reçu",ISNUMBER(R637)),IF(N(U637)&lt;=R637,1,0),"")</f>
        <v/>
      </c>
      <c r="AB637" s="76" t="str">
        <f>IF(OR(X637="Envoyé",X637="Partiel",X637="En retard"),IF(ISNUMBER(R637),R637,100000)+ROW()/100000,"")</f>
        <v/>
      </c>
      <c r="AC637" s="66" t="str">
        <f>IF(A637="","",IF(COUNTIF($A$6:A637,A637)=1,1,""))</f>
        <v/>
      </c>
      <c r="AD637" s="66" t="str">
        <f>IF(AC637=1,COUNT($AC$6:AC637),"")</f>
        <v/>
      </c>
      <c r="AE637" s="66" t="str">
        <f>IFERROR(INDEX(po_num,MATCH(632,po_seq,0))&amp;"","")</f>
        <v/>
      </c>
      <c r="AF637" s="66" t="str">
        <f>IF(OR(A637="",p_po=""),"",IF(A637&amp;""=p_po,COUNTIF($A$6:A637,A637),""))</f>
        <v/>
      </c>
      <c r="AG637" s="66" t="str">
        <f>IF(OR(AB637="",A637=""),"",IF(COUNTIFS($A$6:A637,A637,$AB$6:AB637,"&gt;0")=1,1,""))</f>
        <v/>
      </c>
      <c r="AH637" s="70" t="str">
        <f>IF(AB637="","",ROUND(N(W637)*N(J637)*(1-N(K637)),2))</f>
        <v/>
      </c>
      <c r="AI637" s="70" t="str">
        <f>IF(OR(J637="",N(T637)&lt;=0,V637="Oui"),"",ROUND(N(T637)*J637*(1-N(K637)),2))</f>
        <v/>
      </c>
    </row>
    <row r="638">
      <c r="A638" s="63" t="n"/>
      <c r="B638" s="64" t="n"/>
      <c r="C638" s="65" t="n"/>
      <c r="D638" s="66" t="str">
        <f>IF(C638="","",IFERROR(INDEX(sup_name,MATCH($C638,sup_code,0))&amp;"","Fournisseur inconnu"))</f>
        <v/>
      </c>
      <c r="E638" s="63" t="n"/>
      <c r="F638" s="66" t="str">
        <f>IF(E638="","",IFERROR(INDEX(art_des,MATCH($E638,art_ref,0))&amp;"","Article inconnu"))</f>
        <v/>
      </c>
      <c r="G638" s="67" t="str">
        <f>IF(E638="","",IFERROR(INDEX(art_unit,MATCH($E638,art_ref,0))&amp;"",""))</f>
        <v/>
      </c>
      <c r="H638" s="68" t="n"/>
      <c r="I638" s="69" t="n"/>
      <c r="J638" s="70" t="str">
        <f>IF(E638="","",IF(ISNUMBER(I638),I638,IFERROR(IF(ISNUMBER(INDEX(art_price,MATCH($E638,art_ref,0))),INDEX(art_price,MATCH($E638,art_ref,0)),""),"")))</f>
        <v/>
      </c>
      <c r="K638" s="71" t="n"/>
      <c r="L638" s="72" t="n"/>
      <c r="M638" s="72" t="str">
        <f>IF(E638="","",IF(L638&lt;&gt;"",L638,IFERROR(IF(ISNUMBER(INDEX(art_tva,MATCH($E638,art_ref,0))),INDEX(art_tva,MATCH($E638,art_ref,0)),""),"")))</f>
        <v/>
      </c>
      <c r="N638" s="70" t="str">
        <f>IF(OR(E638="",J638=""),"",ROUND(N(H638)*J638*(1-N(K638)),2))</f>
        <v/>
      </c>
      <c r="O638" s="70" t="str">
        <f>IF(OR(N638="",NOT(ISNUMBER(M638))),"",ROUND(N638*M638,2))</f>
        <v/>
      </c>
      <c r="P638" s="70" t="str">
        <f>IF(N638="","",N638+N(O638))</f>
        <v/>
      </c>
      <c r="Q638" s="64" t="n"/>
      <c r="R638" s="73" t="str">
        <f>IF(N(Q638)&gt;0,Q638,IF(OR(N(B638)=0,ISNA(MATCH($C638,sup_code,0))),"",IF(ISNUMBER(INDEX(sup_delay,MATCH($C638,sup_code,0))),B638+INDEX(sup_delay,MATCH($C638,sup_code,0)),"")))</f>
        <v/>
      </c>
      <c r="S638" s="64" t="n"/>
      <c r="T638" s="68" t="n"/>
      <c r="U638" s="64" t="n"/>
      <c r="V638" s="65" t="n"/>
      <c r="W638" s="74" t="str">
        <f>IF(AND(A638="",E638=""),"",IF(V638="Oui",0,MAX(0,ROUND(N(H638)-N(T638),6))))</f>
        <v/>
      </c>
      <c r="X638" s="67" t="str">
        <f>IF(AND(A638="",E638=""),"",IF(V638="Oui","Annulé",IF(AND(N(H638)&gt;0,N(T638)&gt;=N(H638)),"Reçu",IF(N(S638)=0,"Brouillon",IF(AND(ISNUMBER(R638),R638&lt;p_today),"En retard",IF(N(T638)&gt;0,"Partiel","Envoyé"))))))</f>
        <v/>
      </c>
      <c r="Y638" s="75" t="str">
        <f>IF(X638="En retard",p_today-R638,IF(AND(X638="Reçu",ISNUMBER(R638)),MAX(0,N(U638)-R638),""))</f>
        <v/>
      </c>
      <c r="Z638" s="67" t="str">
        <f>IF(AND(A638="",E638=""),"",IF(A638="","N° de bon manquant",IF(N(B638)=0,"Date de commande manquante",IF(C638="","Fournisseur manquant",IF(ISNA(MATCH($C638,sup_code,0)),"Fournisseur inconnu",IF(E638="","Article manquant",IF(ISNA(MATCH($E638,art_ref,0)),"Article inconnu",IF(N(H638)&lt;=0,"Quantité invalide",IF(J638="","Prix manquant",IF(OR(N(K638)&lt;0,N(K638)&gt;=1),"Remise invalide",IF(M638="","TVA manquante",IF(ISNA(MATCH(M638,p_tva,0)),"Taux de TVA inconnu",IF(COUNTIFS(po_num,A638,po_sup,"&lt;&gt;"&amp;C638)&gt;0,"Fournisseur différent sur ce bon",IF(COUNTIFS(po_num,A638,po_date,"&lt;&gt;"&amp;B638)&gt;0,"Date différente sur ce bon",IF(COUNTIF(po_num,A638)&gt;25,"Plus de 25 lignes sur ce bon",IF(R638="","Date de livraison manquante",IF(R638&lt;B638,"Livraison avant la commande",IF(AND(N(T638)&gt;0,N(S638)=0),"Date d'envoi manquante",IF(N(T638)&gt;N(H638),"Reçu plus que commandé",IF(AND(N(T638)&gt;0,N(U638)=0),"Date de réception manquante",IF(AND(N(U638)&gt;0,U638&lt;B638),"Réception avant la commande","OK")))))))))))))))))))))</f>
        <v/>
      </c>
      <c r="AA638" s="66" t="str">
        <f>IF(AND(X638="Reçu",ISNUMBER(R638)),IF(N(U638)&lt;=R638,1,0),"")</f>
        <v/>
      </c>
      <c r="AB638" s="76" t="str">
        <f>IF(OR(X638="Envoyé",X638="Partiel",X638="En retard"),IF(ISNUMBER(R638),R638,100000)+ROW()/100000,"")</f>
        <v/>
      </c>
      <c r="AC638" s="66" t="str">
        <f>IF(A638="","",IF(COUNTIF($A$6:A638,A638)=1,1,""))</f>
        <v/>
      </c>
      <c r="AD638" s="66" t="str">
        <f>IF(AC638=1,COUNT($AC$6:AC638),"")</f>
        <v/>
      </c>
      <c r="AE638" s="66" t="str">
        <f>IFERROR(INDEX(po_num,MATCH(633,po_seq,0))&amp;"","")</f>
        <v/>
      </c>
      <c r="AF638" s="66" t="str">
        <f>IF(OR(A638="",p_po=""),"",IF(A638&amp;""=p_po,COUNTIF($A$6:A638,A638),""))</f>
        <v/>
      </c>
      <c r="AG638" s="66" t="str">
        <f>IF(OR(AB638="",A638=""),"",IF(COUNTIFS($A$6:A638,A638,$AB$6:AB638,"&gt;0")=1,1,""))</f>
        <v/>
      </c>
      <c r="AH638" s="70" t="str">
        <f>IF(AB638="","",ROUND(N(W638)*N(J638)*(1-N(K638)),2))</f>
        <v/>
      </c>
      <c r="AI638" s="70" t="str">
        <f>IF(OR(J638="",N(T638)&lt;=0,V638="Oui"),"",ROUND(N(T638)*J638*(1-N(K638)),2))</f>
        <v/>
      </c>
    </row>
    <row r="639">
      <c r="A639" s="63" t="n"/>
      <c r="B639" s="64" t="n"/>
      <c r="C639" s="65" t="n"/>
      <c r="D639" s="66" t="str">
        <f>IF(C639="","",IFERROR(INDEX(sup_name,MATCH($C639,sup_code,0))&amp;"","Fournisseur inconnu"))</f>
        <v/>
      </c>
      <c r="E639" s="63" t="n"/>
      <c r="F639" s="66" t="str">
        <f>IF(E639="","",IFERROR(INDEX(art_des,MATCH($E639,art_ref,0))&amp;"","Article inconnu"))</f>
        <v/>
      </c>
      <c r="G639" s="67" t="str">
        <f>IF(E639="","",IFERROR(INDEX(art_unit,MATCH($E639,art_ref,0))&amp;"",""))</f>
        <v/>
      </c>
      <c r="H639" s="68" t="n"/>
      <c r="I639" s="69" t="n"/>
      <c r="J639" s="70" t="str">
        <f>IF(E639="","",IF(ISNUMBER(I639),I639,IFERROR(IF(ISNUMBER(INDEX(art_price,MATCH($E639,art_ref,0))),INDEX(art_price,MATCH($E639,art_ref,0)),""),"")))</f>
        <v/>
      </c>
      <c r="K639" s="71" t="n"/>
      <c r="L639" s="72" t="n"/>
      <c r="M639" s="72" t="str">
        <f>IF(E639="","",IF(L639&lt;&gt;"",L639,IFERROR(IF(ISNUMBER(INDEX(art_tva,MATCH($E639,art_ref,0))),INDEX(art_tva,MATCH($E639,art_ref,0)),""),"")))</f>
        <v/>
      </c>
      <c r="N639" s="70" t="str">
        <f>IF(OR(E639="",J639=""),"",ROUND(N(H639)*J639*(1-N(K639)),2))</f>
        <v/>
      </c>
      <c r="O639" s="70" t="str">
        <f>IF(OR(N639="",NOT(ISNUMBER(M639))),"",ROUND(N639*M639,2))</f>
        <v/>
      </c>
      <c r="P639" s="70" t="str">
        <f>IF(N639="","",N639+N(O639))</f>
        <v/>
      </c>
      <c r="Q639" s="64" t="n"/>
      <c r="R639" s="73" t="str">
        <f>IF(N(Q639)&gt;0,Q639,IF(OR(N(B639)=0,ISNA(MATCH($C639,sup_code,0))),"",IF(ISNUMBER(INDEX(sup_delay,MATCH($C639,sup_code,0))),B639+INDEX(sup_delay,MATCH($C639,sup_code,0)),"")))</f>
        <v/>
      </c>
      <c r="S639" s="64" t="n"/>
      <c r="T639" s="68" t="n"/>
      <c r="U639" s="64" t="n"/>
      <c r="V639" s="65" t="n"/>
      <c r="W639" s="74" t="str">
        <f>IF(AND(A639="",E639=""),"",IF(V639="Oui",0,MAX(0,ROUND(N(H639)-N(T639),6))))</f>
        <v/>
      </c>
      <c r="X639" s="67" t="str">
        <f>IF(AND(A639="",E639=""),"",IF(V639="Oui","Annulé",IF(AND(N(H639)&gt;0,N(T639)&gt;=N(H639)),"Reçu",IF(N(S639)=0,"Brouillon",IF(AND(ISNUMBER(R639),R639&lt;p_today),"En retard",IF(N(T639)&gt;0,"Partiel","Envoyé"))))))</f>
        <v/>
      </c>
      <c r="Y639" s="75" t="str">
        <f>IF(X639="En retard",p_today-R639,IF(AND(X639="Reçu",ISNUMBER(R639)),MAX(0,N(U639)-R639),""))</f>
        <v/>
      </c>
      <c r="Z639" s="67" t="str">
        <f>IF(AND(A639="",E639=""),"",IF(A639="","N° de bon manquant",IF(N(B639)=0,"Date de commande manquante",IF(C639="","Fournisseur manquant",IF(ISNA(MATCH($C639,sup_code,0)),"Fournisseur inconnu",IF(E639="","Article manquant",IF(ISNA(MATCH($E639,art_ref,0)),"Article inconnu",IF(N(H639)&lt;=0,"Quantité invalide",IF(J639="","Prix manquant",IF(OR(N(K639)&lt;0,N(K639)&gt;=1),"Remise invalide",IF(M639="","TVA manquante",IF(ISNA(MATCH(M639,p_tva,0)),"Taux de TVA inconnu",IF(COUNTIFS(po_num,A639,po_sup,"&lt;&gt;"&amp;C639)&gt;0,"Fournisseur différent sur ce bon",IF(COUNTIFS(po_num,A639,po_date,"&lt;&gt;"&amp;B639)&gt;0,"Date différente sur ce bon",IF(COUNTIF(po_num,A639)&gt;25,"Plus de 25 lignes sur ce bon",IF(R639="","Date de livraison manquante",IF(R639&lt;B639,"Livraison avant la commande",IF(AND(N(T639)&gt;0,N(S639)=0),"Date d'envoi manquante",IF(N(T639)&gt;N(H639),"Reçu plus que commandé",IF(AND(N(T639)&gt;0,N(U639)=0),"Date de réception manquante",IF(AND(N(U639)&gt;0,U639&lt;B639),"Réception avant la commande","OK")))))))))))))))))))))</f>
        <v/>
      </c>
      <c r="AA639" s="66" t="str">
        <f>IF(AND(X639="Reçu",ISNUMBER(R639)),IF(N(U639)&lt;=R639,1,0),"")</f>
        <v/>
      </c>
      <c r="AB639" s="76" t="str">
        <f>IF(OR(X639="Envoyé",X639="Partiel",X639="En retard"),IF(ISNUMBER(R639),R639,100000)+ROW()/100000,"")</f>
        <v/>
      </c>
      <c r="AC639" s="66" t="str">
        <f>IF(A639="","",IF(COUNTIF($A$6:A639,A639)=1,1,""))</f>
        <v/>
      </c>
      <c r="AD639" s="66" t="str">
        <f>IF(AC639=1,COUNT($AC$6:AC639),"")</f>
        <v/>
      </c>
      <c r="AE639" s="66" t="str">
        <f>IFERROR(INDEX(po_num,MATCH(634,po_seq,0))&amp;"","")</f>
        <v/>
      </c>
      <c r="AF639" s="66" t="str">
        <f>IF(OR(A639="",p_po=""),"",IF(A639&amp;""=p_po,COUNTIF($A$6:A639,A639),""))</f>
        <v/>
      </c>
      <c r="AG639" s="66" t="str">
        <f>IF(OR(AB639="",A639=""),"",IF(COUNTIFS($A$6:A639,A639,$AB$6:AB639,"&gt;0")=1,1,""))</f>
        <v/>
      </c>
      <c r="AH639" s="70" t="str">
        <f>IF(AB639="","",ROUND(N(W639)*N(J639)*(1-N(K639)),2))</f>
        <v/>
      </c>
      <c r="AI639" s="70" t="str">
        <f>IF(OR(J639="",N(T639)&lt;=0,V639="Oui"),"",ROUND(N(T639)*J639*(1-N(K639)),2))</f>
        <v/>
      </c>
    </row>
    <row r="640">
      <c r="A640" s="63" t="n"/>
      <c r="B640" s="64" t="n"/>
      <c r="C640" s="65" t="n"/>
      <c r="D640" s="66" t="str">
        <f>IF(C640="","",IFERROR(INDEX(sup_name,MATCH($C640,sup_code,0))&amp;"","Fournisseur inconnu"))</f>
        <v/>
      </c>
      <c r="E640" s="63" t="n"/>
      <c r="F640" s="66" t="str">
        <f>IF(E640="","",IFERROR(INDEX(art_des,MATCH($E640,art_ref,0))&amp;"","Article inconnu"))</f>
        <v/>
      </c>
      <c r="G640" s="67" t="str">
        <f>IF(E640="","",IFERROR(INDEX(art_unit,MATCH($E640,art_ref,0))&amp;"",""))</f>
        <v/>
      </c>
      <c r="H640" s="68" t="n"/>
      <c r="I640" s="69" t="n"/>
      <c r="J640" s="70" t="str">
        <f>IF(E640="","",IF(ISNUMBER(I640),I640,IFERROR(IF(ISNUMBER(INDEX(art_price,MATCH($E640,art_ref,0))),INDEX(art_price,MATCH($E640,art_ref,0)),""),"")))</f>
        <v/>
      </c>
      <c r="K640" s="71" t="n"/>
      <c r="L640" s="72" t="n"/>
      <c r="M640" s="72" t="str">
        <f>IF(E640="","",IF(L640&lt;&gt;"",L640,IFERROR(IF(ISNUMBER(INDEX(art_tva,MATCH($E640,art_ref,0))),INDEX(art_tva,MATCH($E640,art_ref,0)),""),"")))</f>
        <v/>
      </c>
      <c r="N640" s="70" t="str">
        <f>IF(OR(E640="",J640=""),"",ROUND(N(H640)*J640*(1-N(K640)),2))</f>
        <v/>
      </c>
      <c r="O640" s="70" t="str">
        <f>IF(OR(N640="",NOT(ISNUMBER(M640))),"",ROUND(N640*M640,2))</f>
        <v/>
      </c>
      <c r="P640" s="70" t="str">
        <f>IF(N640="","",N640+N(O640))</f>
        <v/>
      </c>
      <c r="Q640" s="64" t="n"/>
      <c r="R640" s="73" t="str">
        <f>IF(N(Q640)&gt;0,Q640,IF(OR(N(B640)=0,ISNA(MATCH($C640,sup_code,0))),"",IF(ISNUMBER(INDEX(sup_delay,MATCH($C640,sup_code,0))),B640+INDEX(sup_delay,MATCH($C640,sup_code,0)),"")))</f>
        <v/>
      </c>
      <c r="S640" s="64" t="n"/>
      <c r="T640" s="68" t="n"/>
      <c r="U640" s="64" t="n"/>
      <c r="V640" s="65" t="n"/>
      <c r="W640" s="74" t="str">
        <f>IF(AND(A640="",E640=""),"",IF(V640="Oui",0,MAX(0,ROUND(N(H640)-N(T640),6))))</f>
        <v/>
      </c>
      <c r="X640" s="67" t="str">
        <f>IF(AND(A640="",E640=""),"",IF(V640="Oui","Annulé",IF(AND(N(H640)&gt;0,N(T640)&gt;=N(H640)),"Reçu",IF(N(S640)=0,"Brouillon",IF(AND(ISNUMBER(R640),R640&lt;p_today),"En retard",IF(N(T640)&gt;0,"Partiel","Envoyé"))))))</f>
        <v/>
      </c>
      <c r="Y640" s="75" t="str">
        <f>IF(X640="En retard",p_today-R640,IF(AND(X640="Reçu",ISNUMBER(R640)),MAX(0,N(U640)-R640),""))</f>
        <v/>
      </c>
      <c r="Z640" s="67" t="str">
        <f>IF(AND(A640="",E640=""),"",IF(A640="","N° de bon manquant",IF(N(B640)=0,"Date de commande manquante",IF(C640="","Fournisseur manquant",IF(ISNA(MATCH($C640,sup_code,0)),"Fournisseur inconnu",IF(E640="","Article manquant",IF(ISNA(MATCH($E640,art_ref,0)),"Article inconnu",IF(N(H640)&lt;=0,"Quantité invalide",IF(J640="","Prix manquant",IF(OR(N(K640)&lt;0,N(K640)&gt;=1),"Remise invalide",IF(M640="","TVA manquante",IF(ISNA(MATCH(M640,p_tva,0)),"Taux de TVA inconnu",IF(COUNTIFS(po_num,A640,po_sup,"&lt;&gt;"&amp;C640)&gt;0,"Fournisseur différent sur ce bon",IF(COUNTIFS(po_num,A640,po_date,"&lt;&gt;"&amp;B640)&gt;0,"Date différente sur ce bon",IF(COUNTIF(po_num,A640)&gt;25,"Plus de 25 lignes sur ce bon",IF(R640="","Date de livraison manquante",IF(R640&lt;B640,"Livraison avant la commande",IF(AND(N(T640)&gt;0,N(S640)=0),"Date d'envoi manquante",IF(N(T640)&gt;N(H640),"Reçu plus que commandé",IF(AND(N(T640)&gt;0,N(U640)=0),"Date de réception manquante",IF(AND(N(U640)&gt;0,U640&lt;B640),"Réception avant la commande","OK")))))))))))))))))))))</f>
        <v/>
      </c>
      <c r="AA640" s="66" t="str">
        <f>IF(AND(X640="Reçu",ISNUMBER(R640)),IF(N(U640)&lt;=R640,1,0),"")</f>
        <v/>
      </c>
      <c r="AB640" s="76" t="str">
        <f>IF(OR(X640="Envoyé",X640="Partiel",X640="En retard"),IF(ISNUMBER(R640),R640,100000)+ROW()/100000,"")</f>
        <v/>
      </c>
      <c r="AC640" s="66" t="str">
        <f>IF(A640="","",IF(COUNTIF($A$6:A640,A640)=1,1,""))</f>
        <v/>
      </c>
      <c r="AD640" s="66" t="str">
        <f>IF(AC640=1,COUNT($AC$6:AC640),"")</f>
        <v/>
      </c>
      <c r="AE640" s="66" t="str">
        <f>IFERROR(INDEX(po_num,MATCH(635,po_seq,0))&amp;"","")</f>
        <v/>
      </c>
      <c r="AF640" s="66" t="str">
        <f>IF(OR(A640="",p_po=""),"",IF(A640&amp;""=p_po,COUNTIF($A$6:A640,A640),""))</f>
        <v/>
      </c>
      <c r="AG640" s="66" t="str">
        <f>IF(OR(AB640="",A640=""),"",IF(COUNTIFS($A$6:A640,A640,$AB$6:AB640,"&gt;0")=1,1,""))</f>
        <v/>
      </c>
      <c r="AH640" s="70" t="str">
        <f>IF(AB640="","",ROUND(N(W640)*N(J640)*(1-N(K640)),2))</f>
        <v/>
      </c>
      <c r="AI640" s="70" t="str">
        <f>IF(OR(J640="",N(T640)&lt;=0,V640="Oui"),"",ROUND(N(T640)*J640*(1-N(K640)),2))</f>
        <v/>
      </c>
    </row>
    <row r="641">
      <c r="A641" s="63" t="n"/>
      <c r="B641" s="64" t="n"/>
      <c r="C641" s="65" t="n"/>
      <c r="D641" s="66" t="str">
        <f>IF(C641="","",IFERROR(INDEX(sup_name,MATCH($C641,sup_code,0))&amp;"","Fournisseur inconnu"))</f>
        <v/>
      </c>
      <c r="E641" s="63" t="n"/>
      <c r="F641" s="66" t="str">
        <f>IF(E641="","",IFERROR(INDEX(art_des,MATCH($E641,art_ref,0))&amp;"","Article inconnu"))</f>
        <v/>
      </c>
      <c r="G641" s="67" t="str">
        <f>IF(E641="","",IFERROR(INDEX(art_unit,MATCH($E641,art_ref,0))&amp;"",""))</f>
        <v/>
      </c>
      <c r="H641" s="68" t="n"/>
      <c r="I641" s="69" t="n"/>
      <c r="J641" s="70" t="str">
        <f>IF(E641="","",IF(ISNUMBER(I641),I641,IFERROR(IF(ISNUMBER(INDEX(art_price,MATCH($E641,art_ref,0))),INDEX(art_price,MATCH($E641,art_ref,0)),""),"")))</f>
        <v/>
      </c>
      <c r="K641" s="71" t="n"/>
      <c r="L641" s="72" t="n"/>
      <c r="M641" s="72" t="str">
        <f>IF(E641="","",IF(L641&lt;&gt;"",L641,IFERROR(IF(ISNUMBER(INDEX(art_tva,MATCH($E641,art_ref,0))),INDEX(art_tva,MATCH($E641,art_ref,0)),""),"")))</f>
        <v/>
      </c>
      <c r="N641" s="70" t="str">
        <f>IF(OR(E641="",J641=""),"",ROUND(N(H641)*J641*(1-N(K641)),2))</f>
        <v/>
      </c>
      <c r="O641" s="70" t="str">
        <f>IF(OR(N641="",NOT(ISNUMBER(M641))),"",ROUND(N641*M641,2))</f>
        <v/>
      </c>
      <c r="P641" s="70" t="str">
        <f>IF(N641="","",N641+N(O641))</f>
        <v/>
      </c>
      <c r="Q641" s="64" t="n"/>
      <c r="R641" s="73" t="str">
        <f>IF(N(Q641)&gt;0,Q641,IF(OR(N(B641)=0,ISNA(MATCH($C641,sup_code,0))),"",IF(ISNUMBER(INDEX(sup_delay,MATCH($C641,sup_code,0))),B641+INDEX(sup_delay,MATCH($C641,sup_code,0)),"")))</f>
        <v/>
      </c>
      <c r="S641" s="64" t="n"/>
      <c r="T641" s="68" t="n"/>
      <c r="U641" s="64" t="n"/>
      <c r="V641" s="65" t="n"/>
      <c r="W641" s="74" t="str">
        <f>IF(AND(A641="",E641=""),"",IF(V641="Oui",0,MAX(0,ROUND(N(H641)-N(T641),6))))</f>
        <v/>
      </c>
      <c r="X641" s="67" t="str">
        <f>IF(AND(A641="",E641=""),"",IF(V641="Oui","Annulé",IF(AND(N(H641)&gt;0,N(T641)&gt;=N(H641)),"Reçu",IF(N(S641)=0,"Brouillon",IF(AND(ISNUMBER(R641),R641&lt;p_today),"En retard",IF(N(T641)&gt;0,"Partiel","Envoyé"))))))</f>
        <v/>
      </c>
      <c r="Y641" s="75" t="str">
        <f>IF(X641="En retard",p_today-R641,IF(AND(X641="Reçu",ISNUMBER(R641)),MAX(0,N(U641)-R641),""))</f>
        <v/>
      </c>
      <c r="Z641" s="67" t="str">
        <f>IF(AND(A641="",E641=""),"",IF(A641="","N° de bon manquant",IF(N(B641)=0,"Date de commande manquante",IF(C641="","Fournisseur manquant",IF(ISNA(MATCH($C641,sup_code,0)),"Fournisseur inconnu",IF(E641="","Article manquant",IF(ISNA(MATCH($E641,art_ref,0)),"Article inconnu",IF(N(H641)&lt;=0,"Quantité invalide",IF(J641="","Prix manquant",IF(OR(N(K641)&lt;0,N(K641)&gt;=1),"Remise invalide",IF(M641="","TVA manquante",IF(ISNA(MATCH(M641,p_tva,0)),"Taux de TVA inconnu",IF(COUNTIFS(po_num,A641,po_sup,"&lt;&gt;"&amp;C641)&gt;0,"Fournisseur différent sur ce bon",IF(COUNTIFS(po_num,A641,po_date,"&lt;&gt;"&amp;B641)&gt;0,"Date différente sur ce bon",IF(COUNTIF(po_num,A641)&gt;25,"Plus de 25 lignes sur ce bon",IF(R641="","Date de livraison manquante",IF(R641&lt;B641,"Livraison avant la commande",IF(AND(N(T641)&gt;0,N(S641)=0),"Date d'envoi manquante",IF(N(T641)&gt;N(H641),"Reçu plus que commandé",IF(AND(N(T641)&gt;0,N(U641)=0),"Date de réception manquante",IF(AND(N(U641)&gt;0,U641&lt;B641),"Réception avant la commande","OK")))))))))))))))))))))</f>
        <v/>
      </c>
      <c r="AA641" s="66" t="str">
        <f>IF(AND(X641="Reçu",ISNUMBER(R641)),IF(N(U641)&lt;=R641,1,0),"")</f>
        <v/>
      </c>
      <c r="AB641" s="76" t="str">
        <f>IF(OR(X641="Envoyé",X641="Partiel",X641="En retard"),IF(ISNUMBER(R641),R641,100000)+ROW()/100000,"")</f>
        <v/>
      </c>
      <c r="AC641" s="66" t="str">
        <f>IF(A641="","",IF(COUNTIF($A$6:A641,A641)=1,1,""))</f>
        <v/>
      </c>
      <c r="AD641" s="66" t="str">
        <f>IF(AC641=1,COUNT($AC$6:AC641),"")</f>
        <v/>
      </c>
      <c r="AE641" s="66" t="str">
        <f>IFERROR(INDEX(po_num,MATCH(636,po_seq,0))&amp;"","")</f>
        <v/>
      </c>
      <c r="AF641" s="66" t="str">
        <f>IF(OR(A641="",p_po=""),"",IF(A641&amp;""=p_po,COUNTIF($A$6:A641,A641),""))</f>
        <v/>
      </c>
      <c r="AG641" s="66" t="str">
        <f>IF(OR(AB641="",A641=""),"",IF(COUNTIFS($A$6:A641,A641,$AB$6:AB641,"&gt;0")=1,1,""))</f>
        <v/>
      </c>
      <c r="AH641" s="70" t="str">
        <f>IF(AB641="","",ROUND(N(W641)*N(J641)*(1-N(K641)),2))</f>
        <v/>
      </c>
      <c r="AI641" s="70" t="str">
        <f>IF(OR(J641="",N(T641)&lt;=0,V641="Oui"),"",ROUND(N(T641)*J641*(1-N(K641)),2))</f>
        <v/>
      </c>
    </row>
    <row r="642">
      <c r="A642" s="63" t="n"/>
      <c r="B642" s="64" t="n"/>
      <c r="C642" s="65" t="n"/>
      <c r="D642" s="66" t="str">
        <f>IF(C642="","",IFERROR(INDEX(sup_name,MATCH($C642,sup_code,0))&amp;"","Fournisseur inconnu"))</f>
        <v/>
      </c>
      <c r="E642" s="63" t="n"/>
      <c r="F642" s="66" t="str">
        <f>IF(E642="","",IFERROR(INDEX(art_des,MATCH($E642,art_ref,0))&amp;"","Article inconnu"))</f>
        <v/>
      </c>
      <c r="G642" s="67" t="str">
        <f>IF(E642="","",IFERROR(INDEX(art_unit,MATCH($E642,art_ref,0))&amp;"",""))</f>
        <v/>
      </c>
      <c r="H642" s="68" t="n"/>
      <c r="I642" s="69" t="n"/>
      <c r="J642" s="70" t="str">
        <f>IF(E642="","",IF(ISNUMBER(I642),I642,IFERROR(IF(ISNUMBER(INDEX(art_price,MATCH($E642,art_ref,0))),INDEX(art_price,MATCH($E642,art_ref,0)),""),"")))</f>
        <v/>
      </c>
      <c r="K642" s="71" t="n"/>
      <c r="L642" s="72" t="n"/>
      <c r="M642" s="72" t="str">
        <f>IF(E642="","",IF(L642&lt;&gt;"",L642,IFERROR(IF(ISNUMBER(INDEX(art_tva,MATCH($E642,art_ref,0))),INDEX(art_tva,MATCH($E642,art_ref,0)),""),"")))</f>
        <v/>
      </c>
      <c r="N642" s="70" t="str">
        <f>IF(OR(E642="",J642=""),"",ROUND(N(H642)*J642*(1-N(K642)),2))</f>
        <v/>
      </c>
      <c r="O642" s="70" t="str">
        <f>IF(OR(N642="",NOT(ISNUMBER(M642))),"",ROUND(N642*M642,2))</f>
        <v/>
      </c>
      <c r="P642" s="70" t="str">
        <f>IF(N642="","",N642+N(O642))</f>
        <v/>
      </c>
      <c r="Q642" s="64" t="n"/>
      <c r="R642" s="73" t="str">
        <f>IF(N(Q642)&gt;0,Q642,IF(OR(N(B642)=0,ISNA(MATCH($C642,sup_code,0))),"",IF(ISNUMBER(INDEX(sup_delay,MATCH($C642,sup_code,0))),B642+INDEX(sup_delay,MATCH($C642,sup_code,0)),"")))</f>
        <v/>
      </c>
      <c r="S642" s="64" t="n"/>
      <c r="T642" s="68" t="n"/>
      <c r="U642" s="64" t="n"/>
      <c r="V642" s="65" t="n"/>
      <c r="W642" s="74" t="str">
        <f>IF(AND(A642="",E642=""),"",IF(V642="Oui",0,MAX(0,ROUND(N(H642)-N(T642),6))))</f>
        <v/>
      </c>
      <c r="X642" s="67" t="str">
        <f>IF(AND(A642="",E642=""),"",IF(V642="Oui","Annulé",IF(AND(N(H642)&gt;0,N(T642)&gt;=N(H642)),"Reçu",IF(N(S642)=0,"Brouillon",IF(AND(ISNUMBER(R642),R642&lt;p_today),"En retard",IF(N(T642)&gt;0,"Partiel","Envoyé"))))))</f>
        <v/>
      </c>
      <c r="Y642" s="75" t="str">
        <f>IF(X642="En retard",p_today-R642,IF(AND(X642="Reçu",ISNUMBER(R642)),MAX(0,N(U642)-R642),""))</f>
        <v/>
      </c>
      <c r="Z642" s="67" t="str">
        <f>IF(AND(A642="",E642=""),"",IF(A642="","N° de bon manquant",IF(N(B642)=0,"Date de commande manquante",IF(C642="","Fournisseur manquant",IF(ISNA(MATCH($C642,sup_code,0)),"Fournisseur inconnu",IF(E642="","Article manquant",IF(ISNA(MATCH($E642,art_ref,0)),"Article inconnu",IF(N(H642)&lt;=0,"Quantité invalide",IF(J642="","Prix manquant",IF(OR(N(K642)&lt;0,N(K642)&gt;=1),"Remise invalide",IF(M642="","TVA manquante",IF(ISNA(MATCH(M642,p_tva,0)),"Taux de TVA inconnu",IF(COUNTIFS(po_num,A642,po_sup,"&lt;&gt;"&amp;C642)&gt;0,"Fournisseur différent sur ce bon",IF(COUNTIFS(po_num,A642,po_date,"&lt;&gt;"&amp;B642)&gt;0,"Date différente sur ce bon",IF(COUNTIF(po_num,A642)&gt;25,"Plus de 25 lignes sur ce bon",IF(R642="","Date de livraison manquante",IF(R642&lt;B642,"Livraison avant la commande",IF(AND(N(T642)&gt;0,N(S642)=0),"Date d'envoi manquante",IF(N(T642)&gt;N(H642),"Reçu plus que commandé",IF(AND(N(T642)&gt;0,N(U642)=0),"Date de réception manquante",IF(AND(N(U642)&gt;0,U642&lt;B642),"Réception avant la commande","OK")))))))))))))))))))))</f>
        <v/>
      </c>
      <c r="AA642" s="66" t="str">
        <f>IF(AND(X642="Reçu",ISNUMBER(R642)),IF(N(U642)&lt;=R642,1,0),"")</f>
        <v/>
      </c>
      <c r="AB642" s="76" t="str">
        <f>IF(OR(X642="Envoyé",X642="Partiel",X642="En retard"),IF(ISNUMBER(R642),R642,100000)+ROW()/100000,"")</f>
        <v/>
      </c>
      <c r="AC642" s="66" t="str">
        <f>IF(A642="","",IF(COUNTIF($A$6:A642,A642)=1,1,""))</f>
        <v/>
      </c>
      <c r="AD642" s="66" t="str">
        <f>IF(AC642=1,COUNT($AC$6:AC642),"")</f>
        <v/>
      </c>
      <c r="AE642" s="66" t="str">
        <f>IFERROR(INDEX(po_num,MATCH(637,po_seq,0))&amp;"","")</f>
        <v/>
      </c>
      <c r="AF642" s="66" t="str">
        <f>IF(OR(A642="",p_po=""),"",IF(A642&amp;""=p_po,COUNTIF($A$6:A642,A642),""))</f>
        <v/>
      </c>
      <c r="AG642" s="66" t="str">
        <f>IF(OR(AB642="",A642=""),"",IF(COUNTIFS($A$6:A642,A642,$AB$6:AB642,"&gt;0")=1,1,""))</f>
        <v/>
      </c>
      <c r="AH642" s="70" t="str">
        <f>IF(AB642="","",ROUND(N(W642)*N(J642)*(1-N(K642)),2))</f>
        <v/>
      </c>
      <c r="AI642" s="70" t="str">
        <f>IF(OR(J642="",N(T642)&lt;=0,V642="Oui"),"",ROUND(N(T642)*J642*(1-N(K642)),2))</f>
        <v/>
      </c>
    </row>
    <row r="643">
      <c r="A643" s="63" t="n"/>
      <c r="B643" s="64" t="n"/>
      <c r="C643" s="65" t="n"/>
      <c r="D643" s="66" t="str">
        <f>IF(C643="","",IFERROR(INDEX(sup_name,MATCH($C643,sup_code,0))&amp;"","Fournisseur inconnu"))</f>
        <v/>
      </c>
      <c r="E643" s="63" t="n"/>
      <c r="F643" s="66" t="str">
        <f>IF(E643="","",IFERROR(INDEX(art_des,MATCH($E643,art_ref,0))&amp;"","Article inconnu"))</f>
        <v/>
      </c>
      <c r="G643" s="67" t="str">
        <f>IF(E643="","",IFERROR(INDEX(art_unit,MATCH($E643,art_ref,0))&amp;"",""))</f>
        <v/>
      </c>
      <c r="H643" s="68" t="n"/>
      <c r="I643" s="69" t="n"/>
      <c r="J643" s="70" t="str">
        <f>IF(E643="","",IF(ISNUMBER(I643),I643,IFERROR(IF(ISNUMBER(INDEX(art_price,MATCH($E643,art_ref,0))),INDEX(art_price,MATCH($E643,art_ref,0)),""),"")))</f>
        <v/>
      </c>
      <c r="K643" s="71" t="n"/>
      <c r="L643" s="72" t="n"/>
      <c r="M643" s="72" t="str">
        <f>IF(E643="","",IF(L643&lt;&gt;"",L643,IFERROR(IF(ISNUMBER(INDEX(art_tva,MATCH($E643,art_ref,0))),INDEX(art_tva,MATCH($E643,art_ref,0)),""),"")))</f>
        <v/>
      </c>
      <c r="N643" s="70" t="str">
        <f>IF(OR(E643="",J643=""),"",ROUND(N(H643)*J643*(1-N(K643)),2))</f>
        <v/>
      </c>
      <c r="O643" s="70" t="str">
        <f>IF(OR(N643="",NOT(ISNUMBER(M643))),"",ROUND(N643*M643,2))</f>
        <v/>
      </c>
      <c r="P643" s="70" t="str">
        <f>IF(N643="","",N643+N(O643))</f>
        <v/>
      </c>
      <c r="Q643" s="64" t="n"/>
      <c r="R643" s="73" t="str">
        <f>IF(N(Q643)&gt;0,Q643,IF(OR(N(B643)=0,ISNA(MATCH($C643,sup_code,0))),"",IF(ISNUMBER(INDEX(sup_delay,MATCH($C643,sup_code,0))),B643+INDEX(sup_delay,MATCH($C643,sup_code,0)),"")))</f>
        <v/>
      </c>
      <c r="S643" s="64" t="n"/>
      <c r="T643" s="68" t="n"/>
      <c r="U643" s="64" t="n"/>
      <c r="V643" s="65" t="n"/>
      <c r="W643" s="74" t="str">
        <f>IF(AND(A643="",E643=""),"",IF(V643="Oui",0,MAX(0,ROUND(N(H643)-N(T643),6))))</f>
        <v/>
      </c>
      <c r="X643" s="67" t="str">
        <f>IF(AND(A643="",E643=""),"",IF(V643="Oui","Annulé",IF(AND(N(H643)&gt;0,N(T643)&gt;=N(H643)),"Reçu",IF(N(S643)=0,"Brouillon",IF(AND(ISNUMBER(R643),R643&lt;p_today),"En retard",IF(N(T643)&gt;0,"Partiel","Envoyé"))))))</f>
        <v/>
      </c>
      <c r="Y643" s="75" t="str">
        <f>IF(X643="En retard",p_today-R643,IF(AND(X643="Reçu",ISNUMBER(R643)),MAX(0,N(U643)-R643),""))</f>
        <v/>
      </c>
      <c r="Z643" s="67" t="str">
        <f>IF(AND(A643="",E643=""),"",IF(A643="","N° de bon manquant",IF(N(B643)=0,"Date de commande manquante",IF(C643="","Fournisseur manquant",IF(ISNA(MATCH($C643,sup_code,0)),"Fournisseur inconnu",IF(E643="","Article manquant",IF(ISNA(MATCH($E643,art_ref,0)),"Article inconnu",IF(N(H643)&lt;=0,"Quantité invalide",IF(J643="","Prix manquant",IF(OR(N(K643)&lt;0,N(K643)&gt;=1),"Remise invalide",IF(M643="","TVA manquante",IF(ISNA(MATCH(M643,p_tva,0)),"Taux de TVA inconnu",IF(COUNTIFS(po_num,A643,po_sup,"&lt;&gt;"&amp;C643)&gt;0,"Fournisseur différent sur ce bon",IF(COUNTIFS(po_num,A643,po_date,"&lt;&gt;"&amp;B643)&gt;0,"Date différente sur ce bon",IF(COUNTIF(po_num,A643)&gt;25,"Plus de 25 lignes sur ce bon",IF(R643="","Date de livraison manquante",IF(R643&lt;B643,"Livraison avant la commande",IF(AND(N(T643)&gt;0,N(S643)=0),"Date d'envoi manquante",IF(N(T643)&gt;N(H643),"Reçu plus que commandé",IF(AND(N(T643)&gt;0,N(U643)=0),"Date de réception manquante",IF(AND(N(U643)&gt;0,U643&lt;B643),"Réception avant la commande","OK")))))))))))))))))))))</f>
        <v/>
      </c>
      <c r="AA643" s="66" t="str">
        <f>IF(AND(X643="Reçu",ISNUMBER(R643)),IF(N(U643)&lt;=R643,1,0),"")</f>
        <v/>
      </c>
      <c r="AB643" s="76" t="str">
        <f>IF(OR(X643="Envoyé",X643="Partiel",X643="En retard"),IF(ISNUMBER(R643),R643,100000)+ROW()/100000,"")</f>
        <v/>
      </c>
      <c r="AC643" s="66" t="str">
        <f>IF(A643="","",IF(COUNTIF($A$6:A643,A643)=1,1,""))</f>
        <v/>
      </c>
      <c r="AD643" s="66" t="str">
        <f>IF(AC643=1,COUNT($AC$6:AC643),"")</f>
        <v/>
      </c>
      <c r="AE643" s="66" t="str">
        <f>IFERROR(INDEX(po_num,MATCH(638,po_seq,0))&amp;"","")</f>
        <v/>
      </c>
      <c r="AF643" s="66" t="str">
        <f>IF(OR(A643="",p_po=""),"",IF(A643&amp;""=p_po,COUNTIF($A$6:A643,A643),""))</f>
        <v/>
      </c>
      <c r="AG643" s="66" t="str">
        <f>IF(OR(AB643="",A643=""),"",IF(COUNTIFS($A$6:A643,A643,$AB$6:AB643,"&gt;0")=1,1,""))</f>
        <v/>
      </c>
      <c r="AH643" s="70" t="str">
        <f>IF(AB643="","",ROUND(N(W643)*N(J643)*(1-N(K643)),2))</f>
        <v/>
      </c>
      <c r="AI643" s="70" t="str">
        <f>IF(OR(J643="",N(T643)&lt;=0,V643="Oui"),"",ROUND(N(T643)*J643*(1-N(K643)),2))</f>
        <v/>
      </c>
    </row>
    <row r="644">
      <c r="A644" s="63" t="n"/>
      <c r="B644" s="64" t="n"/>
      <c r="C644" s="65" t="n"/>
      <c r="D644" s="66" t="str">
        <f>IF(C644="","",IFERROR(INDEX(sup_name,MATCH($C644,sup_code,0))&amp;"","Fournisseur inconnu"))</f>
        <v/>
      </c>
      <c r="E644" s="63" t="n"/>
      <c r="F644" s="66" t="str">
        <f>IF(E644="","",IFERROR(INDEX(art_des,MATCH($E644,art_ref,0))&amp;"","Article inconnu"))</f>
        <v/>
      </c>
      <c r="G644" s="67" t="str">
        <f>IF(E644="","",IFERROR(INDEX(art_unit,MATCH($E644,art_ref,0))&amp;"",""))</f>
        <v/>
      </c>
      <c r="H644" s="68" t="n"/>
      <c r="I644" s="69" t="n"/>
      <c r="J644" s="70" t="str">
        <f>IF(E644="","",IF(ISNUMBER(I644),I644,IFERROR(IF(ISNUMBER(INDEX(art_price,MATCH($E644,art_ref,0))),INDEX(art_price,MATCH($E644,art_ref,0)),""),"")))</f>
        <v/>
      </c>
      <c r="K644" s="71" t="n"/>
      <c r="L644" s="72" t="n"/>
      <c r="M644" s="72" t="str">
        <f>IF(E644="","",IF(L644&lt;&gt;"",L644,IFERROR(IF(ISNUMBER(INDEX(art_tva,MATCH($E644,art_ref,0))),INDEX(art_tva,MATCH($E644,art_ref,0)),""),"")))</f>
        <v/>
      </c>
      <c r="N644" s="70" t="str">
        <f>IF(OR(E644="",J644=""),"",ROUND(N(H644)*J644*(1-N(K644)),2))</f>
        <v/>
      </c>
      <c r="O644" s="70" t="str">
        <f>IF(OR(N644="",NOT(ISNUMBER(M644))),"",ROUND(N644*M644,2))</f>
        <v/>
      </c>
      <c r="P644" s="70" t="str">
        <f>IF(N644="","",N644+N(O644))</f>
        <v/>
      </c>
      <c r="Q644" s="64" t="n"/>
      <c r="R644" s="73" t="str">
        <f>IF(N(Q644)&gt;0,Q644,IF(OR(N(B644)=0,ISNA(MATCH($C644,sup_code,0))),"",IF(ISNUMBER(INDEX(sup_delay,MATCH($C644,sup_code,0))),B644+INDEX(sup_delay,MATCH($C644,sup_code,0)),"")))</f>
        <v/>
      </c>
      <c r="S644" s="64" t="n"/>
      <c r="T644" s="68" t="n"/>
      <c r="U644" s="64" t="n"/>
      <c r="V644" s="65" t="n"/>
      <c r="W644" s="74" t="str">
        <f>IF(AND(A644="",E644=""),"",IF(V644="Oui",0,MAX(0,ROUND(N(H644)-N(T644),6))))</f>
        <v/>
      </c>
      <c r="X644" s="67" t="str">
        <f>IF(AND(A644="",E644=""),"",IF(V644="Oui","Annulé",IF(AND(N(H644)&gt;0,N(T644)&gt;=N(H644)),"Reçu",IF(N(S644)=0,"Brouillon",IF(AND(ISNUMBER(R644),R644&lt;p_today),"En retard",IF(N(T644)&gt;0,"Partiel","Envoyé"))))))</f>
        <v/>
      </c>
      <c r="Y644" s="75" t="str">
        <f>IF(X644="En retard",p_today-R644,IF(AND(X644="Reçu",ISNUMBER(R644)),MAX(0,N(U644)-R644),""))</f>
        <v/>
      </c>
      <c r="Z644" s="67" t="str">
        <f>IF(AND(A644="",E644=""),"",IF(A644="","N° de bon manquant",IF(N(B644)=0,"Date de commande manquante",IF(C644="","Fournisseur manquant",IF(ISNA(MATCH($C644,sup_code,0)),"Fournisseur inconnu",IF(E644="","Article manquant",IF(ISNA(MATCH($E644,art_ref,0)),"Article inconnu",IF(N(H644)&lt;=0,"Quantité invalide",IF(J644="","Prix manquant",IF(OR(N(K644)&lt;0,N(K644)&gt;=1),"Remise invalide",IF(M644="","TVA manquante",IF(ISNA(MATCH(M644,p_tva,0)),"Taux de TVA inconnu",IF(COUNTIFS(po_num,A644,po_sup,"&lt;&gt;"&amp;C644)&gt;0,"Fournisseur différent sur ce bon",IF(COUNTIFS(po_num,A644,po_date,"&lt;&gt;"&amp;B644)&gt;0,"Date différente sur ce bon",IF(COUNTIF(po_num,A644)&gt;25,"Plus de 25 lignes sur ce bon",IF(R644="","Date de livraison manquante",IF(R644&lt;B644,"Livraison avant la commande",IF(AND(N(T644)&gt;0,N(S644)=0),"Date d'envoi manquante",IF(N(T644)&gt;N(H644),"Reçu plus que commandé",IF(AND(N(T644)&gt;0,N(U644)=0),"Date de réception manquante",IF(AND(N(U644)&gt;0,U644&lt;B644),"Réception avant la commande","OK")))))))))))))))))))))</f>
        <v/>
      </c>
      <c r="AA644" s="66" t="str">
        <f>IF(AND(X644="Reçu",ISNUMBER(R644)),IF(N(U644)&lt;=R644,1,0),"")</f>
        <v/>
      </c>
      <c r="AB644" s="76" t="str">
        <f>IF(OR(X644="Envoyé",X644="Partiel",X644="En retard"),IF(ISNUMBER(R644),R644,100000)+ROW()/100000,"")</f>
        <v/>
      </c>
      <c r="AC644" s="66" t="str">
        <f>IF(A644="","",IF(COUNTIF($A$6:A644,A644)=1,1,""))</f>
        <v/>
      </c>
      <c r="AD644" s="66" t="str">
        <f>IF(AC644=1,COUNT($AC$6:AC644),"")</f>
        <v/>
      </c>
      <c r="AE644" s="66" t="str">
        <f>IFERROR(INDEX(po_num,MATCH(639,po_seq,0))&amp;"","")</f>
        <v/>
      </c>
      <c r="AF644" s="66" t="str">
        <f>IF(OR(A644="",p_po=""),"",IF(A644&amp;""=p_po,COUNTIF($A$6:A644,A644),""))</f>
        <v/>
      </c>
      <c r="AG644" s="66" t="str">
        <f>IF(OR(AB644="",A644=""),"",IF(COUNTIFS($A$6:A644,A644,$AB$6:AB644,"&gt;0")=1,1,""))</f>
        <v/>
      </c>
      <c r="AH644" s="70" t="str">
        <f>IF(AB644="","",ROUND(N(W644)*N(J644)*(1-N(K644)),2))</f>
        <v/>
      </c>
      <c r="AI644" s="70" t="str">
        <f>IF(OR(J644="",N(T644)&lt;=0,V644="Oui"),"",ROUND(N(T644)*J644*(1-N(K644)),2))</f>
        <v/>
      </c>
    </row>
    <row r="645">
      <c r="A645" s="63" t="n"/>
      <c r="B645" s="64" t="n"/>
      <c r="C645" s="65" t="n"/>
      <c r="D645" s="66" t="str">
        <f>IF(C645="","",IFERROR(INDEX(sup_name,MATCH($C645,sup_code,0))&amp;"","Fournisseur inconnu"))</f>
        <v/>
      </c>
      <c r="E645" s="63" t="n"/>
      <c r="F645" s="66" t="str">
        <f>IF(E645="","",IFERROR(INDEX(art_des,MATCH($E645,art_ref,0))&amp;"","Article inconnu"))</f>
        <v/>
      </c>
      <c r="G645" s="67" t="str">
        <f>IF(E645="","",IFERROR(INDEX(art_unit,MATCH($E645,art_ref,0))&amp;"",""))</f>
        <v/>
      </c>
      <c r="H645" s="68" t="n"/>
      <c r="I645" s="69" t="n"/>
      <c r="J645" s="70" t="str">
        <f>IF(E645="","",IF(ISNUMBER(I645),I645,IFERROR(IF(ISNUMBER(INDEX(art_price,MATCH($E645,art_ref,0))),INDEX(art_price,MATCH($E645,art_ref,0)),""),"")))</f>
        <v/>
      </c>
      <c r="K645" s="71" t="n"/>
      <c r="L645" s="72" t="n"/>
      <c r="M645" s="72" t="str">
        <f>IF(E645="","",IF(L645&lt;&gt;"",L645,IFERROR(IF(ISNUMBER(INDEX(art_tva,MATCH($E645,art_ref,0))),INDEX(art_tva,MATCH($E645,art_ref,0)),""),"")))</f>
        <v/>
      </c>
      <c r="N645" s="70" t="str">
        <f>IF(OR(E645="",J645=""),"",ROUND(N(H645)*J645*(1-N(K645)),2))</f>
        <v/>
      </c>
      <c r="O645" s="70" t="str">
        <f>IF(OR(N645="",NOT(ISNUMBER(M645))),"",ROUND(N645*M645,2))</f>
        <v/>
      </c>
      <c r="P645" s="70" t="str">
        <f>IF(N645="","",N645+N(O645))</f>
        <v/>
      </c>
      <c r="Q645" s="64" t="n"/>
      <c r="R645" s="73" t="str">
        <f>IF(N(Q645)&gt;0,Q645,IF(OR(N(B645)=0,ISNA(MATCH($C645,sup_code,0))),"",IF(ISNUMBER(INDEX(sup_delay,MATCH($C645,sup_code,0))),B645+INDEX(sup_delay,MATCH($C645,sup_code,0)),"")))</f>
        <v/>
      </c>
      <c r="S645" s="64" t="n"/>
      <c r="T645" s="68" t="n"/>
      <c r="U645" s="64" t="n"/>
      <c r="V645" s="65" t="n"/>
      <c r="W645" s="74" t="str">
        <f>IF(AND(A645="",E645=""),"",IF(V645="Oui",0,MAX(0,ROUND(N(H645)-N(T645),6))))</f>
        <v/>
      </c>
      <c r="X645" s="67" t="str">
        <f>IF(AND(A645="",E645=""),"",IF(V645="Oui","Annulé",IF(AND(N(H645)&gt;0,N(T645)&gt;=N(H645)),"Reçu",IF(N(S645)=0,"Brouillon",IF(AND(ISNUMBER(R645),R645&lt;p_today),"En retard",IF(N(T645)&gt;0,"Partiel","Envoyé"))))))</f>
        <v/>
      </c>
      <c r="Y645" s="75" t="str">
        <f>IF(X645="En retard",p_today-R645,IF(AND(X645="Reçu",ISNUMBER(R645)),MAX(0,N(U645)-R645),""))</f>
        <v/>
      </c>
      <c r="Z645" s="67" t="str">
        <f>IF(AND(A645="",E645=""),"",IF(A645="","N° de bon manquant",IF(N(B645)=0,"Date de commande manquante",IF(C645="","Fournisseur manquant",IF(ISNA(MATCH($C645,sup_code,0)),"Fournisseur inconnu",IF(E645="","Article manquant",IF(ISNA(MATCH($E645,art_ref,0)),"Article inconnu",IF(N(H645)&lt;=0,"Quantité invalide",IF(J645="","Prix manquant",IF(OR(N(K645)&lt;0,N(K645)&gt;=1),"Remise invalide",IF(M645="","TVA manquante",IF(ISNA(MATCH(M645,p_tva,0)),"Taux de TVA inconnu",IF(COUNTIFS(po_num,A645,po_sup,"&lt;&gt;"&amp;C645)&gt;0,"Fournisseur différent sur ce bon",IF(COUNTIFS(po_num,A645,po_date,"&lt;&gt;"&amp;B645)&gt;0,"Date différente sur ce bon",IF(COUNTIF(po_num,A645)&gt;25,"Plus de 25 lignes sur ce bon",IF(R645="","Date de livraison manquante",IF(R645&lt;B645,"Livraison avant la commande",IF(AND(N(T645)&gt;0,N(S645)=0),"Date d'envoi manquante",IF(N(T645)&gt;N(H645),"Reçu plus que commandé",IF(AND(N(T645)&gt;0,N(U645)=0),"Date de réception manquante",IF(AND(N(U645)&gt;0,U645&lt;B645),"Réception avant la commande","OK")))))))))))))))))))))</f>
        <v/>
      </c>
      <c r="AA645" s="66" t="str">
        <f>IF(AND(X645="Reçu",ISNUMBER(R645)),IF(N(U645)&lt;=R645,1,0),"")</f>
        <v/>
      </c>
      <c r="AB645" s="76" t="str">
        <f>IF(OR(X645="Envoyé",X645="Partiel",X645="En retard"),IF(ISNUMBER(R645),R645,100000)+ROW()/100000,"")</f>
        <v/>
      </c>
      <c r="AC645" s="66" t="str">
        <f>IF(A645="","",IF(COUNTIF($A$6:A645,A645)=1,1,""))</f>
        <v/>
      </c>
      <c r="AD645" s="66" t="str">
        <f>IF(AC645=1,COUNT($AC$6:AC645),"")</f>
        <v/>
      </c>
      <c r="AE645" s="66" t="str">
        <f>IFERROR(INDEX(po_num,MATCH(640,po_seq,0))&amp;"","")</f>
        <v/>
      </c>
      <c r="AF645" s="66" t="str">
        <f>IF(OR(A645="",p_po=""),"",IF(A645&amp;""=p_po,COUNTIF($A$6:A645,A645),""))</f>
        <v/>
      </c>
      <c r="AG645" s="66" t="str">
        <f>IF(OR(AB645="",A645=""),"",IF(COUNTIFS($A$6:A645,A645,$AB$6:AB645,"&gt;0")=1,1,""))</f>
        <v/>
      </c>
      <c r="AH645" s="70" t="str">
        <f>IF(AB645="","",ROUND(N(W645)*N(J645)*(1-N(K645)),2))</f>
        <v/>
      </c>
      <c r="AI645" s="70" t="str">
        <f>IF(OR(J645="",N(T645)&lt;=0,V645="Oui"),"",ROUND(N(T645)*J645*(1-N(K645)),2))</f>
        <v/>
      </c>
    </row>
    <row r="646">
      <c r="A646" s="63" t="n"/>
      <c r="B646" s="64" t="n"/>
      <c r="C646" s="65" t="n"/>
      <c r="D646" s="66" t="str">
        <f>IF(C646="","",IFERROR(INDEX(sup_name,MATCH($C646,sup_code,0))&amp;"","Fournisseur inconnu"))</f>
        <v/>
      </c>
      <c r="E646" s="63" t="n"/>
      <c r="F646" s="66" t="str">
        <f>IF(E646="","",IFERROR(INDEX(art_des,MATCH($E646,art_ref,0))&amp;"","Article inconnu"))</f>
        <v/>
      </c>
      <c r="G646" s="67" t="str">
        <f>IF(E646="","",IFERROR(INDEX(art_unit,MATCH($E646,art_ref,0))&amp;"",""))</f>
        <v/>
      </c>
      <c r="H646" s="68" t="n"/>
      <c r="I646" s="69" t="n"/>
      <c r="J646" s="70" t="str">
        <f>IF(E646="","",IF(ISNUMBER(I646),I646,IFERROR(IF(ISNUMBER(INDEX(art_price,MATCH($E646,art_ref,0))),INDEX(art_price,MATCH($E646,art_ref,0)),""),"")))</f>
        <v/>
      </c>
      <c r="K646" s="71" t="n"/>
      <c r="L646" s="72" t="n"/>
      <c r="M646" s="72" t="str">
        <f>IF(E646="","",IF(L646&lt;&gt;"",L646,IFERROR(IF(ISNUMBER(INDEX(art_tva,MATCH($E646,art_ref,0))),INDEX(art_tva,MATCH($E646,art_ref,0)),""),"")))</f>
        <v/>
      </c>
      <c r="N646" s="70" t="str">
        <f>IF(OR(E646="",J646=""),"",ROUND(N(H646)*J646*(1-N(K646)),2))</f>
        <v/>
      </c>
      <c r="O646" s="70" t="str">
        <f>IF(OR(N646="",NOT(ISNUMBER(M646))),"",ROUND(N646*M646,2))</f>
        <v/>
      </c>
      <c r="P646" s="70" t="str">
        <f>IF(N646="","",N646+N(O646))</f>
        <v/>
      </c>
      <c r="Q646" s="64" t="n"/>
      <c r="R646" s="73" t="str">
        <f>IF(N(Q646)&gt;0,Q646,IF(OR(N(B646)=0,ISNA(MATCH($C646,sup_code,0))),"",IF(ISNUMBER(INDEX(sup_delay,MATCH($C646,sup_code,0))),B646+INDEX(sup_delay,MATCH($C646,sup_code,0)),"")))</f>
        <v/>
      </c>
      <c r="S646" s="64" t="n"/>
      <c r="T646" s="68" t="n"/>
      <c r="U646" s="64" t="n"/>
      <c r="V646" s="65" t="n"/>
      <c r="W646" s="74" t="str">
        <f>IF(AND(A646="",E646=""),"",IF(V646="Oui",0,MAX(0,ROUND(N(H646)-N(T646),6))))</f>
        <v/>
      </c>
      <c r="X646" s="67" t="str">
        <f>IF(AND(A646="",E646=""),"",IF(V646="Oui","Annulé",IF(AND(N(H646)&gt;0,N(T646)&gt;=N(H646)),"Reçu",IF(N(S646)=0,"Brouillon",IF(AND(ISNUMBER(R646),R646&lt;p_today),"En retard",IF(N(T646)&gt;0,"Partiel","Envoyé"))))))</f>
        <v/>
      </c>
      <c r="Y646" s="75" t="str">
        <f>IF(X646="En retard",p_today-R646,IF(AND(X646="Reçu",ISNUMBER(R646)),MAX(0,N(U646)-R646),""))</f>
        <v/>
      </c>
      <c r="Z646" s="67" t="str">
        <f>IF(AND(A646="",E646=""),"",IF(A646="","N° de bon manquant",IF(N(B646)=0,"Date de commande manquante",IF(C646="","Fournisseur manquant",IF(ISNA(MATCH($C646,sup_code,0)),"Fournisseur inconnu",IF(E646="","Article manquant",IF(ISNA(MATCH($E646,art_ref,0)),"Article inconnu",IF(N(H646)&lt;=0,"Quantité invalide",IF(J646="","Prix manquant",IF(OR(N(K646)&lt;0,N(K646)&gt;=1),"Remise invalide",IF(M646="","TVA manquante",IF(ISNA(MATCH(M646,p_tva,0)),"Taux de TVA inconnu",IF(COUNTIFS(po_num,A646,po_sup,"&lt;&gt;"&amp;C646)&gt;0,"Fournisseur différent sur ce bon",IF(COUNTIFS(po_num,A646,po_date,"&lt;&gt;"&amp;B646)&gt;0,"Date différente sur ce bon",IF(COUNTIF(po_num,A646)&gt;25,"Plus de 25 lignes sur ce bon",IF(R646="","Date de livraison manquante",IF(R646&lt;B646,"Livraison avant la commande",IF(AND(N(T646)&gt;0,N(S646)=0),"Date d'envoi manquante",IF(N(T646)&gt;N(H646),"Reçu plus que commandé",IF(AND(N(T646)&gt;0,N(U646)=0),"Date de réception manquante",IF(AND(N(U646)&gt;0,U646&lt;B646),"Réception avant la commande","OK")))))))))))))))))))))</f>
        <v/>
      </c>
      <c r="AA646" s="66" t="str">
        <f>IF(AND(X646="Reçu",ISNUMBER(R646)),IF(N(U646)&lt;=R646,1,0),"")</f>
        <v/>
      </c>
      <c r="AB646" s="76" t="str">
        <f>IF(OR(X646="Envoyé",X646="Partiel",X646="En retard"),IF(ISNUMBER(R646),R646,100000)+ROW()/100000,"")</f>
        <v/>
      </c>
      <c r="AC646" s="66" t="str">
        <f>IF(A646="","",IF(COUNTIF($A$6:A646,A646)=1,1,""))</f>
        <v/>
      </c>
      <c r="AD646" s="66" t="str">
        <f>IF(AC646=1,COUNT($AC$6:AC646),"")</f>
        <v/>
      </c>
      <c r="AE646" s="66" t="str">
        <f>IFERROR(INDEX(po_num,MATCH(641,po_seq,0))&amp;"","")</f>
        <v/>
      </c>
      <c r="AF646" s="66" t="str">
        <f>IF(OR(A646="",p_po=""),"",IF(A646&amp;""=p_po,COUNTIF($A$6:A646,A646),""))</f>
        <v/>
      </c>
      <c r="AG646" s="66" t="str">
        <f>IF(OR(AB646="",A646=""),"",IF(COUNTIFS($A$6:A646,A646,$AB$6:AB646,"&gt;0")=1,1,""))</f>
        <v/>
      </c>
      <c r="AH646" s="70" t="str">
        <f>IF(AB646="","",ROUND(N(W646)*N(J646)*(1-N(K646)),2))</f>
        <v/>
      </c>
      <c r="AI646" s="70" t="str">
        <f>IF(OR(J646="",N(T646)&lt;=0,V646="Oui"),"",ROUND(N(T646)*J646*(1-N(K646)),2))</f>
        <v/>
      </c>
    </row>
    <row r="647">
      <c r="A647" s="63" t="n"/>
      <c r="B647" s="64" t="n"/>
      <c r="C647" s="65" t="n"/>
      <c r="D647" s="66" t="str">
        <f>IF(C647="","",IFERROR(INDEX(sup_name,MATCH($C647,sup_code,0))&amp;"","Fournisseur inconnu"))</f>
        <v/>
      </c>
      <c r="E647" s="63" t="n"/>
      <c r="F647" s="66" t="str">
        <f>IF(E647="","",IFERROR(INDEX(art_des,MATCH($E647,art_ref,0))&amp;"","Article inconnu"))</f>
        <v/>
      </c>
      <c r="G647" s="67" t="str">
        <f>IF(E647="","",IFERROR(INDEX(art_unit,MATCH($E647,art_ref,0))&amp;"",""))</f>
        <v/>
      </c>
      <c r="H647" s="68" t="n"/>
      <c r="I647" s="69" t="n"/>
      <c r="J647" s="70" t="str">
        <f>IF(E647="","",IF(ISNUMBER(I647),I647,IFERROR(IF(ISNUMBER(INDEX(art_price,MATCH($E647,art_ref,0))),INDEX(art_price,MATCH($E647,art_ref,0)),""),"")))</f>
        <v/>
      </c>
      <c r="K647" s="71" t="n"/>
      <c r="L647" s="72" t="n"/>
      <c r="M647" s="72" t="str">
        <f>IF(E647="","",IF(L647&lt;&gt;"",L647,IFERROR(IF(ISNUMBER(INDEX(art_tva,MATCH($E647,art_ref,0))),INDEX(art_tva,MATCH($E647,art_ref,0)),""),"")))</f>
        <v/>
      </c>
      <c r="N647" s="70" t="str">
        <f>IF(OR(E647="",J647=""),"",ROUND(N(H647)*J647*(1-N(K647)),2))</f>
        <v/>
      </c>
      <c r="O647" s="70" t="str">
        <f>IF(OR(N647="",NOT(ISNUMBER(M647))),"",ROUND(N647*M647,2))</f>
        <v/>
      </c>
      <c r="P647" s="70" t="str">
        <f>IF(N647="","",N647+N(O647))</f>
        <v/>
      </c>
      <c r="Q647" s="64" t="n"/>
      <c r="R647" s="73" t="str">
        <f>IF(N(Q647)&gt;0,Q647,IF(OR(N(B647)=0,ISNA(MATCH($C647,sup_code,0))),"",IF(ISNUMBER(INDEX(sup_delay,MATCH($C647,sup_code,0))),B647+INDEX(sup_delay,MATCH($C647,sup_code,0)),"")))</f>
        <v/>
      </c>
      <c r="S647" s="64" t="n"/>
      <c r="T647" s="68" t="n"/>
      <c r="U647" s="64" t="n"/>
      <c r="V647" s="65" t="n"/>
      <c r="W647" s="74" t="str">
        <f>IF(AND(A647="",E647=""),"",IF(V647="Oui",0,MAX(0,ROUND(N(H647)-N(T647),6))))</f>
        <v/>
      </c>
      <c r="X647" s="67" t="str">
        <f>IF(AND(A647="",E647=""),"",IF(V647="Oui","Annulé",IF(AND(N(H647)&gt;0,N(T647)&gt;=N(H647)),"Reçu",IF(N(S647)=0,"Brouillon",IF(AND(ISNUMBER(R647),R647&lt;p_today),"En retard",IF(N(T647)&gt;0,"Partiel","Envoyé"))))))</f>
        <v/>
      </c>
      <c r="Y647" s="75" t="str">
        <f>IF(X647="En retard",p_today-R647,IF(AND(X647="Reçu",ISNUMBER(R647)),MAX(0,N(U647)-R647),""))</f>
        <v/>
      </c>
      <c r="Z647" s="67" t="str">
        <f>IF(AND(A647="",E647=""),"",IF(A647="","N° de bon manquant",IF(N(B647)=0,"Date de commande manquante",IF(C647="","Fournisseur manquant",IF(ISNA(MATCH($C647,sup_code,0)),"Fournisseur inconnu",IF(E647="","Article manquant",IF(ISNA(MATCH($E647,art_ref,0)),"Article inconnu",IF(N(H647)&lt;=0,"Quantité invalide",IF(J647="","Prix manquant",IF(OR(N(K647)&lt;0,N(K647)&gt;=1),"Remise invalide",IF(M647="","TVA manquante",IF(ISNA(MATCH(M647,p_tva,0)),"Taux de TVA inconnu",IF(COUNTIFS(po_num,A647,po_sup,"&lt;&gt;"&amp;C647)&gt;0,"Fournisseur différent sur ce bon",IF(COUNTIFS(po_num,A647,po_date,"&lt;&gt;"&amp;B647)&gt;0,"Date différente sur ce bon",IF(COUNTIF(po_num,A647)&gt;25,"Plus de 25 lignes sur ce bon",IF(R647="","Date de livraison manquante",IF(R647&lt;B647,"Livraison avant la commande",IF(AND(N(T647)&gt;0,N(S647)=0),"Date d'envoi manquante",IF(N(T647)&gt;N(H647),"Reçu plus que commandé",IF(AND(N(T647)&gt;0,N(U647)=0),"Date de réception manquante",IF(AND(N(U647)&gt;0,U647&lt;B647),"Réception avant la commande","OK")))))))))))))))))))))</f>
        <v/>
      </c>
      <c r="AA647" s="66" t="str">
        <f>IF(AND(X647="Reçu",ISNUMBER(R647)),IF(N(U647)&lt;=R647,1,0),"")</f>
        <v/>
      </c>
      <c r="AB647" s="76" t="str">
        <f>IF(OR(X647="Envoyé",X647="Partiel",X647="En retard"),IF(ISNUMBER(R647),R647,100000)+ROW()/100000,"")</f>
        <v/>
      </c>
      <c r="AC647" s="66" t="str">
        <f>IF(A647="","",IF(COUNTIF($A$6:A647,A647)=1,1,""))</f>
        <v/>
      </c>
      <c r="AD647" s="66" t="str">
        <f>IF(AC647=1,COUNT($AC$6:AC647),"")</f>
        <v/>
      </c>
      <c r="AE647" s="66" t="str">
        <f>IFERROR(INDEX(po_num,MATCH(642,po_seq,0))&amp;"","")</f>
        <v/>
      </c>
      <c r="AF647" s="66" t="str">
        <f>IF(OR(A647="",p_po=""),"",IF(A647&amp;""=p_po,COUNTIF($A$6:A647,A647),""))</f>
        <v/>
      </c>
      <c r="AG647" s="66" t="str">
        <f>IF(OR(AB647="",A647=""),"",IF(COUNTIFS($A$6:A647,A647,$AB$6:AB647,"&gt;0")=1,1,""))</f>
        <v/>
      </c>
      <c r="AH647" s="70" t="str">
        <f>IF(AB647="","",ROUND(N(W647)*N(J647)*(1-N(K647)),2))</f>
        <v/>
      </c>
      <c r="AI647" s="70" t="str">
        <f>IF(OR(J647="",N(T647)&lt;=0,V647="Oui"),"",ROUND(N(T647)*J647*(1-N(K647)),2))</f>
        <v/>
      </c>
    </row>
    <row r="648">
      <c r="A648" s="63" t="n"/>
      <c r="B648" s="64" t="n"/>
      <c r="C648" s="65" t="n"/>
      <c r="D648" s="66" t="str">
        <f>IF(C648="","",IFERROR(INDEX(sup_name,MATCH($C648,sup_code,0))&amp;"","Fournisseur inconnu"))</f>
        <v/>
      </c>
      <c r="E648" s="63" t="n"/>
      <c r="F648" s="66" t="str">
        <f>IF(E648="","",IFERROR(INDEX(art_des,MATCH($E648,art_ref,0))&amp;"","Article inconnu"))</f>
        <v/>
      </c>
      <c r="G648" s="67" t="str">
        <f>IF(E648="","",IFERROR(INDEX(art_unit,MATCH($E648,art_ref,0))&amp;"",""))</f>
        <v/>
      </c>
      <c r="H648" s="68" t="n"/>
      <c r="I648" s="69" t="n"/>
      <c r="J648" s="70" t="str">
        <f>IF(E648="","",IF(ISNUMBER(I648),I648,IFERROR(IF(ISNUMBER(INDEX(art_price,MATCH($E648,art_ref,0))),INDEX(art_price,MATCH($E648,art_ref,0)),""),"")))</f>
        <v/>
      </c>
      <c r="K648" s="71" t="n"/>
      <c r="L648" s="72" t="n"/>
      <c r="M648" s="72" t="str">
        <f>IF(E648="","",IF(L648&lt;&gt;"",L648,IFERROR(IF(ISNUMBER(INDEX(art_tva,MATCH($E648,art_ref,0))),INDEX(art_tva,MATCH($E648,art_ref,0)),""),"")))</f>
        <v/>
      </c>
      <c r="N648" s="70" t="str">
        <f>IF(OR(E648="",J648=""),"",ROUND(N(H648)*J648*(1-N(K648)),2))</f>
        <v/>
      </c>
      <c r="O648" s="70" t="str">
        <f>IF(OR(N648="",NOT(ISNUMBER(M648))),"",ROUND(N648*M648,2))</f>
        <v/>
      </c>
      <c r="P648" s="70" t="str">
        <f>IF(N648="","",N648+N(O648))</f>
        <v/>
      </c>
      <c r="Q648" s="64" t="n"/>
      <c r="R648" s="73" t="str">
        <f>IF(N(Q648)&gt;0,Q648,IF(OR(N(B648)=0,ISNA(MATCH($C648,sup_code,0))),"",IF(ISNUMBER(INDEX(sup_delay,MATCH($C648,sup_code,0))),B648+INDEX(sup_delay,MATCH($C648,sup_code,0)),"")))</f>
        <v/>
      </c>
      <c r="S648" s="64" t="n"/>
      <c r="T648" s="68" t="n"/>
      <c r="U648" s="64" t="n"/>
      <c r="V648" s="65" t="n"/>
      <c r="W648" s="74" t="str">
        <f>IF(AND(A648="",E648=""),"",IF(V648="Oui",0,MAX(0,ROUND(N(H648)-N(T648),6))))</f>
        <v/>
      </c>
      <c r="X648" s="67" t="str">
        <f>IF(AND(A648="",E648=""),"",IF(V648="Oui","Annulé",IF(AND(N(H648)&gt;0,N(T648)&gt;=N(H648)),"Reçu",IF(N(S648)=0,"Brouillon",IF(AND(ISNUMBER(R648),R648&lt;p_today),"En retard",IF(N(T648)&gt;0,"Partiel","Envoyé"))))))</f>
        <v/>
      </c>
      <c r="Y648" s="75" t="str">
        <f>IF(X648="En retard",p_today-R648,IF(AND(X648="Reçu",ISNUMBER(R648)),MAX(0,N(U648)-R648),""))</f>
        <v/>
      </c>
      <c r="Z648" s="67" t="str">
        <f>IF(AND(A648="",E648=""),"",IF(A648="","N° de bon manquant",IF(N(B648)=0,"Date de commande manquante",IF(C648="","Fournisseur manquant",IF(ISNA(MATCH($C648,sup_code,0)),"Fournisseur inconnu",IF(E648="","Article manquant",IF(ISNA(MATCH($E648,art_ref,0)),"Article inconnu",IF(N(H648)&lt;=0,"Quantité invalide",IF(J648="","Prix manquant",IF(OR(N(K648)&lt;0,N(K648)&gt;=1),"Remise invalide",IF(M648="","TVA manquante",IF(ISNA(MATCH(M648,p_tva,0)),"Taux de TVA inconnu",IF(COUNTIFS(po_num,A648,po_sup,"&lt;&gt;"&amp;C648)&gt;0,"Fournisseur différent sur ce bon",IF(COUNTIFS(po_num,A648,po_date,"&lt;&gt;"&amp;B648)&gt;0,"Date différente sur ce bon",IF(COUNTIF(po_num,A648)&gt;25,"Plus de 25 lignes sur ce bon",IF(R648="","Date de livraison manquante",IF(R648&lt;B648,"Livraison avant la commande",IF(AND(N(T648)&gt;0,N(S648)=0),"Date d'envoi manquante",IF(N(T648)&gt;N(H648),"Reçu plus que commandé",IF(AND(N(T648)&gt;0,N(U648)=0),"Date de réception manquante",IF(AND(N(U648)&gt;0,U648&lt;B648),"Réception avant la commande","OK")))))))))))))))))))))</f>
        <v/>
      </c>
      <c r="AA648" s="66" t="str">
        <f>IF(AND(X648="Reçu",ISNUMBER(R648)),IF(N(U648)&lt;=R648,1,0),"")</f>
        <v/>
      </c>
      <c r="AB648" s="76" t="str">
        <f>IF(OR(X648="Envoyé",X648="Partiel",X648="En retard"),IF(ISNUMBER(R648),R648,100000)+ROW()/100000,"")</f>
        <v/>
      </c>
      <c r="AC648" s="66" t="str">
        <f>IF(A648="","",IF(COUNTIF($A$6:A648,A648)=1,1,""))</f>
        <v/>
      </c>
      <c r="AD648" s="66" t="str">
        <f>IF(AC648=1,COUNT($AC$6:AC648),"")</f>
        <v/>
      </c>
      <c r="AE648" s="66" t="str">
        <f>IFERROR(INDEX(po_num,MATCH(643,po_seq,0))&amp;"","")</f>
        <v/>
      </c>
      <c r="AF648" s="66" t="str">
        <f>IF(OR(A648="",p_po=""),"",IF(A648&amp;""=p_po,COUNTIF($A$6:A648,A648),""))</f>
        <v/>
      </c>
      <c r="AG648" s="66" t="str">
        <f>IF(OR(AB648="",A648=""),"",IF(COUNTIFS($A$6:A648,A648,$AB$6:AB648,"&gt;0")=1,1,""))</f>
        <v/>
      </c>
      <c r="AH648" s="70" t="str">
        <f>IF(AB648="","",ROUND(N(W648)*N(J648)*(1-N(K648)),2))</f>
        <v/>
      </c>
      <c r="AI648" s="70" t="str">
        <f>IF(OR(J648="",N(T648)&lt;=0,V648="Oui"),"",ROUND(N(T648)*J648*(1-N(K648)),2))</f>
        <v/>
      </c>
    </row>
    <row r="649">
      <c r="A649" s="63" t="n"/>
      <c r="B649" s="64" t="n"/>
      <c r="C649" s="65" t="n"/>
      <c r="D649" s="66" t="str">
        <f>IF(C649="","",IFERROR(INDEX(sup_name,MATCH($C649,sup_code,0))&amp;"","Fournisseur inconnu"))</f>
        <v/>
      </c>
      <c r="E649" s="63" t="n"/>
      <c r="F649" s="66" t="str">
        <f>IF(E649="","",IFERROR(INDEX(art_des,MATCH($E649,art_ref,0))&amp;"","Article inconnu"))</f>
        <v/>
      </c>
      <c r="G649" s="67" t="str">
        <f>IF(E649="","",IFERROR(INDEX(art_unit,MATCH($E649,art_ref,0))&amp;"",""))</f>
        <v/>
      </c>
      <c r="H649" s="68" t="n"/>
      <c r="I649" s="69" t="n"/>
      <c r="J649" s="70" t="str">
        <f>IF(E649="","",IF(ISNUMBER(I649),I649,IFERROR(IF(ISNUMBER(INDEX(art_price,MATCH($E649,art_ref,0))),INDEX(art_price,MATCH($E649,art_ref,0)),""),"")))</f>
        <v/>
      </c>
      <c r="K649" s="71" t="n"/>
      <c r="L649" s="72" t="n"/>
      <c r="M649" s="72" t="str">
        <f>IF(E649="","",IF(L649&lt;&gt;"",L649,IFERROR(IF(ISNUMBER(INDEX(art_tva,MATCH($E649,art_ref,0))),INDEX(art_tva,MATCH($E649,art_ref,0)),""),"")))</f>
        <v/>
      </c>
      <c r="N649" s="70" t="str">
        <f>IF(OR(E649="",J649=""),"",ROUND(N(H649)*J649*(1-N(K649)),2))</f>
        <v/>
      </c>
      <c r="O649" s="70" t="str">
        <f>IF(OR(N649="",NOT(ISNUMBER(M649))),"",ROUND(N649*M649,2))</f>
        <v/>
      </c>
      <c r="P649" s="70" t="str">
        <f>IF(N649="","",N649+N(O649))</f>
        <v/>
      </c>
      <c r="Q649" s="64" t="n"/>
      <c r="R649" s="73" t="str">
        <f>IF(N(Q649)&gt;0,Q649,IF(OR(N(B649)=0,ISNA(MATCH($C649,sup_code,0))),"",IF(ISNUMBER(INDEX(sup_delay,MATCH($C649,sup_code,0))),B649+INDEX(sup_delay,MATCH($C649,sup_code,0)),"")))</f>
        <v/>
      </c>
      <c r="S649" s="64" t="n"/>
      <c r="T649" s="68" t="n"/>
      <c r="U649" s="64" t="n"/>
      <c r="V649" s="65" t="n"/>
      <c r="W649" s="74" t="str">
        <f>IF(AND(A649="",E649=""),"",IF(V649="Oui",0,MAX(0,ROUND(N(H649)-N(T649),6))))</f>
        <v/>
      </c>
      <c r="X649" s="67" t="str">
        <f>IF(AND(A649="",E649=""),"",IF(V649="Oui","Annulé",IF(AND(N(H649)&gt;0,N(T649)&gt;=N(H649)),"Reçu",IF(N(S649)=0,"Brouillon",IF(AND(ISNUMBER(R649),R649&lt;p_today),"En retard",IF(N(T649)&gt;0,"Partiel","Envoyé"))))))</f>
        <v/>
      </c>
      <c r="Y649" s="75" t="str">
        <f>IF(X649="En retard",p_today-R649,IF(AND(X649="Reçu",ISNUMBER(R649)),MAX(0,N(U649)-R649),""))</f>
        <v/>
      </c>
      <c r="Z649" s="67" t="str">
        <f>IF(AND(A649="",E649=""),"",IF(A649="","N° de bon manquant",IF(N(B649)=0,"Date de commande manquante",IF(C649="","Fournisseur manquant",IF(ISNA(MATCH($C649,sup_code,0)),"Fournisseur inconnu",IF(E649="","Article manquant",IF(ISNA(MATCH($E649,art_ref,0)),"Article inconnu",IF(N(H649)&lt;=0,"Quantité invalide",IF(J649="","Prix manquant",IF(OR(N(K649)&lt;0,N(K649)&gt;=1),"Remise invalide",IF(M649="","TVA manquante",IF(ISNA(MATCH(M649,p_tva,0)),"Taux de TVA inconnu",IF(COUNTIFS(po_num,A649,po_sup,"&lt;&gt;"&amp;C649)&gt;0,"Fournisseur différent sur ce bon",IF(COUNTIFS(po_num,A649,po_date,"&lt;&gt;"&amp;B649)&gt;0,"Date différente sur ce bon",IF(COUNTIF(po_num,A649)&gt;25,"Plus de 25 lignes sur ce bon",IF(R649="","Date de livraison manquante",IF(R649&lt;B649,"Livraison avant la commande",IF(AND(N(T649)&gt;0,N(S649)=0),"Date d'envoi manquante",IF(N(T649)&gt;N(H649),"Reçu plus que commandé",IF(AND(N(T649)&gt;0,N(U649)=0),"Date de réception manquante",IF(AND(N(U649)&gt;0,U649&lt;B649),"Réception avant la commande","OK")))))))))))))))))))))</f>
        <v/>
      </c>
      <c r="AA649" s="66" t="str">
        <f>IF(AND(X649="Reçu",ISNUMBER(R649)),IF(N(U649)&lt;=R649,1,0),"")</f>
        <v/>
      </c>
      <c r="AB649" s="76" t="str">
        <f>IF(OR(X649="Envoyé",X649="Partiel",X649="En retard"),IF(ISNUMBER(R649),R649,100000)+ROW()/100000,"")</f>
        <v/>
      </c>
      <c r="AC649" s="66" t="str">
        <f>IF(A649="","",IF(COUNTIF($A$6:A649,A649)=1,1,""))</f>
        <v/>
      </c>
      <c r="AD649" s="66" t="str">
        <f>IF(AC649=1,COUNT($AC$6:AC649),"")</f>
        <v/>
      </c>
      <c r="AE649" s="66" t="str">
        <f>IFERROR(INDEX(po_num,MATCH(644,po_seq,0))&amp;"","")</f>
        <v/>
      </c>
      <c r="AF649" s="66" t="str">
        <f>IF(OR(A649="",p_po=""),"",IF(A649&amp;""=p_po,COUNTIF($A$6:A649,A649),""))</f>
        <v/>
      </c>
      <c r="AG649" s="66" t="str">
        <f>IF(OR(AB649="",A649=""),"",IF(COUNTIFS($A$6:A649,A649,$AB$6:AB649,"&gt;0")=1,1,""))</f>
        <v/>
      </c>
      <c r="AH649" s="70" t="str">
        <f>IF(AB649="","",ROUND(N(W649)*N(J649)*(1-N(K649)),2))</f>
        <v/>
      </c>
      <c r="AI649" s="70" t="str">
        <f>IF(OR(J649="",N(T649)&lt;=0,V649="Oui"),"",ROUND(N(T649)*J649*(1-N(K649)),2))</f>
        <v/>
      </c>
    </row>
    <row r="650">
      <c r="A650" s="63" t="n"/>
      <c r="B650" s="64" t="n"/>
      <c r="C650" s="65" t="n"/>
      <c r="D650" s="66" t="str">
        <f>IF(C650="","",IFERROR(INDEX(sup_name,MATCH($C650,sup_code,0))&amp;"","Fournisseur inconnu"))</f>
        <v/>
      </c>
      <c r="E650" s="63" t="n"/>
      <c r="F650" s="66" t="str">
        <f>IF(E650="","",IFERROR(INDEX(art_des,MATCH($E650,art_ref,0))&amp;"","Article inconnu"))</f>
        <v/>
      </c>
      <c r="G650" s="67" t="str">
        <f>IF(E650="","",IFERROR(INDEX(art_unit,MATCH($E650,art_ref,0))&amp;"",""))</f>
        <v/>
      </c>
      <c r="H650" s="68" t="n"/>
      <c r="I650" s="69" t="n"/>
      <c r="J650" s="70" t="str">
        <f>IF(E650="","",IF(ISNUMBER(I650),I650,IFERROR(IF(ISNUMBER(INDEX(art_price,MATCH($E650,art_ref,0))),INDEX(art_price,MATCH($E650,art_ref,0)),""),"")))</f>
        <v/>
      </c>
      <c r="K650" s="71" t="n"/>
      <c r="L650" s="72" t="n"/>
      <c r="M650" s="72" t="str">
        <f>IF(E650="","",IF(L650&lt;&gt;"",L650,IFERROR(IF(ISNUMBER(INDEX(art_tva,MATCH($E650,art_ref,0))),INDEX(art_tva,MATCH($E650,art_ref,0)),""),"")))</f>
        <v/>
      </c>
      <c r="N650" s="70" t="str">
        <f>IF(OR(E650="",J650=""),"",ROUND(N(H650)*J650*(1-N(K650)),2))</f>
        <v/>
      </c>
      <c r="O650" s="70" t="str">
        <f>IF(OR(N650="",NOT(ISNUMBER(M650))),"",ROUND(N650*M650,2))</f>
        <v/>
      </c>
      <c r="P650" s="70" t="str">
        <f>IF(N650="","",N650+N(O650))</f>
        <v/>
      </c>
      <c r="Q650" s="64" t="n"/>
      <c r="R650" s="73" t="str">
        <f>IF(N(Q650)&gt;0,Q650,IF(OR(N(B650)=0,ISNA(MATCH($C650,sup_code,0))),"",IF(ISNUMBER(INDEX(sup_delay,MATCH($C650,sup_code,0))),B650+INDEX(sup_delay,MATCH($C650,sup_code,0)),"")))</f>
        <v/>
      </c>
      <c r="S650" s="64" t="n"/>
      <c r="T650" s="68" t="n"/>
      <c r="U650" s="64" t="n"/>
      <c r="V650" s="65" t="n"/>
      <c r="W650" s="74" t="str">
        <f>IF(AND(A650="",E650=""),"",IF(V650="Oui",0,MAX(0,ROUND(N(H650)-N(T650),6))))</f>
        <v/>
      </c>
      <c r="X650" s="67" t="str">
        <f>IF(AND(A650="",E650=""),"",IF(V650="Oui","Annulé",IF(AND(N(H650)&gt;0,N(T650)&gt;=N(H650)),"Reçu",IF(N(S650)=0,"Brouillon",IF(AND(ISNUMBER(R650),R650&lt;p_today),"En retard",IF(N(T650)&gt;0,"Partiel","Envoyé"))))))</f>
        <v/>
      </c>
      <c r="Y650" s="75" t="str">
        <f>IF(X650="En retard",p_today-R650,IF(AND(X650="Reçu",ISNUMBER(R650)),MAX(0,N(U650)-R650),""))</f>
        <v/>
      </c>
      <c r="Z650" s="67" t="str">
        <f>IF(AND(A650="",E650=""),"",IF(A650="","N° de bon manquant",IF(N(B650)=0,"Date de commande manquante",IF(C650="","Fournisseur manquant",IF(ISNA(MATCH($C650,sup_code,0)),"Fournisseur inconnu",IF(E650="","Article manquant",IF(ISNA(MATCH($E650,art_ref,0)),"Article inconnu",IF(N(H650)&lt;=0,"Quantité invalide",IF(J650="","Prix manquant",IF(OR(N(K650)&lt;0,N(K650)&gt;=1),"Remise invalide",IF(M650="","TVA manquante",IF(ISNA(MATCH(M650,p_tva,0)),"Taux de TVA inconnu",IF(COUNTIFS(po_num,A650,po_sup,"&lt;&gt;"&amp;C650)&gt;0,"Fournisseur différent sur ce bon",IF(COUNTIFS(po_num,A650,po_date,"&lt;&gt;"&amp;B650)&gt;0,"Date différente sur ce bon",IF(COUNTIF(po_num,A650)&gt;25,"Plus de 25 lignes sur ce bon",IF(R650="","Date de livraison manquante",IF(R650&lt;B650,"Livraison avant la commande",IF(AND(N(T650)&gt;0,N(S650)=0),"Date d'envoi manquante",IF(N(T650)&gt;N(H650),"Reçu plus que commandé",IF(AND(N(T650)&gt;0,N(U650)=0),"Date de réception manquante",IF(AND(N(U650)&gt;0,U650&lt;B650),"Réception avant la commande","OK")))))))))))))))))))))</f>
        <v/>
      </c>
      <c r="AA650" s="66" t="str">
        <f>IF(AND(X650="Reçu",ISNUMBER(R650)),IF(N(U650)&lt;=R650,1,0),"")</f>
        <v/>
      </c>
      <c r="AB650" s="76" t="str">
        <f>IF(OR(X650="Envoyé",X650="Partiel",X650="En retard"),IF(ISNUMBER(R650),R650,100000)+ROW()/100000,"")</f>
        <v/>
      </c>
      <c r="AC650" s="66" t="str">
        <f>IF(A650="","",IF(COUNTIF($A$6:A650,A650)=1,1,""))</f>
        <v/>
      </c>
      <c r="AD650" s="66" t="str">
        <f>IF(AC650=1,COUNT($AC$6:AC650),"")</f>
        <v/>
      </c>
      <c r="AE650" s="66" t="str">
        <f>IFERROR(INDEX(po_num,MATCH(645,po_seq,0))&amp;"","")</f>
        <v/>
      </c>
      <c r="AF650" s="66" t="str">
        <f>IF(OR(A650="",p_po=""),"",IF(A650&amp;""=p_po,COUNTIF($A$6:A650,A650),""))</f>
        <v/>
      </c>
      <c r="AG650" s="66" t="str">
        <f>IF(OR(AB650="",A650=""),"",IF(COUNTIFS($A$6:A650,A650,$AB$6:AB650,"&gt;0")=1,1,""))</f>
        <v/>
      </c>
      <c r="AH650" s="70" t="str">
        <f>IF(AB650="","",ROUND(N(W650)*N(J650)*(1-N(K650)),2))</f>
        <v/>
      </c>
      <c r="AI650" s="70" t="str">
        <f>IF(OR(J650="",N(T650)&lt;=0,V650="Oui"),"",ROUND(N(T650)*J650*(1-N(K650)),2))</f>
        <v/>
      </c>
    </row>
    <row r="651">
      <c r="A651" s="63" t="n"/>
      <c r="B651" s="64" t="n"/>
      <c r="C651" s="65" t="n"/>
      <c r="D651" s="66" t="str">
        <f>IF(C651="","",IFERROR(INDEX(sup_name,MATCH($C651,sup_code,0))&amp;"","Fournisseur inconnu"))</f>
        <v/>
      </c>
      <c r="E651" s="63" t="n"/>
      <c r="F651" s="66" t="str">
        <f>IF(E651="","",IFERROR(INDEX(art_des,MATCH($E651,art_ref,0))&amp;"","Article inconnu"))</f>
        <v/>
      </c>
      <c r="G651" s="67" t="str">
        <f>IF(E651="","",IFERROR(INDEX(art_unit,MATCH($E651,art_ref,0))&amp;"",""))</f>
        <v/>
      </c>
      <c r="H651" s="68" t="n"/>
      <c r="I651" s="69" t="n"/>
      <c r="J651" s="70" t="str">
        <f>IF(E651="","",IF(ISNUMBER(I651),I651,IFERROR(IF(ISNUMBER(INDEX(art_price,MATCH($E651,art_ref,0))),INDEX(art_price,MATCH($E651,art_ref,0)),""),"")))</f>
        <v/>
      </c>
      <c r="K651" s="71" t="n"/>
      <c r="L651" s="72" t="n"/>
      <c r="M651" s="72" t="str">
        <f>IF(E651="","",IF(L651&lt;&gt;"",L651,IFERROR(IF(ISNUMBER(INDEX(art_tva,MATCH($E651,art_ref,0))),INDEX(art_tva,MATCH($E651,art_ref,0)),""),"")))</f>
        <v/>
      </c>
      <c r="N651" s="70" t="str">
        <f>IF(OR(E651="",J651=""),"",ROUND(N(H651)*J651*(1-N(K651)),2))</f>
        <v/>
      </c>
      <c r="O651" s="70" t="str">
        <f>IF(OR(N651="",NOT(ISNUMBER(M651))),"",ROUND(N651*M651,2))</f>
        <v/>
      </c>
      <c r="P651" s="70" t="str">
        <f>IF(N651="","",N651+N(O651))</f>
        <v/>
      </c>
      <c r="Q651" s="64" t="n"/>
      <c r="R651" s="73" t="str">
        <f>IF(N(Q651)&gt;0,Q651,IF(OR(N(B651)=0,ISNA(MATCH($C651,sup_code,0))),"",IF(ISNUMBER(INDEX(sup_delay,MATCH($C651,sup_code,0))),B651+INDEX(sup_delay,MATCH($C651,sup_code,0)),"")))</f>
        <v/>
      </c>
      <c r="S651" s="64" t="n"/>
      <c r="T651" s="68" t="n"/>
      <c r="U651" s="64" t="n"/>
      <c r="V651" s="65" t="n"/>
      <c r="W651" s="74" t="str">
        <f>IF(AND(A651="",E651=""),"",IF(V651="Oui",0,MAX(0,ROUND(N(H651)-N(T651),6))))</f>
        <v/>
      </c>
      <c r="X651" s="67" t="str">
        <f>IF(AND(A651="",E651=""),"",IF(V651="Oui","Annulé",IF(AND(N(H651)&gt;0,N(T651)&gt;=N(H651)),"Reçu",IF(N(S651)=0,"Brouillon",IF(AND(ISNUMBER(R651),R651&lt;p_today),"En retard",IF(N(T651)&gt;0,"Partiel","Envoyé"))))))</f>
        <v/>
      </c>
      <c r="Y651" s="75" t="str">
        <f>IF(X651="En retard",p_today-R651,IF(AND(X651="Reçu",ISNUMBER(R651)),MAX(0,N(U651)-R651),""))</f>
        <v/>
      </c>
      <c r="Z651" s="67" t="str">
        <f>IF(AND(A651="",E651=""),"",IF(A651="","N° de bon manquant",IF(N(B651)=0,"Date de commande manquante",IF(C651="","Fournisseur manquant",IF(ISNA(MATCH($C651,sup_code,0)),"Fournisseur inconnu",IF(E651="","Article manquant",IF(ISNA(MATCH($E651,art_ref,0)),"Article inconnu",IF(N(H651)&lt;=0,"Quantité invalide",IF(J651="","Prix manquant",IF(OR(N(K651)&lt;0,N(K651)&gt;=1),"Remise invalide",IF(M651="","TVA manquante",IF(ISNA(MATCH(M651,p_tva,0)),"Taux de TVA inconnu",IF(COUNTIFS(po_num,A651,po_sup,"&lt;&gt;"&amp;C651)&gt;0,"Fournisseur différent sur ce bon",IF(COUNTIFS(po_num,A651,po_date,"&lt;&gt;"&amp;B651)&gt;0,"Date différente sur ce bon",IF(COUNTIF(po_num,A651)&gt;25,"Plus de 25 lignes sur ce bon",IF(R651="","Date de livraison manquante",IF(R651&lt;B651,"Livraison avant la commande",IF(AND(N(T651)&gt;0,N(S651)=0),"Date d'envoi manquante",IF(N(T651)&gt;N(H651),"Reçu plus que commandé",IF(AND(N(T651)&gt;0,N(U651)=0),"Date de réception manquante",IF(AND(N(U651)&gt;0,U651&lt;B651),"Réception avant la commande","OK")))))))))))))))))))))</f>
        <v/>
      </c>
      <c r="AA651" s="66" t="str">
        <f>IF(AND(X651="Reçu",ISNUMBER(R651)),IF(N(U651)&lt;=R651,1,0),"")</f>
        <v/>
      </c>
      <c r="AB651" s="76" t="str">
        <f>IF(OR(X651="Envoyé",X651="Partiel",X651="En retard"),IF(ISNUMBER(R651),R651,100000)+ROW()/100000,"")</f>
        <v/>
      </c>
      <c r="AC651" s="66" t="str">
        <f>IF(A651="","",IF(COUNTIF($A$6:A651,A651)=1,1,""))</f>
        <v/>
      </c>
      <c r="AD651" s="66" t="str">
        <f>IF(AC651=1,COUNT($AC$6:AC651),"")</f>
        <v/>
      </c>
      <c r="AE651" s="66" t="str">
        <f>IFERROR(INDEX(po_num,MATCH(646,po_seq,0))&amp;"","")</f>
        <v/>
      </c>
      <c r="AF651" s="66" t="str">
        <f>IF(OR(A651="",p_po=""),"",IF(A651&amp;""=p_po,COUNTIF($A$6:A651,A651),""))</f>
        <v/>
      </c>
      <c r="AG651" s="66" t="str">
        <f>IF(OR(AB651="",A651=""),"",IF(COUNTIFS($A$6:A651,A651,$AB$6:AB651,"&gt;0")=1,1,""))</f>
        <v/>
      </c>
      <c r="AH651" s="70" t="str">
        <f>IF(AB651="","",ROUND(N(W651)*N(J651)*(1-N(K651)),2))</f>
        <v/>
      </c>
      <c r="AI651" s="70" t="str">
        <f>IF(OR(J651="",N(T651)&lt;=0,V651="Oui"),"",ROUND(N(T651)*J651*(1-N(K651)),2))</f>
        <v/>
      </c>
    </row>
    <row r="652">
      <c r="A652" s="63" t="n"/>
      <c r="B652" s="64" t="n"/>
      <c r="C652" s="65" t="n"/>
      <c r="D652" s="66" t="str">
        <f>IF(C652="","",IFERROR(INDEX(sup_name,MATCH($C652,sup_code,0))&amp;"","Fournisseur inconnu"))</f>
        <v/>
      </c>
      <c r="E652" s="63" t="n"/>
      <c r="F652" s="66" t="str">
        <f>IF(E652="","",IFERROR(INDEX(art_des,MATCH($E652,art_ref,0))&amp;"","Article inconnu"))</f>
        <v/>
      </c>
      <c r="G652" s="67" t="str">
        <f>IF(E652="","",IFERROR(INDEX(art_unit,MATCH($E652,art_ref,0))&amp;"",""))</f>
        <v/>
      </c>
      <c r="H652" s="68" t="n"/>
      <c r="I652" s="69" t="n"/>
      <c r="J652" s="70" t="str">
        <f>IF(E652="","",IF(ISNUMBER(I652),I652,IFERROR(IF(ISNUMBER(INDEX(art_price,MATCH($E652,art_ref,0))),INDEX(art_price,MATCH($E652,art_ref,0)),""),"")))</f>
        <v/>
      </c>
      <c r="K652" s="71" t="n"/>
      <c r="L652" s="72" t="n"/>
      <c r="M652" s="72" t="str">
        <f>IF(E652="","",IF(L652&lt;&gt;"",L652,IFERROR(IF(ISNUMBER(INDEX(art_tva,MATCH($E652,art_ref,0))),INDEX(art_tva,MATCH($E652,art_ref,0)),""),"")))</f>
        <v/>
      </c>
      <c r="N652" s="70" t="str">
        <f>IF(OR(E652="",J652=""),"",ROUND(N(H652)*J652*(1-N(K652)),2))</f>
        <v/>
      </c>
      <c r="O652" s="70" t="str">
        <f>IF(OR(N652="",NOT(ISNUMBER(M652))),"",ROUND(N652*M652,2))</f>
        <v/>
      </c>
      <c r="P652" s="70" t="str">
        <f>IF(N652="","",N652+N(O652))</f>
        <v/>
      </c>
      <c r="Q652" s="64" t="n"/>
      <c r="R652" s="73" t="str">
        <f>IF(N(Q652)&gt;0,Q652,IF(OR(N(B652)=0,ISNA(MATCH($C652,sup_code,0))),"",IF(ISNUMBER(INDEX(sup_delay,MATCH($C652,sup_code,0))),B652+INDEX(sup_delay,MATCH($C652,sup_code,0)),"")))</f>
        <v/>
      </c>
      <c r="S652" s="64" t="n"/>
      <c r="T652" s="68" t="n"/>
      <c r="U652" s="64" t="n"/>
      <c r="V652" s="65" t="n"/>
      <c r="W652" s="74" t="str">
        <f>IF(AND(A652="",E652=""),"",IF(V652="Oui",0,MAX(0,ROUND(N(H652)-N(T652),6))))</f>
        <v/>
      </c>
      <c r="X652" s="67" t="str">
        <f>IF(AND(A652="",E652=""),"",IF(V652="Oui","Annulé",IF(AND(N(H652)&gt;0,N(T652)&gt;=N(H652)),"Reçu",IF(N(S652)=0,"Brouillon",IF(AND(ISNUMBER(R652),R652&lt;p_today),"En retard",IF(N(T652)&gt;0,"Partiel","Envoyé"))))))</f>
        <v/>
      </c>
      <c r="Y652" s="75" t="str">
        <f>IF(X652="En retard",p_today-R652,IF(AND(X652="Reçu",ISNUMBER(R652)),MAX(0,N(U652)-R652),""))</f>
        <v/>
      </c>
      <c r="Z652" s="67" t="str">
        <f>IF(AND(A652="",E652=""),"",IF(A652="","N° de bon manquant",IF(N(B652)=0,"Date de commande manquante",IF(C652="","Fournisseur manquant",IF(ISNA(MATCH($C652,sup_code,0)),"Fournisseur inconnu",IF(E652="","Article manquant",IF(ISNA(MATCH($E652,art_ref,0)),"Article inconnu",IF(N(H652)&lt;=0,"Quantité invalide",IF(J652="","Prix manquant",IF(OR(N(K652)&lt;0,N(K652)&gt;=1),"Remise invalide",IF(M652="","TVA manquante",IF(ISNA(MATCH(M652,p_tva,0)),"Taux de TVA inconnu",IF(COUNTIFS(po_num,A652,po_sup,"&lt;&gt;"&amp;C652)&gt;0,"Fournisseur différent sur ce bon",IF(COUNTIFS(po_num,A652,po_date,"&lt;&gt;"&amp;B652)&gt;0,"Date différente sur ce bon",IF(COUNTIF(po_num,A652)&gt;25,"Plus de 25 lignes sur ce bon",IF(R652="","Date de livraison manquante",IF(R652&lt;B652,"Livraison avant la commande",IF(AND(N(T652)&gt;0,N(S652)=0),"Date d'envoi manquante",IF(N(T652)&gt;N(H652),"Reçu plus que commandé",IF(AND(N(T652)&gt;0,N(U652)=0),"Date de réception manquante",IF(AND(N(U652)&gt;0,U652&lt;B652),"Réception avant la commande","OK")))))))))))))))))))))</f>
        <v/>
      </c>
      <c r="AA652" s="66" t="str">
        <f>IF(AND(X652="Reçu",ISNUMBER(R652)),IF(N(U652)&lt;=R652,1,0),"")</f>
        <v/>
      </c>
      <c r="AB652" s="76" t="str">
        <f>IF(OR(X652="Envoyé",X652="Partiel",X652="En retard"),IF(ISNUMBER(R652),R652,100000)+ROW()/100000,"")</f>
        <v/>
      </c>
      <c r="AC652" s="66" t="str">
        <f>IF(A652="","",IF(COUNTIF($A$6:A652,A652)=1,1,""))</f>
        <v/>
      </c>
      <c r="AD652" s="66" t="str">
        <f>IF(AC652=1,COUNT($AC$6:AC652),"")</f>
        <v/>
      </c>
      <c r="AE652" s="66" t="str">
        <f>IFERROR(INDEX(po_num,MATCH(647,po_seq,0))&amp;"","")</f>
        <v/>
      </c>
      <c r="AF652" s="66" t="str">
        <f>IF(OR(A652="",p_po=""),"",IF(A652&amp;""=p_po,COUNTIF($A$6:A652,A652),""))</f>
        <v/>
      </c>
      <c r="AG652" s="66" t="str">
        <f>IF(OR(AB652="",A652=""),"",IF(COUNTIFS($A$6:A652,A652,$AB$6:AB652,"&gt;0")=1,1,""))</f>
        <v/>
      </c>
      <c r="AH652" s="70" t="str">
        <f>IF(AB652="","",ROUND(N(W652)*N(J652)*(1-N(K652)),2))</f>
        <v/>
      </c>
      <c r="AI652" s="70" t="str">
        <f>IF(OR(J652="",N(T652)&lt;=0,V652="Oui"),"",ROUND(N(T652)*J652*(1-N(K652)),2))</f>
        <v/>
      </c>
    </row>
    <row r="653">
      <c r="A653" s="63" t="n"/>
      <c r="B653" s="64" t="n"/>
      <c r="C653" s="65" t="n"/>
      <c r="D653" s="66" t="str">
        <f>IF(C653="","",IFERROR(INDEX(sup_name,MATCH($C653,sup_code,0))&amp;"","Fournisseur inconnu"))</f>
        <v/>
      </c>
      <c r="E653" s="63" t="n"/>
      <c r="F653" s="66" t="str">
        <f>IF(E653="","",IFERROR(INDEX(art_des,MATCH($E653,art_ref,0))&amp;"","Article inconnu"))</f>
        <v/>
      </c>
      <c r="G653" s="67" t="str">
        <f>IF(E653="","",IFERROR(INDEX(art_unit,MATCH($E653,art_ref,0))&amp;"",""))</f>
        <v/>
      </c>
      <c r="H653" s="68" t="n"/>
      <c r="I653" s="69" t="n"/>
      <c r="J653" s="70" t="str">
        <f>IF(E653="","",IF(ISNUMBER(I653),I653,IFERROR(IF(ISNUMBER(INDEX(art_price,MATCH($E653,art_ref,0))),INDEX(art_price,MATCH($E653,art_ref,0)),""),"")))</f>
        <v/>
      </c>
      <c r="K653" s="71" t="n"/>
      <c r="L653" s="72" t="n"/>
      <c r="M653" s="72" t="str">
        <f>IF(E653="","",IF(L653&lt;&gt;"",L653,IFERROR(IF(ISNUMBER(INDEX(art_tva,MATCH($E653,art_ref,0))),INDEX(art_tva,MATCH($E653,art_ref,0)),""),"")))</f>
        <v/>
      </c>
      <c r="N653" s="70" t="str">
        <f>IF(OR(E653="",J653=""),"",ROUND(N(H653)*J653*(1-N(K653)),2))</f>
        <v/>
      </c>
      <c r="O653" s="70" t="str">
        <f>IF(OR(N653="",NOT(ISNUMBER(M653))),"",ROUND(N653*M653,2))</f>
        <v/>
      </c>
      <c r="P653" s="70" t="str">
        <f>IF(N653="","",N653+N(O653))</f>
        <v/>
      </c>
      <c r="Q653" s="64" t="n"/>
      <c r="R653" s="73" t="str">
        <f>IF(N(Q653)&gt;0,Q653,IF(OR(N(B653)=0,ISNA(MATCH($C653,sup_code,0))),"",IF(ISNUMBER(INDEX(sup_delay,MATCH($C653,sup_code,0))),B653+INDEX(sup_delay,MATCH($C653,sup_code,0)),"")))</f>
        <v/>
      </c>
      <c r="S653" s="64" t="n"/>
      <c r="T653" s="68" t="n"/>
      <c r="U653" s="64" t="n"/>
      <c r="V653" s="65" t="n"/>
      <c r="W653" s="74" t="str">
        <f>IF(AND(A653="",E653=""),"",IF(V653="Oui",0,MAX(0,ROUND(N(H653)-N(T653),6))))</f>
        <v/>
      </c>
      <c r="X653" s="67" t="str">
        <f>IF(AND(A653="",E653=""),"",IF(V653="Oui","Annulé",IF(AND(N(H653)&gt;0,N(T653)&gt;=N(H653)),"Reçu",IF(N(S653)=0,"Brouillon",IF(AND(ISNUMBER(R653),R653&lt;p_today),"En retard",IF(N(T653)&gt;0,"Partiel","Envoyé"))))))</f>
        <v/>
      </c>
      <c r="Y653" s="75" t="str">
        <f>IF(X653="En retard",p_today-R653,IF(AND(X653="Reçu",ISNUMBER(R653)),MAX(0,N(U653)-R653),""))</f>
        <v/>
      </c>
      <c r="Z653" s="67" t="str">
        <f>IF(AND(A653="",E653=""),"",IF(A653="","N° de bon manquant",IF(N(B653)=0,"Date de commande manquante",IF(C653="","Fournisseur manquant",IF(ISNA(MATCH($C653,sup_code,0)),"Fournisseur inconnu",IF(E653="","Article manquant",IF(ISNA(MATCH($E653,art_ref,0)),"Article inconnu",IF(N(H653)&lt;=0,"Quantité invalide",IF(J653="","Prix manquant",IF(OR(N(K653)&lt;0,N(K653)&gt;=1),"Remise invalide",IF(M653="","TVA manquante",IF(ISNA(MATCH(M653,p_tva,0)),"Taux de TVA inconnu",IF(COUNTIFS(po_num,A653,po_sup,"&lt;&gt;"&amp;C653)&gt;0,"Fournisseur différent sur ce bon",IF(COUNTIFS(po_num,A653,po_date,"&lt;&gt;"&amp;B653)&gt;0,"Date différente sur ce bon",IF(COUNTIF(po_num,A653)&gt;25,"Plus de 25 lignes sur ce bon",IF(R653="","Date de livraison manquante",IF(R653&lt;B653,"Livraison avant la commande",IF(AND(N(T653)&gt;0,N(S653)=0),"Date d'envoi manquante",IF(N(T653)&gt;N(H653),"Reçu plus que commandé",IF(AND(N(T653)&gt;0,N(U653)=0),"Date de réception manquante",IF(AND(N(U653)&gt;0,U653&lt;B653),"Réception avant la commande","OK")))))))))))))))))))))</f>
        <v/>
      </c>
      <c r="AA653" s="66" t="str">
        <f>IF(AND(X653="Reçu",ISNUMBER(R653)),IF(N(U653)&lt;=R653,1,0),"")</f>
        <v/>
      </c>
      <c r="AB653" s="76" t="str">
        <f>IF(OR(X653="Envoyé",X653="Partiel",X653="En retard"),IF(ISNUMBER(R653),R653,100000)+ROW()/100000,"")</f>
        <v/>
      </c>
      <c r="AC653" s="66" t="str">
        <f>IF(A653="","",IF(COUNTIF($A$6:A653,A653)=1,1,""))</f>
        <v/>
      </c>
      <c r="AD653" s="66" t="str">
        <f>IF(AC653=1,COUNT($AC$6:AC653),"")</f>
        <v/>
      </c>
      <c r="AE653" s="66" t="str">
        <f>IFERROR(INDEX(po_num,MATCH(648,po_seq,0))&amp;"","")</f>
        <v/>
      </c>
      <c r="AF653" s="66" t="str">
        <f>IF(OR(A653="",p_po=""),"",IF(A653&amp;""=p_po,COUNTIF($A$6:A653,A653),""))</f>
        <v/>
      </c>
      <c r="AG653" s="66" t="str">
        <f>IF(OR(AB653="",A653=""),"",IF(COUNTIFS($A$6:A653,A653,$AB$6:AB653,"&gt;0")=1,1,""))</f>
        <v/>
      </c>
      <c r="AH653" s="70" t="str">
        <f>IF(AB653="","",ROUND(N(W653)*N(J653)*(1-N(K653)),2))</f>
        <v/>
      </c>
      <c r="AI653" s="70" t="str">
        <f>IF(OR(J653="",N(T653)&lt;=0,V653="Oui"),"",ROUND(N(T653)*J653*(1-N(K653)),2))</f>
        <v/>
      </c>
    </row>
    <row r="654">
      <c r="A654" s="63" t="n"/>
      <c r="B654" s="64" t="n"/>
      <c r="C654" s="65" t="n"/>
      <c r="D654" s="66" t="str">
        <f>IF(C654="","",IFERROR(INDEX(sup_name,MATCH($C654,sup_code,0))&amp;"","Fournisseur inconnu"))</f>
        <v/>
      </c>
      <c r="E654" s="63" t="n"/>
      <c r="F654" s="66" t="str">
        <f>IF(E654="","",IFERROR(INDEX(art_des,MATCH($E654,art_ref,0))&amp;"","Article inconnu"))</f>
        <v/>
      </c>
      <c r="G654" s="67" t="str">
        <f>IF(E654="","",IFERROR(INDEX(art_unit,MATCH($E654,art_ref,0))&amp;"",""))</f>
        <v/>
      </c>
      <c r="H654" s="68" t="n"/>
      <c r="I654" s="69" t="n"/>
      <c r="J654" s="70" t="str">
        <f>IF(E654="","",IF(ISNUMBER(I654),I654,IFERROR(IF(ISNUMBER(INDEX(art_price,MATCH($E654,art_ref,0))),INDEX(art_price,MATCH($E654,art_ref,0)),""),"")))</f>
        <v/>
      </c>
      <c r="K654" s="71" t="n"/>
      <c r="L654" s="72" t="n"/>
      <c r="M654" s="72" t="str">
        <f>IF(E654="","",IF(L654&lt;&gt;"",L654,IFERROR(IF(ISNUMBER(INDEX(art_tva,MATCH($E654,art_ref,0))),INDEX(art_tva,MATCH($E654,art_ref,0)),""),"")))</f>
        <v/>
      </c>
      <c r="N654" s="70" t="str">
        <f>IF(OR(E654="",J654=""),"",ROUND(N(H654)*J654*(1-N(K654)),2))</f>
        <v/>
      </c>
      <c r="O654" s="70" t="str">
        <f>IF(OR(N654="",NOT(ISNUMBER(M654))),"",ROUND(N654*M654,2))</f>
        <v/>
      </c>
      <c r="P654" s="70" t="str">
        <f>IF(N654="","",N654+N(O654))</f>
        <v/>
      </c>
      <c r="Q654" s="64" t="n"/>
      <c r="R654" s="73" t="str">
        <f>IF(N(Q654)&gt;0,Q654,IF(OR(N(B654)=0,ISNA(MATCH($C654,sup_code,0))),"",IF(ISNUMBER(INDEX(sup_delay,MATCH($C654,sup_code,0))),B654+INDEX(sup_delay,MATCH($C654,sup_code,0)),"")))</f>
        <v/>
      </c>
      <c r="S654" s="64" t="n"/>
      <c r="T654" s="68" t="n"/>
      <c r="U654" s="64" t="n"/>
      <c r="V654" s="65" t="n"/>
      <c r="W654" s="74" t="str">
        <f>IF(AND(A654="",E654=""),"",IF(V654="Oui",0,MAX(0,ROUND(N(H654)-N(T654),6))))</f>
        <v/>
      </c>
      <c r="X654" s="67" t="str">
        <f>IF(AND(A654="",E654=""),"",IF(V654="Oui","Annulé",IF(AND(N(H654)&gt;0,N(T654)&gt;=N(H654)),"Reçu",IF(N(S654)=0,"Brouillon",IF(AND(ISNUMBER(R654),R654&lt;p_today),"En retard",IF(N(T654)&gt;0,"Partiel","Envoyé"))))))</f>
        <v/>
      </c>
      <c r="Y654" s="75" t="str">
        <f>IF(X654="En retard",p_today-R654,IF(AND(X654="Reçu",ISNUMBER(R654)),MAX(0,N(U654)-R654),""))</f>
        <v/>
      </c>
      <c r="Z654" s="67" t="str">
        <f>IF(AND(A654="",E654=""),"",IF(A654="","N° de bon manquant",IF(N(B654)=0,"Date de commande manquante",IF(C654="","Fournisseur manquant",IF(ISNA(MATCH($C654,sup_code,0)),"Fournisseur inconnu",IF(E654="","Article manquant",IF(ISNA(MATCH($E654,art_ref,0)),"Article inconnu",IF(N(H654)&lt;=0,"Quantité invalide",IF(J654="","Prix manquant",IF(OR(N(K654)&lt;0,N(K654)&gt;=1),"Remise invalide",IF(M654="","TVA manquante",IF(ISNA(MATCH(M654,p_tva,0)),"Taux de TVA inconnu",IF(COUNTIFS(po_num,A654,po_sup,"&lt;&gt;"&amp;C654)&gt;0,"Fournisseur différent sur ce bon",IF(COUNTIFS(po_num,A654,po_date,"&lt;&gt;"&amp;B654)&gt;0,"Date différente sur ce bon",IF(COUNTIF(po_num,A654)&gt;25,"Plus de 25 lignes sur ce bon",IF(R654="","Date de livraison manquante",IF(R654&lt;B654,"Livraison avant la commande",IF(AND(N(T654)&gt;0,N(S654)=0),"Date d'envoi manquante",IF(N(T654)&gt;N(H654),"Reçu plus que commandé",IF(AND(N(T654)&gt;0,N(U654)=0),"Date de réception manquante",IF(AND(N(U654)&gt;0,U654&lt;B654),"Réception avant la commande","OK")))))))))))))))))))))</f>
        <v/>
      </c>
      <c r="AA654" s="66" t="str">
        <f>IF(AND(X654="Reçu",ISNUMBER(R654)),IF(N(U654)&lt;=R654,1,0),"")</f>
        <v/>
      </c>
      <c r="AB654" s="76" t="str">
        <f>IF(OR(X654="Envoyé",X654="Partiel",X654="En retard"),IF(ISNUMBER(R654),R654,100000)+ROW()/100000,"")</f>
        <v/>
      </c>
      <c r="AC654" s="66" t="str">
        <f>IF(A654="","",IF(COUNTIF($A$6:A654,A654)=1,1,""))</f>
        <v/>
      </c>
      <c r="AD654" s="66" t="str">
        <f>IF(AC654=1,COUNT($AC$6:AC654),"")</f>
        <v/>
      </c>
      <c r="AE654" s="66" t="str">
        <f>IFERROR(INDEX(po_num,MATCH(649,po_seq,0))&amp;"","")</f>
        <v/>
      </c>
      <c r="AF654" s="66" t="str">
        <f>IF(OR(A654="",p_po=""),"",IF(A654&amp;""=p_po,COUNTIF($A$6:A654,A654),""))</f>
        <v/>
      </c>
      <c r="AG654" s="66" t="str">
        <f>IF(OR(AB654="",A654=""),"",IF(COUNTIFS($A$6:A654,A654,$AB$6:AB654,"&gt;0")=1,1,""))</f>
        <v/>
      </c>
      <c r="AH654" s="70" t="str">
        <f>IF(AB654="","",ROUND(N(W654)*N(J654)*(1-N(K654)),2))</f>
        <v/>
      </c>
      <c r="AI654" s="70" t="str">
        <f>IF(OR(J654="",N(T654)&lt;=0,V654="Oui"),"",ROUND(N(T654)*J654*(1-N(K654)),2))</f>
        <v/>
      </c>
    </row>
    <row r="655">
      <c r="A655" s="63" t="n"/>
      <c r="B655" s="64" t="n"/>
      <c r="C655" s="65" t="n"/>
      <c r="D655" s="66" t="str">
        <f>IF(C655="","",IFERROR(INDEX(sup_name,MATCH($C655,sup_code,0))&amp;"","Fournisseur inconnu"))</f>
        <v/>
      </c>
      <c r="E655" s="63" t="n"/>
      <c r="F655" s="66" t="str">
        <f>IF(E655="","",IFERROR(INDEX(art_des,MATCH($E655,art_ref,0))&amp;"","Article inconnu"))</f>
        <v/>
      </c>
      <c r="G655" s="67" t="str">
        <f>IF(E655="","",IFERROR(INDEX(art_unit,MATCH($E655,art_ref,0))&amp;"",""))</f>
        <v/>
      </c>
      <c r="H655" s="68" t="n"/>
      <c r="I655" s="69" t="n"/>
      <c r="J655" s="70" t="str">
        <f>IF(E655="","",IF(ISNUMBER(I655),I655,IFERROR(IF(ISNUMBER(INDEX(art_price,MATCH($E655,art_ref,0))),INDEX(art_price,MATCH($E655,art_ref,0)),""),"")))</f>
        <v/>
      </c>
      <c r="K655" s="71" t="n"/>
      <c r="L655" s="72" t="n"/>
      <c r="M655" s="72" t="str">
        <f>IF(E655="","",IF(L655&lt;&gt;"",L655,IFERROR(IF(ISNUMBER(INDEX(art_tva,MATCH($E655,art_ref,0))),INDEX(art_tva,MATCH($E655,art_ref,0)),""),"")))</f>
        <v/>
      </c>
      <c r="N655" s="70" t="str">
        <f>IF(OR(E655="",J655=""),"",ROUND(N(H655)*J655*(1-N(K655)),2))</f>
        <v/>
      </c>
      <c r="O655" s="70" t="str">
        <f>IF(OR(N655="",NOT(ISNUMBER(M655))),"",ROUND(N655*M655,2))</f>
        <v/>
      </c>
      <c r="P655" s="70" t="str">
        <f>IF(N655="","",N655+N(O655))</f>
        <v/>
      </c>
      <c r="Q655" s="64" t="n"/>
      <c r="R655" s="73" t="str">
        <f>IF(N(Q655)&gt;0,Q655,IF(OR(N(B655)=0,ISNA(MATCH($C655,sup_code,0))),"",IF(ISNUMBER(INDEX(sup_delay,MATCH($C655,sup_code,0))),B655+INDEX(sup_delay,MATCH($C655,sup_code,0)),"")))</f>
        <v/>
      </c>
      <c r="S655" s="64" t="n"/>
      <c r="T655" s="68" t="n"/>
      <c r="U655" s="64" t="n"/>
      <c r="V655" s="65" t="n"/>
      <c r="W655" s="74" t="str">
        <f>IF(AND(A655="",E655=""),"",IF(V655="Oui",0,MAX(0,ROUND(N(H655)-N(T655),6))))</f>
        <v/>
      </c>
      <c r="X655" s="67" t="str">
        <f>IF(AND(A655="",E655=""),"",IF(V655="Oui","Annulé",IF(AND(N(H655)&gt;0,N(T655)&gt;=N(H655)),"Reçu",IF(N(S655)=0,"Brouillon",IF(AND(ISNUMBER(R655),R655&lt;p_today),"En retard",IF(N(T655)&gt;0,"Partiel","Envoyé"))))))</f>
        <v/>
      </c>
      <c r="Y655" s="75" t="str">
        <f>IF(X655="En retard",p_today-R655,IF(AND(X655="Reçu",ISNUMBER(R655)),MAX(0,N(U655)-R655),""))</f>
        <v/>
      </c>
      <c r="Z655" s="67" t="str">
        <f>IF(AND(A655="",E655=""),"",IF(A655="","N° de bon manquant",IF(N(B655)=0,"Date de commande manquante",IF(C655="","Fournisseur manquant",IF(ISNA(MATCH($C655,sup_code,0)),"Fournisseur inconnu",IF(E655="","Article manquant",IF(ISNA(MATCH($E655,art_ref,0)),"Article inconnu",IF(N(H655)&lt;=0,"Quantité invalide",IF(J655="","Prix manquant",IF(OR(N(K655)&lt;0,N(K655)&gt;=1),"Remise invalide",IF(M655="","TVA manquante",IF(ISNA(MATCH(M655,p_tva,0)),"Taux de TVA inconnu",IF(COUNTIFS(po_num,A655,po_sup,"&lt;&gt;"&amp;C655)&gt;0,"Fournisseur différent sur ce bon",IF(COUNTIFS(po_num,A655,po_date,"&lt;&gt;"&amp;B655)&gt;0,"Date différente sur ce bon",IF(COUNTIF(po_num,A655)&gt;25,"Plus de 25 lignes sur ce bon",IF(R655="","Date de livraison manquante",IF(R655&lt;B655,"Livraison avant la commande",IF(AND(N(T655)&gt;0,N(S655)=0),"Date d'envoi manquante",IF(N(T655)&gt;N(H655),"Reçu plus que commandé",IF(AND(N(T655)&gt;0,N(U655)=0),"Date de réception manquante",IF(AND(N(U655)&gt;0,U655&lt;B655),"Réception avant la commande","OK")))))))))))))))))))))</f>
        <v/>
      </c>
      <c r="AA655" s="66" t="str">
        <f>IF(AND(X655="Reçu",ISNUMBER(R655)),IF(N(U655)&lt;=R655,1,0),"")</f>
        <v/>
      </c>
      <c r="AB655" s="76" t="str">
        <f>IF(OR(X655="Envoyé",X655="Partiel",X655="En retard"),IF(ISNUMBER(R655),R655,100000)+ROW()/100000,"")</f>
        <v/>
      </c>
      <c r="AC655" s="66" t="str">
        <f>IF(A655="","",IF(COUNTIF($A$6:A655,A655)=1,1,""))</f>
        <v/>
      </c>
      <c r="AD655" s="66" t="str">
        <f>IF(AC655=1,COUNT($AC$6:AC655),"")</f>
        <v/>
      </c>
      <c r="AE655" s="66" t="str">
        <f>IFERROR(INDEX(po_num,MATCH(650,po_seq,0))&amp;"","")</f>
        <v/>
      </c>
      <c r="AF655" s="66" t="str">
        <f>IF(OR(A655="",p_po=""),"",IF(A655&amp;""=p_po,COUNTIF($A$6:A655,A655),""))</f>
        <v/>
      </c>
      <c r="AG655" s="66" t="str">
        <f>IF(OR(AB655="",A655=""),"",IF(COUNTIFS($A$6:A655,A655,$AB$6:AB655,"&gt;0")=1,1,""))</f>
        <v/>
      </c>
      <c r="AH655" s="70" t="str">
        <f>IF(AB655="","",ROUND(N(W655)*N(J655)*(1-N(K655)),2))</f>
        <v/>
      </c>
      <c r="AI655" s="70" t="str">
        <f>IF(OR(J655="",N(T655)&lt;=0,V655="Oui"),"",ROUND(N(T655)*J655*(1-N(K655)),2))</f>
        <v/>
      </c>
    </row>
    <row r="656">
      <c r="A656" s="63" t="n"/>
      <c r="B656" s="64" t="n"/>
      <c r="C656" s="65" t="n"/>
      <c r="D656" s="66" t="str">
        <f>IF(C656="","",IFERROR(INDEX(sup_name,MATCH($C656,sup_code,0))&amp;"","Fournisseur inconnu"))</f>
        <v/>
      </c>
      <c r="E656" s="63" t="n"/>
      <c r="F656" s="66" t="str">
        <f>IF(E656="","",IFERROR(INDEX(art_des,MATCH($E656,art_ref,0))&amp;"","Article inconnu"))</f>
        <v/>
      </c>
      <c r="G656" s="67" t="str">
        <f>IF(E656="","",IFERROR(INDEX(art_unit,MATCH($E656,art_ref,0))&amp;"",""))</f>
        <v/>
      </c>
      <c r="H656" s="68" t="n"/>
      <c r="I656" s="69" t="n"/>
      <c r="J656" s="70" t="str">
        <f>IF(E656="","",IF(ISNUMBER(I656),I656,IFERROR(IF(ISNUMBER(INDEX(art_price,MATCH($E656,art_ref,0))),INDEX(art_price,MATCH($E656,art_ref,0)),""),"")))</f>
        <v/>
      </c>
      <c r="K656" s="71" t="n"/>
      <c r="L656" s="72" t="n"/>
      <c r="M656" s="72" t="str">
        <f>IF(E656="","",IF(L656&lt;&gt;"",L656,IFERROR(IF(ISNUMBER(INDEX(art_tva,MATCH($E656,art_ref,0))),INDEX(art_tva,MATCH($E656,art_ref,0)),""),"")))</f>
        <v/>
      </c>
      <c r="N656" s="70" t="str">
        <f>IF(OR(E656="",J656=""),"",ROUND(N(H656)*J656*(1-N(K656)),2))</f>
        <v/>
      </c>
      <c r="O656" s="70" t="str">
        <f>IF(OR(N656="",NOT(ISNUMBER(M656))),"",ROUND(N656*M656,2))</f>
        <v/>
      </c>
      <c r="P656" s="70" t="str">
        <f>IF(N656="","",N656+N(O656))</f>
        <v/>
      </c>
      <c r="Q656" s="64" t="n"/>
      <c r="R656" s="73" t="str">
        <f>IF(N(Q656)&gt;0,Q656,IF(OR(N(B656)=0,ISNA(MATCH($C656,sup_code,0))),"",IF(ISNUMBER(INDEX(sup_delay,MATCH($C656,sup_code,0))),B656+INDEX(sup_delay,MATCH($C656,sup_code,0)),"")))</f>
        <v/>
      </c>
      <c r="S656" s="64" t="n"/>
      <c r="T656" s="68" t="n"/>
      <c r="U656" s="64" t="n"/>
      <c r="V656" s="65" t="n"/>
      <c r="W656" s="74" t="str">
        <f>IF(AND(A656="",E656=""),"",IF(V656="Oui",0,MAX(0,ROUND(N(H656)-N(T656),6))))</f>
        <v/>
      </c>
      <c r="X656" s="67" t="str">
        <f>IF(AND(A656="",E656=""),"",IF(V656="Oui","Annulé",IF(AND(N(H656)&gt;0,N(T656)&gt;=N(H656)),"Reçu",IF(N(S656)=0,"Brouillon",IF(AND(ISNUMBER(R656),R656&lt;p_today),"En retard",IF(N(T656)&gt;0,"Partiel","Envoyé"))))))</f>
        <v/>
      </c>
      <c r="Y656" s="75" t="str">
        <f>IF(X656="En retard",p_today-R656,IF(AND(X656="Reçu",ISNUMBER(R656)),MAX(0,N(U656)-R656),""))</f>
        <v/>
      </c>
      <c r="Z656" s="67" t="str">
        <f>IF(AND(A656="",E656=""),"",IF(A656="","N° de bon manquant",IF(N(B656)=0,"Date de commande manquante",IF(C656="","Fournisseur manquant",IF(ISNA(MATCH($C656,sup_code,0)),"Fournisseur inconnu",IF(E656="","Article manquant",IF(ISNA(MATCH($E656,art_ref,0)),"Article inconnu",IF(N(H656)&lt;=0,"Quantité invalide",IF(J656="","Prix manquant",IF(OR(N(K656)&lt;0,N(K656)&gt;=1),"Remise invalide",IF(M656="","TVA manquante",IF(ISNA(MATCH(M656,p_tva,0)),"Taux de TVA inconnu",IF(COUNTIFS(po_num,A656,po_sup,"&lt;&gt;"&amp;C656)&gt;0,"Fournisseur différent sur ce bon",IF(COUNTIFS(po_num,A656,po_date,"&lt;&gt;"&amp;B656)&gt;0,"Date différente sur ce bon",IF(COUNTIF(po_num,A656)&gt;25,"Plus de 25 lignes sur ce bon",IF(R656="","Date de livraison manquante",IF(R656&lt;B656,"Livraison avant la commande",IF(AND(N(T656)&gt;0,N(S656)=0),"Date d'envoi manquante",IF(N(T656)&gt;N(H656),"Reçu plus que commandé",IF(AND(N(T656)&gt;0,N(U656)=0),"Date de réception manquante",IF(AND(N(U656)&gt;0,U656&lt;B656),"Réception avant la commande","OK")))))))))))))))))))))</f>
        <v/>
      </c>
      <c r="AA656" s="66" t="str">
        <f>IF(AND(X656="Reçu",ISNUMBER(R656)),IF(N(U656)&lt;=R656,1,0),"")</f>
        <v/>
      </c>
      <c r="AB656" s="76" t="str">
        <f>IF(OR(X656="Envoyé",X656="Partiel",X656="En retard"),IF(ISNUMBER(R656),R656,100000)+ROW()/100000,"")</f>
        <v/>
      </c>
      <c r="AC656" s="66" t="str">
        <f>IF(A656="","",IF(COUNTIF($A$6:A656,A656)=1,1,""))</f>
        <v/>
      </c>
      <c r="AD656" s="66" t="str">
        <f>IF(AC656=1,COUNT($AC$6:AC656),"")</f>
        <v/>
      </c>
      <c r="AE656" s="66" t="str">
        <f>IFERROR(INDEX(po_num,MATCH(651,po_seq,0))&amp;"","")</f>
        <v/>
      </c>
      <c r="AF656" s="66" t="str">
        <f>IF(OR(A656="",p_po=""),"",IF(A656&amp;""=p_po,COUNTIF($A$6:A656,A656),""))</f>
        <v/>
      </c>
      <c r="AG656" s="66" t="str">
        <f>IF(OR(AB656="",A656=""),"",IF(COUNTIFS($A$6:A656,A656,$AB$6:AB656,"&gt;0")=1,1,""))</f>
        <v/>
      </c>
      <c r="AH656" s="70" t="str">
        <f>IF(AB656="","",ROUND(N(W656)*N(J656)*(1-N(K656)),2))</f>
        <v/>
      </c>
      <c r="AI656" s="70" t="str">
        <f>IF(OR(J656="",N(T656)&lt;=0,V656="Oui"),"",ROUND(N(T656)*J656*(1-N(K656)),2))</f>
        <v/>
      </c>
    </row>
    <row r="657">
      <c r="A657" s="63" t="n"/>
      <c r="B657" s="64" t="n"/>
      <c r="C657" s="65" t="n"/>
      <c r="D657" s="66" t="str">
        <f>IF(C657="","",IFERROR(INDEX(sup_name,MATCH($C657,sup_code,0))&amp;"","Fournisseur inconnu"))</f>
        <v/>
      </c>
      <c r="E657" s="63" t="n"/>
      <c r="F657" s="66" t="str">
        <f>IF(E657="","",IFERROR(INDEX(art_des,MATCH($E657,art_ref,0))&amp;"","Article inconnu"))</f>
        <v/>
      </c>
      <c r="G657" s="67" t="str">
        <f>IF(E657="","",IFERROR(INDEX(art_unit,MATCH($E657,art_ref,0))&amp;"",""))</f>
        <v/>
      </c>
      <c r="H657" s="68" t="n"/>
      <c r="I657" s="69" t="n"/>
      <c r="J657" s="70" t="str">
        <f>IF(E657="","",IF(ISNUMBER(I657),I657,IFERROR(IF(ISNUMBER(INDEX(art_price,MATCH($E657,art_ref,0))),INDEX(art_price,MATCH($E657,art_ref,0)),""),"")))</f>
        <v/>
      </c>
      <c r="K657" s="71" t="n"/>
      <c r="L657" s="72" t="n"/>
      <c r="M657" s="72" t="str">
        <f>IF(E657="","",IF(L657&lt;&gt;"",L657,IFERROR(IF(ISNUMBER(INDEX(art_tva,MATCH($E657,art_ref,0))),INDEX(art_tva,MATCH($E657,art_ref,0)),""),"")))</f>
        <v/>
      </c>
      <c r="N657" s="70" t="str">
        <f>IF(OR(E657="",J657=""),"",ROUND(N(H657)*J657*(1-N(K657)),2))</f>
        <v/>
      </c>
      <c r="O657" s="70" t="str">
        <f>IF(OR(N657="",NOT(ISNUMBER(M657))),"",ROUND(N657*M657,2))</f>
        <v/>
      </c>
      <c r="P657" s="70" t="str">
        <f>IF(N657="","",N657+N(O657))</f>
        <v/>
      </c>
      <c r="Q657" s="64" t="n"/>
      <c r="R657" s="73" t="str">
        <f>IF(N(Q657)&gt;0,Q657,IF(OR(N(B657)=0,ISNA(MATCH($C657,sup_code,0))),"",IF(ISNUMBER(INDEX(sup_delay,MATCH($C657,sup_code,0))),B657+INDEX(sup_delay,MATCH($C657,sup_code,0)),"")))</f>
        <v/>
      </c>
      <c r="S657" s="64" t="n"/>
      <c r="T657" s="68" t="n"/>
      <c r="U657" s="64" t="n"/>
      <c r="V657" s="65" t="n"/>
      <c r="W657" s="74" t="str">
        <f>IF(AND(A657="",E657=""),"",IF(V657="Oui",0,MAX(0,ROUND(N(H657)-N(T657),6))))</f>
        <v/>
      </c>
      <c r="X657" s="67" t="str">
        <f>IF(AND(A657="",E657=""),"",IF(V657="Oui","Annulé",IF(AND(N(H657)&gt;0,N(T657)&gt;=N(H657)),"Reçu",IF(N(S657)=0,"Brouillon",IF(AND(ISNUMBER(R657),R657&lt;p_today),"En retard",IF(N(T657)&gt;0,"Partiel","Envoyé"))))))</f>
        <v/>
      </c>
      <c r="Y657" s="75" t="str">
        <f>IF(X657="En retard",p_today-R657,IF(AND(X657="Reçu",ISNUMBER(R657)),MAX(0,N(U657)-R657),""))</f>
        <v/>
      </c>
      <c r="Z657" s="67" t="str">
        <f>IF(AND(A657="",E657=""),"",IF(A657="","N° de bon manquant",IF(N(B657)=0,"Date de commande manquante",IF(C657="","Fournisseur manquant",IF(ISNA(MATCH($C657,sup_code,0)),"Fournisseur inconnu",IF(E657="","Article manquant",IF(ISNA(MATCH($E657,art_ref,0)),"Article inconnu",IF(N(H657)&lt;=0,"Quantité invalide",IF(J657="","Prix manquant",IF(OR(N(K657)&lt;0,N(K657)&gt;=1),"Remise invalide",IF(M657="","TVA manquante",IF(ISNA(MATCH(M657,p_tva,0)),"Taux de TVA inconnu",IF(COUNTIFS(po_num,A657,po_sup,"&lt;&gt;"&amp;C657)&gt;0,"Fournisseur différent sur ce bon",IF(COUNTIFS(po_num,A657,po_date,"&lt;&gt;"&amp;B657)&gt;0,"Date différente sur ce bon",IF(COUNTIF(po_num,A657)&gt;25,"Plus de 25 lignes sur ce bon",IF(R657="","Date de livraison manquante",IF(R657&lt;B657,"Livraison avant la commande",IF(AND(N(T657)&gt;0,N(S657)=0),"Date d'envoi manquante",IF(N(T657)&gt;N(H657),"Reçu plus que commandé",IF(AND(N(T657)&gt;0,N(U657)=0),"Date de réception manquante",IF(AND(N(U657)&gt;0,U657&lt;B657),"Réception avant la commande","OK")))))))))))))))))))))</f>
        <v/>
      </c>
      <c r="AA657" s="66" t="str">
        <f>IF(AND(X657="Reçu",ISNUMBER(R657)),IF(N(U657)&lt;=R657,1,0),"")</f>
        <v/>
      </c>
      <c r="AB657" s="76" t="str">
        <f>IF(OR(X657="Envoyé",X657="Partiel",X657="En retard"),IF(ISNUMBER(R657),R657,100000)+ROW()/100000,"")</f>
        <v/>
      </c>
      <c r="AC657" s="66" t="str">
        <f>IF(A657="","",IF(COUNTIF($A$6:A657,A657)=1,1,""))</f>
        <v/>
      </c>
      <c r="AD657" s="66" t="str">
        <f>IF(AC657=1,COUNT($AC$6:AC657),"")</f>
        <v/>
      </c>
      <c r="AE657" s="66" t="str">
        <f>IFERROR(INDEX(po_num,MATCH(652,po_seq,0))&amp;"","")</f>
        <v/>
      </c>
      <c r="AF657" s="66" t="str">
        <f>IF(OR(A657="",p_po=""),"",IF(A657&amp;""=p_po,COUNTIF($A$6:A657,A657),""))</f>
        <v/>
      </c>
      <c r="AG657" s="66" t="str">
        <f>IF(OR(AB657="",A657=""),"",IF(COUNTIFS($A$6:A657,A657,$AB$6:AB657,"&gt;0")=1,1,""))</f>
        <v/>
      </c>
      <c r="AH657" s="70" t="str">
        <f>IF(AB657="","",ROUND(N(W657)*N(J657)*(1-N(K657)),2))</f>
        <v/>
      </c>
      <c r="AI657" s="70" t="str">
        <f>IF(OR(J657="",N(T657)&lt;=0,V657="Oui"),"",ROUND(N(T657)*J657*(1-N(K657)),2))</f>
        <v/>
      </c>
    </row>
    <row r="658">
      <c r="A658" s="63" t="n"/>
      <c r="B658" s="64" t="n"/>
      <c r="C658" s="65" t="n"/>
      <c r="D658" s="66" t="str">
        <f>IF(C658="","",IFERROR(INDEX(sup_name,MATCH($C658,sup_code,0))&amp;"","Fournisseur inconnu"))</f>
        <v/>
      </c>
      <c r="E658" s="63" t="n"/>
      <c r="F658" s="66" t="str">
        <f>IF(E658="","",IFERROR(INDEX(art_des,MATCH($E658,art_ref,0))&amp;"","Article inconnu"))</f>
        <v/>
      </c>
      <c r="G658" s="67" t="str">
        <f>IF(E658="","",IFERROR(INDEX(art_unit,MATCH($E658,art_ref,0))&amp;"",""))</f>
        <v/>
      </c>
      <c r="H658" s="68" t="n"/>
      <c r="I658" s="69" t="n"/>
      <c r="J658" s="70" t="str">
        <f>IF(E658="","",IF(ISNUMBER(I658),I658,IFERROR(IF(ISNUMBER(INDEX(art_price,MATCH($E658,art_ref,0))),INDEX(art_price,MATCH($E658,art_ref,0)),""),"")))</f>
        <v/>
      </c>
      <c r="K658" s="71" t="n"/>
      <c r="L658" s="72" t="n"/>
      <c r="M658" s="72" t="str">
        <f>IF(E658="","",IF(L658&lt;&gt;"",L658,IFERROR(IF(ISNUMBER(INDEX(art_tva,MATCH($E658,art_ref,0))),INDEX(art_tva,MATCH($E658,art_ref,0)),""),"")))</f>
        <v/>
      </c>
      <c r="N658" s="70" t="str">
        <f>IF(OR(E658="",J658=""),"",ROUND(N(H658)*J658*(1-N(K658)),2))</f>
        <v/>
      </c>
      <c r="O658" s="70" t="str">
        <f>IF(OR(N658="",NOT(ISNUMBER(M658))),"",ROUND(N658*M658,2))</f>
        <v/>
      </c>
      <c r="P658" s="70" t="str">
        <f>IF(N658="","",N658+N(O658))</f>
        <v/>
      </c>
      <c r="Q658" s="64" t="n"/>
      <c r="R658" s="73" t="str">
        <f>IF(N(Q658)&gt;0,Q658,IF(OR(N(B658)=0,ISNA(MATCH($C658,sup_code,0))),"",IF(ISNUMBER(INDEX(sup_delay,MATCH($C658,sup_code,0))),B658+INDEX(sup_delay,MATCH($C658,sup_code,0)),"")))</f>
        <v/>
      </c>
      <c r="S658" s="64" t="n"/>
      <c r="T658" s="68" t="n"/>
      <c r="U658" s="64" t="n"/>
      <c r="V658" s="65" t="n"/>
      <c r="W658" s="74" t="str">
        <f>IF(AND(A658="",E658=""),"",IF(V658="Oui",0,MAX(0,ROUND(N(H658)-N(T658),6))))</f>
        <v/>
      </c>
      <c r="X658" s="67" t="str">
        <f>IF(AND(A658="",E658=""),"",IF(V658="Oui","Annulé",IF(AND(N(H658)&gt;0,N(T658)&gt;=N(H658)),"Reçu",IF(N(S658)=0,"Brouillon",IF(AND(ISNUMBER(R658),R658&lt;p_today),"En retard",IF(N(T658)&gt;0,"Partiel","Envoyé"))))))</f>
        <v/>
      </c>
      <c r="Y658" s="75" t="str">
        <f>IF(X658="En retard",p_today-R658,IF(AND(X658="Reçu",ISNUMBER(R658)),MAX(0,N(U658)-R658),""))</f>
        <v/>
      </c>
      <c r="Z658" s="67" t="str">
        <f>IF(AND(A658="",E658=""),"",IF(A658="","N° de bon manquant",IF(N(B658)=0,"Date de commande manquante",IF(C658="","Fournisseur manquant",IF(ISNA(MATCH($C658,sup_code,0)),"Fournisseur inconnu",IF(E658="","Article manquant",IF(ISNA(MATCH($E658,art_ref,0)),"Article inconnu",IF(N(H658)&lt;=0,"Quantité invalide",IF(J658="","Prix manquant",IF(OR(N(K658)&lt;0,N(K658)&gt;=1),"Remise invalide",IF(M658="","TVA manquante",IF(ISNA(MATCH(M658,p_tva,0)),"Taux de TVA inconnu",IF(COUNTIFS(po_num,A658,po_sup,"&lt;&gt;"&amp;C658)&gt;0,"Fournisseur différent sur ce bon",IF(COUNTIFS(po_num,A658,po_date,"&lt;&gt;"&amp;B658)&gt;0,"Date différente sur ce bon",IF(COUNTIF(po_num,A658)&gt;25,"Plus de 25 lignes sur ce bon",IF(R658="","Date de livraison manquante",IF(R658&lt;B658,"Livraison avant la commande",IF(AND(N(T658)&gt;0,N(S658)=0),"Date d'envoi manquante",IF(N(T658)&gt;N(H658),"Reçu plus que commandé",IF(AND(N(T658)&gt;0,N(U658)=0),"Date de réception manquante",IF(AND(N(U658)&gt;0,U658&lt;B658),"Réception avant la commande","OK")))))))))))))))))))))</f>
        <v/>
      </c>
      <c r="AA658" s="66" t="str">
        <f>IF(AND(X658="Reçu",ISNUMBER(R658)),IF(N(U658)&lt;=R658,1,0),"")</f>
        <v/>
      </c>
      <c r="AB658" s="76" t="str">
        <f>IF(OR(X658="Envoyé",X658="Partiel",X658="En retard"),IF(ISNUMBER(R658),R658,100000)+ROW()/100000,"")</f>
        <v/>
      </c>
      <c r="AC658" s="66" t="str">
        <f>IF(A658="","",IF(COUNTIF($A$6:A658,A658)=1,1,""))</f>
        <v/>
      </c>
      <c r="AD658" s="66" t="str">
        <f>IF(AC658=1,COUNT($AC$6:AC658),"")</f>
        <v/>
      </c>
      <c r="AE658" s="66" t="str">
        <f>IFERROR(INDEX(po_num,MATCH(653,po_seq,0))&amp;"","")</f>
        <v/>
      </c>
      <c r="AF658" s="66" t="str">
        <f>IF(OR(A658="",p_po=""),"",IF(A658&amp;""=p_po,COUNTIF($A$6:A658,A658),""))</f>
        <v/>
      </c>
      <c r="AG658" s="66" t="str">
        <f>IF(OR(AB658="",A658=""),"",IF(COUNTIFS($A$6:A658,A658,$AB$6:AB658,"&gt;0")=1,1,""))</f>
        <v/>
      </c>
      <c r="AH658" s="70" t="str">
        <f>IF(AB658="","",ROUND(N(W658)*N(J658)*(1-N(K658)),2))</f>
        <v/>
      </c>
      <c r="AI658" s="70" t="str">
        <f>IF(OR(J658="",N(T658)&lt;=0,V658="Oui"),"",ROUND(N(T658)*J658*(1-N(K658)),2))</f>
        <v/>
      </c>
    </row>
    <row r="659">
      <c r="A659" s="63" t="n"/>
      <c r="B659" s="64" t="n"/>
      <c r="C659" s="65" t="n"/>
      <c r="D659" s="66" t="str">
        <f>IF(C659="","",IFERROR(INDEX(sup_name,MATCH($C659,sup_code,0))&amp;"","Fournisseur inconnu"))</f>
        <v/>
      </c>
      <c r="E659" s="63" t="n"/>
      <c r="F659" s="66" t="str">
        <f>IF(E659="","",IFERROR(INDEX(art_des,MATCH($E659,art_ref,0))&amp;"","Article inconnu"))</f>
        <v/>
      </c>
      <c r="G659" s="67" t="str">
        <f>IF(E659="","",IFERROR(INDEX(art_unit,MATCH($E659,art_ref,0))&amp;"",""))</f>
        <v/>
      </c>
      <c r="H659" s="68" t="n"/>
      <c r="I659" s="69" t="n"/>
      <c r="J659" s="70" t="str">
        <f>IF(E659="","",IF(ISNUMBER(I659),I659,IFERROR(IF(ISNUMBER(INDEX(art_price,MATCH($E659,art_ref,0))),INDEX(art_price,MATCH($E659,art_ref,0)),""),"")))</f>
        <v/>
      </c>
      <c r="K659" s="71" t="n"/>
      <c r="L659" s="72" t="n"/>
      <c r="M659" s="72" t="str">
        <f>IF(E659="","",IF(L659&lt;&gt;"",L659,IFERROR(IF(ISNUMBER(INDEX(art_tva,MATCH($E659,art_ref,0))),INDEX(art_tva,MATCH($E659,art_ref,0)),""),"")))</f>
        <v/>
      </c>
      <c r="N659" s="70" t="str">
        <f>IF(OR(E659="",J659=""),"",ROUND(N(H659)*J659*(1-N(K659)),2))</f>
        <v/>
      </c>
      <c r="O659" s="70" t="str">
        <f>IF(OR(N659="",NOT(ISNUMBER(M659))),"",ROUND(N659*M659,2))</f>
        <v/>
      </c>
      <c r="P659" s="70" t="str">
        <f>IF(N659="","",N659+N(O659))</f>
        <v/>
      </c>
      <c r="Q659" s="64" t="n"/>
      <c r="R659" s="73" t="str">
        <f>IF(N(Q659)&gt;0,Q659,IF(OR(N(B659)=0,ISNA(MATCH($C659,sup_code,0))),"",IF(ISNUMBER(INDEX(sup_delay,MATCH($C659,sup_code,0))),B659+INDEX(sup_delay,MATCH($C659,sup_code,0)),"")))</f>
        <v/>
      </c>
      <c r="S659" s="64" t="n"/>
      <c r="T659" s="68" t="n"/>
      <c r="U659" s="64" t="n"/>
      <c r="V659" s="65" t="n"/>
      <c r="W659" s="74" t="str">
        <f>IF(AND(A659="",E659=""),"",IF(V659="Oui",0,MAX(0,ROUND(N(H659)-N(T659),6))))</f>
        <v/>
      </c>
      <c r="X659" s="67" t="str">
        <f>IF(AND(A659="",E659=""),"",IF(V659="Oui","Annulé",IF(AND(N(H659)&gt;0,N(T659)&gt;=N(H659)),"Reçu",IF(N(S659)=0,"Brouillon",IF(AND(ISNUMBER(R659),R659&lt;p_today),"En retard",IF(N(T659)&gt;0,"Partiel","Envoyé"))))))</f>
        <v/>
      </c>
      <c r="Y659" s="75" t="str">
        <f>IF(X659="En retard",p_today-R659,IF(AND(X659="Reçu",ISNUMBER(R659)),MAX(0,N(U659)-R659),""))</f>
        <v/>
      </c>
      <c r="Z659" s="67" t="str">
        <f>IF(AND(A659="",E659=""),"",IF(A659="","N° de bon manquant",IF(N(B659)=0,"Date de commande manquante",IF(C659="","Fournisseur manquant",IF(ISNA(MATCH($C659,sup_code,0)),"Fournisseur inconnu",IF(E659="","Article manquant",IF(ISNA(MATCH($E659,art_ref,0)),"Article inconnu",IF(N(H659)&lt;=0,"Quantité invalide",IF(J659="","Prix manquant",IF(OR(N(K659)&lt;0,N(K659)&gt;=1),"Remise invalide",IF(M659="","TVA manquante",IF(ISNA(MATCH(M659,p_tva,0)),"Taux de TVA inconnu",IF(COUNTIFS(po_num,A659,po_sup,"&lt;&gt;"&amp;C659)&gt;0,"Fournisseur différent sur ce bon",IF(COUNTIFS(po_num,A659,po_date,"&lt;&gt;"&amp;B659)&gt;0,"Date différente sur ce bon",IF(COUNTIF(po_num,A659)&gt;25,"Plus de 25 lignes sur ce bon",IF(R659="","Date de livraison manquante",IF(R659&lt;B659,"Livraison avant la commande",IF(AND(N(T659)&gt;0,N(S659)=0),"Date d'envoi manquante",IF(N(T659)&gt;N(H659),"Reçu plus que commandé",IF(AND(N(T659)&gt;0,N(U659)=0),"Date de réception manquante",IF(AND(N(U659)&gt;0,U659&lt;B659),"Réception avant la commande","OK")))))))))))))))))))))</f>
        <v/>
      </c>
      <c r="AA659" s="66" t="str">
        <f>IF(AND(X659="Reçu",ISNUMBER(R659)),IF(N(U659)&lt;=R659,1,0),"")</f>
        <v/>
      </c>
      <c r="AB659" s="76" t="str">
        <f>IF(OR(X659="Envoyé",X659="Partiel",X659="En retard"),IF(ISNUMBER(R659),R659,100000)+ROW()/100000,"")</f>
        <v/>
      </c>
      <c r="AC659" s="66" t="str">
        <f>IF(A659="","",IF(COUNTIF($A$6:A659,A659)=1,1,""))</f>
        <v/>
      </c>
      <c r="AD659" s="66" t="str">
        <f>IF(AC659=1,COUNT($AC$6:AC659),"")</f>
        <v/>
      </c>
      <c r="AE659" s="66" t="str">
        <f>IFERROR(INDEX(po_num,MATCH(654,po_seq,0))&amp;"","")</f>
        <v/>
      </c>
      <c r="AF659" s="66" t="str">
        <f>IF(OR(A659="",p_po=""),"",IF(A659&amp;""=p_po,COUNTIF($A$6:A659,A659),""))</f>
        <v/>
      </c>
      <c r="AG659" s="66" t="str">
        <f>IF(OR(AB659="",A659=""),"",IF(COUNTIFS($A$6:A659,A659,$AB$6:AB659,"&gt;0")=1,1,""))</f>
        <v/>
      </c>
      <c r="AH659" s="70" t="str">
        <f>IF(AB659="","",ROUND(N(W659)*N(J659)*(1-N(K659)),2))</f>
        <v/>
      </c>
      <c r="AI659" s="70" t="str">
        <f>IF(OR(J659="",N(T659)&lt;=0,V659="Oui"),"",ROUND(N(T659)*J659*(1-N(K659)),2))</f>
        <v/>
      </c>
    </row>
    <row r="660">
      <c r="A660" s="63" t="n"/>
      <c r="B660" s="64" t="n"/>
      <c r="C660" s="65" t="n"/>
      <c r="D660" s="66" t="str">
        <f>IF(C660="","",IFERROR(INDEX(sup_name,MATCH($C660,sup_code,0))&amp;"","Fournisseur inconnu"))</f>
        <v/>
      </c>
      <c r="E660" s="63" t="n"/>
      <c r="F660" s="66" t="str">
        <f>IF(E660="","",IFERROR(INDEX(art_des,MATCH($E660,art_ref,0))&amp;"","Article inconnu"))</f>
        <v/>
      </c>
      <c r="G660" s="67" t="str">
        <f>IF(E660="","",IFERROR(INDEX(art_unit,MATCH($E660,art_ref,0))&amp;"",""))</f>
        <v/>
      </c>
      <c r="H660" s="68" t="n"/>
      <c r="I660" s="69" t="n"/>
      <c r="J660" s="70" t="str">
        <f>IF(E660="","",IF(ISNUMBER(I660),I660,IFERROR(IF(ISNUMBER(INDEX(art_price,MATCH($E660,art_ref,0))),INDEX(art_price,MATCH($E660,art_ref,0)),""),"")))</f>
        <v/>
      </c>
      <c r="K660" s="71" t="n"/>
      <c r="L660" s="72" t="n"/>
      <c r="M660" s="72" t="str">
        <f>IF(E660="","",IF(L660&lt;&gt;"",L660,IFERROR(IF(ISNUMBER(INDEX(art_tva,MATCH($E660,art_ref,0))),INDEX(art_tva,MATCH($E660,art_ref,0)),""),"")))</f>
        <v/>
      </c>
      <c r="N660" s="70" t="str">
        <f>IF(OR(E660="",J660=""),"",ROUND(N(H660)*J660*(1-N(K660)),2))</f>
        <v/>
      </c>
      <c r="O660" s="70" t="str">
        <f>IF(OR(N660="",NOT(ISNUMBER(M660))),"",ROUND(N660*M660,2))</f>
        <v/>
      </c>
      <c r="P660" s="70" t="str">
        <f>IF(N660="","",N660+N(O660))</f>
        <v/>
      </c>
      <c r="Q660" s="64" t="n"/>
      <c r="R660" s="73" t="str">
        <f>IF(N(Q660)&gt;0,Q660,IF(OR(N(B660)=0,ISNA(MATCH($C660,sup_code,0))),"",IF(ISNUMBER(INDEX(sup_delay,MATCH($C660,sup_code,0))),B660+INDEX(sup_delay,MATCH($C660,sup_code,0)),"")))</f>
        <v/>
      </c>
      <c r="S660" s="64" t="n"/>
      <c r="T660" s="68" t="n"/>
      <c r="U660" s="64" t="n"/>
      <c r="V660" s="65" t="n"/>
      <c r="W660" s="74" t="str">
        <f>IF(AND(A660="",E660=""),"",IF(V660="Oui",0,MAX(0,ROUND(N(H660)-N(T660),6))))</f>
        <v/>
      </c>
      <c r="X660" s="67" t="str">
        <f>IF(AND(A660="",E660=""),"",IF(V660="Oui","Annulé",IF(AND(N(H660)&gt;0,N(T660)&gt;=N(H660)),"Reçu",IF(N(S660)=0,"Brouillon",IF(AND(ISNUMBER(R660),R660&lt;p_today),"En retard",IF(N(T660)&gt;0,"Partiel","Envoyé"))))))</f>
        <v/>
      </c>
      <c r="Y660" s="75" t="str">
        <f>IF(X660="En retard",p_today-R660,IF(AND(X660="Reçu",ISNUMBER(R660)),MAX(0,N(U660)-R660),""))</f>
        <v/>
      </c>
      <c r="Z660" s="67" t="str">
        <f>IF(AND(A660="",E660=""),"",IF(A660="","N° de bon manquant",IF(N(B660)=0,"Date de commande manquante",IF(C660="","Fournisseur manquant",IF(ISNA(MATCH($C660,sup_code,0)),"Fournisseur inconnu",IF(E660="","Article manquant",IF(ISNA(MATCH($E660,art_ref,0)),"Article inconnu",IF(N(H660)&lt;=0,"Quantité invalide",IF(J660="","Prix manquant",IF(OR(N(K660)&lt;0,N(K660)&gt;=1),"Remise invalide",IF(M660="","TVA manquante",IF(ISNA(MATCH(M660,p_tva,0)),"Taux de TVA inconnu",IF(COUNTIFS(po_num,A660,po_sup,"&lt;&gt;"&amp;C660)&gt;0,"Fournisseur différent sur ce bon",IF(COUNTIFS(po_num,A660,po_date,"&lt;&gt;"&amp;B660)&gt;0,"Date différente sur ce bon",IF(COUNTIF(po_num,A660)&gt;25,"Plus de 25 lignes sur ce bon",IF(R660="","Date de livraison manquante",IF(R660&lt;B660,"Livraison avant la commande",IF(AND(N(T660)&gt;0,N(S660)=0),"Date d'envoi manquante",IF(N(T660)&gt;N(H660),"Reçu plus que commandé",IF(AND(N(T660)&gt;0,N(U660)=0),"Date de réception manquante",IF(AND(N(U660)&gt;0,U660&lt;B660),"Réception avant la commande","OK")))))))))))))))))))))</f>
        <v/>
      </c>
      <c r="AA660" s="66" t="str">
        <f>IF(AND(X660="Reçu",ISNUMBER(R660)),IF(N(U660)&lt;=R660,1,0),"")</f>
        <v/>
      </c>
      <c r="AB660" s="76" t="str">
        <f>IF(OR(X660="Envoyé",X660="Partiel",X660="En retard"),IF(ISNUMBER(R660),R660,100000)+ROW()/100000,"")</f>
        <v/>
      </c>
      <c r="AC660" s="66" t="str">
        <f>IF(A660="","",IF(COUNTIF($A$6:A660,A660)=1,1,""))</f>
        <v/>
      </c>
      <c r="AD660" s="66" t="str">
        <f>IF(AC660=1,COUNT($AC$6:AC660),"")</f>
        <v/>
      </c>
      <c r="AE660" s="66" t="str">
        <f>IFERROR(INDEX(po_num,MATCH(655,po_seq,0))&amp;"","")</f>
        <v/>
      </c>
      <c r="AF660" s="66" t="str">
        <f>IF(OR(A660="",p_po=""),"",IF(A660&amp;""=p_po,COUNTIF($A$6:A660,A660),""))</f>
        <v/>
      </c>
      <c r="AG660" s="66" t="str">
        <f>IF(OR(AB660="",A660=""),"",IF(COUNTIFS($A$6:A660,A660,$AB$6:AB660,"&gt;0")=1,1,""))</f>
        <v/>
      </c>
      <c r="AH660" s="70" t="str">
        <f>IF(AB660="","",ROUND(N(W660)*N(J660)*(1-N(K660)),2))</f>
        <v/>
      </c>
      <c r="AI660" s="70" t="str">
        <f>IF(OR(J660="",N(T660)&lt;=0,V660="Oui"),"",ROUND(N(T660)*J660*(1-N(K660)),2))</f>
        <v/>
      </c>
    </row>
    <row r="661">
      <c r="A661" s="63" t="n"/>
      <c r="B661" s="64" t="n"/>
      <c r="C661" s="65" t="n"/>
      <c r="D661" s="66" t="str">
        <f>IF(C661="","",IFERROR(INDEX(sup_name,MATCH($C661,sup_code,0))&amp;"","Fournisseur inconnu"))</f>
        <v/>
      </c>
      <c r="E661" s="63" t="n"/>
      <c r="F661" s="66" t="str">
        <f>IF(E661="","",IFERROR(INDEX(art_des,MATCH($E661,art_ref,0))&amp;"","Article inconnu"))</f>
        <v/>
      </c>
      <c r="G661" s="67" t="str">
        <f>IF(E661="","",IFERROR(INDEX(art_unit,MATCH($E661,art_ref,0))&amp;"",""))</f>
        <v/>
      </c>
      <c r="H661" s="68" t="n"/>
      <c r="I661" s="69" t="n"/>
      <c r="J661" s="70" t="str">
        <f>IF(E661="","",IF(ISNUMBER(I661),I661,IFERROR(IF(ISNUMBER(INDEX(art_price,MATCH($E661,art_ref,0))),INDEX(art_price,MATCH($E661,art_ref,0)),""),"")))</f>
        <v/>
      </c>
      <c r="K661" s="71" t="n"/>
      <c r="L661" s="72" t="n"/>
      <c r="M661" s="72" t="str">
        <f>IF(E661="","",IF(L661&lt;&gt;"",L661,IFERROR(IF(ISNUMBER(INDEX(art_tva,MATCH($E661,art_ref,0))),INDEX(art_tva,MATCH($E661,art_ref,0)),""),"")))</f>
        <v/>
      </c>
      <c r="N661" s="70" t="str">
        <f>IF(OR(E661="",J661=""),"",ROUND(N(H661)*J661*(1-N(K661)),2))</f>
        <v/>
      </c>
      <c r="O661" s="70" t="str">
        <f>IF(OR(N661="",NOT(ISNUMBER(M661))),"",ROUND(N661*M661,2))</f>
        <v/>
      </c>
      <c r="P661" s="70" t="str">
        <f>IF(N661="","",N661+N(O661))</f>
        <v/>
      </c>
      <c r="Q661" s="64" t="n"/>
      <c r="R661" s="73" t="str">
        <f>IF(N(Q661)&gt;0,Q661,IF(OR(N(B661)=0,ISNA(MATCH($C661,sup_code,0))),"",IF(ISNUMBER(INDEX(sup_delay,MATCH($C661,sup_code,0))),B661+INDEX(sup_delay,MATCH($C661,sup_code,0)),"")))</f>
        <v/>
      </c>
      <c r="S661" s="64" t="n"/>
      <c r="T661" s="68" t="n"/>
      <c r="U661" s="64" t="n"/>
      <c r="V661" s="65" t="n"/>
      <c r="W661" s="74" t="str">
        <f>IF(AND(A661="",E661=""),"",IF(V661="Oui",0,MAX(0,ROUND(N(H661)-N(T661),6))))</f>
        <v/>
      </c>
      <c r="X661" s="67" t="str">
        <f>IF(AND(A661="",E661=""),"",IF(V661="Oui","Annulé",IF(AND(N(H661)&gt;0,N(T661)&gt;=N(H661)),"Reçu",IF(N(S661)=0,"Brouillon",IF(AND(ISNUMBER(R661),R661&lt;p_today),"En retard",IF(N(T661)&gt;0,"Partiel","Envoyé"))))))</f>
        <v/>
      </c>
      <c r="Y661" s="75" t="str">
        <f>IF(X661="En retard",p_today-R661,IF(AND(X661="Reçu",ISNUMBER(R661)),MAX(0,N(U661)-R661),""))</f>
        <v/>
      </c>
      <c r="Z661" s="67" t="str">
        <f>IF(AND(A661="",E661=""),"",IF(A661="","N° de bon manquant",IF(N(B661)=0,"Date de commande manquante",IF(C661="","Fournisseur manquant",IF(ISNA(MATCH($C661,sup_code,0)),"Fournisseur inconnu",IF(E661="","Article manquant",IF(ISNA(MATCH($E661,art_ref,0)),"Article inconnu",IF(N(H661)&lt;=0,"Quantité invalide",IF(J661="","Prix manquant",IF(OR(N(K661)&lt;0,N(K661)&gt;=1),"Remise invalide",IF(M661="","TVA manquante",IF(ISNA(MATCH(M661,p_tva,0)),"Taux de TVA inconnu",IF(COUNTIFS(po_num,A661,po_sup,"&lt;&gt;"&amp;C661)&gt;0,"Fournisseur différent sur ce bon",IF(COUNTIFS(po_num,A661,po_date,"&lt;&gt;"&amp;B661)&gt;0,"Date différente sur ce bon",IF(COUNTIF(po_num,A661)&gt;25,"Plus de 25 lignes sur ce bon",IF(R661="","Date de livraison manquante",IF(R661&lt;B661,"Livraison avant la commande",IF(AND(N(T661)&gt;0,N(S661)=0),"Date d'envoi manquante",IF(N(T661)&gt;N(H661),"Reçu plus que commandé",IF(AND(N(T661)&gt;0,N(U661)=0),"Date de réception manquante",IF(AND(N(U661)&gt;0,U661&lt;B661),"Réception avant la commande","OK")))))))))))))))))))))</f>
        <v/>
      </c>
      <c r="AA661" s="66" t="str">
        <f>IF(AND(X661="Reçu",ISNUMBER(R661)),IF(N(U661)&lt;=R661,1,0),"")</f>
        <v/>
      </c>
      <c r="AB661" s="76" t="str">
        <f>IF(OR(X661="Envoyé",X661="Partiel",X661="En retard"),IF(ISNUMBER(R661),R661,100000)+ROW()/100000,"")</f>
        <v/>
      </c>
      <c r="AC661" s="66" t="str">
        <f>IF(A661="","",IF(COUNTIF($A$6:A661,A661)=1,1,""))</f>
        <v/>
      </c>
      <c r="AD661" s="66" t="str">
        <f>IF(AC661=1,COUNT($AC$6:AC661),"")</f>
        <v/>
      </c>
      <c r="AE661" s="66" t="str">
        <f>IFERROR(INDEX(po_num,MATCH(656,po_seq,0))&amp;"","")</f>
        <v/>
      </c>
      <c r="AF661" s="66" t="str">
        <f>IF(OR(A661="",p_po=""),"",IF(A661&amp;""=p_po,COUNTIF($A$6:A661,A661),""))</f>
        <v/>
      </c>
      <c r="AG661" s="66" t="str">
        <f>IF(OR(AB661="",A661=""),"",IF(COUNTIFS($A$6:A661,A661,$AB$6:AB661,"&gt;0")=1,1,""))</f>
        <v/>
      </c>
      <c r="AH661" s="70" t="str">
        <f>IF(AB661="","",ROUND(N(W661)*N(J661)*(1-N(K661)),2))</f>
        <v/>
      </c>
      <c r="AI661" s="70" t="str">
        <f>IF(OR(J661="",N(T661)&lt;=0,V661="Oui"),"",ROUND(N(T661)*J661*(1-N(K661)),2))</f>
        <v/>
      </c>
    </row>
    <row r="662">
      <c r="A662" s="63" t="n"/>
      <c r="B662" s="64" t="n"/>
      <c r="C662" s="65" t="n"/>
      <c r="D662" s="66" t="str">
        <f>IF(C662="","",IFERROR(INDEX(sup_name,MATCH($C662,sup_code,0))&amp;"","Fournisseur inconnu"))</f>
        <v/>
      </c>
      <c r="E662" s="63" t="n"/>
      <c r="F662" s="66" t="str">
        <f>IF(E662="","",IFERROR(INDEX(art_des,MATCH($E662,art_ref,0))&amp;"","Article inconnu"))</f>
        <v/>
      </c>
      <c r="G662" s="67" t="str">
        <f>IF(E662="","",IFERROR(INDEX(art_unit,MATCH($E662,art_ref,0))&amp;"",""))</f>
        <v/>
      </c>
      <c r="H662" s="68" t="n"/>
      <c r="I662" s="69" t="n"/>
      <c r="J662" s="70" t="str">
        <f>IF(E662="","",IF(ISNUMBER(I662),I662,IFERROR(IF(ISNUMBER(INDEX(art_price,MATCH($E662,art_ref,0))),INDEX(art_price,MATCH($E662,art_ref,0)),""),"")))</f>
        <v/>
      </c>
      <c r="K662" s="71" t="n"/>
      <c r="L662" s="72" t="n"/>
      <c r="M662" s="72" t="str">
        <f>IF(E662="","",IF(L662&lt;&gt;"",L662,IFERROR(IF(ISNUMBER(INDEX(art_tva,MATCH($E662,art_ref,0))),INDEX(art_tva,MATCH($E662,art_ref,0)),""),"")))</f>
        <v/>
      </c>
      <c r="N662" s="70" t="str">
        <f>IF(OR(E662="",J662=""),"",ROUND(N(H662)*J662*(1-N(K662)),2))</f>
        <v/>
      </c>
      <c r="O662" s="70" t="str">
        <f>IF(OR(N662="",NOT(ISNUMBER(M662))),"",ROUND(N662*M662,2))</f>
        <v/>
      </c>
      <c r="P662" s="70" t="str">
        <f>IF(N662="","",N662+N(O662))</f>
        <v/>
      </c>
      <c r="Q662" s="64" t="n"/>
      <c r="R662" s="73" t="str">
        <f>IF(N(Q662)&gt;0,Q662,IF(OR(N(B662)=0,ISNA(MATCH($C662,sup_code,0))),"",IF(ISNUMBER(INDEX(sup_delay,MATCH($C662,sup_code,0))),B662+INDEX(sup_delay,MATCH($C662,sup_code,0)),"")))</f>
        <v/>
      </c>
      <c r="S662" s="64" t="n"/>
      <c r="T662" s="68" t="n"/>
      <c r="U662" s="64" t="n"/>
      <c r="V662" s="65" t="n"/>
      <c r="W662" s="74" t="str">
        <f>IF(AND(A662="",E662=""),"",IF(V662="Oui",0,MAX(0,ROUND(N(H662)-N(T662),6))))</f>
        <v/>
      </c>
      <c r="X662" s="67" t="str">
        <f>IF(AND(A662="",E662=""),"",IF(V662="Oui","Annulé",IF(AND(N(H662)&gt;0,N(T662)&gt;=N(H662)),"Reçu",IF(N(S662)=0,"Brouillon",IF(AND(ISNUMBER(R662),R662&lt;p_today),"En retard",IF(N(T662)&gt;0,"Partiel","Envoyé"))))))</f>
        <v/>
      </c>
      <c r="Y662" s="75" t="str">
        <f>IF(X662="En retard",p_today-R662,IF(AND(X662="Reçu",ISNUMBER(R662)),MAX(0,N(U662)-R662),""))</f>
        <v/>
      </c>
      <c r="Z662" s="67" t="str">
        <f>IF(AND(A662="",E662=""),"",IF(A662="","N° de bon manquant",IF(N(B662)=0,"Date de commande manquante",IF(C662="","Fournisseur manquant",IF(ISNA(MATCH($C662,sup_code,0)),"Fournisseur inconnu",IF(E662="","Article manquant",IF(ISNA(MATCH($E662,art_ref,0)),"Article inconnu",IF(N(H662)&lt;=0,"Quantité invalide",IF(J662="","Prix manquant",IF(OR(N(K662)&lt;0,N(K662)&gt;=1),"Remise invalide",IF(M662="","TVA manquante",IF(ISNA(MATCH(M662,p_tva,0)),"Taux de TVA inconnu",IF(COUNTIFS(po_num,A662,po_sup,"&lt;&gt;"&amp;C662)&gt;0,"Fournisseur différent sur ce bon",IF(COUNTIFS(po_num,A662,po_date,"&lt;&gt;"&amp;B662)&gt;0,"Date différente sur ce bon",IF(COUNTIF(po_num,A662)&gt;25,"Plus de 25 lignes sur ce bon",IF(R662="","Date de livraison manquante",IF(R662&lt;B662,"Livraison avant la commande",IF(AND(N(T662)&gt;0,N(S662)=0),"Date d'envoi manquante",IF(N(T662)&gt;N(H662),"Reçu plus que commandé",IF(AND(N(T662)&gt;0,N(U662)=0),"Date de réception manquante",IF(AND(N(U662)&gt;0,U662&lt;B662),"Réception avant la commande","OK")))))))))))))))))))))</f>
        <v/>
      </c>
      <c r="AA662" s="66" t="str">
        <f>IF(AND(X662="Reçu",ISNUMBER(R662)),IF(N(U662)&lt;=R662,1,0),"")</f>
        <v/>
      </c>
      <c r="AB662" s="76" t="str">
        <f>IF(OR(X662="Envoyé",X662="Partiel",X662="En retard"),IF(ISNUMBER(R662),R662,100000)+ROW()/100000,"")</f>
        <v/>
      </c>
      <c r="AC662" s="66" t="str">
        <f>IF(A662="","",IF(COUNTIF($A$6:A662,A662)=1,1,""))</f>
        <v/>
      </c>
      <c r="AD662" s="66" t="str">
        <f>IF(AC662=1,COUNT($AC$6:AC662),"")</f>
        <v/>
      </c>
      <c r="AE662" s="66" t="str">
        <f>IFERROR(INDEX(po_num,MATCH(657,po_seq,0))&amp;"","")</f>
        <v/>
      </c>
      <c r="AF662" s="66" t="str">
        <f>IF(OR(A662="",p_po=""),"",IF(A662&amp;""=p_po,COUNTIF($A$6:A662,A662),""))</f>
        <v/>
      </c>
      <c r="AG662" s="66" t="str">
        <f>IF(OR(AB662="",A662=""),"",IF(COUNTIFS($A$6:A662,A662,$AB$6:AB662,"&gt;0")=1,1,""))</f>
        <v/>
      </c>
      <c r="AH662" s="70" t="str">
        <f>IF(AB662="","",ROUND(N(W662)*N(J662)*(1-N(K662)),2))</f>
        <v/>
      </c>
      <c r="AI662" s="70" t="str">
        <f>IF(OR(J662="",N(T662)&lt;=0,V662="Oui"),"",ROUND(N(T662)*J662*(1-N(K662)),2))</f>
        <v/>
      </c>
    </row>
    <row r="663">
      <c r="A663" s="63" t="n"/>
      <c r="B663" s="64" t="n"/>
      <c r="C663" s="65" t="n"/>
      <c r="D663" s="66" t="str">
        <f>IF(C663="","",IFERROR(INDEX(sup_name,MATCH($C663,sup_code,0))&amp;"","Fournisseur inconnu"))</f>
        <v/>
      </c>
      <c r="E663" s="63" t="n"/>
      <c r="F663" s="66" t="str">
        <f>IF(E663="","",IFERROR(INDEX(art_des,MATCH($E663,art_ref,0))&amp;"","Article inconnu"))</f>
        <v/>
      </c>
      <c r="G663" s="67" t="str">
        <f>IF(E663="","",IFERROR(INDEX(art_unit,MATCH($E663,art_ref,0))&amp;"",""))</f>
        <v/>
      </c>
      <c r="H663" s="68" t="n"/>
      <c r="I663" s="69" t="n"/>
      <c r="J663" s="70" t="str">
        <f>IF(E663="","",IF(ISNUMBER(I663),I663,IFERROR(IF(ISNUMBER(INDEX(art_price,MATCH($E663,art_ref,0))),INDEX(art_price,MATCH($E663,art_ref,0)),""),"")))</f>
        <v/>
      </c>
      <c r="K663" s="71" t="n"/>
      <c r="L663" s="72" t="n"/>
      <c r="M663" s="72" t="str">
        <f>IF(E663="","",IF(L663&lt;&gt;"",L663,IFERROR(IF(ISNUMBER(INDEX(art_tva,MATCH($E663,art_ref,0))),INDEX(art_tva,MATCH($E663,art_ref,0)),""),"")))</f>
        <v/>
      </c>
      <c r="N663" s="70" t="str">
        <f>IF(OR(E663="",J663=""),"",ROUND(N(H663)*J663*(1-N(K663)),2))</f>
        <v/>
      </c>
      <c r="O663" s="70" t="str">
        <f>IF(OR(N663="",NOT(ISNUMBER(M663))),"",ROUND(N663*M663,2))</f>
        <v/>
      </c>
      <c r="P663" s="70" t="str">
        <f>IF(N663="","",N663+N(O663))</f>
        <v/>
      </c>
      <c r="Q663" s="64" t="n"/>
      <c r="R663" s="73" t="str">
        <f>IF(N(Q663)&gt;0,Q663,IF(OR(N(B663)=0,ISNA(MATCH($C663,sup_code,0))),"",IF(ISNUMBER(INDEX(sup_delay,MATCH($C663,sup_code,0))),B663+INDEX(sup_delay,MATCH($C663,sup_code,0)),"")))</f>
        <v/>
      </c>
      <c r="S663" s="64" t="n"/>
      <c r="T663" s="68" t="n"/>
      <c r="U663" s="64" t="n"/>
      <c r="V663" s="65" t="n"/>
      <c r="W663" s="74" t="str">
        <f>IF(AND(A663="",E663=""),"",IF(V663="Oui",0,MAX(0,ROUND(N(H663)-N(T663),6))))</f>
        <v/>
      </c>
      <c r="X663" s="67" t="str">
        <f>IF(AND(A663="",E663=""),"",IF(V663="Oui","Annulé",IF(AND(N(H663)&gt;0,N(T663)&gt;=N(H663)),"Reçu",IF(N(S663)=0,"Brouillon",IF(AND(ISNUMBER(R663),R663&lt;p_today),"En retard",IF(N(T663)&gt;0,"Partiel","Envoyé"))))))</f>
        <v/>
      </c>
      <c r="Y663" s="75" t="str">
        <f>IF(X663="En retard",p_today-R663,IF(AND(X663="Reçu",ISNUMBER(R663)),MAX(0,N(U663)-R663),""))</f>
        <v/>
      </c>
      <c r="Z663" s="67" t="str">
        <f>IF(AND(A663="",E663=""),"",IF(A663="","N° de bon manquant",IF(N(B663)=0,"Date de commande manquante",IF(C663="","Fournisseur manquant",IF(ISNA(MATCH($C663,sup_code,0)),"Fournisseur inconnu",IF(E663="","Article manquant",IF(ISNA(MATCH($E663,art_ref,0)),"Article inconnu",IF(N(H663)&lt;=0,"Quantité invalide",IF(J663="","Prix manquant",IF(OR(N(K663)&lt;0,N(K663)&gt;=1),"Remise invalide",IF(M663="","TVA manquante",IF(ISNA(MATCH(M663,p_tva,0)),"Taux de TVA inconnu",IF(COUNTIFS(po_num,A663,po_sup,"&lt;&gt;"&amp;C663)&gt;0,"Fournisseur différent sur ce bon",IF(COUNTIFS(po_num,A663,po_date,"&lt;&gt;"&amp;B663)&gt;0,"Date différente sur ce bon",IF(COUNTIF(po_num,A663)&gt;25,"Plus de 25 lignes sur ce bon",IF(R663="","Date de livraison manquante",IF(R663&lt;B663,"Livraison avant la commande",IF(AND(N(T663)&gt;0,N(S663)=0),"Date d'envoi manquante",IF(N(T663)&gt;N(H663),"Reçu plus que commandé",IF(AND(N(T663)&gt;0,N(U663)=0),"Date de réception manquante",IF(AND(N(U663)&gt;0,U663&lt;B663),"Réception avant la commande","OK")))))))))))))))))))))</f>
        <v/>
      </c>
      <c r="AA663" s="66" t="str">
        <f>IF(AND(X663="Reçu",ISNUMBER(R663)),IF(N(U663)&lt;=R663,1,0),"")</f>
        <v/>
      </c>
      <c r="AB663" s="76" t="str">
        <f>IF(OR(X663="Envoyé",X663="Partiel",X663="En retard"),IF(ISNUMBER(R663),R663,100000)+ROW()/100000,"")</f>
        <v/>
      </c>
      <c r="AC663" s="66" t="str">
        <f>IF(A663="","",IF(COUNTIF($A$6:A663,A663)=1,1,""))</f>
        <v/>
      </c>
      <c r="AD663" s="66" t="str">
        <f>IF(AC663=1,COUNT($AC$6:AC663),"")</f>
        <v/>
      </c>
      <c r="AE663" s="66" t="str">
        <f>IFERROR(INDEX(po_num,MATCH(658,po_seq,0))&amp;"","")</f>
        <v/>
      </c>
      <c r="AF663" s="66" t="str">
        <f>IF(OR(A663="",p_po=""),"",IF(A663&amp;""=p_po,COUNTIF($A$6:A663,A663),""))</f>
        <v/>
      </c>
      <c r="AG663" s="66" t="str">
        <f>IF(OR(AB663="",A663=""),"",IF(COUNTIFS($A$6:A663,A663,$AB$6:AB663,"&gt;0")=1,1,""))</f>
        <v/>
      </c>
      <c r="AH663" s="70" t="str">
        <f>IF(AB663="","",ROUND(N(W663)*N(J663)*(1-N(K663)),2))</f>
        <v/>
      </c>
      <c r="AI663" s="70" t="str">
        <f>IF(OR(J663="",N(T663)&lt;=0,V663="Oui"),"",ROUND(N(T663)*J663*(1-N(K663)),2))</f>
        <v/>
      </c>
    </row>
    <row r="664">
      <c r="A664" s="63" t="n"/>
      <c r="B664" s="64" t="n"/>
      <c r="C664" s="65" t="n"/>
      <c r="D664" s="66" t="str">
        <f>IF(C664="","",IFERROR(INDEX(sup_name,MATCH($C664,sup_code,0))&amp;"","Fournisseur inconnu"))</f>
        <v/>
      </c>
      <c r="E664" s="63" t="n"/>
      <c r="F664" s="66" t="str">
        <f>IF(E664="","",IFERROR(INDEX(art_des,MATCH($E664,art_ref,0))&amp;"","Article inconnu"))</f>
        <v/>
      </c>
      <c r="G664" s="67" t="str">
        <f>IF(E664="","",IFERROR(INDEX(art_unit,MATCH($E664,art_ref,0))&amp;"",""))</f>
        <v/>
      </c>
      <c r="H664" s="68" t="n"/>
      <c r="I664" s="69" t="n"/>
      <c r="J664" s="70" t="str">
        <f>IF(E664="","",IF(ISNUMBER(I664),I664,IFERROR(IF(ISNUMBER(INDEX(art_price,MATCH($E664,art_ref,0))),INDEX(art_price,MATCH($E664,art_ref,0)),""),"")))</f>
        <v/>
      </c>
      <c r="K664" s="71" t="n"/>
      <c r="L664" s="72" t="n"/>
      <c r="M664" s="72" t="str">
        <f>IF(E664="","",IF(L664&lt;&gt;"",L664,IFERROR(IF(ISNUMBER(INDEX(art_tva,MATCH($E664,art_ref,0))),INDEX(art_tva,MATCH($E664,art_ref,0)),""),"")))</f>
        <v/>
      </c>
      <c r="N664" s="70" t="str">
        <f>IF(OR(E664="",J664=""),"",ROUND(N(H664)*J664*(1-N(K664)),2))</f>
        <v/>
      </c>
      <c r="O664" s="70" t="str">
        <f>IF(OR(N664="",NOT(ISNUMBER(M664))),"",ROUND(N664*M664,2))</f>
        <v/>
      </c>
      <c r="P664" s="70" t="str">
        <f>IF(N664="","",N664+N(O664))</f>
        <v/>
      </c>
      <c r="Q664" s="64" t="n"/>
      <c r="R664" s="73" t="str">
        <f>IF(N(Q664)&gt;0,Q664,IF(OR(N(B664)=0,ISNA(MATCH($C664,sup_code,0))),"",IF(ISNUMBER(INDEX(sup_delay,MATCH($C664,sup_code,0))),B664+INDEX(sup_delay,MATCH($C664,sup_code,0)),"")))</f>
        <v/>
      </c>
      <c r="S664" s="64" t="n"/>
      <c r="T664" s="68" t="n"/>
      <c r="U664" s="64" t="n"/>
      <c r="V664" s="65" t="n"/>
      <c r="W664" s="74" t="str">
        <f>IF(AND(A664="",E664=""),"",IF(V664="Oui",0,MAX(0,ROUND(N(H664)-N(T664),6))))</f>
        <v/>
      </c>
      <c r="X664" s="67" t="str">
        <f>IF(AND(A664="",E664=""),"",IF(V664="Oui","Annulé",IF(AND(N(H664)&gt;0,N(T664)&gt;=N(H664)),"Reçu",IF(N(S664)=0,"Brouillon",IF(AND(ISNUMBER(R664),R664&lt;p_today),"En retard",IF(N(T664)&gt;0,"Partiel","Envoyé"))))))</f>
        <v/>
      </c>
      <c r="Y664" s="75" t="str">
        <f>IF(X664="En retard",p_today-R664,IF(AND(X664="Reçu",ISNUMBER(R664)),MAX(0,N(U664)-R664),""))</f>
        <v/>
      </c>
      <c r="Z664" s="67" t="str">
        <f>IF(AND(A664="",E664=""),"",IF(A664="","N° de bon manquant",IF(N(B664)=0,"Date de commande manquante",IF(C664="","Fournisseur manquant",IF(ISNA(MATCH($C664,sup_code,0)),"Fournisseur inconnu",IF(E664="","Article manquant",IF(ISNA(MATCH($E664,art_ref,0)),"Article inconnu",IF(N(H664)&lt;=0,"Quantité invalide",IF(J664="","Prix manquant",IF(OR(N(K664)&lt;0,N(K664)&gt;=1),"Remise invalide",IF(M664="","TVA manquante",IF(ISNA(MATCH(M664,p_tva,0)),"Taux de TVA inconnu",IF(COUNTIFS(po_num,A664,po_sup,"&lt;&gt;"&amp;C664)&gt;0,"Fournisseur différent sur ce bon",IF(COUNTIFS(po_num,A664,po_date,"&lt;&gt;"&amp;B664)&gt;0,"Date différente sur ce bon",IF(COUNTIF(po_num,A664)&gt;25,"Plus de 25 lignes sur ce bon",IF(R664="","Date de livraison manquante",IF(R664&lt;B664,"Livraison avant la commande",IF(AND(N(T664)&gt;0,N(S664)=0),"Date d'envoi manquante",IF(N(T664)&gt;N(H664),"Reçu plus que commandé",IF(AND(N(T664)&gt;0,N(U664)=0),"Date de réception manquante",IF(AND(N(U664)&gt;0,U664&lt;B664),"Réception avant la commande","OK")))))))))))))))))))))</f>
        <v/>
      </c>
      <c r="AA664" s="66" t="str">
        <f>IF(AND(X664="Reçu",ISNUMBER(R664)),IF(N(U664)&lt;=R664,1,0),"")</f>
        <v/>
      </c>
      <c r="AB664" s="76" t="str">
        <f>IF(OR(X664="Envoyé",X664="Partiel",X664="En retard"),IF(ISNUMBER(R664),R664,100000)+ROW()/100000,"")</f>
        <v/>
      </c>
      <c r="AC664" s="66" t="str">
        <f>IF(A664="","",IF(COUNTIF($A$6:A664,A664)=1,1,""))</f>
        <v/>
      </c>
      <c r="AD664" s="66" t="str">
        <f>IF(AC664=1,COUNT($AC$6:AC664),"")</f>
        <v/>
      </c>
      <c r="AE664" s="66" t="str">
        <f>IFERROR(INDEX(po_num,MATCH(659,po_seq,0))&amp;"","")</f>
        <v/>
      </c>
      <c r="AF664" s="66" t="str">
        <f>IF(OR(A664="",p_po=""),"",IF(A664&amp;""=p_po,COUNTIF($A$6:A664,A664),""))</f>
        <v/>
      </c>
      <c r="AG664" s="66" t="str">
        <f>IF(OR(AB664="",A664=""),"",IF(COUNTIFS($A$6:A664,A664,$AB$6:AB664,"&gt;0")=1,1,""))</f>
        <v/>
      </c>
      <c r="AH664" s="70" t="str">
        <f>IF(AB664="","",ROUND(N(W664)*N(J664)*(1-N(K664)),2))</f>
        <v/>
      </c>
      <c r="AI664" s="70" t="str">
        <f>IF(OR(J664="",N(T664)&lt;=0,V664="Oui"),"",ROUND(N(T664)*J664*(1-N(K664)),2))</f>
        <v/>
      </c>
    </row>
    <row r="665">
      <c r="A665" s="63" t="n"/>
      <c r="B665" s="64" t="n"/>
      <c r="C665" s="65" t="n"/>
      <c r="D665" s="66" t="str">
        <f>IF(C665="","",IFERROR(INDEX(sup_name,MATCH($C665,sup_code,0))&amp;"","Fournisseur inconnu"))</f>
        <v/>
      </c>
      <c r="E665" s="63" t="n"/>
      <c r="F665" s="66" t="str">
        <f>IF(E665="","",IFERROR(INDEX(art_des,MATCH($E665,art_ref,0))&amp;"","Article inconnu"))</f>
        <v/>
      </c>
      <c r="G665" s="67" t="str">
        <f>IF(E665="","",IFERROR(INDEX(art_unit,MATCH($E665,art_ref,0))&amp;"",""))</f>
        <v/>
      </c>
      <c r="H665" s="68" t="n"/>
      <c r="I665" s="69" t="n"/>
      <c r="J665" s="70" t="str">
        <f>IF(E665="","",IF(ISNUMBER(I665),I665,IFERROR(IF(ISNUMBER(INDEX(art_price,MATCH($E665,art_ref,0))),INDEX(art_price,MATCH($E665,art_ref,0)),""),"")))</f>
        <v/>
      </c>
      <c r="K665" s="71" t="n"/>
      <c r="L665" s="72" t="n"/>
      <c r="M665" s="72" t="str">
        <f>IF(E665="","",IF(L665&lt;&gt;"",L665,IFERROR(IF(ISNUMBER(INDEX(art_tva,MATCH($E665,art_ref,0))),INDEX(art_tva,MATCH($E665,art_ref,0)),""),"")))</f>
        <v/>
      </c>
      <c r="N665" s="70" t="str">
        <f>IF(OR(E665="",J665=""),"",ROUND(N(H665)*J665*(1-N(K665)),2))</f>
        <v/>
      </c>
      <c r="O665" s="70" t="str">
        <f>IF(OR(N665="",NOT(ISNUMBER(M665))),"",ROUND(N665*M665,2))</f>
        <v/>
      </c>
      <c r="P665" s="70" t="str">
        <f>IF(N665="","",N665+N(O665))</f>
        <v/>
      </c>
      <c r="Q665" s="64" t="n"/>
      <c r="R665" s="73" t="str">
        <f>IF(N(Q665)&gt;0,Q665,IF(OR(N(B665)=0,ISNA(MATCH($C665,sup_code,0))),"",IF(ISNUMBER(INDEX(sup_delay,MATCH($C665,sup_code,0))),B665+INDEX(sup_delay,MATCH($C665,sup_code,0)),"")))</f>
        <v/>
      </c>
      <c r="S665" s="64" t="n"/>
      <c r="T665" s="68" t="n"/>
      <c r="U665" s="64" t="n"/>
      <c r="V665" s="65" t="n"/>
      <c r="W665" s="74" t="str">
        <f>IF(AND(A665="",E665=""),"",IF(V665="Oui",0,MAX(0,ROUND(N(H665)-N(T665),6))))</f>
        <v/>
      </c>
      <c r="X665" s="67" t="str">
        <f>IF(AND(A665="",E665=""),"",IF(V665="Oui","Annulé",IF(AND(N(H665)&gt;0,N(T665)&gt;=N(H665)),"Reçu",IF(N(S665)=0,"Brouillon",IF(AND(ISNUMBER(R665),R665&lt;p_today),"En retard",IF(N(T665)&gt;0,"Partiel","Envoyé"))))))</f>
        <v/>
      </c>
      <c r="Y665" s="75" t="str">
        <f>IF(X665="En retard",p_today-R665,IF(AND(X665="Reçu",ISNUMBER(R665)),MAX(0,N(U665)-R665),""))</f>
        <v/>
      </c>
      <c r="Z665" s="67" t="str">
        <f>IF(AND(A665="",E665=""),"",IF(A665="","N° de bon manquant",IF(N(B665)=0,"Date de commande manquante",IF(C665="","Fournisseur manquant",IF(ISNA(MATCH($C665,sup_code,0)),"Fournisseur inconnu",IF(E665="","Article manquant",IF(ISNA(MATCH($E665,art_ref,0)),"Article inconnu",IF(N(H665)&lt;=0,"Quantité invalide",IF(J665="","Prix manquant",IF(OR(N(K665)&lt;0,N(K665)&gt;=1),"Remise invalide",IF(M665="","TVA manquante",IF(ISNA(MATCH(M665,p_tva,0)),"Taux de TVA inconnu",IF(COUNTIFS(po_num,A665,po_sup,"&lt;&gt;"&amp;C665)&gt;0,"Fournisseur différent sur ce bon",IF(COUNTIFS(po_num,A665,po_date,"&lt;&gt;"&amp;B665)&gt;0,"Date différente sur ce bon",IF(COUNTIF(po_num,A665)&gt;25,"Plus de 25 lignes sur ce bon",IF(R665="","Date de livraison manquante",IF(R665&lt;B665,"Livraison avant la commande",IF(AND(N(T665)&gt;0,N(S665)=0),"Date d'envoi manquante",IF(N(T665)&gt;N(H665),"Reçu plus que commandé",IF(AND(N(T665)&gt;0,N(U665)=0),"Date de réception manquante",IF(AND(N(U665)&gt;0,U665&lt;B665),"Réception avant la commande","OK")))))))))))))))))))))</f>
        <v/>
      </c>
      <c r="AA665" s="66" t="str">
        <f>IF(AND(X665="Reçu",ISNUMBER(R665)),IF(N(U665)&lt;=R665,1,0),"")</f>
        <v/>
      </c>
      <c r="AB665" s="76" t="str">
        <f>IF(OR(X665="Envoyé",X665="Partiel",X665="En retard"),IF(ISNUMBER(R665),R665,100000)+ROW()/100000,"")</f>
        <v/>
      </c>
      <c r="AC665" s="66" t="str">
        <f>IF(A665="","",IF(COUNTIF($A$6:A665,A665)=1,1,""))</f>
        <v/>
      </c>
      <c r="AD665" s="66" t="str">
        <f>IF(AC665=1,COUNT($AC$6:AC665),"")</f>
        <v/>
      </c>
      <c r="AE665" s="66" t="str">
        <f>IFERROR(INDEX(po_num,MATCH(660,po_seq,0))&amp;"","")</f>
        <v/>
      </c>
      <c r="AF665" s="66" t="str">
        <f>IF(OR(A665="",p_po=""),"",IF(A665&amp;""=p_po,COUNTIF($A$6:A665,A665),""))</f>
        <v/>
      </c>
      <c r="AG665" s="66" t="str">
        <f>IF(OR(AB665="",A665=""),"",IF(COUNTIFS($A$6:A665,A665,$AB$6:AB665,"&gt;0")=1,1,""))</f>
        <v/>
      </c>
      <c r="AH665" s="70" t="str">
        <f>IF(AB665="","",ROUND(N(W665)*N(J665)*(1-N(K665)),2))</f>
        <v/>
      </c>
      <c r="AI665" s="70" t="str">
        <f>IF(OR(J665="",N(T665)&lt;=0,V665="Oui"),"",ROUND(N(T665)*J665*(1-N(K665)),2))</f>
        <v/>
      </c>
    </row>
    <row r="666">
      <c r="A666" s="63" t="n"/>
      <c r="B666" s="64" t="n"/>
      <c r="C666" s="65" t="n"/>
      <c r="D666" s="66" t="str">
        <f>IF(C666="","",IFERROR(INDEX(sup_name,MATCH($C666,sup_code,0))&amp;"","Fournisseur inconnu"))</f>
        <v/>
      </c>
      <c r="E666" s="63" t="n"/>
      <c r="F666" s="66" t="str">
        <f>IF(E666="","",IFERROR(INDEX(art_des,MATCH($E666,art_ref,0))&amp;"","Article inconnu"))</f>
        <v/>
      </c>
      <c r="G666" s="67" t="str">
        <f>IF(E666="","",IFERROR(INDEX(art_unit,MATCH($E666,art_ref,0))&amp;"",""))</f>
        <v/>
      </c>
      <c r="H666" s="68" t="n"/>
      <c r="I666" s="69" t="n"/>
      <c r="J666" s="70" t="str">
        <f>IF(E666="","",IF(ISNUMBER(I666),I666,IFERROR(IF(ISNUMBER(INDEX(art_price,MATCH($E666,art_ref,0))),INDEX(art_price,MATCH($E666,art_ref,0)),""),"")))</f>
        <v/>
      </c>
      <c r="K666" s="71" t="n"/>
      <c r="L666" s="72" t="n"/>
      <c r="M666" s="72" t="str">
        <f>IF(E666="","",IF(L666&lt;&gt;"",L666,IFERROR(IF(ISNUMBER(INDEX(art_tva,MATCH($E666,art_ref,0))),INDEX(art_tva,MATCH($E666,art_ref,0)),""),"")))</f>
        <v/>
      </c>
      <c r="N666" s="70" t="str">
        <f>IF(OR(E666="",J666=""),"",ROUND(N(H666)*J666*(1-N(K666)),2))</f>
        <v/>
      </c>
      <c r="O666" s="70" t="str">
        <f>IF(OR(N666="",NOT(ISNUMBER(M666))),"",ROUND(N666*M666,2))</f>
        <v/>
      </c>
      <c r="P666" s="70" t="str">
        <f>IF(N666="","",N666+N(O666))</f>
        <v/>
      </c>
      <c r="Q666" s="64" t="n"/>
      <c r="R666" s="73" t="str">
        <f>IF(N(Q666)&gt;0,Q666,IF(OR(N(B666)=0,ISNA(MATCH($C666,sup_code,0))),"",IF(ISNUMBER(INDEX(sup_delay,MATCH($C666,sup_code,0))),B666+INDEX(sup_delay,MATCH($C666,sup_code,0)),"")))</f>
        <v/>
      </c>
      <c r="S666" s="64" t="n"/>
      <c r="T666" s="68" t="n"/>
      <c r="U666" s="64" t="n"/>
      <c r="V666" s="65" t="n"/>
      <c r="W666" s="74" t="str">
        <f>IF(AND(A666="",E666=""),"",IF(V666="Oui",0,MAX(0,ROUND(N(H666)-N(T666),6))))</f>
        <v/>
      </c>
      <c r="X666" s="67" t="str">
        <f>IF(AND(A666="",E666=""),"",IF(V666="Oui","Annulé",IF(AND(N(H666)&gt;0,N(T666)&gt;=N(H666)),"Reçu",IF(N(S666)=0,"Brouillon",IF(AND(ISNUMBER(R666),R666&lt;p_today),"En retard",IF(N(T666)&gt;0,"Partiel","Envoyé"))))))</f>
        <v/>
      </c>
      <c r="Y666" s="75" t="str">
        <f>IF(X666="En retard",p_today-R666,IF(AND(X666="Reçu",ISNUMBER(R666)),MAX(0,N(U666)-R666),""))</f>
        <v/>
      </c>
      <c r="Z666" s="67" t="str">
        <f>IF(AND(A666="",E666=""),"",IF(A666="","N° de bon manquant",IF(N(B666)=0,"Date de commande manquante",IF(C666="","Fournisseur manquant",IF(ISNA(MATCH($C666,sup_code,0)),"Fournisseur inconnu",IF(E666="","Article manquant",IF(ISNA(MATCH($E666,art_ref,0)),"Article inconnu",IF(N(H666)&lt;=0,"Quantité invalide",IF(J666="","Prix manquant",IF(OR(N(K666)&lt;0,N(K666)&gt;=1),"Remise invalide",IF(M666="","TVA manquante",IF(ISNA(MATCH(M666,p_tva,0)),"Taux de TVA inconnu",IF(COUNTIFS(po_num,A666,po_sup,"&lt;&gt;"&amp;C666)&gt;0,"Fournisseur différent sur ce bon",IF(COUNTIFS(po_num,A666,po_date,"&lt;&gt;"&amp;B666)&gt;0,"Date différente sur ce bon",IF(COUNTIF(po_num,A666)&gt;25,"Plus de 25 lignes sur ce bon",IF(R666="","Date de livraison manquante",IF(R666&lt;B666,"Livraison avant la commande",IF(AND(N(T666)&gt;0,N(S666)=0),"Date d'envoi manquante",IF(N(T666)&gt;N(H666),"Reçu plus que commandé",IF(AND(N(T666)&gt;0,N(U666)=0),"Date de réception manquante",IF(AND(N(U666)&gt;0,U666&lt;B666),"Réception avant la commande","OK")))))))))))))))))))))</f>
        <v/>
      </c>
      <c r="AA666" s="66" t="str">
        <f>IF(AND(X666="Reçu",ISNUMBER(R666)),IF(N(U666)&lt;=R666,1,0),"")</f>
        <v/>
      </c>
      <c r="AB666" s="76" t="str">
        <f>IF(OR(X666="Envoyé",X666="Partiel",X666="En retard"),IF(ISNUMBER(R666),R666,100000)+ROW()/100000,"")</f>
        <v/>
      </c>
      <c r="AC666" s="66" t="str">
        <f>IF(A666="","",IF(COUNTIF($A$6:A666,A666)=1,1,""))</f>
        <v/>
      </c>
      <c r="AD666" s="66" t="str">
        <f>IF(AC666=1,COUNT($AC$6:AC666),"")</f>
        <v/>
      </c>
      <c r="AE666" s="66" t="str">
        <f>IFERROR(INDEX(po_num,MATCH(661,po_seq,0))&amp;"","")</f>
        <v/>
      </c>
      <c r="AF666" s="66" t="str">
        <f>IF(OR(A666="",p_po=""),"",IF(A666&amp;""=p_po,COUNTIF($A$6:A666,A666),""))</f>
        <v/>
      </c>
      <c r="AG666" s="66" t="str">
        <f>IF(OR(AB666="",A666=""),"",IF(COUNTIFS($A$6:A666,A666,$AB$6:AB666,"&gt;0")=1,1,""))</f>
        <v/>
      </c>
      <c r="AH666" s="70" t="str">
        <f>IF(AB666="","",ROUND(N(W666)*N(J666)*(1-N(K666)),2))</f>
        <v/>
      </c>
      <c r="AI666" s="70" t="str">
        <f>IF(OR(J666="",N(T666)&lt;=0,V666="Oui"),"",ROUND(N(T666)*J666*(1-N(K666)),2))</f>
        <v/>
      </c>
    </row>
    <row r="667">
      <c r="A667" s="63" t="n"/>
      <c r="B667" s="64" t="n"/>
      <c r="C667" s="65" t="n"/>
      <c r="D667" s="66" t="str">
        <f>IF(C667="","",IFERROR(INDEX(sup_name,MATCH($C667,sup_code,0))&amp;"","Fournisseur inconnu"))</f>
        <v/>
      </c>
      <c r="E667" s="63" t="n"/>
      <c r="F667" s="66" t="str">
        <f>IF(E667="","",IFERROR(INDEX(art_des,MATCH($E667,art_ref,0))&amp;"","Article inconnu"))</f>
        <v/>
      </c>
      <c r="G667" s="67" t="str">
        <f>IF(E667="","",IFERROR(INDEX(art_unit,MATCH($E667,art_ref,0))&amp;"",""))</f>
        <v/>
      </c>
      <c r="H667" s="68" t="n"/>
      <c r="I667" s="69" t="n"/>
      <c r="J667" s="70" t="str">
        <f>IF(E667="","",IF(ISNUMBER(I667),I667,IFERROR(IF(ISNUMBER(INDEX(art_price,MATCH($E667,art_ref,0))),INDEX(art_price,MATCH($E667,art_ref,0)),""),"")))</f>
        <v/>
      </c>
      <c r="K667" s="71" t="n"/>
      <c r="L667" s="72" t="n"/>
      <c r="M667" s="72" t="str">
        <f>IF(E667="","",IF(L667&lt;&gt;"",L667,IFERROR(IF(ISNUMBER(INDEX(art_tva,MATCH($E667,art_ref,0))),INDEX(art_tva,MATCH($E667,art_ref,0)),""),"")))</f>
        <v/>
      </c>
      <c r="N667" s="70" t="str">
        <f>IF(OR(E667="",J667=""),"",ROUND(N(H667)*J667*(1-N(K667)),2))</f>
        <v/>
      </c>
      <c r="O667" s="70" t="str">
        <f>IF(OR(N667="",NOT(ISNUMBER(M667))),"",ROUND(N667*M667,2))</f>
        <v/>
      </c>
      <c r="P667" s="70" t="str">
        <f>IF(N667="","",N667+N(O667))</f>
        <v/>
      </c>
      <c r="Q667" s="64" t="n"/>
      <c r="R667" s="73" t="str">
        <f>IF(N(Q667)&gt;0,Q667,IF(OR(N(B667)=0,ISNA(MATCH($C667,sup_code,0))),"",IF(ISNUMBER(INDEX(sup_delay,MATCH($C667,sup_code,0))),B667+INDEX(sup_delay,MATCH($C667,sup_code,0)),"")))</f>
        <v/>
      </c>
      <c r="S667" s="64" t="n"/>
      <c r="T667" s="68" t="n"/>
      <c r="U667" s="64" t="n"/>
      <c r="V667" s="65" t="n"/>
      <c r="W667" s="74" t="str">
        <f>IF(AND(A667="",E667=""),"",IF(V667="Oui",0,MAX(0,ROUND(N(H667)-N(T667),6))))</f>
        <v/>
      </c>
      <c r="X667" s="67" t="str">
        <f>IF(AND(A667="",E667=""),"",IF(V667="Oui","Annulé",IF(AND(N(H667)&gt;0,N(T667)&gt;=N(H667)),"Reçu",IF(N(S667)=0,"Brouillon",IF(AND(ISNUMBER(R667),R667&lt;p_today),"En retard",IF(N(T667)&gt;0,"Partiel","Envoyé"))))))</f>
        <v/>
      </c>
      <c r="Y667" s="75" t="str">
        <f>IF(X667="En retard",p_today-R667,IF(AND(X667="Reçu",ISNUMBER(R667)),MAX(0,N(U667)-R667),""))</f>
        <v/>
      </c>
      <c r="Z667" s="67" t="str">
        <f>IF(AND(A667="",E667=""),"",IF(A667="","N° de bon manquant",IF(N(B667)=0,"Date de commande manquante",IF(C667="","Fournisseur manquant",IF(ISNA(MATCH($C667,sup_code,0)),"Fournisseur inconnu",IF(E667="","Article manquant",IF(ISNA(MATCH($E667,art_ref,0)),"Article inconnu",IF(N(H667)&lt;=0,"Quantité invalide",IF(J667="","Prix manquant",IF(OR(N(K667)&lt;0,N(K667)&gt;=1),"Remise invalide",IF(M667="","TVA manquante",IF(ISNA(MATCH(M667,p_tva,0)),"Taux de TVA inconnu",IF(COUNTIFS(po_num,A667,po_sup,"&lt;&gt;"&amp;C667)&gt;0,"Fournisseur différent sur ce bon",IF(COUNTIFS(po_num,A667,po_date,"&lt;&gt;"&amp;B667)&gt;0,"Date différente sur ce bon",IF(COUNTIF(po_num,A667)&gt;25,"Plus de 25 lignes sur ce bon",IF(R667="","Date de livraison manquante",IF(R667&lt;B667,"Livraison avant la commande",IF(AND(N(T667)&gt;0,N(S667)=0),"Date d'envoi manquante",IF(N(T667)&gt;N(H667),"Reçu plus que commandé",IF(AND(N(T667)&gt;0,N(U667)=0),"Date de réception manquante",IF(AND(N(U667)&gt;0,U667&lt;B667),"Réception avant la commande","OK")))))))))))))))))))))</f>
        <v/>
      </c>
      <c r="AA667" s="66" t="str">
        <f>IF(AND(X667="Reçu",ISNUMBER(R667)),IF(N(U667)&lt;=R667,1,0),"")</f>
        <v/>
      </c>
      <c r="AB667" s="76" t="str">
        <f>IF(OR(X667="Envoyé",X667="Partiel",X667="En retard"),IF(ISNUMBER(R667),R667,100000)+ROW()/100000,"")</f>
        <v/>
      </c>
      <c r="AC667" s="66" t="str">
        <f>IF(A667="","",IF(COUNTIF($A$6:A667,A667)=1,1,""))</f>
        <v/>
      </c>
      <c r="AD667" s="66" t="str">
        <f>IF(AC667=1,COUNT($AC$6:AC667),"")</f>
        <v/>
      </c>
      <c r="AE667" s="66" t="str">
        <f>IFERROR(INDEX(po_num,MATCH(662,po_seq,0))&amp;"","")</f>
        <v/>
      </c>
      <c r="AF667" s="66" t="str">
        <f>IF(OR(A667="",p_po=""),"",IF(A667&amp;""=p_po,COUNTIF($A$6:A667,A667),""))</f>
        <v/>
      </c>
      <c r="AG667" s="66" t="str">
        <f>IF(OR(AB667="",A667=""),"",IF(COUNTIFS($A$6:A667,A667,$AB$6:AB667,"&gt;0")=1,1,""))</f>
        <v/>
      </c>
      <c r="AH667" s="70" t="str">
        <f>IF(AB667="","",ROUND(N(W667)*N(J667)*(1-N(K667)),2))</f>
        <v/>
      </c>
      <c r="AI667" s="70" t="str">
        <f>IF(OR(J667="",N(T667)&lt;=0,V667="Oui"),"",ROUND(N(T667)*J667*(1-N(K667)),2))</f>
        <v/>
      </c>
    </row>
    <row r="668">
      <c r="A668" s="63" t="n"/>
      <c r="B668" s="64" t="n"/>
      <c r="C668" s="65" t="n"/>
      <c r="D668" s="66" t="str">
        <f>IF(C668="","",IFERROR(INDEX(sup_name,MATCH($C668,sup_code,0))&amp;"","Fournisseur inconnu"))</f>
        <v/>
      </c>
      <c r="E668" s="63" t="n"/>
      <c r="F668" s="66" t="str">
        <f>IF(E668="","",IFERROR(INDEX(art_des,MATCH($E668,art_ref,0))&amp;"","Article inconnu"))</f>
        <v/>
      </c>
      <c r="G668" s="67" t="str">
        <f>IF(E668="","",IFERROR(INDEX(art_unit,MATCH($E668,art_ref,0))&amp;"",""))</f>
        <v/>
      </c>
      <c r="H668" s="68" t="n"/>
      <c r="I668" s="69" t="n"/>
      <c r="J668" s="70" t="str">
        <f>IF(E668="","",IF(ISNUMBER(I668),I668,IFERROR(IF(ISNUMBER(INDEX(art_price,MATCH($E668,art_ref,0))),INDEX(art_price,MATCH($E668,art_ref,0)),""),"")))</f>
        <v/>
      </c>
      <c r="K668" s="71" t="n"/>
      <c r="L668" s="72" t="n"/>
      <c r="M668" s="72" t="str">
        <f>IF(E668="","",IF(L668&lt;&gt;"",L668,IFERROR(IF(ISNUMBER(INDEX(art_tva,MATCH($E668,art_ref,0))),INDEX(art_tva,MATCH($E668,art_ref,0)),""),"")))</f>
        <v/>
      </c>
      <c r="N668" s="70" t="str">
        <f>IF(OR(E668="",J668=""),"",ROUND(N(H668)*J668*(1-N(K668)),2))</f>
        <v/>
      </c>
      <c r="O668" s="70" t="str">
        <f>IF(OR(N668="",NOT(ISNUMBER(M668))),"",ROUND(N668*M668,2))</f>
        <v/>
      </c>
      <c r="P668" s="70" t="str">
        <f>IF(N668="","",N668+N(O668))</f>
        <v/>
      </c>
      <c r="Q668" s="64" t="n"/>
      <c r="R668" s="73" t="str">
        <f>IF(N(Q668)&gt;0,Q668,IF(OR(N(B668)=0,ISNA(MATCH($C668,sup_code,0))),"",IF(ISNUMBER(INDEX(sup_delay,MATCH($C668,sup_code,0))),B668+INDEX(sup_delay,MATCH($C668,sup_code,0)),"")))</f>
        <v/>
      </c>
      <c r="S668" s="64" t="n"/>
      <c r="T668" s="68" t="n"/>
      <c r="U668" s="64" t="n"/>
      <c r="V668" s="65" t="n"/>
      <c r="W668" s="74" t="str">
        <f>IF(AND(A668="",E668=""),"",IF(V668="Oui",0,MAX(0,ROUND(N(H668)-N(T668),6))))</f>
        <v/>
      </c>
      <c r="X668" s="67" t="str">
        <f>IF(AND(A668="",E668=""),"",IF(V668="Oui","Annulé",IF(AND(N(H668)&gt;0,N(T668)&gt;=N(H668)),"Reçu",IF(N(S668)=0,"Brouillon",IF(AND(ISNUMBER(R668),R668&lt;p_today),"En retard",IF(N(T668)&gt;0,"Partiel","Envoyé"))))))</f>
        <v/>
      </c>
      <c r="Y668" s="75" t="str">
        <f>IF(X668="En retard",p_today-R668,IF(AND(X668="Reçu",ISNUMBER(R668)),MAX(0,N(U668)-R668),""))</f>
        <v/>
      </c>
      <c r="Z668" s="67" t="str">
        <f>IF(AND(A668="",E668=""),"",IF(A668="","N° de bon manquant",IF(N(B668)=0,"Date de commande manquante",IF(C668="","Fournisseur manquant",IF(ISNA(MATCH($C668,sup_code,0)),"Fournisseur inconnu",IF(E668="","Article manquant",IF(ISNA(MATCH($E668,art_ref,0)),"Article inconnu",IF(N(H668)&lt;=0,"Quantité invalide",IF(J668="","Prix manquant",IF(OR(N(K668)&lt;0,N(K668)&gt;=1),"Remise invalide",IF(M668="","TVA manquante",IF(ISNA(MATCH(M668,p_tva,0)),"Taux de TVA inconnu",IF(COUNTIFS(po_num,A668,po_sup,"&lt;&gt;"&amp;C668)&gt;0,"Fournisseur différent sur ce bon",IF(COUNTIFS(po_num,A668,po_date,"&lt;&gt;"&amp;B668)&gt;0,"Date différente sur ce bon",IF(COUNTIF(po_num,A668)&gt;25,"Plus de 25 lignes sur ce bon",IF(R668="","Date de livraison manquante",IF(R668&lt;B668,"Livraison avant la commande",IF(AND(N(T668)&gt;0,N(S668)=0),"Date d'envoi manquante",IF(N(T668)&gt;N(H668),"Reçu plus que commandé",IF(AND(N(T668)&gt;0,N(U668)=0),"Date de réception manquante",IF(AND(N(U668)&gt;0,U668&lt;B668),"Réception avant la commande","OK")))))))))))))))))))))</f>
        <v/>
      </c>
      <c r="AA668" s="66" t="str">
        <f>IF(AND(X668="Reçu",ISNUMBER(R668)),IF(N(U668)&lt;=R668,1,0),"")</f>
        <v/>
      </c>
      <c r="AB668" s="76" t="str">
        <f>IF(OR(X668="Envoyé",X668="Partiel",X668="En retard"),IF(ISNUMBER(R668),R668,100000)+ROW()/100000,"")</f>
        <v/>
      </c>
      <c r="AC668" s="66" t="str">
        <f>IF(A668="","",IF(COUNTIF($A$6:A668,A668)=1,1,""))</f>
        <v/>
      </c>
      <c r="AD668" s="66" t="str">
        <f>IF(AC668=1,COUNT($AC$6:AC668),"")</f>
        <v/>
      </c>
      <c r="AE668" s="66" t="str">
        <f>IFERROR(INDEX(po_num,MATCH(663,po_seq,0))&amp;"","")</f>
        <v/>
      </c>
      <c r="AF668" s="66" t="str">
        <f>IF(OR(A668="",p_po=""),"",IF(A668&amp;""=p_po,COUNTIF($A$6:A668,A668),""))</f>
        <v/>
      </c>
      <c r="AG668" s="66" t="str">
        <f>IF(OR(AB668="",A668=""),"",IF(COUNTIFS($A$6:A668,A668,$AB$6:AB668,"&gt;0")=1,1,""))</f>
        <v/>
      </c>
      <c r="AH668" s="70" t="str">
        <f>IF(AB668="","",ROUND(N(W668)*N(J668)*(1-N(K668)),2))</f>
        <v/>
      </c>
      <c r="AI668" s="70" t="str">
        <f>IF(OR(J668="",N(T668)&lt;=0,V668="Oui"),"",ROUND(N(T668)*J668*(1-N(K668)),2))</f>
        <v/>
      </c>
    </row>
    <row r="669">
      <c r="A669" s="63" t="n"/>
      <c r="B669" s="64" t="n"/>
      <c r="C669" s="65" t="n"/>
      <c r="D669" s="66" t="str">
        <f>IF(C669="","",IFERROR(INDEX(sup_name,MATCH($C669,sup_code,0))&amp;"","Fournisseur inconnu"))</f>
        <v/>
      </c>
      <c r="E669" s="63" t="n"/>
      <c r="F669" s="66" t="str">
        <f>IF(E669="","",IFERROR(INDEX(art_des,MATCH($E669,art_ref,0))&amp;"","Article inconnu"))</f>
        <v/>
      </c>
      <c r="G669" s="67" t="str">
        <f>IF(E669="","",IFERROR(INDEX(art_unit,MATCH($E669,art_ref,0))&amp;"",""))</f>
        <v/>
      </c>
      <c r="H669" s="68" t="n"/>
      <c r="I669" s="69" t="n"/>
      <c r="J669" s="70" t="str">
        <f>IF(E669="","",IF(ISNUMBER(I669),I669,IFERROR(IF(ISNUMBER(INDEX(art_price,MATCH($E669,art_ref,0))),INDEX(art_price,MATCH($E669,art_ref,0)),""),"")))</f>
        <v/>
      </c>
      <c r="K669" s="71" t="n"/>
      <c r="L669" s="72" t="n"/>
      <c r="M669" s="72" t="str">
        <f>IF(E669="","",IF(L669&lt;&gt;"",L669,IFERROR(IF(ISNUMBER(INDEX(art_tva,MATCH($E669,art_ref,0))),INDEX(art_tva,MATCH($E669,art_ref,0)),""),"")))</f>
        <v/>
      </c>
      <c r="N669" s="70" t="str">
        <f>IF(OR(E669="",J669=""),"",ROUND(N(H669)*J669*(1-N(K669)),2))</f>
        <v/>
      </c>
      <c r="O669" s="70" t="str">
        <f>IF(OR(N669="",NOT(ISNUMBER(M669))),"",ROUND(N669*M669,2))</f>
        <v/>
      </c>
      <c r="P669" s="70" t="str">
        <f>IF(N669="","",N669+N(O669))</f>
        <v/>
      </c>
      <c r="Q669" s="64" t="n"/>
      <c r="R669" s="73" t="str">
        <f>IF(N(Q669)&gt;0,Q669,IF(OR(N(B669)=0,ISNA(MATCH($C669,sup_code,0))),"",IF(ISNUMBER(INDEX(sup_delay,MATCH($C669,sup_code,0))),B669+INDEX(sup_delay,MATCH($C669,sup_code,0)),"")))</f>
        <v/>
      </c>
      <c r="S669" s="64" t="n"/>
      <c r="T669" s="68" t="n"/>
      <c r="U669" s="64" t="n"/>
      <c r="V669" s="65" t="n"/>
      <c r="W669" s="74" t="str">
        <f>IF(AND(A669="",E669=""),"",IF(V669="Oui",0,MAX(0,ROUND(N(H669)-N(T669),6))))</f>
        <v/>
      </c>
      <c r="X669" s="67" t="str">
        <f>IF(AND(A669="",E669=""),"",IF(V669="Oui","Annulé",IF(AND(N(H669)&gt;0,N(T669)&gt;=N(H669)),"Reçu",IF(N(S669)=0,"Brouillon",IF(AND(ISNUMBER(R669),R669&lt;p_today),"En retard",IF(N(T669)&gt;0,"Partiel","Envoyé"))))))</f>
        <v/>
      </c>
      <c r="Y669" s="75" t="str">
        <f>IF(X669="En retard",p_today-R669,IF(AND(X669="Reçu",ISNUMBER(R669)),MAX(0,N(U669)-R669),""))</f>
        <v/>
      </c>
      <c r="Z669" s="67" t="str">
        <f>IF(AND(A669="",E669=""),"",IF(A669="","N° de bon manquant",IF(N(B669)=0,"Date de commande manquante",IF(C669="","Fournisseur manquant",IF(ISNA(MATCH($C669,sup_code,0)),"Fournisseur inconnu",IF(E669="","Article manquant",IF(ISNA(MATCH($E669,art_ref,0)),"Article inconnu",IF(N(H669)&lt;=0,"Quantité invalide",IF(J669="","Prix manquant",IF(OR(N(K669)&lt;0,N(K669)&gt;=1),"Remise invalide",IF(M669="","TVA manquante",IF(ISNA(MATCH(M669,p_tva,0)),"Taux de TVA inconnu",IF(COUNTIFS(po_num,A669,po_sup,"&lt;&gt;"&amp;C669)&gt;0,"Fournisseur différent sur ce bon",IF(COUNTIFS(po_num,A669,po_date,"&lt;&gt;"&amp;B669)&gt;0,"Date différente sur ce bon",IF(COUNTIF(po_num,A669)&gt;25,"Plus de 25 lignes sur ce bon",IF(R669="","Date de livraison manquante",IF(R669&lt;B669,"Livraison avant la commande",IF(AND(N(T669)&gt;0,N(S669)=0),"Date d'envoi manquante",IF(N(T669)&gt;N(H669),"Reçu plus que commandé",IF(AND(N(T669)&gt;0,N(U669)=0),"Date de réception manquante",IF(AND(N(U669)&gt;0,U669&lt;B669),"Réception avant la commande","OK")))))))))))))))))))))</f>
        <v/>
      </c>
      <c r="AA669" s="66" t="str">
        <f>IF(AND(X669="Reçu",ISNUMBER(R669)),IF(N(U669)&lt;=R669,1,0),"")</f>
        <v/>
      </c>
      <c r="AB669" s="76" t="str">
        <f>IF(OR(X669="Envoyé",X669="Partiel",X669="En retard"),IF(ISNUMBER(R669),R669,100000)+ROW()/100000,"")</f>
        <v/>
      </c>
      <c r="AC669" s="66" t="str">
        <f>IF(A669="","",IF(COUNTIF($A$6:A669,A669)=1,1,""))</f>
        <v/>
      </c>
      <c r="AD669" s="66" t="str">
        <f>IF(AC669=1,COUNT($AC$6:AC669),"")</f>
        <v/>
      </c>
      <c r="AE669" s="66" t="str">
        <f>IFERROR(INDEX(po_num,MATCH(664,po_seq,0))&amp;"","")</f>
        <v/>
      </c>
      <c r="AF669" s="66" t="str">
        <f>IF(OR(A669="",p_po=""),"",IF(A669&amp;""=p_po,COUNTIF($A$6:A669,A669),""))</f>
        <v/>
      </c>
      <c r="AG669" s="66" t="str">
        <f>IF(OR(AB669="",A669=""),"",IF(COUNTIFS($A$6:A669,A669,$AB$6:AB669,"&gt;0")=1,1,""))</f>
        <v/>
      </c>
      <c r="AH669" s="70" t="str">
        <f>IF(AB669="","",ROUND(N(W669)*N(J669)*(1-N(K669)),2))</f>
        <v/>
      </c>
      <c r="AI669" s="70" t="str">
        <f>IF(OR(J669="",N(T669)&lt;=0,V669="Oui"),"",ROUND(N(T669)*J669*(1-N(K669)),2))</f>
        <v/>
      </c>
    </row>
    <row r="670">
      <c r="A670" s="63" t="n"/>
      <c r="B670" s="64" t="n"/>
      <c r="C670" s="65" t="n"/>
      <c r="D670" s="66" t="str">
        <f>IF(C670="","",IFERROR(INDEX(sup_name,MATCH($C670,sup_code,0))&amp;"","Fournisseur inconnu"))</f>
        <v/>
      </c>
      <c r="E670" s="63" t="n"/>
      <c r="F670" s="66" t="str">
        <f>IF(E670="","",IFERROR(INDEX(art_des,MATCH($E670,art_ref,0))&amp;"","Article inconnu"))</f>
        <v/>
      </c>
      <c r="G670" s="67" t="str">
        <f>IF(E670="","",IFERROR(INDEX(art_unit,MATCH($E670,art_ref,0))&amp;"",""))</f>
        <v/>
      </c>
      <c r="H670" s="68" t="n"/>
      <c r="I670" s="69" t="n"/>
      <c r="J670" s="70" t="str">
        <f>IF(E670="","",IF(ISNUMBER(I670),I670,IFERROR(IF(ISNUMBER(INDEX(art_price,MATCH($E670,art_ref,0))),INDEX(art_price,MATCH($E670,art_ref,0)),""),"")))</f>
        <v/>
      </c>
      <c r="K670" s="71" t="n"/>
      <c r="L670" s="72" t="n"/>
      <c r="M670" s="72" t="str">
        <f>IF(E670="","",IF(L670&lt;&gt;"",L670,IFERROR(IF(ISNUMBER(INDEX(art_tva,MATCH($E670,art_ref,0))),INDEX(art_tva,MATCH($E670,art_ref,0)),""),"")))</f>
        <v/>
      </c>
      <c r="N670" s="70" t="str">
        <f>IF(OR(E670="",J670=""),"",ROUND(N(H670)*J670*(1-N(K670)),2))</f>
        <v/>
      </c>
      <c r="O670" s="70" t="str">
        <f>IF(OR(N670="",NOT(ISNUMBER(M670))),"",ROUND(N670*M670,2))</f>
        <v/>
      </c>
      <c r="P670" s="70" t="str">
        <f>IF(N670="","",N670+N(O670))</f>
        <v/>
      </c>
      <c r="Q670" s="64" t="n"/>
      <c r="R670" s="73" t="str">
        <f>IF(N(Q670)&gt;0,Q670,IF(OR(N(B670)=0,ISNA(MATCH($C670,sup_code,0))),"",IF(ISNUMBER(INDEX(sup_delay,MATCH($C670,sup_code,0))),B670+INDEX(sup_delay,MATCH($C670,sup_code,0)),"")))</f>
        <v/>
      </c>
      <c r="S670" s="64" t="n"/>
      <c r="T670" s="68" t="n"/>
      <c r="U670" s="64" t="n"/>
      <c r="V670" s="65" t="n"/>
      <c r="W670" s="74" t="str">
        <f>IF(AND(A670="",E670=""),"",IF(V670="Oui",0,MAX(0,ROUND(N(H670)-N(T670),6))))</f>
        <v/>
      </c>
      <c r="X670" s="67" t="str">
        <f>IF(AND(A670="",E670=""),"",IF(V670="Oui","Annulé",IF(AND(N(H670)&gt;0,N(T670)&gt;=N(H670)),"Reçu",IF(N(S670)=0,"Brouillon",IF(AND(ISNUMBER(R670),R670&lt;p_today),"En retard",IF(N(T670)&gt;0,"Partiel","Envoyé"))))))</f>
        <v/>
      </c>
      <c r="Y670" s="75" t="str">
        <f>IF(X670="En retard",p_today-R670,IF(AND(X670="Reçu",ISNUMBER(R670)),MAX(0,N(U670)-R670),""))</f>
        <v/>
      </c>
      <c r="Z670" s="67" t="str">
        <f>IF(AND(A670="",E670=""),"",IF(A670="","N° de bon manquant",IF(N(B670)=0,"Date de commande manquante",IF(C670="","Fournisseur manquant",IF(ISNA(MATCH($C670,sup_code,0)),"Fournisseur inconnu",IF(E670="","Article manquant",IF(ISNA(MATCH($E670,art_ref,0)),"Article inconnu",IF(N(H670)&lt;=0,"Quantité invalide",IF(J670="","Prix manquant",IF(OR(N(K670)&lt;0,N(K670)&gt;=1),"Remise invalide",IF(M670="","TVA manquante",IF(ISNA(MATCH(M670,p_tva,0)),"Taux de TVA inconnu",IF(COUNTIFS(po_num,A670,po_sup,"&lt;&gt;"&amp;C670)&gt;0,"Fournisseur différent sur ce bon",IF(COUNTIFS(po_num,A670,po_date,"&lt;&gt;"&amp;B670)&gt;0,"Date différente sur ce bon",IF(COUNTIF(po_num,A670)&gt;25,"Plus de 25 lignes sur ce bon",IF(R670="","Date de livraison manquante",IF(R670&lt;B670,"Livraison avant la commande",IF(AND(N(T670)&gt;0,N(S670)=0),"Date d'envoi manquante",IF(N(T670)&gt;N(H670),"Reçu plus que commandé",IF(AND(N(T670)&gt;0,N(U670)=0),"Date de réception manquante",IF(AND(N(U670)&gt;0,U670&lt;B670),"Réception avant la commande","OK")))))))))))))))))))))</f>
        <v/>
      </c>
      <c r="AA670" s="66" t="str">
        <f>IF(AND(X670="Reçu",ISNUMBER(R670)),IF(N(U670)&lt;=R670,1,0),"")</f>
        <v/>
      </c>
      <c r="AB670" s="76" t="str">
        <f>IF(OR(X670="Envoyé",X670="Partiel",X670="En retard"),IF(ISNUMBER(R670),R670,100000)+ROW()/100000,"")</f>
        <v/>
      </c>
      <c r="AC670" s="66" t="str">
        <f>IF(A670="","",IF(COUNTIF($A$6:A670,A670)=1,1,""))</f>
        <v/>
      </c>
      <c r="AD670" s="66" t="str">
        <f>IF(AC670=1,COUNT($AC$6:AC670),"")</f>
        <v/>
      </c>
      <c r="AE670" s="66" t="str">
        <f>IFERROR(INDEX(po_num,MATCH(665,po_seq,0))&amp;"","")</f>
        <v/>
      </c>
      <c r="AF670" s="66" t="str">
        <f>IF(OR(A670="",p_po=""),"",IF(A670&amp;""=p_po,COUNTIF($A$6:A670,A670),""))</f>
        <v/>
      </c>
      <c r="AG670" s="66" t="str">
        <f>IF(OR(AB670="",A670=""),"",IF(COUNTIFS($A$6:A670,A670,$AB$6:AB670,"&gt;0")=1,1,""))</f>
        <v/>
      </c>
      <c r="AH670" s="70" t="str">
        <f>IF(AB670="","",ROUND(N(W670)*N(J670)*(1-N(K670)),2))</f>
        <v/>
      </c>
      <c r="AI670" s="70" t="str">
        <f>IF(OR(J670="",N(T670)&lt;=0,V670="Oui"),"",ROUND(N(T670)*J670*(1-N(K670)),2))</f>
        <v/>
      </c>
    </row>
    <row r="671">
      <c r="A671" s="63" t="n"/>
      <c r="B671" s="64" t="n"/>
      <c r="C671" s="65" t="n"/>
      <c r="D671" s="66" t="str">
        <f>IF(C671="","",IFERROR(INDEX(sup_name,MATCH($C671,sup_code,0))&amp;"","Fournisseur inconnu"))</f>
        <v/>
      </c>
      <c r="E671" s="63" t="n"/>
      <c r="F671" s="66" t="str">
        <f>IF(E671="","",IFERROR(INDEX(art_des,MATCH($E671,art_ref,0))&amp;"","Article inconnu"))</f>
        <v/>
      </c>
      <c r="G671" s="67" t="str">
        <f>IF(E671="","",IFERROR(INDEX(art_unit,MATCH($E671,art_ref,0))&amp;"",""))</f>
        <v/>
      </c>
      <c r="H671" s="68" t="n"/>
      <c r="I671" s="69" t="n"/>
      <c r="J671" s="70" t="str">
        <f>IF(E671="","",IF(ISNUMBER(I671),I671,IFERROR(IF(ISNUMBER(INDEX(art_price,MATCH($E671,art_ref,0))),INDEX(art_price,MATCH($E671,art_ref,0)),""),"")))</f>
        <v/>
      </c>
      <c r="K671" s="71" t="n"/>
      <c r="L671" s="72" t="n"/>
      <c r="M671" s="72" t="str">
        <f>IF(E671="","",IF(L671&lt;&gt;"",L671,IFERROR(IF(ISNUMBER(INDEX(art_tva,MATCH($E671,art_ref,0))),INDEX(art_tva,MATCH($E671,art_ref,0)),""),"")))</f>
        <v/>
      </c>
      <c r="N671" s="70" t="str">
        <f>IF(OR(E671="",J671=""),"",ROUND(N(H671)*J671*(1-N(K671)),2))</f>
        <v/>
      </c>
      <c r="O671" s="70" t="str">
        <f>IF(OR(N671="",NOT(ISNUMBER(M671))),"",ROUND(N671*M671,2))</f>
        <v/>
      </c>
      <c r="P671" s="70" t="str">
        <f>IF(N671="","",N671+N(O671))</f>
        <v/>
      </c>
      <c r="Q671" s="64" t="n"/>
      <c r="R671" s="73" t="str">
        <f>IF(N(Q671)&gt;0,Q671,IF(OR(N(B671)=0,ISNA(MATCH($C671,sup_code,0))),"",IF(ISNUMBER(INDEX(sup_delay,MATCH($C671,sup_code,0))),B671+INDEX(sup_delay,MATCH($C671,sup_code,0)),"")))</f>
        <v/>
      </c>
      <c r="S671" s="64" t="n"/>
      <c r="T671" s="68" t="n"/>
      <c r="U671" s="64" t="n"/>
      <c r="V671" s="65" t="n"/>
      <c r="W671" s="74" t="str">
        <f>IF(AND(A671="",E671=""),"",IF(V671="Oui",0,MAX(0,ROUND(N(H671)-N(T671),6))))</f>
        <v/>
      </c>
      <c r="X671" s="67" t="str">
        <f>IF(AND(A671="",E671=""),"",IF(V671="Oui","Annulé",IF(AND(N(H671)&gt;0,N(T671)&gt;=N(H671)),"Reçu",IF(N(S671)=0,"Brouillon",IF(AND(ISNUMBER(R671),R671&lt;p_today),"En retard",IF(N(T671)&gt;0,"Partiel","Envoyé"))))))</f>
        <v/>
      </c>
      <c r="Y671" s="75" t="str">
        <f>IF(X671="En retard",p_today-R671,IF(AND(X671="Reçu",ISNUMBER(R671)),MAX(0,N(U671)-R671),""))</f>
        <v/>
      </c>
      <c r="Z671" s="67" t="str">
        <f>IF(AND(A671="",E671=""),"",IF(A671="","N° de bon manquant",IF(N(B671)=0,"Date de commande manquante",IF(C671="","Fournisseur manquant",IF(ISNA(MATCH($C671,sup_code,0)),"Fournisseur inconnu",IF(E671="","Article manquant",IF(ISNA(MATCH($E671,art_ref,0)),"Article inconnu",IF(N(H671)&lt;=0,"Quantité invalide",IF(J671="","Prix manquant",IF(OR(N(K671)&lt;0,N(K671)&gt;=1),"Remise invalide",IF(M671="","TVA manquante",IF(ISNA(MATCH(M671,p_tva,0)),"Taux de TVA inconnu",IF(COUNTIFS(po_num,A671,po_sup,"&lt;&gt;"&amp;C671)&gt;0,"Fournisseur différent sur ce bon",IF(COUNTIFS(po_num,A671,po_date,"&lt;&gt;"&amp;B671)&gt;0,"Date différente sur ce bon",IF(COUNTIF(po_num,A671)&gt;25,"Plus de 25 lignes sur ce bon",IF(R671="","Date de livraison manquante",IF(R671&lt;B671,"Livraison avant la commande",IF(AND(N(T671)&gt;0,N(S671)=0),"Date d'envoi manquante",IF(N(T671)&gt;N(H671),"Reçu plus que commandé",IF(AND(N(T671)&gt;0,N(U671)=0),"Date de réception manquante",IF(AND(N(U671)&gt;0,U671&lt;B671),"Réception avant la commande","OK")))))))))))))))))))))</f>
        <v/>
      </c>
      <c r="AA671" s="66" t="str">
        <f>IF(AND(X671="Reçu",ISNUMBER(R671)),IF(N(U671)&lt;=R671,1,0),"")</f>
        <v/>
      </c>
      <c r="AB671" s="76" t="str">
        <f>IF(OR(X671="Envoyé",X671="Partiel",X671="En retard"),IF(ISNUMBER(R671),R671,100000)+ROW()/100000,"")</f>
        <v/>
      </c>
      <c r="AC671" s="66" t="str">
        <f>IF(A671="","",IF(COUNTIF($A$6:A671,A671)=1,1,""))</f>
        <v/>
      </c>
      <c r="AD671" s="66" t="str">
        <f>IF(AC671=1,COUNT($AC$6:AC671),"")</f>
        <v/>
      </c>
      <c r="AE671" s="66" t="str">
        <f>IFERROR(INDEX(po_num,MATCH(666,po_seq,0))&amp;"","")</f>
        <v/>
      </c>
      <c r="AF671" s="66" t="str">
        <f>IF(OR(A671="",p_po=""),"",IF(A671&amp;""=p_po,COUNTIF($A$6:A671,A671),""))</f>
        <v/>
      </c>
      <c r="AG671" s="66" t="str">
        <f>IF(OR(AB671="",A671=""),"",IF(COUNTIFS($A$6:A671,A671,$AB$6:AB671,"&gt;0")=1,1,""))</f>
        <v/>
      </c>
      <c r="AH671" s="70" t="str">
        <f>IF(AB671="","",ROUND(N(W671)*N(J671)*(1-N(K671)),2))</f>
        <v/>
      </c>
      <c r="AI671" s="70" t="str">
        <f>IF(OR(J671="",N(T671)&lt;=0,V671="Oui"),"",ROUND(N(T671)*J671*(1-N(K671)),2))</f>
        <v/>
      </c>
    </row>
    <row r="672">
      <c r="A672" s="63" t="n"/>
      <c r="B672" s="64" t="n"/>
      <c r="C672" s="65" t="n"/>
      <c r="D672" s="66" t="str">
        <f>IF(C672="","",IFERROR(INDEX(sup_name,MATCH($C672,sup_code,0))&amp;"","Fournisseur inconnu"))</f>
        <v/>
      </c>
      <c r="E672" s="63" t="n"/>
      <c r="F672" s="66" t="str">
        <f>IF(E672="","",IFERROR(INDEX(art_des,MATCH($E672,art_ref,0))&amp;"","Article inconnu"))</f>
        <v/>
      </c>
      <c r="G672" s="67" t="str">
        <f>IF(E672="","",IFERROR(INDEX(art_unit,MATCH($E672,art_ref,0))&amp;"",""))</f>
        <v/>
      </c>
      <c r="H672" s="68" t="n"/>
      <c r="I672" s="69" t="n"/>
      <c r="J672" s="70" t="str">
        <f>IF(E672="","",IF(ISNUMBER(I672),I672,IFERROR(IF(ISNUMBER(INDEX(art_price,MATCH($E672,art_ref,0))),INDEX(art_price,MATCH($E672,art_ref,0)),""),"")))</f>
        <v/>
      </c>
      <c r="K672" s="71" t="n"/>
      <c r="L672" s="72" t="n"/>
      <c r="M672" s="72" t="str">
        <f>IF(E672="","",IF(L672&lt;&gt;"",L672,IFERROR(IF(ISNUMBER(INDEX(art_tva,MATCH($E672,art_ref,0))),INDEX(art_tva,MATCH($E672,art_ref,0)),""),"")))</f>
        <v/>
      </c>
      <c r="N672" s="70" t="str">
        <f>IF(OR(E672="",J672=""),"",ROUND(N(H672)*J672*(1-N(K672)),2))</f>
        <v/>
      </c>
      <c r="O672" s="70" t="str">
        <f>IF(OR(N672="",NOT(ISNUMBER(M672))),"",ROUND(N672*M672,2))</f>
        <v/>
      </c>
      <c r="P672" s="70" t="str">
        <f>IF(N672="","",N672+N(O672))</f>
        <v/>
      </c>
      <c r="Q672" s="64" t="n"/>
      <c r="R672" s="73" t="str">
        <f>IF(N(Q672)&gt;0,Q672,IF(OR(N(B672)=0,ISNA(MATCH($C672,sup_code,0))),"",IF(ISNUMBER(INDEX(sup_delay,MATCH($C672,sup_code,0))),B672+INDEX(sup_delay,MATCH($C672,sup_code,0)),"")))</f>
        <v/>
      </c>
      <c r="S672" s="64" t="n"/>
      <c r="T672" s="68" t="n"/>
      <c r="U672" s="64" t="n"/>
      <c r="V672" s="65" t="n"/>
      <c r="W672" s="74" t="str">
        <f>IF(AND(A672="",E672=""),"",IF(V672="Oui",0,MAX(0,ROUND(N(H672)-N(T672),6))))</f>
        <v/>
      </c>
      <c r="X672" s="67" t="str">
        <f>IF(AND(A672="",E672=""),"",IF(V672="Oui","Annulé",IF(AND(N(H672)&gt;0,N(T672)&gt;=N(H672)),"Reçu",IF(N(S672)=0,"Brouillon",IF(AND(ISNUMBER(R672),R672&lt;p_today),"En retard",IF(N(T672)&gt;0,"Partiel","Envoyé"))))))</f>
        <v/>
      </c>
      <c r="Y672" s="75" t="str">
        <f>IF(X672="En retard",p_today-R672,IF(AND(X672="Reçu",ISNUMBER(R672)),MAX(0,N(U672)-R672),""))</f>
        <v/>
      </c>
      <c r="Z672" s="67" t="str">
        <f>IF(AND(A672="",E672=""),"",IF(A672="","N° de bon manquant",IF(N(B672)=0,"Date de commande manquante",IF(C672="","Fournisseur manquant",IF(ISNA(MATCH($C672,sup_code,0)),"Fournisseur inconnu",IF(E672="","Article manquant",IF(ISNA(MATCH($E672,art_ref,0)),"Article inconnu",IF(N(H672)&lt;=0,"Quantité invalide",IF(J672="","Prix manquant",IF(OR(N(K672)&lt;0,N(K672)&gt;=1),"Remise invalide",IF(M672="","TVA manquante",IF(ISNA(MATCH(M672,p_tva,0)),"Taux de TVA inconnu",IF(COUNTIFS(po_num,A672,po_sup,"&lt;&gt;"&amp;C672)&gt;0,"Fournisseur différent sur ce bon",IF(COUNTIFS(po_num,A672,po_date,"&lt;&gt;"&amp;B672)&gt;0,"Date différente sur ce bon",IF(COUNTIF(po_num,A672)&gt;25,"Plus de 25 lignes sur ce bon",IF(R672="","Date de livraison manquante",IF(R672&lt;B672,"Livraison avant la commande",IF(AND(N(T672)&gt;0,N(S672)=0),"Date d'envoi manquante",IF(N(T672)&gt;N(H672),"Reçu plus que commandé",IF(AND(N(T672)&gt;0,N(U672)=0),"Date de réception manquante",IF(AND(N(U672)&gt;0,U672&lt;B672),"Réception avant la commande","OK")))))))))))))))))))))</f>
        <v/>
      </c>
      <c r="AA672" s="66" t="str">
        <f>IF(AND(X672="Reçu",ISNUMBER(R672)),IF(N(U672)&lt;=R672,1,0),"")</f>
        <v/>
      </c>
      <c r="AB672" s="76" t="str">
        <f>IF(OR(X672="Envoyé",X672="Partiel",X672="En retard"),IF(ISNUMBER(R672),R672,100000)+ROW()/100000,"")</f>
        <v/>
      </c>
      <c r="AC672" s="66" t="str">
        <f>IF(A672="","",IF(COUNTIF($A$6:A672,A672)=1,1,""))</f>
        <v/>
      </c>
      <c r="AD672" s="66" t="str">
        <f>IF(AC672=1,COUNT($AC$6:AC672),"")</f>
        <v/>
      </c>
      <c r="AE672" s="66" t="str">
        <f>IFERROR(INDEX(po_num,MATCH(667,po_seq,0))&amp;"","")</f>
        <v/>
      </c>
      <c r="AF672" s="66" t="str">
        <f>IF(OR(A672="",p_po=""),"",IF(A672&amp;""=p_po,COUNTIF($A$6:A672,A672),""))</f>
        <v/>
      </c>
      <c r="AG672" s="66" t="str">
        <f>IF(OR(AB672="",A672=""),"",IF(COUNTIFS($A$6:A672,A672,$AB$6:AB672,"&gt;0")=1,1,""))</f>
        <v/>
      </c>
      <c r="AH672" s="70" t="str">
        <f>IF(AB672="","",ROUND(N(W672)*N(J672)*(1-N(K672)),2))</f>
        <v/>
      </c>
      <c r="AI672" s="70" t="str">
        <f>IF(OR(J672="",N(T672)&lt;=0,V672="Oui"),"",ROUND(N(T672)*J672*(1-N(K672)),2))</f>
        <v/>
      </c>
    </row>
    <row r="673">
      <c r="A673" s="63" t="n"/>
      <c r="B673" s="64" t="n"/>
      <c r="C673" s="65" t="n"/>
      <c r="D673" s="66" t="str">
        <f>IF(C673="","",IFERROR(INDEX(sup_name,MATCH($C673,sup_code,0))&amp;"","Fournisseur inconnu"))</f>
        <v/>
      </c>
      <c r="E673" s="63" t="n"/>
      <c r="F673" s="66" t="str">
        <f>IF(E673="","",IFERROR(INDEX(art_des,MATCH($E673,art_ref,0))&amp;"","Article inconnu"))</f>
        <v/>
      </c>
      <c r="G673" s="67" t="str">
        <f>IF(E673="","",IFERROR(INDEX(art_unit,MATCH($E673,art_ref,0))&amp;"",""))</f>
        <v/>
      </c>
      <c r="H673" s="68" t="n"/>
      <c r="I673" s="69" t="n"/>
      <c r="J673" s="70" t="str">
        <f>IF(E673="","",IF(ISNUMBER(I673),I673,IFERROR(IF(ISNUMBER(INDEX(art_price,MATCH($E673,art_ref,0))),INDEX(art_price,MATCH($E673,art_ref,0)),""),"")))</f>
        <v/>
      </c>
      <c r="K673" s="71" t="n"/>
      <c r="L673" s="72" t="n"/>
      <c r="M673" s="72" t="str">
        <f>IF(E673="","",IF(L673&lt;&gt;"",L673,IFERROR(IF(ISNUMBER(INDEX(art_tva,MATCH($E673,art_ref,0))),INDEX(art_tva,MATCH($E673,art_ref,0)),""),"")))</f>
        <v/>
      </c>
      <c r="N673" s="70" t="str">
        <f>IF(OR(E673="",J673=""),"",ROUND(N(H673)*J673*(1-N(K673)),2))</f>
        <v/>
      </c>
      <c r="O673" s="70" t="str">
        <f>IF(OR(N673="",NOT(ISNUMBER(M673))),"",ROUND(N673*M673,2))</f>
        <v/>
      </c>
      <c r="P673" s="70" t="str">
        <f>IF(N673="","",N673+N(O673))</f>
        <v/>
      </c>
      <c r="Q673" s="64" t="n"/>
      <c r="R673" s="73" t="str">
        <f>IF(N(Q673)&gt;0,Q673,IF(OR(N(B673)=0,ISNA(MATCH($C673,sup_code,0))),"",IF(ISNUMBER(INDEX(sup_delay,MATCH($C673,sup_code,0))),B673+INDEX(sup_delay,MATCH($C673,sup_code,0)),"")))</f>
        <v/>
      </c>
      <c r="S673" s="64" t="n"/>
      <c r="T673" s="68" t="n"/>
      <c r="U673" s="64" t="n"/>
      <c r="V673" s="65" t="n"/>
      <c r="W673" s="74" t="str">
        <f>IF(AND(A673="",E673=""),"",IF(V673="Oui",0,MAX(0,ROUND(N(H673)-N(T673),6))))</f>
        <v/>
      </c>
      <c r="X673" s="67" t="str">
        <f>IF(AND(A673="",E673=""),"",IF(V673="Oui","Annulé",IF(AND(N(H673)&gt;0,N(T673)&gt;=N(H673)),"Reçu",IF(N(S673)=0,"Brouillon",IF(AND(ISNUMBER(R673),R673&lt;p_today),"En retard",IF(N(T673)&gt;0,"Partiel","Envoyé"))))))</f>
        <v/>
      </c>
      <c r="Y673" s="75" t="str">
        <f>IF(X673="En retard",p_today-R673,IF(AND(X673="Reçu",ISNUMBER(R673)),MAX(0,N(U673)-R673),""))</f>
        <v/>
      </c>
      <c r="Z673" s="67" t="str">
        <f>IF(AND(A673="",E673=""),"",IF(A673="","N° de bon manquant",IF(N(B673)=0,"Date de commande manquante",IF(C673="","Fournisseur manquant",IF(ISNA(MATCH($C673,sup_code,0)),"Fournisseur inconnu",IF(E673="","Article manquant",IF(ISNA(MATCH($E673,art_ref,0)),"Article inconnu",IF(N(H673)&lt;=0,"Quantité invalide",IF(J673="","Prix manquant",IF(OR(N(K673)&lt;0,N(K673)&gt;=1),"Remise invalide",IF(M673="","TVA manquante",IF(ISNA(MATCH(M673,p_tva,0)),"Taux de TVA inconnu",IF(COUNTIFS(po_num,A673,po_sup,"&lt;&gt;"&amp;C673)&gt;0,"Fournisseur différent sur ce bon",IF(COUNTIFS(po_num,A673,po_date,"&lt;&gt;"&amp;B673)&gt;0,"Date différente sur ce bon",IF(COUNTIF(po_num,A673)&gt;25,"Plus de 25 lignes sur ce bon",IF(R673="","Date de livraison manquante",IF(R673&lt;B673,"Livraison avant la commande",IF(AND(N(T673)&gt;0,N(S673)=0),"Date d'envoi manquante",IF(N(T673)&gt;N(H673),"Reçu plus que commandé",IF(AND(N(T673)&gt;0,N(U673)=0),"Date de réception manquante",IF(AND(N(U673)&gt;0,U673&lt;B673),"Réception avant la commande","OK")))))))))))))))))))))</f>
        <v/>
      </c>
      <c r="AA673" s="66" t="str">
        <f>IF(AND(X673="Reçu",ISNUMBER(R673)),IF(N(U673)&lt;=R673,1,0),"")</f>
        <v/>
      </c>
      <c r="AB673" s="76" t="str">
        <f>IF(OR(X673="Envoyé",X673="Partiel",X673="En retard"),IF(ISNUMBER(R673),R673,100000)+ROW()/100000,"")</f>
        <v/>
      </c>
      <c r="AC673" s="66" t="str">
        <f>IF(A673="","",IF(COUNTIF($A$6:A673,A673)=1,1,""))</f>
        <v/>
      </c>
      <c r="AD673" s="66" t="str">
        <f>IF(AC673=1,COUNT($AC$6:AC673),"")</f>
        <v/>
      </c>
      <c r="AE673" s="66" t="str">
        <f>IFERROR(INDEX(po_num,MATCH(668,po_seq,0))&amp;"","")</f>
        <v/>
      </c>
      <c r="AF673" s="66" t="str">
        <f>IF(OR(A673="",p_po=""),"",IF(A673&amp;""=p_po,COUNTIF($A$6:A673,A673),""))</f>
        <v/>
      </c>
      <c r="AG673" s="66" t="str">
        <f>IF(OR(AB673="",A673=""),"",IF(COUNTIFS($A$6:A673,A673,$AB$6:AB673,"&gt;0")=1,1,""))</f>
        <v/>
      </c>
      <c r="AH673" s="70" t="str">
        <f>IF(AB673="","",ROUND(N(W673)*N(J673)*(1-N(K673)),2))</f>
        <v/>
      </c>
      <c r="AI673" s="70" t="str">
        <f>IF(OR(J673="",N(T673)&lt;=0,V673="Oui"),"",ROUND(N(T673)*J673*(1-N(K673)),2))</f>
        <v/>
      </c>
    </row>
    <row r="674">
      <c r="A674" s="63" t="n"/>
      <c r="B674" s="64" t="n"/>
      <c r="C674" s="65" t="n"/>
      <c r="D674" s="66" t="str">
        <f>IF(C674="","",IFERROR(INDEX(sup_name,MATCH($C674,sup_code,0))&amp;"","Fournisseur inconnu"))</f>
        <v/>
      </c>
      <c r="E674" s="63" t="n"/>
      <c r="F674" s="66" t="str">
        <f>IF(E674="","",IFERROR(INDEX(art_des,MATCH($E674,art_ref,0))&amp;"","Article inconnu"))</f>
        <v/>
      </c>
      <c r="G674" s="67" t="str">
        <f>IF(E674="","",IFERROR(INDEX(art_unit,MATCH($E674,art_ref,0))&amp;"",""))</f>
        <v/>
      </c>
      <c r="H674" s="68" t="n"/>
      <c r="I674" s="69" t="n"/>
      <c r="J674" s="70" t="str">
        <f>IF(E674="","",IF(ISNUMBER(I674),I674,IFERROR(IF(ISNUMBER(INDEX(art_price,MATCH($E674,art_ref,0))),INDEX(art_price,MATCH($E674,art_ref,0)),""),"")))</f>
        <v/>
      </c>
      <c r="K674" s="71" t="n"/>
      <c r="L674" s="72" t="n"/>
      <c r="M674" s="72" t="str">
        <f>IF(E674="","",IF(L674&lt;&gt;"",L674,IFERROR(IF(ISNUMBER(INDEX(art_tva,MATCH($E674,art_ref,0))),INDEX(art_tva,MATCH($E674,art_ref,0)),""),"")))</f>
        <v/>
      </c>
      <c r="N674" s="70" t="str">
        <f>IF(OR(E674="",J674=""),"",ROUND(N(H674)*J674*(1-N(K674)),2))</f>
        <v/>
      </c>
      <c r="O674" s="70" t="str">
        <f>IF(OR(N674="",NOT(ISNUMBER(M674))),"",ROUND(N674*M674,2))</f>
        <v/>
      </c>
      <c r="P674" s="70" t="str">
        <f>IF(N674="","",N674+N(O674))</f>
        <v/>
      </c>
      <c r="Q674" s="64" t="n"/>
      <c r="R674" s="73" t="str">
        <f>IF(N(Q674)&gt;0,Q674,IF(OR(N(B674)=0,ISNA(MATCH($C674,sup_code,0))),"",IF(ISNUMBER(INDEX(sup_delay,MATCH($C674,sup_code,0))),B674+INDEX(sup_delay,MATCH($C674,sup_code,0)),"")))</f>
        <v/>
      </c>
      <c r="S674" s="64" t="n"/>
      <c r="T674" s="68" t="n"/>
      <c r="U674" s="64" t="n"/>
      <c r="V674" s="65" t="n"/>
      <c r="W674" s="74" t="str">
        <f>IF(AND(A674="",E674=""),"",IF(V674="Oui",0,MAX(0,ROUND(N(H674)-N(T674),6))))</f>
        <v/>
      </c>
      <c r="X674" s="67" t="str">
        <f>IF(AND(A674="",E674=""),"",IF(V674="Oui","Annulé",IF(AND(N(H674)&gt;0,N(T674)&gt;=N(H674)),"Reçu",IF(N(S674)=0,"Brouillon",IF(AND(ISNUMBER(R674),R674&lt;p_today),"En retard",IF(N(T674)&gt;0,"Partiel","Envoyé"))))))</f>
        <v/>
      </c>
      <c r="Y674" s="75" t="str">
        <f>IF(X674="En retard",p_today-R674,IF(AND(X674="Reçu",ISNUMBER(R674)),MAX(0,N(U674)-R674),""))</f>
        <v/>
      </c>
      <c r="Z674" s="67" t="str">
        <f>IF(AND(A674="",E674=""),"",IF(A674="","N° de bon manquant",IF(N(B674)=0,"Date de commande manquante",IF(C674="","Fournisseur manquant",IF(ISNA(MATCH($C674,sup_code,0)),"Fournisseur inconnu",IF(E674="","Article manquant",IF(ISNA(MATCH($E674,art_ref,0)),"Article inconnu",IF(N(H674)&lt;=0,"Quantité invalide",IF(J674="","Prix manquant",IF(OR(N(K674)&lt;0,N(K674)&gt;=1),"Remise invalide",IF(M674="","TVA manquante",IF(ISNA(MATCH(M674,p_tva,0)),"Taux de TVA inconnu",IF(COUNTIFS(po_num,A674,po_sup,"&lt;&gt;"&amp;C674)&gt;0,"Fournisseur différent sur ce bon",IF(COUNTIFS(po_num,A674,po_date,"&lt;&gt;"&amp;B674)&gt;0,"Date différente sur ce bon",IF(COUNTIF(po_num,A674)&gt;25,"Plus de 25 lignes sur ce bon",IF(R674="","Date de livraison manquante",IF(R674&lt;B674,"Livraison avant la commande",IF(AND(N(T674)&gt;0,N(S674)=0),"Date d'envoi manquante",IF(N(T674)&gt;N(H674),"Reçu plus que commandé",IF(AND(N(T674)&gt;0,N(U674)=0),"Date de réception manquante",IF(AND(N(U674)&gt;0,U674&lt;B674),"Réception avant la commande","OK")))))))))))))))))))))</f>
        <v/>
      </c>
      <c r="AA674" s="66" t="str">
        <f>IF(AND(X674="Reçu",ISNUMBER(R674)),IF(N(U674)&lt;=R674,1,0),"")</f>
        <v/>
      </c>
      <c r="AB674" s="76" t="str">
        <f>IF(OR(X674="Envoyé",X674="Partiel",X674="En retard"),IF(ISNUMBER(R674),R674,100000)+ROW()/100000,"")</f>
        <v/>
      </c>
      <c r="AC674" s="66" t="str">
        <f>IF(A674="","",IF(COUNTIF($A$6:A674,A674)=1,1,""))</f>
        <v/>
      </c>
      <c r="AD674" s="66" t="str">
        <f>IF(AC674=1,COUNT($AC$6:AC674),"")</f>
        <v/>
      </c>
      <c r="AE674" s="66" t="str">
        <f>IFERROR(INDEX(po_num,MATCH(669,po_seq,0))&amp;"","")</f>
        <v/>
      </c>
      <c r="AF674" s="66" t="str">
        <f>IF(OR(A674="",p_po=""),"",IF(A674&amp;""=p_po,COUNTIF($A$6:A674,A674),""))</f>
        <v/>
      </c>
      <c r="AG674" s="66" t="str">
        <f>IF(OR(AB674="",A674=""),"",IF(COUNTIFS($A$6:A674,A674,$AB$6:AB674,"&gt;0")=1,1,""))</f>
        <v/>
      </c>
      <c r="AH674" s="70" t="str">
        <f>IF(AB674="","",ROUND(N(W674)*N(J674)*(1-N(K674)),2))</f>
        <v/>
      </c>
      <c r="AI674" s="70" t="str">
        <f>IF(OR(J674="",N(T674)&lt;=0,V674="Oui"),"",ROUND(N(T674)*J674*(1-N(K674)),2))</f>
        <v/>
      </c>
    </row>
    <row r="675">
      <c r="A675" s="63" t="n"/>
      <c r="B675" s="64" t="n"/>
      <c r="C675" s="65" t="n"/>
      <c r="D675" s="66" t="str">
        <f>IF(C675="","",IFERROR(INDEX(sup_name,MATCH($C675,sup_code,0))&amp;"","Fournisseur inconnu"))</f>
        <v/>
      </c>
      <c r="E675" s="63" t="n"/>
      <c r="F675" s="66" t="str">
        <f>IF(E675="","",IFERROR(INDEX(art_des,MATCH($E675,art_ref,0))&amp;"","Article inconnu"))</f>
        <v/>
      </c>
      <c r="G675" s="67" t="str">
        <f>IF(E675="","",IFERROR(INDEX(art_unit,MATCH($E675,art_ref,0))&amp;"",""))</f>
        <v/>
      </c>
      <c r="H675" s="68" t="n"/>
      <c r="I675" s="69" t="n"/>
      <c r="J675" s="70" t="str">
        <f>IF(E675="","",IF(ISNUMBER(I675),I675,IFERROR(IF(ISNUMBER(INDEX(art_price,MATCH($E675,art_ref,0))),INDEX(art_price,MATCH($E675,art_ref,0)),""),"")))</f>
        <v/>
      </c>
      <c r="K675" s="71" t="n"/>
      <c r="L675" s="72" t="n"/>
      <c r="M675" s="72" t="str">
        <f>IF(E675="","",IF(L675&lt;&gt;"",L675,IFERROR(IF(ISNUMBER(INDEX(art_tva,MATCH($E675,art_ref,0))),INDEX(art_tva,MATCH($E675,art_ref,0)),""),"")))</f>
        <v/>
      </c>
      <c r="N675" s="70" t="str">
        <f>IF(OR(E675="",J675=""),"",ROUND(N(H675)*J675*(1-N(K675)),2))</f>
        <v/>
      </c>
      <c r="O675" s="70" t="str">
        <f>IF(OR(N675="",NOT(ISNUMBER(M675))),"",ROUND(N675*M675,2))</f>
        <v/>
      </c>
      <c r="P675" s="70" t="str">
        <f>IF(N675="","",N675+N(O675))</f>
        <v/>
      </c>
      <c r="Q675" s="64" t="n"/>
      <c r="R675" s="73" t="str">
        <f>IF(N(Q675)&gt;0,Q675,IF(OR(N(B675)=0,ISNA(MATCH($C675,sup_code,0))),"",IF(ISNUMBER(INDEX(sup_delay,MATCH($C675,sup_code,0))),B675+INDEX(sup_delay,MATCH($C675,sup_code,0)),"")))</f>
        <v/>
      </c>
      <c r="S675" s="64" t="n"/>
      <c r="T675" s="68" t="n"/>
      <c r="U675" s="64" t="n"/>
      <c r="V675" s="65" t="n"/>
      <c r="W675" s="74" t="str">
        <f>IF(AND(A675="",E675=""),"",IF(V675="Oui",0,MAX(0,ROUND(N(H675)-N(T675),6))))</f>
        <v/>
      </c>
      <c r="X675" s="67" t="str">
        <f>IF(AND(A675="",E675=""),"",IF(V675="Oui","Annulé",IF(AND(N(H675)&gt;0,N(T675)&gt;=N(H675)),"Reçu",IF(N(S675)=0,"Brouillon",IF(AND(ISNUMBER(R675),R675&lt;p_today),"En retard",IF(N(T675)&gt;0,"Partiel","Envoyé"))))))</f>
        <v/>
      </c>
      <c r="Y675" s="75" t="str">
        <f>IF(X675="En retard",p_today-R675,IF(AND(X675="Reçu",ISNUMBER(R675)),MAX(0,N(U675)-R675),""))</f>
        <v/>
      </c>
      <c r="Z675" s="67" t="str">
        <f>IF(AND(A675="",E675=""),"",IF(A675="","N° de bon manquant",IF(N(B675)=0,"Date de commande manquante",IF(C675="","Fournisseur manquant",IF(ISNA(MATCH($C675,sup_code,0)),"Fournisseur inconnu",IF(E675="","Article manquant",IF(ISNA(MATCH($E675,art_ref,0)),"Article inconnu",IF(N(H675)&lt;=0,"Quantité invalide",IF(J675="","Prix manquant",IF(OR(N(K675)&lt;0,N(K675)&gt;=1),"Remise invalide",IF(M675="","TVA manquante",IF(ISNA(MATCH(M675,p_tva,0)),"Taux de TVA inconnu",IF(COUNTIFS(po_num,A675,po_sup,"&lt;&gt;"&amp;C675)&gt;0,"Fournisseur différent sur ce bon",IF(COUNTIFS(po_num,A675,po_date,"&lt;&gt;"&amp;B675)&gt;0,"Date différente sur ce bon",IF(COUNTIF(po_num,A675)&gt;25,"Plus de 25 lignes sur ce bon",IF(R675="","Date de livraison manquante",IF(R675&lt;B675,"Livraison avant la commande",IF(AND(N(T675)&gt;0,N(S675)=0),"Date d'envoi manquante",IF(N(T675)&gt;N(H675),"Reçu plus que commandé",IF(AND(N(T675)&gt;0,N(U675)=0),"Date de réception manquante",IF(AND(N(U675)&gt;0,U675&lt;B675),"Réception avant la commande","OK")))))))))))))))))))))</f>
        <v/>
      </c>
      <c r="AA675" s="66" t="str">
        <f>IF(AND(X675="Reçu",ISNUMBER(R675)),IF(N(U675)&lt;=R675,1,0),"")</f>
        <v/>
      </c>
      <c r="AB675" s="76" t="str">
        <f>IF(OR(X675="Envoyé",X675="Partiel",X675="En retard"),IF(ISNUMBER(R675),R675,100000)+ROW()/100000,"")</f>
        <v/>
      </c>
      <c r="AC675" s="66" t="str">
        <f>IF(A675="","",IF(COUNTIF($A$6:A675,A675)=1,1,""))</f>
        <v/>
      </c>
      <c r="AD675" s="66" t="str">
        <f>IF(AC675=1,COUNT($AC$6:AC675),"")</f>
        <v/>
      </c>
      <c r="AE675" s="66" t="str">
        <f>IFERROR(INDEX(po_num,MATCH(670,po_seq,0))&amp;"","")</f>
        <v/>
      </c>
      <c r="AF675" s="66" t="str">
        <f>IF(OR(A675="",p_po=""),"",IF(A675&amp;""=p_po,COUNTIF($A$6:A675,A675),""))</f>
        <v/>
      </c>
      <c r="AG675" s="66" t="str">
        <f>IF(OR(AB675="",A675=""),"",IF(COUNTIFS($A$6:A675,A675,$AB$6:AB675,"&gt;0")=1,1,""))</f>
        <v/>
      </c>
      <c r="AH675" s="70" t="str">
        <f>IF(AB675="","",ROUND(N(W675)*N(J675)*(1-N(K675)),2))</f>
        <v/>
      </c>
      <c r="AI675" s="70" t="str">
        <f>IF(OR(J675="",N(T675)&lt;=0,V675="Oui"),"",ROUND(N(T675)*J675*(1-N(K675)),2))</f>
        <v/>
      </c>
    </row>
    <row r="676">
      <c r="A676" s="63" t="n"/>
      <c r="B676" s="64" t="n"/>
      <c r="C676" s="65" t="n"/>
      <c r="D676" s="66" t="str">
        <f>IF(C676="","",IFERROR(INDEX(sup_name,MATCH($C676,sup_code,0))&amp;"","Fournisseur inconnu"))</f>
        <v/>
      </c>
      <c r="E676" s="63" t="n"/>
      <c r="F676" s="66" t="str">
        <f>IF(E676="","",IFERROR(INDEX(art_des,MATCH($E676,art_ref,0))&amp;"","Article inconnu"))</f>
        <v/>
      </c>
      <c r="G676" s="67" t="str">
        <f>IF(E676="","",IFERROR(INDEX(art_unit,MATCH($E676,art_ref,0))&amp;"",""))</f>
        <v/>
      </c>
      <c r="H676" s="68" t="n"/>
      <c r="I676" s="69" t="n"/>
      <c r="J676" s="70" t="str">
        <f>IF(E676="","",IF(ISNUMBER(I676),I676,IFERROR(IF(ISNUMBER(INDEX(art_price,MATCH($E676,art_ref,0))),INDEX(art_price,MATCH($E676,art_ref,0)),""),"")))</f>
        <v/>
      </c>
      <c r="K676" s="71" t="n"/>
      <c r="L676" s="72" t="n"/>
      <c r="M676" s="72" t="str">
        <f>IF(E676="","",IF(L676&lt;&gt;"",L676,IFERROR(IF(ISNUMBER(INDEX(art_tva,MATCH($E676,art_ref,0))),INDEX(art_tva,MATCH($E676,art_ref,0)),""),"")))</f>
        <v/>
      </c>
      <c r="N676" s="70" t="str">
        <f>IF(OR(E676="",J676=""),"",ROUND(N(H676)*J676*(1-N(K676)),2))</f>
        <v/>
      </c>
      <c r="O676" s="70" t="str">
        <f>IF(OR(N676="",NOT(ISNUMBER(M676))),"",ROUND(N676*M676,2))</f>
        <v/>
      </c>
      <c r="P676" s="70" t="str">
        <f>IF(N676="","",N676+N(O676))</f>
        <v/>
      </c>
      <c r="Q676" s="64" t="n"/>
      <c r="R676" s="73" t="str">
        <f>IF(N(Q676)&gt;0,Q676,IF(OR(N(B676)=0,ISNA(MATCH($C676,sup_code,0))),"",IF(ISNUMBER(INDEX(sup_delay,MATCH($C676,sup_code,0))),B676+INDEX(sup_delay,MATCH($C676,sup_code,0)),"")))</f>
        <v/>
      </c>
      <c r="S676" s="64" t="n"/>
      <c r="T676" s="68" t="n"/>
      <c r="U676" s="64" t="n"/>
      <c r="V676" s="65" t="n"/>
      <c r="W676" s="74" t="str">
        <f>IF(AND(A676="",E676=""),"",IF(V676="Oui",0,MAX(0,ROUND(N(H676)-N(T676),6))))</f>
        <v/>
      </c>
      <c r="X676" s="67" t="str">
        <f>IF(AND(A676="",E676=""),"",IF(V676="Oui","Annulé",IF(AND(N(H676)&gt;0,N(T676)&gt;=N(H676)),"Reçu",IF(N(S676)=0,"Brouillon",IF(AND(ISNUMBER(R676),R676&lt;p_today),"En retard",IF(N(T676)&gt;0,"Partiel","Envoyé"))))))</f>
        <v/>
      </c>
      <c r="Y676" s="75" t="str">
        <f>IF(X676="En retard",p_today-R676,IF(AND(X676="Reçu",ISNUMBER(R676)),MAX(0,N(U676)-R676),""))</f>
        <v/>
      </c>
      <c r="Z676" s="67" t="str">
        <f>IF(AND(A676="",E676=""),"",IF(A676="","N° de bon manquant",IF(N(B676)=0,"Date de commande manquante",IF(C676="","Fournisseur manquant",IF(ISNA(MATCH($C676,sup_code,0)),"Fournisseur inconnu",IF(E676="","Article manquant",IF(ISNA(MATCH($E676,art_ref,0)),"Article inconnu",IF(N(H676)&lt;=0,"Quantité invalide",IF(J676="","Prix manquant",IF(OR(N(K676)&lt;0,N(K676)&gt;=1),"Remise invalide",IF(M676="","TVA manquante",IF(ISNA(MATCH(M676,p_tva,0)),"Taux de TVA inconnu",IF(COUNTIFS(po_num,A676,po_sup,"&lt;&gt;"&amp;C676)&gt;0,"Fournisseur différent sur ce bon",IF(COUNTIFS(po_num,A676,po_date,"&lt;&gt;"&amp;B676)&gt;0,"Date différente sur ce bon",IF(COUNTIF(po_num,A676)&gt;25,"Plus de 25 lignes sur ce bon",IF(R676="","Date de livraison manquante",IF(R676&lt;B676,"Livraison avant la commande",IF(AND(N(T676)&gt;0,N(S676)=0),"Date d'envoi manquante",IF(N(T676)&gt;N(H676),"Reçu plus que commandé",IF(AND(N(T676)&gt;0,N(U676)=0),"Date de réception manquante",IF(AND(N(U676)&gt;0,U676&lt;B676),"Réception avant la commande","OK")))))))))))))))))))))</f>
        <v/>
      </c>
      <c r="AA676" s="66" t="str">
        <f>IF(AND(X676="Reçu",ISNUMBER(R676)),IF(N(U676)&lt;=R676,1,0),"")</f>
        <v/>
      </c>
      <c r="AB676" s="76" t="str">
        <f>IF(OR(X676="Envoyé",X676="Partiel",X676="En retard"),IF(ISNUMBER(R676),R676,100000)+ROW()/100000,"")</f>
        <v/>
      </c>
      <c r="AC676" s="66" t="str">
        <f>IF(A676="","",IF(COUNTIF($A$6:A676,A676)=1,1,""))</f>
        <v/>
      </c>
      <c r="AD676" s="66" t="str">
        <f>IF(AC676=1,COUNT($AC$6:AC676),"")</f>
        <v/>
      </c>
      <c r="AE676" s="66" t="str">
        <f>IFERROR(INDEX(po_num,MATCH(671,po_seq,0))&amp;"","")</f>
        <v/>
      </c>
      <c r="AF676" s="66" t="str">
        <f>IF(OR(A676="",p_po=""),"",IF(A676&amp;""=p_po,COUNTIF($A$6:A676,A676),""))</f>
        <v/>
      </c>
      <c r="AG676" s="66" t="str">
        <f>IF(OR(AB676="",A676=""),"",IF(COUNTIFS($A$6:A676,A676,$AB$6:AB676,"&gt;0")=1,1,""))</f>
        <v/>
      </c>
      <c r="AH676" s="70" t="str">
        <f>IF(AB676="","",ROUND(N(W676)*N(J676)*(1-N(K676)),2))</f>
        <v/>
      </c>
      <c r="AI676" s="70" t="str">
        <f>IF(OR(J676="",N(T676)&lt;=0,V676="Oui"),"",ROUND(N(T676)*J676*(1-N(K676)),2))</f>
        <v/>
      </c>
    </row>
    <row r="677">
      <c r="A677" s="63" t="n"/>
      <c r="B677" s="64" t="n"/>
      <c r="C677" s="65" t="n"/>
      <c r="D677" s="66" t="str">
        <f>IF(C677="","",IFERROR(INDEX(sup_name,MATCH($C677,sup_code,0))&amp;"","Fournisseur inconnu"))</f>
        <v/>
      </c>
      <c r="E677" s="63" t="n"/>
      <c r="F677" s="66" t="str">
        <f>IF(E677="","",IFERROR(INDEX(art_des,MATCH($E677,art_ref,0))&amp;"","Article inconnu"))</f>
        <v/>
      </c>
      <c r="G677" s="67" t="str">
        <f>IF(E677="","",IFERROR(INDEX(art_unit,MATCH($E677,art_ref,0))&amp;"",""))</f>
        <v/>
      </c>
      <c r="H677" s="68" t="n"/>
      <c r="I677" s="69" t="n"/>
      <c r="J677" s="70" t="str">
        <f>IF(E677="","",IF(ISNUMBER(I677),I677,IFERROR(IF(ISNUMBER(INDEX(art_price,MATCH($E677,art_ref,0))),INDEX(art_price,MATCH($E677,art_ref,0)),""),"")))</f>
        <v/>
      </c>
      <c r="K677" s="71" t="n"/>
      <c r="L677" s="72" t="n"/>
      <c r="M677" s="72" t="str">
        <f>IF(E677="","",IF(L677&lt;&gt;"",L677,IFERROR(IF(ISNUMBER(INDEX(art_tva,MATCH($E677,art_ref,0))),INDEX(art_tva,MATCH($E677,art_ref,0)),""),"")))</f>
        <v/>
      </c>
      <c r="N677" s="70" t="str">
        <f>IF(OR(E677="",J677=""),"",ROUND(N(H677)*J677*(1-N(K677)),2))</f>
        <v/>
      </c>
      <c r="O677" s="70" t="str">
        <f>IF(OR(N677="",NOT(ISNUMBER(M677))),"",ROUND(N677*M677,2))</f>
        <v/>
      </c>
      <c r="P677" s="70" t="str">
        <f>IF(N677="","",N677+N(O677))</f>
        <v/>
      </c>
      <c r="Q677" s="64" t="n"/>
      <c r="R677" s="73" t="str">
        <f>IF(N(Q677)&gt;0,Q677,IF(OR(N(B677)=0,ISNA(MATCH($C677,sup_code,0))),"",IF(ISNUMBER(INDEX(sup_delay,MATCH($C677,sup_code,0))),B677+INDEX(sup_delay,MATCH($C677,sup_code,0)),"")))</f>
        <v/>
      </c>
      <c r="S677" s="64" t="n"/>
      <c r="T677" s="68" t="n"/>
      <c r="U677" s="64" t="n"/>
      <c r="V677" s="65" t="n"/>
      <c r="W677" s="74" t="str">
        <f>IF(AND(A677="",E677=""),"",IF(V677="Oui",0,MAX(0,ROUND(N(H677)-N(T677),6))))</f>
        <v/>
      </c>
      <c r="X677" s="67" t="str">
        <f>IF(AND(A677="",E677=""),"",IF(V677="Oui","Annulé",IF(AND(N(H677)&gt;0,N(T677)&gt;=N(H677)),"Reçu",IF(N(S677)=0,"Brouillon",IF(AND(ISNUMBER(R677),R677&lt;p_today),"En retard",IF(N(T677)&gt;0,"Partiel","Envoyé"))))))</f>
        <v/>
      </c>
      <c r="Y677" s="75" t="str">
        <f>IF(X677="En retard",p_today-R677,IF(AND(X677="Reçu",ISNUMBER(R677)),MAX(0,N(U677)-R677),""))</f>
        <v/>
      </c>
      <c r="Z677" s="67" t="str">
        <f>IF(AND(A677="",E677=""),"",IF(A677="","N° de bon manquant",IF(N(B677)=0,"Date de commande manquante",IF(C677="","Fournisseur manquant",IF(ISNA(MATCH($C677,sup_code,0)),"Fournisseur inconnu",IF(E677="","Article manquant",IF(ISNA(MATCH($E677,art_ref,0)),"Article inconnu",IF(N(H677)&lt;=0,"Quantité invalide",IF(J677="","Prix manquant",IF(OR(N(K677)&lt;0,N(K677)&gt;=1),"Remise invalide",IF(M677="","TVA manquante",IF(ISNA(MATCH(M677,p_tva,0)),"Taux de TVA inconnu",IF(COUNTIFS(po_num,A677,po_sup,"&lt;&gt;"&amp;C677)&gt;0,"Fournisseur différent sur ce bon",IF(COUNTIFS(po_num,A677,po_date,"&lt;&gt;"&amp;B677)&gt;0,"Date différente sur ce bon",IF(COUNTIF(po_num,A677)&gt;25,"Plus de 25 lignes sur ce bon",IF(R677="","Date de livraison manquante",IF(R677&lt;B677,"Livraison avant la commande",IF(AND(N(T677)&gt;0,N(S677)=0),"Date d'envoi manquante",IF(N(T677)&gt;N(H677),"Reçu plus que commandé",IF(AND(N(T677)&gt;0,N(U677)=0),"Date de réception manquante",IF(AND(N(U677)&gt;0,U677&lt;B677),"Réception avant la commande","OK")))))))))))))))))))))</f>
        <v/>
      </c>
      <c r="AA677" s="66" t="str">
        <f>IF(AND(X677="Reçu",ISNUMBER(R677)),IF(N(U677)&lt;=R677,1,0),"")</f>
        <v/>
      </c>
      <c r="AB677" s="76" t="str">
        <f>IF(OR(X677="Envoyé",X677="Partiel",X677="En retard"),IF(ISNUMBER(R677),R677,100000)+ROW()/100000,"")</f>
        <v/>
      </c>
      <c r="AC677" s="66" t="str">
        <f>IF(A677="","",IF(COUNTIF($A$6:A677,A677)=1,1,""))</f>
        <v/>
      </c>
      <c r="AD677" s="66" t="str">
        <f>IF(AC677=1,COUNT($AC$6:AC677),"")</f>
        <v/>
      </c>
      <c r="AE677" s="66" t="str">
        <f>IFERROR(INDEX(po_num,MATCH(672,po_seq,0))&amp;"","")</f>
        <v/>
      </c>
      <c r="AF677" s="66" t="str">
        <f>IF(OR(A677="",p_po=""),"",IF(A677&amp;""=p_po,COUNTIF($A$6:A677,A677),""))</f>
        <v/>
      </c>
      <c r="AG677" s="66" t="str">
        <f>IF(OR(AB677="",A677=""),"",IF(COUNTIFS($A$6:A677,A677,$AB$6:AB677,"&gt;0")=1,1,""))</f>
        <v/>
      </c>
      <c r="AH677" s="70" t="str">
        <f>IF(AB677="","",ROUND(N(W677)*N(J677)*(1-N(K677)),2))</f>
        <v/>
      </c>
      <c r="AI677" s="70" t="str">
        <f>IF(OR(J677="",N(T677)&lt;=0,V677="Oui"),"",ROUND(N(T677)*J677*(1-N(K677)),2))</f>
        <v/>
      </c>
    </row>
    <row r="678">
      <c r="A678" s="63" t="n"/>
      <c r="B678" s="64" t="n"/>
      <c r="C678" s="65" t="n"/>
      <c r="D678" s="66" t="str">
        <f>IF(C678="","",IFERROR(INDEX(sup_name,MATCH($C678,sup_code,0))&amp;"","Fournisseur inconnu"))</f>
        <v/>
      </c>
      <c r="E678" s="63" t="n"/>
      <c r="F678" s="66" t="str">
        <f>IF(E678="","",IFERROR(INDEX(art_des,MATCH($E678,art_ref,0))&amp;"","Article inconnu"))</f>
        <v/>
      </c>
      <c r="G678" s="67" t="str">
        <f>IF(E678="","",IFERROR(INDEX(art_unit,MATCH($E678,art_ref,0))&amp;"",""))</f>
        <v/>
      </c>
      <c r="H678" s="68" t="n"/>
      <c r="I678" s="69" t="n"/>
      <c r="J678" s="70" t="str">
        <f>IF(E678="","",IF(ISNUMBER(I678),I678,IFERROR(IF(ISNUMBER(INDEX(art_price,MATCH($E678,art_ref,0))),INDEX(art_price,MATCH($E678,art_ref,0)),""),"")))</f>
        <v/>
      </c>
      <c r="K678" s="71" t="n"/>
      <c r="L678" s="72" t="n"/>
      <c r="M678" s="72" t="str">
        <f>IF(E678="","",IF(L678&lt;&gt;"",L678,IFERROR(IF(ISNUMBER(INDEX(art_tva,MATCH($E678,art_ref,0))),INDEX(art_tva,MATCH($E678,art_ref,0)),""),"")))</f>
        <v/>
      </c>
      <c r="N678" s="70" t="str">
        <f>IF(OR(E678="",J678=""),"",ROUND(N(H678)*J678*(1-N(K678)),2))</f>
        <v/>
      </c>
      <c r="O678" s="70" t="str">
        <f>IF(OR(N678="",NOT(ISNUMBER(M678))),"",ROUND(N678*M678,2))</f>
        <v/>
      </c>
      <c r="P678" s="70" t="str">
        <f>IF(N678="","",N678+N(O678))</f>
        <v/>
      </c>
      <c r="Q678" s="64" t="n"/>
      <c r="R678" s="73" t="str">
        <f>IF(N(Q678)&gt;0,Q678,IF(OR(N(B678)=0,ISNA(MATCH($C678,sup_code,0))),"",IF(ISNUMBER(INDEX(sup_delay,MATCH($C678,sup_code,0))),B678+INDEX(sup_delay,MATCH($C678,sup_code,0)),"")))</f>
        <v/>
      </c>
      <c r="S678" s="64" t="n"/>
      <c r="T678" s="68" t="n"/>
      <c r="U678" s="64" t="n"/>
      <c r="V678" s="65" t="n"/>
      <c r="W678" s="74" t="str">
        <f>IF(AND(A678="",E678=""),"",IF(V678="Oui",0,MAX(0,ROUND(N(H678)-N(T678),6))))</f>
        <v/>
      </c>
      <c r="X678" s="67" t="str">
        <f>IF(AND(A678="",E678=""),"",IF(V678="Oui","Annulé",IF(AND(N(H678)&gt;0,N(T678)&gt;=N(H678)),"Reçu",IF(N(S678)=0,"Brouillon",IF(AND(ISNUMBER(R678),R678&lt;p_today),"En retard",IF(N(T678)&gt;0,"Partiel","Envoyé"))))))</f>
        <v/>
      </c>
      <c r="Y678" s="75" t="str">
        <f>IF(X678="En retard",p_today-R678,IF(AND(X678="Reçu",ISNUMBER(R678)),MAX(0,N(U678)-R678),""))</f>
        <v/>
      </c>
      <c r="Z678" s="67" t="str">
        <f>IF(AND(A678="",E678=""),"",IF(A678="","N° de bon manquant",IF(N(B678)=0,"Date de commande manquante",IF(C678="","Fournisseur manquant",IF(ISNA(MATCH($C678,sup_code,0)),"Fournisseur inconnu",IF(E678="","Article manquant",IF(ISNA(MATCH($E678,art_ref,0)),"Article inconnu",IF(N(H678)&lt;=0,"Quantité invalide",IF(J678="","Prix manquant",IF(OR(N(K678)&lt;0,N(K678)&gt;=1),"Remise invalide",IF(M678="","TVA manquante",IF(ISNA(MATCH(M678,p_tva,0)),"Taux de TVA inconnu",IF(COUNTIFS(po_num,A678,po_sup,"&lt;&gt;"&amp;C678)&gt;0,"Fournisseur différent sur ce bon",IF(COUNTIFS(po_num,A678,po_date,"&lt;&gt;"&amp;B678)&gt;0,"Date différente sur ce bon",IF(COUNTIF(po_num,A678)&gt;25,"Plus de 25 lignes sur ce bon",IF(R678="","Date de livraison manquante",IF(R678&lt;B678,"Livraison avant la commande",IF(AND(N(T678)&gt;0,N(S678)=0),"Date d'envoi manquante",IF(N(T678)&gt;N(H678),"Reçu plus que commandé",IF(AND(N(T678)&gt;0,N(U678)=0),"Date de réception manquante",IF(AND(N(U678)&gt;0,U678&lt;B678),"Réception avant la commande","OK")))))))))))))))))))))</f>
        <v/>
      </c>
      <c r="AA678" s="66" t="str">
        <f>IF(AND(X678="Reçu",ISNUMBER(R678)),IF(N(U678)&lt;=R678,1,0),"")</f>
        <v/>
      </c>
      <c r="AB678" s="76" t="str">
        <f>IF(OR(X678="Envoyé",X678="Partiel",X678="En retard"),IF(ISNUMBER(R678),R678,100000)+ROW()/100000,"")</f>
        <v/>
      </c>
      <c r="AC678" s="66" t="str">
        <f>IF(A678="","",IF(COUNTIF($A$6:A678,A678)=1,1,""))</f>
        <v/>
      </c>
      <c r="AD678" s="66" t="str">
        <f>IF(AC678=1,COUNT($AC$6:AC678),"")</f>
        <v/>
      </c>
      <c r="AE678" s="66" t="str">
        <f>IFERROR(INDEX(po_num,MATCH(673,po_seq,0))&amp;"","")</f>
        <v/>
      </c>
      <c r="AF678" s="66" t="str">
        <f>IF(OR(A678="",p_po=""),"",IF(A678&amp;""=p_po,COUNTIF($A$6:A678,A678),""))</f>
        <v/>
      </c>
      <c r="AG678" s="66" t="str">
        <f>IF(OR(AB678="",A678=""),"",IF(COUNTIFS($A$6:A678,A678,$AB$6:AB678,"&gt;0")=1,1,""))</f>
        <v/>
      </c>
      <c r="AH678" s="70" t="str">
        <f>IF(AB678="","",ROUND(N(W678)*N(J678)*(1-N(K678)),2))</f>
        <v/>
      </c>
      <c r="AI678" s="70" t="str">
        <f>IF(OR(J678="",N(T678)&lt;=0,V678="Oui"),"",ROUND(N(T678)*J678*(1-N(K678)),2))</f>
        <v/>
      </c>
    </row>
    <row r="679">
      <c r="A679" s="63" t="n"/>
      <c r="B679" s="64" t="n"/>
      <c r="C679" s="65" t="n"/>
      <c r="D679" s="66" t="str">
        <f>IF(C679="","",IFERROR(INDEX(sup_name,MATCH($C679,sup_code,0))&amp;"","Fournisseur inconnu"))</f>
        <v/>
      </c>
      <c r="E679" s="63" t="n"/>
      <c r="F679" s="66" t="str">
        <f>IF(E679="","",IFERROR(INDEX(art_des,MATCH($E679,art_ref,0))&amp;"","Article inconnu"))</f>
        <v/>
      </c>
      <c r="G679" s="67" t="str">
        <f>IF(E679="","",IFERROR(INDEX(art_unit,MATCH($E679,art_ref,0))&amp;"",""))</f>
        <v/>
      </c>
      <c r="H679" s="68" t="n"/>
      <c r="I679" s="69" t="n"/>
      <c r="J679" s="70" t="str">
        <f>IF(E679="","",IF(ISNUMBER(I679),I679,IFERROR(IF(ISNUMBER(INDEX(art_price,MATCH($E679,art_ref,0))),INDEX(art_price,MATCH($E679,art_ref,0)),""),"")))</f>
        <v/>
      </c>
      <c r="K679" s="71" t="n"/>
      <c r="L679" s="72" t="n"/>
      <c r="M679" s="72" t="str">
        <f>IF(E679="","",IF(L679&lt;&gt;"",L679,IFERROR(IF(ISNUMBER(INDEX(art_tva,MATCH($E679,art_ref,0))),INDEX(art_tva,MATCH($E679,art_ref,0)),""),"")))</f>
        <v/>
      </c>
      <c r="N679" s="70" t="str">
        <f>IF(OR(E679="",J679=""),"",ROUND(N(H679)*J679*(1-N(K679)),2))</f>
        <v/>
      </c>
      <c r="O679" s="70" t="str">
        <f>IF(OR(N679="",NOT(ISNUMBER(M679))),"",ROUND(N679*M679,2))</f>
        <v/>
      </c>
      <c r="P679" s="70" t="str">
        <f>IF(N679="","",N679+N(O679))</f>
        <v/>
      </c>
      <c r="Q679" s="64" t="n"/>
      <c r="R679" s="73" t="str">
        <f>IF(N(Q679)&gt;0,Q679,IF(OR(N(B679)=0,ISNA(MATCH($C679,sup_code,0))),"",IF(ISNUMBER(INDEX(sup_delay,MATCH($C679,sup_code,0))),B679+INDEX(sup_delay,MATCH($C679,sup_code,0)),"")))</f>
        <v/>
      </c>
      <c r="S679" s="64" t="n"/>
      <c r="T679" s="68" t="n"/>
      <c r="U679" s="64" t="n"/>
      <c r="V679" s="65" t="n"/>
      <c r="W679" s="74" t="str">
        <f>IF(AND(A679="",E679=""),"",IF(V679="Oui",0,MAX(0,ROUND(N(H679)-N(T679),6))))</f>
        <v/>
      </c>
      <c r="X679" s="67" t="str">
        <f>IF(AND(A679="",E679=""),"",IF(V679="Oui","Annulé",IF(AND(N(H679)&gt;0,N(T679)&gt;=N(H679)),"Reçu",IF(N(S679)=0,"Brouillon",IF(AND(ISNUMBER(R679),R679&lt;p_today),"En retard",IF(N(T679)&gt;0,"Partiel","Envoyé"))))))</f>
        <v/>
      </c>
      <c r="Y679" s="75" t="str">
        <f>IF(X679="En retard",p_today-R679,IF(AND(X679="Reçu",ISNUMBER(R679)),MAX(0,N(U679)-R679),""))</f>
        <v/>
      </c>
      <c r="Z679" s="67" t="str">
        <f>IF(AND(A679="",E679=""),"",IF(A679="","N° de bon manquant",IF(N(B679)=0,"Date de commande manquante",IF(C679="","Fournisseur manquant",IF(ISNA(MATCH($C679,sup_code,0)),"Fournisseur inconnu",IF(E679="","Article manquant",IF(ISNA(MATCH($E679,art_ref,0)),"Article inconnu",IF(N(H679)&lt;=0,"Quantité invalide",IF(J679="","Prix manquant",IF(OR(N(K679)&lt;0,N(K679)&gt;=1),"Remise invalide",IF(M679="","TVA manquante",IF(ISNA(MATCH(M679,p_tva,0)),"Taux de TVA inconnu",IF(COUNTIFS(po_num,A679,po_sup,"&lt;&gt;"&amp;C679)&gt;0,"Fournisseur différent sur ce bon",IF(COUNTIFS(po_num,A679,po_date,"&lt;&gt;"&amp;B679)&gt;0,"Date différente sur ce bon",IF(COUNTIF(po_num,A679)&gt;25,"Plus de 25 lignes sur ce bon",IF(R679="","Date de livraison manquante",IF(R679&lt;B679,"Livraison avant la commande",IF(AND(N(T679)&gt;0,N(S679)=0),"Date d'envoi manquante",IF(N(T679)&gt;N(H679),"Reçu plus que commandé",IF(AND(N(T679)&gt;0,N(U679)=0),"Date de réception manquante",IF(AND(N(U679)&gt;0,U679&lt;B679),"Réception avant la commande","OK")))))))))))))))))))))</f>
        <v/>
      </c>
      <c r="AA679" s="66" t="str">
        <f>IF(AND(X679="Reçu",ISNUMBER(R679)),IF(N(U679)&lt;=R679,1,0),"")</f>
        <v/>
      </c>
      <c r="AB679" s="76" t="str">
        <f>IF(OR(X679="Envoyé",X679="Partiel",X679="En retard"),IF(ISNUMBER(R679),R679,100000)+ROW()/100000,"")</f>
        <v/>
      </c>
      <c r="AC679" s="66" t="str">
        <f>IF(A679="","",IF(COUNTIF($A$6:A679,A679)=1,1,""))</f>
        <v/>
      </c>
      <c r="AD679" s="66" t="str">
        <f>IF(AC679=1,COUNT($AC$6:AC679),"")</f>
        <v/>
      </c>
      <c r="AE679" s="66" t="str">
        <f>IFERROR(INDEX(po_num,MATCH(674,po_seq,0))&amp;"","")</f>
        <v/>
      </c>
      <c r="AF679" s="66" t="str">
        <f>IF(OR(A679="",p_po=""),"",IF(A679&amp;""=p_po,COUNTIF($A$6:A679,A679),""))</f>
        <v/>
      </c>
      <c r="AG679" s="66" t="str">
        <f>IF(OR(AB679="",A679=""),"",IF(COUNTIFS($A$6:A679,A679,$AB$6:AB679,"&gt;0")=1,1,""))</f>
        <v/>
      </c>
      <c r="AH679" s="70" t="str">
        <f>IF(AB679="","",ROUND(N(W679)*N(J679)*(1-N(K679)),2))</f>
        <v/>
      </c>
      <c r="AI679" s="70" t="str">
        <f>IF(OR(J679="",N(T679)&lt;=0,V679="Oui"),"",ROUND(N(T679)*J679*(1-N(K679)),2))</f>
        <v/>
      </c>
    </row>
    <row r="680">
      <c r="A680" s="63" t="n"/>
      <c r="B680" s="64" t="n"/>
      <c r="C680" s="65" t="n"/>
      <c r="D680" s="66" t="str">
        <f>IF(C680="","",IFERROR(INDEX(sup_name,MATCH($C680,sup_code,0))&amp;"","Fournisseur inconnu"))</f>
        <v/>
      </c>
      <c r="E680" s="63" t="n"/>
      <c r="F680" s="66" t="str">
        <f>IF(E680="","",IFERROR(INDEX(art_des,MATCH($E680,art_ref,0))&amp;"","Article inconnu"))</f>
        <v/>
      </c>
      <c r="G680" s="67" t="str">
        <f>IF(E680="","",IFERROR(INDEX(art_unit,MATCH($E680,art_ref,0))&amp;"",""))</f>
        <v/>
      </c>
      <c r="H680" s="68" t="n"/>
      <c r="I680" s="69" t="n"/>
      <c r="J680" s="70" t="str">
        <f>IF(E680="","",IF(ISNUMBER(I680),I680,IFERROR(IF(ISNUMBER(INDEX(art_price,MATCH($E680,art_ref,0))),INDEX(art_price,MATCH($E680,art_ref,0)),""),"")))</f>
        <v/>
      </c>
      <c r="K680" s="71" t="n"/>
      <c r="L680" s="72" t="n"/>
      <c r="M680" s="72" t="str">
        <f>IF(E680="","",IF(L680&lt;&gt;"",L680,IFERROR(IF(ISNUMBER(INDEX(art_tva,MATCH($E680,art_ref,0))),INDEX(art_tva,MATCH($E680,art_ref,0)),""),"")))</f>
        <v/>
      </c>
      <c r="N680" s="70" t="str">
        <f>IF(OR(E680="",J680=""),"",ROUND(N(H680)*J680*(1-N(K680)),2))</f>
        <v/>
      </c>
      <c r="O680" s="70" t="str">
        <f>IF(OR(N680="",NOT(ISNUMBER(M680))),"",ROUND(N680*M680,2))</f>
        <v/>
      </c>
      <c r="P680" s="70" t="str">
        <f>IF(N680="","",N680+N(O680))</f>
        <v/>
      </c>
      <c r="Q680" s="64" t="n"/>
      <c r="R680" s="73" t="str">
        <f>IF(N(Q680)&gt;0,Q680,IF(OR(N(B680)=0,ISNA(MATCH($C680,sup_code,0))),"",IF(ISNUMBER(INDEX(sup_delay,MATCH($C680,sup_code,0))),B680+INDEX(sup_delay,MATCH($C680,sup_code,0)),"")))</f>
        <v/>
      </c>
      <c r="S680" s="64" t="n"/>
      <c r="T680" s="68" t="n"/>
      <c r="U680" s="64" t="n"/>
      <c r="V680" s="65" t="n"/>
      <c r="W680" s="74" t="str">
        <f>IF(AND(A680="",E680=""),"",IF(V680="Oui",0,MAX(0,ROUND(N(H680)-N(T680),6))))</f>
        <v/>
      </c>
      <c r="X680" s="67" t="str">
        <f>IF(AND(A680="",E680=""),"",IF(V680="Oui","Annulé",IF(AND(N(H680)&gt;0,N(T680)&gt;=N(H680)),"Reçu",IF(N(S680)=0,"Brouillon",IF(AND(ISNUMBER(R680),R680&lt;p_today),"En retard",IF(N(T680)&gt;0,"Partiel","Envoyé"))))))</f>
        <v/>
      </c>
      <c r="Y680" s="75" t="str">
        <f>IF(X680="En retard",p_today-R680,IF(AND(X680="Reçu",ISNUMBER(R680)),MAX(0,N(U680)-R680),""))</f>
        <v/>
      </c>
      <c r="Z680" s="67" t="str">
        <f>IF(AND(A680="",E680=""),"",IF(A680="","N° de bon manquant",IF(N(B680)=0,"Date de commande manquante",IF(C680="","Fournisseur manquant",IF(ISNA(MATCH($C680,sup_code,0)),"Fournisseur inconnu",IF(E680="","Article manquant",IF(ISNA(MATCH($E680,art_ref,0)),"Article inconnu",IF(N(H680)&lt;=0,"Quantité invalide",IF(J680="","Prix manquant",IF(OR(N(K680)&lt;0,N(K680)&gt;=1),"Remise invalide",IF(M680="","TVA manquante",IF(ISNA(MATCH(M680,p_tva,0)),"Taux de TVA inconnu",IF(COUNTIFS(po_num,A680,po_sup,"&lt;&gt;"&amp;C680)&gt;0,"Fournisseur différent sur ce bon",IF(COUNTIFS(po_num,A680,po_date,"&lt;&gt;"&amp;B680)&gt;0,"Date différente sur ce bon",IF(COUNTIF(po_num,A680)&gt;25,"Plus de 25 lignes sur ce bon",IF(R680="","Date de livraison manquante",IF(R680&lt;B680,"Livraison avant la commande",IF(AND(N(T680)&gt;0,N(S680)=0),"Date d'envoi manquante",IF(N(T680)&gt;N(H680),"Reçu plus que commandé",IF(AND(N(T680)&gt;0,N(U680)=0),"Date de réception manquante",IF(AND(N(U680)&gt;0,U680&lt;B680),"Réception avant la commande","OK")))))))))))))))))))))</f>
        <v/>
      </c>
      <c r="AA680" s="66" t="str">
        <f>IF(AND(X680="Reçu",ISNUMBER(R680)),IF(N(U680)&lt;=R680,1,0),"")</f>
        <v/>
      </c>
      <c r="AB680" s="76" t="str">
        <f>IF(OR(X680="Envoyé",X680="Partiel",X680="En retard"),IF(ISNUMBER(R680),R680,100000)+ROW()/100000,"")</f>
        <v/>
      </c>
      <c r="AC680" s="66" t="str">
        <f>IF(A680="","",IF(COUNTIF($A$6:A680,A680)=1,1,""))</f>
        <v/>
      </c>
      <c r="AD680" s="66" t="str">
        <f>IF(AC680=1,COUNT($AC$6:AC680),"")</f>
        <v/>
      </c>
      <c r="AE680" s="66" t="str">
        <f>IFERROR(INDEX(po_num,MATCH(675,po_seq,0))&amp;"","")</f>
        <v/>
      </c>
      <c r="AF680" s="66" t="str">
        <f>IF(OR(A680="",p_po=""),"",IF(A680&amp;""=p_po,COUNTIF($A$6:A680,A680),""))</f>
        <v/>
      </c>
      <c r="AG680" s="66" t="str">
        <f>IF(OR(AB680="",A680=""),"",IF(COUNTIFS($A$6:A680,A680,$AB$6:AB680,"&gt;0")=1,1,""))</f>
        <v/>
      </c>
      <c r="AH680" s="70" t="str">
        <f>IF(AB680="","",ROUND(N(W680)*N(J680)*(1-N(K680)),2))</f>
        <v/>
      </c>
      <c r="AI680" s="70" t="str">
        <f>IF(OR(J680="",N(T680)&lt;=0,V680="Oui"),"",ROUND(N(T680)*J680*(1-N(K680)),2))</f>
        <v/>
      </c>
    </row>
    <row r="681">
      <c r="A681" s="63" t="n"/>
      <c r="B681" s="64" t="n"/>
      <c r="C681" s="65" t="n"/>
      <c r="D681" s="66" t="str">
        <f>IF(C681="","",IFERROR(INDEX(sup_name,MATCH($C681,sup_code,0))&amp;"","Fournisseur inconnu"))</f>
        <v/>
      </c>
      <c r="E681" s="63" t="n"/>
      <c r="F681" s="66" t="str">
        <f>IF(E681="","",IFERROR(INDEX(art_des,MATCH($E681,art_ref,0))&amp;"","Article inconnu"))</f>
        <v/>
      </c>
      <c r="G681" s="67" t="str">
        <f>IF(E681="","",IFERROR(INDEX(art_unit,MATCH($E681,art_ref,0))&amp;"",""))</f>
        <v/>
      </c>
      <c r="H681" s="68" t="n"/>
      <c r="I681" s="69" t="n"/>
      <c r="J681" s="70" t="str">
        <f>IF(E681="","",IF(ISNUMBER(I681),I681,IFERROR(IF(ISNUMBER(INDEX(art_price,MATCH($E681,art_ref,0))),INDEX(art_price,MATCH($E681,art_ref,0)),""),"")))</f>
        <v/>
      </c>
      <c r="K681" s="71" t="n"/>
      <c r="L681" s="72" t="n"/>
      <c r="M681" s="72" t="str">
        <f>IF(E681="","",IF(L681&lt;&gt;"",L681,IFERROR(IF(ISNUMBER(INDEX(art_tva,MATCH($E681,art_ref,0))),INDEX(art_tva,MATCH($E681,art_ref,0)),""),"")))</f>
        <v/>
      </c>
      <c r="N681" s="70" t="str">
        <f>IF(OR(E681="",J681=""),"",ROUND(N(H681)*J681*(1-N(K681)),2))</f>
        <v/>
      </c>
      <c r="O681" s="70" t="str">
        <f>IF(OR(N681="",NOT(ISNUMBER(M681))),"",ROUND(N681*M681,2))</f>
        <v/>
      </c>
      <c r="P681" s="70" t="str">
        <f>IF(N681="","",N681+N(O681))</f>
        <v/>
      </c>
      <c r="Q681" s="64" t="n"/>
      <c r="R681" s="73" t="str">
        <f>IF(N(Q681)&gt;0,Q681,IF(OR(N(B681)=0,ISNA(MATCH($C681,sup_code,0))),"",IF(ISNUMBER(INDEX(sup_delay,MATCH($C681,sup_code,0))),B681+INDEX(sup_delay,MATCH($C681,sup_code,0)),"")))</f>
        <v/>
      </c>
      <c r="S681" s="64" t="n"/>
      <c r="T681" s="68" t="n"/>
      <c r="U681" s="64" t="n"/>
      <c r="V681" s="65" t="n"/>
      <c r="W681" s="74" t="str">
        <f>IF(AND(A681="",E681=""),"",IF(V681="Oui",0,MAX(0,ROUND(N(H681)-N(T681),6))))</f>
        <v/>
      </c>
      <c r="X681" s="67" t="str">
        <f>IF(AND(A681="",E681=""),"",IF(V681="Oui","Annulé",IF(AND(N(H681)&gt;0,N(T681)&gt;=N(H681)),"Reçu",IF(N(S681)=0,"Brouillon",IF(AND(ISNUMBER(R681),R681&lt;p_today),"En retard",IF(N(T681)&gt;0,"Partiel","Envoyé"))))))</f>
        <v/>
      </c>
      <c r="Y681" s="75" t="str">
        <f>IF(X681="En retard",p_today-R681,IF(AND(X681="Reçu",ISNUMBER(R681)),MAX(0,N(U681)-R681),""))</f>
        <v/>
      </c>
      <c r="Z681" s="67" t="str">
        <f>IF(AND(A681="",E681=""),"",IF(A681="","N° de bon manquant",IF(N(B681)=0,"Date de commande manquante",IF(C681="","Fournisseur manquant",IF(ISNA(MATCH($C681,sup_code,0)),"Fournisseur inconnu",IF(E681="","Article manquant",IF(ISNA(MATCH($E681,art_ref,0)),"Article inconnu",IF(N(H681)&lt;=0,"Quantité invalide",IF(J681="","Prix manquant",IF(OR(N(K681)&lt;0,N(K681)&gt;=1),"Remise invalide",IF(M681="","TVA manquante",IF(ISNA(MATCH(M681,p_tva,0)),"Taux de TVA inconnu",IF(COUNTIFS(po_num,A681,po_sup,"&lt;&gt;"&amp;C681)&gt;0,"Fournisseur différent sur ce bon",IF(COUNTIFS(po_num,A681,po_date,"&lt;&gt;"&amp;B681)&gt;0,"Date différente sur ce bon",IF(COUNTIF(po_num,A681)&gt;25,"Plus de 25 lignes sur ce bon",IF(R681="","Date de livraison manquante",IF(R681&lt;B681,"Livraison avant la commande",IF(AND(N(T681)&gt;0,N(S681)=0),"Date d'envoi manquante",IF(N(T681)&gt;N(H681),"Reçu plus que commandé",IF(AND(N(T681)&gt;0,N(U681)=0),"Date de réception manquante",IF(AND(N(U681)&gt;0,U681&lt;B681),"Réception avant la commande","OK")))))))))))))))))))))</f>
        <v/>
      </c>
      <c r="AA681" s="66" t="str">
        <f>IF(AND(X681="Reçu",ISNUMBER(R681)),IF(N(U681)&lt;=R681,1,0),"")</f>
        <v/>
      </c>
      <c r="AB681" s="76" t="str">
        <f>IF(OR(X681="Envoyé",X681="Partiel",X681="En retard"),IF(ISNUMBER(R681),R681,100000)+ROW()/100000,"")</f>
        <v/>
      </c>
      <c r="AC681" s="66" t="str">
        <f>IF(A681="","",IF(COUNTIF($A$6:A681,A681)=1,1,""))</f>
        <v/>
      </c>
      <c r="AD681" s="66" t="str">
        <f>IF(AC681=1,COUNT($AC$6:AC681),"")</f>
        <v/>
      </c>
      <c r="AE681" s="66" t="str">
        <f>IFERROR(INDEX(po_num,MATCH(676,po_seq,0))&amp;"","")</f>
        <v/>
      </c>
      <c r="AF681" s="66" t="str">
        <f>IF(OR(A681="",p_po=""),"",IF(A681&amp;""=p_po,COUNTIF($A$6:A681,A681),""))</f>
        <v/>
      </c>
      <c r="AG681" s="66" t="str">
        <f>IF(OR(AB681="",A681=""),"",IF(COUNTIFS($A$6:A681,A681,$AB$6:AB681,"&gt;0")=1,1,""))</f>
        <v/>
      </c>
      <c r="AH681" s="70" t="str">
        <f>IF(AB681="","",ROUND(N(W681)*N(J681)*(1-N(K681)),2))</f>
        <v/>
      </c>
      <c r="AI681" s="70" t="str">
        <f>IF(OR(J681="",N(T681)&lt;=0,V681="Oui"),"",ROUND(N(T681)*J681*(1-N(K681)),2))</f>
        <v/>
      </c>
    </row>
    <row r="682">
      <c r="A682" s="63" t="n"/>
      <c r="B682" s="64" t="n"/>
      <c r="C682" s="65" t="n"/>
      <c r="D682" s="66" t="str">
        <f>IF(C682="","",IFERROR(INDEX(sup_name,MATCH($C682,sup_code,0))&amp;"","Fournisseur inconnu"))</f>
        <v/>
      </c>
      <c r="E682" s="63" t="n"/>
      <c r="F682" s="66" t="str">
        <f>IF(E682="","",IFERROR(INDEX(art_des,MATCH($E682,art_ref,0))&amp;"","Article inconnu"))</f>
        <v/>
      </c>
      <c r="G682" s="67" t="str">
        <f>IF(E682="","",IFERROR(INDEX(art_unit,MATCH($E682,art_ref,0))&amp;"",""))</f>
        <v/>
      </c>
      <c r="H682" s="68" t="n"/>
      <c r="I682" s="69" t="n"/>
      <c r="J682" s="70" t="str">
        <f>IF(E682="","",IF(ISNUMBER(I682),I682,IFERROR(IF(ISNUMBER(INDEX(art_price,MATCH($E682,art_ref,0))),INDEX(art_price,MATCH($E682,art_ref,0)),""),"")))</f>
        <v/>
      </c>
      <c r="K682" s="71" t="n"/>
      <c r="L682" s="72" t="n"/>
      <c r="M682" s="72" t="str">
        <f>IF(E682="","",IF(L682&lt;&gt;"",L682,IFERROR(IF(ISNUMBER(INDEX(art_tva,MATCH($E682,art_ref,0))),INDEX(art_tva,MATCH($E682,art_ref,0)),""),"")))</f>
        <v/>
      </c>
      <c r="N682" s="70" t="str">
        <f>IF(OR(E682="",J682=""),"",ROUND(N(H682)*J682*(1-N(K682)),2))</f>
        <v/>
      </c>
      <c r="O682" s="70" t="str">
        <f>IF(OR(N682="",NOT(ISNUMBER(M682))),"",ROUND(N682*M682,2))</f>
        <v/>
      </c>
      <c r="P682" s="70" t="str">
        <f>IF(N682="","",N682+N(O682))</f>
        <v/>
      </c>
      <c r="Q682" s="64" t="n"/>
      <c r="R682" s="73" t="str">
        <f>IF(N(Q682)&gt;0,Q682,IF(OR(N(B682)=0,ISNA(MATCH($C682,sup_code,0))),"",IF(ISNUMBER(INDEX(sup_delay,MATCH($C682,sup_code,0))),B682+INDEX(sup_delay,MATCH($C682,sup_code,0)),"")))</f>
        <v/>
      </c>
      <c r="S682" s="64" t="n"/>
      <c r="T682" s="68" t="n"/>
      <c r="U682" s="64" t="n"/>
      <c r="V682" s="65" t="n"/>
      <c r="W682" s="74" t="str">
        <f>IF(AND(A682="",E682=""),"",IF(V682="Oui",0,MAX(0,ROUND(N(H682)-N(T682),6))))</f>
        <v/>
      </c>
      <c r="X682" s="67" t="str">
        <f>IF(AND(A682="",E682=""),"",IF(V682="Oui","Annulé",IF(AND(N(H682)&gt;0,N(T682)&gt;=N(H682)),"Reçu",IF(N(S682)=0,"Brouillon",IF(AND(ISNUMBER(R682),R682&lt;p_today),"En retard",IF(N(T682)&gt;0,"Partiel","Envoyé"))))))</f>
        <v/>
      </c>
      <c r="Y682" s="75" t="str">
        <f>IF(X682="En retard",p_today-R682,IF(AND(X682="Reçu",ISNUMBER(R682)),MAX(0,N(U682)-R682),""))</f>
        <v/>
      </c>
      <c r="Z682" s="67" t="str">
        <f>IF(AND(A682="",E682=""),"",IF(A682="","N° de bon manquant",IF(N(B682)=0,"Date de commande manquante",IF(C682="","Fournisseur manquant",IF(ISNA(MATCH($C682,sup_code,0)),"Fournisseur inconnu",IF(E682="","Article manquant",IF(ISNA(MATCH($E682,art_ref,0)),"Article inconnu",IF(N(H682)&lt;=0,"Quantité invalide",IF(J682="","Prix manquant",IF(OR(N(K682)&lt;0,N(K682)&gt;=1),"Remise invalide",IF(M682="","TVA manquante",IF(ISNA(MATCH(M682,p_tva,0)),"Taux de TVA inconnu",IF(COUNTIFS(po_num,A682,po_sup,"&lt;&gt;"&amp;C682)&gt;0,"Fournisseur différent sur ce bon",IF(COUNTIFS(po_num,A682,po_date,"&lt;&gt;"&amp;B682)&gt;0,"Date différente sur ce bon",IF(COUNTIF(po_num,A682)&gt;25,"Plus de 25 lignes sur ce bon",IF(R682="","Date de livraison manquante",IF(R682&lt;B682,"Livraison avant la commande",IF(AND(N(T682)&gt;0,N(S682)=0),"Date d'envoi manquante",IF(N(T682)&gt;N(H682),"Reçu plus que commandé",IF(AND(N(T682)&gt;0,N(U682)=0),"Date de réception manquante",IF(AND(N(U682)&gt;0,U682&lt;B682),"Réception avant la commande","OK")))))))))))))))))))))</f>
        <v/>
      </c>
      <c r="AA682" s="66" t="str">
        <f>IF(AND(X682="Reçu",ISNUMBER(R682)),IF(N(U682)&lt;=R682,1,0),"")</f>
        <v/>
      </c>
      <c r="AB682" s="76" t="str">
        <f>IF(OR(X682="Envoyé",X682="Partiel",X682="En retard"),IF(ISNUMBER(R682),R682,100000)+ROW()/100000,"")</f>
        <v/>
      </c>
      <c r="AC682" s="66" t="str">
        <f>IF(A682="","",IF(COUNTIF($A$6:A682,A682)=1,1,""))</f>
        <v/>
      </c>
      <c r="AD682" s="66" t="str">
        <f>IF(AC682=1,COUNT($AC$6:AC682),"")</f>
        <v/>
      </c>
      <c r="AE682" s="66" t="str">
        <f>IFERROR(INDEX(po_num,MATCH(677,po_seq,0))&amp;"","")</f>
        <v/>
      </c>
      <c r="AF682" s="66" t="str">
        <f>IF(OR(A682="",p_po=""),"",IF(A682&amp;""=p_po,COUNTIF($A$6:A682,A682),""))</f>
        <v/>
      </c>
      <c r="AG682" s="66" t="str">
        <f>IF(OR(AB682="",A682=""),"",IF(COUNTIFS($A$6:A682,A682,$AB$6:AB682,"&gt;0")=1,1,""))</f>
        <v/>
      </c>
      <c r="AH682" s="70" t="str">
        <f>IF(AB682="","",ROUND(N(W682)*N(J682)*(1-N(K682)),2))</f>
        <v/>
      </c>
      <c r="AI682" s="70" t="str">
        <f>IF(OR(J682="",N(T682)&lt;=0,V682="Oui"),"",ROUND(N(T682)*J682*(1-N(K682)),2))</f>
        <v/>
      </c>
    </row>
    <row r="683">
      <c r="A683" s="63" t="n"/>
      <c r="B683" s="64" t="n"/>
      <c r="C683" s="65" t="n"/>
      <c r="D683" s="66" t="str">
        <f>IF(C683="","",IFERROR(INDEX(sup_name,MATCH($C683,sup_code,0))&amp;"","Fournisseur inconnu"))</f>
        <v/>
      </c>
      <c r="E683" s="63" t="n"/>
      <c r="F683" s="66" t="str">
        <f>IF(E683="","",IFERROR(INDEX(art_des,MATCH($E683,art_ref,0))&amp;"","Article inconnu"))</f>
        <v/>
      </c>
      <c r="G683" s="67" t="str">
        <f>IF(E683="","",IFERROR(INDEX(art_unit,MATCH($E683,art_ref,0))&amp;"",""))</f>
        <v/>
      </c>
      <c r="H683" s="68" t="n"/>
      <c r="I683" s="69" t="n"/>
      <c r="J683" s="70" t="str">
        <f>IF(E683="","",IF(ISNUMBER(I683),I683,IFERROR(IF(ISNUMBER(INDEX(art_price,MATCH($E683,art_ref,0))),INDEX(art_price,MATCH($E683,art_ref,0)),""),"")))</f>
        <v/>
      </c>
      <c r="K683" s="71" t="n"/>
      <c r="L683" s="72" t="n"/>
      <c r="M683" s="72" t="str">
        <f>IF(E683="","",IF(L683&lt;&gt;"",L683,IFERROR(IF(ISNUMBER(INDEX(art_tva,MATCH($E683,art_ref,0))),INDEX(art_tva,MATCH($E683,art_ref,0)),""),"")))</f>
        <v/>
      </c>
      <c r="N683" s="70" t="str">
        <f>IF(OR(E683="",J683=""),"",ROUND(N(H683)*J683*(1-N(K683)),2))</f>
        <v/>
      </c>
      <c r="O683" s="70" t="str">
        <f>IF(OR(N683="",NOT(ISNUMBER(M683))),"",ROUND(N683*M683,2))</f>
        <v/>
      </c>
      <c r="P683" s="70" t="str">
        <f>IF(N683="","",N683+N(O683))</f>
        <v/>
      </c>
      <c r="Q683" s="64" t="n"/>
      <c r="R683" s="73" t="str">
        <f>IF(N(Q683)&gt;0,Q683,IF(OR(N(B683)=0,ISNA(MATCH($C683,sup_code,0))),"",IF(ISNUMBER(INDEX(sup_delay,MATCH($C683,sup_code,0))),B683+INDEX(sup_delay,MATCH($C683,sup_code,0)),"")))</f>
        <v/>
      </c>
      <c r="S683" s="64" t="n"/>
      <c r="T683" s="68" t="n"/>
      <c r="U683" s="64" t="n"/>
      <c r="V683" s="65" t="n"/>
      <c r="W683" s="74" t="str">
        <f>IF(AND(A683="",E683=""),"",IF(V683="Oui",0,MAX(0,ROUND(N(H683)-N(T683),6))))</f>
        <v/>
      </c>
      <c r="X683" s="67" t="str">
        <f>IF(AND(A683="",E683=""),"",IF(V683="Oui","Annulé",IF(AND(N(H683)&gt;0,N(T683)&gt;=N(H683)),"Reçu",IF(N(S683)=0,"Brouillon",IF(AND(ISNUMBER(R683),R683&lt;p_today),"En retard",IF(N(T683)&gt;0,"Partiel","Envoyé"))))))</f>
        <v/>
      </c>
      <c r="Y683" s="75" t="str">
        <f>IF(X683="En retard",p_today-R683,IF(AND(X683="Reçu",ISNUMBER(R683)),MAX(0,N(U683)-R683),""))</f>
        <v/>
      </c>
      <c r="Z683" s="67" t="str">
        <f>IF(AND(A683="",E683=""),"",IF(A683="","N° de bon manquant",IF(N(B683)=0,"Date de commande manquante",IF(C683="","Fournisseur manquant",IF(ISNA(MATCH($C683,sup_code,0)),"Fournisseur inconnu",IF(E683="","Article manquant",IF(ISNA(MATCH($E683,art_ref,0)),"Article inconnu",IF(N(H683)&lt;=0,"Quantité invalide",IF(J683="","Prix manquant",IF(OR(N(K683)&lt;0,N(K683)&gt;=1),"Remise invalide",IF(M683="","TVA manquante",IF(ISNA(MATCH(M683,p_tva,0)),"Taux de TVA inconnu",IF(COUNTIFS(po_num,A683,po_sup,"&lt;&gt;"&amp;C683)&gt;0,"Fournisseur différent sur ce bon",IF(COUNTIFS(po_num,A683,po_date,"&lt;&gt;"&amp;B683)&gt;0,"Date différente sur ce bon",IF(COUNTIF(po_num,A683)&gt;25,"Plus de 25 lignes sur ce bon",IF(R683="","Date de livraison manquante",IF(R683&lt;B683,"Livraison avant la commande",IF(AND(N(T683)&gt;0,N(S683)=0),"Date d'envoi manquante",IF(N(T683)&gt;N(H683),"Reçu plus que commandé",IF(AND(N(T683)&gt;0,N(U683)=0),"Date de réception manquante",IF(AND(N(U683)&gt;0,U683&lt;B683),"Réception avant la commande","OK")))))))))))))))))))))</f>
        <v/>
      </c>
      <c r="AA683" s="66" t="str">
        <f>IF(AND(X683="Reçu",ISNUMBER(R683)),IF(N(U683)&lt;=R683,1,0),"")</f>
        <v/>
      </c>
      <c r="AB683" s="76" t="str">
        <f>IF(OR(X683="Envoyé",X683="Partiel",X683="En retard"),IF(ISNUMBER(R683),R683,100000)+ROW()/100000,"")</f>
        <v/>
      </c>
      <c r="AC683" s="66" t="str">
        <f>IF(A683="","",IF(COUNTIF($A$6:A683,A683)=1,1,""))</f>
        <v/>
      </c>
      <c r="AD683" s="66" t="str">
        <f>IF(AC683=1,COUNT($AC$6:AC683),"")</f>
        <v/>
      </c>
      <c r="AE683" s="66" t="str">
        <f>IFERROR(INDEX(po_num,MATCH(678,po_seq,0))&amp;"","")</f>
        <v/>
      </c>
      <c r="AF683" s="66" t="str">
        <f>IF(OR(A683="",p_po=""),"",IF(A683&amp;""=p_po,COUNTIF($A$6:A683,A683),""))</f>
        <v/>
      </c>
      <c r="AG683" s="66" t="str">
        <f>IF(OR(AB683="",A683=""),"",IF(COUNTIFS($A$6:A683,A683,$AB$6:AB683,"&gt;0")=1,1,""))</f>
        <v/>
      </c>
      <c r="AH683" s="70" t="str">
        <f>IF(AB683="","",ROUND(N(W683)*N(J683)*(1-N(K683)),2))</f>
        <v/>
      </c>
      <c r="AI683" s="70" t="str">
        <f>IF(OR(J683="",N(T683)&lt;=0,V683="Oui"),"",ROUND(N(T683)*J683*(1-N(K683)),2))</f>
        <v/>
      </c>
    </row>
    <row r="684">
      <c r="A684" s="63" t="n"/>
      <c r="B684" s="64" t="n"/>
      <c r="C684" s="65" t="n"/>
      <c r="D684" s="66" t="str">
        <f>IF(C684="","",IFERROR(INDEX(sup_name,MATCH($C684,sup_code,0))&amp;"","Fournisseur inconnu"))</f>
        <v/>
      </c>
      <c r="E684" s="63" t="n"/>
      <c r="F684" s="66" t="str">
        <f>IF(E684="","",IFERROR(INDEX(art_des,MATCH($E684,art_ref,0))&amp;"","Article inconnu"))</f>
        <v/>
      </c>
      <c r="G684" s="67" t="str">
        <f>IF(E684="","",IFERROR(INDEX(art_unit,MATCH($E684,art_ref,0))&amp;"",""))</f>
        <v/>
      </c>
      <c r="H684" s="68" t="n"/>
      <c r="I684" s="69" t="n"/>
      <c r="J684" s="70" t="str">
        <f>IF(E684="","",IF(ISNUMBER(I684),I684,IFERROR(IF(ISNUMBER(INDEX(art_price,MATCH($E684,art_ref,0))),INDEX(art_price,MATCH($E684,art_ref,0)),""),"")))</f>
        <v/>
      </c>
      <c r="K684" s="71" t="n"/>
      <c r="L684" s="72" t="n"/>
      <c r="M684" s="72" t="str">
        <f>IF(E684="","",IF(L684&lt;&gt;"",L684,IFERROR(IF(ISNUMBER(INDEX(art_tva,MATCH($E684,art_ref,0))),INDEX(art_tva,MATCH($E684,art_ref,0)),""),"")))</f>
        <v/>
      </c>
      <c r="N684" s="70" t="str">
        <f>IF(OR(E684="",J684=""),"",ROUND(N(H684)*J684*(1-N(K684)),2))</f>
        <v/>
      </c>
      <c r="O684" s="70" t="str">
        <f>IF(OR(N684="",NOT(ISNUMBER(M684))),"",ROUND(N684*M684,2))</f>
        <v/>
      </c>
      <c r="P684" s="70" t="str">
        <f>IF(N684="","",N684+N(O684))</f>
        <v/>
      </c>
      <c r="Q684" s="64" t="n"/>
      <c r="R684" s="73" t="str">
        <f>IF(N(Q684)&gt;0,Q684,IF(OR(N(B684)=0,ISNA(MATCH($C684,sup_code,0))),"",IF(ISNUMBER(INDEX(sup_delay,MATCH($C684,sup_code,0))),B684+INDEX(sup_delay,MATCH($C684,sup_code,0)),"")))</f>
        <v/>
      </c>
      <c r="S684" s="64" t="n"/>
      <c r="T684" s="68" t="n"/>
      <c r="U684" s="64" t="n"/>
      <c r="V684" s="65" t="n"/>
      <c r="W684" s="74" t="str">
        <f>IF(AND(A684="",E684=""),"",IF(V684="Oui",0,MAX(0,ROUND(N(H684)-N(T684),6))))</f>
        <v/>
      </c>
      <c r="X684" s="67" t="str">
        <f>IF(AND(A684="",E684=""),"",IF(V684="Oui","Annulé",IF(AND(N(H684)&gt;0,N(T684)&gt;=N(H684)),"Reçu",IF(N(S684)=0,"Brouillon",IF(AND(ISNUMBER(R684),R684&lt;p_today),"En retard",IF(N(T684)&gt;0,"Partiel","Envoyé"))))))</f>
        <v/>
      </c>
      <c r="Y684" s="75" t="str">
        <f>IF(X684="En retard",p_today-R684,IF(AND(X684="Reçu",ISNUMBER(R684)),MAX(0,N(U684)-R684),""))</f>
        <v/>
      </c>
      <c r="Z684" s="67" t="str">
        <f>IF(AND(A684="",E684=""),"",IF(A684="","N° de bon manquant",IF(N(B684)=0,"Date de commande manquante",IF(C684="","Fournisseur manquant",IF(ISNA(MATCH($C684,sup_code,0)),"Fournisseur inconnu",IF(E684="","Article manquant",IF(ISNA(MATCH($E684,art_ref,0)),"Article inconnu",IF(N(H684)&lt;=0,"Quantité invalide",IF(J684="","Prix manquant",IF(OR(N(K684)&lt;0,N(K684)&gt;=1),"Remise invalide",IF(M684="","TVA manquante",IF(ISNA(MATCH(M684,p_tva,0)),"Taux de TVA inconnu",IF(COUNTIFS(po_num,A684,po_sup,"&lt;&gt;"&amp;C684)&gt;0,"Fournisseur différent sur ce bon",IF(COUNTIFS(po_num,A684,po_date,"&lt;&gt;"&amp;B684)&gt;0,"Date différente sur ce bon",IF(COUNTIF(po_num,A684)&gt;25,"Plus de 25 lignes sur ce bon",IF(R684="","Date de livraison manquante",IF(R684&lt;B684,"Livraison avant la commande",IF(AND(N(T684)&gt;0,N(S684)=0),"Date d'envoi manquante",IF(N(T684)&gt;N(H684),"Reçu plus que commandé",IF(AND(N(T684)&gt;0,N(U684)=0),"Date de réception manquante",IF(AND(N(U684)&gt;0,U684&lt;B684),"Réception avant la commande","OK")))))))))))))))))))))</f>
        <v/>
      </c>
      <c r="AA684" s="66" t="str">
        <f>IF(AND(X684="Reçu",ISNUMBER(R684)),IF(N(U684)&lt;=R684,1,0),"")</f>
        <v/>
      </c>
      <c r="AB684" s="76" t="str">
        <f>IF(OR(X684="Envoyé",X684="Partiel",X684="En retard"),IF(ISNUMBER(R684),R684,100000)+ROW()/100000,"")</f>
        <v/>
      </c>
      <c r="AC684" s="66" t="str">
        <f>IF(A684="","",IF(COUNTIF($A$6:A684,A684)=1,1,""))</f>
        <v/>
      </c>
      <c r="AD684" s="66" t="str">
        <f>IF(AC684=1,COUNT($AC$6:AC684),"")</f>
        <v/>
      </c>
      <c r="AE684" s="66" t="str">
        <f>IFERROR(INDEX(po_num,MATCH(679,po_seq,0))&amp;"","")</f>
        <v/>
      </c>
      <c r="AF684" s="66" t="str">
        <f>IF(OR(A684="",p_po=""),"",IF(A684&amp;""=p_po,COUNTIF($A$6:A684,A684),""))</f>
        <v/>
      </c>
      <c r="AG684" s="66" t="str">
        <f>IF(OR(AB684="",A684=""),"",IF(COUNTIFS($A$6:A684,A684,$AB$6:AB684,"&gt;0")=1,1,""))</f>
        <v/>
      </c>
      <c r="AH684" s="70" t="str">
        <f>IF(AB684="","",ROUND(N(W684)*N(J684)*(1-N(K684)),2))</f>
        <v/>
      </c>
      <c r="AI684" s="70" t="str">
        <f>IF(OR(J684="",N(T684)&lt;=0,V684="Oui"),"",ROUND(N(T684)*J684*(1-N(K684)),2))</f>
        <v/>
      </c>
    </row>
    <row r="685">
      <c r="A685" s="63" t="n"/>
      <c r="B685" s="64" t="n"/>
      <c r="C685" s="65" t="n"/>
      <c r="D685" s="66" t="str">
        <f>IF(C685="","",IFERROR(INDEX(sup_name,MATCH($C685,sup_code,0))&amp;"","Fournisseur inconnu"))</f>
        <v/>
      </c>
      <c r="E685" s="63" t="n"/>
      <c r="F685" s="66" t="str">
        <f>IF(E685="","",IFERROR(INDEX(art_des,MATCH($E685,art_ref,0))&amp;"","Article inconnu"))</f>
        <v/>
      </c>
      <c r="G685" s="67" t="str">
        <f>IF(E685="","",IFERROR(INDEX(art_unit,MATCH($E685,art_ref,0))&amp;"",""))</f>
        <v/>
      </c>
      <c r="H685" s="68" t="n"/>
      <c r="I685" s="69" t="n"/>
      <c r="J685" s="70" t="str">
        <f>IF(E685="","",IF(ISNUMBER(I685),I685,IFERROR(IF(ISNUMBER(INDEX(art_price,MATCH($E685,art_ref,0))),INDEX(art_price,MATCH($E685,art_ref,0)),""),"")))</f>
        <v/>
      </c>
      <c r="K685" s="71" t="n"/>
      <c r="L685" s="72" t="n"/>
      <c r="M685" s="72" t="str">
        <f>IF(E685="","",IF(L685&lt;&gt;"",L685,IFERROR(IF(ISNUMBER(INDEX(art_tva,MATCH($E685,art_ref,0))),INDEX(art_tva,MATCH($E685,art_ref,0)),""),"")))</f>
        <v/>
      </c>
      <c r="N685" s="70" t="str">
        <f>IF(OR(E685="",J685=""),"",ROUND(N(H685)*J685*(1-N(K685)),2))</f>
        <v/>
      </c>
      <c r="O685" s="70" t="str">
        <f>IF(OR(N685="",NOT(ISNUMBER(M685))),"",ROUND(N685*M685,2))</f>
        <v/>
      </c>
      <c r="P685" s="70" t="str">
        <f>IF(N685="","",N685+N(O685))</f>
        <v/>
      </c>
      <c r="Q685" s="64" t="n"/>
      <c r="R685" s="73" t="str">
        <f>IF(N(Q685)&gt;0,Q685,IF(OR(N(B685)=0,ISNA(MATCH($C685,sup_code,0))),"",IF(ISNUMBER(INDEX(sup_delay,MATCH($C685,sup_code,0))),B685+INDEX(sup_delay,MATCH($C685,sup_code,0)),"")))</f>
        <v/>
      </c>
      <c r="S685" s="64" t="n"/>
      <c r="T685" s="68" t="n"/>
      <c r="U685" s="64" t="n"/>
      <c r="V685" s="65" t="n"/>
      <c r="W685" s="74" t="str">
        <f>IF(AND(A685="",E685=""),"",IF(V685="Oui",0,MAX(0,ROUND(N(H685)-N(T685),6))))</f>
        <v/>
      </c>
      <c r="X685" s="67" t="str">
        <f>IF(AND(A685="",E685=""),"",IF(V685="Oui","Annulé",IF(AND(N(H685)&gt;0,N(T685)&gt;=N(H685)),"Reçu",IF(N(S685)=0,"Brouillon",IF(AND(ISNUMBER(R685),R685&lt;p_today),"En retard",IF(N(T685)&gt;0,"Partiel","Envoyé"))))))</f>
        <v/>
      </c>
      <c r="Y685" s="75" t="str">
        <f>IF(X685="En retard",p_today-R685,IF(AND(X685="Reçu",ISNUMBER(R685)),MAX(0,N(U685)-R685),""))</f>
        <v/>
      </c>
      <c r="Z685" s="67" t="str">
        <f>IF(AND(A685="",E685=""),"",IF(A685="","N° de bon manquant",IF(N(B685)=0,"Date de commande manquante",IF(C685="","Fournisseur manquant",IF(ISNA(MATCH($C685,sup_code,0)),"Fournisseur inconnu",IF(E685="","Article manquant",IF(ISNA(MATCH($E685,art_ref,0)),"Article inconnu",IF(N(H685)&lt;=0,"Quantité invalide",IF(J685="","Prix manquant",IF(OR(N(K685)&lt;0,N(K685)&gt;=1),"Remise invalide",IF(M685="","TVA manquante",IF(ISNA(MATCH(M685,p_tva,0)),"Taux de TVA inconnu",IF(COUNTIFS(po_num,A685,po_sup,"&lt;&gt;"&amp;C685)&gt;0,"Fournisseur différent sur ce bon",IF(COUNTIFS(po_num,A685,po_date,"&lt;&gt;"&amp;B685)&gt;0,"Date différente sur ce bon",IF(COUNTIF(po_num,A685)&gt;25,"Plus de 25 lignes sur ce bon",IF(R685="","Date de livraison manquante",IF(R685&lt;B685,"Livraison avant la commande",IF(AND(N(T685)&gt;0,N(S685)=0),"Date d'envoi manquante",IF(N(T685)&gt;N(H685),"Reçu plus que commandé",IF(AND(N(T685)&gt;0,N(U685)=0),"Date de réception manquante",IF(AND(N(U685)&gt;0,U685&lt;B685),"Réception avant la commande","OK")))))))))))))))))))))</f>
        <v/>
      </c>
      <c r="AA685" s="66" t="str">
        <f>IF(AND(X685="Reçu",ISNUMBER(R685)),IF(N(U685)&lt;=R685,1,0),"")</f>
        <v/>
      </c>
      <c r="AB685" s="76" t="str">
        <f>IF(OR(X685="Envoyé",X685="Partiel",X685="En retard"),IF(ISNUMBER(R685),R685,100000)+ROW()/100000,"")</f>
        <v/>
      </c>
      <c r="AC685" s="66" t="str">
        <f>IF(A685="","",IF(COUNTIF($A$6:A685,A685)=1,1,""))</f>
        <v/>
      </c>
      <c r="AD685" s="66" t="str">
        <f>IF(AC685=1,COUNT($AC$6:AC685),"")</f>
        <v/>
      </c>
      <c r="AE685" s="66" t="str">
        <f>IFERROR(INDEX(po_num,MATCH(680,po_seq,0))&amp;"","")</f>
        <v/>
      </c>
      <c r="AF685" s="66" t="str">
        <f>IF(OR(A685="",p_po=""),"",IF(A685&amp;""=p_po,COUNTIF($A$6:A685,A685),""))</f>
        <v/>
      </c>
      <c r="AG685" s="66" t="str">
        <f>IF(OR(AB685="",A685=""),"",IF(COUNTIFS($A$6:A685,A685,$AB$6:AB685,"&gt;0")=1,1,""))</f>
        <v/>
      </c>
      <c r="AH685" s="70" t="str">
        <f>IF(AB685="","",ROUND(N(W685)*N(J685)*(1-N(K685)),2))</f>
        <v/>
      </c>
      <c r="AI685" s="70" t="str">
        <f>IF(OR(J685="",N(T685)&lt;=0,V685="Oui"),"",ROUND(N(T685)*J685*(1-N(K685)),2))</f>
        <v/>
      </c>
    </row>
    <row r="686">
      <c r="A686" s="63" t="n"/>
      <c r="B686" s="64" t="n"/>
      <c r="C686" s="65" t="n"/>
      <c r="D686" s="66" t="str">
        <f>IF(C686="","",IFERROR(INDEX(sup_name,MATCH($C686,sup_code,0))&amp;"","Fournisseur inconnu"))</f>
        <v/>
      </c>
      <c r="E686" s="63" t="n"/>
      <c r="F686" s="66" t="str">
        <f>IF(E686="","",IFERROR(INDEX(art_des,MATCH($E686,art_ref,0))&amp;"","Article inconnu"))</f>
        <v/>
      </c>
      <c r="G686" s="67" t="str">
        <f>IF(E686="","",IFERROR(INDEX(art_unit,MATCH($E686,art_ref,0))&amp;"",""))</f>
        <v/>
      </c>
      <c r="H686" s="68" t="n"/>
      <c r="I686" s="69" t="n"/>
      <c r="J686" s="70" t="str">
        <f>IF(E686="","",IF(ISNUMBER(I686),I686,IFERROR(IF(ISNUMBER(INDEX(art_price,MATCH($E686,art_ref,0))),INDEX(art_price,MATCH($E686,art_ref,0)),""),"")))</f>
        <v/>
      </c>
      <c r="K686" s="71" t="n"/>
      <c r="L686" s="72" t="n"/>
      <c r="M686" s="72" t="str">
        <f>IF(E686="","",IF(L686&lt;&gt;"",L686,IFERROR(IF(ISNUMBER(INDEX(art_tva,MATCH($E686,art_ref,0))),INDEX(art_tva,MATCH($E686,art_ref,0)),""),"")))</f>
        <v/>
      </c>
      <c r="N686" s="70" t="str">
        <f>IF(OR(E686="",J686=""),"",ROUND(N(H686)*J686*(1-N(K686)),2))</f>
        <v/>
      </c>
      <c r="O686" s="70" t="str">
        <f>IF(OR(N686="",NOT(ISNUMBER(M686))),"",ROUND(N686*M686,2))</f>
        <v/>
      </c>
      <c r="P686" s="70" t="str">
        <f>IF(N686="","",N686+N(O686))</f>
        <v/>
      </c>
      <c r="Q686" s="64" t="n"/>
      <c r="R686" s="73" t="str">
        <f>IF(N(Q686)&gt;0,Q686,IF(OR(N(B686)=0,ISNA(MATCH($C686,sup_code,0))),"",IF(ISNUMBER(INDEX(sup_delay,MATCH($C686,sup_code,0))),B686+INDEX(sup_delay,MATCH($C686,sup_code,0)),"")))</f>
        <v/>
      </c>
      <c r="S686" s="64" t="n"/>
      <c r="T686" s="68" t="n"/>
      <c r="U686" s="64" t="n"/>
      <c r="V686" s="65" t="n"/>
      <c r="W686" s="74" t="str">
        <f>IF(AND(A686="",E686=""),"",IF(V686="Oui",0,MAX(0,ROUND(N(H686)-N(T686),6))))</f>
        <v/>
      </c>
      <c r="X686" s="67" t="str">
        <f>IF(AND(A686="",E686=""),"",IF(V686="Oui","Annulé",IF(AND(N(H686)&gt;0,N(T686)&gt;=N(H686)),"Reçu",IF(N(S686)=0,"Brouillon",IF(AND(ISNUMBER(R686),R686&lt;p_today),"En retard",IF(N(T686)&gt;0,"Partiel","Envoyé"))))))</f>
        <v/>
      </c>
      <c r="Y686" s="75" t="str">
        <f>IF(X686="En retard",p_today-R686,IF(AND(X686="Reçu",ISNUMBER(R686)),MAX(0,N(U686)-R686),""))</f>
        <v/>
      </c>
      <c r="Z686" s="67" t="str">
        <f>IF(AND(A686="",E686=""),"",IF(A686="","N° de bon manquant",IF(N(B686)=0,"Date de commande manquante",IF(C686="","Fournisseur manquant",IF(ISNA(MATCH($C686,sup_code,0)),"Fournisseur inconnu",IF(E686="","Article manquant",IF(ISNA(MATCH($E686,art_ref,0)),"Article inconnu",IF(N(H686)&lt;=0,"Quantité invalide",IF(J686="","Prix manquant",IF(OR(N(K686)&lt;0,N(K686)&gt;=1),"Remise invalide",IF(M686="","TVA manquante",IF(ISNA(MATCH(M686,p_tva,0)),"Taux de TVA inconnu",IF(COUNTIFS(po_num,A686,po_sup,"&lt;&gt;"&amp;C686)&gt;0,"Fournisseur différent sur ce bon",IF(COUNTIFS(po_num,A686,po_date,"&lt;&gt;"&amp;B686)&gt;0,"Date différente sur ce bon",IF(COUNTIF(po_num,A686)&gt;25,"Plus de 25 lignes sur ce bon",IF(R686="","Date de livraison manquante",IF(R686&lt;B686,"Livraison avant la commande",IF(AND(N(T686)&gt;0,N(S686)=0),"Date d'envoi manquante",IF(N(T686)&gt;N(H686),"Reçu plus que commandé",IF(AND(N(T686)&gt;0,N(U686)=0),"Date de réception manquante",IF(AND(N(U686)&gt;0,U686&lt;B686),"Réception avant la commande","OK")))))))))))))))))))))</f>
        <v/>
      </c>
      <c r="AA686" s="66" t="str">
        <f>IF(AND(X686="Reçu",ISNUMBER(R686)),IF(N(U686)&lt;=R686,1,0),"")</f>
        <v/>
      </c>
      <c r="AB686" s="76" t="str">
        <f>IF(OR(X686="Envoyé",X686="Partiel",X686="En retard"),IF(ISNUMBER(R686),R686,100000)+ROW()/100000,"")</f>
        <v/>
      </c>
      <c r="AC686" s="66" t="str">
        <f>IF(A686="","",IF(COUNTIF($A$6:A686,A686)=1,1,""))</f>
        <v/>
      </c>
      <c r="AD686" s="66" t="str">
        <f>IF(AC686=1,COUNT($AC$6:AC686),"")</f>
        <v/>
      </c>
      <c r="AE686" s="66" t="str">
        <f>IFERROR(INDEX(po_num,MATCH(681,po_seq,0))&amp;"","")</f>
        <v/>
      </c>
      <c r="AF686" s="66" t="str">
        <f>IF(OR(A686="",p_po=""),"",IF(A686&amp;""=p_po,COUNTIF($A$6:A686,A686),""))</f>
        <v/>
      </c>
      <c r="AG686" s="66" t="str">
        <f>IF(OR(AB686="",A686=""),"",IF(COUNTIFS($A$6:A686,A686,$AB$6:AB686,"&gt;0")=1,1,""))</f>
        <v/>
      </c>
      <c r="AH686" s="70" t="str">
        <f>IF(AB686="","",ROUND(N(W686)*N(J686)*(1-N(K686)),2))</f>
        <v/>
      </c>
      <c r="AI686" s="70" t="str">
        <f>IF(OR(J686="",N(T686)&lt;=0,V686="Oui"),"",ROUND(N(T686)*J686*(1-N(K686)),2))</f>
        <v/>
      </c>
    </row>
    <row r="687">
      <c r="A687" s="63" t="n"/>
      <c r="B687" s="64" t="n"/>
      <c r="C687" s="65" t="n"/>
      <c r="D687" s="66" t="str">
        <f>IF(C687="","",IFERROR(INDEX(sup_name,MATCH($C687,sup_code,0))&amp;"","Fournisseur inconnu"))</f>
        <v/>
      </c>
      <c r="E687" s="63" t="n"/>
      <c r="F687" s="66" t="str">
        <f>IF(E687="","",IFERROR(INDEX(art_des,MATCH($E687,art_ref,0))&amp;"","Article inconnu"))</f>
        <v/>
      </c>
      <c r="G687" s="67" t="str">
        <f>IF(E687="","",IFERROR(INDEX(art_unit,MATCH($E687,art_ref,0))&amp;"",""))</f>
        <v/>
      </c>
      <c r="H687" s="68" t="n"/>
      <c r="I687" s="69" t="n"/>
      <c r="J687" s="70" t="str">
        <f>IF(E687="","",IF(ISNUMBER(I687),I687,IFERROR(IF(ISNUMBER(INDEX(art_price,MATCH($E687,art_ref,0))),INDEX(art_price,MATCH($E687,art_ref,0)),""),"")))</f>
        <v/>
      </c>
      <c r="K687" s="71" t="n"/>
      <c r="L687" s="72" t="n"/>
      <c r="M687" s="72" t="str">
        <f>IF(E687="","",IF(L687&lt;&gt;"",L687,IFERROR(IF(ISNUMBER(INDEX(art_tva,MATCH($E687,art_ref,0))),INDEX(art_tva,MATCH($E687,art_ref,0)),""),"")))</f>
        <v/>
      </c>
      <c r="N687" s="70" t="str">
        <f>IF(OR(E687="",J687=""),"",ROUND(N(H687)*J687*(1-N(K687)),2))</f>
        <v/>
      </c>
      <c r="O687" s="70" t="str">
        <f>IF(OR(N687="",NOT(ISNUMBER(M687))),"",ROUND(N687*M687,2))</f>
        <v/>
      </c>
      <c r="P687" s="70" t="str">
        <f>IF(N687="","",N687+N(O687))</f>
        <v/>
      </c>
      <c r="Q687" s="64" t="n"/>
      <c r="R687" s="73" t="str">
        <f>IF(N(Q687)&gt;0,Q687,IF(OR(N(B687)=0,ISNA(MATCH($C687,sup_code,0))),"",IF(ISNUMBER(INDEX(sup_delay,MATCH($C687,sup_code,0))),B687+INDEX(sup_delay,MATCH($C687,sup_code,0)),"")))</f>
        <v/>
      </c>
      <c r="S687" s="64" t="n"/>
      <c r="T687" s="68" t="n"/>
      <c r="U687" s="64" t="n"/>
      <c r="V687" s="65" t="n"/>
      <c r="W687" s="74" t="str">
        <f>IF(AND(A687="",E687=""),"",IF(V687="Oui",0,MAX(0,ROUND(N(H687)-N(T687),6))))</f>
        <v/>
      </c>
      <c r="X687" s="67" t="str">
        <f>IF(AND(A687="",E687=""),"",IF(V687="Oui","Annulé",IF(AND(N(H687)&gt;0,N(T687)&gt;=N(H687)),"Reçu",IF(N(S687)=0,"Brouillon",IF(AND(ISNUMBER(R687),R687&lt;p_today),"En retard",IF(N(T687)&gt;0,"Partiel","Envoyé"))))))</f>
        <v/>
      </c>
      <c r="Y687" s="75" t="str">
        <f>IF(X687="En retard",p_today-R687,IF(AND(X687="Reçu",ISNUMBER(R687)),MAX(0,N(U687)-R687),""))</f>
        <v/>
      </c>
      <c r="Z687" s="67" t="str">
        <f>IF(AND(A687="",E687=""),"",IF(A687="","N° de bon manquant",IF(N(B687)=0,"Date de commande manquante",IF(C687="","Fournisseur manquant",IF(ISNA(MATCH($C687,sup_code,0)),"Fournisseur inconnu",IF(E687="","Article manquant",IF(ISNA(MATCH($E687,art_ref,0)),"Article inconnu",IF(N(H687)&lt;=0,"Quantité invalide",IF(J687="","Prix manquant",IF(OR(N(K687)&lt;0,N(K687)&gt;=1),"Remise invalide",IF(M687="","TVA manquante",IF(ISNA(MATCH(M687,p_tva,0)),"Taux de TVA inconnu",IF(COUNTIFS(po_num,A687,po_sup,"&lt;&gt;"&amp;C687)&gt;0,"Fournisseur différent sur ce bon",IF(COUNTIFS(po_num,A687,po_date,"&lt;&gt;"&amp;B687)&gt;0,"Date différente sur ce bon",IF(COUNTIF(po_num,A687)&gt;25,"Plus de 25 lignes sur ce bon",IF(R687="","Date de livraison manquante",IF(R687&lt;B687,"Livraison avant la commande",IF(AND(N(T687)&gt;0,N(S687)=0),"Date d'envoi manquante",IF(N(T687)&gt;N(H687),"Reçu plus que commandé",IF(AND(N(T687)&gt;0,N(U687)=0),"Date de réception manquante",IF(AND(N(U687)&gt;0,U687&lt;B687),"Réception avant la commande","OK")))))))))))))))))))))</f>
        <v/>
      </c>
      <c r="AA687" s="66" t="str">
        <f>IF(AND(X687="Reçu",ISNUMBER(R687)),IF(N(U687)&lt;=R687,1,0),"")</f>
        <v/>
      </c>
      <c r="AB687" s="76" t="str">
        <f>IF(OR(X687="Envoyé",X687="Partiel",X687="En retard"),IF(ISNUMBER(R687),R687,100000)+ROW()/100000,"")</f>
        <v/>
      </c>
      <c r="AC687" s="66" t="str">
        <f>IF(A687="","",IF(COUNTIF($A$6:A687,A687)=1,1,""))</f>
        <v/>
      </c>
      <c r="AD687" s="66" t="str">
        <f>IF(AC687=1,COUNT($AC$6:AC687),"")</f>
        <v/>
      </c>
      <c r="AE687" s="66" t="str">
        <f>IFERROR(INDEX(po_num,MATCH(682,po_seq,0))&amp;"","")</f>
        <v/>
      </c>
      <c r="AF687" s="66" t="str">
        <f>IF(OR(A687="",p_po=""),"",IF(A687&amp;""=p_po,COUNTIF($A$6:A687,A687),""))</f>
        <v/>
      </c>
      <c r="AG687" s="66" t="str">
        <f>IF(OR(AB687="",A687=""),"",IF(COUNTIFS($A$6:A687,A687,$AB$6:AB687,"&gt;0")=1,1,""))</f>
        <v/>
      </c>
      <c r="AH687" s="70" t="str">
        <f>IF(AB687="","",ROUND(N(W687)*N(J687)*(1-N(K687)),2))</f>
        <v/>
      </c>
      <c r="AI687" s="70" t="str">
        <f>IF(OR(J687="",N(T687)&lt;=0,V687="Oui"),"",ROUND(N(T687)*J687*(1-N(K687)),2))</f>
        <v/>
      </c>
    </row>
    <row r="688">
      <c r="A688" s="63" t="n"/>
      <c r="B688" s="64" t="n"/>
      <c r="C688" s="65" t="n"/>
      <c r="D688" s="66" t="str">
        <f>IF(C688="","",IFERROR(INDEX(sup_name,MATCH($C688,sup_code,0))&amp;"","Fournisseur inconnu"))</f>
        <v/>
      </c>
      <c r="E688" s="63" t="n"/>
      <c r="F688" s="66" t="str">
        <f>IF(E688="","",IFERROR(INDEX(art_des,MATCH($E688,art_ref,0))&amp;"","Article inconnu"))</f>
        <v/>
      </c>
      <c r="G688" s="67" t="str">
        <f>IF(E688="","",IFERROR(INDEX(art_unit,MATCH($E688,art_ref,0))&amp;"",""))</f>
        <v/>
      </c>
      <c r="H688" s="68" t="n"/>
      <c r="I688" s="69" t="n"/>
      <c r="J688" s="70" t="str">
        <f>IF(E688="","",IF(ISNUMBER(I688),I688,IFERROR(IF(ISNUMBER(INDEX(art_price,MATCH($E688,art_ref,0))),INDEX(art_price,MATCH($E688,art_ref,0)),""),"")))</f>
        <v/>
      </c>
      <c r="K688" s="71" t="n"/>
      <c r="L688" s="72" t="n"/>
      <c r="M688" s="72" t="str">
        <f>IF(E688="","",IF(L688&lt;&gt;"",L688,IFERROR(IF(ISNUMBER(INDEX(art_tva,MATCH($E688,art_ref,0))),INDEX(art_tva,MATCH($E688,art_ref,0)),""),"")))</f>
        <v/>
      </c>
      <c r="N688" s="70" t="str">
        <f>IF(OR(E688="",J688=""),"",ROUND(N(H688)*J688*(1-N(K688)),2))</f>
        <v/>
      </c>
      <c r="O688" s="70" t="str">
        <f>IF(OR(N688="",NOT(ISNUMBER(M688))),"",ROUND(N688*M688,2))</f>
        <v/>
      </c>
      <c r="P688" s="70" t="str">
        <f>IF(N688="","",N688+N(O688))</f>
        <v/>
      </c>
      <c r="Q688" s="64" t="n"/>
      <c r="R688" s="73" t="str">
        <f>IF(N(Q688)&gt;0,Q688,IF(OR(N(B688)=0,ISNA(MATCH($C688,sup_code,0))),"",IF(ISNUMBER(INDEX(sup_delay,MATCH($C688,sup_code,0))),B688+INDEX(sup_delay,MATCH($C688,sup_code,0)),"")))</f>
        <v/>
      </c>
      <c r="S688" s="64" t="n"/>
      <c r="T688" s="68" t="n"/>
      <c r="U688" s="64" t="n"/>
      <c r="V688" s="65" t="n"/>
      <c r="W688" s="74" t="str">
        <f>IF(AND(A688="",E688=""),"",IF(V688="Oui",0,MAX(0,ROUND(N(H688)-N(T688),6))))</f>
        <v/>
      </c>
      <c r="X688" s="67" t="str">
        <f>IF(AND(A688="",E688=""),"",IF(V688="Oui","Annulé",IF(AND(N(H688)&gt;0,N(T688)&gt;=N(H688)),"Reçu",IF(N(S688)=0,"Brouillon",IF(AND(ISNUMBER(R688),R688&lt;p_today),"En retard",IF(N(T688)&gt;0,"Partiel","Envoyé"))))))</f>
        <v/>
      </c>
      <c r="Y688" s="75" t="str">
        <f>IF(X688="En retard",p_today-R688,IF(AND(X688="Reçu",ISNUMBER(R688)),MAX(0,N(U688)-R688),""))</f>
        <v/>
      </c>
      <c r="Z688" s="67" t="str">
        <f>IF(AND(A688="",E688=""),"",IF(A688="","N° de bon manquant",IF(N(B688)=0,"Date de commande manquante",IF(C688="","Fournisseur manquant",IF(ISNA(MATCH($C688,sup_code,0)),"Fournisseur inconnu",IF(E688="","Article manquant",IF(ISNA(MATCH($E688,art_ref,0)),"Article inconnu",IF(N(H688)&lt;=0,"Quantité invalide",IF(J688="","Prix manquant",IF(OR(N(K688)&lt;0,N(K688)&gt;=1),"Remise invalide",IF(M688="","TVA manquante",IF(ISNA(MATCH(M688,p_tva,0)),"Taux de TVA inconnu",IF(COUNTIFS(po_num,A688,po_sup,"&lt;&gt;"&amp;C688)&gt;0,"Fournisseur différent sur ce bon",IF(COUNTIFS(po_num,A688,po_date,"&lt;&gt;"&amp;B688)&gt;0,"Date différente sur ce bon",IF(COUNTIF(po_num,A688)&gt;25,"Plus de 25 lignes sur ce bon",IF(R688="","Date de livraison manquante",IF(R688&lt;B688,"Livraison avant la commande",IF(AND(N(T688)&gt;0,N(S688)=0),"Date d'envoi manquante",IF(N(T688)&gt;N(H688),"Reçu plus que commandé",IF(AND(N(T688)&gt;0,N(U688)=0),"Date de réception manquante",IF(AND(N(U688)&gt;0,U688&lt;B688),"Réception avant la commande","OK")))))))))))))))))))))</f>
        <v/>
      </c>
      <c r="AA688" s="66" t="str">
        <f>IF(AND(X688="Reçu",ISNUMBER(R688)),IF(N(U688)&lt;=R688,1,0),"")</f>
        <v/>
      </c>
      <c r="AB688" s="76" t="str">
        <f>IF(OR(X688="Envoyé",X688="Partiel",X688="En retard"),IF(ISNUMBER(R688),R688,100000)+ROW()/100000,"")</f>
        <v/>
      </c>
      <c r="AC688" s="66" t="str">
        <f>IF(A688="","",IF(COUNTIF($A$6:A688,A688)=1,1,""))</f>
        <v/>
      </c>
      <c r="AD688" s="66" t="str">
        <f>IF(AC688=1,COUNT($AC$6:AC688),"")</f>
        <v/>
      </c>
      <c r="AE688" s="66" t="str">
        <f>IFERROR(INDEX(po_num,MATCH(683,po_seq,0))&amp;"","")</f>
        <v/>
      </c>
      <c r="AF688" s="66" t="str">
        <f>IF(OR(A688="",p_po=""),"",IF(A688&amp;""=p_po,COUNTIF($A$6:A688,A688),""))</f>
        <v/>
      </c>
      <c r="AG688" s="66" t="str">
        <f>IF(OR(AB688="",A688=""),"",IF(COUNTIFS($A$6:A688,A688,$AB$6:AB688,"&gt;0")=1,1,""))</f>
        <v/>
      </c>
      <c r="AH688" s="70" t="str">
        <f>IF(AB688="","",ROUND(N(W688)*N(J688)*(1-N(K688)),2))</f>
        <v/>
      </c>
      <c r="AI688" s="70" t="str">
        <f>IF(OR(J688="",N(T688)&lt;=0,V688="Oui"),"",ROUND(N(T688)*J688*(1-N(K688)),2))</f>
        <v/>
      </c>
    </row>
    <row r="689">
      <c r="A689" s="63" t="n"/>
      <c r="B689" s="64" t="n"/>
      <c r="C689" s="65" t="n"/>
      <c r="D689" s="66" t="str">
        <f>IF(C689="","",IFERROR(INDEX(sup_name,MATCH($C689,sup_code,0))&amp;"","Fournisseur inconnu"))</f>
        <v/>
      </c>
      <c r="E689" s="63" t="n"/>
      <c r="F689" s="66" t="str">
        <f>IF(E689="","",IFERROR(INDEX(art_des,MATCH($E689,art_ref,0))&amp;"","Article inconnu"))</f>
        <v/>
      </c>
      <c r="G689" s="67" t="str">
        <f>IF(E689="","",IFERROR(INDEX(art_unit,MATCH($E689,art_ref,0))&amp;"",""))</f>
        <v/>
      </c>
      <c r="H689" s="68" t="n"/>
      <c r="I689" s="69" t="n"/>
      <c r="J689" s="70" t="str">
        <f>IF(E689="","",IF(ISNUMBER(I689),I689,IFERROR(IF(ISNUMBER(INDEX(art_price,MATCH($E689,art_ref,0))),INDEX(art_price,MATCH($E689,art_ref,0)),""),"")))</f>
        <v/>
      </c>
      <c r="K689" s="71" t="n"/>
      <c r="L689" s="72" t="n"/>
      <c r="M689" s="72" t="str">
        <f>IF(E689="","",IF(L689&lt;&gt;"",L689,IFERROR(IF(ISNUMBER(INDEX(art_tva,MATCH($E689,art_ref,0))),INDEX(art_tva,MATCH($E689,art_ref,0)),""),"")))</f>
        <v/>
      </c>
      <c r="N689" s="70" t="str">
        <f>IF(OR(E689="",J689=""),"",ROUND(N(H689)*J689*(1-N(K689)),2))</f>
        <v/>
      </c>
      <c r="O689" s="70" t="str">
        <f>IF(OR(N689="",NOT(ISNUMBER(M689))),"",ROUND(N689*M689,2))</f>
        <v/>
      </c>
      <c r="P689" s="70" t="str">
        <f>IF(N689="","",N689+N(O689))</f>
        <v/>
      </c>
      <c r="Q689" s="64" t="n"/>
      <c r="R689" s="73" t="str">
        <f>IF(N(Q689)&gt;0,Q689,IF(OR(N(B689)=0,ISNA(MATCH($C689,sup_code,0))),"",IF(ISNUMBER(INDEX(sup_delay,MATCH($C689,sup_code,0))),B689+INDEX(sup_delay,MATCH($C689,sup_code,0)),"")))</f>
        <v/>
      </c>
      <c r="S689" s="64" t="n"/>
      <c r="T689" s="68" t="n"/>
      <c r="U689" s="64" t="n"/>
      <c r="V689" s="65" t="n"/>
      <c r="W689" s="74" t="str">
        <f>IF(AND(A689="",E689=""),"",IF(V689="Oui",0,MAX(0,ROUND(N(H689)-N(T689),6))))</f>
        <v/>
      </c>
      <c r="X689" s="67" t="str">
        <f>IF(AND(A689="",E689=""),"",IF(V689="Oui","Annulé",IF(AND(N(H689)&gt;0,N(T689)&gt;=N(H689)),"Reçu",IF(N(S689)=0,"Brouillon",IF(AND(ISNUMBER(R689),R689&lt;p_today),"En retard",IF(N(T689)&gt;0,"Partiel","Envoyé"))))))</f>
        <v/>
      </c>
      <c r="Y689" s="75" t="str">
        <f>IF(X689="En retard",p_today-R689,IF(AND(X689="Reçu",ISNUMBER(R689)),MAX(0,N(U689)-R689),""))</f>
        <v/>
      </c>
      <c r="Z689" s="67" t="str">
        <f>IF(AND(A689="",E689=""),"",IF(A689="","N° de bon manquant",IF(N(B689)=0,"Date de commande manquante",IF(C689="","Fournisseur manquant",IF(ISNA(MATCH($C689,sup_code,0)),"Fournisseur inconnu",IF(E689="","Article manquant",IF(ISNA(MATCH($E689,art_ref,0)),"Article inconnu",IF(N(H689)&lt;=0,"Quantité invalide",IF(J689="","Prix manquant",IF(OR(N(K689)&lt;0,N(K689)&gt;=1),"Remise invalide",IF(M689="","TVA manquante",IF(ISNA(MATCH(M689,p_tva,0)),"Taux de TVA inconnu",IF(COUNTIFS(po_num,A689,po_sup,"&lt;&gt;"&amp;C689)&gt;0,"Fournisseur différent sur ce bon",IF(COUNTIFS(po_num,A689,po_date,"&lt;&gt;"&amp;B689)&gt;0,"Date différente sur ce bon",IF(COUNTIF(po_num,A689)&gt;25,"Plus de 25 lignes sur ce bon",IF(R689="","Date de livraison manquante",IF(R689&lt;B689,"Livraison avant la commande",IF(AND(N(T689)&gt;0,N(S689)=0),"Date d'envoi manquante",IF(N(T689)&gt;N(H689),"Reçu plus que commandé",IF(AND(N(T689)&gt;0,N(U689)=0),"Date de réception manquante",IF(AND(N(U689)&gt;0,U689&lt;B689),"Réception avant la commande","OK")))))))))))))))))))))</f>
        <v/>
      </c>
      <c r="AA689" s="66" t="str">
        <f>IF(AND(X689="Reçu",ISNUMBER(R689)),IF(N(U689)&lt;=R689,1,0),"")</f>
        <v/>
      </c>
      <c r="AB689" s="76" t="str">
        <f>IF(OR(X689="Envoyé",X689="Partiel",X689="En retard"),IF(ISNUMBER(R689),R689,100000)+ROW()/100000,"")</f>
        <v/>
      </c>
      <c r="AC689" s="66" t="str">
        <f>IF(A689="","",IF(COUNTIF($A$6:A689,A689)=1,1,""))</f>
        <v/>
      </c>
      <c r="AD689" s="66" t="str">
        <f>IF(AC689=1,COUNT($AC$6:AC689),"")</f>
        <v/>
      </c>
      <c r="AE689" s="66" t="str">
        <f>IFERROR(INDEX(po_num,MATCH(684,po_seq,0))&amp;"","")</f>
        <v/>
      </c>
      <c r="AF689" s="66" t="str">
        <f>IF(OR(A689="",p_po=""),"",IF(A689&amp;""=p_po,COUNTIF($A$6:A689,A689),""))</f>
        <v/>
      </c>
      <c r="AG689" s="66" t="str">
        <f>IF(OR(AB689="",A689=""),"",IF(COUNTIFS($A$6:A689,A689,$AB$6:AB689,"&gt;0")=1,1,""))</f>
        <v/>
      </c>
      <c r="AH689" s="70" t="str">
        <f>IF(AB689="","",ROUND(N(W689)*N(J689)*(1-N(K689)),2))</f>
        <v/>
      </c>
      <c r="AI689" s="70" t="str">
        <f>IF(OR(J689="",N(T689)&lt;=0,V689="Oui"),"",ROUND(N(T689)*J689*(1-N(K689)),2))</f>
        <v/>
      </c>
    </row>
    <row r="690">
      <c r="A690" s="63" t="n"/>
      <c r="B690" s="64" t="n"/>
      <c r="C690" s="65" t="n"/>
      <c r="D690" s="66" t="str">
        <f>IF(C690="","",IFERROR(INDEX(sup_name,MATCH($C690,sup_code,0))&amp;"","Fournisseur inconnu"))</f>
        <v/>
      </c>
      <c r="E690" s="63" t="n"/>
      <c r="F690" s="66" t="str">
        <f>IF(E690="","",IFERROR(INDEX(art_des,MATCH($E690,art_ref,0))&amp;"","Article inconnu"))</f>
        <v/>
      </c>
      <c r="G690" s="67" t="str">
        <f>IF(E690="","",IFERROR(INDEX(art_unit,MATCH($E690,art_ref,0))&amp;"",""))</f>
        <v/>
      </c>
      <c r="H690" s="68" t="n"/>
      <c r="I690" s="69" t="n"/>
      <c r="J690" s="70" t="str">
        <f>IF(E690="","",IF(ISNUMBER(I690),I690,IFERROR(IF(ISNUMBER(INDEX(art_price,MATCH($E690,art_ref,0))),INDEX(art_price,MATCH($E690,art_ref,0)),""),"")))</f>
        <v/>
      </c>
      <c r="K690" s="71" t="n"/>
      <c r="L690" s="72" t="n"/>
      <c r="M690" s="72" t="str">
        <f>IF(E690="","",IF(L690&lt;&gt;"",L690,IFERROR(IF(ISNUMBER(INDEX(art_tva,MATCH($E690,art_ref,0))),INDEX(art_tva,MATCH($E690,art_ref,0)),""),"")))</f>
        <v/>
      </c>
      <c r="N690" s="70" t="str">
        <f>IF(OR(E690="",J690=""),"",ROUND(N(H690)*J690*(1-N(K690)),2))</f>
        <v/>
      </c>
      <c r="O690" s="70" t="str">
        <f>IF(OR(N690="",NOT(ISNUMBER(M690))),"",ROUND(N690*M690,2))</f>
        <v/>
      </c>
      <c r="P690" s="70" t="str">
        <f>IF(N690="","",N690+N(O690))</f>
        <v/>
      </c>
      <c r="Q690" s="64" t="n"/>
      <c r="R690" s="73" t="str">
        <f>IF(N(Q690)&gt;0,Q690,IF(OR(N(B690)=0,ISNA(MATCH($C690,sup_code,0))),"",IF(ISNUMBER(INDEX(sup_delay,MATCH($C690,sup_code,0))),B690+INDEX(sup_delay,MATCH($C690,sup_code,0)),"")))</f>
        <v/>
      </c>
      <c r="S690" s="64" t="n"/>
      <c r="T690" s="68" t="n"/>
      <c r="U690" s="64" t="n"/>
      <c r="V690" s="65" t="n"/>
      <c r="W690" s="74" t="str">
        <f>IF(AND(A690="",E690=""),"",IF(V690="Oui",0,MAX(0,ROUND(N(H690)-N(T690),6))))</f>
        <v/>
      </c>
      <c r="X690" s="67" t="str">
        <f>IF(AND(A690="",E690=""),"",IF(V690="Oui","Annulé",IF(AND(N(H690)&gt;0,N(T690)&gt;=N(H690)),"Reçu",IF(N(S690)=0,"Brouillon",IF(AND(ISNUMBER(R690),R690&lt;p_today),"En retard",IF(N(T690)&gt;0,"Partiel","Envoyé"))))))</f>
        <v/>
      </c>
      <c r="Y690" s="75" t="str">
        <f>IF(X690="En retard",p_today-R690,IF(AND(X690="Reçu",ISNUMBER(R690)),MAX(0,N(U690)-R690),""))</f>
        <v/>
      </c>
      <c r="Z690" s="67" t="str">
        <f>IF(AND(A690="",E690=""),"",IF(A690="","N° de bon manquant",IF(N(B690)=0,"Date de commande manquante",IF(C690="","Fournisseur manquant",IF(ISNA(MATCH($C690,sup_code,0)),"Fournisseur inconnu",IF(E690="","Article manquant",IF(ISNA(MATCH($E690,art_ref,0)),"Article inconnu",IF(N(H690)&lt;=0,"Quantité invalide",IF(J690="","Prix manquant",IF(OR(N(K690)&lt;0,N(K690)&gt;=1),"Remise invalide",IF(M690="","TVA manquante",IF(ISNA(MATCH(M690,p_tva,0)),"Taux de TVA inconnu",IF(COUNTIFS(po_num,A690,po_sup,"&lt;&gt;"&amp;C690)&gt;0,"Fournisseur différent sur ce bon",IF(COUNTIFS(po_num,A690,po_date,"&lt;&gt;"&amp;B690)&gt;0,"Date différente sur ce bon",IF(COUNTIF(po_num,A690)&gt;25,"Plus de 25 lignes sur ce bon",IF(R690="","Date de livraison manquante",IF(R690&lt;B690,"Livraison avant la commande",IF(AND(N(T690)&gt;0,N(S690)=0),"Date d'envoi manquante",IF(N(T690)&gt;N(H690),"Reçu plus que commandé",IF(AND(N(T690)&gt;0,N(U690)=0),"Date de réception manquante",IF(AND(N(U690)&gt;0,U690&lt;B690),"Réception avant la commande","OK")))))))))))))))))))))</f>
        <v/>
      </c>
      <c r="AA690" s="66" t="str">
        <f>IF(AND(X690="Reçu",ISNUMBER(R690)),IF(N(U690)&lt;=R690,1,0),"")</f>
        <v/>
      </c>
      <c r="AB690" s="76" t="str">
        <f>IF(OR(X690="Envoyé",X690="Partiel",X690="En retard"),IF(ISNUMBER(R690),R690,100000)+ROW()/100000,"")</f>
        <v/>
      </c>
      <c r="AC690" s="66" t="str">
        <f>IF(A690="","",IF(COUNTIF($A$6:A690,A690)=1,1,""))</f>
        <v/>
      </c>
      <c r="AD690" s="66" t="str">
        <f>IF(AC690=1,COUNT($AC$6:AC690),"")</f>
        <v/>
      </c>
      <c r="AE690" s="66" t="str">
        <f>IFERROR(INDEX(po_num,MATCH(685,po_seq,0))&amp;"","")</f>
        <v/>
      </c>
      <c r="AF690" s="66" t="str">
        <f>IF(OR(A690="",p_po=""),"",IF(A690&amp;""=p_po,COUNTIF($A$6:A690,A690),""))</f>
        <v/>
      </c>
      <c r="AG690" s="66" t="str">
        <f>IF(OR(AB690="",A690=""),"",IF(COUNTIFS($A$6:A690,A690,$AB$6:AB690,"&gt;0")=1,1,""))</f>
        <v/>
      </c>
      <c r="AH690" s="70" t="str">
        <f>IF(AB690="","",ROUND(N(W690)*N(J690)*(1-N(K690)),2))</f>
        <v/>
      </c>
      <c r="AI690" s="70" t="str">
        <f>IF(OR(J690="",N(T690)&lt;=0,V690="Oui"),"",ROUND(N(T690)*J690*(1-N(K690)),2))</f>
        <v/>
      </c>
    </row>
    <row r="691">
      <c r="A691" s="63" t="n"/>
      <c r="B691" s="64" t="n"/>
      <c r="C691" s="65" t="n"/>
      <c r="D691" s="66" t="str">
        <f>IF(C691="","",IFERROR(INDEX(sup_name,MATCH($C691,sup_code,0))&amp;"","Fournisseur inconnu"))</f>
        <v/>
      </c>
      <c r="E691" s="63" t="n"/>
      <c r="F691" s="66" t="str">
        <f>IF(E691="","",IFERROR(INDEX(art_des,MATCH($E691,art_ref,0))&amp;"","Article inconnu"))</f>
        <v/>
      </c>
      <c r="G691" s="67" t="str">
        <f>IF(E691="","",IFERROR(INDEX(art_unit,MATCH($E691,art_ref,0))&amp;"",""))</f>
        <v/>
      </c>
      <c r="H691" s="68" t="n"/>
      <c r="I691" s="69" t="n"/>
      <c r="J691" s="70" t="str">
        <f>IF(E691="","",IF(ISNUMBER(I691),I691,IFERROR(IF(ISNUMBER(INDEX(art_price,MATCH($E691,art_ref,0))),INDEX(art_price,MATCH($E691,art_ref,0)),""),"")))</f>
        <v/>
      </c>
      <c r="K691" s="71" t="n"/>
      <c r="L691" s="72" t="n"/>
      <c r="M691" s="72" t="str">
        <f>IF(E691="","",IF(L691&lt;&gt;"",L691,IFERROR(IF(ISNUMBER(INDEX(art_tva,MATCH($E691,art_ref,0))),INDEX(art_tva,MATCH($E691,art_ref,0)),""),"")))</f>
        <v/>
      </c>
      <c r="N691" s="70" t="str">
        <f>IF(OR(E691="",J691=""),"",ROUND(N(H691)*J691*(1-N(K691)),2))</f>
        <v/>
      </c>
      <c r="O691" s="70" t="str">
        <f>IF(OR(N691="",NOT(ISNUMBER(M691))),"",ROUND(N691*M691,2))</f>
        <v/>
      </c>
      <c r="P691" s="70" t="str">
        <f>IF(N691="","",N691+N(O691))</f>
        <v/>
      </c>
      <c r="Q691" s="64" t="n"/>
      <c r="R691" s="73" t="str">
        <f>IF(N(Q691)&gt;0,Q691,IF(OR(N(B691)=0,ISNA(MATCH($C691,sup_code,0))),"",IF(ISNUMBER(INDEX(sup_delay,MATCH($C691,sup_code,0))),B691+INDEX(sup_delay,MATCH($C691,sup_code,0)),"")))</f>
        <v/>
      </c>
      <c r="S691" s="64" t="n"/>
      <c r="T691" s="68" t="n"/>
      <c r="U691" s="64" t="n"/>
      <c r="V691" s="65" t="n"/>
      <c r="W691" s="74" t="str">
        <f>IF(AND(A691="",E691=""),"",IF(V691="Oui",0,MAX(0,ROUND(N(H691)-N(T691),6))))</f>
        <v/>
      </c>
      <c r="X691" s="67" t="str">
        <f>IF(AND(A691="",E691=""),"",IF(V691="Oui","Annulé",IF(AND(N(H691)&gt;0,N(T691)&gt;=N(H691)),"Reçu",IF(N(S691)=0,"Brouillon",IF(AND(ISNUMBER(R691),R691&lt;p_today),"En retard",IF(N(T691)&gt;0,"Partiel","Envoyé"))))))</f>
        <v/>
      </c>
      <c r="Y691" s="75" t="str">
        <f>IF(X691="En retard",p_today-R691,IF(AND(X691="Reçu",ISNUMBER(R691)),MAX(0,N(U691)-R691),""))</f>
        <v/>
      </c>
      <c r="Z691" s="67" t="str">
        <f>IF(AND(A691="",E691=""),"",IF(A691="","N° de bon manquant",IF(N(B691)=0,"Date de commande manquante",IF(C691="","Fournisseur manquant",IF(ISNA(MATCH($C691,sup_code,0)),"Fournisseur inconnu",IF(E691="","Article manquant",IF(ISNA(MATCH($E691,art_ref,0)),"Article inconnu",IF(N(H691)&lt;=0,"Quantité invalide",IF(J691="","Prix manquant",IF(OR(N(K691)&lt;0,N(K691)&gt;=1),"Remise invalide",IF(M691="","TVA manquante",IF(ISNA(MATCH(M691,p_tva,0)),"Taux de TVA inconnu",IF(COUNTIFS(po_num,A691,po_sup,"&lt;&gt;"&amp;C691)&gt;0,"Fournisseur différent sur ce bon",IF(COUNTIFS(po_num,A691,po_date,"&lt;&gt;"&amp;B691)&gt;0,"Date différente sur ce bon",IF(COUNTIF(po_num,A691)&gt;25,"Plus de 25 lignes sur ce bon",IF(R691="","Date de livraison manquante",IF(R691&lt;B691,"Livraison avant la commande",IF(AND(N(T691)&gt;0,N(S691)=0),"Date d'envoi manquante",IF(N(T691)&gt;N(H691),"Reçu plus que commandé",IF(AND(N(T691)&gt;0,N(U691)=0),"Date de réception manquante",IF(AND(N(U691)&gt;0,U691&lt;B691),"Réception avant la commande","OK")))))))))))))))))))))</f>
        <v/>
      </c>
      <c r="AA691" s="66" t="str">
        <f>IF(AND(X691="Reçu",ISNUMBER(R691)),IF(N(U691)&lt;=R691,1,0),"")</f>
        <v/>
      </c>
      <c r="AB691" s="76" t="str">
        <f>IF(OR(X691="Envoyé",X691="Partiel",X691="En retard"),IF(ISNUMBER(R691),R691,100000)+ROW()/100000,"")</f>
        <v/>
      </c>
      <c r="AC691" s="66" t="str">
        <f>IF(A691="","",IF(COUNTIF($A$6:A691,A691)=1,1,""))</f>
        <v/>
      </c>
      <c r="AD691" s="66" t="str">
        <f>IF(AC691=1,COUNT($AC$6:AC691),"")</f>
        <v/>
      </c>
      <c r="AE691" s="66" t="str">
        <f>IFERROR(INDEX(po_num,MATCH(686,po_seq,0))&amp;"","")</f>
        <v/>
      </c>
      <c r="AF691" s="66" t="str">
        <f>IF(OR(A691="",p_po=""),"",IF(A691&amp;""=p_po,COUNTIF($A$6:A691,A691),""))</f>
        <v/>
      </c>
      <c r="AG691" s="66" t="str">
        <f>IF(OR(AB691="",A691=""),"",IF(COUNTIFS($A$6:A691,A691,$AB$6:AB691,"&gt;0")=1,1,""))</f>
        <v/>
      </c>
      <c r="AH691" s="70" t="str">
        <f>IF(AB691="","",ROUND(N(W691)*N(J691)*(1-N(K691)),2))</f>
        <v/>
      </c>
      <c r="AI691" s="70" t="str">
        <f>IF(OR(J691="",N(T691)&lt;=0,V691="Oui"),"",ROUND(N(T691)*J691*(1-N(K691)),2))</f>
        <v/>
      </c>
    </row>
    <row r="692">
      <c r="A692" s="63" t="n"/>
      <c r="B692" s="64" t="n"/>
      <c r="C692" s="65" t="n"/>
      <c r="D692" s="66" t="str">
        <f>IF(C692="","",IFERROR(INDEX(sup_name,MATCH($C692,sup_code,0))&amp;"","Fournisseur inconnu"))</f>
        <v/>
      </c>
      <c r="E692" s="63" t="n"/>
      <c r="F692" s="66" t="str">
        <f>IF(E692="","",IFERROR(INDEX(art_des,MATCH($E692,art_ref,0))&amp;"","Article inconnu"))</f>
        <v/>
      </c>
      <c r="G692" s="67" t="str">
        <f>IF(E692="","",IFERROR(INDEX(art_unit,MATCH($E692,art_ref,0))&amp;"",""))</f>
        <v/>
      </c>
      <c r="H692" s="68" t="n"/>
      <c r="I692" s="69" t="n"/>
      <c r="J692" s="70" t="str">
        <f>IF(E692="","",IF(ISNUMBER(I692),I692,IFERROR(IF(ISNUMBER(INDEX(art_price,MATCH($E692,art_ref,0))),INDEX(art_price,MATCH($E692,art_ref,0)),""),"")))</f>
        <v/>
      </c>
      <c r="K692" s="71" t="n"/>
      <c r="L692" s="72" t="n"/>
      <c r="M692" s="72" t="str">
        <f>IF(E692="","",IF(L692&lt;&gt;"",L692,IFERROR(IF(ISNUMBER(INDEX(art_tva,MATCH($E692,art_ref,0))),INDEX(art_tva,MATCH($E692,art_ref,0)),""),"")))</f>
        <v/>
      </c>
      <c r="N692" s="70" t="str">
        <f>IF(OR(E692="",J692=""),"",ROUND(N(H692)*J692*(1-N(K692)),2))</f>
        <v/>
      </c>
      <c r="O692" s="70" t="str">
        <f>IF(OR(N692="",NOT(ISNUMBER(M692))),"",ROUND(N692*M692,2))</f>
        <v/>
      </c>
      <c r="P692" s="70" t="str">
        <f>IF(N692="","",N692+N(O692))</f>
        <v/>
      </c>
      <c r="Q692" s="64" t="n"/>
      <c r="R692" s="73" t="str">
        <f>IF(N(Q692)&gt;0,Q692,IF(OR(N(B692)=0,ISNA(MATCH($C692,sup_code,0))),"",IF(ISNUMBER(INDEX(sup_delay,MATCH($C692,sup_code,0))),B692+INDEX(sup_delay,MATCH($C692,sup_code,0)),"")))</f>
        <v/>
      </c>
      <c r="S692" s="64" t="n"/>
      <c r="T692" s="68" t="n"/>
      <c r="U692" s="64" t="n"/>
      <c r="V692" s="65" t="n"/>
      <c r="W692" s="74" t="str">
        <f>IF(AND(A692="",E692=""),"",IF(V692="Oui",0,MAX(0,ROUND(N(H692)-N(T692),6))))</f>
        <v/>
      </c>
      <c r="X692" s="67" t="str">
        <f>IF(AND(A692="",E692=""),"",IF(V692="Oui","Annulé",IF(AND(N(H692)&gt;0,N(T692)&gt;=N(H692)),"Reçu",IF(N(S692)=0,"Brouillon",IF(AND(ISNUMBER(R692),R692&lt;p_today),"En retard",IF(N(T692)&gt;0,"Partiel","Envoyé"))))))</f>
        <v/>
      </c>
      <c r="Y692" s="75" t="str">
        <f>IF(X692="En retard",p_today-R692,IF(AND(X692="Reçu",ISNUMBER(R692)),MAX(0,N(U692)-R692),""))</f>
        <v/>
      </c>
      <c r="Z692" s="67" t="str">
        <f>IF(AND(A692="",E692=""),"",IF(A692="","N° de bon manquant",IF(N(B692)=0,"Date de commande manquante",IF(C692="","Fournisseur manquant",IF(ISNA(MATCH($C692,sup_code,0)),"Fournisseur inconnu",IF(E692="","Article manquant",IF(ISNA(MATCH($E692,art_ref,0)),"Article inconnu",IF(N(H692)&lt;=0,"Quantité invalide",IF(J692="","Prix manquant",IF(OR(N(K692)&lt;0,N(K692)&gt;=1),"Remise invalide",IF(M692="","TVA manquante",IF(ISNA(MATCH(M692,p_tva,0)),"Taux de TVA inconnu",IF(COUNTIFS(po_num,A692,po_sup,"&lt;&gt;"&amp;C692)&gt;0,"Fournisseur différent sur ce bon",IF(COUNTIFS(po_num,A692,po_date,"&lt;&gt;"&amp;B692)&gt;0,"Date différente sur ce bon",IF(COUNTIF(po_num,A692)&gt;25,"Plus de 25 lignes sur ce bon",IF(R692="","Date de livraison manquante",IF(R692&lt;B692,"Livraison avant la commande",IF(AND(N(T692)&gt;0,N(S692)=0),"Date d'envoi manquante",IF(N(T692)&gt;N(H692),"Reçu plus que commandé",IF(AND(N(T692)&gt;0,N(U692)=0),"Date de réception manquante",IF(AND(N(U692)&gt;0,U692&lt;B692),"Réception avant la commande","OK")))))))))))))))))))))</f>
        <v/>
      </c>
      <c r="AA692" s="66" t="str">
        <f>IF(AND(X692="Reçu",ISNUMBER(R692)),IF(N(U692)&lt;=R692,1,0),"")</f>
        <v/>
      </c>
      <c r="AB692" s="76" t="str">
        <f>IF(OR(X692="Envoyé",X692="Partiel",X692="En retard"),IF(ISNUMBER(R692),R692,100000)+ROW()/100000,"")</f>
        <v/>
      </c>
      <c r="AC692" s="66" t="str">
        <f>IF(A692="","",IF(COUNTIF($A$6:A692,A692)=1,1,""))</f>
        <v/>
      </c>
      <c r="AD692" s="66" t="str">
        <f>IF(AC692=1,COUNT($AC$6:AC692),"")</f>
        <v/>
      </c>
      <c r="AE692" s="66" t="str">
        <f>IFERROR(INDEX(po_num,MATCH(687,po_seq,0))&amp;"","")</f>
        <v/>
      </c>
      <c r="AF692" s="66" t="str">
        <f>IF(OR(A692="",p_po=""),"",IF(A692&amp;""=p_po,COUNTIF($A$6:A692,A692),""))</f>
        <v/>
      </c>
      <c r="AG692" s="66" t="str">
        <f>IF(OR(AB692="",A692=""),"",IF(COUNTIFS($A$6:A692,A692,$AB$6:AB692,"&gt;0")=1,1,""))</f>
        <v/>
      </c>
      <c r="AH692" s="70" t="str">
        <f>IF(AB692="","",ROUND(N(W692)*N(J692)*(1-N(K692)),2))</f>
        <v/>
      </c>
      <c r="AI692" s="70" t="str">
        <f>IF(OR(J692="",N(T692)&lt;=0,V692="Oui"),"",ROUND(N(T692)*J692*(1-N(K692)),2))</f>
        <v/>
      </c>
    </row>
    <row r="693">
      <c r="A693" s="63" t="n"/>
      <c r="B693" s="64" t="n"/>
      <c r="C693" s="65" t="n"/>
      <c r="D693" s="66" t="str">
        <f>IF(C693="","",IFERROR(INDEX(sup_name,MATCH($C693,sup_code,0))&amp;"","Fournisseur inconnu"))</f>
        <v/>
      </c>
      <c r="E693" s="63" t="n"/>
      <c r="F693" s="66" t="str">
        <f>IF(E693="","",IFERROR(INDEX(art_des,MATCH($E693,art_ref,0))&amp;"","Article inconnu"))</f>
        <v/>
      </c>
      <c r="G693" s="67" t="str">
        <f>IF(E693="","",IFERROR(INDEX(art_unit,MATCH($E693,art_ref,0))&amp;"",""))</f>
        <v/>
      </c>
      <c r="H693" s="68" t="n"/>
      <c r="I693" s="69" t="n"/>
      <c r="J693" s="70" t="str">
        <f>IF(E693="","",IF(ISNUMBER(I693),I693,IFERROR(IF(ISNUMBER(INDEX(art_price,MATCH($E693,art_ref,0))),INDEX(art_price,MATCH($E693,art_ref,0)),""),"")))</f>
        <v/>
      </c>
      <c r="K693" s="71" t="n"/>
      <c r="L693" s="72" t="n"/>
      <c r="M693" s="72" t="str">
        <f>IF(E693="","",IF(L693&lt;&gt;"",L693,IFERROR(IF(ISNUMBER(INDEX(art_tva,MATCH($E693,art_ref,0))),INDEX(art_tva,MATCH($E693,art_ref,0)),""),"")))</f>
        <v/>
      </c>
      <c r="N693" s="70" t="str">
        <f>IF(OR(E693="",J693=""),"",ROUND(N(H693)*J693*(1-N(K693)),2))</f>
        <v/>
      </c>
      <c r="O693" s="70" t="str">
        <f>IF(OR(N693="",NOT(ISNUMBER(M693))),"",ROUND(N693*M693,2))</f>
        <v/>
      </c>
      <c r="P693" s="70" t="str">
        <f>IF(N693="","",N693+N(O693))</f>
        <v/>
      </c>
      <c r="Q693" s="64" t="n"/>
      <c r="R693" s="73" t="str">
        <f>IF(N(Q693)&gt;0,Q693,IF(OR(N(B693)=0,ISNA(MATCH($C693,sup_code,0))),"",IF(ISNUMBER(INDEX(sup_delay,MATCH($C693,sup_code,0))),B693+INDEX(sup_delay,MATCH($C693,sup_code,0)),"")))</f>
        <v/>
      </c>
      <c r="S693" s="64" t="n"/>
      <c r="T693" s="68" t="n"/>
      <c r="U693" s="64" t="n"/>
      <c r="V693" s="65" t="n"/>
      <c r="W693" s="74" t="str">
        <f>IF(AND(A693="",E693=""),"",IF(V693="Oui",0,MAX(0,ROUND(N(H693)-N(T693),6))))</f>
        <v/>
      </c>
      <c r="X693" s="67" t="str">
        <f>IF(AND(A693="",E693=""),"",IF(V693="Oui","Annulé",IF(AND(N(H693)&gt;0,N(T693)&gt;=N(H693)),"Reçu",IF(N(S693)=0,"Brouillon",IF(AND(ISNUMBER(R693),R693&lt;p_today),"En retard",IF(N(T693)&gt;0,"Partiel","Envoyé"))))))</f>
        <v/>
      </c>
      <c r="Y693" s="75" t="str">
        <f>IF(X693="En retard",p_today-R693,IF(AND(X693="Reçu",ISNUMBER(R693)),MAX(0,N(U693)-R693),""))</f>
        <v/>
      </c>
      <c r="Z693" s="67" t="str">
        <f>IF(AND(A693="",E693=""),"",IF(A693="","N° de bon manquant",IF(N(B693)=0,"Date de commande manquante",IF(C693="","Fournisseur manquant",IF(ISNA(MATCH($C693,sup_code,0)),"Fournisseur inconnu",IF(E693="","Article manquant",IF(ISNA(MATCH($E693,art_ref,0)),"Article inconnu",IF(N(H693)&lt;=0,"Quantité invalide",IF(J693="","Prix manquant",IF(OR(N(K693)&lt;0,N(K693)&gt;=1),"Remise invalide",IF(M693="","TVA manquante",IF(ISNA(MATCH(M693,p_tva,0)),"Taux de TVA inconnu",IF(COUNTIFS(po_num,A693,po_sup,"&lt;&gt;"&amp;C693)&gt;0,"Fournisseur différent sur ce bon",IF(COUNTIFS(po_num,A693,po_date,"&lt;&gt;"&amp;B693)&gt;0,"Date différente sur ce bon",IF(COUNTIF(po_num,A693)&gt;25,"Plus de 25 lignes sur ce bon",IF(R693="","Date de livraison manquante",IF(R693&lt;B693,"Livraison avant la commande",IF(AND(N(T693)&gt;0,N(S693)=0),"Date d'envoi manquante",IF(N(T693)&gt;N(H693),"Reçu plus que commandé",IF(AND(N(T693)&gt;0,N(U693)=0),"Date de réception manquante",IF(AND(N(U693)&gt;0,U693&lt;B693),"Réception avant la commande","OK")))))))))))))))))))))</f>
        <v/>
      </c>
      <c r="AA693" s="66" t="str">
        <f>IF(AND(X693="Reçu",ISNUMBER(R693)),IF(N(U693)&lt;=R693,1,0),"")</f>
        <v/>
      </c>
      <c r="AB693" s="76" t="str">
        <f>IF(OR(X693="Envoyé",X693="Partiel",X693="En retard"),IF(ISNUMBER(R693),R693,100000)+ROW()/100000,"")</f>
        <v/>
      </c>
      <c r="AC693" s="66" t="str">
        <f>IF(A693="","",IF(COUNTIF($A$6:A693,A693)=1,1,""))</f>
        <v/>
      </c>
      <c r="AD693" s="66" t="str">
        <f>IF(AC693=1,COUNT($AC$6:AC693),"")</f>
        <v/>
      </c>
      <c r="AE693" s="66" t="str">
        <f>IFERROR(INDEX(po_num,MATCH(688,po_seq,0))&amp;"","")</f>
        <v/>
      </c>
      <c r="AF693" s="66" t="str">
        <f>IF(OR(A693="",p_po=""),"",IF(A693&amp;""=p_po,COUNTIF($A$6:A693,A693),""))</f>
        <v/>
      </c>
      <c r="AG693" s="66" t="str">
        <f>IF(OR(AB693="",A693=""),"",IF(COUNTIFS($A$6:A693,A693,$AB$6:AB693,"&gt;0")=1,1,""))</f>
        <v/>
      </c>
      <c r="AH693" s="70" t="str">
        <f>IF(AB693="","",ROUND(N(W693)*N(J693)*(1-N(K693)),2))</f>
        <v/>
      </c>
      <c r="AI693" s="70" t="str">
        <f>IF(OR(J693="",N(T693)&lt;=0,V693="Oui"),"",ROUND(N(T693)*J693*(1-N(K693)),2))</f>
        <v/>
      </c>
    </row>
    <row r="694">
      <c r="A694" s="63" t="n"/>
      <c r="B694" s="64" t="n"/>
      <c r="C694" s="65" t="n"/>
      <c r="D694" s="66" t="str">
        <f>IF(C694="","",IFERROR(INDEX(sup_name,MATCH($C694,sup_code,0))&amp;"","Fournisseur inconnu"))</f>
        <v/>
      </c>
      <c r="E694" s="63" t="n"/>
      <c r="F694" s="66" t="str">
        <f>IF(E694="","",IFERROR(INDEX(art_des,MATCH($E694,art_ref,0))&amp;"","Article inconnu"))</f>
        <v/>
      </c>
      <c r="G694" s="67" t="str">
        <f>IF(E694="","",IFERROR(INDEX(art_unit,MATCH($E694,art_ref,0))&amp;"",""))</f>
        <v/>
      </c>
      <c r="H694" s="68" t="n"/>
      <c r="I694" s="69" t="n"/>
      <c r="J694" s="70" t="str">
        <f>IF(E694="","",IF(ISNUMBER(I694),I694,IFERROR(IF(ISNUMBER(INDEX(art_price,MATCH($E694,art_ref,0))),INDEX(art_price,MATCH($E694,art_ref,0)),""),"")))</f>
        <v/>
      </c>
      <c r="K694" s="71" t="n"/>
      <c r="L694" s="72" t="n"/>
      <c r="M694" s="72" t="str">
        <f>IF(E694="","",IF(L694&lt;&gt;"",L694,IFERROR(IF(ISNUMBER(INDEX(art_tva,MATCH($E694,art_ref,0))),INDEX(art_tva,MATCH($E694,art_ref,0)),""),"")))</f>
        <v/>
      </c>
      <c r="N694" s="70" t="str">
        <f>IF(OR(E694="",J694=""),"",ROUND(N(H694)*J694*(1-N(K694)),2))</f>
        <v/>
      </c>
      <c r="O694" s="70" t="str">
        <f>IF(OR(N694="",NOT(ISNUMBER(M694))),"",ROUND(N694*M694,2))</f>
        <v/>
      </c>
      <c r="P694" s="70" t="str">
        <f>IF(N694="","",N694+N(O694))</f>
        <v/>
      </c>
      <c r="Q694" s="64" t="n"/>
      <c r="R694" s="73" t="str">
        <f>IF(N(Q694)&gt;0,Q694,IF(OR(N(B694)=0,ISNA(MATCH($C694,sup_code,0))),"",IF(ISNUMBER(INDEX(sup_delay,MATCH($C694,sup_code,0))),B694+INDEX(sup_delay,MATCH($C694,sup_code,0)),"")))</f>
        <v/>
      </c>
      <c r="S694" s="64" t="n"/>
      <c r="T694" s="68" t="n"/>
      <c r="U694" s="64" t="n"/>
      <c r="V694" s="65" t="n"/>
      <c r="W694" s="74" t="str">
        <f>IF(AND(A694="",E694=""),"",IF(V694="Oui",0,MAX(0,ROUND(N(H694)-N(T694),6))))</f>
        <v/>
      </c>
      <c r="X694" s="67" t="str">
        <f>IF(AND(A694="",E694=""),"",IF(V694="Oui","Annulé",IF(AND(N(H694)&gt;0,N(T694)&gt;=N(H694)),"Reçu",IF(N(S694)=0,"Brouillon",IF(AND(ISNUMBER(R694),R694&lt;p_today),"En retard",IF(N(T694)&gt;0,"Partiel","Envoyé"))))))</f>
        <v/>
      </c>
      <c r="Y694" s="75" t="str">
        <f>IF(X694="En retard",p_today-R694,IF(AND(X694="Reçu",ISNUMBER(R694)),MAX(0,N(U694)-R694),""))</f>
        <v/>
      </c>
      <c r="Z694" s="67" t="str">
        <f>IF(AND(A694="",E694=""),"",IF(A694="","N° de bon manquant",IF(N(B694)=0,"Date de commande manquante",IF(C694="","Fournisseur manquant",IF(ISNA(MATCH($C694,sup_code,0)),"Fournisseur inconnu",IF(E694="","Article manquant",IF(ISNA(MATCH($E694,art_ref,0)),"Article inconnu",IF(N(H694)&lt;=0,"Quantité invalide",IF(J694="","Prix manquant",IF(OR(N(K694)&lt;0,N(K694)&gt;=1),"Remise invalide",IF(M694="","TVA manquante",IF(ISNA(MATCH(M694,p_tva,0)),"Taux de TVA inconnu",IF(COUNTIFS(po_num,A694,po_sup,"&lt;&gt;"&amp;C694)&gt;0,"Fournisseur différent sur ce bon",IF(COUNTIFS(po_num,A694,po_date,"&lt;&gt;"&amp;B694)&gt;0,"Date différente sur ce bon",IF(COUNTIF(po_num,A694)&gt;25,"Plus de 25 lignes sur ce bon",IF(R694="","Date de livraison manquante",IF(R694&lt;B694,"Livraison avant la commande",IF(AND(N(T694)&gt;0,N(S694)=0),"Date d'envoi manquante",IF(N(T694)&gt;N(H694),"Reçu plus que commandé",IF(AND(N(T694)&gt;0,N(U694)=0),"Date de réception manquante",IF(AND(N(U694)&gt;0,U694&lt;B694),"Réception avant la commande","OK")))))))))))))))))))))</f>
        <v/>
      </c>
      <c r="AA694" s="66" t="str">
        <f>IF(AND(X694="Reçu",ISNUMBER(R694)),IF(N(U694)&lt;=R694,1,0),"")</f>
        <v/>
      </c>
      <c r="AB694" s="76" t="str">
        <f>IF(OR(X694="Envoyé",X694="Partiel",X694="En retard"),IF(ISNUMBER(R694),R694,100000)+ROW()/100000,"")</f>
        <v/>
      </c>
      <c r="AC694" s="66" t="str">
        <f>IF(A694="","",IF(COUNTIF($A$6:A694,A694)=1,1,""))</f>
        <v/>
      </c>
      <c r="AD694" s="66" t="str">
        <f>IF(AC694=1,COUNT($AC$6:AC694),"")</f>
        <v/>
      </c>
      <c r="AE694" s="66" t="str">
        <f>IFERROR(INDEX(po_num,MATCH(689,po_seq,0))&amp;"","")</f>
        <v/>
      </c>
      <c r="AF694" s="66" t="str">
        <f>IF(OR(A694="",p_po=""),"",IF(A694&amp;""=p_po,COUNTIF($A$6:A694,A694),""))</f>
        <v/>
      </c>
      <c r="AG694" s="66" t="str">
        <f>IF(OR(AB694="",A694=""),"",IF(COUNTIFS($A$6:A694,A694,$AB$6:AB694,"&gt;0")=1,1,""))</f>
        <v/>
      </c>
      <c r="AH694" s="70" t="str">
        <f>IF(AB694="","",ROUND(N(W694)*N(J694)*(1-N(K694)),2))</f>
        <v/>
      </c>
      <c r="AI694" s="70" t="str">
        <f>IF(OR(J694="",N(T694)&lt;=0,V694="Oui"),"",ROUND(N(T694)*J694*(1-N(K694)),2))</f>
        <v/>
      </c>
    </row>
    <row r="695">
      <c r="A695" s="63" t="n"/>
      <c r="B695" s="64" t="n"/>
      <c r="C695" s="65" t="n"/>
      <c r="D695" s="66" t="str">
        <f>IF(C695="","",IFERROR(INDEX(sup_name,MATCH($C695,sup_code,0))&amp;"","Fournisseur inconnu"))</f>
        <v/>
      </c>
      <c r="E695" s="63" t="n"/>
      <c r="F695" s="66" t="str">
        <f>IF(E695="","",IFERROR(INDEX(art_des,MATCH($E695,art_ref,0))&amp;"","Article inconnu"))</f>
        <v/>
      </c>
      <c r="G695" s="67" t="str">
        <f>IF(E695="","",IFERROR(INDEX(art_unit,MATCH($E695,art_ref,0))&amp;"",""))</f>
        <v/>
      </c>
      <c r="H695" s="68" t="n"/>
      <c r="I695" s="69" t="n"/>
      <c r="J695" s="70" t="str">
        <f>IF(E695="","",IF(ISNUMBER(I695),I695,IFERROR(IF(ISNUMBER(INDEX(art_price,MATCH($E695,art_ref,0))),INDEX(art_price,MATCH($E695,art_ref,0)),""),"")))</f>
        <v/>
      </c>
      <c r="K695" s="71" t="n"/>
      <c r="L695" s="72" t="n"/>
      <c r="M695" s="72" t="str">
        <f>IF(E695="","",IF(L695&lt;&gt;"",L695,IFERROR(IF(ISNUMBER(INDEX(art_tva,MATCH($E695,art_ref,0))),INDEX(art_tva,MATCH($E695,art_ref,0)),""),"")))</f>
        <v/>
      </c>
      <c r="N695" s="70" t="str">
        <f>IF(OR(E695="",J695=""),"",ROUND(N(H695)*J695*(1-N(K695)),2))</f>
        <v/>
      </c>
      <c r="O695" s="70" t="str">
        <f>IF(OR(N695="",NOT(ISNUMBER(M695))),"",ROUND(N695*M695,2))</f>
        <v/>
      </c>
      <c r="P695" s="70" t="str">
        <f>IF(N695="","",N695+N(O695))</f>
        <v/>
      </c>
      <c r="Q695" s="64" t="n"/>
      <c r="R695" s="73" t="str">
        <f>IF(N(Q695)&gt;0,Q695,IF(OR(N(B695)=0,ISNA(MATCH($C695,sup_code,0))),"",IF(ISNUMBER(INDEX(sup_delay,MATCH($C695,sup_code,0))),B695+INDEX(sup_delay,MATCH($C695,sup_code,0)),"")))</f>
        <v/>
      </c>
      <c r="S695" s="64" t="n"/>
      <c r="T695" s="68" t="n"/>
      <c r="U695" s="64" t="n"/>
      <c r="V695" s="65" t="n"/>
      <c r="W695" s="74" t="str">
        <f>IF(AND(A695="",E695=""),"",IF(V695="Oui",0,MAX(0,ROUND(N(H695)-N(T695),6))))</f>
        <v/>
      </c>
      <c r="X695" s="67" t="str">
        <f>IF(AND(A695="",E695=""),"",IF(V695="Oui","Annulé",IF(AND(N(H695)&gt;0,N(T695)&gt;=N(H695)),"Reçu",IF(N(S695)=0,"Brouillon",IF(AND(ISNUMBER(R695),R695&lt;p_today),"En retard",IF(N(T695)&gt;0,"Partiel","Envoyé"))))))</f>
        <v/>
      </c>
      <c r="Y695" s="75" t="str">
        <f>IF(X695="En retard",p_today-R695,IF(AND(X695="Reçu",ISNUMBER(R695)),MAX(0,N(U695)-R695),""))</f>
        <v/>
      </c>
      <c r="Z695" s="67" t="str">
        <f>IF(AND(A695="",E695=""),"",IF(A695="","N° de bon manquant",IF(N(B695)=0,"Date de commande manquante",IF(C695="","Fournisseur manquant",IF(ISNA(MATCH($C695,sup_code,0)),"Fournisseur inconnu",IF(E695="","Article manquant",IF(ISNA(MATCH($E695,art_ref,0)),"Article inconnu",IF(N(H695)&lt;=0,"Quantité invalide",IF(J695="","Prix manquant",IF(OR(N(K695)&lt;0,N(K695)&gt;=1),"Remise invalide",IF(M695="","TVA manquante",IF(ISNA(MATCH(M695,p_tva,0)),"Taux de TVA inconnu",IF(COUNTIFS(po_num,A695,po_sup,"&lt;&gt;"&amp;C695)&gt;0,"Fournisseur différent sur ce bon",IF(COUNTIFS(po_num,A695,po_date,"&lt;&gt;"&amp;B695)&gt;0,"Date différente sur ce bon",IF(COUNTIF(po_num,A695)&gt;25,"Plus de 25 lignes sur ce bon",IF(R695="","Date de livraison manquante",IF(R695&lt;B695,"Livraison avant la commande",IF(AND(N(T695)&gt;0,N(S695)=0),"Date d'envoi manquante",IF(N(T695)&gt;N(H695),"Reçu plus que commandé",IF(AND(N(T695)&gt;0,N(U695)=0),"Date de réception manquante",IF(AND(N(U695)&gt;0,U695&lt;B695),"Réception avant la commande","OK")))))))))))))))))))))</f>
        <v/>
      </c>
      <c r="AA695" s="66" t="str">
        <f>IF(AND(X695="Reçu",ISNUMBER(R695)),IF(N(U695)&lt;=R695,1,0),"")</f>
        <v/>
      </c>
      <c r="AB695" s="76" t="str">
        <f>IF(OR(X695="Envoyé",X695="Partiel",X695="En retard"),IF(ISNUMBER(R695),R695,100000)+ROW()/100000,"")</f>
        <v/>
      </c>
      <c r="AC695" s="66" t="str">
        <f>IF(A695="","",IF(COUNTIF($A$6:A695,A695)=1,1,""))</f>
        <v/>
      </c>
      <c r="AD695" s="66" t="str">
        <f>IF(AC695=1,COUNT($AC$6:AC695),"")</f>
        <v/>
      </c>
      <c r="AE695" s="66" t="str">
        <f>IFERROR(INDEX(po_num,MATCH(690,po_seq,0))&amp;"","")</f>
        <v/>
      </c>
      <c r="AF695" s="66" t="str">
        <f>IF(OR(A695="",p_po=""),"",IF(A695&amp;""=p_po,COUNTIF($A$6:A695,A695),""))</f>
        <v/>
      </c>
      <c r="AG695" s="66" t="str">
        <f>IF(OR(AB695="",A695=""),"",IF(COUNTIFS($A$6:A695,A695,$AB$6:AB695,"&gt;0")=1,1,""))</f>
        <v/>
      </c>
      <c r="AH695" s="70" t="str">
        <f>IF(AB695="","",ROUND(N(W695)*N(J695)*(1-N(K695)),2))</f>
        <v/>
      </c>
      <c r="AI695" s="70" t="str">
        <f>IF(OR(J695="",N(T695)&lt;=0,V695="Oui"),"",ROUND(N(T695)*J695*(1-N(K695)),2))</f>
        <v/>
      </c>
    </row>
    <row r="696">
      <c r="A696" s="63" t="n"/>
      <c r="B696" s="64" t="n"/>
      <c r="C696" s="65" t="n"/>
      <c r="D696" s="66" t="str">
        <f>IF(C696="","",IFERROR(INDEX(sup_name,MATCH($C696,sup_code,0))&amp;"","Fournisseur inconnu"))</f>
        <v/>
      </c>
      <c r="E696" s="63" t="n"/>
      <c r="F696" s="66" t="str">
        <f>IF(E696="","",IFERROR(INDEX(art_des,MATCH($E696,art_ref,0))&amp;"","Article inconnu"))</f>
        <v/>
      </c>
      <c r="G696" s="67" t="str">
        <f>IF(E696="","",IFERROR(INDEX(art_unit,MATCH($E696,art_ref,0))&amp;"",""))</f>
        <v/>
      </c>
      <c r="H696" s="68" t="n"/>
      <c r="I696" s="69" t="n"/>
      <c r="J696" s="70" t="str">
        <f>IF(E696="","",IF(ISNUMBER(I696),I696,IFERROR(IF(ISNUMBER(INDEX(art_price,MATCH($E696,art_ref,0))),INDEX(art_price,MATCH($E696,art_ref,0)),""),"")))</f>
        <v/>
      </c>
      <c r="K696" s="71" t="n"/>
      <c r="L696" s="72" t="n"/>
      <c r="M696" s="72" t="str">
        <f>IF(E696="","",IF(L696&lt;&gt;"",L696,IFERROR(IF(ISNUMBER(INDEX(art_tva,MATCH($E696,art_ref,0))),INDEX(art_tva,MATCH($E696,art_ref,0)),""),"")))</f>
        <v/>
      </c>
      <c r="N696" s="70" t="str">
        <f>IF(OR(E696="",J696=""),"",ROUND(N(H696)*J696*(1-N(K696)),2))</f>
        <v/>
      </c>
      <c r="O696" s="70" t="str">
        <f>IF(OR(N696="",NOT(ISNUMBER(M696))),"",ROUND(N696*M696,2))</f>
        <v/>
      </c>
      <c r="P696" s="70" t="str">
        <f>IF(N696="","",N696+N(O696))</f>
        <v/>
      </c>
      <c r="Q696" s="64" t="n"/>
      <c r="R696" s="73" t="str">
        <f>IF(N(Q696)&gt;0,Q696,IF(OR(N(B696)=0,ISNA(MATCH($C696,sup_code,0))),"",IF(ISNUMBER(INDEX(sup_delay,MATCH($C696,sup_code,0))),B696+INDEX(sup_delay,MATCH($C696,sup_code,0)),"")))</f>
        <v/>
      </c>
      <c r="S696" s="64" t="n"/>
      <c r="T696" s="68" t="n"/>
      <c r="U696" s="64" t="n"/>
      <c r="V696" s="65" t="n"/>
      <c r="W696" s="74" t="str">
        <f>IF(AND(A696="",E696=""),"",IF(V696="Oui",0,MAX(0,ROUND(N(H696)-N(T696),6))))</f>
        <v/>
      </c>
      <c r="X696" s="67" t="str">
        <f>IF(AND(A696="",E696=""),"",IF(V696="Oui","Annulé",IF(AND(N(H696)&gt;0,N(T696)&gt;=N(H696)),"Reçu",IF(N(S696)=0,"Brouillon",IF(AND(ISNUMBER(R696),R696&lt;p_today),"En retard",IF(N(T696)&gt;0,"Partiel","Envoyé"))))))</f>
        <v/>
      </c>
      <c r="Y696" s="75" t="str">
        <f>IF(X696="En retard",p_today-R696,IF(AND(X696="Reçu",ISNUMBER(R696)),MAX(0,N(U696)-R696),""))</f>
        <v/>
      </c>
      <c r="Z696" s="67" t="str">
        <f>IF(AND(A696="",E696=""),"",IF(A696="","N° de bon manquant",IF(N(B696)=0,"Date de commande manquante",IF(C696="","Fournisseur manquant",IF(ISNA(MATCH($C696,sup_code,0)),"Fournisseur inconnu",IF(E696="","Article manquant",IF(ISNA(MATCH($E696,art_ref,0)),"Article inconnu",IF(N(H696)&lt;=0,"Quantité invalide",IF(J696="","Prix manquant",IF(OR(N(K696)&lt;0,N(K696)&gt;=1),"Remise invalide",IF(M696="","TVA manquante",IF(ISNA(MATCH(M696,p_tva,0)),"Taux de TVA inconnu",IF(COUNTIFS(po_num,A696,po_sup,"&lt;&gt;"&amp;C696)&gt;0,"Fournisseur différent sur ce bon",IF(COUNTIFS(po_num,A696,po_date,"&lt;&gt;"&amp;B696)&gt;0,"Date différente sur ce bon",IF(COUNTIF(po_num,A696)&gt;25,"Plus de 25 lignes sur ce bon",IF(R696="","Date de livraison manquante",IF(R696&lt;B696,"Livraison avant la commande",IF(AND(N(T696)&gt;0,N(S696)=0),"Date d'envoi manquante",IF(N(T696)&gt;N(H696),"Reçu plus que commandé",IF(AND(N(T696)&gt;0,N(U696)=0),"Date de réception manquante",IF(AND(N(U696)&gt;0,U696&lt;B696),"Réception avant la commande","OK")))))))))))))))))))))</f>
        <v/>
      </c>
      <c r="AA696" s="66" t="str">
        <f>IF(AND(X696="Reçu",ISNUMBER(R696)),IF(N(U696)&lt;=R696,1,0),"")</f>
        <v/>
      </c>
      <c r="AB696" s="76" t="str">
        <f>IF(OR(X696="Envoyé",X696="Partiel",X696="En retard"),IF(ISNUMBER(R696),R696,100000)+ROW()/100000,"")</f>
        <v/>
      </c>
      <c r="AC696" s="66" t="str">
        <f>IF(A696="","",IF(COUNTIF($A$6:A696,A696)=1,1,""))</f>
        <v/>
      </c>
      <c r="AD696" s="66" t="str">
        <f>IF(AC696=1,COUNT($AC$6:AC696),"")</f>
        <v/>
      </c>
      <c r="AE696" s="66" t="str">
        <f>IFERROR(INDEX(po_num,MATCH(691,po_seq,0))&amp;"","")</f>
        <v/>
      </c>
      <c r="AF696" s="66" t="str">
        <f>IF(OR(A696="",p_po=""),"",IF(A696&amp;""=p_po,COUNTIF($A$6:A696,A696),""))</f>
        <v/>
      </c>
      <c r="AG696" s="66" t="str">
        <f>IF(OR(AB696="",A696=""),"",IF(COUNTIFS($A$6:A696,A696,$AB$6:AB696,"&gt;0")=1,1,""))</f>
        <v/>
      </c>
      <c r="AH696" s="70" t="str">
        <f>IF(AB696="","",ROUND(N(W696)*N(J696)*(1-N(K696)),2))</f>
        <v/>
      </c>
      <c r="AI696" s="70" t="str">
        <f>IF(OR(J696="",N(T696)&lt;=0,V696="Oui"),"",ROUND(N(T696)*J696*(1-N(K696)),2))</f>
        <v/>
      </c>
    </row>
    <row r="697">
      <c r="A697" s="63" t="n"/>
      <c r="B697" s="64" t="n"/>
      <c r="C697" s="65" t="n"/>
      <c r="D697" s="66" t="str">
        <f>IF(C697="","",IFERROR(INDEX(sup_name,MATCH($C697,sup_code,0))&amp;"","Fournisseur inconnu"))</f>
        <v/>
      </c>
      <c r="E697" s="63" t="n"/>
      <c r="F697" s="66" t="str">
        <f>IF(E697="","",IFERROR(INDEX(art_des,MATCH($E697,art_ref,0))&amp;"","Article inconnu"))</f>
        <v/>
      </c>
      <c r="G697" s="67" t="str">
        <f>IF(E697="","",IFERROR(INDEX(art_unit,MATCH($E697,art_ref,0))&amp;"",""))</f>
        <v/>
      </c>
      <c r="H697" s="68" t="n"/>
      <c r="I697" s="69" t="n"/>
      <c r="J697" s="70" t="str">
        <f>IF(E697="","",IF(ISNUMBER(I697),I697,IFERROR(IF(ISNUMBER(INDEX(art_price,MATCH($E697,art_ref,0))),INDEX(art_price,MATCH($E697,art_ref,0)),""),"")))</f>
        <v/>
      </c>
      <c r="K697" s="71" t="n"/>
      <c r="L697" s="72" t="n"/>
      <c r="M697" s="72" t="str">
        <f>IF(E697="","",IF(L697&lt;&gt;"",L697,IFERROR(IF(ISNUMBER(INDEX(art_tva,MATCH($E697,art_ref,0))),INDEX(art_tva,MATCH($E697,art_ref,0)),""),"")))</f>
        <v/>
      </c>
      <c r="N697" s="70" t="str">
        <f>IF(OR(E697="",J697=""),"",ROUND(N(H697)*J697*(1-N(K697)),2))</f>
        <v/>
      </c>
      <c r="O697" s="70" t="str">
        <f>IF(OR(N697="",NOT(ISNUMBER(M697))),"",ROUND(N697*M697,2))</f>
        <v/>
      </c>
      <c r="P697" s="70" t="str">
        <f>IF(N697="","",N697+N(O697))</f>
        <v/>
      </c>
      <c r="Q697" s="64" t="n"/>
      <c r="R697" s="73" t="str">
        <f>IF(N(Q697)&gt;0,Q697,IF(OR(N(B697)=0,ISNA(MATCH($C697,sup_code,0))),"",IF(ISNUMBER(INDEX(sup_delay,MATCH($C697,sup_code,0))),B697+INDEX(sup_delay,MATCH($C697,sup_code,0)),"")))</f>
        <v/>
      </c>
      <c r="S697" s="64" t="n"/>
      <c r="T697" s="68" t="n"/>
      <c r="U697" s="64" t="n"/>
      <c r="V697" s="65" t="n"/>
      <c r="W697" s="74" t="str">
        <f>IF(AND(A697="",E697=""),"",IF(V697="Oui",0,MAX(0,ROUND(N(H697)-N(T697),6))))</f>
        <v/>
      </c>
      <c r="X697" s="67" t="str">
        <f>IF(AND(A697="",E697=""),"",IF(V697="Oui","Annulé",IF(AND(N(H697)&gt;0,N(T697)&gt;=N(H697)),"Reçu",IF(N(S697)=0,"Brouillon",IF(AND(ISNUMBER(R697),R697&lt;p_today),"En retard",IF(N(T697)&gt;0,"Partiel","Envoyé"))))))</f>
        <v/>
      </c>
      <c r="Y697" s="75" t="str">
        <f>IF(X697="En retard",p_today-R697,IF(AND(X697="Reçu",ISNUMBER(R697)),MAX(0,N(U697)-R697),""))</f>
        <v/>
      </c>
      <c r="Z697" s="67" t="str">
        <f>IF(AND(A697="",E697=""),"",IF(A697="","N° de bon manquant",IF(N(B697)=0,"Date de commande manquante",IF(C697="","Fournisseur manquant",IF(ISNA(MATCH($C697,sup_code,0)),"Fournisseur inconnu",IF(E697="","Article manquant",IF(ISNA(MATCH($E697,art_ref,0)),"Article inconnu",IF(N(H697)&lt;=0,"Quantité invalide",IF(J697="","Prix manquant",IF(OR(N(K697)&lt;0,N(K697)&gt;=1),"Remise invalide",IF(M697="","TVA manquante",IF(ISNA(MATCH(M697,p_tva,0)),"Taux de TVA inconnu",IF(COUNTIFS(po_num,A697,po_sup,"&lt;&gt;"&amp;C697)&gt;0,"Fournisseur différent sur ce bon",IF(COUNTIFS(po_num,A697,po_date,"&lt;&gt;"&amp;B697)&gt;0,"Date différente sur ce bon",IF(COUNTIF(po_num,A697)&gt;25,"Plus de 25 lignes sur ce bon",IF(R697="","Date de livraison manquante",IF(R697&lt;B697,"Livraison avant la commande",IF(AND(N(T697)&gt;0,N(S697)=0),"Date d'envoi manquante",IF(N(T697)&gt;N(H697),"Reçu plus que commandé",IF(AND(N(T697)&gt;0,N(U697)=0),"Date de réception manquante",IF(AND(N(U697)&gt;0,U697&lt;B697),"Réception avant la commande","OK")))))))))))))))))))))</f>
        <v/>
      </c>
      <c r="AA697" s="66" t="str">
        <f>IF(AND(X697="Reçu",ISNUMBER(R697)),IF(N(U697)&lt;=R697,1,0),"")</f>
        <v/>
      </c>
      <c r="AB697" s="76" t="str">
        <f>IF(OR(X697="Envoyé",X697="Partiel",X697="En retard"),IF(ISNUMBER(R697),R697,100000)+ROW()/100000,"")</f>
        <v/>
      </c>
      <c r="AC697" s="66" t="str">
        <f>IF(A697="","",IF(COUNTIF($A$6:A697,A697)=1,1,""))</f>
        <v/>
      </c>
      <c r="AD697" s="66" t="str">
        <f>IF(AC697=1,COUNT($AC$6:AC697),"")</f>
        <v/>
      </c>
      <c r="AE697" s="66" t="str">
        <f>IFERROR(INDEX(po_num,MATCH(692,po_seq,0))&amp;"","")</f>
        <v/>
      </c>
      <c r="AF697" s="66" t="str">
        <f>IF(OR(A697="",p_po=""),"",IF(A697&amp;""=p_po,COUNTIF($A$6:A697,A697),""))</f>
        <v/>
      </c>
      <c r="AG697" s="66" t="str">
        <f>IF(OR(AB697="",A697=""),"",IF(COUNTIFS($A$6:A697,A697,$AB$6:AB697,"&gt;0")=1,1,""))</f>
        <v/>
      </c>
      <c r="AH697" s="70" t="str">
        <f>IF(AB697="","",ROUND(N(W697)*N(J697)*(1-N(K697)),2))</f>
        <v/>
      </c>
      <c r="AI697" s="70" t="str">
        <f>IF(OR(J697="",N(T697)&lt;=0,V697="Oui"),"",ROUND(N(T697)*J697*(1-N(K697)),2))</f>
        <v/>
      </c>
    </row>
    <row r="698">
      <c r="A698" s="63" t="n"/>
      <c r="B698" s="64" t="n"/>
      <c r="C698" s="65" t="n"/>
      <c r="D698" s="66" t="str">
        <f>IF(C698="","",IFERROR(INDEX(sup_name,MATCH($C698,sup_code,0))&amp;"","Fournisseur inconnu"))</f>
        <v/>
      </c>
      <c r="E698" s="63" t="n"/>
      <c r="F698" s="66" t="str">
        <f>IF(E698="","",IFERROR(INDEX(art_des,MATCH($E698,art_ref,0))&amp;"","Article inconnu"))</f>
        <v/>
      </c>
      <c r="G698" s="67" t="str">
        <f>IF(E698="","",IFERROR(INDEX(art_unit,MATCH($E698,art_ref,0))&amp;"",""))</f>
        <v/>
      </c>
      <c r="H698" s="68" t="n"/>
      <c r="I698" s="69" t="n"/>
      <c r="J698" s="70" t="str">
        <f>IF(E698="","",IF(ISNUMBER(I698),I698,IFERROR(IF(ISNUMBER(INDEX(art_price,MATCH($E698,art_ref,0))),INDEX(art_price,MATCH($E698,art_ref,0)),""),"")))</f>
        <v/>
      </c>
      <c r="K698" s="71" t="n"/>
      <c r="L698" s="72" t="n"/>
      <c r="M698" s="72" t="str">
        <f>IF(E698="","",IF(L698&lt;&gt;"",L698,IFERROR(IF(ISNUMBER(INDEX(art_tva,MATCH($E698,art_ref,0))),INDEX(art_tva,MATCH($E698,art_ref,0)),""),"")))</f>
        <v/>
      </c>
      <c r="N698" s="70" t="str">
        <f>IF(OR(E698="",J698=""),"",ROUND(N(H698)*J698*(1-N(K698)),2))</f>
        <v/>
      </c>
      <c r="O698" s="70" t="str">
        <f>IF(OR(N698="",NOT(ISNUMBER(M698))),"",ROUND(N698*M698,2))</f>
        <v/>
      </c>
      <c r="P698" s="70" t="str">
        <f>IF(N698="","",N698+N(O698))</f>
        <v/>
      </c>
      <c r="Q698" s="64" t="n"/>
      <c r="R698" s="73" t="str">
        <f>IF(N(Q698)&gt;0,Q698,IF(OR(N(B698)=0,ISNA(MATCH($C698,sup_code,0))),"",IF(ISNUMBER(INDEX(sup_delay,MATCH($C698,sup_code,0))),B698+INDEX(sup_delay,MATCH($C698,sup_code,0)),"")))</f>
        <v/>
      </c>
      <c r="S698" s="64" t="n"/>
      <c r="T698" s="68" t="n"/>
      <c r="U698" s="64" t="n"/>
      <c r="V698" s="65" t="n"/>
      <c r="W698" s="74" t="str">
        <f>IF(AND(A698="",E698=""),"",IF(V698="Oui",0,MAX(0,ROUND(N(H698)-N(T698),6))))</f>
        <v/>
      </c>
      <c r="X698" s="67" t="str">
        <f>IF(AND(A698="",E698=""),"",IF(V698="Oui","Annulé",IF(AND(N(H698)&gt;0,N(T698)&gt;=N(H698)),"Reçu",IF(N(S698)=0,"Brouillon",IF(AND(ISNUMBER(R698),R698&lt;p_today),"En retard",IF(N(T698)&gt;0,"Partiel","Envoyé"))))))</f>
        <v/>
      </c>
      <c r="Y698" s="75" t="str">
        <f>IF(X698="En retard",p_today-R698,IF(AND(X698="Reçu",ISNUMBER(R698)),MAX(0,N(U698)-R698),""))</f>
        <v/>
      </c>
      <c r="Z698" s="67" t="str">
        <f>IF(AND(A698="",E698=""),"",IF(A698="","N° de bon manquant",IF(N(B698)=0,"Date de commande manquante",IF(C698="","Fournisseur manquant",IF(ISNA(MATCH($C698,sup_code,0)),"Fournisseur inconnu",IF(E698="","Article manquant",IF(ISNA(MATCH($E698,art_ref,0)),"Article inconnu",IF(N(H698)&lt;=0,"Quantité invalide",IF(J698="","Prix manquant",IF(OR(N(K698)&lt;0,N(K698)&gt;=1),"Remise invalide",IF(M698="","TVA manquante",IF(ISNA(MATCH(M698,p_tva,0)),"Taux de TVA inconnu",IF(COUNTIFS(po_num,A698,po_sup,"&lt;&gt;"&amp;C698)&gt;0,"Fournisseur différent sur ce bon",IF(COUNTIFS(po_num,A698,po_date,"&lt;&gt;"&amp;B698)&gt;0,"Date différente sur ce bon",IF(COUNTIF(po_num,A698)&gt;25,"Plus de 25 lignes sur ce bon",IF(R698="","Date de livraison manquante",IF(R698&lt;B698,"Livraison avant la commande",IF(AND(N(T698)&gt;0,N(S698)=0),"Date d'envoi manquante",IF(N(T698)&gt;N(H698),"Reçu plus que commandé",IF(AND(N(T698)&gt;0,N(U698)=0),"Date de réception manquante",IF(AND(N(U698)&gt;0,U698&lt;B698),"Réception avant la commande","OK")))))))))))))))))))))</f>
        <v/>
      </c>
      <c r="AA698" s="66" t="str">
        <f>IF(AND(X698="Reçu",ISNUMBER(R698)),IF(N(U698)&lt;=R698,1,0),"")</f>
        <v/>
      </c>
      <c r="AB698" s="76" t="str">
        <f>IF(OR(X698="Envoyé",X698="Partiel",X698="En retard"),IF(ISNUMBER(R698),R698,100000)+ROW()/100000,"")</f>
        <v/>
      </c>
      <c r="AC698" s="66" t="str">
        <f>IF(A698="","",IF(COUNTIF($A$6:A698,A698)=1,1,""))</f>
        <v/>
      </c>
      <c r="AD698" s="66" t="str">
        <f>IF(AC698=1,COUNT($AC$6:AC698),"")</f>
        <v/>
      </c>
      <c r="AE698" s="66" t="str">
        <f>IFERROR(INDEX(po_num,MATCH(693,po_seq,0))&amp;"","")</f>
        <v/>
      </c>
      <c r="AF698" s="66" t="str">
        <f>IF(OR(A698="",p_po=""),"",IF(A698&amp;""=p_po,COUNTIF($A$6:A698,A698),""))</f>
        <v/>
      </c>
      <c r="AG698" s="66" t="str">
        <f>IF(OR(AB698="",A698=""),"",IF(COUNTIFS($A$6:A698,A698,$AB$6:AB698,"&gt;0")=1,1,""))</f>
        <v/>
      </c>
      <c r="AH698" s="70" t="str">
        <f>IF(AB698="","",ROUND(N(W698)*N(J698)*(1-N(K698)),2))</f>
        <v/>
      </c>
      <c r="AI698" s="70" t="str">
        <f>IF(OR(J698="",N(T698)&lt;=0,V698="Oui"),"",ROUND(N(T698)*J698*(1-N(K698)),2))</f>
        <v/>
      </c>
    </row>
    <row r="699">
      <c r="A699" s="63" t="n"/>
      <c r="B699" s="64" t="n"/>
      <c r="C699" s="65" t="n"/>
      <c r="D699" s="66" t="str">
        <f>IF(C699="","",IFERROR(INDEX(sup_name,MATCH($C699,sup_code,0))&amp;"","Fournisseur inconnu"))</f>
        <v/>
      </c>
      <c r="E699" s="63" t="n"/>
      <c r="F699" s="66" t="str">
        <f>IF(E699="","",IFERROR(INDEX(art_des,MATCH($E699,art_ref,0))&amp;"","Article inconnu"))</f>
        <v/>
      </c>
      <c r="G699" s="67" t="str">
        <f>IF(E699="","",IFERROR(INDEX(art_unit,MATCH($E699,art_ref,0))&amp;"",""))</f>
        <v/>
      </c>
      <c r="H699" s="68" t="n"/>
      <c r="I699" s="69" t="n"/>
      <c r="J699" s="70" t="str">
        <f>IF(E699="","",IF(ISNUMBER(I699),I699,IFERROR(IF(ISNUMBER(INDEX(art_price,MATCH($E699,art_ref,0))),INDEX(art_price,MATCH($E699,art_ref,0)),""),"")))</f>
        <v/>
      </c>
      <c r="K699" s="71" t="n"/>
      <c r="L699" s="72" t="n"/>
      <c r="M699" s="72" t="str">
        <f>IF(E699="","",IF(L699&lt;&gt;"",L699,IFERROR(IF(ISNUMBER(INDEX(art_tva,MATCH($E699,art_ref,0))),INDEX(art_tva,MATCH($E699,art_ref,0)),""),"")))</f>
        <v/>
      </c>
      <c r="N699" s="70" t="str">
        <f>IF(OR(E699="",J699=""),"",ROUND(N(H699)*J699*(1-N(K699)),2))</f>
        <v/>
      </c>
      <c r="O699" s="70" t="str">
        <f>IF(OR(N699="",NOT(ISNUMBER(M699))),"",ROUND(N699*M699,2))</f>
        <v/>
      </c>
      <c r="P699" s="70" t="str">
        <f>IF(N699="","",N699+N(O699))</f>
        <v/>
      </c>
      <c r="Q699" s="64" t="n"/>
      <c r="R699" s="73" t="str">
        <f>IF(N(Q699)&gt;0,Q699,IF(OR(N(B699)=0,ISNA(MATCH($C699,sup_code,0))),"",IF(ISNUMBER(INDEX(sup_delay,MATCH($C699,sup_code,0))),B699+INDEX(sup_delay,MATCH($C699,sup_code,0)),"")))</f>
        <v/>
      </c>
      <c r="S699" s="64" t="n"/>
      <c r="T699" s="68" t="n"/>
      <c r="U699" s="64" t="n"/>
      <c r="V699" s="65" t="n"/>
      <c r="W699" s="74" t="str">
        <f>IF(AND(A699="",E699=""),"",IF(V699="Oui",0,MAX(0,ROUND(N(H699)-N(T699),6))))</f>
        <v/>
      </c>
      <c r="X699" s="67" t="str">
        <f>IF(AND(A699="",E699=""),"",IF(V699="Oui","Annulé",IF(AND(N(H699)&gt;0,N(T699)&gt;=N(H699)),"Reçu",IF(N(S699)=0,"Brouillon",IF(AND(ISNUMBER(R699),R699&lt;p_today),"En retard",IF(N(T699)&gt;0,"Partiel","Envoyé"))))))</f>
        <v/>
      </c>
      <c r="Y699" s="75" t="str">
        <f>IF(X699="En retard",p_today-R699,IF(AND(X699="Reçu",ISNUMBER(R699)),MAX(0,N(U699)-R699),""))</f>
        <v/>
      </c>
      <c r="Z699" s="67" t="str">
        <f>IF(AND(A699="",E699=""),"",IF(A699="","N° de bon manquant",IF(N(B699)=0,"Date de commande manquante",IF(C699="","Fournisseur manquant",IF(ISNA(MATCH($C699,sup_code,0)),"Fournisseur inconnu",IF(E699="","Article manquant",IF(ISNA(MATCH($E699,art_ref,0)),"Article inconnu",IF(N(H699)&lt;=0,"Quantité invalide",IF(J699="","Prix manquant",IF(OR(N(K699)&lt;0,N(K699)&gt;=1),"Remise invalide",IF(M699="","TVA manquante",IF(ISNA(MATCH(M699,p_tva,0)),"Taux de TVA inconnu",IF(COUNTIFS(po_num,A699,po_sup,"&lt;&gt;"&amp;C699)&gt;0,"Fournisseur différent sur ce bon",IF(COUNTIFS(po_num,A699,po_date,"&lt;&gt;"&amp;B699)&gt;0,"Date différente sur ce bon",IF(COUNTIF(po_num,A699)&gt;25,"Plus de 25 lignes sur ce bon",IF(R699="","Date de livraison manquante",IF(R699&lt;B699,"Livraison avant la commande",IF(AND(N(T699)&gt;0,N(S699)=0),"Date d'envoi manquante",IF(N(T699)&gt;N(H699),"Reçu plus que commandé",IF(AND(N(T699)&gt;0,N(U699)=0),"Date de réception manquante",IF(AND(N(U699)&gt;0,U699&lt;B699),"Réception avant la commande","OK")))))))))))))))))))))</f>
        <v/>
      </c>
      <c r="AA699" s="66" t="str">
        <f>IF(AND(X699="Reçu",ISNUMBER(R699)),IF(N(U699)&lt;=R699,1,0),"")</f>
        <v/>
      </c>
      <c r="AB699" s="76" t="str">
        <f>IF(OR(X699="Envoyé",X699="Partiel",X699="En retard"),IF(ISNUMBER(R699),R699,100000)+ROW()/100000,"")</f>
        <v/>
      </c>
      <c r="AC699" s="66" t="str">
        <f>IF(A699="","",IF(COUNTIF($A$6:A699,A699)=1,1,""))</f>
        <v/>
      </c>
      <c r="AD699" s="66" t="str">
        <f>IF(AC699=1,COUNT($AC$6:AC699),"")</f>
        <v/>
      </c>
      <c r="AE699" s="66" t="str">
        <f>IFERROR(INDEX(po_num,MATCH(694,po_seq,0))&amp;"","")</f>
        <v/>
      </c>
      <c r="AF699" s="66" t="str">
        <f>IF(OR(A699="",p_po=""),"",IF(A699&amp;""=p_po,COUNTIF($A$6:A699,A699),""))</f>
        <v/>
      </c>
      <c r="AG699" s="66" t="str">
        <f>IF(OR(AB699="",A699=""),"",IF(COUNTIFS($A$6:A699,A699,$AB$6:AB699,"&gt;0")=1,1,""))</f>
        <v/>
      </c>
      <c r="AH699" s="70" t="str">
        <f>IF(AB699="","",ROUND(N(W699)*N(J699)*(1-N(K699)),2))</f>
        <v/>
      </c>
      <c r="AI699" s="70" t="str">
        <f>IF(OR(J699="",N(T699)&lt;=0,V699="Oui"),"",ROUND(N(T699)*J699*(1-N(K699)),2))</f>
        <v/>
      </c>
    </row>
    <row r="700">
      <c r="A700" s="63" t="n"/>
      <c r="B700" s="64" t="n"/>
      <c r="C700" s="65" t="n"/>
      <c r="D700" s="66" t="str">
        <f>IF(C700="","",IFERROR(INDEX(sup_name,MATCH($C700,sup_code,0))&amp;"","Fournisseur inconnu"))</f>
        <v/>
      </c>
      <c r="E700" s="63" t="n"/>
      <c r="F700" s="66" t="str">
        <f>IF(E700="","",IFERROR(INDEX(art_des,MATCH($E700,art_ref,0))&amp;"","Article inconnu"))</f>
        <v/>
      </c>
      <c r="G700" s="67" t="str">
        <f>IF(E700="","",IFERROR(INDEX(art_unit,MATCH($E700,art_ref,0))&amp;"",""))</f>
        <v/>
      </c>
      <c r="H700" s="68" t="n"/>
      <c r="I700" s="69" t="n"/>
      <c r="J700" s="70" t="str">
        <f>IF(E700="","",IF(ISNUMBER(I700),I700,IFERROR(IF(ISNUMBER(INDEX(art_price,MATCH($E700,art_ref,0))),INDEX(art_price,MATCH($E700,art_ref,0)),""),"")))</f>
        <v/>
      </c>
      <c r="K700" s="71" t="n"/>
      <c r="L700" s="72" t="n"/>
      <c r="M700" s="72" t="str">
        <f>IF(E700="","",IF(L700&lt;&gt;"",L700,IFERROR(IF(ISNUMBER(INDEX(art_tva,MATCH($E700,art_ref,0))),INDEX(art_tva,MATCH($E700,art_ref,0)),""),"")))</f>
        <v/>
      </c>
      <c r="N700" s="70" t="str">
        <f>IF(OR(E700="",J700=""),"",ROUND(N(H700)*J700*(1-N(K700)),2))</f>
        <v/>
      </c>
      <c r="O700" s="70" t="str">
        <f>IF(OR(N700="",NOT(ISNUMBER(M700))),"",ROUND(N700*M700,2))</f>
        <v/>
      </c>
      <c r="P700" s="70" t="str">
        <f>IF(N700="","",N700+N(O700))</f>
        <v/>
      </c>
      <c r="Q700" s="64" t="n"/>
      <c r="R700" s="73" t="str">
        <f>IF(N(Q700)&gt;0,Q700,IF(OR(N(B700)=0,ISNA(MATCH($C700,sup_code,0))),"",IF(ISNUMBER(INDEX(sup_delay,MATCH($C700,sup_code,0))),B700+INDEX(sup_delay,MATCH($C700,sup_code,0)),"")))</f>
        <v/>
      </c>
      <c r="S700" s="64" t="n"/>
      <c r="T700" s="68" t="n"/>
      <c r="U700" s="64" t="n"/>
      <c r="V700" s="65" t="n"/>
      <c r="W700" s="74" t="str">
        <f>IF(AND(A700="",E700=""),"",IF(V700="Oui",0,MAX(0,ROUND(N(H700)-N(T700),6))))</f>
        <v/>
      </c>
      <c r="X700" s="67" t="str">
        <f>IF(AND(A700="",E700=""),"",IF(V700="Oui","Annulé",IF(AND(N(H700)&gt;0,N(T700)&gt;=N(H700)),"Reçu",IF(N(S700)=0,"Brouillon",IF(AND(ISNUMBER(R700),R700&lt;p_today),"En retard",IF(N(T700)&gt;0,"Partiel","Envoyé"))))))</f>
        <v/>
      </c>
      <c r="Y700" s="75" t="str">
        <f>IF(X700="En retard",p_today-R700,IF(AND(X700="Reçu",ISNUMBER(R700)),MAX(0,N(U700)-R700),""))</f>
        <v/>
      </c>
      <c r="Z700" s="67" t="str">
        <f>IF(AND(A700="",E700=""),"",IF(A700="","N° de bon manquant",IF(N(B700)=0,"Date de commande manquante",IF(C700="","Fournisseur manquant",IF(ISNA(MATCH($C700,sup_code,0)),"Fournisseur inconnu",IF(E700="","Article manquant",IF(ISNA(MATCH($E700,art_ref,0)),"Article inconnu",IF(N(H700)&lt;=0,"Quantité invalide",IF(J700="","Prix manquant",IF(OR(N(K700)&lt;0,N(K700)&gt;=1),"Remise invalide",IF(M700="","TVA manquante",IF(ISNA(MATCH(M700,p_tva,0)),"Taux de TVA inconnu",IF(COUNTIFS(po_num,A700,po_sup,"&lt;&gt;"&amp;C700)&gt;0,"Fournisseur différent sur ce bon",IF(COUNTIFS(po_num,A700,po_date,"&lt;&gt;"&amp;B700)&gt;0,"Date différente sur ce bon",IF(COUNTIF(po_num,A700)&gt;25,"Plus de 25 lignes sur ce bon",IF(R700="","Date de livraison manquante",IF(R700&lt;B700,"Livraison avant la commande",IF(AND(N(T700)&gt;0,N(S700)=0),"Date d'envoi manquante",IF(N(T700)&gt;N(H700),"Reçu plus que commandé",IF(AND(N(T700)&gt;0,N(U700)=0),"Date de réception manquante",IF(AND(N(U700)&gt;0,U700&lt;B700),"Réception avant la commande","OK")))))))))))))))))))))</f>
        <v/>
      </c>
      <c r="AA700" s="66" t="str">
        <f>IF(AND(X700="Reçu",ISNUMBER(R700)),IF(N(U700)&lt;=R700,1,0),"")</f>
        <v/>
      </c>
      <c r="AB700" s="76" t="str">
        <f>IF(OR(X700="Envoyé",X700="Partiel",X700="En retard"),IF(ISNUMBER(R700),R700,100000)+ROW()/100000,"")</f>
        <v/>
      </c>
      <c r="AC700" s="66" t="str">
        <f>IF(A700="","",IF(COUNTIF($A$6:A700,A700)=1,1,""))</f>
        <v/>
      </c>
      <c r="AD700" s="66" t="str">
        <f>IF(AC700=1,COUNT($AC$6:AC700),"")</f>
        <v/>
      </c>
      <c r="AE700" s="66" t="str">
        <f>IFERROR(INDEX(po_num,MATCH(695,po_seq,0))&amp;"","")</f>
        <v/>
      </c>
      <c r="AF700" s="66" t="str">
        <f>IF(OR(A700="",p_po=""),"",IF(A700&amp;""=p_po,COUNTIF($A$6:A700,A700),""))</f>
        <v/>
      </c>
      <c r="AG700" s="66" t="str">
        <f>IF(OR(AB700="",A700=""),"",IF(COUNTIFS($A$6:A700,A700,$AB$6:AB700,"&gt;0")=1,1,""))</f>
        <v/>
      </c>
      <c r="AH700" s="70" t="str">
        <f>IF(AB700="","",ROUND(N(W700)*N(J700)*(1-N(K700)),2))</f>
        <v/>
      </c>
      <c r="AI700" s="70" t="str">
        <f>IF(OR(J700="",N(T700)&lt;=0,V700="Oui"),"",ROUND(N(T700)*J700*(1-N(K700)),2))</f>
        <v/>
      </c>
    </row>
    <row r="701">
      <c r="A701" s="63" t="n"/>
      <c r="B701" s="64" t="n"/>
      <c r="C701" s="65" t="n"/>
      <c r="D701" s="66" t="str">
        <f>IF(C701="","",IFERROR(INDEX(sup_name,MATCH($C701,sup_code,0))&amp;"","Fournisseur inconnu"))</f>
        <v/>
      </c>
      <c r="E701" s="63" t="n"/>
      <c r="F701" s="66" t="str">
        <f>IF(E701="","",IFERROR(INDEX(art_des,MATCH($E701,art_ref,0))&amp;"","Article inconnu"))</f>
        <v/>
      </c>
      <c r="G701" s="67" t="str">
        <f>IF(E701="","",IFERROR(INDEX(art_unit,MATCH($E701,art_ref,0))&amp;"",""))</f>
        <v/>
      </c>
      <c r="H701" s="68" t="n"/>
      <c r="I701" s="69" t="n"/>
      <c r="J701" s="70" t="str">
        <f>IF(E701="","",IF(ISNUMBER(I701),I701,IFERROR(IF(ISNUMBER(INDEX(art_price,MATCH($E701,art_ref,0))),INDEX(art_price,MATCH($E701,art_ref,0)),""),"")))</f>
        <v/>
      </c>
      <c r="K701" s="71" t="n"/>
      <c r="L701" s="72" t="n"/>
      <c r="M701" s="72" t="str">
        <f>IF(E701="","",IF(L701&lt;&gt;"",L701,IFERROR(IF(ISNUMBER(INDEX(art_tva,MATCH($E701,art_ref,0))),INDEX(art_tva,MATCH($E701,art_ref,0)),""),"")))</f>
        <v/>
      </c>
      <c r="N701" s="70" t="str">
        <f>IF(OR(E701="",J701=""),"",ROUND(N(H701)*J701*(1-N(K701)),2))</f>
        <v/>
      </c>
      <c r="O701" s="70" t="str">
        <f>IF(OR(N701="",NOT(ISNUMBER(M701))),"",ROUND(N701*M701,2))</f>
        <v/>
      </c>
      <c r="P701" s="70" t="str">
        <f>IF(N701="","",N701+N(O701))</f>
        <v/>
      </c>
      <c r="Q701" s="64" t="n"/>
      <c r="R701" s="73" t="str">
        <f>IF(N(Q701)&gt;0,Q701,IF(OR(N(B701)=0,ISNA(MATCH($C701,sup_code,0))),"",IF(ISNUMBER(INDEX(sup_delay,MATCH($C701,sup_code,0))),B701+INDEX(sup_delay,MATCH($C701,sup_code,0)),"")))</f>
        <v/>
      </c>
      <c r="S701" s="64" t="n"/>
      <c r="T701" s="68" t="n"/>
      <c r="U701" s="64" t="n"/>
      <c r="V701" s="65" t="n"/>
      <c r="W701" s="74" t="str">
        <f>IF(AND(A701="",E701=""),"",IF(V701="Oui",0,MAX(0,ROUND(N(H701)-N(T701),6))))</f>
        <v/>
      </c>
      <c r="X701" s="67" t="str">
        <f>IF(AND(A701="",E701=""),"",IF(V701="Oui","Annulé",IF(AND(N(H701)&gt;0,N(T701)&gt;=N(H701)),"Reçu",IF(N(S701)=0,"Brouillon",IF(AND(ISNUMBER(R701),R701&lt;p_today),"En retard",IF(N(T701)&gt;0,"Partiel","Envoyé"))))))</f>
        <v/>
      </c>
      <c r="Y701" s="75" t="str">
        <f>IF(X701="En retard",p_today-R701,IF(AND(X701="Reçu",ISNUMBER(R701)),MAX(0,N(U701)-R701),""))</f>
        <v/>
      </c>
      <c r="Z701" s="67" t="str">
        <f>IF(AND(A701="",E701=""),"",IF(A701="","N° de bon manquant",IF(N(B701)=0,"Date de commande manquante",IF(C701="","Fournisseur manquant",IF(ISNA(MATCH($C701,sup_code,0)),"Fournisseur inconnu",IF(E701="","Article manquant",IF(ISNA(MATCH($E701,art_ref,0)),"Article inconnu",IF(N(H701)&lt;=0,"Quantité invalide",IF(J701="","Prix manquant",IF(OR(N(K701)&lt;0,N(K701)&gt;=1),"Remise invalide",IF(M701="","TVA manquante",IF(ISNA(MATCH(M701,p_tva,0)),"Taux de TVA inconnu",IF(COUNTIFS(po_num,A701,po_sup,"&lt;&gt;"&amp;C701)&gt;0,"Fournisseur différent sur ce bon",IF(COUNTIFS(po_num,A701,po_date,"&lt;&gt;"&amp;B701)&gt;0,"Date différente sur ce bon",IF(COUNTIF(po_num,A701)&gt;25,"Plus de 25 lignes sur ce bon",IF(R701="","Date de livraison manquante",IF(R701&lt;B701,"Livraison avant la commande",IF(AND(N(T701)&gt;0,N(S701)=0),"Date d'envoi manquante",IF(N(T701)&gt;N(H701),"Reçu plus que commandé",IF(AND(N(T701)&gt;0,N(U701)=0),"Date de réception manquante",IF(AND(N(U701)&gt;0,U701&lt;B701),"Réception avant la commande","OK")))))))))))))))))))))</f>
        <v/>
      </c>
      <c r="AA701" s="66" t="str">
        <f>IF(AND(X701="Reçu",ISNUMBER(R701)),IF(N(U701)&lt;=R701,1,0),"")</f>
        <v/>
      </c>
      <c r="AB701" s="76" t="str">
        <f>IF(OR(X701="Envoyé",X701="Partiel",X701="En retard"),IF(ISNUMBER(R701),R701,100000)+ROW()/100000,"")</f>
        <v/>
      </c>
      <c r="AC701" s="66" t="str">
        <f>IF(A701="","",IF(COUNTIF($A$6:A701,A701)=1,1,""))</f>
        <v/>
      </c>
      <c r="AD701" s="66" t="str">
        <f>IF(AC701=1,COUNT($AC$6:AC701),"")</f>
        <v/>
      </c>
      <c r="AE701" s="66" t="str">
        <f>IFERROR(INDEX(po_num,MATCH(696,po_seq,0))&amp;"","")</f>
        <v/>
      </c>
      <c r="AF701" s="66" t="str">
        <f>IF(OR(A701="",p_po=""),"",IF(A701&amp;""=p_po,COUNTIF($A$6:A701,A701),""))</f>
        <v/>
      </c>
      <c r="AG701" s="66" t="str">
        <f>IF(OR(AB701="",A701=""),"",IF(COUNTIFS($A$6:A701,A701,$AB$6:AB701,"&gt;0")=1,1,""))</f>
        <v/>
      </c>
      <c r="AH701" s="70" t="str">
        <f>IF(AB701="","",ROUND(N(W701)*N(J701)*(1-N(K701)),2))</f>
        <v/>
      </c>
      <c r="AI701" s="70" t="str">
        <f>IF(OR(J701="",N(T701)&lt;=0,V701="Oui"),"",ROUND(N(T701)*J701*(1-N(K701)),2))</f>
        <v/>
      </c>
    </row>
    <row r="702">
      <c r="A702" s="63" t="n"/>
      <c r="B702" s="64" t="n"/>
      <c r="C702" s="65" t="n"/>
      <c r="D702" s="66" t="str">
        <f>IF(C702="","",IFERROR(INDEX(sup_name,MATCH($C702,sup_code,0))&amp;"","Fournisseur inconnu"))</f>
        <v/>
      </c>
      <c r="E702" s="63" t="n"/>
      <c r="F702" s="66" t="str">
        <f>IF(E702="","",IFERROR(INDEX(art_des,MATCH($E702,art_ref,0))&amp;"","Article inconnu"))</f>
        <v/>
      </c>
      <c r="G702" s="67" t="str">
        <f>IF(E702="","",IFERROR(INDEX(art_unit,MATCH($E702,art_ref,0))&amp;"",""))</f>
        <v/>
      </c>
      <c r="H702" s="68" t="n"/>
      <c r="I702" s="69" t="n"/>
      <c r="J702" s="70" t="str">
        <f>IF(E702="","",IF(ISNUMBER(I702),I702,IFERROR(IF(ISNUMBER(INDEX(art_price,MATCH($E702,art_ref,0))),INDEX(art_price,MATCH($E702,art_ref,0)),""),"")))</f>
        <v/>
      </c>
      <c r="K702" s="71" t="n"/>
      <c r="L702" s="72" t="n"/>
      <c r="M702" s="72" t="str">
        <f>IF(E702="","",IF(L702&lt;&gt;"",L702,IFERROR(IF(ISNUMBER(INDEX(art_tva,MATCH($E702,art_ref,0))),INDEX(art_tva,MATCH($E702,art_ref,0)),""),"")))</f>
        <v/>
      </c>
      <c r="N702" s="70" t="str">
        <f>IF(OR(E702="",J702=""),"",ROUND(N(H702)*J702*(1-N(K702)),2))</f>
        <v/>
      </c>
      <c r="O702" s="70" t="str">
        <f>IF(OR(N702="",NOT(ISNUMBER(M702))),"",ROUND(N702*M702,2))</f>
        <v/>
      </c>
      <c r="P702" s="70" t="str">
        <f>IF(N702="","",N702+N(O702))</f>
        <v/>
      </c>
      <c r="Q702" s="64" t="n"/>
      <c r="R702" s="73" t="str">
        <f>IF(N(Q702)&gt;0,Q702,IF(OR(N(B702)=0,ISNA(MATCH($C702,sup_code,0))),"",IF(ISNUMBER(INDEX(sup_delay,MATCH($C702,sup_code,0))),B702+INDEX(sup_delay,MATCH($C702,sup_code,0)),"")))</f>
        <v/>
      </c>
      <c r="S702" s="64" t="n"/>
      <c r="T702" s="68" t="n"/>
      <c r="U702" s="64" t="n"/>
      <c r="V702" s="65" t="n"/>
      <c r="W702" s="74" t="str">
        <f>IF(AND(A702="",E702=""),"",IF(V702="Oui",0,MAX(0,ROUND(N(H702)-N(T702),6))))</f>
        <v/>
      </c>
      <c r="X702" s="67" t="str">
        <f>IF(AND(A702="",E702=""),"",IF(V702="Oui","Annulé",IF(AND(N(H702)&gt;0,N(T702)&gt;=N(H702)),"Reçu",IF(N(S702)=0,"Brouillon",IF(AND(ISNUMBER(R702),R702&lt;p_today),"En retard",IF(N(T702)&gt;0,"Partiel","Envoyé"))))))</f>
        <v/>
      </c>
      <c r="Y702" s="75" t="str">
        <f>IF(X702="En retard",p_today-R702,IF(AND(X702="Reçu",ISNUMBER(R702)),MAX(0,N(U702)-R702),""))</f>
        <v/>
      </c>
      <c r="Z702" s="67" t="str">
        <f>IF(AND(A702="",E702=""),"",IF(A702="","N° de bon manquant",IF(N(B702)=0,"Date de commande manquante",IF(C702="","Fournisseur manquant",IF(ISNA(MATCH($C702,sup_code,0)),"Fournisseur inconnu",IF(E702="","Article manquant",IF(ISNA(MATCH($E702,art_ref,0)),"Article inconnu",IF(N(H702)&lt;=0,"Quantité invalide",IF(J702="","Prix manquant",IF(OR(N(K702)&lt;0,N(K702)&gt;=1),"Remise invalide",IF(M702="","TVA manquante",IF(ISNA(MATCH(M702,p_tva,0)),"Taux de TVA inconnu",IF(COUNTIFS(po_num,A702,po_sup,"&lt;&gt;"&amp;C702)&gt;0,"Fournisseur différent sur ce bon",IF(COUNTIFS(po_num,A702,po_date,"&lt;&gt;"&amp;B702)&gt;0,"Date différente sur ce bon",IF(COUNTIF(po_num,A702)&gt;25,"Plus de 25 lignes sur ce bon",IF(R702="","Date de livraison manquante",IF(R702&lt;B702,"Livraison avant la commande",IF(AND(N(T702)&gt;0,N(S702)=0),"Date d'envoi manquante",IF(N(T702)&gt;N(H702),"Reçu plus que commandé",IF(AND(N(T702)&gt;0,N(U702)=0),"Date de réception manquante",IF(AND(N(U702)&gt;0,U702&lt;B702),"Réception avant la commande","OK")))))))))))))))))))))</f>
        <v/>
      </c>
      <c r="AA702" s="66" t="str">
        <f>IF(AND(X702="Reçu",ISNUMBER(R702)),IF(N(U702)&lt;=R702,1,0),"")</f>
        <v/>
      </c>
      <c r="AB702" s="76" t="str">
        <f>IF(OR(X702="Envoyé",X702="Partiel",X702="En retard"),IF(ISNUMBER(R702),R702,100000)+ROW()/100000,"")</f>
        <v/>
      </c>
      <c r="AC702" s="66" t="str">
        <f>IF(A702="","",IF(COUNTIF($A$6:A702,A702)=1,1,""))</f>
        <v/>
      </c>
      <c r="AD702" s="66" t="str">
        <f>IF(AC702=1,COUNT($AC$6:AC702),"")</f>
        <v/>
      </c>
      <c r="AE702" s="66" t="str">
        <f>IFERROR(INDEX(po_num,MATCH(697,po_seq,0))&amp;"","")</f>
        <v/>
      </c>
      <c r="AF702" s="66" t="str">
        <f>IF(OR(A702="",p_po=""),"",IF(A702&amp;""=p_po,COUNTIF($A$6:A702,A702),""))</f>
        <v/>
      </c>
      <c r="AG702" s="66" t="str">
        <f>IF(OR(AB702="",A702=""),"",IF(COUNTIFS($A$6:A702,A702,$AB$6:AB702,"&gt;0")=1,1,""))</f>
        <v/>
      </c>
      <c r="AH702" s="70" t="str">
        <f>IF(AB702="","",ROUND(N(W702)*N(J702)*(1-N(K702)),2))</f>
        <v/>
      </c>
      <c r="AI702" s="70" t="str">
        <f>IF(OR(J702="",N(T702)&lt;=0,V702="Oui"),"",ROUND(N(T702)*J702*(1-N(K702)),2))</f>
        <v/>
      </c>
    </row>
    <row r="703">
      <c r="A703" s="63" t="n"/>
      <c r="B703" s="64" t="n"/>
      <c r="C703" s="65" t="n"/>
      <c r="D703" s="66" t="str">
        <f>IF(C703="","",IFERROR(INDEX(sup_name,MATCH($C703,sup_code,0))&amp;"","Fournisseur inconnu"))</f>
        <v/>
      </c>
      <c r="E703" s="63" t="n"/>
      <c r="F703" s="66" t="str">
        <f>IF(E703="","",IFERROR(INDEX(art_des,MATCH($E703,art_ref,0))&amp;"","Article inconnu"))</f>
        <v/>
      </c>
      <c r="G703" s="67" t="str">
        <f>IF(E703="","",IFERROR(INDEX(art_unit,MATCH($E703,art_ref,0))&amp;"",""))</f>
        <v/>
      </c>
      <c r="H703" s="68" t="n"/>
      <c r="I703" s="69" t="n"/>
      <c r="J703" s="70" t="str">
        <f>IF(E703="","",IF(ISNUMBER(I703),I703,IFERROR(IF(ISNUMBER(INDEX(art_price,MATCH($E703,art_ref,0))),INDEX(art_price,MATCH($E703,art_ref,0)),""),"")))</f>
        <v/>
      </c>
      <c r="K703" s="71" t="n"/>
      <c r="L703" s="72" t="n"/>
      <c r="M703" s="72" t="str">
        <f>IF(E703="","",IF(L703&lt;&gt;"",L703,IFERROR(IF(ISNUMBER(INDEX(art_tva,MATCH($E703,art_ref,0))),INDEX(art_tva,MATCH($E703,art_ref,0)),""),"")))</f>
        <v/>
      </c>
      <c r="N703" s="70" t="str">
        <f>IF(OR(E703="",J703=""),"",ROUND(N(H703)*J703*(1-N(K703)),2))</f>
        <v/>
      </c>
      <c r="O703" s="70" t="str">
        <f>IF(OR(N703="",NOT(ISNUMBER(M703))),"",ROUND(N703*M703,2))</f>
        <v/>
      </c>
      <c r="P703" s="70" t="str">
        <f>IF(N703="","",N703+N(O703))</f>
        <v/>
      </c>
      <c r="Q703" s="64" t="n"/>
      <c r="R703" s="73" t="str">
        <f>IF(N(Q703)&gt;0,Q703,IF(OR(N(B703)=0,ISNA(MATCH($C703,sup_code,0))),"",IF(ISNUMBER(INDEX(sup_delay,MATCH($C703,sup_code,0))),B703+INDEX(sup_delay,MATCH($C703,sup_code,0)),"")))</f>
        <v/>
      </c>
      <c r="S703" s="64" t="n"/>
      <c r="T703" s="68" t="n"/>
      <c r="U703" s="64" t="n"/>
      <c r="V703" s="65" t="n"/>
      <c r="W703" s="74" t="str">
        <f>IF(AND(A703="",E703=""),"",IF(V703="Oui",0,MAX(0,ROUND(N(H703)-N(T703),6))))</f>
        <v/>
      </c>
      <c r="X703" s="67" t="str">
        <f>IF(AND(A703="",E703=""),"",IF(V703="Oui","Annulé",IF(AND(N(H703)&gt;0,N(T703)&gt;=N(H703)),"Reçu",IF(N(S703)=0,"Brouillon",IF(AND(ISNUMBER(R703),R703&lt;p_today),"En retard",IF(N(T703)&gt;0,"Partiel","Envoyé"))))))</f>
        <v/>
      </c>
      <c r="Y703" s="75" t="str">
        <f>IF(X703="En retard",p_today-R703,IF(AND(X703="Reçu",ISNUMBER(R703)),MAX(0,N(U703)-R703),""))</f>
        <v/>
      </c>
      <c r="Z703" s="67" t="str">
        <f>IF(AND(A703="",E703=""),"",IF(A703="","N° de bon manquant",IF(N(B703)=0,"Date de commande manquante",IF(C703="","Fournisseur manquant",IF(ISNA(MATCH($C703,sup_code,0)),"Fournisseur inconnu",IF(E703="","Article manquant",IF(ISNA(MATCH($E703,art_ref,0)),"Article inconnu",IF(N(H703)&lt;=0,"Quantité invalide",IF(J703="","Prix manquant",IF(OR(N(K703)&lt;0,N(K703)&gt;=1),"Remise invalide",IF(M703="","TVA manquante",IF(ISNA(MATCH(M703,p_tva,0)),"Taux de TVA inconnu",IF(COUNTIFS(po_num,A703,po_sup,"&lt;&gt;"&amp;C703)&gt;0,"Fournisseur différent sur ce bon",IF(COUNTIFS(po_num,A703,po_date,"&lt;&gt;"&amp;B703)&gt;0,"Date différente sur ce bon",IF(COUNTIF(po_num,A703)&gt;25,"Plus de 25 lignes sur ce bon",IF(R703="","Date de livraison manquante",IF(R703&lt;B703,"Livraison avant la commande",IF(AND(N(T703)&gt;0,N(S703)=0),"Date d'envoi manquante",IF(N(T703)&gt;N(H703),"Reçu plus que commandé",IF(AND(N(T703)&gt;0,N(U703)=0),"Date de réception manquante",IF(AND(N(U703)&gt;0,U703&lt;B703),"Réception avant la commande","OK")))))))))))))))))))))</f>
        <v/>
      </c>
      <c r="AA703" s="66" t="str">
        <f>IF(AND(X703="Reçu",ISNUMBER(R703)),IF(N(U703)&lt;=R703,1,0),"")</f>
        <v/>
      </c>
      <c r="AB703" s="76" t="str">
        <f>IF(OR(X703="Envoyé",X703="Partiel",X703="En retard"),IF(ISNUMBER(R703),R703,100000)+ROW()/100000,"")</f>
        <v/>
      </c>
      <c r="AC703" s="66" t="str">
        <f>IF(A703="","",IF(COUNTIF($A$6:A703,A703)=1,1,""))</f>
        <v/>
      </c>
      <c r="AD703" s="66" t="str">
        <f>IF(AC703=1,COUNT($AC$6:AC703),"")</f>
        <v/>
      </c>
      <c r="AE703" s="66" t="str">
        <f>IFERROR(INDEX(po_num,MATCH(698,po_seq,0))&amp;"","")</f>
        <v/>
      </c>
      <c r="AF703" s="66" t="str">
        <f>IF(OR(A703="",p_po=""),"",IF(A703&amp;""=p_po,COUNTIF($A$6:A703,A703),""))</f>
        <v/>
      </c>
      <c r="AG703" s="66" t="str">
        <f>IF(OR(AB703="",A703=""),"",IF(COUNTIFS($A$6:A703,A703,$AB$6:AB703,"&gt;0")=1,1,""))</f>
        <v/>
      </c>
      <c r="AH703" s="70" t="str">
        <f>IF(AB703="","",ROUND(N(W703)*N(J703)*(1-N(K703)),2))</f>
        <v/>
      </c>
      <c r="AI703" s="70" t="str">
        <f>IF(OR(J703="",N(T703)&lt;=0,V703="Oui"),"",ROUND(N(T703)*J703*(1-N(K703)),2))</f>
        <v/>
      </c>
    </row>
    <row r="704">
      <c r="A704" s="63" t="n"/>
      <c r="B704" s="64" t="n"/>
      <c r="C704" s="65" t="n"/>
      <c r="D704" s="66" t="str">
        <f>IF(C704="","",IFERROR(INDEX(sup_name,MATCH($C704,sup_code,0))&amp;"","Fournisseur inconnu"))</f>
        <v/>
      </c>
      <c r="E704" s="63" t="n"/>
      <c r="F704" s="66" t="str">
        <f>IF(E704="","",IFERROR(INDEX(art_des,MATCH($E704,art_ref,0))&amp;"","Article inconnu"))</f>
        <v/>
      </c>
      <c r="G704" s="67" t="str">
        <f>IF(E704="","",IFERROR(INDEX(art_unit,MATCH($E704,art_ref,0))&amp;"",""))</f>
        <v/>
      </c>
      <c r="H704" s="68" t="n"/>
      <c r="I704" s="69" t="n"/>
      <c r="J704" s="70" t="str">
        <f>IF(E704="","",IF(ISNUMBER(I704),I704,IFERROR(IF(ISNUMBER(INDEX(art_price,MATCH($E704,art_ref,0))),INDEX(art_price,MATCH($E704,art_ref,0)),""),"")))</f>
        <v/>
      </c>
      <c r="K704" s="71" t="n"/>
      <c r="L704" s="72" t="n"/>
      <c r="M704" s="72" t="str">
        <f>IF(E704="","",IF(L704&lt;&gt;"",L704,IFERROR(IF(ISNUMBER(INDEX(art_tva,MATCH($E704,art_ref,0))),INDEX(art_tva,MATCH($E704,art_ref,0)),""),"")))</f>
        <v/>
      </c>
      <c r="N704" s="70" t="str">
        <f>IF(OR(E704="",J704=""),"",ROUND(N(H704)*J704*(1-N(K704)),2))</f>
        <v/>
      </c>
      <c r="O704" s="70" t="str">
        <f>IF(OR(N704="",NOT(ISNUMBER(M704))),"",ROUND(N704*M704,2))</f>
        <v/>
      </c>
      <c r="P704" s="70" t="str">
        <f>IF(N704="","",N704+N(O704))</f>
        <v/>
      </c>
      <c r="Q704" s="64" t="n"/>
      <c r="R704" s="73" t="str">
        <f>IF(N(Q704)&gt;0,Q704,IF(OR(N(B704)=0,ISNA(MATCH($C704,sup_code,0))),"",IF(ISNUMBER(INDEX(sup_delay,MATCH($C704,sup_code,0))),B704+INDEX(sup_delay,MATCH($C704,sup_code,0)),"")))</f>
        <v/>
      </c>
      <c r="S704" s="64" t="n"/>
      <c r="T704" s="68" t="n"/>
      <c r="U704" s="64" t="n"/>
      <c r="V704" s="65" t="n"/>
      <c r="W704" s="74" t="str">
        <f>IF(AND(A704="",E704=""),"",IF(V704="Oui",0,MAX(0,ROUND(N(H704)-N(T704),6))))</f>
        <v/>
      </c>
      <c r="X704" s="67" t="str">
        <f>IF(AND(A704="",E704=""),"",IF(V704="Oui","Annulé",IF(AND(N(H704)&gt;0,N(T704)&gt;=N(H704)),"Reçu",IF(N(S704)=0,"Brouillon",IF(AND(ISNUMBER(R704),R704&lt;p_today),"En retard",IF(N(T704)&gt;0,"Partiel","Envoyé"))))))</f>
        <v/>
      </c>
      <c r="Y704" s="75" t="str">
        <f>IF(X704="En retard",p_today-R704,IF(AND(X704="Reçu",ISNUMBER(R704)),MAX(0,N(U704)-R704),""))</f>
        <v/>
      </c>
      <c r="Z704" s="67" t="str">
        <f>IF(AND(A704="",E704=""),"",IF(A704="","N° de bon manquant",IF(N(B704)=0,"Date de commande manquante",IF(C704="","Fournisseur manquant",IF(ISNA(MATCH($C704,sup_code,0)),"Fournisseur inconnu",IF(E704="","Article manquant",IF(ISNA(MATCH($E704,art_ref,0)),"Article inconnu",IF(N(H704)&lt;=0,"Quantité invalide",IF(J704="","Prix manquant",IF(OR(N(K704)&lt;0,N(K704)&gt;=1),"Remise invalide",IF(M704="","TVA manquante",IF(ISNA(MATCH(M704,p_tva,0)),"Taux de TVA inconnu",IF(COUNTIFS(po_num,A704,po_sup,"&lt;&gt;"&amp;C704)&gt;0,"Fournisseur différent sur ce bon",IF(COUNTIFS(po_num,A704,po_date,"&lt;&gt;"&amp;B704)&gt;0,"Date différente sur ce bon",IF(COUNTIF(po_num,A704)&gt;25,"Plus de 25 lignes sur ce bon",IF(R704="","Date de livraison manquante",IF(R704&lt;B704,"Livraison avant la commande",IF(AND(N(T704)&gt;0,N(S704)=0),"Date d'envoi manquante",IF(N(T704)&gt;N(H704),"Reçu plus que commandé",IF(AND(N(T704)&gt;0,N(U704)=0),"Date de réception manquante",IF(AND(N(U704)&gt;0,U704&lt;B704),"Réception avant la commande","OK")))))))))))))))))))))</f>
        <v/>
      </c>
      <c r="AA704" s="66" t="str">
        <f>IF(AND(X704="Reçu",ISNUMBER(R704)),IF(N(U704)&lt;=R704,1,0),"")</f>
        <v/>
      </c>
      <c r="AB704" s="76" t="str">
        <f>IF(OR(X704="Envoyé",X704="Partiel",X704="En retard"),IF(ISNUMBER(R704),R704,100000)+ROW()/100000,"")</f>
        <v/>
      </c>
      <c r="AC704" s="66" t="str">
        <f>IF(A704="","",IF(COUNTIF($A$6:A704,A704)=1,1,""))</f>
        <v/>
      </c>
      <c r="AD704" s="66" t="str">
        <f>IF(AC704=1,COUNT($AC$6:AC704),"")</f>
        <v/>
      </c>
      <c r="AE704" s="66" t="str">
        <f>IFERROR(INDEX(po_num,MATCH(699,po_seq,0))&amp;"","")</f>
        <v/>
      </c>
      <c r="AF704" s="66" t="str">
        <f>IF(OR(A704="",p_po=""),"",IF(A704&amp;""=p_po,COUNTIF($A$6:A704,A704),""))</f>
        <v/>
      </c>
      <c r="AG704" s="66" t="str">
        <f>IF(OR(AB704="",A704=""),"",IF(COUNTIFS($A$6:A704,A704,$AB$6:AB704,"&gt;0")=1,1,""))</f>
        <v/>
      </c>
      <c r="AH704" s="70" t="str">
        <f>IF(AB704="","",ROUND(N(W704)*N(J704)*(1-N(K704)),2))</f>
        <v/>
      </c>
      <c r="AI704" s="70" t="str">
        <f>IF(OR(J704="",N(T704)&lt;=0,V704="Oui"),"",ROUND(N(T704)*J704*(1-N(K704)),2))</f>
        <v/>
      </c>
    </row>
    <row r="705">
      <c r="A705" s="63" t="n"/>
      <c r="B705" s="64" t="n"/>
      <c r="C705" s="65" t="n"/>
      <c r="D705" s="66" t="str">
        <f>IF(C705="","",IFERROR(INDEX(sup_name,MATCH($C705,sup_code,0))&amp;"","Fournisseur inconnu"))</f>
        <v/>
      </c>
      <c r="E705" s="63" t="n"/>
      <c r="F705" s="66" t="str">
        <f>IF(E705="","",IFERROR(INDEX(art_des,MATCH($E705,art_ref,0))&amp;"","Article inconnu"))</f>
        <v/>
      </c>
      <c r="G705" s="67" t="str">
        <f>IF(E705="","",IFERROR(INDEX(art_unit,MATCH($E705,art_ref,0))&amp;"",""))</f>
        <v/>
      </c>
      <c r="H705" s="68" t="n"/>
      <c r="I705" s="69" t="n"/>
      <c r="J705" s="70" t="str">
        <f>IF(E705="","",IF(ISNUMBER(I705),I705,IFERROR(IF(ISNUMBER(INDEX(art_price,MATCH($E705,art_ref,0))),INDEX(art_price,MATCH($E705,art_ref,0)),""),"")))</f>
        <v/>
      </c>
      <c r="K705" s="71" t="n"/>
      <c r="L705" s="72" t="n"/>
      <c r="M705" s="72" t="str">
        <f>IF(E705="","",IF(L705&lt;&gt;"",L705,IFERROR(IF(ISNUMBER(INDEX(art_tva,MATCH($E705,art_ref,0))),INDEX(art_tva,MATCH($E705,art_ref,0)),""),"")))</f>
        <v/>
      </c>
      <c r="N705" s="70" t="str">
        <f>IF(OR(E705="",J705=""),"",ROUND(N(H705)*J705*(1-N(K705)),2))</f>
        <v/>
      </c>
      <c r="O705" s="70" t="str">
        <f>IF(OR(N705="",NOT(ISNUMBER(M705))),"",ROUND(N705*M705,2))</f>
        <v/>
      </c>
      <c r="P705" s="70" t="str">
        <f>IF(N705="","",N705+N(O705))</f>
        <v/>
      </c>
      <c r="Q705" s="64" t="n"/>
      <c r="R705" s="73" t="str">
        <f>IF(N(Q705)&gt;0,Q705,IF(OR(N(B705)=0,ISNA(MATCH($C705,sup_code,0))),"",IF(ISNUMBER(INDEX(sup_delay,MATCH($C705,sup_code,0))),B705+INDEX(sup_delay,MATCH($C705,sup_code,0)),"")))</f>
        <v/>
      </c>
      <c r="S705" s="64" t="n"/>
      <c r="T705" s="68" t="n"/>
      <c r="U705" s="64" t="n"/>
      <c r="V705" s="65" t="n"/>
      <c r="W705" s="74" t="str">
        <f>IF(AND(A705="",E705=""),"",IF(V705="Oui",0,MAX(0,ROUND(N(H705)-N(T705),6))))</f>
        <v/>
      </c>
      <c r="X705" s="67" t="str">
        <f>IF(AND(A705="",E705=""),"",IF(V705="Oui","Annulé",IF(AND(N(H705)&gt;0,N(T705)&gt;=N(H705)),"Reçu",IF(N(S705)=0,"Brouillon",IF(AND(ISNUMBER(R705),R705&lt;p_today),"En retard",IF(N(T705)&gt;0,"Partiel","Envoyé"))))))</f>
        <v/>
      </c>
      <c r="Y705" s="75" t="str">
        <f>IF(X705="En retard",p_today-R705,IF(AND(X705="Reçu",ISNUMBER(R705)),MAX(0,N(U705)-R705),""))</f>
        <v/>
      </c>
      <c r="Z705" s="67" t="str">
        <f>IF(AND(A705="",E705=""),"",IF(A705="","N° de bon manquant",IF(N(B705)=0,"Date de commande manquante",IF(C705="","Fournisseur manquant",IF(ISNA(MATCH($C705,sup_code,0)),"Fournisseur inconnu",IF(E705="","Article manquant",IF(ISNA(MATCH($E705,art_ref,0)),"Article inconnu",IF(N(H705)&lt;=0,"Quantité invalide",IF(J705="","Prix manquant",IF(OR(N(K705)&lt;0,N(K705)&gt;=1),"Remise invalide",IF(M705="","TVA manquante",IF(ISNA(MATCH(M705,p_tva,0)),"Taux de TVA inconnu",IF(COUNTIFS(po_num,A705,po_sup,"&lt;&gt;"&amp;C705)&gt;0,"Fournisseur différent sur ce bon",IF(COUNTIFS(po_num,A705,po_date,"&lt;&gt;"&amp;B705)&gt;0,"Date différente sur ce bon",IF(COUNTIF(po_num,A705)&gt;25,"Plus de 25 lignes sur ce bon",IF(R705="","Date de livraison manquante",IF(R705&lt;B705,"Livraison avant la commande",IF(AND(N(T705)&gt;0,N(S705)=0),"Date d'envoi manquante",IF(N(T705)&gt;N(H705),"Reçu plus que commandé",IF(AND(N(T705)&gt;0,N(U705)=0),"Date de réception manquante",IF(AND(N(U705)&gt;0,U705&lt;B705),"Réception avant la commande","OK")))))))))))))))))))))</f>
        <v/>
      </c>
      <c r="AA705" s="66" t="str">
        <f>IF(AND(X705="Reçu",ISNUMBER(R705)),IF(N(U705)&lt;=R705,1,0),"")</f>
        <v/>
      </c>
      <c r="AB705" s="76" t="str">
        <f>IF(OR(X705="Envoyé",X705="Partiel",X705="En retard"),IF(ISNUMBER(R705),R705,100000)+ROW()/100000,"")</f>
        <v/>
      </c>
      <c r="AC705" s="66" t="str">
        <f>IF(A705="","",IF(COUNTIF($A$6:A705,A705)=1,1,""))</f>
        <v/>
      </c>
      <c r="AD705" s="66" t="str">
        <f>IF(AC705=1,COUNT($AC$6:AC705),"")</f>
        <v/>
      </c>
      <c r="AE705" s="66" t="str">
        <f>IFERROR(INDEX(po_num,MATCH(700,po_seq,0))&amp;"","")</f>
        <v/>
      </c>
      <c r="AF705" s="66" t="str">
        <f>IF(OR(A705="",p_po=""),"",IF(A705&amp;""=p_po,COUNTIF($A$6:A705,A705),""))</f>
        <v/>
      </c>
      <c r="AG705" s="66" t="str">
        <f>IF(OR(AB705="",A705=""),"",IF(COUNTIFS($A$6:A705,A705,$AB$6:AB705,"&gt;0")=1,1,""))</f>
        <v/>
      </c>
      <c r="AH705" s="70" t="str">
        <f>IF(AB705="","",ROUND(N(W705)*N(J705)*(1-N(K705)),2))</f>
        <v/>
      </c>
      <c r="AI705" s="70" t="str">
        <f>IF(OR(J705="",N(T705)&lt;=0,V705="Oui"),"",ROUND(N(T705)*J705*(1-N(K705)),2))</f>
        <v/>
      </c>
    </row>
    <row r="706">
      <c r="A706" s="63" t="n"/>
      <c r="B706" s="64" t="n"/>
      <c r="C706" s="65" t="n"/>
      <c r="D706" s="66" t="str">
        <f>IF(C706="","",IFERROR(INDEX(sup_name,MATCH($C706,sup_code,0))&amp;"","Fournisseur inconnu"))</f>
        <v/>
      </c>
      <c r="E706" s="63" t="n"/>
      <c r="F706" s="66" t="str">
        <f>IF(E706="","",IFERROR(INDEX(art_des,MATCH($E706,art_ref,0))&amp;"","Article inconnu"))</f>
        <v/>
      </c>
      <c r="G706" s="67" t="str">
        <f>IF(E706="","",IFERROR(INDEX(art_unit,MATCH($E706,art_ref,0))&amp;"",""))</f>
        <v/>
      </c>
      <c r="H706" s="68" t="n"/>
      <c r="I706" s="69" t="n"/>
      <c r="J706" s="70" t="str">
        <f>IF(E706="","",IF(ISNUMBER(I706),I706,IFERROR(IF(ISNUMBER(INDEX(art_price,MATCH($E706,art_ref,0))),INDEX(art_price,MATCH($E706,art_ref,0)),""),"")))</f>
        <v/>
      </c>
      <c r="K706" s="71" t="n"/>
      <c r="L706" s="72" t="n"/>
      <c r="M706" s="72" t="str">
        <f>IF(E706="","",IF(L706&lt;&gt;"",L706,IFERROR(IF(ISNUMBER(INDEX(art_tva,MATCH($E706,art_ref,0))),INDEX(art_tva,MATCH($E706,art_ref,0)),""),"")))</f>
        <v/>
      </c>
      <c r="N706" s="70" t="str">
        <f>IF(OR(E706="",J706=""),"",ROUND(N(H706)*J706*(1-N(K706)),2))</f>
        <v/>
      </c>
      <c r="O706" s="70" t="str">
        <f>IF(OR(N706="",NOT(ISNUMBER(M706))),"",ROUND(N706*M706,2))</f>
        <v/>
      </c>
      <c r="P706" s="70" t="str">
        <f>IF(N706="","",N706+N(O706))</f>
        <v/>
      </c>
      <c r="Q706" s="64" t="n"/>
      <c r="R706" s="73" t="str">
        <f>IF(N(Q706)&gt;0,Q706,IF(OR(N(B706)=0,ISNA(MATCH($C706,sup_code,0))),"",IF(ISNUMBER(INDEX(sup_delay,MATCH($C706,sup_code,0))),B706+INDEX(sup_delay,MATCH($C706,sup_code,0)),"")))</f>
        <v/>
      </c>
      <c r="S706" s="64" t="n"/>
      <c r="T706" s="68" t="n"/>
      <c r="U706" s="64" t="n"/>
      <c r="V706" s="65" t="n"/>
      <c r="W706" s="74" t="str">
        <f>IF(AND(A706="",E706=""),"",IF(V706="Oui",0,MAX(0,ROUND(N(H706)-N(T706),6))))</f>
        <v/>
      </c>
      <c r="X706" s="67" t="str">
        <f>IF(AND(A706="",E706=""),"",IF(V706="Oui","Annulé",IF(AND(N(H706)&gt;0,N(T706)&gt;=N(H706)),"Reçu",IF(N(S706)=0,"Brouillon",IF(AND(ISNUMBER(R706),R706&lt;p_today),"En retard",IF(N(T706)&gt;0,"Partiel","Envoyé"))))))</f>
        <v/>
      </c>
      <c r="Y706" s="75" t="str">
        <f>IF(X706="En retard",p_today-R706,IF(AND(X706="Reçu",ISNUMBER(R706)),MAX(0,N(U706)-R706),""))</f>
        <v/>
      </c>
      <c r="Z706" s="67" t="str">
        <f>IF(AND(A706="",E706=""),"",IF(A706="","N° de bon manquant",IF(N(B706)=0,"Date de commande manquante",IF(C706="","Fournisseur manquant",IF(ISNA(MATCH($C706,sup_code,0)),"Fournisseur inconnu",IF(E706="","Article manquant",IF(ISNA(MATCH($E706,art_ref,0)),"Article inconnu",IF(N(H706)&lt;=0,"Quantité invalide",IF(J706="","Prix manquant",IF(OR(N(K706)&lt;0,N(K706)&gt;=1),"Remise invalide",IF(M706="","TVA manquante",IF(ISNA(MATCH(M706,p_tva,0)),"Taux de TVA inconnu",IF(COUNTIFS(po_num,A706,po_sup,"&lt;&gt;"&amp;C706)&gt;0,"Fournisseur différent sur ce bon",IF(COUNTIFS(po_num,A706,po_date,"&lt;&gt;"&amp;B706)&gt;0,"Date différente sur ce bon",IF(COUNTIF(po_num,A706)&gt;25,"Plus de 25 lignes sur ce bon",IF(R706="","Date de livraison manquante",IF(R706&lt;B706,"Livraison avant la commande",IF(AND(N(T706)&gt;0,N(S706)=0),"Date d'envoi manquante",IF(N(T706)&gt;N(H706),"Reçu plus que commandé",IF(AND(N(T706)&gt;0,N(U706)=0),"Date de réception manquante",IF(AND(N(U706)&gt;0,U706&lt;B706),"Réception avant la commande","OK")))))))))))))))))))))</f>
        <v/>
      </c>
      <c r="AA706" s="66" t="str">
        <f>IF(AND(X706="Reçu",ISNUMBER(R706)),IF(N(U706)&lt;=R706,1,0),"")</f>
        <v/>
      </c>
      <c r="AB706" s="76" t="str">
        <f>IF(OR(X706="Envoyé",X706="Partiel",X706="En retard"),IF(ISNUMBER(R706),R706,100000)+ROW()/100000,"")</f>
        <v/>
      </c>
      <c r="AC706" s="66" t="str">
        <f>IF(A706="","",IF(COUNTIF($A$6:A706,A706)=1,1,""))</f>
        <v/>
      </c>
      <c r="AD706" s="66" t="str">
        <f>IF(AC706=1,COUNT($AC$6:AC706),"")</f>
        <v/>
      </c>
      <c r="AE706" s="66" t="str">
        <f>IFERROR(INDEX(po_num,MATCH(701,po_seq,0))&amp;"","")</f>
        <v/>
      </c>
      <c r="AF706" s="66" t="str">
        <f>IF(OR(A706="",p_po=""),"",IF(A706&amp;""=p_po,COUNTIF($A$6:A706,A706),""))</f>
        <v/>
      </c>
      <c r="AG706" s="66" t="str">
        <f>IF(OR(AB706="",A706=""),"",IF(COUNTIFS($A$6:A706,A706,$AB$6:AB706,"&gt;0")=1,1,""))</f>
        <v/>
      </c>
      <c r="AH706" s="70" t="str">
        <f>IF(AB706="","",ROUND(N(W706)*N(J706)*(1-N(K706)),2))</f>
        <v/>
      </c>
      <c r="AI706" s="70" t="str">
        <f>IF(OR(J706="",N(T706)&lt;=0,V706="Oui"),"",ROUND(N(T706)*J706*(1-N(K706)),2))</f>
        <v/>
      </c>
    </row>
    <row r="707">
      <c r="A707" s="63" t="n"/>
      <c r="B707" s="64" t="n"/>
      <c r="C707" s="65" t="n"/>
      <c r="D707" s="66" t="str">
        <f>IF(C707="","",IFERROR(INDEX(sup_name,MATCH($C707,sup_code,0))&amp;"","Fournisseur inconnu"))</f>
        <v/>
      </c>
      <c r="E707" s="63" t="n"/>
      <c r="F707" s="66" t="str">
        <f>IF(E707="","",IFERROR(INDEX(art_des,MATCH($E707,art_ref,0))&amp;"","Article inconnu"))</f>
        <v/>
      </c>
      <c r="G707" s="67" t="str">
        <f>IF(E707="","",IFERROR(INDEX(art_unit,MATCH($E707,art_ref,0))&amp;"",""))</f>
        <v/>
      </c>
      <c r="H707" s="68" t="n"/>
      <c r="I707" s="69" t="n"/>
      <c r="J707" s="70" t="str">
        <f>IF(E707="","",IF(ISNUMBER(I707),I707,IFERROR(IF(ISNUMBER(INDEX(art_price,MATCH($E707,art_ref,0))),INDEX(art_price,MATCH($E707,art_ref,0)),""),"")))</f>
        <v/>
      </c>
      <c r="K707" s="71" t="n"/>
      <c r="L707" s="72" t="n"/>
      <c r="M707" s="72" t="str">
        <f>IF(E707="","",IF(L707&lt;&gt;"",L707,IFERROR(IF(ISNUMBER(INDEX(art_tva,MATCH($E707,art_ref,0))),INDEX(art_tva,MATCH($E707,art_ref,0)),""),"")))</f>
        <v/>
      </c>
      <c r="N707" s="70" t="str">
        <f>IF(OR(E707="",J707=""),"",ROUND(N(H707)*J707*(1-N(K707)),2))</f>
        <v/>
      </c>
      <c r="O707" s="70" t="str">
        <f>IF(OR(N707="",NOT(ISNUMBER(M707))),"",ROUND(N707*M707,2))</f>
        <v/>
      </c>
      <c r="P707" s="70" t="str">
        <f>IF(N707="","",N707+N(O707))</f>
        <v/>
      </c>
      <c r="Q707" s="64" t="n"/>
      <c r="R707" s="73" t="str">
        <f>IF(N(Q707)&gt;0,Q707,IF(OR(N(B707)=0,ISNA(MATCH($C707,sup_code,0))),"",IF(ISNUMBER(INDEX(sup_delay,MATCH($C707,sup_code,0))),B707+INDEX(sup_delay,MATCH($C707,sup_code,0)),"")))</f>
        <v/>
      </c>
      <c r="S707" s="64" t="n"/>
      <c r="T707" s="68" t="n"/>
      <c r="U707" s="64" t="n"/>
      <c r="V707" s="65" t="n"/>
      <c r="W707" s="74" t="str">
        <f>IF(AND(A707="",E707=""),"",IF(V707="Oui",0,MAX(0,ROUND(N(H707)-N(T707),6))))</f>
        <v/>
      </c>
      <c r="X707" s="67" t="str">
        <f>IF(AND(A707="",E707=""),"",IF(V707="Oui","Annulé",IF(AND(N(H707)&gt;0,N(T707)&gt;=N(H707)),"Reçu",IF(N(S707)=0,"Brouillon",IF(AND(ISNUMBER(R707),R707&lt;p_today),"En retard",IF(N(T707)&gt;0,"Partiel","Envoyé"))))))</f>
        <v/>
      </c>
      <c r="Y707" s="75" t="str">
        <f>IF(X707="En retard",p_today-R707,IF(AND(X707="Reçu",ISNUMBER(R707)),MAX(0,N(U707)-R707),""))</f>
        <v/>
      </c>
      <c r="Z707" s="67" t="str">
        <f>IF(AND(A707="",E707=""),"",IF(A707="","N° de bon manquant",IF(N(B707)=0,"Date de commande manquante",IF(C707="","Fournisseur manquant",IF(ISNA(MATCH($C707,sup_code,0)),"Fournisseur inconnu",IF(E707="","Article manquant",IF(ISNA(MATCH($E707,art_ref,0)),"Article inconnu",IF(N(H707)&lt;=0,"Quantité invalide",IF(J707="","Prix manquant",IF(OR(N(K707)&lt;0,N(K707)&gt;=1),"Remise invalide",IF(M707="","TVA manquante",IF(ISNA(MATCH(M707,p_tva,0)),"Taux de TVA inconnu",IF(COUNTIFS(po_num,A707,po_sup,"&lt;&gt;"&amp;C707)&gt;0,"Fournisseur différent sur ce bon",IF(COUNTIFS(po_num,A707,po_date,"&lt;&gt;"&amp;B707)&gt;0,"Date différente sur ce bon",IF(COUNTIF(po_num,A707)&gt;25,"Plus de 25 lignes sur ce bon",IF(R707="","Date de livraison manquante",IF(R707&lt;B707,"Livraison avant la commande",IF(AND(N(T707)&gt;0,N(S707)=0),"Date d'envoi manquante",IF(N(T707)&gt;N(H707),"Reçu plus que commandé",IF(AND(N(T707)&gt;0,N(U707)=0),"Date de réception manquante",IF(AND(N(U707)&gt;0,U707&lt;B707),"Réception avant la commande","OK")))))))))))))))))))))</f>
        <v/>
      </c>
      <c r="AA707" s="66" t="str">
        <f>IF(AND(X707="Reçu",ISNUMBER(R707)),IF(N(U707)&lt;=R707,1,0),"")</f>
        <v/>
      </c>
      <c r="AB707" s="76" t="str">
        <f>IF(OR(X707="Envoyé",X707="Partiel",X707="En retard"),IF(ISNUMBER(R707),R707,100000)+ROW()/100000,"")</f>
        <v/>
      </c>
      <c r="AC707" s="66" t="str">
        <f>IF(A707="","",IF(COUNTIF($A$6:A707,A707)=1,1,""))</f>
        <v/>
      </c>
      <c r="AD707" s="66" t="str">
        <f>IF(AC707=1,COUNT($AC$6:AC707),"")</f>
        <v/>
      </c>
      <c r="AE707" s="66" t="str">
        <f>IFERROR(INDEX(po_num,MATCH(702,po_seq,0))&amp;"","")</f>
        <v/>
      </c>
      <c r="AF707" s="66" t="str">
        <f>IF(OR(A707="",p_po=""),"",IF(A707&amp;""=p_po,COUNTIF($A$6:A707,A707),""))</f>
        <v/>
      </c>
      <c r="AG707" s="66" t="str">
        <f>IF(OR(AB707="",A707=""),"",IF(COUNTIFS($A$6:A707,A707,$AB$6:AB707,"&gt;0")=1,1,""))</f>
        <v/>
      </c>
      <c r="AH707" s="70" t="str">
        <f>IF(AB707="","",ROUND(N(W707)*N(J707)*(1-N(K707)),2))</f>
        <v/>
      </c>
      <c r="AI707" s="70" t="str">
        <f>IF(OR(J707="",N(T707)&lt;=0,V707="Oui"),"",ROUND(N(T707)*J707*(1-N(K707)),2))</f>
        <v/>
      </c>
    </row>
    <row r="708">
      <c r="A708" s="63" t="n"/>
      <c r="B708" s="64" t="n"/>
      <c r="C708" s="65" t="n"/>
      <c r="D708" s="66" t="str">
        <f>IF(C708="","",IFERROR(INDEX(sup_name,MATCH($C708,sup_code,0))&amp;"","Fournisseur inconnu"))</f>
        <v/>
      </c>
      <c r="E708" s="63" t="n"/>
      <c r="F708" s="66" t="str">
        <f>IF(E708="","",IFERROR(INDEX(art_des,MATCH($E708,art_ref,0))&amp;"","Article inconnu"))</f>
        <v/>
      </c>
      <c r="G708" s="67" t="str">
        <f>IF(E708="","",IFERROR(INDEX(art_unit,MATCH($E708,art_ref,0))&amp;"",""))</f>
        <v/>
      </c>
      <c r="H708" s="68" t="n"/>
      <c r="I708" s="69" t="n"/>
      <c r="J708" s="70" t="str">
        <f>IF(E708="","",IF(ISNUMBER(I708),I708,IFERROR(IF(ISNUMBER(INDEX(art_price,MATCH($E708,art_ref,0))),INDEX(art_price,MATCH($E708,art_ref,0)),""),"")))</f>
        <v/>
      </c>
      <c r="K708" s="71" t="n"/>
      <c r="L708" s="72" t="n"/>
      <c r="M708" s="72" t="str">
        <f>IF(E708="","",IF(L708&lt;&gt;"",L708,IFERROR(IF(ISNUMBER(INDEX(art_tva,MATCH($E708,art_ref,0))),INDEX(art_tva,MATCH($E708,art_ref,0)),""),"")))</f>
        <v/>
      </c>
      <c r="N708" s="70" t="str">
        <f>IF(OR(E708="",J708=""),"",ROUND(N(H708)*J708*(1-N(K708)),2))</f>
        <v/>
      </c>
      <c r="O708" s="70" t="str">
        <f>IF(OR(N708="",NOT(ISNUMBER(M708))),"",ROUND(N708*M708,2))</f>
        <v/>
      </c>
      <c r="P708" s="70" t="str">
        <f>IF(N708="","",N708+N(O708))</f>
        <v/>
      </c>
      <c r="Q708" s="64" t="n"/>
      <c r="R708" s="73" t="str">
        <f>IF(N(Q708)&gt;0,Q708,IF(OR(N(B708)=0,ISNA(MATCH($C708,sup_code,0))),"",IF(ISNUMBER(INDEX(sup_delay,MATCH($C708,sup_code,0))),B708+INDEX(sup_delay,MATCH($C708,sup_code,0)),"")))</f>
        <v/>
      </c>
      <c r="S708" s="64" t="n"/>
      <c r="T708" s="68" t="n"/>
      <c r="U708" s="64" t="n"/>
      <c r="V708" s="65" t="n"/>
      <c r="W708" s="74" t="str">
        <f>IF(AND(A708="",E708=""),"",IF(V708="Oui",0,MAX(0,ROUND(N(H708)-N(T708),6))))</f>
        <v/>
      </c>
      <c r="X708" s="67" t="str">
        <f>IF(AND(A708="",E708=""),"",IF(V708="Oui","Annulé",IF(AND(N(H708)&gt;0,N(T708)&gt;=N(H708)),"Reçu",IF(N(S708)=0,"Brouillon",IF(AND(ISNUMBER(R708),R708&lt;p_today),"En retard",IF(N(T708)&gt;0,"Partiel","Envoyé"))))))</f>
        <v/>
      </c>
      <c r="Y708" s="75" t="str">
        <f>IF(X708="En retard",p_today-R708,IF(AND(X708="Reçu",ISNUMBER(R708)),MAX(0,N(U708)-R708),""))</f>
        <v/>
      </c>
      <c r="Z708" s="67" t="str">
        <f>IF(AND(A708="",E708=""),"",IF(A708="","N° de bon manquant",IF(N(B708)=0,"Date de commande manquante",IF(C708="","Fournisseur manquant",IF(ISNA(MATCH($C708,sup_code,0)),"Fournisseur inconnu",IF(E708="","Article manquant",IF(ISNA(MATCH($E708,art_ref,0)),"Article inconnu",IF(N(H708)&lt;=0,"Quantité invalide",IF(J708="","Prix manquant",IF(OR(N(K708)&lt;0,N(K708)&gt;=1),"Remise invalide",IF(M708="","TVA manquante",IF(ISNA(MATCH(M708,p_tva,0)),"Taux de TVA inconnu",IF(COUNTIFS(po_num,A708,po_sup,"&lt;&gt;"&amp;C708)&gt;0,"Fournisseur différent sur ce bon",IF(COUNTIFS(po_num,A708,po_date,"&lt;&gt;"&amp;B708)&gt;0,"Date différente sur ce bon",IF(COUNTIF(po_num,A708)&gt;25,"Plus de 25 lignes sur ce bon",IF(R708="","Date de livraison manquante",IF(R708&lt;B708,"Livraison avant la commande",IF(AND(N(T708)&gt;0,N(S708)=0),"Date d'envoi manquante",IF(N(T708)&gt;N(H708),"Reçu plus que commandé",IF(AND(N(T708)&gt;0,N(U708)=0),"Date de réception manquante",IF(AND(N(U708)&gt;0,U708&lt;B708),"Réception avant la commande","OK")))))))))))))))))))))</f>
        <v/>
      </c>
      <c r="AA708" s="66" t="str">
        <f>IF(AND(X708="Reçu",ISNUMBER(R708)),IF(N(U708)&lt;=R708,1,0),"")</f>
        <v/>
      </c>
      <c r="AB708" s="76" t="str">
        <f>IF(OR(X708="Envoyé",X708="Partiel",X708="En retard"),IF(ISNUMBER(R708),R708,100000)+ROW()/100000,"")</f>
        <v/>
      </c>
      <c r="AC708" s="66" t="str">
        <f>IF(A708="","",IF(COUNTIF($A$6:A708,A708)=1,1,""))</f>
        <v/>
      </c>
      <c r="AD708" s="66" t="str">
        <f>IF(AC708=1,COUNT($AC$6:AC708),"")</f>
        <v/>
      </c>
      <c r="AE708" s="66" t="str">
        <f>IFERROR(INDEX(po_num,MATCH(703,po_seq,0))&amp;"","")</f>
        <v/>
      </c>
      <c r="AF708" s="66" t="str">
        <f>IF(OR(A708="",p_po=""),"",IF(A708&amp;""=p_po,COUNTIF($A$6:A708,A708),""))</f>
        <v/>
      </c>
      <c r="AG708" s="66" t="str">
        <f>IF(OR(AB708="",A708=""),"",IF(COUNTIFS($A$6:A708,A708,$AB$6:AB708,"&gt;0")=1,1,""))</f>
        <v/>
      </c>
      <c r="AH708" s="70" t="str">
        <f>IF(AB708="","",ROUND(N(W708)*N(J708)*(1-N(K708)),2))</f>
        <v/>
      </c>
      <c r="AI708" s="70" t="str">
        <f>IF(OR(J708="",N(T708)&lt;=0,V708="Oui"),"",ROUND(N(T708)*J708*(1-N(K708)),2))</f>
        <v/>
      </c>
    </row>
    <row r="709">
      <c r="A709" s="63" t="n"/>
      <c r="B709" s="64" t="n"/>
      <c r="C709" s="65" t="n"/>
      <c r="D709" s="66" t="str">
        <f>IF(C709="","",IFERROR(INDEX(sup_name,MATCH($C709,sup_code,0))&amp;"","Fournisseur inconnu"))</f>
        <v/>
      </c>
      <c r="E709" s="63" t="n"/>
      <c r="F709" s="66" t="str">
        <f>IF(E709="","",IFERROR(INDEX(art_des,MATCH($E709,art_ref,0))&amp;"","Article inconnu"))</f>
        <v/>
      </c>
      <c r="G709" s="67" t="str">
        <f>IF(E709="","",IFERROR(INDEX(art_unit,MATCH($E709,art_ref,0))&amp;"",""))</f>
        <v/>
      </c>
      <c r="H709" s="68" t="n"/>
      <c r="I709" s="69" t="n"/>
      <c r="J709" s="70" t="str">
        <f>IF(E709="","",IF(ISNUMBER(I709),I709,IFERROR(IF(ISNUMBER(INDEX(art_price,MATCH($E709,art_ref,0))),INDEX(art_price,MATCH($E709,art_ref,0)),""),"")))</f>
        <v/>
      </c>
      <c r="K709" s="71" t="n"/>
      <c r="L709" s="72" t="n"/>
      <c r="M709" s="72" t="str">
        <f>IF(E709="","",IF(L709&lt;&gt;"",L709,IFERROR(IF(ISNUMBER(INDEX(art_tva,MATCH($E709,art_ref,0))),INDEX(art_tva,MATCH($E709,art_ref,0)),""),"")))</f>
        <v/>
      </c>
      <c r="N709" s="70" t="str">
        <f>IF(OR(E709="",J709=""),"",ROUND(N(H709)*J709*(1-N(K709)),2))</f>
        <v/>
      </c>
      <c r="O709" s="70" t="str">
        <f>IF(OR(N709="",NOT(ISNUMBER(M709))),"",ROUND(N709*M709,2))</f>
        <v/>
      </c>
      <c r="P709" s="70" t="str">
        <f>IF(N709="","",N709+N(O709))</f>
        <v/>
      </c>
      <c r="Q709" s="64" t="n"/>
      <c r="R709" s="73" t="str">
        <f>IF(N(Q709)&gt;0,Q709,IF(OR(N(B709)=0,ISNA(MATCH($C709,sup_code,0))),"",IF(ISNUMBER(INDEX(sup_delay,MATCH($C709,sup_code,0))),B709+INDEX(sup_delay,MATCH($C709,sup_code,0)),"")))</f>
        <v/>
      </c>
      <c r="S709" s="64" t="n"/>
      <c r="T709" s="68" t="n"/>
      <c r="U709" s="64" t="n"/>
      <c r="V709" s="65" t="n"/>
      <c r="W709" s="74" t="str">
        <f>IF(AND(A709="",E709=""),"",IF(V709="Oui",0,MAX(0,ROUND(N(H709)-N(T709),6))))</f>
        <v/>
      </c>
      <c r="X709" s="67" t="str">
        <f>IF(AND(A709="",E709=""),"",IF(V709="Oui","Annulé",IF(AND(N(H709)&gt;0,N(T709)&gt;=N(H709)),"Reçu",IF(N(S709)=0,"Brouillon",IF(AND(ISNUMBER(R709),R709&lt;p_today),"En retard",IF(N(T709)&gt;0,"Partiel","Envoyé"))))))</f>
        <v/>
      </c>
      <c r="Y709" s="75" t="str">
        <f>IF(X709="En retard",p_today-R709,IF(AND(X709="Reçu",ISNUMBER(R709)),MAX(0,N(U709)-R709),""))</f>
        <v/>
      </c>
      <c r="Z709" s="67" t="str">
        <f>IF(AND(A709="",E709=""),"",IF(A709="","N° de bon manquant",IF(N(B709)=0,"Date de commande manquante",IF(C709="","Fournisseur manquant",IF(ISNA(MATCH($C709,sup_code,0)),"Fournisseur inconnu",IF(E709="","Article manquant",IF(ISNA(MATCH($E709,art_ref,0)),"Article inconnu",IF(N(H709)&lt;=0,"Quantité invalide",IF(J709="","Prix manquant",IF(OR(N(K709)&lt;0,N(K709)&gt;=1),"Remise invalide",IF(M709="","TVA manquante",IF(ISNA(MATCH(M709,p_tva,0)),"Taux de TVA inconnu",IF(COUNTIFS(po_num,A709,po_sup,"&lt;&gt;"&amp;C709)&gt;0,"Fournisseur différent sur ce bon",IF(COUNTIFS(po_num,A709,po_date,"&lt;&gt;"&amp;B709)&gt;0,"Date différente sur ce bon",IF(COUNTIF(po_num,A709)&gt;25,"Plus de 25 lignes sur ce bon",IF(R709="","Date de livraison manquante",IF(R709&lt;B709,"Livraison avant la commande",IF(AND(N(T709)&gt;0,N(S709)=0),"Date d'envoi manquante",IF(N(T709)&gt;N(H709),"Reçu plus que commandé",IF(AND(N(T709)&gt;0,N(U709)=0),"Date de réception manquante",IF(AND(N(U709)&gt;0,U709&lt;B709),"Réception avant la commande","OK")))))))))))))))))))))</f>
        <v/>
      </c>
      <c r="AA709" s="66" t="str">
        <f>IF(AND(X709="Reçu",ISNUMBER(R709)),IF(N(U709)&lt;=R709,1,0),"")</f>
        <v/>
      </c>
      <c r="AB709" s="76" t="str">
        <f>IF(OR(X709="Envoyé",X709="Partiel",X709="En retard"),IF(ISNUMBER(R709),R709,100000)+ROW()/100000,"")</f>
        <v/>
      </c>
      <c r="AC709" s="66" t="str">
        <f>IF(A709="","",IF(COUNTIF($A$6:A709,A709)=1,1,""))</f>
        <v/>
      </c>
      <c r="AD709" s="66" t="str">
        <f>IF(AC709=1,COUNT($AC$6:AC709),"")</f>
        <v/>
      </c>
      <c r="AE709" s="66" t="str">
        <f>IFERROR(INDEX(po_num,MATCH(704,po_seq,0))&amp;"","")</f>
        <v/>
      </c>
      <c r="AF709" s="66" t="str">
        <f>IF(OR(A709="",p_po=""),"",IF(A709&amp;""=p_po,COUNTIF($A$6:A709,A709),""))</f>
        <v/>
      </c>
      <c r="AG709" s="66" t="str">
        <f>IF(OR(AB709="",A709=""),"",IF(COUNTIFS($A$6:A709,A709,$AB$6:AB709,"&gt;0")=1,1,""))</f>
        <v/>
      </c>
      <c r="AH709" s="70" t="str">
        <f>IF(AB709="","",ROUND(N(W709)*N(J709)*(1-N(K709)),2))</f>
        <v/>
      </c>
      <c r="AI709" s="70" t="str">
        <f>IF(OR(J709="",N(T709)&lt;=0,V709="Oui"),"",ROUND(N(T709)*J709*(1-N(K709)),2))</f>
        <v/>
      </c>
    </row>
    <row r="710">
      <c r="A710" s="63" t="n"/>
      <c r="B710" s="64" t="n"/>
      <c r="C710" s="65" t="n"/>
      <c r="D710" s="66" t="str">
        <f>IF(C710="","",IFERROR(INDEX(sup_name,MATCH($C710,sup_code,0))&amp;"","Fournisseur inconnu"))</f>
        <v/>
      </c>
      <c r="E710" s="63" t="n"/>
      <c r="F710" s="66" t="str">
        <f>IF(E710="","",IFERROR(INDEX(art_des,MATCH($E710,art_ref,0))&amp;"","Article inconnu"))</f>
        <v/>
      </c>
      <c r="G710" s="67" t="str">
        <f>IF(E710="","",IFERROR(INDEX(art_unit,MATCH($E710,art_ref,0))&amp;"",""))</f>
        <v/>
      </c>
      <c r="H710" s="68" t="n"/>
      <c r="I710" s="69" t="n"/>
      <c r="J710" s="70" t="str">
        <f>IF(E710="","",IF(ISNUMBER(I710),I710,IFERROR(IF(ISNUMBER(INDEX(art_price,MATCH($E710,art_ref,0))),INDEX(art_price,MATCH($E710,art_ref,0)),""),"")))</f>
        <v/>
      </c>
      <c r="K710" s="71" t="n"/>
      <c r="L710" s="72" t="n"/>
      <c r="M710" s="72" t="str">
        <f>IF(E710="","",IF(L710&lt;&gt;"",L710,IFERROR(IF(ISNUMBER(INDEX(art_tva,MATCH($E710,art_ref,0))),INDEX(art_tva,MATCH($E710,art_ref,0)),""),"")))</f>
        <v/>
      </c>
      <c r="N710" s="70" t="str">
        <f>IF(OR(E710="",J710=""),"",ROUND(N(H710)*J710*(1-N(K710)),2))</f>
        <v/>
      </c>
      <c r="O710" s="70" t="str">
        <f>IF(OR(N710="",NOT(ISNUMBER(M710))),"",ROUND(N710*M710,2))</f>
        <v/>
      </c>
      <c r="P710" s="70" t="str">
        <f>IF(N710="","",N710+N(O710))</f>
        <v/>
      </c>
      <c r="Q710" s="64" t="n"/>
      <c r="R710" s="73" t="str">
        <f>IF(N(Q710)&gt;0,Q710,IF(OR(N(B710)=0,ISNA(MATCH($C710,sup_code,0))),"",IF(ISNUMBER(INDEX(sup_delay,MATCH($C710,sup_code,0))),B710+INDEX(sup_delay,MATCH($C710,sup_code,0)),"")))</f>
        <v/>
      </c>
      <c r="S710" s="64" t="n"/>
      <c r="T710" s="68" t="n"/>
      <c r="U710" s="64" t="n"/>
      <c r="V710" s="65" t="n"/>
      <c r="W710" s="74" t="str">
        <f>IF(AND(A710="",E710=""),"",IF(V710="Oui",0,MAX(0,ROUND(N(H710)-N(T710),6))))</f>
        <v/>
      </c>
      <c r="X710" s="67" t="str">
        <f>IF(AND(A710="",E710=""),"",IF(V710="Oui","Annulé",IF(AND(N(H710)&gt;0,N(T710)&gt;=N(H710)),"Reçu",IF(N(S710)=0,"Brouillon",IF(AND(ISNUMBER(R710),R710&lt;p_today),"En retard",IF(N(T710)&gt;0,"Partiel","Envoyé"))))))</f>
        <v/>
      </c>
      <c r="Y710" s="75" t="str">
        <f>IF(X710="En retard",p_today-R710,IF(AND(X710="Reçu",ISNUMBER(R710)),MAX(0,N(U710)-R710),""))</f>
        <v/>
      </c>
      <c r="Z710" s="67" t="str">
        <f>IF(AND(A710="",E710=""),"",IF(A710="","N° de bon manquant",IF(N(B710)=0,"Date de commande manquante",IF(C710="","Fournisseur manquant",IF(ISNA(MATCH($C710,sup_code,0)),"Fournisseur inconnu",IF(E710="","Article manquant",IF(ISNA(MATCH($E710,art_ref,0)),"Article inconnu",IF(N(H710)&lt;=0,"Quantité invalide",IF(J710="","Prix manquant",IF(OR(N(K710)&lt;0,N(K710)&gt;=1),"Remise invalide",IF(M710="","TVA manquante",IF(ISNA(MATCH(M710,p_tva,0)),"Taux de TVA inconnu",IF(COUNTIFS(po_num,A710,po_sup,"&lt;&gt;"&amp;C710)&gt;0,"Fournisseur différent sur ce bon",IF(COUNTIFS(po_num,A710,po_date,"&lt;&gt;"&amp;B710)&gt;0,"Date différente sur ce bon",IF(COUNTIF(po_num,A710)&gt;25,"Plus de 25 lignes sur ce bon",IF(R710="","Date de livraison manquante",IF(R710&lt;B710,"Livraison avant la commande",IF(AND(N(T710)&gt;0,N(S710)=0),"Date d'envoi manquante",IF(N(T710)&gt;N(H710),"Reçu plus que commandé",IF(AND(N(T710)&gt;0,N(U710)=0),"Date de réception manquante",IF(AND(N(U710)&gt;0,U710&lt;B710),"Réception avant la commande","OK")))))))))))))))))))))</f>
        <v/>
      </c>
      <c r="AA710" s="66" t="str">
        <f>IF(AND(X710="Reçu",ISNUMBER(R710)),IF(N(U710)&lt;=R710,1,0),"")</f>
        <v/>
      </c>
      <c r="AB710" s="76" t="str">
        <f>IF(OR(X710="Envoyé",X710="Partiel",X710="En retard"),IF(ISNUMBER(R710),R710,100000)+ROW()/100000,"")</f>
        <v/>
      </c>
      <c r="AC710" s="66" t="str">
        <f>IF(A710="","",IF(COUNTIF($A$6:A710,A710)=1,1,""))</f>
        <v/>
      </c>
      <c r="AD710" s="66" t="str">
        <f>IF(AC710=1,COUNT($AC$6:AC710),"")</f>
        <v/>
      </c>
      <c r="AE710" s="66" t="str">
        <f>IFERROR(INDEX(po_num,MATCH(705,po_seq,0))&amp;"","")</f>
        <v/>
      </c>
      <c r="AF710" s="66" t="str">
        <f>IF(OR(A710="",p_po=""),"",IF(A710&amp;""=p_po,COUNTIF($A$6:A710,A710),""))</f>
        <v/>
      </c>
      <c r="AG710" s="66" t="str">
        <f>IF(OR(AB710="",A710=""),"",IF(COUNTIFS($A$6:A710,A710,$AB$6:AB710,"&gt;0")=1,1,""))</f>
        <v/>
      </c>
      <c r="AH710" s="70" t="str">
        <f>IF(AB710="","",ROUND(N(W710)*N(J710)*(1-N(K710)),2))</f>
        <v/>
      </c>
      <c r="AI710" s="70" t="str">
        <f>IF(OR(J710="",N(T710)&lt;=0,V710="Oui"),"",ROUND(N(T710)*J710*(1-N(K710)),2))</f>
        <v/>
      </c>
    </row>
    <row r="711">
      <c r="A711" s="63" t="n"/>
      <c r="B711" s="64" t="n"/>
      <c r="C711" s="65" t="n"/>
      <c r="D711" s="66" t="str">
        <f>IF(C711="","",IFERROR(INDEX(sup_name,MATCH($C711,sup_code,0))&amp;"","Fournisseur inconnu"))</f>
        <v/>
      </c>
      <c r="E711" s="63" t="n"/>
      <c r="F711" s="66" t="str">
        <f>IF(E711="","",IFERROR(INDEX(art_des,MATCH($E711,art_ref,0))&amp;"","Article inconnu"))</f>
        <v/>
      </c>
      <c r="G711" s="67" t="str">
        <f>IF(E711="","",IFERROR(INDEX(art_unit,MATCH($E711,art_ref,0))&amp;"",""))</f>
        <v/>
      </c>
      <c r="H711" s="68" t="n"/>
      <c r="I711" s="69" t="n"/>
      <c r="J711" s="70" t="str">
        <f>IF(E711="","",IF(ISNUMBER(I711),I711,IFERROR(IF(ISNUMBER(INDEX(art_price,MATCH($E711,art_ref,0))),INDEX(art_price,MATCH($E711,art_ref,0)),""),"")))</f>
        <v/>
      </c>
      <c r="K711" s="71" t="n"/>
      <c r="L711" s="72" t="n"/>
      <c r="M711" s="72" t="str">
        <f>IF(E711="","",IF(L711&lt;&gt;"",L711,IFERROR(IF(ISNUMBER(INDEX(art_tva,MATCH($E711,art_ref,0))),INDEX(art_tva,MATCH($E711,art_ref,0)),""),"")))</f>
        <v/>
      </c>
      <c r="N711" s="70" t="str">
        <f>IF(OR(E711="",J711=""),"",ROUND(N(H711)*J711*(1-N(K711)),2))</f>
        <v/>
      </c>
      <c r="O711" s="70" t="str">
        <f>IF(OR(N711="",NOT(ISNUMBER(M711))),"",ROUND(N711*M711,2))</f>
        <v/>
      </c>
      <c r="P711" s="70" t="str">
        <f>IF(N711="","",N711+N(O711))</f>
        <v/>
      </c>
      <c r="Q711" s="64" t="n"/>
      <c r="R711" s="73" t="str">
        <f>IF(N(Q711)&gt;0,Q711,IF(OR(N(B711)=0,ISNA(MATCH($C711,sup_code,0))),"",IF(ISNUMBER(INDEX(sup_delay,MATCH($C711,sup_code,0))),B711+INDEX(sup_delay,MATCH($C711,sup_code,0)),"")))</f>
        <v/>
      </c>
      <c r="S711" s="64" t="n"/>
      <c r="T711" s="68" t="n"/>
      <c r="U711" s="64" t="n"/>
      <c r="V711" s="65" t="n"/>
      <c r="W711" s="74" t="str">
        <f>IF(AND(A711="",E711=""),"",IF(V711="Oui",0,MAX(0,ROUND(N(H711)-N(T711),6))))</f>
        <v/>
      </c>
      <c r="X711" s="67" t="str">
        <f>IF(AND(A711="",E711=""),"",IF(V711="Oui","Annulé",IF(AND(N(H711)&gt;0,N(T711)&gt;=N(H711)),"Reçu",IF(N(S711)=0,"Brouillon",IF(AND(ISNUMBER(R711),R711&lt;p_today),"En retard",IF(N(T711)&gt;0,"Partiel","Envoyé"))))))</f>
        <v/>
      </c>
      <c r="Y711" s="75" t="str">
        <f>IF(X711="En retard",p_today-R711,IF(AND(X711="Reçu",ISNUMBER(R711)),MAX(0,N(U711)-R711),""))</f>
        <v/>
      </c>
      <c r="Z711" s="67" t="str">
        <f>IF(AND(A711="",E711=""),"",IF(A711="","N° de bon manquant",IF(N(B711)=0,"Date de commande manquante",IF(C711="","Fournisseur manquant",IF(ISNA(MATCH($C711,sup_code,0)),"Fournisseur inconnu",IF(E711="","Article manquant",IF(ISNA(MATCH($E711,art_ref,0)),"Article inconnu",IF(N(H711)&lt;=0,"Quantité invalide",IF(J711="","Prix manquant",IF(OR(N(K711)&lt;0,N(K711)&gt;=1),"Remise invalide",IF(M711="","TVA manquante",IF(ISNA(MATCH(M711,p_tva,0)),"Taux de TVA inconnu",IF(COUNTIFS(po_num,A711,po_sup,"&lt;&gt;"&amp;C711)&gt;0,"Fournisseur différent sur ce bon",IF(COUNTIFS(po_num,A711,po_date,"&lt;&gt;"&amp;B711)&gt;0,"Date différente sur ce bon",IF(COUNTIF(po_num,A711)&gt;25,"Plus de 25 lignes sur ce bon",IF(R711="","Date de livraison manquante",IF(R711&lt;B711,"Livraison avant la commande",IF(AND(N(T711)&gt;0,N(S711)=0),"Date d'envoi manquante",IF(N(T711)&gt;N(H711),"Reçu plus que commandé",IF(AND(N(T711)&gt;0,N(U711)=0),"Date de réception manquante",IF(AND(N(U711)&gt;0,U711&lt;B711),"Réception avant la commande","OK")))))))))))))))))))))</f>
        <v/>
      </c>
      <c r="AA711" s="66" t="str">
        <f>IF(AND(X711="Reçu",ISNUMBER(R711)),IF(N(U711)&lt;=R711,1,0),"")</f>
        <v/>
      </c>
      <c r="AB711" s="76" t="str">
        <f>IF(OR(X711="Envoyé",X711="Partiel",X711="En retard"),IF(ISNUMBER(R711),R711,100000)+ROW()/100000,"")</f>
        <v/>
      </c>
      <c r="AC711" s="66" t="str">
        <f>IF(A711="","",IF(COUNTIF($A$6:A711,A711)=1,1,""))</f>
        <v/>
      </c>
      <c r="AD711" s="66" t="str">
        <f>IF(AC711=1,COUNT($AC$6:AC711),"")</f>
        <v/>
      </c>
      <c r="AE711" s="66" t="str">
        <f>IFERROR(INDEX(po_num,MATCH(706,po_seq,0))&amp;"","")</f>
        <v/>
      </c>
      <c r="AF711" s="66" t="str">
        <f>IF(OR(A711="",p_po=""),"",IF(A711&amp;""=p_po,COUNTIF($A$6:A711,A711),""))</f>
        <v/>
      </c>
      <c r="AG711" s="66" t="str">
        <f>IF(OR(AB711="",A711=""),"",IF(COUNTIFS($A$6:A711,A711,$AB$6:AB711,"&gt;0")=1,1,""))</f>
        <v/>
      </c>
      <c r="AH711" s="70" t="str">
        <f>IF(AB711="","",ROUND(N(W711)*N(J711)*(1-N(K711)),2))</f>
        <v/>
      </c>
      <c r="AI711" s="70" t="str">
        <f>IF(OR(J711="",N(T711)&lt;=0,V711="Oui"),"",ROUND(N(T711)*J711*(1-N(K711)),2))</f>
        <v/>
      </c>
    </row>
    <row r="712">
      <c r="A712" s="63" t="n"/>
      <c r="B712" s="64" t="n"/>
      <c r="C712" s="65" t="n"/>
      <c r="D712" s="66" t="str">
        <f>IF(C712="","",IFERROR(INDEX(sup_name,MATCH($C712,sup_code,0))&amp;"","Fournisseur inconnu"))</f>
        <v/>
      </c>
      <c r="E712" s="63" t="n"/>
      <c r="F712" s="66" t="str">
        <f>IF(E712="","",IFERROR(INDEX(art_des,MATCH($E712,art_ref,0))&amp;"","Article inconnu"))</f>
        <v/>
      </c>
      <c r="G712" s="67" t="str">
        <f>IF(E712="","",IFERROR(INDEX(art_unit,MATCH($E712,art_ref,0))&amp;"",""))</f>
        <v/>
      </c>
      <c r="H712" s="68" t="n"/>
      <c r="I712" s="69" t="n"/>
      <c r="J712" s="70" t="str">
        <f>IF(E712="","",IF(ISNUMBER(I712),I712,IFERROR(IF(ISNUMBER(INDEX(art_price,MATCH($E712,art_ref,0))),INDEX(art_price,MATCH($E712,art_ref,0)),""),"")))</f>
        <v/>
      </c>
      <c r="K712" s="71" t="n"/>
      <c r="L712" s="72" t="n"/>
      <c r="M712" s="72" t="str">
        <f>IF(E712="","",IF(L712&lt;&gt;"",L712,IFERROR(IF(ISNUMBER(INDEX(art_tva,MATCH($E712,art_ref,0))),INDEX(art_tva,MATCH($E712,art_ref,0)),""),"")))</f>
        <v/>
      </c>
      <c r="N712" s="70" t="str">
        <f>IF(OR(E712="",J712=""),"",ROUND(N(H712)*J712*(1-N(K712)),2))</f>
        <v/>
      </c>
      <c r="O712" s="70" t="str">
        <f>IF(OR(N712="",NOT(ISNUMBER(M712))),"",ROUND(N712*M712,2))</f>
        <v/>
      </c>
      <c r="P712" s="70" t="str">
        <f>IF(N712="","",N712+N(O712))</f>
        <v/>
      </c>
      <c r="Q712" s="64" t="n"/>
      <c r="R712" s="73" t="str">
        <f>IF(N(Q712)&gt;0,Q712,IF(OR(N(B712)=0,ISNA(MATCH($C712,sup_code,0))),"",IF(ISNUMBER(INDEX(sup_delay,MATCH($C712,sup_code,0))),B712+INDEX(sup_delay,MATCH($C712,sup_code,0)),"")))</f>
        <v/>
      </c>
      <c r="S712" s="64" t="n"/>
      <c r="T712" s="68" t="n"/>
      <c r="U712" s="64" t="n"/>
      <c r="V712" s="65" t="n"/>
      <c r="W712" s="74" t="str">
        <f>IF(AND(A712="",E712=""),"",IF(V712="Oui",0,MAX(0,ROUND(N(H712)-N(T712),6))))</f>
        <v/>
      </c>
      <c r="X712" s="67" t="str">
        <f>IF(AND(A712="",E712=""),"",IF(V712="Oui","Annulé",IF(AND(N(H712)&gt;0,N(T712)&gt;=N(H712)),"Reçu",IF(N(S712)=0,"Brouillon",IF(AND(ISNUMBER(R712),R712&lt;p_today),"En retard",IF(N(T712)&gt;0,"Partiel","Envoyé"))))))</f>
        <v/>
      </c>
      <c r="Y712" s="75" t="str">
        <f>IF(X712="En retard",p_today-R712,IF(AND(X712="Reçu",ISNUMBER(R712)),MAX(0,N(U712)-R712),""))</f>
        <v/>
      </c>
      <c r="Z712" s="67" t="str">
        <f>IF(AND(A712="",E712=""),"",IF(A712="","N° de bon manquant",IF(N(B712)=0,"Date de commande manquante",IF(C712="","Fournisseur manquant",IF(ISNA(MATCH($C712,sup_code,0)),"Fournisseur inconnu",IF(E712="","Article manquant",IF(ISNA(MATCH($E712,art_ref,0)),"Article inconnu",IF(N(H712)&lt;=0,"Quantité invalide",IF(J712="","Prix manquant",IF(OR(N(K712)&lt;0,N(K712)&gt;=1),"Remise invalide",IF(M712="","TVA manquante",IF(ISNA(MATCH(M712,p_tva,0)),"Taux de TVA inconnu",IF(COUNTIFS(po_num,A712,po_sup,"&lt;&gt;"&amp;C712)&gt;0,"Fournisseur différent sur ce bon",IF(COUNTIFS(po_num,A712,po_date,"&lt;&gt;"&amp;B712)&gt;0,"Date différente sur ce bon",IF(COUNTIF(po_num,A712)&gt;25,"Plus de 25 lignes sur ce bon",IF(R712="","Date de livraison manquante",IF(R712&lt;B712,"Livraison avant la commande",IF(AND(N(T712)&gt;0,N(S712)=0),"Date d'envoi manquante",IF(N(T712)&gt;N(H712),"Reçu plus que commandé",IF(AND(N(T712)&gt;0,N(U712)=0),"Date de réception manquante",IF(AND(N(U712)&gt;0,U712&lt;B712),"Réception avant la commande","OK")))))))))))))))))))))</f>
        <v/>
      </c>
      <c r="AA712" s="66" t="str">
        <f>IF(AND(X712="Reçu",ISNUMBER(R712)),IF(N(U712)&lt;=R712,1,0),"")</f>
        <v/>
      </c>
      <c r="AB712" s="76" t="str">
        <f>IF(OR(X712="Envoyé",X712="Partiel",X712="En retard"),IF(ISNUMBER(R712),R712,100000)+ROW()/100000,"")</f>
        <v/>
      </c>
      <c r="AC712" s="66" t="str">
        <f>IF(A712="","",IF(COUNTIF($A$6:A712,A712)=1,1,""))</f>
        <v/>
      </c>
      <c r="AD712" s="66" t="str">
        <f>IF(AC712=1,COUNT($AC$6:AC712),"")</f>
        <v/>
      </c>
      <c r="AE712" s="66" t="str">
        <f>IFERROR(INDEX(po_num,MATCH(707,po_seq,0))&amp;"","")</f>
        <v/>
      </c>
      <c r="AF712" s="66" t="str">
        <f>IF(OR(A712="",p_po=""),"",IF(A712&amp;""=p_po,COUNTIF($A$6:A712,A712),""))</f>
        <v/>
      </c>
      <c r="AG712" s="66" t="str">
        <f>IF(OR(AB712="",A712=""),"",IF(COUNTIFS($A$6:A712,A712,$AB$6:AB712,"&gt;0")=1,1,""))</f>
        <v/>
      </c>
      <c r="AH712" s="70" t="str">
        <f>IF(AB712="","",ROUND(N(W712)*N(J712)*(1-N(K712)),2))</f>
        <v/>
      </c>
      <c r="AI712" s="70" t="str">
        <f>IF(OR(J712="",N(T712)&lt;=0,V712="Oui"),"",ROUND(N(T712)*J712*(1-N(K712)),2))</f>
        <v/>
      </c>
    </row>
    <row r="713">
      <c r="A713" s="63" t="n"/>
      <c r="B713" s="64" t="n"/>
      <c r="C713" s="65" t="n"/>
      <c r="D713" s="66" t="str">
        <f>IF(C713="","",IFERROR(INDEX(sup_name,MATCH($C713,sup_code,0))&amp;"","Fournisseur inconnu"))</f>
        <v/>
      </c>
      <c r="E713" s="63" t="n"/>
      <c r="F713" s="66" t="str">
        <f>IF(E713="","",IFERROR(INDEX(art_des,MATCH($E713,art_ref,0))&amp;"","Article inconnu"))</f>
        <v/>
      </c>
      <c r="G713" s="67" t="str">
        <f>IF(E713="","",IFERROR(INDEX(art_unit,MATCH($E713,art_ref,0))&amp;"",""))</f>
        <v/>
      </c>
      <c r="H713" s="68" t="n"/>
      <c r="I713" s="69" t="n"/>
      <c r="J713" s="70" t="str">
        <f>IF(E713="","",IF(ISNUMBER(I713),I713,IFERROR(IF(ISNUMBER(INDEX(art_price,MATCH($E713,art_ref,0))),INDEX(art_price,MATCH($E713,art_ref,0)),""),"")))</f>
        <v/>
      </c>
      <c r="K713" s="71" t="n"/>
      <c r="L713" s="72" t="n"/>
      <c r="M713" s="72" t="str">
        <f>IF(E713="","",IF(L713&lt;&gt;"",L713,IFERROR(IF(ISNUMBER(INDEX(art_tva,MATCH($E713,art_ref,0))),INDEX(art_tva,MATCH($E713,art_ref,0)),""),"")))</f>
        <v/>
      </c>
      <c r="N713" s="70" t="str">
        <f>IF(OR(E713="",J713=""),"",ROUND(N(H713)*J713*(1-N(K713)),2))</f>
        <v/>
      </c>
      <c r="O713" s="70" t="str">
        <f>IF(OR(N713="",NOT(ISNUMBER(M713))),"",ROUND(N713*M713,2))</f>
        <v/>
      </c>
      <c r="P713" s="70" t="str">
        <f>IF(N713="","",N713+N(O713))</f>
        <v/>
      </c>
      <c r="Q713" s="64" t="n"/>
      <c r="R713" s="73" t="str">
        <f>IF(N(Q713)&gt;0,Q713,IF(OR(N(B713)=0,ISNA(MATCH($C713,sup_code,0))),"",IF(ISNUMBER(INDEX(sup_delay,MATCH($C713,sup_code,0))),B713+INDEX(sup_delay,MATCH($C713,sup_code,0)),"")))</f>
        <v/>
      </c>
      <c r="S713" s="64" t="n"/>
      <c r="T713" s="68" t="n"/>
      <c r="U713" s="64" t="n"/>
      <c r="V713" s="65" t="n"/>
      <c r="W713" s="74" t="str">
        <f>IF(AND(A713="",E713=""),"",IF(V713="Oui",0,MAX(0,ROUND(N(H713)-N(T713),6))))</f>
        <v/>
      </c>
      <c r="X713" s="67" t="str">
        <f>IF(AND(A713="",E713=""),"",IF(V713="Oui","Annulé",IF(AND(N(H713)&gt;0,N(T713)&gt;=N(H713)),"Reçu",IF(N(S713)=0,"Brouillon",IF(AND(ISNUMBER(R713),R713&lt;p_today),"En retard",IF(N(T713)&gt;0,"Partiel","Envoyé"))))))</f>
        <v/>
      </c>
      <c r="Y713" s="75" t="str">
        <f>IF(X713="En retard",p_today-R713,IF(AND(X713="Reçu",ISNUMBER(R713)),MAX(0,N(U713)-R713),""))</f>
        <v/>
      </c>
      <c r="Z713" s="67" t="str">
        <f>IF(AND(A713="",E713=""),"",IF(A713="","N° de bon manquant",IF(N(B713)=0,"Date de commande manquante",IF(C713="","Fournisseur manquant",IF(ISNA(MATCH($C713,sup_code,0)),"Fournisseur inconnu",IF(E713="","Article manquant",IF(ISNA(MATCH($E713,art_ref,0)),"Article inconnu",IF(N(H713)&lt;=0,"Quantité invalide",IF(J713="","Prix manquant",IF(OR(N(K713)&lt;0,N(K713)&gt;=1),"Remise invalide",IF(M713="","TVA manquante",IF(ISNA(MATCH(M713,p_tva,0)),"Taux de TVA inconnu",IF(COUNTIFS(po_num,A713,po_sup,"&lt;&gt;"&amp;C713)&gt;0,"Fournisseur différent sur ce bon",IF(COUNTIFS(po_num,A713,po_date,"&lt;&gt;"&amp;B713)&gt;0,"Date différente sur ce bon",IF(COUNTIF(po_num,A713)&gt;25,"Plus de 25 lignes sur ce bon",IF(R713="","Date de livraison manquante",IF(R713&lt;B713,"Livraison avant la commande",IF(AND(N(T713)&gt;0,N(S713)=0),"Date d'envoi manquante",IF(N(T713)&gt;N(H713),"Reçu plus que commandé",IF(AND(N(T713)&gt;0,N(U713)=0),"Date de réception manquante",IF(AND(N(U713)&gt;0,U713&lt;B713),"Réception avant la commande","OK")))))))))))))))))))))</f>
        <v/>
      </c>
      <c r="AA713" s="66" t="str">
        <f>IF(AND(X713="Reçu",ISNUMBER(R713)),IF(N(U713)&lt;=R713,1,0),"")</f>
        <v/>
      </c>
      <c r="AB713" s="76" t="str">
        <f>IF(OR(X713="Envoyé",X713="Partiel",X713="En retard"),IF(ISNUMBER(R713),R713,100000)+ROW()/100000,"")</f>
        <v/>
      </c>
      <c r="AC713" s="66" t="str">
        <f>IF(A713="","",IF(COUNTIF($A$6:A713,A713)=1,1,""))</f>
        <v/>
      </c>
      <c r="AD713" s="66" t="str">
        <f>IF(AC713=1,COUNT($AC$6:AC713),"")</f>
        <v/>
      </c>
      <c r="AE713" s="66" t="str">
        <f>IFERROR(INDEX(po_num,MATCH(708,po_seq,0))&amp;"","")</f>
        <v/>
      </c>
      <c r="AF713" s="66" t="str">
        <f>IF(OR(A713="",p_po=""),"",IF(A713&amp;""=p_po,COUNTIF($A$6:A713,A713),""))</f>
        <v/>
      </c>
      <c r="AG713" s="66" t="str">
        <f>IF(OR(AB713="",A713=""),"",IF(COUNTIFS($A$6:A713,A713,$AB$6:AB713,"&gt;0")=1,1,""))</f>
        <v/>
      </c>
      <c r="AH713" s="70" t="str">
        <f>IF(AB713="","",ROUND(N(W713)*N(J713)*(1-N(K713)),2))</f>
        <v/>
      </c>
      <c r="AI713" s="70" t="str">
        <f>IF(OR(J713="",N(T713)&lt;=0,V713="Oui"),"",ROUND(N(T713)*J713*(1-N(K713)),2))</f>
        <v/>
      </c>
    </row>
    <row r="714">
      <c r="A714" s="63" t="n"/>
      <c r="B714" s="64" t="n"/>
      <c r="C714" s="65" t="n"/>
      <c r="D714" s="66" t="str">
        <f>IF(C714="","",IFERROR(INDEX(sup_name,MATCH($C714,sup_code,0))&amp;"","Fournisseur inconnu"))</f>
        <v/>
      </c>
      <c r="E714" s="63" t="n"/>
      <c r="F714" s="66" t="str">
        <f>IF(E714="","",IFERROR(INDEX(art_des,MATCH($E714,art_ref,0))&amp;"","Article inconnu"))</f>
        <v/>
      </c>
      <c r="G714" s="67" t="str">
        <f>IF(E714="","",IFERROR(INDEX(art_unit,MATCH($E714,art_ref,0))&amp;"",""))</f>
        <v/>
      </c>
      <c r="H714" s="68" t="n"/>
      <c r="I714" s="69" t="n"/>
      <c r="J714" s="70" t="str">
        <f>IF(E714="","",IF(ISNUMBER(I714),I714,IFERROR(IF(ISNUMBER(INDEX(art_price,MATCH($E714,art_ref,0))),INDEX(art_price,MATCH($E714,art_ref,0)),""),"")))</f>
        <v/>
      </c>
      <c r="K714" s="71" t="n"/>
      <c r="L714" s="72" t="n"/>
      <c r="M714" s="72" t="str">
        <f>IF(E714="","",IF(L714&lt;&gt;"",L714,IFERROR(IF(ISNUMBER(INDEX(art_tva,MATCH($E714,art_ref,0))),INDEX(art_tva,MATCH($E714,art_ref,0)),""),"")))</f>
        <v/>
      </c>
      <c r="N714" s="70" t="str">
        <f>IF(OR(E714="",J714=""),"",ROUND(N(H714)*J714*(1-N(K714)),2))</f>
        <v/>
      </c>
      <c r="O714" s="70" t="str">
        <f>IF(OR(N714="",NOT(ISNUMBER(M714))),"",ROUND(N714*M714,2))</f>
        <v/>
      </c>
      <c r="P714" s="70" t="str">
        <f>IF(N714="","",N714+N(O714))</f>
        <v/>
      </c>
      <c r="Q714" s="64" t="n"/>
      <c r="R714" s="73" t="str">
        <f>IF(N(Q714)&gt;0,Q714,IF(OR(N(B714)=0,ISNA(MATCH($C714,sup_code,0))),"",IF(ISNUMBER(INDEX(sup_delay,MATCH($C714,sup_code,0))),B714+INDEX(sup_delay,MATCH($C714,sup_code,0)),"")))</f>
        <v/>
      </c>
      <c r="S714" s="64" t="n"/>
      <c r="T714" s="68" t="n"/>
      <c r="U714" s="64" t="n"/>
      <c r="V714" s="65" t="n"/>
      <c r="W714" s="74" t="str">
        <f>IF(AND(A714="",E714=""),"",IF(V714="Oui",0,MAX(0,ROUND(N(H714)-N(T714),6))))</f>
        <v/>
      </c>
      <c r="X714" s="67" t="str">
        <f>IF(AND(A714="",E714=""),"",IF(V714="Oui","Annulé",IF(AND(N(H714)&gt;0,N(T714)&gt;=N(H714)),"Reçu",IF(N(S714)=0,"Brouillon",IF(AND(ISNUMBER(R714),R714&lt;p_today),"En retard",IF(N(T714)&gt;0,"Partiel","Envoyé"))))))</f>
        <v/>
      </c>
      <c r="Y714" s="75" t="str">
        <f>IF(X714="En retard",p_today-R714,IF(AND(X714="Reçu",ISNUMBER(R714)),MAX(0,N(U714)-R714),""))</f>
        <v/>
      </c>
      <c r="Z714" s="67" t="str">
        <f>IF(AND(A714="",E714=""),"",IF(A714="","N° de bon manquant",IF(N(B714)=0,"Date de commande manquante",IF(C714="","Fournisseur manquant",IF(ISNA(MATCH($C714,sup_code,0)),"Fournisseur inconnu",IF(E714="","Article manquant",IF(ISNA(MATCH($E714,art_ref,0)),"Article inconnu",IF(N(H714)&lt;=0,"Quantité invalide",IF(J714="","Prix manquant",IF(OR(N(K714)&lt;0,N(K714)&gt;=1),"Remise invalide",IF(M714="","TVA manquante",IF(ISNA(MATCH(M714,p_tva,0)),"Taux de TVA inconnu",IF(COUNTIFS(po_num,A714,po_sup,"&lt;&gt;"&amp;C714)&gt;0,"Fournisseur différent sur ce bon",IF(COUNTIFS(po_num,A714,po_date,"&lt;&gt;"&amp;B714)&gt;0,"Date différente sur ce bon",IF(COUNTIF(po_num,A714)&gt;25,"Plus de 25 lignes sur ce bon",IF(R714="","Date de livraison manquante",IF(R714&lt;B714,"Livraison avant la commande",IF(AND(N(T714)&gt;0,N(S714)=0),"Date d'envoi manquante",IF(N(T714)&gt;N(H714),"Reçu plus que commandé",IF(AND(N(T714)&gt;0,N(U714)=0),"Date de réception manquante",IF(AND(N(U714)&gt;0,U714&lt;B714),"Réception avant la commande","OK")))))))))))))))))))))</f>
        <v/>
      </c>
      <c r="AA714" s="66" t="str">
        <f>IF(AND(X714="Reçu",ISNUMBER(R714)),IF(N(U714)&lt;=R714,1,0),"")</f>
        <v/>
      </c>
      <c r="AB714" s="76" t="str">
        <f>IF(OR(X714="Envoyé",X714="Partiel",X714="En retard"),IF(ISNUMBER(R714),R714,100000)+ROW()/100000,"")</f>
        <v/>
      </c>
      <c r="AC714" s="66" t="str">
        <f>IF(A714="","",IF(COUNTIF($A$6:A714,A714)=1,1,""))</f>
        <v/>
      </c>
      <c r="AD714" s="66" t="str">
        <f>IF(AC714=1,COUNT($AC$6:AC714),"")</f>
        <v/>
      </c>
      <c r="AE714" s="66" t="str">
        <f>IFERROR(INDEX(po_num,MATCH(709,po_seq,0))&amp;"","")</f>
        <v/>
      </c>
      <c r="AF714" s="66" t="str">
        <f>IF(OR(A714="",p_po=""),"",IF(A714&amp;""=p_po,COUNTIF($A$6:A714,A714),""))</f>
        <v/>
      </c>
      <c r="AG714" s="66" t="str">
        <f>IF(OR(AB714="",A714=""),"",IF(COUNTIFS($A$6:A714,A714,$AB$6:AB714,"&gt;0")=1,1,""))</f>
        <v/>
      </c>
      <c r="AH714" s="70" t="str">
        <f>IF(AB714="","",ROUND(N(W714)*N(J714)*(1-N(K714)),2))</f>
        <v/>
      </c>
      <c r="AI714" s="70" t="str">
        <f>IF(OR(J714="",N(T714)&lt;=0,V714="Oui"),"",ROUND(N(T714)*J714*(1-N(K714)),2))</f>
        <v/>
      </c>
    </row>
    <row r="715">
      <c r="A715" s="63" t="n"/>
      <c r="B715" s="64" t="n"/>
      <c r="C715" s="65" t="n"/>
      <c r="D715" s="66" t="str">
        <f>IF(C715="","",IFERROR(INDEX(sup_name,MATCH($C715,sup_code,0))&amp;"","Fournisseur inconnu"))</f>
        <v/>
      </c>
      <c r="E715" s="63" t="n"/>
      <c r="F715" s="66" t="str">
        <f>IF(E715="","",IFERROR(INDEX(art_des,MATCH($E715,art_ref,0))&amp;"","Article inconnu"))</f>
        <v/>
      </c>
      <c r="G715" s="67" t="str">
        <f>IF(E715="","",IFERROR(INDEX(art_unit,MATCH($E715,art_ref,0))&amp;"",""))</f>
        <v/>
      </c>
      <c r="H715" s="68" t="n"/>
      <c r="I715" s="69" t="n"/>
      <c r="J715" s="70" t="str">
        <f>IF(E715="","",IF(ISNUMBER(I715),I715,IFERROR(IF(ISNUMBER(INDEX(art_price,MATCH($E715,art_ref,0))),INDEX(art_price,MATCH($E715,art_ref,0)),""),"")))</f>
        <v/>
      </c>
      <c r="K715" s="71" t="n"/>
      <c r="L715" s="72" t="n"/>
      <c r="M715" s="72" t="str">
        <f>IF(E715="","",IF(L715&lt;&gt;"",L715,IFERROR(IF(ISNUMBER(INDEX(art_tva,MATCH($E715,art_ref,0))),INDEX(art_tva,MATCH($E715,art_ref,0)),""),"")))</f>
        <v/>
      </c>
      <c r="N715" s="70" t="str">
        <f>IF(OR(E715="",J715=""),"",ROUND(N(H715)*J715*(1-N(K715)),2))</f>
        <v/>
      </c>
      <c r="O715" s="70" t="str">
        <f>IF(OR(N715="",NOT(ISNUMBER(M715))),"",ROUND(N715*M715,2))</f>
        <v/>
      </c>
      <c r="P715" s="70" t="str">
        <f>IF(N715="","",N715+N(O715))</f>
        <v/>
      </c>
      <c r="Q715" s="64" t="n"/>
      <c r="R715" s="73" t="str">
        <f>IF(N(Q715)&gt;0,Q715,IF(OR(N(B715)=0,ISNA(MATCH($C715,sup_code,0))),"",IF(ISNUMBER(INDEX(sup_delay,MATCH($C715,sup_code,0))),B715+INDEX(sup_delay,MATCH($C715,sup_code,0)),"")))</f>
        <v/>
      </c>
      <c r="S715" s="64" t="n"/>
      <c r="T715" s="68" t="n"/>
      <c r="U715" s="64" t="n"/>
      <c r="V715" s="65" t="n"/>
      <c r="W715" s="74" t="str">
        <f>IF(AND(A715="",E715=""),"",IF(V715="Oui",0,MAX(0,ROUND(N(H715)-N(T715),6))))</f>
        <v/>
      </c>
      <c r="X715" s="67" t="str">
        <f>IF(AND(A715="",E715=""),"",IF(V715="Oui","Annulé",IF(AND(N(H715)&gt;0,N(T715)&gt;=N(H715)),"Reçu",IF(N(S715)=0,"Brouillon",IF(AND(ISNUMBER(R715),R715&lt;p_today),"En retard",IF(N(T715)&gt;0,"Partiel","Envoyé"))))))</f>
        <v/>
      </c>
      <c r="Y715" s="75" t="str">
        <f>IF(X715="En retard",p_today-R715,IF(AND(X715="Reçu",ISNUMBER(R715)),MAX(0,N(U715)-R715),""))</f>
        <v/>
      </c>
      <c r="Z715" s="67" t="str">
        <f>IF(AND(A715="",E715=""),"",IF(A715="","N° de bon manquant",IF(N(B715)=0,"Date de commande manquante",IF(C715="","Fournisseur manquant",IF(ISNA(MATCH($C715,sup_code,0)),"Fournisseur inconnu",IF(E715="","Article manquant",IF(ISNA(MATCH($E715,art_ref,0)),"Article inconnu",IF(N(H715)&lt;=0,"Quantité invalide",IF(J715="","Prix manquant",IF(OR(N(K715)&lt;0,N(K715)&gt;=1),"Remise invalide",IF(M715="","TVA manquante",IF(ISNA(MATCH(M715,p_tva,0)),"Taux de TVA inconnu",IF(COUNTIFS(po_num,A715,po_sup,"&lt;&gt;"&amp;C715)&gt;0,"Fournisseur différent sur ce bon",IF(COUNTIFS(po_num,A715,po_date,"&lt;&gt;"&amp;B715)&gt;0,"Date différente sur ce bon",IF(COUNTIF(po_num,A715)&gt;25,"Plus de 25 lignes sur ce bon",IF(R715="","Date de livraison manquante",IF(R715&lt;B715,"Livraison avant la commande",IF(AND(N(T715)&gt;0,N(S715)=0),"Date d'envoi manquante",IF(N(T715)&gt;N(H715),"Reçu plus que commandé",IF(AND(N(T715)&gt;0,N(U715)=0),"Date de réception manquante",IF(AND(N(U715)&gt;0,U715&lt;B715),"Réception avant la commande","OK")))))))))))))))))))))</f>
        <v/>
      </c>
      <c r="AA715" s="66" t="str">
        <f>IF(AND(X715="Reçu",ISNUMBER(R715)),IF(N(U715)&lt;=R715,1,0),"")</f>
        <v/>
      </c>
      <c r="AB715" s="76" t="str">
        <f>IF(OR(X715="Envoyé",X715="Partiel",X715="En retard"),IF(ISNUMBER(R715),R715,100000)+ROW()/100000,"")</f>
        <v/>
      </c>
      <c r="AC715" s="66" t="str">
        <f>IF(A715="","",IF(COUNTIF($A$6:A715,A715)=1,1,""))</f>
        <v/>
      </c>
      <c r="AD715" s="66" t="str">
        <f>IF(AC715=1,COUNT($AC$6:AC715),"")</f>
        <v/>
      </c>
      <c r="AE715" s="66" t="str">
        <f>IFERROR(INDEX(po_num,MATCH(710,po_seq,0))&amp;"","")</f>
        <v/>
      </c>
      <c r="AF715" s="66" t="str">
        <f>IF(OR(A715="",p_po=""),"",IF(A715&amp;""=p_po,COUNTIF($A$6:A715,A715),""))</f>
        <v/>
      </c>
      <c r="AG715" s="66" t="str">
        <f>IF(OR(AB715="",A715=""),"",IF(COUNTIFS($A$6:A715,A715,$AB$6:AB715,"&gt;0")=1,1,""))</f>
        <v/>
      </c>
      <c r="AH715" s="70" t="str">
        <f>IF(AB715="","",ROUND(N(W715)*N(J715)*(1-N(K715)),2))</f>
        <v/>
      </c>
      <c r="AI715" s="70" t="str">
        <f>IF(OR(J715="",N(T715)&lt;=0,V715="Oui"),"",ROUND(N(T715)*J715*(1-N(K715)),2))</f>
        <v/>
      </c>
    </row>
    <row r="716">
      <c r="A716" s="63" t="n"/>
      <c r="B716" s="64" t="n"/>
      <c r="C716" s="65" t="n"/>
      <c r="D716" s="66" t="str">
        <f>IF(C716="","",IFERROR(INDEX(sup_name,MATCH($C716,sup_code,0))&amp;"","Fournisseur inconnu"))</f>
        <v/>
      </c>
      <c r="E716" s="63" t="n"/>
      <c r="F716" s="66" t="str">
        <f>IF(E716="","",IFERROR(INDEX(art_des,MATCH($E716,art_ref,0))&amp;"","Article inconnu"))</f>
        <v/>
      </c>
      <c r="G716" s="67" t="str">
        <f>IF(E716="","",IFERROR(INDEX(art_unit,MATCH($E716,art_ref,0))&amp;"",""))</f>
        <v/>
      </c>
      <c r="H716" s="68" t="n"/>
      <c r="I716" s="69" t="n"/>
      <c r="J716" s="70" t="str">
        <f>IF(E716="","",IF(ISNUMBER(I716),I716,IFERROR(IF(ISNUMBER(INDEX(art_price,MATCH($E716,art_ref,0))),INDEX(art_price,MATCH($E716,art_ref,0)),""),"")))</f>
        <v/>
      </c>
      <c r="K716" s="71" t="n"/>
      <c r="L716" s="72" t="n"/>
      <c r="M716" s="72" t="str">
        <f>IF(E716="","",IF(L716&lt;&gt;"",L716,IFERROR(IF(ISNUMBER(INDEX(art_tva,MATCH($E716,art_ref,0))),INDEX(art_tva,MATCH($E716,art_ref,0)),""),"")))</f>
        <v/>
      </c>
      <c r="N716" s="70" t="str">
        <f>IF(OR(E716="",J716=""),"",ROUND(N(H716)*J716*(1-N(K716)),2))</f>
        <v/>
      </c>
      <c r="O716" s="70" t="str">
        <f>IF(OR(N716="",NOT(ISNUMBER(M716))),"",ROUND(N716*M716,2))</f>
        <v/>
      </c>
      <c r="P716" s="70" t="str">
        <f>IF(N716="","",N716+N(O716))</f>
        <v/>
      </c>
      <c r="Q716" s="64" t="n"/>
      <c r="R716" s="73" t="str">
        <f>IF(N(Q716)&gt;0,Q716,IF(OR(N(B716)=0,ISNA(MATCH($C716,sup_code,0))),"",IF(ISNUMBER(INDEX(sup_delay,MATCH($C716,sup_code,0))),B716+INDEX(sup_delay,MATCH($C716,sup_code,0)),"")))</f>
        <v/>
      </c>
      <c r="S716" s="64" t="n"/>
      <c r="T716" s="68" t="n"/>
      <c r="U716" s="64" t="n"/>
      <c r="V716" s="65" t="n"/>
      <c r="W716" s="74" t="str">
        <f>IF(AND(A716="",E716=""),"",IF(V716="Oui",0,MAX(0,ROUND(N(H716)-N(T716),6))))</f>
        <v/>
      </c>
      <c r="X716" s="67" t="str">
        <f>IF(AND(A716="",E716=""),"",IF(V716="Oui","Annulé",IF(AND(N(H716)&gt;0,N(T716)&gt;=N(H716)),"Reçu",IF(N(S716)=0,"Brouillon",IF(AND(ISNUMBER(R716),R716&lt;p_today),"En retard",IF(N(T716)&gt;0,"Partiel","Envoyé"))))))</f>
        <v/>
      </c>
      <c r="Y716" s="75" t="str">
        <f>IF(X716="En retard",p_today-R716,IF(AND(X716="Reçu",ISNUMBER(R716)),MAX(0,N(U716)-R716),""))</f>
        <v/>
      </c>
      <c r="Z716" s="67" t="str">
        <f>IF(AND(A716="",E716=""),"",IF(A716="","N° de bon manquant",IF(N(B716)=0,"Date de commande manquante",IF(C716="","Fournisseur manquant",IF(ISNA(MATCH($C716,sup_code,0)),"Fournisseur inconnu",IF(E716="","Article manquant",IF(ISNA(MATCH($E716,art_ref,0)),"Article inconnu",IF(N(H716)&lt;=0,"Quantité invalide",IF(J716="","Prix manquant",IF(OR(N(K716)&lt;0,N(K716)&gt;=1),"Remise invalide",IF(M716="","TVA manquante",IF(ISNA(MATCH(M716,p_tva,0)),"Taux de TVA inconnu",IF(COUNTIFS(po_num,A716,po_sup,"&lt;&gt;"&amp;C716)&gt;0,"Fournisseur différent sur ce bon",IF(COUNTIFS(po_num,A716,po_date,"&lt;&gt;"&amp;B716)&gt;0,"Date différente sur ce bon",IF(COUNTIF(po_num,A716)&gt;25,"Plus de 25 lignes sur ce bon",IF(R716="","Date de livraison manquante",IF(R716&lt;B716,"Livraison avant la commande",IF(AND(N(T716)&gt;0,N(S716)=0),"Date d'envoi manquante",IF(N(T716)&gt;N(H716),"Reçu plus que commandé",IF(AND(N(T716)&gt;0,N(U716)=0),"Date de réception manquante",IF(AND(N(U716)&gt;0,U716&lt;B716),"Réception avant la commande","OK")))))))))))))))))))))</f>
        <v/>
      </c>
      <c r="AA716" s="66" t="str">
        <f>IF(AND(X716="Reçu",ISNUMBER(R716)),IF(N(U716)&lt;=R716,1,0),"")</f>
        <v/>
      </c>
      <c r="AB716" s="76" t="str">
        <f>IF(OR(X716="Envoyé",X716="Partiel",X716="En retard"),IF(ISNUMBER(R716),R716,100000)+ROW()/100000,"")</f>
        <v/>
      </c>
      <c r="AC716" s="66" t="str">
        <f>IF(A716="","",IF(COUNTIF($A$6:A716,A716)=1,1,""))</f>
        <v/>
      </c>
      <c r="AD716" s="66" t="str">
        <f>IF(AC716=1,COUNT($AC$6:AC716),"")</f>
        <v/>
      </c>
      <c r="AE716" s="66" t="str">
        <f>IFERROR(INDEX(po_num,MATCH(711,po_seq,0))&amp;"","")</f>
        <v/>
      </c>
      <c r="AF716" s="66" t="str">
        <f>IF(OR(A716="",p_po=""),"",IF(A716&amp;""=p_po,COUNTIF($A$6:A716,A716),""))</f>
        <v/>
      </c>
      <c r="AG716" s="66" t="str">
        <f>IF(OR(AB716="",A716=""),"",IF(COUNTIFS($A$6:A716,A716,$AB$6:AB716,"&gt;0")=1,1,""))</f>
        <v/>
      </c>
      <c r="AH716" s="70" t="str">
        <f>IF(AB716="","",ROUND(N(W716)*N(J716)*(1-N(K716)),2))</f>
        <v/>
      </c>
      <c r="AI716" s="70" t="str">
        <f>IF(OR(J716="",N(T716)&lt;=0,V716="Oui"),"",ROUND(N(T716)*J716*(1-N(K716)),2))</f>
        <v/>
      </c>
    </row>
    <row r="717">
      <c r="A717" s="63" t="n"/>
      <c r="B717" s="64" t="n"/>
      <c r="C717" s="65" t="n"/>
      <c r="D717" s="66" t="str">
        <f>IF(C717="","",IFERROR(INDEX(sup_name,MATCH($C717,sup_code,0))&amp;"","Fournisseur inconnu"))</f>
        <v/>
      </c>
      <c r="E717" s="63" t="n"/>
      <c r="F717" s="66" t="str">
        <f>IF(E717="","",IFERROR(INDEX(art_des,MATCH($E717,art_ref,0))&amp;"","Article inconnu"))</f>
        <v/>
      </c>
      <c r="G717" s="67" t="str">
        <f>IF(E717="","",IFERROR(INDEX(art_unit,MATCH($E717,art_ref,0))&amp;"",""))</f>
        <v/>
      </c>
      <c r="H717" s="68" t="n"/>
      <c r="I717" s="69" t="n"/>
      <c r="J717" s="70" t="str">
        <f>IF(E717="","",IF(ISNUMBER(I717),I717,IFERROR(IF(ISNUMBER(INDEX(art_price,MATCH($E717,art_ref,0))),INDEX(art_price,MATCH($E717,art_ref,0)),""),"")))</f>
        <v/>
      </c>
      <c r="K717" s="71" t="n"/>
      <c r="L717" s="72" t="n"/>
      <c r="M717" s="72" t="str">
        <f>IF(E717="","",IF(L717&lt;&gt;"",L717,IFERROR(IF(ISNUMBER(INDEX(art_tva,MATCH($E717,art_ref,0))),INDEX(art_tva,MATCH($E717,art_ref,0)),""),"")))</f>
        <v/>
      </c>
      <c r="N717" s="70" t="str">
        <f>IF(OR(E717="",J717=""),"",ROUND(N(H717)*J717*(1-N(K717)),2))</f>
        <v/>
      </c>
      <c r="O717" s="70" t="str">
        <f>IF(OR(N717="",NOT(ISNUMBER(M717))),"",ROUND(N717*M717,2))</f>
        <v/>
      </c>
      <c r="P717" s="70" t="str">
        <f>IF(N717="","",N717+N(O717))</f>
        <v/>
      </c>
      <c r="Q717" s="64" t="n"/>
      <c r="R717" s="73" t="str">
        <f>IF(N(Q717)&gt;0,Q717,IF(OR(N(B717)=0,ISNA(MATCH($C717,sup_code,0))),"",IF(ISNUMBER(INDEX(sup_delay,MATCH($C717,sup_code,0))),B717+INDEX(sup_delay,MATCH($C717,sup_code,0)),"")))</f>
        <v/>
      </c>
      <c r="S717" s="64" t="n"/>
      <c r="T717" s="68" t="n"/>
      <c r="U717" s="64" t="n"/>
      <c r="V717" s="65" t="n"/>
      <c r="W717" s="74" t="str">
        <f>IF(AND(A717="",E717=""),"",IF(V717="Oui",0,MAX(0,ROUND(N(H717)-N(T717),6))))</f>
        <v/>
      </c>
      <c r="X717" s="67" t="str">
        <f>IF(AND(A717="",E717=""),"",IF(V717="Oui","Annulé",IF(AND(N(H717)&gt;0,N(T717)&gt;=N(H717)),"Reçu",IF(N(S717)=0,"Brouillon",IF(AND(ISNUMBER(R717),R717&lt;p_today),"En retard",IF(N(T717)&gt;0,"Partiel","Envoyé"))))))</f>
        <v/>
      </c>
      <c r="Y717" s="75" t="str">
        <f>IF(X717="En retard",p_today-R717,IF(AND(X717="Reçu",ISNUMBER(R717)),MAX(0,N(U717)-R717),""))</f>
        <v/>
      </c>
      <c r="Z717" s="67" t="str">
        <f>IF(AND(A717="",E717=""),"",IF(A717="","N° de bon manquant",IF(N(B717)=0,"Date de commande manquante",IF(C717="","Fournisseur manquant",IF(ISNA(MATCH($C717,sup_code,0)),"Fournisseur inconnu",IF(E717="","Article manquant",IF(ISNA(MATCH($E717,art_ref,0)),"Article inconnu",IF(N(H717)&lt;=0,"Quantité invalide",IF(J717="","Prix manquant",IF(OR(N(K717)&lt;0,N(K717)&gt;=1),"Remise invalide",IF(M717="","TVA manquante",IF(ISNA(MATCH(M717,p_tva,0)),"Taux de TVA inconnu",IF(COUNTIFS(po_num,A717,po_sup,"&lt;&gt;"&amp;C717)&gt;0,"Fournisseur différent sur ce bon",IF(COUNTIFS(po_num,A717,po_date,"&lt;&gt;"&amp;B717)&gt;0,"Date différente sur ce bon",IF(COUNTIF(po_num,A717)&gt;25,"Plus de 25 lignes sur ce bon",IF(R717="","Date de livraison manquante",IF(R717&lt;B717,"Livraison avant la commande",IF(AND(N(T717)&gt;0,N(S717)=0),"Date d'envoi manquante",IF(N(T717)&gt;N(H717),"Reçu plus que commandé",IF(AND(N(T717)&gt;0,N(U717)=0),"Date de réception manquante",IF(AND(N(U717)&gt;0,U717&lt;B717),"Réception avant la commande","OK")))))))))))))))))))))</f>
        <v/>
      </c>
      <c r="AA717" s="66" t="str">
        <f>IF(AND(X717="Reçu",ISNUMBER(R717)),IF(N(U717)&lt;=R717,1,0),"")</f>
        <v/>
      </c>
      <c r="AB717" s="76" t="str">
        <f>IF(OR(X717="Envoyé",X717="Partiel",X717="En retard"),IF(ISNUMBER(R717),R717,100000)+ROW()/100000,"")</f>
        <v/>
      </c>
      <c r="AC717" s="66" t="str">
        <f>IF(A717="","",IF(COUNTIF($A$6:A717,A717)=1,1,""))</f>
        <v/>
      </c>
      <c r="AD717" s="66" t="str">
        <f>IF(AC717=1,COUNT($AC$6:AC717),"")</f>
        <v/>
      </c>
      <c r="AE717" s="66" t="str">
        <f>IFERROR(INDEX(po_num,MATCH(712,po_seq,0))&amp;"","")</f>
        <v/>
      </c>
      <c r="AF717" s="66" t="str">
        <f>IF(OR(A717="",p_po=""),"",IF(A717&amp;""=p_po,COUNTIF($A$6:A717,A717),""))</f>
        <v/>
      </c>
      <c r="AG717" s="66" t="str">
        <f>IF(OR(AB717="",A717=""),"",IF(COUNTIFS($A$6:A717,A717,$AB$6:AB717,"&gt;0")=1,1,""))</f>
        <v/>
      </c>
      <c r="AH717" s="70" t="str">
        <f>IF(AB717="","",ROUND(N(W717)*N(J717)*(1-N(K717)),2))</f>
        <v/>
      </c>
      <c r="AI717" s="70" t="str">
        <f>IF(OR(J717="",N(T717)&lt;=0,V717="Oui"),"",ROUND(N(T717)*J717*(1-N(K717)),2))</f>
        <v/>
      </c>
    </row>
    <row r="718">
      <c r="A718" s="63" t="n"/>
      <c r="B718" s="64" t="n"/>
      <c r="C718" s="65" t="n"/>
      <c r="D718" s="66" t="str">
        <f>IF(C718="","",IFERROR(INDEX(sup_name,MATCH($C718,sup_code,0))&amp;"","Fournisseur inconnu"))</f>
        <v/>
      </c>
      <c r="E718" s="63" t="n"/>
      <c r="F718" s="66" t="str">
        <f>IF(E718="","",IFERROR(INDEX(art_des,MATCH($E718,art_ref,0))&amp;"","Article inconnu"))</f>
        <v/>
      </c>
      <c r="G718" s="67" t="str">
        <f>IF(E718="","",IFERROR(INDEX(art_unit,MATCH($E718,art_ref,0))&amp;"",""))</f>
        <v/>
      </c>
      <c r="H718" s="68" t="n"/>
      <c r="I718" s="69" t="n"/>
      <c r="J718" s="70" t="str">
        <f>IF(E718="","",IF(ISNUMBER(I718),I718,IFERROR(IF(ISNUMBER(INDEX(art_price,MATCH($E718,art_ref,0))),INDEX(art_price,MATCH($E718,art_ref,0)),""),"")))</f>
        <v/>
      </c>
      <c r="K718" s="71" t="n"/>
      <c r="L718" s="72" t="n"/>
      <c r="M718" s="72" t="str">
        <f>IF(E718="","",IF(L718&lt;&gt;"",L718,IFERROR(IF(ISNUMBER(INDEX(art_tva,MATCH($E718,art_ref,0))),INDEX(art_tva,MATCH($E718,art_ref,0)),""),"")))</f>
        <v/>
      </c>
      <c r="N718" s="70" t="str">
        <f>IF(OR(E718="",J718=""),"",ROUND(N(H718)*J718*(1-N(K718)),2))</f>
        <v/>
      </c>
      <c r="O718" s="70" t="str">
        <f>IF(OR(N718="",NOT(ISNUMBER(M718))),"",ROUND(N718*M718,2))</f>
        <v/>
      </c>
      <c r="P718" s="70" t="str">
        <f>IF(N718="","",N718+N(O718))</f>
        <v/>
      </c>
      <c r="Q718" s="64" t="n"/>
      <c r="R718" s="73" t="str">
        <f>IF(N(Q718)&gt;0,Q718,IF(OR(N(B718)=0,ISNA(MATCH($C718,sup_code,0))),"",IF(ISNUMBER(INDEX(sup_delay,MATCH($C718,sup_code,0))),B718+INDEX(sup_delay,MATCH($C718,sup_code,0)),"")))</f>
        <v/>
      </c>
      <c r="S718" s="64" t="n"/>
      <c r="T718" s="68" t="n"/>
      <c r="U718" s="64" t="n"/>
      <c r="V718" s="65" t="n"/>
      <c r="W718" s="74" t="str">
        <f>IF(AND(A718="",E718=""),"",IF(V718="Oui",0,MAX(0,ROUND(N(H718)-N(T718),6))))</f>
        <v/>
      </c>
      <c r="X718" s="67" t="str">
        <f>IF(AND(A718="",E718=""),"",IF(V718="Oui","Annulé",IF(AND(N(H718)&gt;0,N(T718)&gt;=N(H718)),"Reçu",IF(N(S718)=0,"Brouillon",IF(AND(ISNUMBER(R718),R718&lt;p_today),"En retard",IF(N(T718)&gt;0,"Partiel","Envoyé"))))))</f>
        <v/>
      </c>
      <c r="Y718" s="75" t="str">
        <f>IF(X718="En retard",p_today-R718,IF(AND(X718="Reçu",ISNUMBER(R718)),MAX(0,N(U718)-R718),""))</f>
        <v/>
      </c>
      <c r="Z718" s="67" t="str">
        <f>IF(AND(A718="",E718=""),"",IF(A718="","N° de bon manquant",IF(N(B718)=0,"Date de commande manquante",IF(C718="","Fournisseur manquant",IF(ISNA(MATCH($C718,sup_code,0)),"Fournisseur inconnu",IF(E718="","Article manquant",IF(ISNA(MATCH($E718,art_ref,0)),"Article inconnu",IF(N(H718)&lt;=0,"Quantité invalide",IF(J718="","Prix manquant",IF(OR(N(K718)&lt;0,N(K718)&gt;=1),"Remise invalide",IF(M718="","TVA manquante",IF(ISNA(MATCH(M718,p_tva,0)),"Taux de TVA inconnu",IF(COUNTIFS(po_num,A718,po_sup,"&lt;&gt;"&amp;C718)&gt;0,"Fournisseur différent sur ce bon",IF(COUNTIFS(po_num,A718,po_date,"&lt;&gt;"&amp;B718)&gt;0,"Date différente sur ce bon",IF(COUNTIF(po_num,A718)&gt;25,"Plus de 25 lignes sur ce bon",IF(R718="","Date de livraison manquante",IF(R718&lt;B718,"Livraison avant la commande",IF(AND(N(T718)&gt;0,N(S718)=0),"Date d'envoi manquante",IF(N(T718)&gt;N(H718),"Reçu plus que commandé",IF(AND(N(T718)&gt;0,N(U718)=0),"Date de réception manquante",IF(AND(N(U718)&gt;0,U718&lt;B718),"Réception avant la commande","OK")))))))))))))))))))))</f>
        <v/>
      </c>
      <c r="AA718" s="66" t="str">
        <f>IF(AND(X718="Reçu",ISNUMBER(R718)),IF(N(U718)&lt;=R718,1,0),"")</f>
        <v/>
      </c>
      <c r="AB718" s="76" t="str">
        <f>IF(OR(X718="Envoyé",X718="Partiel",X718="En retard"),IF(ISNUMBER(R718),R718,100000)+ROW()/100000,"")</f>
        <v/>
      </c>
      <c r="AC718" s="66" t="str">
        <f>IF(A718="","",IF(COUNTIF($A$6:A718,A718)=1,1,""))</f>
        <v/>
      </c>
      <c r="AD718" s="66" t="str">
        <f>IF(AC718=1,COUNT($AC$6:AC718),"")</f>
        <v/>
      </c>
      <c r="AE718" s="66" t="str">
        <f>IFERROR(INDEX(po_num,MATCH(713,po_seq,0))&amp;"","")</f>
        <v/>
      </c>
      <c r="AF718" s="66" t="str">
        <f>IF(OR(A718="",p_po=""),"",IF(A718&amp;""=p_po,COUNTIF($A$6:A718,A718),""))</f>
        <v/>
      </c>
      <c r="AG718" s="66" t="str">
        <f>IF(OR(AB718="",A718=""),"",IF(COUNTIFS($A$6:A718,A718,$AB$6:AB718,"&gt;0")=1,1,""))</f>
        <v/>
      </c>
      <c r="AH718" s="70" t="str">
        <f>IF(AB718="","",ROUND(N(W718)*N(J718)*(1-N(K718)),2))</f>
        <v/>
      </c>
      <c r="AI718" s="70" t="str">
        <f>IF(OR(J718="",N(T718)&lt;=0,V718="Oui"),"",ROUND(N(T718)*J718*(1-N(K718)),2))</f>
        <v/>
      </c>
    </row>
    <row r="719">
      <c r="A719" s="63" t="n"/>
      <c r="B719" s="64" t="n"/>
      <c r="C719" s="65" t="n"/>
      <c r="D719" s="66" t="str">
        <f>IF(C719="","",IFERROR(INDEX(sup_name,MATCH($C719,sup_code,0))&amp;"","Fournisseur inconnu"))</f>
        <v/>
      </c>
      <c r="E719" s="63" t="n"/>
      <c r="F719" s="66" t="str">
        <f>IF(E719="","",IFERROR(INDEX(art_des,MATCH($E719,art_ref,0))&amp;"","Article inconnu"))</f>
        <v/>
      </c>
      <c r="G719" s="67" t="str">
        <f>IF(E719="","",IFERROR(INDEX(art_unit,MATCH($E719,art_ref,0))&amp;"",""))</f>
        <v/>
      </c>
      <c r="H719" s="68" t="n"/>
      <c r="I719" s="69" t="n"/>
      <c r="J719" s="70" t="str">
        <f>IF(E719="","",IF(ISNUMBER(I719),I719,IFERROR(IF(ISNUMBER(INDEX(art_price,MATCH($E719,art_ref,0))),INDEX(art_price,MATCH($E719,art_ref,0)),""),"")))</f>
        <v/>
      </c>
      <c r="K719" s="71" t="n"/>
      <c r="L719" s="72" t="n"/>
      <c r="M719" s="72" t="str">
        <f>IF(E719="","",IF(L719&lt;&gt;"",L719,IFERROR(IF(ISNUMBER(INDEX(art_tva,MATCH($E719,art_ref,0))),INDEX(art_tva,MATCH($E719,art_ref,0)),""),"")))</f>
        <v/>
      </c>
      <c r="N719" s="70" t="str">
        <f>IF(OR(E719="",J719=""),"",ROUND(N(H719)*J719*(1-N(K719)),2))</f>
        <v/>
      </c>
      <c r="O719" s="70" t="str">
        <f>IF(OR(N719="",NOT(ISNUMBER(M719))),"",ROUND(N719*M719,2))</f>
        <v/>
      </c>
      <c r="P719" s="70" t="str">
        <f>IF(N719="","",N719+N(O719))</f>
        <v/>
      </c>
      <c r="Q719" s="64" t="n"/>
      <c r="R719" s="73" t="str">
        <f>IF(N(Q719)&gt;0,Q719,IF(OR(N(B719)=0,ISNA(MATCH($C719,sup_code,0))),"",IF(ISNUMBER(INDEX(sup_delay,MATCH($C719,sup_code,0))),B719+INDEX(sup_delay,MATCH($C719,sup_code,0)),"")))</f>
        <v/>
      </c>
      <c r="S719" s="64" t="n"/>
      <c r="T719" s="68" t="n"/>
      <c r="U719" s="64" t="n"/>
      <c r="V719" s="65" t="n"/>
      <c r="W719" s="74" t="str">
        <f>IF(AND(A719="",E719=""),"",IF(V719="Oui",0,MAX(0,ROUND(N(H719)-N(T719),6))))</f>
        <v/>
      </c>
      <c r="X719" s="67" t="str">
        <f>IF(AND(A719="",E719=""),"",IF(V719="Oui","Annulé",IF(AND(N(H719)&gt;0,N(T719)&gt;=N(H719)),"Reçu",IF(N(S719)=0,"Brouillon",IF(AND(ISNUMBER(R719),R719&lt;p_today),"En retard",IF(N(T719)&gt;0,"Partiel","Envoyé"))))))</f>
        <v/>
      </c>
      <c r="Y719" s="75" t="str">
        <f>IF(X719="En retard",p_today-R719,IF(AND(X719="Reçu",ISNUMBER(R719)),MAX(0,N(U719)-R719),""))</f>
        <v/>
      </c>
      <c r="Z719" s="67" t="str">
        <f>IF(AND(A719="",E719=""),"",IF(A719="","N° de bon manquant",IF(N(B719)=0,"Date de commande manquante",IF(C719="","Fournisseur manquant",IF(ISNA(MATCH($C719,sup_code,0)),"Fournisseur inconnu",IF(E719="","Article manquant",IF(ISNA(MATCH($E719,art_ref,0)),"Article inconnu",IF(N(H719)&lt;=0,"Quantité invalide",IF(J719="","Prix manquant",IF(OR(N(K719)&lt;0,N(K719)&gt;=1),"Remise invalide",IF(M719="","TVA manquante",IF(ISNA(MATCH(M719,p_tva,0)),"Taux de TVA inconnu",IF(COUNTIFS(po_num,A719,po_sup,"&lt;&gt;"&amp;C719)&gt;0,"Fournisseur différent sur ce bon",IF(COUNTIFS(po_num,A719,po_date,"&lt;&gt;"&amp;B719)&gt;0,"Date différente sur ce bon",IF(COUNTIF(po_num,A719)&gt;25,"Plus de 25 lignes sur ce bon",IF(R719="","Date de livraison manquante",IF(R719&lt;B719,"Livraison avant la commande",IF(AND(N(T719)&gt;0,N(S719)=0),"Date d'envoi manquante",IF(N(T719)&gt;N(H719),"Reçu plus que commandé",IF(AND(N(T719)&gt;0,N(U719)=0),"Date de réception manquante",IF(AND(N(U719)&gt;0,U719&lt;B719),"Réception avant la commande","OK")))))))))))))))))))))</f>
        <v/>
      </c>
      <c r="AA719" s="66" t="str">
        <f>IF(AND(X719="Reçu",ISNUMBER(R719)),IF(N(U719)&lt;=R719,1,0),"")</f>
        <v/>
      </c>
      <c r="AB719" s="76" t="str">
        <f>IF(OR(X719="Envoyé",X719="Partiel",X719="En retard"),IF(ISNUMBER(R719),R719,100000)+ROW()/100000,"")</f>
        <v/>
      </c>
      <c r="AC719" s="66" t="str">
        <f>IF(A719="","",IF(COUNTIF($A$6:A719,A719)=1,1,""))</f>
        <v/>
      </c>
      <c r="AD719" s="66" t="str">
        <f>IF(AC719=1,COUNT($AC$6:AC719),"")</f>
        <v/>
      </c>
      <c r="AE719" s="66" t="str">
        <f>IFERROR(INDEX(po_num,MATCH(714,po_seq,0))&amp;"","")</f>
        <v/>
      </c>
      <c r="AF719" s="66" t="str">
        <f>IF(OR(A719="",p_po=""),"",IF(A719&amp;""=p_po,COUNTIF($A$6:A719,A719),""))</f>
        <v/>
      </c>
      <c r="AG719" s="66" t="str">
        <f>IF(OR(AB719="",A719=""),"",IF(COUNTIFS($A$6:A719,A719,$AB$6:AB719,"&gt;0")=1,1,""))</f>
        <v/>
      </c>
      <c r="AH719" s="70" t="str">
        <f>IF(AB719="","",ROUND(N(W719)*N(J719)*(1-N(K719)),2))</f>
        <v/>
      </c>
      <c r="AI719" s="70" t="str">
        <f>IF(OR(J719="",N(T719)&lt;=0,V719="Oui"),"",ROUND(N(T719)*J719*(1-N(K719)),2))</f>
        <v/>
      </c>
    </row>
    <row r="720">
      <c r="A720" s="63" t="n"/>
      <c r="B720" s="64" t="n"/>
      <c r="C720" s="65" t="n"/>
      <c r="D720" s="66" t="str">
        <f>IF(C720="","",IFERROR(INDEX(sup_name,MATCH($C720,sup_code,0))&amp;"","Fournisseur inconnu"))</f>
        <v/>
      </c>
      <c r="E720" s="63" t="n"/>
      <c r="F720" s="66" t="str">
        <f>IF(E720="","",IFERROR(INDEX(art_des,MATCH($E720,art_ref,0))&amp;"","Article inconnu"))</f>
        <v/>
      </c>
      <c r="G720" s="67" t="str">
        <f>IF(E720="","",IFERROR(INDEX(art_unit,MATCH($E720,art_ref,0))&amp;"",""))</f>
        <v/>
      </c>
      <c r="H720" s="68" t="n"/>
      <c r="I720" s="69" t="n"/>
      <c r="J720" s="70" t="str">
        <f>IF(E720="","",IF(ISNUMBER(I720),I720,IFERROR(IF(ISNUMBER(INDEX(art_price,MATCH($E720,art_ref,0))),INDEX(art_price,MATCH($E720,art_ref,0)),""),"")))</f>
        <v/>
      </c>
      <c r="K720" s="71" t="n"/>
      <c r="L720" s="72" t="n"/>
      <c r="M720" s="72" t="str">
        <f>IF(E720="","",IF(L720&lt;&gt;"",L720,IFERROR(IF(ISNUMBER(INDEX(art_tva,MATCH($E720,art_ref,0))),INDEX(art_tva,MATCH($E720,art_ref,0)),""),"")))</f>
        <v/>
      </c>
      <c r="N720" s="70" t="str">
        <f>IF(OR(E720="",J720=""),"",ROUND(N(H720)*J720*(1-N(K720)),2))</f>
        <v/>
      </c>
      <c r="O720" s="70" t="str">
        <f>IF(OR(N720="",NOT(ISNUMBER(M720))),"",ROUND(N720*M720,2))</f>
        <v/>
      </c>
      <c r="P720" s="70" t="str">
        <f>IF(N720="","",N720+N(O720))</f>
        <v/>
      </c>
      <c r="Q720" s="64" t="n"/>
      <c r="R720" s="73" t="str">
        <f>IF(N(Q720)&gt;0,Q720,IF(OR(N(B720)=0,ISNA(MATCH($C720,sup_code,0))),"",IF(ISNUMBER(INDEX(sup_delay,MATCH($C720,sup_code,0))),B720+INDEX(sup_delay,MATCH($C720,sup_code,0)),"")))</f>
        <v/>
      </c>
      <c r="S720" s="64" t="n"/>
      <c r="T720" s="68" t="n"/>
      <c r="U720" s="64" t="n"/>
      <c r="V720" s="65" t="n"/>
      <c r="W720" s="74" t="str">
        <f>IF(AND(A720="",E720=""),"",IF(V720="Oui",0,MAX(0,ROUND(N(H720)-N(T720),6))))</f>
        <v/>
      </c>
      <c r="X720" s="67" t="str">
        <f>IF(AND(A720="",E720=""),"",IF(V720="Oui","Annulé",IF(AND(N(H720)&gt;0,N(T720)&gt;=N(H720)),"Reçu",IF(N(S720)=0,"Brouillon",IF(AND(ISNUMBER(R720),R720&lt;p_today),"En retard",IF(N(T720)&gt;0,"Partiel","Envoyé"))))))</f>
        <v/>
      </c>
      <c r="Y720" s="75" t="str">
        <f>IF(X720="En retard",p_today-R720,IF(AND(X720="Reçu",ISNUMBER(R720)),MAX(0,N(U720)-R720),""))</f>
        <v/>
      </c>
      <c r="Z720" s="67" t="str">
        <f>IF(AND(A720="",E720=""),"",IF(A720="","N° de bon manquant",IF(N(B720)=0,"Date de commande manquante",IF(C720="","Fournisseur manquant",IF(ISNA(MATCH($C720,sup_code,0)),"Fournisseur inconnu",IF(E720="","Article manquant",IF(ISNA(MATCH($E720,art_ref,0)),"Article inconnu",IF(N(H720)&lt;=0,"Quantité invalide",IF(J720="","Prix manquant",IF(OR(N(K720)&lt;0,N(K720)&gt;=1),"Remise invalide",IF(M720="","TVA manquante",IF(ISNA(MATCH(M720,p_tva,0)),"Taux de TVA inconnu",IF(COUNTIFS(po_num,A720,po_sup,"&lt;&gt;"&amp;C720)&gt;0,"Fournisseur différent sur ce bon",IF(COUNTIFS(po_num,A720,po_date,"&lt;&gt;"&amp;B720)&gt;0,"Date différente sur ce bon",IF(COUNTIF(po_num,A720)&gt;25,"Plus de 25 lignes sur ce bon",IF(R720="","Date de livraison manquante",IF(R720&lt;B720,"Livraison avant la commande",IF(AND(N(T720)&gt;0,N(S720)=0),"Date d'envoi manquante",IF(N(T720)&gt;N(H720),"Reçu plus que commandé",IF(AND(N(T720)&gt;0,N(U720)=0),"Date de réception manquante",IF(AND(N(U720)&gt;0,U720&lt;B720),"Réception avant la commande","OK")))))))))))))))))))))</f>
        <v/>
      </c>
      <c r="AA720" s="66" t="str">
        <f>IF(AND(X720="Reçu",ISNUMBER(R720)),IF(N(U720)&lt;=R720,1,0),"")</f>
        <v/>
      </c>
      <c r="AB720" s="76" t="str">
        <f>IF(OR(X720="Envoyé",X720="Partiel",X720="En retard"),IF(ISNUMBER(R720),R720,100000)+ROW()/100000,"")</f>
        <v/>
      </c>
      <c r="AC720" s="66" t="str">
        <f>IF(A720="","",IF(COUNTIF($A$6:A720,A720)=1,1,""))</f>
        <v/>
      </c>
      <c r="AD720" s="66" t="str">
        <f>IF(AC720=1,COUNT($AC$6:AC720),"")</f>
        <v/>
      </c>
      <c r="AE720" s="66" t="str">
        <f>IFERROR(INDEX(po_num,MATCH(715,po_seq,0))&amp;"","")</f>
        <v/>
      </c>
      <c r="AF720" s="66" t="str">
        <f>IF(OR(A720="",p_po=""),"",IF(A720&amp;""=p_po,COUNTIF($A$6:A720,A720),""))</f>
        <v/>
      </c>
      <c r="AG720" s="66" t="str">
        <f>IF(OR(AB720="",A720=""),"",IF(COUNTIFS($A$6:A720,A720,$AB$6:AB720,"&gt;0")=1,1,""))</f>
        <v/>
      </c>
      <c r="AH720" s="70" t="str">
        <f>IF(AB720="","",ROUND(N(W720)*N(J720)*(1-N(K720)),2))</f>
        <v/>
      </c>
      <c r="AI720" s="70" t="str">
        <f>IF(OR(J720="",N(T720)&lt;=0,V720="Oui"),"",ROUND(N(T720)*J720*(1-N(K720)),2))</f>
        <v/>
      </c>
    </row>
    <row r="721">
      <c r="A721" s="63" t="n"/>
      <c r="B721" s="64" t="n"/>
      <c r="C721" s="65" t="n"/>
      <c r="D721" s="66" t="str">
        <f>IF(C721="","",IFERROR(INDEX(sup_name,MATCH($C721,sup_code,0))&amp;"","Fournisseur inconnu"))</f>
        <v/>
      </c>
      <c r="E721" s="63" t="n"/>
      <c r="F721" s="66" t="str">
        <f>IF(E721="","",IFERROR(INDEX(art_des,MATCH($E721,art_ref,0))&amp;"","Article inconnu"))</f>
        <v/>
      </c>
      <c r="G721" s="67" t="str">
        <f>IF(E721="","",IFERROR(INDEX(art_unit,MATCH($E721,art_ref,0))&amp;"",""))</f>
        <v/>
      </c>
      <c r="H721" s="68" t="n"/>
      <c r="I721" s="69" t="n"/>
      <c r="J721" s="70" t="str">
        <f>IF(E721="","",IF(ISNUMBER(I721),I721,IFERROR(IF(ISNUMBER(INDEX(art_price,MATCH($E721,art_ref,0))),INDEX(art_price,MATCH($E721,art_ref,0)),""),"")))</f>
        <v/>
      </c>
      <c r="K721" s="71" t="n"/>
      <c r="L721" s="72" t="n"/>
      <c r="M721" s="72" t="str">
        <f>IF(E721="","",IF(L721&lt;&gt;"",L721,IFERROR(IF(ISNUMBER(INDEX(art_tva,MATCH($E721,art_ref,0))),INDEX(art_tva,MATCH($E721,art_ref,0)),""),"")))</f>
        <v/>
      </c>
      <c r="N721" s="70" t="str">
        <f>IF(OR(E721="",J721=""),"",ROUND(N(H721)*J721*(1-N(K721)),2))</f>
        <v/>
      </c>
      <c r="O721" s="70" t="str">
        <f>IF(OR(N721="",NOT(ISNUMBER(M721))),"",ROUND(N721*M721,2))</f>
        <v/>
      </c>
      <c r="P721" s="70" t="str">
        <f>IF(N721="","",N721+N(O721))</f>
        <v/>
      </c>
      <c r="Q721" s="64" t="n"/>
      <c r="R721" s="73" t="str">
        <f>IF(N(Q721)&gt;0,Q721,IF(OR(N(B721)=0,ISNA(MATCH($C721,sup_code,0))),"",IF(ISNUMBER(INDEX(sup_delay,MATCH($C721,sup_code,0))),B721+INDEX(sup_delay,MATCH($C721,sup_code,0)),"")))</f>
        <v/>
      </c>
      <c r="S721" s="64" t="n"/>
      <c r="T721" s="68" t="n"/>
      <c r="U721" s="64" t="n"/>
      <c r="V721" s="65" t="n"/>
      <c r="W721" s="74" t="str">
        <f>IF(AND(A721="",E721=""),"",IF(V721="Oui",0,MAX(0,ROUND(N(H721)-N(T721),6))))</f>
        <v/>
      </c>
      <c r="X721" s="67" t="str">
        <f>IF(AND(A721="",E721=""),"",IF(V721="Oui","Annulé",IF(AND(N(H721)&gt;0,N(T721)&gt;=N(H721)),"Reçu",IF(N(S721)=0,"Brouillon",IF(AND(ISNUMBER(R721),R721&lt;p_today),"En retard",IF(N(T721)&gt;0,"Partiel","Envoyé"))))))</f>
        <v/>
      </c>
      <c r="Y721" s="75" t="str">
        <f>IF(X721="En retard",p_today-R721,IF(AND(X721="Reçu",ISNUMBER(R721)),MAX(0,N(U721)-R721),""))</f>
        <v/>
      </c>
      <c r="Z721" s="67" t="str">
        <f>IF(AND(A721="",E721=""),"",IF(A721="","N° de bon manquant",IF(N(B721)=0,"Date de commande manquante",IF(C721="","Fournisseur manquant",IF(ISNA(MATCH($C721,sup_code,0)),"Fournisseur inconnu",IF(E721="","Article manquant",IF(ISNA(MATCH($E721,art_ref,0)),"Article inconnu",IF(N(H721)&lt;=0,"Quantité invalide",IF(J721="","Prix manquant",IF(OR(N(K721)&lt;0,N(K721)&gt;=1),"Remise invalide",IF(M721="","TVA manquante",IF(ISNA(MATCH(M721,p_tva,0)),"Taux de TVA inconnu",IF(COUNTIFS(po_num,A721,po_sup,"&lt;&gt;"&amp;C721)&gt;0,"Fournisseur différent sur ce bon",IF(COUNTIFS(po_num,A721,po_date,"&lt;&gt;"&amp;B721)&gt;0,"Date différente sur ce bon",IF(COUNTIF(po_num,A721)&gt;25,"Plus de 25 lignes sur ce bon",IF(R721="","Date de livraison manquante",IF(R721&lt;B721,"Livraison avant la commande",IF(AND(N(T721)&gt;0,N(S721)=0),"Date d'envoi manquante",IF(N(T721)&gt;N(H721),"Reçu plus que commandé",IF(AND(N(T721)&gt;0,N(U721)=0),"Date de réception manquante",IF(AND(N(U721)&gt;0,U721&lt;B721),"Réception avant la commande","OK")))))))))))))))))))))</f>
        <v/>
      </c>
      <c r="AA721" s="66" t="str">
        <f>IF(AND(X721="Reçu",ISNUMBER(R721)),IF(N(U721)&lt;=R721,1,0),"")</f>
        <v/>
      </c>
      <c r="AB721" s="76" t="str">
        <f>IF(OR(X721="Envoyé",X721="Partiel",X721="En retard"),IF(ISNUMBER(R721),R721,100000)+ROW()/100000,"")</f>
        <v/>
      </c>
      <c r="AC721" s="66" t="str">
        <f>IF(A721="","",IF(COUNTIF($A$6:A721,A721)=1,1,""))</f>
        <v/>
      </c>
      <c r="AD721" s="66" t="str">
        <f>IF(AC721=1,COUNT($AC$6:AC721),"")</f>
        <v/>
      </c>
      <c r="AE721" s="66" t="str">
        <f>IFERROR(INDEX(po_num,MATCH(716,po_seq,0))&amp;"","")</f>
        <v/>
      </c>
      <c r="AF721" s="66" t="str">
        <f>IF(OR(A721="",p_po=""),"",IF(A721&amp;""=p_po,COUNTIF($A$6:A721,A721),""))</f>
        <v/>
      </c>
      <c r="AG721" s="66" t="str">
        <f>IF(OR(AB721="",A721=""),"",IF(COUNTIFS($A$6:A721,A721,$AB$6:AB721,"&gt;0")=1,1,""))</f>
        <v/>
      </c>
      <c r="AH721" s="70" t="str">
        <f>IF(AB721="","",ROUND(N(W721)*N(J721)*(1-N(K721)),2))</f>
        <v/>
      </c>
      <c r="AI721" s="70" t="str">
        <f>IF(OR(J721="",N(T721)&lt;=0,V721="Oui"),"",ROUND(N(T721)*J721*(1-N(K721)),2))</f>
        <v/>
      </c>
    </row>
    <row r="722">
      <c r="A722" s="63" t="n"/>
      <c r="B722" s="64" t="n"/>
      <c r="C722" s="65" t="n"/>
      <c r="D722" s="66" t="str">
        <f>IF(C722="","",IFERROR(INDEX(sup_name,MATCH($C722,sup_code,0))&amp;"","Fournisseur inconnu"))</f>
        <v/>
      </c>
      <c r="E722" s="63" t="n"/>
      <c r="F722" s="66" t="str">
        <f>IF(E722="","",IFERROR(INDEX(art_des,MATCH($E722,art_ref,0))&amp;"","Article inconnu"))</f>
        <v/>
      </c>
      <c r="G722" s="67" t="str">
        <f>IF(E722="","",IFERROR(INDEX(art_unit,MATCH($E722,art_ref,0))&amp;"",""))</f>
        <v/>
      </c>
      <c r="H722" s="68" t="n"/>
      <c r="I722" s="69" t="n"/>
      <c r="J722" s="70" t="str">
        <f>IF(E722="","",IF(ISNUMBER(I722),I722,IFERROR(IF(ISNUMBER(INDEX(art_price,MATCH($E722,art_ref,0))),INDEX(art_price,MATCH($E722,art_ref,0)),""),"")))</f>
        <v/>
      </c>
      <c r="K722" s="71" t="n"/>
      <c r="L722" s="72" t="n"/>
      <c r="M722" s="72" t="str">
        <f>IF(E722="","",IF(L722&lt;&gt;"",L722,IFERROR(IF(ISNUMBER(INDEX(art_tva,MATCH($E722,art_ref,0))),INDEX(art_tva,MATCH($E722,art_ref,0)),""),"")))</f>
        <v/>
      </c>
      <c r="N722" s="70" t="str">
        <f>IF(OR(E722="",J722=""),"",ROUND(N(H722)*J722*(1-N(K722)),2))</f>
        <v/>
      </c>
      <c r="O722" s="70" t="str">
        <f>IF(OR(N722="",NOT(ISNUMBER(M722))),"",ROUND(N722*M722,2))</f>
        <v/>
      </c>
      <c r="P722" s="70" t="str">
        <f>IF(N722="","",N722+N(O722))</f>
        <v/>
      </c>
      <c r="Q722" s="64" t="n"/>
      <c r="R722" s="73" t="str">
        <f>IF(N(Q722)&gt;0,Q722,IF(OR(N(B722)=0,ISNA(MATCH($C722,sup_code,0))),"",IF(ISNUMBER(INDEX(sup_delay,MATCH($C722,sup_code,0))),B722+INDEX(sup_delay,MATCH($C722,sup_code,0)),"")))</f>
        <v/>
      </c>
      <c r="S722" s="64" t="n"/>
      <c r="T722" s="68" t="n"/>
      <c r="U722" s="64" t="n"/>
      <c r="V722" s="65" t="n"/>
      <c r="W722" s="74" t="str">
        <f>IF(AND(A722="",E722=""),"",IF(V722="Oui",0,MAX(0,ROUND(N(H722)-N(T722),6))))</f>
        <v/>
      </c>
      <c r="X722" s="67" t="str">
        <f>IF(AND(A722="",E722=""),"",IF(V722="Oui","Annulé",IF(AND(N(H722)&gt;0,N(T722)&gt;=N(H722)),"Reçu",IF(N(S722)=0,"Brouillon",IF(AND(ISNUMBER(R722),R722&lt;p_today),"En retard",IF(N(T722)&gt;0,"Partiel","Envoyé"))))))</f>
        <v/>
      </c>
      <c r="Y722" s="75" t="str">
        <f>IF(X722="En retard",p_today-R722,IF(AND(X722="Reçu",ISNUMBER(R722)),MAX(0,N(U722)-R722),""))</f>
        <v/>
      </c>
      <c r="Z722" s="67" t="str">
        <f>IF(AND(A722="",E722=""),"",IF(A722="","N° de bon manquant",IF(N(B722)=0,"Date de commande manquante",IF(C722="","Fournisseur manquant",IF(ISNA(MATCH($C722,sup_code,0)),"Fournisseur inconnu",IF(E722="","Article manquant",IF(ISNA(MATCH($E722,art_ref,0)),"Article inconnu",IF(N(H722)&lt;=0,"Quantité invalide",IF(J722="","Prix manquant",IF(OR(N(K722)&lt;0,N(K722)&gt;=1),"Remise invalide",IF(M722="","TVA manquante",IF(ISNA(MATCH(M722,p_tva,0)),"Taux de TVA inconnu",IF(COUNTIFS(po_num,A722,po_sup,"&lt;&gt;"&amp;C722)&gt;0,"Fournisseur différent sur ce bon",IF(COUNTIFS(po_num,A722,po_date,"&lt;&gt;"&amp;B722)&gt;0,"Date différente sur ce bon",IF(COUNTIF(po_num,A722)&gt;25,"Plus de 25 lignes sur ce bon",IF(R722="","Date de livraison manquante",IF(R722&lt;B722,"Livraison avant la commande",IF(AND(N(T722)&gt;0,N(S722)=0),"Date d'envoi manquante",IF(N(T722)&gt;N(H722),"Reçu plus que commandé",IF(AND(N(T722)&gt;0,N(U722)=0),"Date de réception manquante",IF(AND(N(U722)&gt;0,U722&lt;B722),"Réception avant la commande","OK")))))))))))))))))))))</f>
        <v/>
      </c>
      <c r="AA722" s="66" t="str">
        <f>IF(AND(X722="Reçu",ISNUMBER(R722)),IF(N(U722)&lt;=R722,1,0),"")</f>
        <v/>
      </c>
      <c r="AB722" s="76" t="str">
        <f>IF(OR(X722="Envoyé",X722="Partiel",X722="En retard"),IF(ISNUMBER(R722),R722,100000)+ROW()/100000,"")</f>
        <v/>
      </c>
      <c r="AC722" s="66" t="str">
        <f>IF(A722="","",IF(COUNTIF($A$6:A722,A722)=1,1,""))</f>
        <v/>
      </c>
      <c r="AD722" s="66" t="str">
        <f>IF(AC722=1,COUNT($AC$6:AC722),"")</f>
        <v/>
      </c>
      <c r="AE722" s="66" t="str">
        <f>IFERROR(INDEX(po_num,MATCH(717,po_seq,0))&amp;"","")</f>
        <v/>
      </c>
      <c r="AF722" s="66" t="str">
        <f>IF(OR(A722="",p_po=""),"",IF(A722&amp;""=p_po,COUNTIF($A$6:A722,A722),""))</f>
        <v/>
      </c>
      <c r="AG722" s="66" t="str">
        <f>IF(OR(AB722="",A722=""),"",IF(COUNTIFS($A$6:A722,A722,$AB$6:AB722,"&gt;0")=1,1,""))</f>
        <v/>
      </c>
      <c r="AH722" s="70" t="str">
        <f>IF(AB722="","",ROUND(N(W722)*N(J722)*(1-N(K722)),2))</f>
        <v/>
      </c>
      <c r="AI722" s="70" t="str">
        <f>IF(OR(J722="",N(T722)&lt;=0,V722="Oui"),"",ROUND(N(T722)*J722*(1-N(K722)),2))</f>
        <v/>
      </c>
    </row>
    <row r="723">
      <c r="A723" s="63" t="n"/>
      <c r="B723" s="64" t="n"/>
      <c r="C723" s="65" t="n"/>
      <c r="D723" s="66" t="str">
        <f>IF(C723="","",IFERROR(INDEX(sup_name,MATCH($C723,sup_code,0))&amp;"","Fournisseur inconnu"))</f>
        <v/>
      </c>
      <c r="E723" s="63" t="n"/>
      <c r="F723" s="66" t="str">
        <f>IF(E723="","",IFERROR(INDEX(art_des,MATCH($E723,art_ref,0))&amp;"","Article inconnu"))</f>
        <v/>
      </c>
      <c r="G723" s="67" t="str">
        <f>IF(E723="","",IFERROR(INDEX(art_unit,MATCH($E723,art_ref,0))&amp;"",""))</f>
        <v/>
      </c>
      <c r="H723" s="68" t="n"/>
      <c r="I723" s="69" t="n"/>
      <c r="J723" s="70" t="str">
        <f>IF(E723="","",IF(ISNUMBER(I723),I723,IFERROR(IF(ISNUMBER(INDEX(art_price,MATCH($E723,art_ref,0))),INDEX(art_price,MATCH($E723,art_ref,0)),""),"")))</f>
        <v/>
      </c>
      <c r="K723" s="71" t="n"/>
      <c r="L723" s="72" t="n"/>
      <c r="M723" s="72" t="str">
        <f>IF(E723="","",IF(L723&lt;&gt;"",L723,IFERROR(IF(ISNUMBER(INDEX(art_tva,MATCH($E723,art_ref,0))),INDEX(art_tva,MATCH($E723,art_ref,0)),""),"")))</f>
        <v/>
      </c>
      <c r="N723" s="70" t="str">
        <f>IF(OR(E723="",J723=""),"",ROUND(N(H723)*J723*(1-N(K723)),2))</f>
        <v/>
      </c>
      <c r="O723" s="70" t="str">
        <f>IF(OR(N723="",NOT(ISNUMBER(M723))),"",ROUND(N723*M723,2))</f>
        <v/>
      </c>
      <c r="P723" s="70" t="str">
        <f>IF(N723="","",N723+N(O723))</f>
        <v/>
      </c>
      <c r="Q723" s="64" t="n"/>
      <c r="R723" s="73" t="str">
        <f>IF(N(Q723)&gt;0,Q723,IF(OR(N(B723)=0,ISNA(MATCH($C723,sup_code,0))),"",IF(ISNUMBER(INDEX(sup_delay,MATCH($C723,sup_code,0))),B723+INDEX(sup_delay,MATCH($C723,sup_code,0)),"")))</f>
        <v/>
      </c>
      <c r="S723" s="64" t="n"/>
      <c r="T723" s="68" t="n"/>
      <c r="U723" s="64" t="n"/>
      <c r="V723" s="65" t="n"/>
      <c r="W723" s="74" t="str">
        <f>IF(AND(A723="",E723=""),"",IF(V723="Oui",0,MAX(0,ROUND(N(H723)-N(T723),6))))</f>
        <v/>
      </c>
      <c r="X723" s="67" t="str">
        <f>IF(AND(A723="",E723=""),"",IF(V723="Oui","Annulé",IF(AND(N(H723)&gt;0,N(T723)&gt;=N(H723)),"Reçu",IF(N(S723)=0,"Brouillon",IF(AND(ISNUMBER(R723),R723&lt;p_today),"En retard",IF(N(T723)&gt;0,"Partiel","Envoyé"))))))</f>
        <v/>
      </c>
      <c r="Y723" s="75" t="str">
        <f>IF(X723="En retard",p_today-R723,IF(AND(X723="Reçu",ISNUMBER(R723)),MAX(0,N(U723)-R723),""))</f>
        <v/>
      </c>
      <c r="Z723" s="67" t="str">
        <f>IF(AND(A723="",E723=""),"",IF(A723="","N° de bon manquant",IF(N(B723)=0,"Date de commande manquante",IF(C723="","Fournisseur manquant",IF(ISNA(MATCH($C723,sup_code,0)),"Fournisseur inconnu",IF(E723="","Article manquant",IF(ISNA(MATCH($E723,art_ref,0)),"Article inconnu",IF(N(H723)&lt;=0,"Quantité invalide",IF(J723="","Prix manquant",IF(OR(N(K723)&lt;0,N(K723)&gt;=1),"Remise invalide",IF(M723="","TVA manquante",IF(ISNA(MATCH(M723,p_tva,0)),"Taux de TVA inconnu",IF(COUNTIFS(po_num,A723,po_sup,"&lt;&gt;"&amp;C723)&gt;0,"Fournisseur différent sur ce bon",IF(COUNTIFS(po_num,A723,po_date,"&lt;&gt;"&amp;B723)&gt;0,"Date différente sur ce bon",IF(COUNTIF(po_num,A723)&gt;25,"Plus de 25 lignes sur ce bon",IF(R723="","Date de livraison manquante",IF(R723&lt;B723,"Livraison avant la commande",IF(AND(N(T723)&gt;0,N(S723)=0),"Date d'envoi manquante",IF(N(T723)&gt;N(H723),"Reçu plus que commandé",IF(AND(N(T723)&gt;0,N(U723)=0),"Date de réception manquante",IF(AND(N(U723)&gt;0,U723&lt;B723),"Réception avant la commande","OK")))))))))))))))))))))</f>
        <v/>
      </c>
      <c r="AA723" s="66" t="str">
        <f>IF(AND(X723="Reçu",ISNUMBER(R723)),IF(N(U723)&lt;=R723,1,0),"")</f>
        <v/>
      </c>
      <c r="AB723" s="76" t="str">
        <f>IF(OR(X723="Envoyé",X723="Partiel",X723="En retard"),IF(ISNUMBER(R723),R723,100000)+ROW()/100000,"")</f>
        <v/>
      </c>
      <c r="AC723" s="66" t="str">
        <f>IF(A723="","",IF(COUNTIF($A$6:A723,A723)=1,1,""))</f>
        <v/>
      </c>
      <c r="AD723" s="66" t="str">
        <f>IF(AC723=1,COUNT($AC$6:AC723),"")</f>
        <v/>
      </c>
      <c r="AE723" s="66" t="str">
        <f>IFERROR(INDEX(po_num,MATCH(718,po_seq,0))&amp;"","")</f>
        <v/>
      </c>
      <c r="AF723" s="66" t="str">
        <f>IF(OR(A723="",p_po=""),"",IF(A723&amp;""=p_po,COUNTIF($A$6:A723,A723),""))</f>
        <v/>
      </c>
      <c r="AG723" s="66" t="str">
        <f>IF(OR(AB723="",A723=""),"",IF(COUNTIFS($A$6:A723,A723,$AB$6:AB723,"&gt;0")=1,1,""))</f>
        <v/>
      </c>
      <c r="AH723" s="70" t="str">
        <f>IF(AB723="","",ROUND(N(W723)*N(J723)*(1-N(K723)),2))</f>
        <v/>
      </c>
      <c r="AI723" s="70" t="str">
        <f>IF(OR(J723="",N(T723)&lt;=0,V723="Oui"),"",ROUND(N(T723)*J723*(1-N(K723)),2))</f>
        <v/>
      </c>
    </row>
    <row r="724">
      <c r="A724" s="63" t="n"/>
      <c r="B724" s="64" t="n"/>
      <c r="C724" s="65" t="n"/>
      <c r="D724" s="66" t="str">
        <f>IF(C724="","",IFERROR(INDEX(sup_name,MATCH($C724,sup_code,0))&amp;"","Fournisseur inconnu"))</f>
        <v/>
      </c>
      <c r="E724" s="63" t="n"/>
      <c r="F724" s="66" t="str">
        <f>IF(E724="","",IFERROR(INDEX(art_des,MATCH($E724,art_ref,0))&amp;"","Article inconnu"))</f>
        <v/>
      </c>
      <c r="G724" s="67" t="str">
        <f>IF(E724="","",IFERROR(INDEX(art_unit,MATCH($E724,art_ref,0))&amp;"",""))</f>
        <v/>
      </c>
      <c r="H724" s="68" t="n"/>
      <c r="I724" s="69" t="n"/>
      <c r="J724" s="70" t="str">
        <f>IF(E724="","",IF(ISNUMBER(I724),I724,IFERROR(IF(ISNUMBER(INDEX(art_price,MATCH($E724,art_ref,0))),INDEX(art_price,MATCH($E724,art_ref,0)),""),"")))</f>
        <v/>
      </c>
      <c r="K724" s="71" t="n"/>
      <c r="L724" s="72" t="n"/>
      <c r="M724" s="72" t="str">
        <f>IF(E724="","",IF(L724&lt;&gt;"",L724,IFERROR(IF(ISNUMBER(INDEX(art_tva,MATCH($E724,art_ref,0))),INDEX(art_tva,MATCH($E724,art_ref,0)),""),"")))</f>
        <v/>
      </c>
      <c r="N724" s="70" t="str">
        <f>IF(OR(E724="",J724=""),"",ROUND(N(H724)*J724*(1-N(K724)),2))</f>
        <v/>
      </c>
      <c r="O724" s="70" t="str">
        <f>IF(OR(N724="",NOT(ISNUMBER(M724))),"",ROUND(N724*M724,2))</f>
        <v/>
      </c>
      <c r="P724" s="70" t="str">
        <f>IF(N724="","",N724+N(O724))</f>
        <v/>
      </c>
      <c r="Q724" s="64" t="n"/>
      <c r="R724" s="73" t="str">
        <f>IF(N(Q724)&gt;0,Q724,IF(OR(N(B724)=0,ISNA(MATCH($C724,sup_code,0))),"",IF(ISNUMBER(INDEX(sup_delay,MATCH($C724,sup_code,0))),B724+INDEX(sup_delay,MATCH($C724,sup_code,0)),"")))</f>
        <v/>
      </c>
      <c r="S724" s="64" t="n"/>
      <c r="T724" s="68" t="n"/>
      <c r="U724" s="64" t="n"/>
      <c r="V724" s="65" t="n"/>
      <c r="W724" s="74" t="str">
        <f>IF(AND(A724="",E724=""),"",IF(V724="Oui",0,MAX(0,ROUND(N(H724)-N(T724),6))))</f>
        <v/>
      </c>
      <c r="X724" s="67" t="str">
        <f>IF(AND(A724="",E724=""),"",IF(V724="Oui","Annulé",IF(AND(N(H724)&gt;0,N(T724)&gt;=N(H724)),"Reçu",IF(N(S724)=0,"Brouillon",IF(AND(ISNUMBER(R724),R724&lt;p_today),"En retard",IF(N(T724)&gt;0,"Partiel","Envoyé"))))))</f>
        <v/>
      </c>
      <c r="Y724" s="75" t="str">
        <f>IF(X724="En retard",p_today-R724,IF(AND(X724="Reçu",ISNUMBER(R724)),MAX(0,N(U724)-R724),""))</f>
        <v/>
      </c>
      <c r="Z724" s="67" t="str">
        <f>IF(AND(A724="",E724=""),"",IF(A724="","N° de bon manquant",IF(N(B724)=0,"Date de commande manquante",IF(C724="","Fournisseur manquant",IF(ISNA(MATCH($C724,sup_code,0)),"Fournisseur inconnu",IF(E724="","Article manquant",IF(ISNA(MATCH($E724,art_ref,0)),"Article inconnu",IF(N(H724)&lt;=0,"Quantité invalide",IF(J724="","Prix manquant",IF(OR(N(K724)&lt;0,N(K724)&gt;=1),"Remise invalide",IF(M724="","TVA manquante",IF(ISNA(MATCH(M724,p_tva,0)),"Taux de TVA inconnu",IF(COUNTIFS(po_num,A724,po_sup,"&lt;&gt;"&amp;C724)&gt;0,"Fournisseur différent sur ce bon",IF(COUNTIFS(po_num,A724,po_date,"&lt;&gt;"&amp;B724)&gt;0,"Date différente sur ce bon",IF(COUNTIF(po_num,A724)&gt;25,"Plus de 25 lignes sur ce bon",IF(R724="","Date de livraison manquante",IF(R724&lt;B724,"Livraison avant la commande",IF(AND(N(T724)&gt;0,N(S724)=0),"Date d'envoi manquante",IF(N(T724)&gt;N(H724),"Reçu plus que commandé",IF(AND(N(T724)&gt;0,N(U724)=0),"Date de réception manquante",IF(AND(N(U724)&gt;0,U724&lt;B724),"Réception avant la commande","OK")))))))))))))))))))))</f>
        <v/>
      </c>
      <c r="AA724" s="66" t="str">
        <f>IF(AND(X724="Reçu",ISNUMBER(R724)),IF(N(U724)&lt;=R724,1,0),"")</f>
        <v/>
      </c>
      <c r="AB724" s="76" t="str">
        <f>IF(OR(X724="Envoyé",X724="Partiel",X724="En retard"),IF(ISNUMBER(R724),R724,100000)+ROW()/100000,"")</f>
        <v/>
      </c>
      <c r="AC724" s="66" t="str">
        <f>IF(A724="","",IF(COUNTIF($A$6:A724,A724)=1,1,""))</f>
        <v/>
      </c>
      <c r="AD724" s="66" t="str">
        <f>IF(AC724=1,COUNT($AC$6:AC724),"")</f>
        <v/>
      </c>
      <c r="AE724" s="66" t="str">
        <f>IFERROR(INDEX(po_num,MATCH(719,po_seq,0))&amp;"","")</f>
        <v/>
      </c>
      <c r="AF724" s="66" t="str">
        <f>IF(OR(A724="",p_po=""),"",IF(A724&amp;""=p_po,COUNTIF($A$6:A724,A724),""))</f>
        <v/>
      </c>
      <c r="AG724" s="66" t="str">
        <f>IF(OR(AB724="",A724=""),"",IF(COUNTIFS($A$6:A724,A724,$AB$6:AB724,"&gt;0")=1,1,""))</f>
        <v/>
      </c>
      <c r="AH724" s="70" t="str">
        <f>IF(AB724="","",ROUND(N(W724)*N(J724)*(1-N(K724)),2))</f>
        <v/>
      </c>
      <c r="AI724" s="70" t="str">
        <f>IF(OR(J724="",N(T724)&lt;=0,V724="Oui"),"",ROUND(N(T724)*J724*(1-N(K724)),2))</f>
        <v/>
      </c>
    </row>
    <row r="725">
      <c r="A725" s="63" t="n"/>
      <c r="B725" s="64" t="n"/>
      <c r="C725" s="65" t="n"/>
      <c r="D725" s="66" t="str">
        <f>IF(C725="","",IFERROR(INDEX(sup_name,MATCH($C725,sup_code,0))&amp;"","Fournisseur inconnu"))</f>
        <v/>
      </c>
      <c r="E725" s="63" t="n"/>
      <c r="F725" s="66" t="str">
        <f>IF(E725="","",IFERROR(INDEX(art_des,MATCH($E725,art_ref,0))&amp;"","Article inconnu"))</f>
        <v/>
      </c>
      <c r="G725" s="67" t="str">
        <f>IF(E725="","",IFERROR(INDEX(art_unit,MATCH($E725,art_ref,0))&amp;"",""))</f>
        <v/>
      </c>
      <c r="H725" s="68" t="n"/>
      <c r="I725" s="69" t="n"/>
      <c r="J725" s="70" t="str">
        <f>IF(E725="","",IF(ISNUMBER(I725),I725,IFERROR(IF(ISNUMBER(INDEX(art_price,MATCH($E725,art_ref,0))),INDEX(art_price,MATCH($E725,art_ref,0)),""),"")))</f>
        <v/>
      </c>
      <c r="K725" s="71" t="n"/>
      <c r="L725" s="72" t="n"/>
      <c r="M725" s="72" t="str">
        <f>IF(E725="","",IF(L725&lt;&gt;"",L725,IFERROR(IF(ISNUMBER(INDEX(art_tva,MATCH($E725,art_ref,0))),INDEX(art_tva,MATCH($E725,art_ref,0)),""),"")))</f>
        <v/>
      </c>
      <c r="N725" s="70" t="str">
        <f>IF(OR(E725="",J725=""),"",ROUND(N(H725)*J725*(1-N(K725)),2))</f>
        <v/>
      </c>
      <c r="O725" s="70" t="str">
        <f>IF(OR(N725="",NOT(ISNUMBER(M725))),"",ROUND(N725*M725,2))</f>
        <v/>
      </c>
      <c r="P725" s="70" t="str">
        <f>IF(N725="","",N725+N(O725))</f>
        <v/>
      </c>
      <c r="Q725" s="64" t="n"/>
      <c r="R725" s="73" t="str">
        <f>IF(N(Q725)&gt;0,Q725,IF(OR(N(B725)=0,ISNA(MATCH($C725,sup_code,0))),"",IF(ISNUMBER(INDEX(sup_delay,MATCH($C725,sup_code,0))),B725+INDEX(sup_delay,MATCH($C725,sup_code,0)),"")))</f>
        <v/>
      </c>
      <c r="S725" s="64" t="n"/>
      <c r="T725" s="68" t="n"/>
      <c r="U725" s="64" t="n"/>
      <c r="V725" s="65" t="n"/>
      <c r="W725" s="74" t="str">
        <f>IF(AND(A725="",E725=""),"",IF(V725="Oui",0,MAX(0,ROUND(N(H725)-N(T725),6))))</f>
        <v/>
      </c>
      <c r="X725" s="67" t="str">
        <f>IF(AND(A725="",E725=""),"",IF(V725="Oui","Annulé",IF(AND(N(H725)&gt;0,N(T725)&gt;=N(H725)),"Reçu",IF(N(S725)=0,"Brouillon",IF(AND(ISNUMBER(R725),R725&lt;p_today),"En retard",IF(N(T725)&gt;0,"Partiel","Envoyé"))))))</f>
        <v/>
      </c>
      <c r="Y725" s="75" t="str">
        <f>IF(X725="En retard",p_today-R725,IF(AND(X725="Reçu",ISNUMBER(R725)),MAX(0,N(U725)-R725),""))</f>
        <v/>
      </c>
      <c r="Z725" s="67" t="str">
        <f>IF(AND(A725="",E725=""),"",IF(A725="","N° de bon manquant",IF(N(B725)=0,"Date de commande manquante",IF(C725="","Fournisseur manquant",IF(ISNA(MATCH($C725,sup_code,0)),"Fournisseur inconnu",IF(E725="","Article manquant",IF(ISNA(MATCH($E725,art_ref,0)),"Article inconnu",IF(N(H725)&lt;=0,"Quantité invalide",IF(J725="","Prix manquant",IF(OR(N(K725)&lt;0,N(K725)&gt;=1),"Remise invalide",IF(M725="","TVA manquante",IF(ISNA(MATCH(M725,p_tva,0)),"Taux de TVA inconnu",IF(COUNTIFS(po_num,A725,po_sup,"&lt;&gt;"&amp;C725)&gt;0,"Fournisseur différent sur ce bon",IF(COUNTIFS(po_num,A725,po_date,"&lt;&gt;"&amp;B725)&gt;0,"Date différente sur ce bon",IF(COUNTIF(po_num,A725)&gt;25,"Plus de 25 lignes sur ce bon",IF(R725="","Date de livraison manquante",IF(R725&lt;B725,"Livraison avant la commande",IF(AND(N(T725)&gt;0,N(S725)=0),"Date d'envoi manquante",IF(N(T725)&gt;N(H725),"Reçu plus que commandé",IF(AND(N(T725)&gt;0,N(U725)=0),"Date de réception manquante",IF(AND(N(U725)&gt;0,U725&lt;B725),"Réception avant la commande","OK")))))))))))))))))))))</f>
        <v/>
      </c>
      <c r="AA725" s="66" t="str">
        <f>IF(AND(X725="Reçu",ISNUMBER(R725)),IF(N(U725)&lt;=R725,1,0),"")</f>
        <v/>
      </c>
      <c r="AB725" s="76" t="str">
        <f>IF(OR(X725="Envoyé",X725="Partiel",X725="En retard"),IF(ISNUMBER(R725),R725,100000)+ROW()/100000,"")</f>
        <v/>
      </c>
      <c r="AC725" s="66" t="str">
        <f>IF(A725="","",IF(COUNTIF($A$6:A725,A725)=1,1,""))</f>
        <v/>
      </c>
      <c r="AD725" s="66" t="str">
        <f>IF(AC725=1,COUNT($AC$6:AC725),"")</f>
        <v/>
      </c>
      <c r="AE725" s="66" t="str">
        <f>IFERROR(INDEX(po_num,MATCH(720,po_seq,0))&amp;"","")</f>
        <v/>
      </c>
      <c r="AF725" s="66" t="str">
        <f>IF(OR(A725="",p_po=""),"",IF(A725&amp;""=p_po,COUNTIF($A$6:A725,A725),""))</f>
        <v/>
      </c>
      <c r="AG725" s="66" t="str">
        <f>IF(OR(AB725="",A725=""),"",IF(COUNTIFS($A$6:A725,A725,$AB$6:AB725,"&gt;0")=1,1,""))</f>
        <v/>
      </c>
      <c r="AH725" s="70" t="str">
        <f>IF(AB725="","",ROUND(N(W725)*N(J725)*(1-N(K725)),2))</f>
        <v/>
      </c>
      <c r="AI725" s="70" t="str">
        <f>IF(OR(J725="",N(T725)&lt;=0,V725="Oui"),"",ROUND(N(T725)*J725*(1-N(K725)),2))</f>
        <v/>
      </c>
    </row>
    <row r="726">
      <c r="A726" s="63" t="n"/>
      <c r="B726" s="64" t="n"/>
      <c r="C726" s="65" t="n"/>
      <c r="D726" s="66" t="str">
        <f>IF(C726="","",IFERROR(INDEX(sup_name,MATCH($C726,sup_code,0))&amp;"","Fournisseur inconnu"))</f>
        <v/>
      </c>
      <c r="E726" s="63" t="n"/>
      <c r="F726" s="66" t="str">
        <f>IF(E726="","",IFERROR(INDEX(art_des,MATCH($E726,art_ref,0))&amp;"","Article inconnu"))</f>
        <v/>
      </c>
      <c r="G726" s="67" t="str">
        <f>IF(E726="","",IFERROR(INDEX(art_unit,MATCH($E726,art_ref,0))&amp;"",""))</f>
        <v/>
      </c>
      <c r="H726" s="68" t="n"/>
      <c r="I726" s="69" t="n"/>
      <c r="J726" s="70" t="str">
        <f>IF(E726="","",IF(ISNUMBER(I726),I726,IFERROR(IF(ISNUMBER(INDEX(art_price,MATCH($E726,art_ref,0))),INDEX(art_price,MATCH($E726,art_ref,0)),""),"")))</f>
        <v/>
      </c>
      <c r="K726" s="71" t="n"/>
      <c r="L726" s="72" t="n"/>
      <c r="M726" s="72" t="str">
        <f>IF(E726="","",IF(L726&lt;&gt;"",L726,IFERROR(IF(ISNUMBER(INDEX(art_tva,MATCH($E726,art_ref,0))),INDEX(art_tva,MATCH($E726,art_ref,0)),""),"")))</f>
        <v/>
      </c>
      <c r="N726" s="70" t="str">
        <f>IF(OR(E726="",J726=""),"",ROUND(N(H726)*J726*(1-N(K726)),2))</f>
        <v/>
      </c>
      <c r="O726" s="70" t="str">
        <f>IF(OR(N726="",NOT(ISNUMBER(M726))),"",ROUND(N726*M726,2))</f>
        <v/>
      </c>
      <c r="P726" s="70" t="str">
        <f>IF(N726="","",N726+N(O726))</f>
        <v/>
      </c>
      <c r="Q726" s="64" t="n"/>
      <c r="R726" s="73" t="str">
        <f>IF(N(Q726)&gt;0,Q726,IF(OR(N(B726)=0,ISNA(MATCH($C726,sup_code,0))),"",IF(ISNUMBER(INDEX(sup_delay,MATCH($C726,sup_code,0))),B726+INDEX(sup_delay,MATCH($C726,sup_code,0)),"")))</f>
        <v/>
      </c>
      <c r="S726" s="64" t="n"/>
      <c r="T726" s="68" t="n"/>
      <c r="U726" s="64" t="n"/>
      <c r="V726" s="65" t="n"/>
      <c r="W726" s="74" t="str">
        <f>IF(AND(A726="",E726=""),"",IF(V726="Oui",0,MAX(0,ROUND(N(H726)-N(T726),6))))</f>
        <v/>
      </c>
      <c r="X726" s="67" t="str">
        <f>IF(AND(A726="",E726=""),"",IF(V726="Oui","Annulé",IF(AND(N(H726)&gt;0,N(T726)&gt;=N(H726)),"Reçu",IF(N(S726)=0,"Brouillon",IF(AND(ISNUMBER(R726),R726&lt;p_today),"En retard",IF(N(T726)&gt;0,"Partiel","Envoyé"))))))</f>
        <v/>
      </c>
      <c r="Y726" s="75" t="str">
        <f>IF(X726="En retard",p_today-R726,IF(AND(X726="Reçu",ISNUMBER(R726)),MAX(0,N(U726)-R726),""))</f>
        <v/>
      </c>
      <c r="Z726" s="67" t="str">
        <f>IF(AND(A726="",E726=""),"",IF(A726="","N° de bon manquant",IF(N(B726)=0,"Date de commande manquante",IF(C726="","Fournisseur manquant",IF(ISNA(MATCH($C726,sup_code,0)),"Fournisseur inconnu",IF(E726="","Article manquant",IF(ISNA(MATCH($E726,art_ref,0)),"Article inconnu",IF(N(H726)&lt;=0,"Quantité invalide",IF(J726="","Prix manquant",IF(OR(N(K726)&lt;0,N(K726)&gt;=1),"Remise invalide",IF(M726="","TVA manquante",IF(ISNA(MATCH(M726,p_tva,0)),"Taux de TVA inconnu",IF(COUNTIFS(po_num,A726,po_sup,"&lt;&gt;"&amp;C726)&gt;0,"Fournisseur différent sur ce bon",IF(COUNTIFS(po_num,A726,po_date,"&lt;&gt;"&amp;B726)&gt;0,"Date différente sur ce bon",IF(COUNTIF(po_num,A726)&gt;25,"Plus de 25 lignes sur ce bon",IF(R726="","Date de livraison manquante",IF(R726&lt;B726,"Livraison avant la commande",IF(AND(N(T726)&gt;0,N(S726)=0),"Date d'envoi manquante",IF(N(T726)&gt;N(H726),"Reçu plus que commandé",IF(AND(N(T726)&gt;0,N(U726)=0),"Date de réception manquante",IF(AND(N(U726)&gt;0,U726&lt;B726),"Réception avant la commande","OK")))))))))))))))))))))</f>
        <v/>
      </c>
      <c r="AA726" s="66" t="str">
        <f>IF(AND(X726="Reçu",ISNUMBER(R726)),IF(N(U726)&lt;=R726,1,0),"")</f>
        <v/>
      </c>
      <c r="AB726" s="76" t="str">
        <f>IF(OR(X726="Envoyé",X726="Partiel",X726="En retard"),IF(ISNUMBER(R726),R726,100000)+ROW()/100000,"")</f>
        <v/>
      </c>
      <c r="AC726" s="66" t="str">
        <f>IF(A726="","",IF(COUNTIF($A$6:A726,A726)=1,1,""))</f>
        <v/>
      </c>
      <c r="AD726" s="66" t="str">
        <f>IF(AC726=1,COUNT($AC$6:AC726),"")</f>
        <v/>
      </c>
      <c r="AE726" s="66" t="str">
        <f>IFERROR(INDEX(po_num,MATCH(721,po_seq,0))&amp;"","")</f>
        <v/>
      </c>
      <c r="AF726" s="66" t="str">
        <f>IF(OR(A726="",p_po=""),"",IF(A726&amp;""=p_po,COUNTIF($A$6:A726,A726),""))</f>
        <v/>
      </c>
      <c r="AG726" s="66" t="str">
        <f>IF(OR(AB726="",A726=""),"",IF(COUNTIFS($A$6:A726,A726,$AB$6:AB726,"&gt;0")=1,1,""))</f>
        <v/>
      </c>
      <c r="AH726" s="70" t="str">
        <f>IF(AB726="","",ROUND(N(W726)*N(J726)*(1-N(K726)),2))</f>
        <v/>
      </c>
      <c r="AI726" s="70" t="str">
        <f>IF(OR(J726="",N(T726)&lt;=0,V726="Oui"),"",ROUND(N(T726)*J726*(1-N(K726)),2))</f>
        <v/>
      </c>
    </row>
    <row r="727">
      <c r="A727" s="63" t="n"/>
      <c r="B727" s="64" t="n"/>
      <c r="C727" s="65" t="n"/>
      <c r="D727" s="66" t="str">
        <f>IF(C727="","",IFERROR(INDEX(sup_name,MATCH($C727,sup_code,0))&amp;"","Fournisseur inconnu"))</f>
        <v/>
      </c>
      <c r="E727" s="63" t="n"/>
      <c r="F727" s="66" t="str">
        <f>IF(E727="","",IFERROR(INDEX(art_des,MATCH($E727,art_ref,0))&amp;"","Article inconnu"))</f>
        <v/>
      </c>
      <c r="G727" s="67" t="str">
        <f>IF(E727="","",IFERROR(INDEX(art_unit,MATCH($E727,art_ref,0))&amp;"",""))</f>
        <v/>
      </c>
      <c r="H727" s="68" t="n"/>
      <c r="I727" s="69" t="n"/>
      <c r="J727" s="70" t="str">
        <f>IF(E727="","",IF(ISNUMBER(I727),I727,IFERROR(IF(ISNUMBER(INDEX(art_price,MATCH($E727,art_ref,0))),INDEX(art_price,MATCH($E727,art_ref,0)),""),"")))</f>
        <v/>
      </c>
      <c r="K727" s="71" t="n"/>
      <c r="L727" s="72" t="n"/>
      <c r="M727" s="72" t="str">
        <f>IF(E727="","",IF(L727&lt;&gt;"",L727,IFERROR(IF(ISNUMBER(INDEX(art_tva,MATCH($E727,art_ref,0))),INDEX(art_tva,MATCH($E727,art_ref,0)),""),"")))</f>
        <v/>
      </c>
      <c r="N727" s="70" t="str">
        <f>IF(OR(E727="",J727=""),"",ROUND(N(H727)*J727*(1-N(K727)),2))</f>
        <v/>
      </c>
      <c r="O727" s="70" t="str">
        <f>IF(OR(N727="",NOT(ISNUMBER(M727))),"",ROUND(N727*M727,2))</f>
        <v/>
      </c>
      <c r="P727" s="70" t="str">
        <f>IF(N727="","",N727+N(O727))</f>
        <v/>
      </c>
      <c r="Q727" s="64" t="n"/>
      <c r="R727" s="73" t="str">
        <f>IF(N(Q727)&gt;0,Q727,IF(OR(N(B727)=0,ISNA(MATCH($C727,sup_code,0))),"",IF(ISNUMBER(INDEX(sup_delay,MATCH($C727,sup_code,0))),B727+INDEX(sup_delay,MATCH($C727,sup_code,0)),"")))</f>
        <v/>
      </c>
      <c r="S727" s="64" t="n"/>
      <c r="T727" s="68" t="n"/>
      <c r="U727" s="64" t="n"/>
      <c r="V727" s="65" t="n"/>
      <c r="W727" s="74" t="str">
        <f>IF(AND(A727="",E727=""),"",IF(V727="Oui",0,MAX(0,ROUND(N(H727)-N(T727),6))))</f>
        <v/>
      </c>
      <c r="X727" s="67" t="str">
        <f>IF(AND(A727="",E727=""),"",IF(V727="Oui","Annulé",IF(AND(N(H727)&gt;0,N(T727)&gt;=N(H727)),"Reçu",IF(N(S727)=0,"Brouillon",IF(AND(ISNUMBER(R727),R727&lt;p_today),"En retard",IF(N(T727)&gt;0,"Partiel","Envoyé"))))))</f>
        <v/>
      </c>
      <c r="Y727" s="75" t="str">
        <f>IF(X727="En retard",p_today-R727,IF(AND(X727="Reçu",ISNUMBER(R727)),MAX(0,N(U727)-R727),""))</f>
        <v/>
      </c>
      <c r="Z727" s="67" t="str">
        <f>IF(AND(A727="",E727=""),"",IF(A727="","N° de bon manquant",IF(N(B727)=0,"Date de commande manquante",IF(C727="","Fournisseur manquant",IF(ISNA(MATCH($C727,sup_code,0)),"Fournisseur inconnu",IF(E727="","Article manquant",IF(ISNA(MATCH($E727,art_ref,0)),"Article inconnu",IF(N(H727)&lt;=0,"Quantité invalide",IF(J727="","Prix manquant",IF(OR(N(K727)&lt;0,N(K727)&gt;=1),"Remise invalide",IF(M727="","TVA manquante",IF(ISNA(MATCH(M727,p_tva,0)),"Taux de TVA inconnu",IF(COUNTIFS(po_num,A727,po_sup,"&lt;&gt;"&amp;C727)&gt;0,"Fournisseur différent sur ce bon",IF(COUNTIFS(po_num,A727,po_date,"&lt;&gt;"&amp;B727)&gt;0,"Date différente sur ce bon",IF(COUNTIF(po_num,A727)&gt;25,"Plus de 25 lignes sur ce bon",IF(R727="","Date de livraison manquante",IF(R727&lt;B727,"Livraison avant la commande",IF(AND(N(T727)&gt;0,N(S727)=0),"Date d'envoi manquante",IF(N(T727)&gt;N(H727),"Reçu plus que commandé",IF(AND(N(T727)&gt;0,N(U727)=0),"Date de réception manquante",IF(AND(N(U727)&gt;0,U727&lt;B727),"Réception avant la commande","OK")))))))))))))))))))))</f>
        <v/>
      </c>
      <c r="AA727" s="66" t="str">
        <f>IF(AND(X727="Reçu",ISNUMBER(R727)),IF(N(U727)&lt;=R727,1,0),"")</f>
        <v/>
      </c>
      <c r="AB727" s="76" t="str">
        <f>IF(OR(X727="Envoyé",X727="Partiel",X727="En retard"),IF(ISNUMBER(R727),R727,100000)+ROW()/100000,"")</f>
        <v/>
      </c>
      <c r="AC727" s="66" t="str">
        <f>IF(A727="","",IF(COUNTIF($A$6:A727,A727)=1,1,""))</f>
        <v/>
      </c>
      <c r="AD727" s="66" t="str">
        <f>IF(AC727=1,COUNT($AC$6:AC727),"")</f>
        <v/>
      </c>
      <c r="AE727" s="66" t="str">
        <f>IFERROR(INDEX(po_num,MATCH(722,po_seq,0))&amp;"","")</f>
        <v/>
      </c>
      <c r="AF727" s="66" t="str">
        <f>IF(OR(A727="",p_po=""),"",IF(A727&amp;""=p_po,COUNTIF($A$6:A727,A727),""))</f>
        <v/>
      </c>
      <c r="AG727" s="66" t="str">
        <f>IF(OR(AB727="",A727=""),"",IF(COUNTIFS($A$6:A727,A727,$AB$6:AB727,"&gt;0")=1,1,""))</f>
        <v/>
      </c>
      <c r="AH727" s="70" t="str">
        <f>IF(AB727="","",ROUND(N(W727)*N(J727)*(1-N(K727)),2))</f>
        <v/>
      </c>
      <c r="AI727" s="70" t="str">
        <f>IF(OR(J727="",N(T727)&lt;=0,V727="Oui"),"",ROUND(N(T727)*J727*(1-N(K727)),2))</f>
        <v/>
      </c>
    </row>
    <row r="728">
      <c r="A728" s="63" t="n"/>
      <c r="B728" s="64" t="n"/>
      <c r="C728" s="65" t="n"/>
      <c r="D728" s="66" t="str">
        <f>IF(C728="","",IFERROR(INDEX(sup_name,MATCH($C728,sup_code,0))&amp;"","Fournisseur inconnu"))</f>
        <v/>
      </c>
      <c r="E728" s="63" t="n"/>
      <c r="F728" s="66" t="str">
        <f>IF(E728="","",IFERROR(INDEX(art_des,MATCH($E728,art_ref,0))&amp;"","Article inconnu"))</f>
        <v/>
      </c>
      <c r="G728" s="67" t="str">
        <f>IF(E728="","",IFERROR(INDEX(art_unit,MATCH($E728,art_ref,0))&amp;"",""))</f>
        <v/>
      </c>
      <c r="H728" s="68" t="n"/>
      <c r="I728" s="69" t="n"/>
      <c r="J728" s="70" t="str">
        <f>IF(E728="","",IF(ISNUMBER(I728),I728,IFERROR(IF(ISNUMBER(INDEX(art_price,MATCH($E728,art_ref,0))),INDEX(art_price,MATCH($E728,art_ref,0)),""),"")))</f>
        <v/>
      </c>
      <c r="K728" s="71" t="n"/>
      <c r="L728" s="72" t="n"/>
      <c r="M728" s="72" t="str">
        <f>IF(E728="","",IF(L728&lt;&gt;"",L728,IFERROR(IF(ISNUMBER(INDEX(art_tva,MATCH($E728,art_ref,0))),INDEX(art_tva,MATCH($E728,art_ref,0)),""),"")))</f>
        <v/>
      </c>
      <c r="N728" s="70" t="str">
        <f>IF(OR(E728="",J728=""),"",ROUND(N(H728)*J728*(1-N(K728)),2))</f>
        <v/>
      </c>
      <c r="O728" s="70" t="str">
        <f>IF(OR(N728="",NOT(ISNUMBER(M728))),"",ROUND(N728*M728,2))</f>
        <v/>
      </c>
      <c r="P728" s="70" t="str">
        <f>IF(N728="","",N728+N(O728))</f>
        <v/>
      </c>
      <c r="Q728" s="64" t="n"/>
      <c r="R728" s="73" t="str">
        <f>IF(N(Q728)&gt;0,Q728,IF(OR(N(B728)=0,ISNA(MATCH($C728,sup_code,0))),"",IF(ISNUMBER(INDEX(sup_delay,MATCH($C728,sup_code,0))),B728+INDEX(sup_delay,MATCH($C728,sup_code,0)),"")))</f>
        <v/>
      </c>
      <c r="S728" s="64" t="n"/>
      <c r="T728" s="68" t="n"/>
      <c r="U728" s="64" t="n"/>
      <c r="V728" s="65" t="n"/>
      <c r="W728" s="74" t="str">
        <f>IF(AND(A728="",E728=""),"",IF(V728="Oui",0,MAX(0,ROUND(N(H728)-N(T728),6))))</f>
        <v/>
      </c>
      <c r="X728" s="67" t="str">
        <f>IF(AND(A728="",E728=""),"",IF(V728="Oui","Annulé",IF(AND(N(H728)&gt;0,N(T728)&gt;=N(H728)),"Reçu",IF(N(S728)=0,"Brouillon",IF(AND(ISNUMBER(R728),R728&lt;p_today),"En retard",IF(N(T728)&gt;0,"Partiel","Envoyé"))))))</f>
        <v/>
      </c>
      <c r="Y728" s="75" t="str">
        <f>IF(X728="En retard",p_today-R728,IF(AND(X728="Reçu",ISNUMBER(R728)),MAX(0,N(U728)-R728),""))</f>
        <v/>
      </c>
      <c r="Z728" s="67" t="str">
        <f>IF(AND(A728="",E728=""),"",IF(A728="","N° de bon manquant",IF(N(B728)=0,"Date de commande manquante",IF(C728="","Fournisseur manquant",IF(ISNA(MATCH($C728,sup_code,0)),"Fournisseur inconnu",IF(E728="","Article manquant",IF(ISNA(MATCH($E728,art_ref,0)),"Article inconnu",IF(N(H728)&lt;=0,"Quantité invalide",IF(J728="","Prix manquant",IF(OR(N(K728)&lt;0,N(K728)&gt;=1),"Remise invalide",IF(M728="","TVA manquante",IF(ISNA(MATCH(M728,p_tva,0)),"Taux de TVA inconnu",IF(COUNTIFS(po_num,A728,po_sup,"&lt;&gt;"&amp;C728)&gt;0,"Fournisseur différent sur ce bon",IF(COUNTIFS(po_num,A728,po_date,"&lt;&gt;"&amp;B728)&gt;0,"Date différente sur ce bon",IF(COUNTIF(po_num,A728)&gt;25,"Plus de 25 lignes sur ce bon",IF(R728="","Date de livraison manquante",IF(R728&lt;B728,"Livraison avant la commande",IF(AND(N(T728)&gt;0,N(S728)=0),"Date d'envoi manquante",IF(N(T728)&gt;N(H728),"Reçu plus que commandé",IF(AND(N(T728)&gt;0,N(U728)=0),"Date de réception manquante",IF(AND(N(U728)&gt;0,U728&lt;B728),"Réception avant la commande","OK")))))))))))))))))))))</f>
        <v/>
      </c>
      <c r="AA728" s="66" t="str">
        <f>IF(AND(X728="Reçu",ISNUMBER(R728)),IF(N(U728)&lt;=R728,1,0),"")</f>
        <v/>
      </c>
      <c r="AB728" s="76" t="str">
        <f>IF(OR(X728="Envoyé",X728="Partiel",X728="En retard"),IF(ISNUMBER(R728),R728,100000)+ROW()/100000,"")</f>
        <v/>
      </c>
      <c r="AC728" s="66" t="str">
        <f>IF(A728="","",IF(COUNTIF($A$6:A728,A728)=1,1,""))</f>
        <v/>
      </c>
      <c r="AD728" s="66" t="str">
        <f>IF(AC728=1,COUNT($AC$6:AC728),"")</f>
        <v/>
      </c>
      <c r="AE728" s="66" t="str">
        <f>IFERROR(INDEX(po_num,MATCH(723,po_seq,0))&amp;"","")</f>
        <v/>
      </c>
      <c r="AF728" s="66" t="str">
        <f>IF(OR(A728="",p_po=""),"",IF(A728&amp;""=p_po,COUNTIF($A$6:A728,A728),""))</f>
        <v/>
      </c>
      <c r="AG728" s="66" t="str">
        <f>IF(OR(AB728="",A728=""),"",IF(COUNTIFS($A$6:A728,A728,$AB$6:AB728,"&gt;0")=1,1,""))</f>
        <v/>
      </c>
      <c r="AH728" s="70" t="str">
        <f>IF(AB728="","",ROUND(N(W728)*N(J728)*(1-N(K728)),2))</f>
        <v/>
      </c>
      <c r="AI728" s="70" t="str">
        <f>IF(OR(J728="",N(T728)&lt;=0,V728="Oui"),"",ROUND(N(T728)*J728*(1-N(K728)),2))</f>
        <v/>
      </c>
    </row>
    <row r="729">
      <c r="A729" s="63" t="n"/>
      <c r="B729" s="64" t="n"/>
      <c r="C729" s="65" t="n"/>
      <c r="D729" s="66" t="str">
        <f>IF(C729="","",IFERROR(INDEX(sup_name,MATCH($C729,sup_code,0))&amp;"","Fournisseur inconnu"))</f>
        <v/>
      </c>
      <c r="E729" s="63" t="n"/>
      <c r="F729" s="66" t="str">
        <f>IF(E729="","",IFERROR(INDEX(art_des,MATCH($E729,art_ref,0))&amp;"","Article inconnu"))</f>
        <v/>
      </c>
      <c r="G729" s="67" t="str">
        <f>IF(E729="","",IFERROR(INDEX(art_unit,MATCH($E729,art_ref,0))&amp;"",""))</f>
        <v/>
      </c>
      <c r="H729" s="68" t="n"/>
      <c r="I729" s="69" t="n"/>
      <c r="J729" s="70" t="str">
        <f>IF(E729="","",IF(ISNUMBER(I729),I729,IFERROR(IF(ISNUMBER(INDEX(art_price,MATCH($E729,art_ref,0))),INDEX(art_price,MATCH($E729,art_ref,0)),""),"")))</f>
        <v/>
      </c>
      <c r="K729" s="71" t="n"/>
      <c r="L729" s="72" t="n"/>
      <c r="M729" s="72" t="str">
        <f>IF(E729="","",IF(L729&lt;&gt;"",L729,IFERROR(IF(ISNUMBER(INDEX(art_tva,MATCH($E729,art_ref,0))),INDEX(art_tva,MATCH($E729,art_ref,0)),""),"")))</f>
        <v/>
      </c>
      <c r="N729" s="70" t="str">
        <f>IF(OR(E729="",J729=""),"",ROUND(N(H729)*J729*(1-N(K729)),2))</f>
        <v/>
      </c>
      <c r="O729" s="70" t="str">
        <f>IF(OR(N729="",NOT(ISNUMBER(M729))),"",ROUND(N729*M729,2))</f>
        <v/>
      </c>
      <c r="P729" s="70" t="str">
        <f>IF(N729="","",N729+N(O729))</f>
        <v/>
      </c>
      <c r="Q729" s="64" t="n"/>
      <c r="R729" s="73" t="str">
        <f>IF(N(Q729)&gt;0,Q729,IF(OR(N(B729)=0,ISNA(MATCH($C729,sup_code,0))),"",IF(ISNUMBER(INDEX(sup_delay,MATCH($C729,sup_code,0))),B729+INDEX(sup_delay,MATCH($C729,sup_code,0)),"")))</f>
        <v/>
      </c>
      <c r="S729" s="64" t="n"/>
      <c r="T729" s="68" t="n"/>
      <c r="U729" s="64" t="n"/>
      <c r="V729" s="65" t="n"/>
      <c r="W729" s="74" t="str">
        <f>IF(AND(A729="",E729=""),"",IF(V729="Oui",0,MAX(0,ROUND(N(H729)-N(T729),6))))</f>
        <v/>
      </c>
      <c r="X729" s="67" t="str">
        <f>IF(AND(A729="",E729=""),"",IF(V729="Oui","Annulé",IF(AND(N(H729)&gt;0,N(T729)&gt;=N(H729)),"Reçu",IF(N(S729)=0,"Brouillon",IF(AND(ISNUMBER(R729),R729&lt;p_today),"En retard",IF(N(T729)&gt;0,"Partiel","Envoyé"))))))</f>
        <v/>
      </c>
      <c r="Y729" s="75" t="str">
        <f>IF(X729="En retard",p_today-R729,IF(AND(X729="Reçu",ISNUMBER(R729)),MAX(0,N(U729)-R729),""))</f>
        <v/>
      </c>
      <c r="Z729" s="67" t="str">
        <f>IF(AND(A729="",E729=""),"",IF(A729="","N° de bon manquant",IF(N(B729)=0,"Date de commande manquante",IF(C729="","Fournisseur manquant",IF(ISNA(MATCH($C729,sup_code,0)),"Fournisseur inconnu",IF(E729="","Article manquant",IF(ISNA(MATCH($E729,art_ref,0)),"Article inconnu",IF(N(H729)&lt;=0,"Quantité invalide",IF(J729="","Prix manquant",IF(OR(N(K729)&lt;0,N(K729)&gt;=1),"Remise invalide",IF(M729="","TVA manquante",IF(ISNA(MATCH(M729,p_tva,0)),"Taux de TVA inconnu",IF(COUNTIFS(po_num,A729,po_sup,"&lt;&gt;"&amp;C729)&gt;0,"Fournisseur différent sur ce bon",IF(COUNTIFS(po_num,A729,po_date,"&lt;&gt;"&amp;B729)&gt;0,"Date différente sur ce bon",IF(COUNTIF(po_num,A729)&gt;25,"Plus de 25 lignes sur ce bon",IF(R729="","Date de livraison manquante",IF(R729&lt;B729,"Livraison avant la commande",IF(AND(N(T729)&gt;0,N(S729)=0),"Date d'envoi manquante",IF(N(T729)&gt;N(H729),"Reçu plus que commandé",IF(AND(N(T729)&gt;0,N(U729)=0),"Date de réception manquante",IF(AND(N(U729)&gt;0,U729&lt;B729),"Réception avant la commande","OK")))))))))))))))))))))</f>
        <v/>
      </c>
      <c r="AA729" s="66" t="str">
        <f>IF(AND(X729="Reçu",ISNUMBER(R729)),IF(N(U729)&lt;=R729,1,0),"")</f>
        <v/>
      </c>
      <c r="AB729" s="76" t="str">
        <f>IF(OR(X729="Envoyé",X729="Partiel",X729="En retard"),IF(ISNUMBER(R729),R729,100000)+ROW()/100000,"")</f>
        <v/>
      </c>
      <c r="AC729" s="66" t="str">
        <f>IF(A729="","",IF(COUNTIF($A$6:A729,A729)=1,1,""))</f>
        <v/>
      </c>
      <c r="AD729" s="66" t="str">
        <f>IF(AC729=1,COUNT($AC$6:AC729),"")</f>
        <v/>
      </c>
      <c r="AE729" s="66" t="str">
        <f>IFERROR(INDEX(po_num,MATCH(724,po_seq,0))&amp;"","")</f>
        <v/>
      </c>
      <c r="AF729" s="66" t="str">
        <f>IF(OR(A729="",p_po=""),"",IF(A729&amp;""=p_po,COUNTIF($A$6:A729,A729),""))</f>
        <v/>
      </c>
      <c r="AG729" s="66" t="str">
        <f>IF(OR(AB729="",A729=""),"",IF(COUNTIFS($A$6:A729,A729,$AB$6:AB729,"&gt;0")=1,1,""))</f>
        <v/>
      </c>
      <c r="AH729" s="70" t="str">
        <f>IF(AB729="","",ROUND(N(W729)*N(J729)*(1-N(K729)),2))</f>
        <v/>
      </c>
      <c r="AI729" s="70" t="str">
        <f>IF(OR(J729="",N(T729)&lt;=0,V729="Oui"),"",ROUND(N(T729)*J729*(1-N(K729)),2))</f>
        <v/>
      </c>
    </row>
    <row r="730">
      <c r="A730" s="63" t="n"/>
      <c r="B730" s="64" t="n"/>
      <c r="C730" s="65" t="n"/>
      <c r="D730" s="66" t="str">
        <f>IF(C730="","",IFERROR(INDEX(sup_name,MATCH($C730,sup_code,0))&amp;"","Fournisseur inconnu"))</f>
        <v/>
      </c>
      <c r="E730" s="63" t="n"/>
      <c r="F730" s="66" t="str">
        <f>IF(E730="","",IFERROR(INDEX(art_des,MATCH($E730,art_ref,0))&amp;"","Article inconnu"))</f>
        <v/>
      </c>
      <c r="G730" s="67" t="str">
        <f>IF(E730="","",IFERROR(INDEX(art_unit,MATCH($E730,art_ref,0))&amp;"",""))</f>
        <v/>
      </c>
      <c r="H730" s="68" t="n"/>
      <c r="I730" s="69" t="n"/>
      <c r="J730" s="70" t="str">
        <f>IF(E730="","",IF(ISNUMBER(I730),I730,IFERROR(IF(ISNUMBER(INDEX(art_price,MATCH($E730,art_ref,0))),INDEX(art_price,MATCH($E730,art_ref,0)),""),"")))</f>
        <v/>
      </c>
      <c r="K730" s="71" t="n"/>
      <c r="L730" s="72" t="n"/>
      <c r="M730" s="72" t="str">
        <f>IF(E730="","",IF(L730&lt;&gt;"",L730,IFERROR(IF(ISNUMBER(INDEX(art_tva,MATCH($E730,art_ref,0))),INDEX(art_tva,MATCH($E730,art_ref,0)),""),"")))</f>
        <v/>
      </c>
      <c r="N730" s="70" t="str">
        <f>IF(OR(E730="",J730=""),"",ROUND(N(H730)*J730*(1-N(K730)),2))</f>
        <v/>
      </c>
      <c r="O730" s="70" t="str">
        <f>IF(OR(N730="",NOT(ISNUMBER(M730))),"",ROUND(N730*M730,2))</f>
        <v/>
      </c>
      <c r="P730" s="70" t="str">
        <f>IF(N730="","",N730+N(O730))</f>
        <v/>
      </c>
      <c r="Q730" s="64" t="n"/>
      <c r="R730" s="73" t="str">
        <f>IF(N(Q730)&gt;0,Q730,IF(OR(N(B730)=0,ISNA(MATCH($C730,sup_code,0))),"",IF(ISNUMBER(INDEX(sup_delay,MATCH($C730,sup_code,0))),B730+INDEX(sup_delay,MATCH($C730,sup_code,0)),"")))</f>
        <v/>
      </c>
      <c r="S730" s="64" t="n"/>
      <c r="T730" s="68" t="n"/>
      <c r="U730" s="64" t="n"/>
      <c r="V730" s="65" t="n"/>
      <c r="W730" s="74" t="str">
        <f>IF(AND(A730="",E730=""),"",IF(V730="Oui",0,MAX(0,ROUND(N(H730)-N(T730),6))))</f>
        <v/>
      </c>
      <c r="X730" s="67" t="str">
        <f>IF(AND(A730="",E730=""),"",IF(V730="Oui","Annulé",IF(AND(N(H730)&gt;0,N(T730)&gt;=N(H730)),"Reçu",IF(N(S730)=0,"Brouillon",IF(AND(ISNUMBER(R730),R730&lt;p_today),"En retard",IF(N(T730)&gt;0,"Partiel","Envoyé"))))))</f>
        <v/>
      </c>
      <c r="Y730" s="75" t="str">
        <f>IF(X730="En retard",p_today-R730,IF(AND(X730="Reçu",ISNUMBER(R730)),MAX(0,N(U730)-R730),""))</f>
        <v/>
      </c>
      <c r="Z730" s="67" t="str">
        <f>IF(AND(A730="",E730=""),"",IF(A730="","N° de bon manquant",IF(N(B730)=0,"Date de commande manquante",IF(C730="","Fournisseur manquant",IF(ISNA(MATCH($C730,sup_code,0)),"Fournisseur inconnu",IF(E730="","Article manquant",IF(ISNA(MATCH($E730,art_ref,0)),"Article inconnu",IF(N(H730)&lt;=0,"Quantité invalide",IF(J730="","Prix manquant",IF(OR(N(K730)&lt;0,N(K730)&gt;=1),"Remise invalide",IF(M730="","TVA manquante",IF(ISNA(MATCH(M730,p_tva,0)),"Taux de TVA inconnu",IF(COUNTIFS(po_num,A730,po_sup,"&lt;&gt;"&amp;C730)&gt;0,"Fournisseur différent sur ce bon",IF(COUNTIFS(po_num,A730,po_date,"&lt;&gt;"&amp;B730)&gt;0,"Date différente sur ce bon",IF(COUNTIF(po_num,A730)&gt;25,"Plus de 25 lignes sur ce bon",IF(R730="","Date de livraison manquante",IF(R730&lt;B730,"Livraison avant la commande",IF(AND(N(T730)&gt;0,N(S730)=0),"Date d'envoi manquante",IF(N(T730)&gt;N(H730),"Reçu plus que commandé",IF(AND(N(T730)&gt;0,N(U730)=0),"Date de réception manquante",IF(AND(N(U730)&gt;0,U730&lt;B730),"Réception avant la commande","OK")))))))))))))))))))))</f>
        <v/>
      </c>
      <c r="AA730" s="66" t="str">
        <f>IF(AND(X730="Reçu",ISNUMBER(R730)),IF(N(U730)&lt;=R730,1,0),"")</f>
        <v/>
      </c>
      <c r="AB730" s="76" t="str">
        <f>IF(OR(X730="Envoyé",X730="Partiel",X730="En retard"),IF(ISNUMBER(R730),R730,100000)+ROW()/100000,"")</f>
        <v/>
      </c>
      <c r="AC730" s="66" t="str">
        <f>IF(A730="","",IF(COUNTIF($A$6:A730,A730)=1,1,""))</f>
        <v/>
      </c>
      <c r="AD730" s="66" t="str">
        <f>IF(AC730=1,COUNT($AC$6:AC730),"")</f>
        <v/>
      </c>
      <c r="AE730" s="66" t="str">
        <f>IFERROR(INDEX(po_num,MATCH(725,po_seq,0))&amp;"","")</f>
        <v/>
      </c>
      <c r="AF730" s="66" t="str">
        <f>IF(OR(A730="",p_po=""),"",IF(A730&amp;""=p_po,COUNTIF($A$6:A730,A730),""))</f>
        <v/>
      </c>
      <c r="AG730" s="66" t="str">
        <f>IF(OR(AB730="",A730=""),"",IF(COUNTIFS($A$6:A730,A730,$AB$6:AB730,"&gt;0")=1,1,""))</f>
        <v/>
      </c>
      <c r="AH730" s="70" t="str">
        <f>IF(AB730="","",ROUND(N(W730)*N(J730)*(1-N(K730)),2))</f>
        <v/>
      </c>
      <c r="AI730" s="70" t="str">
        <f>IF(OR(J730="",N(T730)&lt;=0,V730="Oui"),"",ROUND(N(T730)*J730*(1-N(K730)),2))</f>
        <v/>
      </c>
    </row>
    <row r="731">
      <c r="A731" s="63" t="n"/>
      <c r="B731" s="64" t="n"/>
      <c r="C731" s="65" t="n"/>
      <c r="D731" s="66" t="str">
        <f>IF(C731="","",IFERROR(INDEX(sup_name,MATCH($C731,sup_code,0))&amp;"","Fournisseur inconnu"))</f>
        <v/>
      </c>
      <c r="E731" s="63" t="n"/>
      <c r="F731" s="66" t="str">
        <f>IF(E731="","",IFERROR(INDEX(art_des,MATCH($E731,art_ref,0))&amp;"","Article inconnu"))</f>
        <v/>
      </c>
      <c r="G731" s="67" t="str">
        <f>IF(E731="","",IFERROR(INDEX(art_unit,MATCH($E731,art_ref,0))&amp;"",""))</f>
        <v/>
      </c>
      <c r="H731" s="68" t="n"/>
      <c r="I731" s="69" t="n"/>
      <c r="J731" s="70" t="str">
        <f>IF(E731="","",IF(ISNUMBER(I731),I731,IFERROR(IF(ISNUMBER(INDEX(art_price,MATCH($E731,art_ref,0))),INDEX(art_price,MATCH($E731,art_ref,0)),""),"")))</f>
        <v/>
      </c>
      <c r="K731" s="71" t="n"/>
      <c r="L731" s="72" t="n"/>
      <c r="M731" s="72" t="str">
        <f>IF(E731="","",IF(L731&lt;&gt;"",L731,IFERROR(IF(ISNUMBER(INDEX(art_tva,MATCH($E731,art_ref,0))),INDEX(art_tva,MATCH($E731,art_ref,0)),""),"")))</f>
        <v/>
      </c>
      <c r="N731" s="70" t="str">
        <f>IF(OR(E731="",J731=""),"",ROUND(N(H731)*J731*(1-N(K731)),2))</f>
        <v/>
      </c>
      <c r="O731" s="70" t="str">
        <f>IF(OR(N731="",NOT(ISNUMBER(M731))),"",ROUND(N731*M731,2))</f>
        <v/>
      </c>
      <c r="P731" s="70" t="str">
        <f>IF(N731="","",N731+N(O731))</f>
        <v/>
      </c>
      <c r="Q731" s="64" t="n"/>
      <c r="R731" s="73" t="str">
        <f>IF(N(Q731)&gt;0,Q731,IF(OR(N(B731)=0,ISNA(MATCH($C731,sup_code,0))),"",IF(ISNUMBER(INDEX(sup_delay,MATCH($C731,sup_code,0))),B731+INDEX(sup_delay,MATCH($C731,sup_code,0)),"")))</f>
        <v/>
      </c>
      <c r="S731" s="64" t="n"/>
      <c r="T731" s="68" t="n"/>
      <c r="U731" s="64" t="n"/>
      <c r="V731" s="65" t="n"/>
      <c r="W731" s="74" t="str">
        <f>IF(AND(A731="",E731=""),"",IF(V731="Oui",0,MAX(0,ROUND(N(H731)-N(T731),6))))</f>
        <v/>
      </c>
      <c r="X731" s="67" t="str">
        <f>IF(AND(A731="",E731=""),"",IF(V731="Oui","Annulé",IF(AND(N(H731)&gt;0,N(T731)&gt;=N(H731)),"Reçu",IF(N(S731)=0,"Brouillon",IF(AND(ISNUMBER(R731),R731&lt;p_today),"En retard",IF(N(T731)&gt;0,"Partiel","Envoyé"))))))</f>
        <v/>
      </c>
      <c r="Y731" s="75" t="str">
        <f>IF(X731="En retard",p_today-R731,IF(AND(X731="Reçu",ISNUMBER(R731)),MAX(0,N(U731)-R731),""))</f>
        <v/>
      </c>
      <c r="Z731" s="67" t="str">
        <f>IF(AND(A731="",E731=""),"",IF(A731="","N° de bon manquant",IF(N(B731)=0,"Date de commande manquante",IF(C731="","Fournisseur manquant",IF(ISNA(MATCH($C731,sup_code,0)),"Fournisseur inconnu",IF(E731="","Article manquant",IF(ISNA(MATCH($E731,art_ref,0)),"Article inconnu",IF(N(H731)&lt;=0,"Quantité invalide",IF(J731="","Prix manquant",IF(OR(N(K731)&lt;0,N(K731)&gt;=1),"Remise invalide",IF(M731="","TVA manquante",IF(ISNA(MATCH(M731,p_tva,0)),"Taux de TVA inconnu",IF(COUNTIFS(po_num,A731,po_sup,"&lt;&gt;"&amp;C731)&gt;0,"Fournisseur différent sur ce bon",IF(COUNTIFS(po_num,A731,po_date,"&lt;&gt;"&amp;B731)&gt;0,"Date différente sur ce bon",IF(COUNTIF(po_num,A731)&gt;25,"Plus de 25 lignes sur ce bon",IF(R731="","Date de livraison manquante",IF(R731&lt;B731,"Livraison avant la commande",IF(AND(N(T731)&gt;0,N(S731)=0),"Date d'envoi manquante",IF(N(T731)&gt;N(H731),"Reçu plus que commandé",IF(AND(N(T731)&gt;0,N(U731)=0),"Date de réception manquante",IF(AND(N(U731)&gt;0,U731&lt;B731),"Réception avant la commande","OK")))))))))))))))))))))</f>
        <v/>
      </c>
      <c r="AA731" s="66" t="str">
        <f>IF(AND(X731="Reçu",ISNUMBER(R731)),IF(N(U731)&lt;=R731,1,0),"")</f>
        <v/>
      </c>
      <c r="AB731" s="76" t="str">
        <f>IF(OR(X731="Envoyé",X731="Partiel",X731="En retard"),IF(ISNUMBER(R731),R731,100000)+ROW()/100000,"")</f>
        <v/>
      </c>
      <c r="AC731" s="66" t="str">
        <f>IF(A731="","",IF(COUNTIF($A$6:A731,A731)=1,1,""))</f>
        <v/>
      </c>
      <c r="AD731" s="66" t="str">
        <f>IF(AC731=1,COUNT($AC$6:AC731),"")</f>
        <v/>
      </c>
      <c r="AE731" s="66" t="str">
        <f>IFERROR(INDEX(po_num,MATCH(726,po_seq,0))&amp;"","")</f>
        <v/>
      </c>
      <c r="AF731" s="66" t="str">
        <f>IF(OR(A731="",p_po=""),"",IF(A731&amp;""=p_po,COUNTIF($A$6:A731,A731),""))</f>
        <v/>
      </c>
      <c r="AG731" s="66" t="str">
        <f>IF(OR(AB731="",A731=""),"",IF(COUNTIFS($A$6:A731,A731,$AB$6:AB731,"&gt;0")=1,1,""))</f>
        <v/>
      </c>
      <c r="AH731" s="70" t="str">
        <f>IF(AB731="","",ROUND(N(W731)*N(J731)*(1-N(K731)),2))</f>
        <v/>
      </c>
      <c r="AI731" s="70" t="str">
        <f>IF(OR(J731="",N(T731)&lt;=0,V731="Oui"),"",ROUND(N(T731)*J731*(1-N(K731)),2))</f>
        <v/>
      </c>
    </row>
    <row r="732">
      <c r="A732" s="63" t="n"/>
      <c r="B732" s="64" t="n"/>
      <c r="C732" s="65" t="n"/>
      <c r="D732" s="66" t="str">
        <f>IF(C732="","",IFERROR(INDEX(sup_name,MATCH($C732,sup_code,0))&amp;"","Fournisseur inconnu"))</f>
        <v/>
      </c>
      <c r="E732" s="63" t="n"/>
      <c r="F732" s="66" t="str">
        <f>IF(E732="","",IFERROR(INDEX(art_des,MATCH($E732,art_ref,0))&amp;"","Article inconnu"))</f>
        <v/>
      </c>
      <c r="G732" s="67" t="str">
        <f>IF(E732="","",IFERROR(INDEX(art_unit,MATCH($E732,art_ref,0))&amp;"",""))</f>
        <v/>
      </c>
      <c r="H732" s="68" t="n"/>
      <c r="I732" s="69" t="n"/>
      <c r="J732" s="70" t="str">
        <f>IF(E732="","",IF(ISNUMBER(I732),I732,IFERROR(IF(ISNUMBER(INDEX(art_price,MATCH($E732,art_ref,0))),INDEX(art_price,MATCH($E732,art_ref,0)),""),"")))</f>
        <v/>
      </c>
      <c r="K732" s="71" t="n"/>
      <c r="L732" s="72" t="n"/>
      <c r="M732" s="72" t="str">
        <f>IF(E732="","",IF(L732&lt;&gt;"",L732,IFERROR(IF(ISNUMBER(INDEX(art_tva,MATCH($E732,art_ref,0))),INDEX(art_tva,MATCH($E732,art_ref,0)),""),"")))</f>
        <v/>
      </c>
      <c r="N732" s="70" t="str">
        <f>IF(OR(E732="",J732=""),"",ROUND(N(H732)*J732*(1-N(K732)),2))</f>
        <v/>
      </c>
      <c r="O732" s="70" t="str">
        <f>IF(OR(N732="",NOT(ISNUMBER(M732))),"",ROUND(N732*M732,2))</f>
        <v/>
      </c>
      <c r="P732" s="70" t="str">
        <f>IF(N732="","",N732+N(O732))</f>
        <v/>
      </c>
      <c r="Q732" s="64" t="n"/>
      <c r="R732" s="73" t="str">
        <f>IF(N(Q732)&gt;0,Q732,IF(OR(N(B732)=0,ISNA(MATCH($C732,sup_code,0))),"",IF(ISNUMBER(INDEX(sup_delay,MATCH($C732,sup_code,0))),B732+INDEX(sup_delay,MATCH($C732,sup_code,0)),"")))</f>
        <v/>
      </c>
      <c r="S732" s="64" t="n"/>
      <c r="T732" s="68" t="n"/>
      <c r="U732" s="64" t="n"/>
      <c r="V732" s="65" t="n"/>
      <c r="W732" s="74" t="str">
        <f>IF(AND(A732="",E732=""),"",IF(V732="Oui",0,MAX(0,ROUND(N(H732)-N(T732),6))))</f>
        <v/>
      </c>
      <c r="X732" s="67" t="str">
        <f>IF(AND(A732="",E732=""),"",IF(V732="Oui","Annulé",IF(AND(N(H732)&gt;0,N(T732)&gt;=N(H732)),"Reçu",IF(N(S732)=0,"Brouillon",IF(AND(ISNUMBER(R732),R732&lt;p_today),"En retard",IF(N(T732)&gt;0,"Partiel","Envoyé"))))))</f>
        <v/>
      </c>
      <c r="Y732" s="75" t="str">
        <f>IF(X732="En retard",p_today-R732,IF(AND(X732="Reçu",ISNUMBER(R732)),MAX(0,N(U732)-R732),""))</f>
        <v/>
      </c>
      <c r="Z732" s="67" t="str">
        <f>IF(AND(A732="",E732=""),"",IF(A732="","N° de bon manquant",IF(N(B732)=0,"Date de commande manquante",IF(C732="","Fournisseur manquant",IF(ISNA(MATCH($C732,sup_code,0)),"Fournisseur inconnu",IF(E732="","Article manquant",IF(ISNA(MATCH($E732,art_ref,0)),"Article inconnu",IF(N(H732)&lt;=0,"Quantité invalide",IF(J732="","Prix manquant",IF(OR(N(K732)&lt;0,N(K732)&gt;=1),"Remise invalide",IF(M732="","TVA manquante",IF(ISNA(MATCH(M732,p_tva,0)),"Taux de TVA inconnu",IF(COUNTIFS(po_num,A732,po_sup,"&lt;&gt;"&amp;C732)&gt;0,"Fournisseur différent sur ce bon",IF(COUNTIFS(po_num,A732,po_date,"&lt;&gt;"&amp;B732)&gt;0,"Date différente sur ce bon",IF(COUNTIF(po_num,A732)&gt;25,"Plus de 25 lignes sur ce bon",IF(R732="","Date de livraison manquante",IF(R732&lt;B732,"Livraison avant la commande",IF(AND(N(T732)&gt;0,N(S732)=0),"Date d'envoi manquante",IF(N(T732)&gt;N(H732),"Reçu plus que commandé",IF(AND(N(T732)&gt;0,N(U732)=0),"Date de réception manquante",IF(AND(N(U732)&gt;0,U732&lt;B732),"Réception avant la commande","OK")))))))))))))))))))))</f>
        <v/>
      </c>
      <c r="AA732" s="66" t="str">
        <f>IF(AND(X732="Reçu",ISNUMBER(R732)),IF(N(U732)&lt;=R732,1,0),"")</f>
        <v/>
      </c>
      <c r="AB732" s="76" t="str">
        <f>IF(OR(X732="Envoyé",X732="Partiel",X732="En retard"),IF(ISNUMBER(R732),R732,100000)+ROW()/100000,"")</f>
        <v/>
      </c>
      <c r="AC732" s="66" t="str">
        <f>IF(A732="","",IF(COUNTIF($A$6:A732,A732)=1,1,""))</f>
        <v/>
      </c>
      <c r="AD732" s="66" t="str">
        <f>IF(AC732=1,COUNT($AC$6:AC732),"")</f>
        <v/>
      </c>
      <c r="AE732" s="66" t="str">
        <f>IFERROR(INDEX(po_num,MATCH(727,po_seq,0))&amp;"","")</f>
        <v/>
      </c>
      <c r="AF732" s="66" t="str">
        <f>IF(OR(A732="",p_po=""),"",IF(A732&amp;""=p_po,COUNTIF($A$6:A732,A732),""))</f>
        <v/>
      </c>
      <c r="AG732" s="66" t="str">
        <f>IF(OR(AB732="",A732=""),"",IF(COUNTIFS($A$6:A732,A732,$AB$6:AB732,"&gt;0")=1,1,""))</f>
        <v/>
      </c>
      <c r="AH732" s="70" t="str">
        <f>IF(AB732="","",ROUND(N(W732)*N(J732)*(1-N(K732)),2))</f>
        <v/>
      </c>
      <c r="AI732" s="70" t="str">
        <f>IF(OR(J732="",N(T732)&lt;=0,V732="Oui"),"",ROUND(N(T732)*J732*(1-N(K732)),2))</f>
        <v/>
      </c>
    </row>
    <row r="733">
      <c r="A733" s="63" t="n"/>
      <c r="B733" s="64" t="n"/>
      <c r="C733" s="65" t="n"/>
      <c r="D733" s="66" t="str">
        <f>IF(C733="","",IFERROR(INDEX(sup_name,MATCH($C733,sup_code,0))&amp;"","Fournisseur inconnu"))</f>
        <v/>
      </c>
      <c r="E733" s="63" t="n"/>
      <c r="F733" s="66" t="str">
        <f>IF(E733="","",IFERROR(INDEX(art_des,MATCH($E733,art_ref,0))&amp;"","Article inconnu"))</f>
        <v/>
      </c>
      <c r="G733" s="67" t="str">
        <f>IF(E733="","",IFERROR(INDEX(art_unit,MATCH($E733,art_ref,0))&amp;"",""))</f>
        <v/>
      </c>
      <c r="H733" s="68" t="n"/>
      <c r="I733" s="69" t="n"/>
      <c r="J733" s="70" t="str">
        <f>IF(E733="","",IF(ISNUMBER(I733),I733,IFERROR(IF(ISNUMBER(INDEX(art_price,MATCH($E733,art_ref,0))),INDEX(art_price,MATCH($E733,art_ref,0)),""),"")))</f>
        <v/>
      </c>
      <c r="K733" s="71" t="n"/>
      <c r="L733" s="72" t="n"/>
      <c r="M733" s="72" t="str">
        <f>IF(E733="","",IF(L733&lt;&gt;"",L733,IFERROR(IF(ISNUMBER(INDEX(art_tva,MATCH($E733,art_ref,0))),INDEX(art_tva,MATCH($E733,art_ref,0)),""),"")))</f>
        <v/>
      </c>
      <c r="N733" s="70" t="str">
        <f>IF(OR(E733="",J733=""),"",ROUND(N(H733)*J733*(1-N(K733)),2))</f>
        <v/>
      </c>
      <c r="O733" s="70" t="str">
        <f>IF(OR(N733="",NOT(ISNUMBER(M733))),"",ROUND(N733*M733,2))</f>
        <v/>
      </c>
      <c r="P733" s="70" t="str">
        <f>IF(N733="","",N733+N(O733))</f>
        <v/>
      </c>
      <c r="Q733" s="64" t="n"/>
      <c r="R733" s="73" t="str">
        <f>IF(N(Q733)&gt;0,Q733,IF(OR(N(B733)=0,ISNA(MATCH($C733,sup_code,0))),"",IF(ISNUMBER(INDEX(sup_delay,MATCH($C733,sup_code,0))),B733+INDEX(sup_delay,MATCH($C733,sup_code,0)),"")))</f>
        <v/>
      </c>
      <c r="S733" s="64" t="n"/>
      <c r="T733" s="68" t="n"/>
      <c r="U733" s="64" t="n"/>
      <c r="V733" s="65" t="n"/>
      <c r="W733" s="74" t="str">
        <f>IF(AND(A733="",E733=""),"",IF(V733="Oui",0,MAX(0,ROUND(N(H733)-N(T733),6))))</f>
        <v/>
      </c>
      <c r="X733" s="67" t="str">
        <f>IF(AND(A733="",E733=""),"",IF(V733="Oui","Annulé",IF(AND(N(H733)&gt;0,N(T733)&gt;=N(H733)),"Reçu",IF(N(S733)=0,"Brouillon",IF(AND(ISNUMBER(R733),R733&lt;p_today),"En retard",IF(N(T733)&gt;0,"Partiel","Envoyé"))))))</f>
        <v/>
      </c>
      <c r="Y733" s="75" t="str">
        <f>IF(X733="En retard",p_today-R733,IF(AND(X733="Reçu",ISNUMBER(R733)),MAX(0,N(U733)-R733),""))</f>
        <v/>
      </c>
      <c r="Z733" s="67" t="str">
        <f>IF(AND(A733="",E733=""),"",IF(A733="","N° de bon manquant",IF(N(B733)=0,"Date de commande manquante",IF(C733="","Fournisseur manquant",IF(ISNA(MATCH($C733,sup_code,0)),"Fournisseur inconnu",IF(E733="","Article manquant",IF(ISNA(MATCH($E733,art_ref,0)),"Article inconnu",IF(N(H733)&lt;=0,"Quantité invalide",IF(J733="","Prix manquant",IF(OR(N(K733)&lt;0,N(K733)&gt;=1),"Remise invalide",IF(M733="","TVA manquante",IF(ISNA(MATCH(M733,p_tva,0)),"Taux de TVA inconnu",IF(COUNTIFS(po_num,A733,po_sup,"&lt;&gt;"&amp;C733)&gt;0,"Fournisseur différent sur ce bon",IF(COUNTIFS(po_num,A733,po_date,"&lt;&gt;"&amp;B733)&gt;0,"Date différente sur ce bon",IF(COUNTIF(po_num,A733)&gt;25,"Plus de 25 lignes sur ce bon",IF(R733="","Date de livraison manquante",IF(R733&lt;B733,"Livraison avant la commande",IF(AND(N(T733)&gt;0,N(S733)=0),"Date d'envoi manquante",IF(N(T733)&gt;N(H733),"Reçu plus que commandé",IF(AND(N(T733)&gt;0,N(U733)=0),"Date de réception manquante",IF(AND(N(U733)&gt;0,U733&lt;B733),"Réception avant la commande","OK")))))))))))))))))))))</f>
        <v/>
      </c>
      <c r="AA733" s="66" t="str">
        <f>IF(AND(X733="Reçu",ISNUMBER(R733)),IF(N(U733)&lt;=R733,1,0),"")</f>
        <v/>
      </c>
      <c r="AB733" s="76" t="str">
        <f>IF(OR(X733="Envoyé",X733="Partiel",X733="En retard"),IF(ISNUMBER(R733),R733,100000)+ROW()/100000,"")</f>
        <v/>
      </c>
      <c r="AC733" s="66" t="str">
        <f>IF(A733="","",IF(COUNTIF($A$6:A733,A733)=1,1,""))</f>
        <v/>
      </c>
      <c r="AD733" s="66" t="str">
        <f>IF(AC733=1,COUNT($AC$6:AC733),"")</f>
        <v/>
      </c>
      <c r="AE733" s="66" t="str">
        <f>IFERROR(INDEX(po_num,MATCH(728,po_seq,0))&amp;"","")</f>
        <v/>
      </c>
      <c r="AF733" s="66" t="str">
        <f>IF(OR(A733="",p_po=""),"",IF(A733&amp;""=p_po,COUNTIF($A$6:A733,A733),""))</f>
        <v/>
      </c>
      <c r="AG733" s="66" t="str">
        <f>IF(OR(AB733="",A733=""),"",IF(COUNTIFS($A$6:A733,A733,$AB$6:AB733,"&gt;0")=1,1,""))</f>
        <v/>
      </c>
      <c r="AH733" s="70" t="str">
        <f>IF(AB733="","",ROUND(N(W733)*N(J733)*(1-N(K733)),2))</f>
        <v/>
      </c>
      <c r="AI733" s="70" t="str">
        <f>IF(OR(J733="",N(T733)&lt;=0,V733="Oui"),"",ROUND(N(T733)*J733*(1-N(K733)),2))</f>
        <v/>
      </c>
    </row>
    <row r="734">
      <c r="A734" s="63" t="n"/>
      <c r="B734" s="64" t="n"/>
      <c r="C734" s="65" t="n"/>
      <c r="D734" s="66" t="str">
        <f>IF(C734="","",IFERROR(INDEX(sup_name,MATCH($C734,sup_code,0))&amp;"","Fournisseur inconnu"))</f>
        <v/>
      </c>
      <c r="E734" s="63" t="n"/>
      <c r="F734" s="66" t="str">
        <f>IF(E734="","",IFERROR(INDEX(art_des,MATCH($E734,art_ref,0))&amp;"","Article inconnu"))</f>
        <v/>
      </c>
      <c r="G734" s="67" t="str">
        <f>IF(E734="","",IFERROR(INDEX(art_unit,MATCH($E734,art_ref,0))&amp;"",""))</f>
        <v/>
      </c>
      <c r="H734" s="68" t="n"/>
      <c r="I734" s="69" t="n"/>
      <c r="J734" s="70" t="str">
        <f>IF(E734="","",IF(ISNUMBER(I734),I734,IFERROR(IF(ISNUMBER(INDEX(art_price,MATCH($E734,art_ref,0))),INDEX(art_price,MATCH($E734,art_ref,0)),""),"")))</f>
        <v/>
      </c>
      <c r="K734" s="71" t="n"/>
      <c r="L734" s="72" t="n"/>
      <c r="M734" s="72" t="str">
        <f>IF(E734="","",IF(L734&lt;&gt;"",L734,IFERROR(IF(ISNUMBER(INDEX(art_tva,MATCH($E734,art_ref,0))),INDEX(art_tva,MATCH($E734,art_ref,0)),""),"")))</f>
        <v/>
      </c>
      <c r="N734" s="70" t="str">
        <f>IF(OR(E734="",J734=""),"",ROUND(N(H734)*J734*(1-N(K734)),2))</f>
        <v/>
      </c>
      <c r="O734" s="70" t="str">
        <f>IF(OR(N734="",NOT(ISNUMBER(M734))),"",ROUND(N734*M734,2))</f>
        <v/>
      </c>
      <c r="P734" s="70" t="str">
        <f>IF(N734="","",N734+N(O734))</f>
        <v/>
      </c>
      <c r="Q734" s="64" t="n"/>
      <c r="R734" s="73" t="str">
        <f>IF(N(Q734)&gt;0,Q734,IF(OR(N(B734)=0,ISNA(MATCH($C734,sup_code,0))),"",IF(ISNUMBER(INDEX(sup_delay,MATCH($C734,sup_code,0))),B734+INDEX(sup_delay,MATCH($C734,sup_code,0)),"")))</f>
        <v/>
      </c>
      <c r="S734" s="64" t="n"/>
      <c r="T734" s="68" t="n"/>
      <c r="U734" s="64" t="n"/>
      <c r="V734" s="65" t="n"/>
      <c r="W734" s="74" t="str">
        <f>IF(AND(A734="",E734=""),"",IF(V734="Oui",0,MAX(0,ROUND(N(H734)-N(T734),6))))</f>
        <v/>
      </c>
      <c r="X734" s="67" t="str">
        <f>IF(AND(A734="",E734=""),"",IF(V734="Oui","Annulé",IF(AND(N(H734)&gt;0,N(T734)&gt;=N(H734)),"Reçu",IF(N(S734)=0,"Brouillon",IF(AND(ISNUMBER(R734),R734&lt;p_today),"En retard",IF(N(T734)&gt;0,"Partiel","Envoyé"))))))</f>
        <v/>
      </c>
      <c r="Y734" s="75" t="str">
        <f>IF(X734="En retard",p_today-R734,IF(AND(X734="Reçu",ISNUMBER(R734)),MAX(0,N(U734)-R734),""))</f>
        <v/>
      </c>
      <c r="Z734" s="67" t="str">
        <f>IF(AND(A734="",E734=""),"",IF(A734="","N° de bon manquant",IF(N(B734)=0,"Date de commande manquante",IF(C734="","Fournisseur manquant",IF(ISNA(MATCH($C734,sup_code,0)),"Fournisseur inconnu",IF(E734="","Article manquant",IF(ISNA(MATCH($E734,art_ref,0)),"Article inconnu",IF(N(H734)&lt;=0,"Quantité invalide",IF(J734="","Prix manquant",IF(OR(N(K734)&lt;0,N(K734)&gt;=1),"Remise invalide",IF(M734="","TVA manquante",IF(ISNA(MATCH(M734,p_tva,0)),"Taux de TVA inconnu",IF(COUNTIFS(po_num,A734,po_sup,"&lt;&gt;"&amp;C734)&gt;0,"Fournisseur différent sur ce bon",IF(COUNTIFS(po_num,A734,po_date,"&lt;&gt;"&amp;B734)&gt;0,"Date différente sur ce bon",IF(COUNTIF(po_num,A734)&gt;25,"Plus de 25 lignes sur ce bon",IF(R734="","Date de livraison manquante",IF(R734&lt;B734,"Livraison avant la commande",IF(AND(N(T734)&gt;0,N(S734)=0),"Date d'envoi manquante",IF(N(T734)&gt;N(H734),"Reçu plus que commandé",IF(AND(N(T734)&gt;0,N(U734)=0),"Date de réception manquante",IF(AND(N(U734)&gt;0,U734&lt;B734),"Réception avant la commande","OK")))))))))))))))))))))</f>
        <v/>
      </c>
      <c r="AA734" s="66" t="str">
        <f>IF(AND(X734="Reçu",ISNUMBER(R734)),IF(N(U734)&lt;=R734,1,0),"")</f>
        <v/>
      </c>
      <c r="AB734" s="76" t="str">
        <f>IF(OR(X734="Envoyé",X734="Partiel",X734="En retard"),IF(ISNUMBER(R734),R734,100000)+ROW()/100000,"")</f>
        <v/>
      </c>
      <c r="AC734" s="66" t="str">
        <f>IF(A734="","",IF(COUNTIF($A$6:A734,A734)=1,1,""))</f>
        <v/>
      </c>
      <c r="AD734" s="66" t="str">
        <f>IF(AC734=1,COUNT($AC$6:AC734),"")</f>
        <v/>
      </c>
      <c r="AE734" s="66" t="str">
        <f>IFERROR(INDEX(po_num,MATCH(729,po_seq,0))&amp;"","")</f>
        <v/>
      </c>
      <c r="AF734" s="66" t="str">
        <f>IF(OR(A734="",p_po=""),"",IF(A734&amp;""=p_po,COUNTIF($A$6:A734,A734),""))</f>
        <v/>
      </c>
      <c r="AG734" s="66" t="str">
        <f>IF(OR(AB734="",A734=""),"",IF(COUNTIFS($A$6:A734,A734,$AB$6:AB734,"&gt;0")=1,1,""))</f>
        <v/>
      </c>
      <c r="AH734" s="70" t="str">
        <f>IF(AB734="","",ROUND(N(W734)*N(J734)*(1-N(K734)),2))</f>
        <v/>
      </c>
      <c r="AI734" s="70" t="str">
        <f>IF(OR(J734="",N(T734)&lt;=0,V734="Oui"),"",ROUND(N(T734)*J734*(1-N(K734)),2))</f>
        <v/>
      </c>
    </row>
    <row r="735">
      <c r="A735" s="63" t="n"/>
      <c r="B735" s="64" t="n"/>
      <c r="C735" s="65" t="n"/>
      <c r="D735" s="66" t="str">
        <f>IF(C735="","",IFERROR(INDEX(sup_name,MATCH($C735,sup_code,0))&amp;"","Fournisseur inconnu"))</f>
        <v/>
      </c>
      <c r="E735" s="63" t="n"/>
      <c r="F735" s="66" t="str">
        <f>IF(E735="","",IFERROR(INDEX(art_des,MATCH($E735,art_ref,0))&amp;"","Article inconnu"))</f>
        <v/>
      </c>
      <c r="G735" s="67" t="str">
        <f>IF(E735="","",IFERROR(INDEX(art_unit,MATCH($E735,art_ref,0))&amp;"",""))</f>
        <v/>
      </c>
      <c r="H735" s="68" t="n"/>
      <c r="I735" s="69" t="n"/>
      <c r="J735" s="70" t="str">
        <f>IF(E735="","",IF(ISNUMBER(I735),I735,IFERROR(IF(ISNUMBER(INDEX(art_price,MATCH($E735,art_ref,0))),INDEX(art_price,MATCH($E735,art_ref,0)),""),"")))</f>
        <v/>
      </c>
      <c r="K735" s="71" t="n"/>
      <c r="L735" s="72" t="n"/>
      <c r="M735" s="72" t="str">
        <f>IF(E735="","",IF(L735&lt;&gt;"",L735,IFERROR(IF(ISNUMBER(INDEX(art_tva,MATCH($E735,art_ref,0))),INDEX(art_tva,MATCH($E735,art_ref,0)),""),"")))</f>
        <v/>
      </c>
      <c r="N735" s="70" t="str">
        <f>IF(OR(E735="",J735=""),"",ROUND(N(H735)*J735*(1-N(K735)),2))</f>
        <v/>
      </c>
      <c r="O735" s="70" t="str">
        <f>IF(OR(N735="",NOT(ISNUMBER(M735))),"",ROUND(N735*M735,2))</f>
        <v/>
      </c>
      <c r="P735" s="70" t="str">
        <f>IF(N735="","",N735+N(O735))</f>
        <v/>
      </c>
      <c r="Q735" s="64" t="n"/>
      <c r="R735" s="73" t="str">
        <f>IF(N(Q735)&gt;0,Q735,IF(OR(N(B735)=0,ISNA(MATCH($C735,sup_code,0))),"",IF(ISNUMBER(INDEX(sup_delay,MATCH($C735,sup_code,0))),B735+INDEX(sup_delay,MATCH($C735,sup_code,0)),"")))</f>
        <v/>
      </c>
      <c r="S735" s="64" t="n"/>
      <c r="T735" s="68" t="n"/>
      <c r="U735" s="64" t="n"/>
      <c r="V735" s="65" t="n"/>
      <c r="W735" s="74" t="str">
        <f>IF(AND(A735="",E735=""),"",IF(V735="Oui",0,MAX(0,ROUND(N(H735)-N(T735),6))))</f>
        <v/>
      </c>
      <c r="X735" s="67" t="str">
        <f>IF(AND(A735="",E735=""),"",IF(V735="Oui","Annulé",IF(AND(N(H735)&gt;0,N(T735)&gt;=N(H735)),"Reçu",IF(N(S735)=0,"Brouillon",IF(AND(ISNUMBER(R735),R735&lt;p_today),"En retard",IF(N(T735)&gt;0,"Partiel","Envoyé"))))))</f>
        <v/>
      </c>
      <c r="Y735" s="75" t="str">
        <f>IF(X735="En retard",p_today-R735,IF(AND(X735="Reçu",ISNUMBER(R735)),MAX(0,N(U735)-R735),""))</f>
        <v/>
      </c>
      <c r="Z735" s="67" t="str">
        <f>IF(AND(A735="",E735=""),"",IF(A735="","N° de bon manquant",IF(N(B735)=0,"Date de commande manquante",IF(C735="","Fournisseur manquant",IF(ISNA(MATCH($C735,sup_code,0)),"Fournisseur inconnu",IF(E735="","Article manquant",IF(ISNA(MATCH($E735,art_ref,0)),"Article inconnu",IF(N(H735)&lt;=0,"Quantité invalide",IF(J735="","Prix manquant",IF(OR(N(K735)&lt;0,N(K735)&gt;=1),"Remise invalide",IF(M735="","TVA manquante",IF(ISNA(MATCH(M735,p_tva,0)),"Taux de TVA inconnu",IF(COUNTIFS(po_num,A735,po_sup,"&lt;&gt;"&amp;C735)&gt;0,"Fournisseur différent sur ce bon",IF(COUNTIFS(po_num,A735,po_date,"&lt;&gt;"&amp;B735)&gt;0,"Date différente sur ce bon",IF(COUNTIF(po_num,A735)&gt;25,"Plus de 25 lignes sur ce bon",IF(R735="","Date de livraison manquante",IF(R735&lt;B735,"Livraison avant la commande",IF(AND(N(T735)&gt;0,N(S735)=0),"Date d'envoi manquante",IF(N(T735)&gt;N(H735),"Reçu plus que commandé",IF(AND(N(T735)&gt;0,N(U735)=0),"Date de réception manquante",IF(AND(N(U735)&gt;0,U735&lt;B735),"Réception avant la commande","OK")))))))))))))))))))))</f>
        <v/>
      </c>
      <c r="AA735" s="66" t="str">
        <f>IF(AND(X735="Reçu",ISNUMBER(R735)),IF(N(U735)&lt;=R735,1,0),"")</f>
        <v/>
      </c>
      <c r="AB735" s="76" t="str">
        <f>IF(OR(X735="Envoyé",X735="Partiel",X735="En retard"),IF(ISNUMBER(R735),R735,100000)+ROW()/100000,"")</f>
        <v/>
      </c>
      <c r="AC735" s="66" t="str">
        <f>IF(A735="","",IF(COUNTIF($A$6:A735,A735)=1,1,""))</f>
        <v/>
      </c>
      <c r="AD735" s="66" t="str">
        <f>IF(AC735=1,COUNT($AC$6:AC735),"")</f>
        <v/>
      </c>
      <c r="AE735" s="66" t="str">
        <f>IFERROR(INDEX(po_num,MATCH(730,po_seq,0))&amp;"","")</f>
        <v/>
      </c>
      <c r="AF735" s="66" t="str">
        <f>IF(OR(A735="",p_po=""),"",IF(A735&amp;""=p_po,COUNTIF($A$6:A735,A735),""))</f>
        <v/>
      </c>
      <c r="AG735" s="66" t="str">
        <f>IF(OR(AB735="",A735=""),"",IF(COUNTIFS($A$6:A735,A735,$AB$6:AB735,"&gt;0")=1,1,""))</f>
        <v/>
      </c>
      <c r="AH735" s="70" t="str">
        <f>IF(AB735="","",ROUND(N(W735)*N(J735)*(1-N(K735)),2))</f>
        <v/>
      </c>
      <c r="AI735" s="70" t="str">
        <f>IF(OR(J735="",N(T735)&lt;=0,V735="Oui"),"",ROUND(N(T735)*J735*(1-N(K735)),2))</f>
        <v/>
      </c>
    </row>
    <row r="736">
      <c r="A736" s="63" t="n"/>
      <c r="B736" s="64" t="n"/>
      <c r="C736" s="65" t="n"/>
      <c r="D736" s="66" t="str">
        <f>IF(C736="","",IFERROR(INDEX(sup_name,MATCH($C736,sup_code,0))&amp;"","Fournisseur inconnu"))</f>
        <v/>
      </c>
      <c r="E736" s="63" t="n"/>
      <c r="F736" s="66" t="str">
        <f>IF(E736="","",IFERROR(INDEX(art_des,MATCH($E736,art_ref,0))&amp;"","Article inconnu"))</f>
        <v/>
      </c>
      <c r="G736" s="67" t="str">
        <f>IF(E736="","",IFERROR(INDEX(art_unit,MATCH($E736,art_ref,0))&amp;"",""))</f>
        <v/>
      </c>
      <c r="H736" s="68" t="n"/>
      <c r="I736" s="69" t="n"/>
      <c r="J736" s="70" t="str">
        <f>IF(E736="","",IF(ISNUMBER(I736),I736,IFERROR(IF(ISNUMBER(INDEX(art_price,MATCH($E736,art_ref,0))),INDEX(art_price,MATCH($E736,art_ref,0)),""),"")))</f>
        <v/>
      </c>
      <c r="K736" s="71" t="n"/>
      <c r="L736" s="72" t="n"/>
      <c r="M736" s="72" t="str">
        <f>IF(E736="","",IF(L736&lt;&gt;"",L736,IFERROR(IF(ISNUMBER(INDEX(art_tva,MATCH($E736,art_ref,0))),INDEX(art_tva,MATCH($E736,art_ref,0)),""),"")))</f>
        <v/>
      </c>
      <c r="N736" s="70" t="str">
        <f>IF(OR(E736="",J736=""),"",ROUND(N(H736)*J736*(1-N(K736)),2))</f>
        <v/>
      </c>
      <c r="O736" s="70" t="str">
        <f>IF(OR(N736="",NOT(ISNUMBER(M736))),"",ROUND(N736*M736,2))</f>
        <v/>
      </c>
      <c r="P736" s="70" t="str">
        <f>IF(N736="","",N736+N(O736))</f>
        <v/>
      </c>
      <c r="Q736" s="64" t="n"/>
      <c r="R736" s="73" t="str">
        <f>IF(N(Q736)&gt;0,Q736,IF(OR(N(B736)=0,ISNA(MATCH($C736,sup_code,0))),"",IF(ISNUMBER(INDEX(sup_delay,MATCH($C736,sup_code,0))),B736+INDEX(sup_delay,MATCH($C736,sup_code,0)),"")))</f>
        <v/>
      </c>
      <c r="S736" s="64" t="n"/>
      <c r="T736" s="68" t="n"/>
      <c r="U736" s="64" t="n"/>
      <c r="V736" s="65" t="n"/>
      <c r="W736" s="74" t="str">
        <f>IF(AND(A736="",E736=""),"",IF(V736="Oui",0,MAX(0,ROUND(N(H736)-N(T736),6))))</f>
        <v/>
      </c>
      <c r="X736" s="67" t="str">
        <f>IF(AND(A736="",E736=""),"",IF(V736="Oui","Annulé",IF(AND(N(H736)&gt;0,N(T736)&gt;=N(H736)),"Reçu",IF(N(S736)=0,"Brouillon",IF(AND(ISNUMBER(R736),R736&lt;p_today),"En retard",IF(N(T736)&gt;0,"Partiel","Envoyé"))))))</f>
        <v/>
      </c>
      <c r="Y736" s="75" t="str">
        <f>IF(X736="En retard",p_today-R736,IF(AND(X736="Reçu",ISNUMBER(R736)),MAX(0,N(U736)-R736),""))</f>
        <v/>
      </c>
      <c r="Z736" s="67" t="str">
        <f>IF(AND(A736="",E736=""),"",IF(A736="","N° de bon manquant",IF(N(B736)=0,"Date de commande manquante",IF(C736="","Fournisseur manquant",IF(ISNA(MATCH($C736,sup_code,0)),"Fournisseur inconnu",IF(E736="","Article manquant",IF(ISNA(MATCH($E736,art_ref,0)),"Article inconnu",IF(N(H736)&lt;=0,"Quantité invalide",IF(J736="","Prix manquant",IF(OR(N(K736)&lt;0,N(K736)&gt;=1),"Remise invalide",IF(M736="","TVA manquante",IF(ISNA(MATCH(M736,p_tva,0)),"Taux de TVA inconnu",IF(COUNTIFS(po_num,A736,po_sup,"&lt;&gt;"&amp;C736)&gt;0,"Fournisseur différent sur ce bon",IF(COUNTIFS(po_num,A736,po_date,"&lt;&gt;"&amp;B736)&gt;0,"Date différente sur ce bon",IF(COUNTIF(po_num,A736)&gt;25,"Plus de 25 lignes sur ce bon",IF(R736="","Date de livraison manquante",IF(R736&lt;B736,"Livraison avant la commande",IF(AND(N(T736)&gt;0,N(S736)=0),"Date d'envoi manquante",IF(N(T736)&gt;N(H736),"Reçu plus que commandé",IF(AND(N(T736)&gt;0,N(U736)=0),"Date de réception manquante",IF(AND(N(U736)&gt;0,U736&lt;B736),"Réception avant la commande","OK")))))))))))))))))))))</f>
        <v/>
      </c>
      <c r="AA736" s="66" t="str">
        <f>IF(AND(X736="Reçu",ISNUMBER(R736)),IF(N(U736)&lt;=R736,1,0),"")</f>
        <v/>
      </c>
      <c r="AB736" s="76" t="str">
        <f>IF(OR(X736="Envoyé",X736="Partiel",X736="En retard"),IF(ISNUMBER(R736),R736,100000)+ROW()/100000,"")</f>
        <v/>
      </c>
      <c r="AC736" s="66" t="str">
        <f>IF(A736="","",IF(COUNTIF($A$6:A736,A736)=1,1,""))</f>
        <v/>
      </c>
      <c r="AD736" s="66" t="str">
        <f>IF(AC736=1,COUNT($AC$6:AC736),"")</f>
        <v/>
      </c>
      <c r="AE736" s="66" t="str">
        <f>IFERROR(INDEX(po_num,MATCH(731,po_seq,0))&amp;"","")</f>
        <v/>
      </c>
      <c r="AF736" s="66" t="str">
        <f>IF(OR(A736="",p_po=""),"",IF(A736&amp;""=p_po,COUNTIF($A$6:A736,A736),""))</f>
        <v/>
      </c>
      <c r="AG736" s="66" t="str">
        <f>IF(OR(AB736="",A736=""),"",IF(COUNTIFS($A$6:A736,A736,$AB$6:AB736,"&gt;0")=1,1,""))</f>
        <v/>
      </c>
      <c r="AH736" s="70" t="str">
        <f>IF(AB736="","",ROUND(N(W736)*N(J736)*(1-N(K736)),2))</f>
        <v/>
      </c>
      <c r="AI736" s="70" t="str">
        <f>IF(OR(J736="",N(T736)&lt;=0,V736="Oui"),"",ROUND(N(T736)*J736*(1-N(K736)),2))</f>
        <v/>
      </c>
    </row>
    <row r="737">
      <c r="A737" s="63" t="n"/>
      <c r="B737" s="64" t="n"/>
      <c r="C737" s="65" t="n"/>
      <c r="D737" s="66" t="str">
        <f>IF(C737="","",IFERROR(INDEX(sup_name,MATCH($C737,sup_code,0))&amp;"","Fournisseur inconnu"))</f>
        <v/>
      </c>
      <c r="E737" s="63" t="n"/>
      <c r="F737" s="66" t="str">
        <f>IF(E737="","",IFERROR(INDEX(art_des,MATCH($E737,art_ref,0))&amp;"","Article inconnu"))</f>
        <v/>
      </c>
      <c r="G737" s="67" t="str">
        <f>IF(E737="","",IFERROR(INDEX(art_unit,MATCH($E737,art_ref,0))&amp;"",""))</f>
        <v/>
      </c>
      <c r="H737" s="68" t="n"/>
      <c r="I737" s="69" t="n"/>
      <c r="J737" s="70" t="str">
        <f>IF(E737="","",IF(ISNUMBER(I737),I737,IFERROR(IF(ISNUMBER(INDEX(art_price,MATCH($E737,art_ref,0))),INDEX(art_price,MATCH($E737,art_ref,0)),""),"")))</f>
        <v/>
      </c>
      <c r="K737" s="71" t="n"/>
      <c r="L737" s="72" t="n"/>
      <c r="M737" s="72" t="str">
        <f>IF(E737="","",IF(L737&lt;&gt;"",L737,IFERROR(IF(ISNUMBER(INDEX(art_tva,MATCH($E737,art_ref,0))),INDEX(art_tva,MATCH($E737,art_ref,0)),""),"")))</f>
        <v/>
      </c>
      <c r="N737" s="70" t="str">
        <f>IF(OR(E737="",J737=""),"",ROUND(N(H737)*J737*(1-N(K737)),2))</f>
        <v/>
      </c>
      <c r="O737" s="70" t="str">
        <f>IF(OR(N737="",NOT(ISNUMBER(M737))),"",ROUND(N737*M737,2))</f>
        <v/>
      </c>
      <c r="P737" s="70" t="str">
        <f>IF(N737="","",N737+N(O737))</f>
        <v/>
      </c>
      <c r="Q737" s="64" t="n"/>
      <c r="R737" s="73" t="str">
        <f>IF(N(Q737)&gt;0,Q737,IF(OR(N(B737)=0,ISNA(MATCH($C737,sup_code,0))),"",IF(ISNUMBER(INDEX(sup_delay,MATCH($C737,sup_code,0))),B737+INDEX(sup_delay,MATCH($C737,sup_code,0)),"")))</f>
        <v/>
      </c>
      <c r="S737" s="64" t="n"/>
      <c r="T737" s="68" t="n"/>
      <c r="U737" s="64" t="n"/>
      <c r="V737" s="65" t="n"/>
      <c r="W737" s="74" t="str">
        <f>IF(AND(A737="",E737=""),"",IF(V737="Oui",0,MAX(0,ROUND(N(H737)-N(T737),6))))</f>
        <v/>
      </c>
      <c r="X737" s="67" t="str">
        <f>IF(AND(A737="",E737=""),"",IF(V737="Oui","Annulé",IF(AND(N(H737)&gt;0,N(T737)&gt;=N(H737)),"Reçu",IF(N(S737)=0,"Brouillon",IF(AND(ISNUMBER(R737),R737&lt;p_today),"En retard",IF(N(T737)&gt;0,"Partiel","Envoyé"))))))</f>
        <v/>
      </c>
      <c r="Y737" s="75" t="str">
        <f>IF(X737="En retard",p_today-R737,IF(AND(X737="Reçu",ISNUMBER(R737)),MAX(0,N(U737)-R737),""))</f>
        <v/>
      </c>
      <c r="Z737" s="67" t="str">
        <f>IF(AND(A737="",E737=""),"",IF(A737="","N° de bon manquant",IF(N(B737)=0,"Date de commande manquante",IF(C737="","Fournisseur manquant",IF(ISNA(MATCH($C737,sup_code,0)),"Fournisseur inconnu",IF(E737="","Article manquant",IF(ISNA(MATCH($E737,art_ref,0)),"Article inconnu",IF(N(H737)&lt;=0,"Quantité invalide",IF(J737="","Prix manquant",IF(OR(N(K737)&lt;0,N(K737)&gt;=1),"Remise invalide",IF(M737="","TVA manquante",IF(ISNA(MATCH(M737,p_tva,0)),"Taux de TVA inconnu",IF(COUNTIFS(po_num,A737,po_sup,"&lt;&gt;"&amp;C737)&gt;0,"Fournisseur différent sur ce bon",IF(COUNTIFS(po_num,A737,po_date,"&lt;&gt;"&amp;B737)&gt;0,"Date différente sur ce bon",IF(COUNTIF(po_num,A737)&gt;25,"Plus de 25 lignes sur ce bon",IF(R737="","Date de livraison manquante",IF(R737&lt;B737,"Livraison avant la commande",IF(AND(N(T737)&gt;0,N(S737)=0),"Date d'envoi manquante",IF(N(T737)&gt;N(H737),"Reçu plus que commandé",IF(AND(N(T737)&gt;0,N(U737)=0),"Date de réception manquante",IF(AND(N(U737)&gt;0,U737&lt;B737),"Réception avant la commande","OK")))))))))))))))))))))</f>
        <v/>
      </c>
      <c r="AA737" s="66" t="str">
        <f>IF(AND(X737="Reçu",ISNUMBER(R737)),IF(N(U737)&lt;=R737,1,0),"")</f>
        <v/>
      </c>
      <c r="AB737" s="76" t="str">
        <f>IF(OR(X737="Envoyé",X737="Partiel",X737="En retard"),IF(ISNUMBER(R737),R737,100000)+ROW()/100000,"")</f>
        <v/>
      </c>
      <c r="AC737" s="66" t="str">
        <f>IF(A737="","",IF(COUNTIF($A$6:A737,A737)=1,1,""))</f>
        <v/>
      </c>
      <c r="AD737" s="66" t="str">
        <f>IF(AC737=1,COUNT($AC$6:AC737),"")</f>
        <v/>
      </c>
      <c r="AE737" s="66" t="str">
        <f>IFERROR(INDEX(po_num,MATCH(732,po_seq,0))&amp;"","")</f>
        <v/>
      </c>
      <c r="AF737" s="66" t="str">
        <f>IF(OR(A737="",p_po=""),"",IF(A737&amp;""=p_po,COUNTIF($A$6:A737,A737),""))</f>
        <v/>
      </c>
      <c r="AG737" s="66" t="str">
        <f>IF(OR(AB737="",A737=""),"",IF(COUNTIFS($A$6:A737,A737,$AB$6:AB737,"&gt;0")=1,1,""))</f>
        <v/>
      </c>
      <c r="AH737" s="70" t="str">
        <f>IF(AB737="","",ROUND(N(W737)*N(J737)*(1-N(K737)),2))</f>
        <v/>
      </c>
      <c r="AI737" s="70" t="str">
        <f>IF(OR(J737="",N(T737)&lt;=0,V737="Oui"),"",ROUND(N(T737)*J737*(1-N(K737)),2))</f>
        <v/>
      </c>
    </row>
    <row r="738">
      <c r="A738" s="63" t="n"/>
      <c r="B738" s="64" t="n"/>
      <c r="C738" s="65" t="n"/>
      <c r="D738" s="66" t="str">
        <f>IF(C738="","",IFERROR(INDEX(sup_name,MATCH($C738,sup_code,0))&amp;"","Fournisseur inconnu"))</f>
        <v/>
      </c>
      <c r="E738" s="63" t="n"/>
      <c r="F738" s="66" t="str">
        <f>IF(E738="","",IFERROR(INDEX(art_des,MATCH($E738,art_ref,0))&amp;"","Article inconnu"))</f>
        <v/>
      </c>
      <c r="G738" s="67" t="str">
        <f>IF(E738="","",IFERROR(INDEX(art_unit,MATCH($E738,art_ref,0))&amp;"",""))</f>
        <v/>
      </c>
      <c r="H738" s="68" t="n"/>
      <c r="I738" s="69" t="n"/>
      <c r="J738" s="70" t="str">
        <f>IF(E738="","",IF(ISNUMBER(I738),I738,IFERROR(IF(ISNUMBER(INDEX(art_price,MATCH($E738,art_ref,0))),INDEX(art_price,MATCH($E738,art_ref,0)),""),"")))</f>
        <v/>
      </c>
      <c r="K738" s="71" t="n"/>
      <c r="L738" s="72" t="n"/>
      <c r="M738" s="72" t="str">
        <f>IF(E738="","",IF(L738&lt;&gt;"",L738,IFERROR(IF(ISNUMBER(INDEX(art_tva,MATCH($E738,art_ref,0))),INDEX(art_tva,MATCH($E738,art_ref,0)),""),"")))</f>
        <v/>
      </c>
      <c r="N738" s="70" t="str">
        <f>IF(OR(E738="",J738=""),"",ROUND(N(H738)*J738*(1-N(K738)),2))</f>
        <v/>
      </c>
      <c r="O738" s="70" t="str">
        <f>IF(OR(N738="",NOT(ISNUMBER(M738))),"",ROUND(N738*M738,2))</f>
        <v/>
      </c>
      <c r="P738" s="70" t="str">
        <f>IF(N738="","",N738+N(O738))</f>
        <v/>
      </c>
      <c r="Q738" s="64" t="n"/>
      <c r="R738" s="73" t="str">
        <f>IF(N(Q738)&gt;0,Q738,IF(OR(N(B738)=0,ISNA(MATCH($C738,sup_code,0))),"",IF(ISNUMBER(INDEX(sup_delay,MATCH($C738,sup_code,0))),B738+INDEX(sup_delay,MATCH($C738,sup_code,0)),"")))</f>
        <v/>
      </c>
      <c r="S738" s="64" t="n"/>
      <c r="T738" s="68" t="n"/>
      <c r="U738" s="64" t="n"/>
      <c r="V738" s="65" t="n"/>
      <c r="W738" s="74" t="str">
        <f>IF(AND(A738="",E738=""),"",IF(V738="Oui",0,MAX(0,ROUND(N(H738)-N(T738),6))))</f>
        <v/>
      </c>
      <c r="X738" s="67" t="str">
        <f>IF(AND(A738="",E738=""),"",IF(V738="Oui","Annulé",IF(AND(N(H738)&gt;0,N(T738)&gt;=N(H738)),"Reçu",IF(N(S738)=0,"Brouillon",IF(AND(ISNUMBER(R738),R738&lt;p_today),"En retard",IF(N(T738)&gt;0,"Partiel","Envoyé"))))))</f>
        <v/>
      </c>
      <c r="Y738" s="75" t="str">
        <f>IF(X738="En retard",p_today-R738,IF(AND(X738="Reçu",ISNUMBER(R738)),MAX(0,N(U738)-R738),""))</f>
        <v/>
      </c>
      <c r="Z738" s="67" t="str">
        <f>IF(AND(A738="",E738=""),"",IF(A738="","N° de bon manquant",IF(N(B738)=0,"Date de commande manquante",IF(C738="","Fournisseur manquant",IF(ISNA(MATCH($C738,sup_code,0)),"Fournisseur inconnu",IF(E738="","Article manquant",IF(ISNA(MATCH($E738,art_ref,0)),"Article inconnu",IF(N(H738)&lt;=0,"Quantité invalide",IF(J738="","Prix manquant",IF(OR(N(K738)&lt;0,N(K738)&gt;=1),"Remise invalide",IF(M738="","TVA manquante",IF(ISNA(MATCH(M738,p_tva,0)),"Taux de TVA inconnu",IF(COUNTIFS(po_num,A738,po_sup,"&lt;&gt;"&amp;C738)&gt;0,"Fournisseur différent sur ce bon",IF(COUNTIFS(po_num,A738,po_date,"&lt;&gt;"&amp;B738)&gt;0,"Date différente sur ce bon",IF(COUNTIF(po_num,A738)&gt;25,"Plus de 25 lignes sur ce bon",IF(R738="","Date de livraison manquante",IF(R738&lt;B738,"Livraison avant la commande",IF(AND(N(T738)&gt;0,N(S738)=0),"Date d'envoi manquante",IF(N(T738)&gt;N(H738),"Reçu plus que commandé",IF(AND(N(T738)&gt;0,N(U738)=0),"Date de réception manquante",IF(AND(N(U738)&gt;0,U738&lt;B738),"Réception avant la commande","OK")))))))))))))))))))))</f>
        <v/>
      </c>
      <c r="AA738" s="66" t="str">
        <f>IF(AND(X738="Reçu",ISNUMBER(R738)),IF(N(U738)&lt;=R738,1,0),"")</f>
        <v/>
      </c>
      <c r="AB738" s="76" t="str">
        <f>IF(OR(X738="Envoyé",X738="Partiel",X738="En retard"),IF(ISNUMBER(R738),R738,100000)+ROW()/100000,"")</f>
        <v/>
      </c>
      <c r="AC738" s="66" t="str">
        <f>IF(A738="","",IF(COUNTIF($A$6:A738,A738)=1,1,""))</f>
        <v/>
      </c>
      <c r="AD738" s="66" t="str">
        <f>IF(AC738=1,COUNT($AC$6:AC738),"")</f>
        <v/>
      </c>
      <c r="AE738" s="66" t="str">
        <f>IFERROR(INDEX(po_num,MATCH(733,po_seq,0))&amp;"","")</f>
        <v/>
      </c>
      <c r="AF738" s="66" t="str">
        <f>IF(OR(A738="",p_po=""),"",IF(A738&amp;""=p_po,COUNTIF($A$6:A738,A738),""))</f>
        <v/>
      </c>
      <c r="AG738" s="66" t="str">
        <f>IF(OR(AB738="",A738=""),"",IF(COUNTIFS($A$6:A738,A738,$AB$6:AB738,"&gt;0")=1,1,""))</f>
        <v/>
      </c>
      <c r="AH738" s="70" t="str">
        <f>IF(AB738="","",ROUND(N(W738)*N(J738)*(1-N(K738)),2))</f>
        <v/>
      </c>
      <c r="AI738" s="70" t="str">
        <f>IF(OR(J738="",N(T738)&lt;=0,V738="Oui"),"",ROUND(N(T738)*J738*(1-N(K738)),2))</f>
        <v/>
      </c>
    </row>
    <row r="739">
      <c r="A739" s="63" t="n"/>
      <c r="B739" s="64" t="n"/>
      <c r="C739" s="65" t="n"/>
      <c r="D739" s="66" t="str">
        <f>IF(C739="","",IFERROR(INDEX(sup_name,MATCH($C739,sup_code,0))&amp;"","Fournisseur inconnu"))</f>
        <v/>
      </c>
      <c r="E739" s="63" t="n"/>
      <c r="F739" s="66" t="str">
        <f>IF(E739="","",IFERROR(INDEX(art_des,MATCH($E739,art_ref,0))&amp;"","Article inconnu"))</f>
        <v/>
      </c>
      <c r="G739" s="67" t="str">
        <f>IF(E739="","",IFERROR(INDEX(art_unit,MATCH($E739,art_ref,0))&amp;"",""))</f>
        <v/>
      </c>
      <c r="H739" s="68" t="n"/>
      <c r="I739" s="69" t="n"/>
      <c r="J739" s="70" t="str">
        <f>IF(E739="","",IF(ISNUMBER(I739),I739,IFERROR(IF(ISNUMBER(INDEX(art_price,MATCH($E739,art_ref,0))),INDEX(art_price,MATCH($E739,art_ref,0)),""),"")))</f>
        <v/>
      </c>
      <c r="K739" s="71" t="n"/>
      <c r="L739" s="72" t="n"/>
      <c r="M739" s="72" t="str">
        <f>IF(E739="","",IF(L739&lt;&gt;"",L739,IFERROR(IF(ISNUMBER(INDEX(art_tva,MATCH($E739,art_ref,0))),INDEX(art_tva,MATCH($E739,art_ref,0)),""),"")))</f>
        <v/>
      </c>
      <c r="N739" s="70" t="str">
        <f>IF(OR(E739="",J739=""),"",ROUND(N(H739)*J739*(1-N(K739)),2))</f>
        <v/>
      </c>
      <c r="O739" s="70" t="str">
        <f>IF(OR(N739="",NOT(ISNUMBER(M739))),"",ROUND(N739*M739,2))</f>
        <v/>
      </c>
      <c r="P739" s="70" t="str">
        <f>IF(N739="","",N739+N(O739))</f>
        <v/>
      </c>
      <c r="Q739" s="64" t="n"/>
      <c r="R739" s="73" t="str">
        <f>IF(N(Q739)&gt;0,Q739,IF(OR(N(B739)=0,ISNA(MATCH($C739,sup_code,0))),"",IF(ISNUMBER(INDEX(sup_delay,MATCH($C739,sup_code,0))),B739+INDEX(sup_delay,MATCH($C739,sup_code,0)),"")))</f>
        <v/>
      </c>
      <c r="S739" s="64" t="n"/>
      <c r="T739" s="68" t="n"/>
      <c r="U739" s="64" t="n"/>
      <c r="V739" s="65" t="n"/>
      <c r="W739" s="74" t="str">
        <f>IF(AND(A739="",E739=""),"",IF(V739="Oui",0,MAX(0,ROUND(N(H739)-N(T739),6))))</f>
        <v/>
      </c>
      <c r="X739" s="67" t="str">
        <f>IF(AND(A739="",E739=""),"",IF(V739="Oui","Annulé",IF(AND(N(H739)&gt;0,N(T739)&gt;=N(H739)),"Reçu",IF(N(S739)=0,"Brouillon",IF(AND(ISNUMBER(R739),R739&lt;p_today),"En retard",IF(N(T739)&gt;0,"Partiel","Envoyé"))))))</f>
        <v/>
      </c>
      <c r="Y739" s="75" t="str">
        <f>IF(X739="En retard",p_today-R739,IF(AND(X739="Reçu",ISNUMBER(R739)),MAX(0,N(U739)-R739),""))</f>
        <v/>
      </c>
      <c r="Z739" s="67" t="str">
        <f>IF(AND(A739="",E739=""),"",IF(A739="","N° de bon manquant",IF(N(B739)=0,"Date de commande manquante",IF(C739="","Fournisseur manquant",IF(ISNA(MATCH($C739,sup_code,0)),"Fournisseur inconnu",IF(E739="","Article manquant",IF(ISNA(MATCH($E739,art_ref,0)),"Article inconnu",IF(N(H739)&lt;=0,"Quantité invalide",IF(J739="","Prix manquant",IF(OR(N(K739)&lt;0,N(K739)&gt;=1),"Remise invalide",IF(M739="","TVA manquante",IF(ISNA(MATCH(M739,p_tva,0)),"Taux de TVA inconnu",IF(COUNTIFS(po_num,A739,po_sup,"&lt;&gt;"&amp;C739)&gt;0,"Fournisseur différent sur ce bon",IF(COUNTIFS(po_num,A739,po_date,"&lt;&gt;"&amp;B739)&gt;0,"Date différente sur ce bon",IF(COUNTIF(po_num,A739)&gt;25,"Plus de 25 lignes sur ce bon",IF(R739="","Date de livraison manquante",IF(R739&lt;B739,"Livraison avant la commande",IF(AND(N(T739)&gt;0,N(S739)=0),"Date d'envoi manquante",IF(N(T739)&gt;N(H739),"Reçu plus que commandé",IF(AND(N(T739)&gt;0,N(U739)=0),"Date de réception manquante",IF(AND(N(U739)&gt;0,U739&lt;B739),"Réception avant la commande","OK")))))))))))))))))))))</f>
        <v/>
      </c>
      <c r="AA739" s="66" t="str">
        <f>IF(AND(X739="Reçu",ISNUMBER(R739)),IF(N(U739)&lt;=R739,1,0),"")</f>
        <v/>
      </c>
      <c r="AB739" s="76" t="str">
        <f>IF(OR(X739="Envoyé",X739="Partiel",X739="En retard"),IF(ISNUMBER(R739),R739,100000)+ROW()/100000,"")</f>
        <v/>
      </c>
      <c r="AC739" s="66" t="str">
        <f>IF(A739="","",IF(COUNTIF($A$6:A739,A739)=1,1,""))</f>
        <v/>
      </c>
      <c r="AD739" s="66" t="str">
        <f>IF(AC739=1,COUNT($AC$6:AC739),"")</f>
        <v/>
      </c>
      <c r="AE739" s="66" t="str">
        <f>IFERROR(INDEX(po_num,MATCH(734,po_seq,0))&amp;"","")</f>
        <v/>
      </c>
      <c r="AF739" s="66" t="str">
        <f>IF(OR(A739="",p_po=""),"",IF(A739&amp;""=p_po,COUNTIF($A$6:A739,A739),""))</f>
        <v/>
      </c>
      <c r="AG739" s="66" t="str">
        <f>IF(OR(AB739="",A739=""),"",IF(COUNTIFS($A$6:A739,A739,$AB$6:AB739,"&gt;0")=1,1,""))</f>
        <v/>
      </c>
      <c r="AH739" s="70" t="str">
        <f>IF(AB739="","",ROUND(N(W739)*N(J739)*(1-N(K739)),2))</f>
        <v/>
      </c>
      <c r="AI739" s="70" t="str">
        <f>IF(OR(J739="",N(T739)&lt;=0,V739="Oui"),"",ROUND(N(T739)*J739*(1-N(K739)),2))</f>
        <v/>
      </c>
    </row>
    <row r="740">
      <c r="A740" s="63" t="n"/>
      <c r="B740" s="64" t="n"/>
      <c r="C740" s="65" t="n"/>
      <c r="D740" s="66" t="str">
        <f>IF(C740="","",IFERROR(INDEX(sup_name,MATCH($C740,sup_code,0))&amp;"","Fournisseur inconnu"))</f>
        <v/>
      </c>
      <c r="E740" s="63" t="n"/>
      <c r="F740" s="66" t="str">
        <f>IF(E740="","",IFERROR(INDEX(art_des,MATCH($E740,art_ref,0))&amp;"","Article inconnu"))</f>
        <v/>
      </c>
      <c r="G740" s="67" t="str">
        <f>IF(E740="","",IFERROR(INDEX(art_unit,MATCH($E740,art_ref,0))&amp;"",""))</f>
        <v/>
      </c>
      <c r="H740" s="68" t="n"/>
      <c r="I740" s="69" t="n"/>
      <c r="J740" s="70" t="str">
        <f>IF(E740="","",IF(ISNUMBER(I740),I740,IFERROR(IF(ISNUMBER(INDEX(art_price,MATCH($E740,art_ref,0))),INDEX(art_price,MATCH($E740,art_ref,0)),""),"")))</f>
        <v/>
      </c>
      <c r="K740" s="71" t="n"/>
      <c r="L740" s="72" t="n"/>
      <c r="M740" s="72" t="str">
        <f>IF(E740="","",IF(L740&lt;&gt;"",L740,IFERROR(IF(ISNUMBER(INDEX(art_tva,MATCH($E740,art_ref,0))),INDEX(art_tva,MATCH($E740,art_ref,0)),""),"")))</f>
        <v/>
      </c>
      <c r="N740" s="70" t="str">
        <f>IF(OR(E740="",J740=""),"",ROUND(N(H740)*J740*(1-N(K740)),2))</f>
        <v/>
      </c>
      <c r="O740" s="70" t="str">
        <f>IF(OR(N740="",NOT(ISNUMBER(M740))),"",ROUND(N740*M740,2))</f>
        <v/>
      </c>
      <c r="P740" s="70" t="str">
        <f>IF(N740="","",N740+N(O740))</f>
        <v/>
      </c>
      <c r="Q740" s="64" t="n"/>
      <c r="R740" s="73" t="str">
        <f>IF(N(Q740)&gt;0,Q740,IF(OR(N(B740)=0,ISNA(MATCH($C740,sup_code,0))),"",IF(ISNUMBER(INDEX(sup_delay,MATCH($C740,sup_code,0))),B740+INDEX(sup_delay,MATCH($C740,sup_code,0)),"")))</f>
        <v/>
      </c>
      <c r="S740" s="64" t="n"/>
      <c r="T740" s="68" t="n"/>
      <c r="U740" s="64" t="n"/>
      <c r="V740" s="65" t="n"/>
      <c r="W740" s="74" t="str">
        <f>IF(AND(A740="",E740=""),"",IF(V740="Oui",0,MAX(0,ROUND(N(H740)-N(T740),6))))</f>
        <v/>
      </c>
      <c r="X740" s="67" t="str">
        <f>IF(AND(A740="",E740=""),"",IF(V740="Oui","Annulé",IF(AND(N(H740)&gt;0,N(T740)&gt;=N(H740)),"Reçu",IF(N(S740)=0,"Brouillon",IF(AND(ISNUMBER(R740),R740&lt;p_today),"En retard",IF(N(T740)&gt;0,"Partiel","Envoyé"))))))</f>
        <v/>
      </c>
      <c r="Y740" s="75" t="str">
        <f>IF(X740="En retard",p_today-R740,IF(AND(X740="Reçu",ISNUMBER(R740)),MAX(0,N(U740)-R740),""))</f>
        <v/>
      </c>
      <c r="Z740" s="67" t="str">
        <f>IF(AND(A740="",E740=""),"",IF(A740="","N° de bon manquant",IF(N(B740)=0,"Date de commande manquante",IF(C740="","Fournisseur manquant",IF(ISNA(MATCH($C740,sup_code,0)),"Fournisseur inconnu",IF(E740="","Article manquant",IF(ISNA(MATCH($E740,art_ref,0)),"Article inconnu",IF(N(H740)&lt;=0,"Quantité invalide",IF(J740="","Prix manquant",IF(OR(N(K740)&lt;0,N(K740)&gt;=1),"Remise invalide",IF(M740="","TVA manquante",IF(ISNA(MATCH(M740,p_tva,0)),"Taux de TVA inconnu",IF(COUNTIFS(po_num,A740,po_sup,"&lt;&gt;"&amp;C740)&gt;0,"Fournisseur différent sur ce bon",IF(COUNTIFS(po_num,A740,po_date,"&lt;&gt;"&amp;B740)&gt;0,"Date différente sur ce bon",IF(COUNTIF(po_num,A740)&gt;25,"Plus de 25 lignes sur ce bon",IF(R740="","Date de livraison manquante",IF(R740&lt;B740,"Livraison avant la commande",IF(AND(N(T740)&gt;0,N(S740)=0),"Date d'envoi manquante",IF(N(T740)&gt;N(H740),"Reçu plus que commandé",IF(AND(N(T740)&gt;0,N(U740)=0),"Date de réception manquante",IF(AND(N(U740)&gt;0,U740&lt;B740),"Réception avant la commande","OK")))))))))))))))))))))</f>
        <v/>
      </c>
      <c r="AA740" s="66" t="str">
        <f>IF(AND(X740="Reçu",ISNUMBER(R740)),IF(N(U740)&lt;=R740,1,0),"")</f>
        <v/>
      </c>
      <c r="AB740" s="76" t="str">
        <f>IF(OR(X740="Envoyé",X740="Partiel",X740="En retard"),IF(ISNUMBER(R740),R740,100000)+ROW()/100000,"")</f>
        <v/>
      </c>
      <c r="AC740" s="66" t="str">
        <f>IF(A740="","",IF(COUNTIF($A$6:A740,A740)=1,1,""))</f>
        <v/>
      </c>
      <c r="AD740" s="66" t="str">
        <f>IF(AC740=1,COUNT($AC$6:AC740),"")</f>
        <v/>
      </c>
      <c r="AE740" s="66" t="str">
        <f>IFERROR(INDEX(po_num,MATCH(735,po_seq,0))&amp;"","")</f>
        <v/>
      </c>
      <c r="AF740" s="66" t="str">
        <f>IF(OR(A740="",p_po=""),"",IF(A740&amp;""=p_po,COUNTIF($A$6:A740,A740),""))</f>
        <v/>
      </c>
      <c r="AG740" s="66" t="str">
        <f>IF(OR(AB740="",A740=""),"",IF(COUNTIFS($A$6:A740,A740,$AB$6:AB740,"&gt;0")=1,1,""))</f>
        <v/>
      </c>
      <c r="AH740" s="70" t="str">
        <f>IF(AB740="","",ROUND(N(W740)*N(J740)*(1-N(K740)),2))</f>
        <v/>
      </c>
      <c r="AI740" s="70" t="str">
        <f>IF(OR(J740="",N(T740)&lt;=0,V740="Oui"),"",ROUND(N(T740)*J740*(1-N(K740)),2))</f>
        <v/>
      </c>
    </row>
    <row r="741">
      <c r="A741" s="63" t="n"/>
      <c r="B741" s="64" t="n"/>
      <c r="C741" s="65" t="n"/>
      <c r="D741" s="66" t="str">
        <f>IF(C741="","",IFERROR(INDEX(sup_name,MATCH($C741,sup_code,0))&amp;"","Fournisseur inconnu"))</f>
        <v/>
      </c>
      <c r="E741" s="63" t="n"/>
      <c r="F741" s="66" t="str">
        <f>IF(E741="","",IFERROR(INDEX(art_des,MATCH($E741,art_ref,0))&amp;"","Article inconnu"))</f>
        <v/>
      </c>
      <c r="G741" s="67" t="str">
        <f>IF(E741="","",IFERROR(INDEX(art_unit,MATCH($E741,art_ref,0))&amp;"",""))</f>
        <v/>
      </c>
      <c r="H741" s="68" t="n"/>
      <c r="I741" s="69" t="n"/>
      <c r="J741" s="70" t="str">
        <f>IF(E741="","",IF(ISNUMBER(I741),I741,IFERROR(IF(ISNUMBER(INDEX(art_price,MATCH($E741,art_ref,0))),INDEX(art_price,MATCH($E741,art_ref,0)),""),"")))</f>
        <v/>
      </c>
      <c r="K741" s="71" t="n"/>
      <c r="L741" s="72" t="n"/>
      <c r="M741" s="72" t="str">
        <f>IF(E741="","",IF(L741&lt;&gt;"",L741,IFERROR(IF(ISNUMBER(INDEX(art_tva,MATCH($E741,art_ref,0))),INDEX(art_tva,MATCH($E741,art_ref,0)),""),"")))</f>
        <v/>
      </c>
      <c r="N741" s="70" t="str">
        <f>IF(OR(E741="",J741=""),"",ROUND(N(H741)*J741*(1-N(K741)),2))</f>
        <v/>
      </c>
      <c r="O741" s="70" t="str">
        <f>IF(OR(N741="",NOT(ISNUMBER(M741))),"",ROUND(N741*M741,2))</f>
        <v/>
      </c>
      <c r="P741" s="70" t="str">
        <f>IF(N741="","",N741+N(O741))</f>
        <v/>
      </c>
      <c r="Q741" s="64" t="n"/>
      <c r="R741" s="73" t="str">
        <f>IF(N(Q741)&gt;0,Q741,IF(OR(N(B741)=0,ISNA(MATCH($C741,sup_code,0))),"",IF(ISNUMBER(INDEX(sup_delay,MATCH($C741,sup_code,0))),B741+INDEX(sup_delay,MATCH($C741,sup_code,0)),"")))</f>
        <v/>
      </c>
      <c r="S741" s="64" t="n"/>
      <c r="T741" s="68" t="n"/>
      <c r="U741" s="64" t="n"/>
      <c r="V741" s="65" t="n"/>
      <c r="W741" s="74" t="str">
        <f>IF(AND(A741="",E741=""),"",IF(V741="Oui",0,MAX(0,ROUND(N(H741)-N(T741),6))))</f>
        <v/>
      </c>
      <c r="X741" s="67" t="str">
        <f>IF(AND(A741="",E741=""),"",IF(V741="Oui","Annulé",IF(AND(N(H741)&gt;0,N(T741)&gt;=N(H741)),"Reçu",IF(N(S741)=0,"Brouillon",IF(AND(ISNUMBER(R741),R741&lt;p_today),"En retard",IF(N(T741)&gt;0,"Partiel","Envoyé"))))))</f>
        <v/>
      </c>
      <c r="Y741" s="75" t="str">
        <f>IF(X741="En retard",p_today-R741,IF(AND(X741="Reçu",ISNUMBER(R741)),MAX(0,N(U741)-R741),""))</f>
        <v/>
      </c>
      <c r="Z741" s="67" t="str">
        <f>IF(AND(A741="",E741=""),"",IF(A741="","N° de bon manquant",IF(N(B741)=0,"Date de commande manquante",IF(C741="","Fournisseur manquant",IF(ISNA(MATCH($C741,sup_code,0)),"Fournisseur inconnu",IF(E741="","Article manquant",IF(ISNA(MATCH($E741,art_ref,0)),"Article inconnu",IF(N(H741)&lt;=0,"Quantité invalide",IF(J741="","Prix manquant",IF(OR(N(K741)&lt;0,N(K741)&gt;=1),"Remise invalide",IF(M741="","TVA manquante",IF(ISNA(MATCH(M741,p_tva,0)),"Taux de TVA inconnu",IF(COUNTIFS(po_num,A741,po_sup,"&lt;&gt;"&amp;C741)&gt;0,"Fournisseur différent sur ce bon",IF(COUNTIFS(po_num,A741,po_date,"&lt;&gt;"&amp;B741)&gt;0,"Date différente sur ce bon",IF(COUNTIF(po_num,A741)&gt;25,"Plus de 25 lignes sur ce bon",IF(R741="","Date de livraison manquante",IF(R741&lt;B741,"Livraison avant la commande",IF(AND(N(T741)&gt;0,N(S741)=0),"Date d'envoi manquante",IF(N(T741)&gt;N(H741),"Reçu plus que commandé",IF(AND(N(T741)&gt;0,N(U741)=0),"Date de réception manquante",IF(AND(N(U741)&gt;0,U741&lt;B741),"Réception avant la commande","OK")))))))))))))))))))))</f>
        <v/>
      </c>
      <c r="AA741" s="66" t="str">
        <f>IF(AND(X741="Reçu",ISNUMBER(R741)),IF(N(U741)&lt;=R741,1,0),"")</f>
        <v/>
      </c>
      <c r="AB741" s="76" t="str">
        <f>IF(OR(X741="Envoyé",X741="Partiel",X741="En retard"),IF(ISNUMBER(R741),R741,100000)+ROW()/100000,"")</f>
        <v/>
      </c>
      <c r="AC741" s="66" t="str">
        <f>IF(A741="","",IF(COUNTIF($A$6:A741,A741)=1,1,""))</f>
        <v/>
      </c>
      <c r="AD741" s="66" t="str">
        <f>IF(AC741=1,COUNT($AC$6:AC741),"")</f>
        <v/>
      </c>
      <c r="AE741" s="66" t="str">
        <f>IFERROR(INDEX(po_num,MATCH(736,po_seq,0))&amp;"","")</f>
        <v/>
      </c>
      <c r="AF741" s="66" t="str">
        <f>IF(OR(A741="",p_po=""),"",IF(A741&amp;""=p_po,COUNTIF($A$6:A741,A741),""))</f>
        <v/>
      </c>
      <c r="AG741" s="66" t="str">
        <f>IF(OR(AB741="",A741=""),"",IF(COUNTIFS($A$6:A741,A741,$AB$6:AB741,"&gt;0")=1,1,""))</f>
        <v/>
      </c>
      <c r="AH741" s="70" t="str">
        <f>IF(AB741="","",ROUND(N(W741)*N(J741)*(1-N(K741)),2))</f>
        <v/>
      </c>
      <c r="AI741" s="70" t="str">
        <f>IF(OR(J741="",N(T741)&lt;=0,V741="Oui"),"",ROUND(N(T741)*J741*(1-N(K741)),2))</f>
        <v/>
      </c>
    </row>
    <row r="742">
      <c r="A742" s="63" t="n"/>
      <c r="B742" s="64" t="n"/>
      <c r="C742" s="65" t="n"/>
      <c r="D742" s="66" t="str">
        <f>IF(C742="","",IFERROR(INDEX(sup_name,MATCH($C742,sup_code,0))&amp;"","Fournisseur inconnu"))</f>
        <v/>
      </c>
      <c r="E742" s="63" t="n"/>
      <c r="F742" s="66" t="str">
        <f>IF(E742="","",IFERROR(INDEX(art_des,MATCH($E742,art_ref,0))&amp;"","Article inconnu"))</f>
        <v/>
      </c>
      <c r="G742" s="67" t="str">
        <f>IF(E742="","",IFERROR(INDEX(art_unit,MATCH($E742,art_ref,0))&amp;"",""))</f>
        <v/>
      </c>
      <c r="H742" s="68" t="n"/>
      <c r="I742" s="69" t="n"/>
      <c r="J742" s="70" t="str">
        <f>IF(E742="","",IF(ISNUMBER(I742),I742,IFERROR(IF(ISNUMBER(INDEX(art_price,MATCH($E742,art_ref,0))),INDEX(art_price,MATCH($E742,art_ref,0)),""),"")))</f>
        <v/>
      </c>
      <c r="K742" s="71" t="n"/>
      <c r="L742" s="72" t="n"/>
      <c r="M742" s="72" t="str">
        <f>IF(E742="","",IF(L742&lt;&gt;"",L742,IFERROR(IF(ISNUMBER(INDEX(art_tva,MATCH($E742,art_ref,0))),INDEX(art_tva,MATCH($E742,art_ref,0)),""),"")))</f>
        <v/>
      </c>
      <c r="N742" s="70" t="str">
        <f>IF(OR(E742="",J742=""),"",ROUND(N(H742)*J742*(1-N(K742)),2))</f>
        <v/>
      </c>
      <c r="O742" s="70" t="str">
        <f>IF(OR(N742="",NOT(ISNUMBER(M742))),"",ROUND(N742*M742,2))</f>
        <v/>
      </c>
      <c r="P742" s="70" t="str">
        <f>IF(N742="","",N742+N(O742))</f>
        <v/>
      </c>
      <c r="Q742" s="64" t="n"/>
      <c r="R742" s="73" t="str">
        <f>IF(N(Q742)&gt;0,Q742,IF(OR(N(B742)=0,ISNA(MATCH($C742,sup_code,0))),"",IF(ISNUMBER(INDEX(sup_delay,MATCH($C742,sup_code,0))),B742+INDEX(sup_delay,MATCH($C742,sup_code,0)),"")))</f>
        <v/>
      </c>
      <c r="S742" s="64" t="n"/>
      <c r="T742" s="68" t="n"/>
      <c r="U742" s="64" t="n"/>
      <c r="V742" s="65" t="n"/>
      <c r="W742" s="74" t="str">
        <f>IF(AND(A742="",E742=""),"",IF(V742="Oui",0,MAX(0,ROUND(N(H742)-N(T742),6))))</f>
        <v/>
      </c>
      <c r="X742" s="67" t="str">
        <f>IF(AND(A742="",E742=""),"",IF(V742="Oui","Annulé",IF(AND(N(H742)&gt;0,N(T742)&gt;=N(H742)),"Reçu",IF(N(S742)=0,"Brouillon",IF(AND(ISNUMBER(R742),R742&lt;p_today),"En retard",IF(N(T742)&gt;0,"Partiel","Envoyé"))))))</f>
        <v/>
      </c>
      <c r="Y742" s="75" t="str">
        <f>IF(X742="En retard",p_today-R742,IF(AND(X742="Reçu",ISNUMBER(R742)),MAX(0,N(U742)-R742),""))</f>
        <v/>
      </c>
      <c r="Z742" s="67" t="str">
        <f>IF(AND(A742="",E742=""),"",IF(A742="","N° de bon manquant",IF(N(B742)=0,"Date de commande manquante",IF(C742="","Fournisseur manquant",IF(ISNA(MATCH($C742,sup_code,0)),"Fournisseur inconnu",IF(E742="","Article manquant",IF(ISNA(MATCH($E742,art_ref,0)),"Article inconnu",IF(N(H742)&lt;=0,"Quantité invalide",IF(J742="","Prix manquant",IF(OR(N(K742)&lt;0,N(K742)&gt;=1),"Remise invalide",IF(M742="","TVA manquante",IF(ISNA(MATCH(M742,p_tva,0)),"Taux de TVA inconnu",IF(COUNTIFS(po_num,A742,po_sup,"&lt;&gt;"&amp;C742)&gt;0,"Fournisseur différent sur ce bon",IF(COUNTIFS(po_num,A742,po_date,"&lt;&gt;"&amp;B742)&gt;0,"Date différente sur ce bon",IF(COUNTIF(po_num,A742)&gt;25,"Plus de 25 lignes sur ce bon",IF(R742="","Date de livraison manquante",IF(R742&lt;B742,"Livraison avant la commande",IF(AND(N(T742)&gt;0,N(S742)=0),"Date d'envoi manquante",IF(N(T742)&gt;N(H742),"Reçu plus que commandé",IF(AND(N(T742)&gt;0,N(U742)=0),"Date de réception manquante",IF(AND(N(U742)&gt;0,U742&lt;B742),"Réception avant la commande","OK")))))))))))))))))))))</f>
        <v/>
      </c>
      <c r="AA742" s="66" t="str">
        <f>IF(AND(X742="Reçu",ISNUMBER(R742)),IF(N(U742)&lt;=R742,1,0),"")</f>
        <v/>
      </c>
      <c r="AB742" s="76" t="str">
        <f>IF(OR(X742="Envoyé",X742="Partiel",X742="En retard"),IF(ISNUMBER(R742),R742,100000)+ROW()/100000,"")</f>
        <v/>
      </c>
      <c r="AC742" s="66" t="str">
        <f>IF(A742="","",IF(COUNTIF($A$6:A742,A742)=1,1,""))</f>
        <v/>
      </c>
      <c r="AD742" s="66" t="str">
        <f>IF(AC742=1,COUNT($AC$6:AC742),"")</f>
        <v/>
      </c>
      <c r="AE742" s="66" t="str">
        <f>IFERROR(INDEX(po_num,MATCH(737,po_seq,0))&amp;"","")</f>
        <v/>
      </c>
      <c r="AF742" s="66" t="str">
        <f>IF(OR(A742="",p_po=""),"",IF(A742&amp;""=p_po,COUNTIF($A$6:A742,A742),""))</f>
        <v/>
      </c>
      <c r="AG742" s="66" t="str">
        <f>IF(OR(AB742="",A742=""),"",IF(COUNTIFS($A$6:A742,A742,$AB$6:AB742,"&gt;0")=1,1,""))</f>
        <v/>
      </c>
      <c r="AH742" s="70" t="str">
        <f>IF(AB742="","",ROUND(N(W742)*N(J742)*(1-N(K742)),2))</f>
        <v/>
      </c>
      <c r="AI742" s="70" t="str">
        <f>IF(OR(J742="",N(T742)&lt;=0,V742="Oui"),"",ROUND(N(T742)*J742*(1-N(K742)),2))</f>
        <v/>
      </c>
    </row>
    <row r="743">
      <c r="A743" s="63" t="n"/>
      <c r="B743" s="64" t="n"/>
      <c r="C743" s="65" t="n"/>
      <c r="D743" s="66" t="str">
        <f>IF(C743="","",IFERROR(INDEX(sup_name,MATCH($C743,sup_code,0))&amp;"","Fournisseur inconnu"))</f>
        <v/>
      </c>
      <c r="E743" s="63" t="n"/>
      <c r="F743" s="66" t="str">
        <f>IF(E743="","",IFERROR(INDEX(art_des,MATCH($E743,art_ref,0))&amp;"","Article inconnu"))</f>
        <v/>
      </c>
      <c r="G743" s="67" t="str">
        <f>IF(E743="","",IFERROR(INDEX(art_unit,MATCH($E743,art_ref,0))&amp;"",""))</f>
        <v/>
      </c>
      <c r="H743" s="68" t="n"/>
      <c r="I743" s="69" t="n"/>
      <c r="J743" s="70" t="str">
        <f>IF(E743="","",IF(ISNUMBER(I743),I743,IFERROR(IF(ISNUMBER(INDEX(art_price,MATCH($E743,art_ref,0))),INDEX(art_price,MATCH($E743,art_ref,0)),""),"")))</f>
        <v/>
      </c>
      <c r="K743" s="71" t="n"/>
      <c r="L743" s="72" t="n"/>
      <c r="M743" s="72" t="str">
        <f>IF(E743="","",IF(L743&lt;&gt;"",L743,IFERROR(IF(ISNUMBER(INDEX(art_tva,MATCH($E743,art_ref,0))),INDEX(art_tva,MATCH($E743,art_ref,0)),""),"")))</f>
        <v/>
      </c>
      <c r="N743" s="70" t="str">
        <f>IF(OR(E743="",J743=""),"",ROUND(N(H743)*J743*(1-N(K743)),2))</f>
        <v/>
      </c>
      <c r="O743" s="70" t="str">
        <f>IF(OR(N743="",NOT(ISNUMBER(M743))),"",ROUND(N743*M743,2))</f>
        <v/>
      </c>
      <c r="P743" s="70" t="str">
        <f>IF(N743="","",N743+N(O743))</f>
        <v/>
      </c>
      <c r="Q743" s="64" t="n"/>
      <c r="R743" s="73" t="str">
        <f>IF(N(Q743)&gt;0,Q743,IF(OR(N(B743)=0,ISNA(MATCH($C743,sup_code,0))),"",IF(ISNUMBER(INDEX(sup_delay,MATCH($C743,sup_code,0))),B743+INDEX(sup_delay,MATCH($C743,sup_code,0)),"")))</f>
        <v/>
      </c>
      <c r="S743" s="64" t="n"/>
      <c r="T743" s="68" t="n"/>
      <c r="U743" s="64" t="n"/>
      <c r="V743" s="65" t="n"/>
      <c r="W743" s="74" t="str">
        <f>IF(AND(A743="",E743=""),"",IF(V743="Oui",0,MAX(0,ROUND(N(H743)-N(T743),6))))</f>
        <v/>
      </c>
      <c r="X743" s="67" t="str">
        <f>IF(AND(A743="",E743=""),"",IF(V743="Oui","Annulé",IF(AND(N(H743)&gt;0,N(T743)&gt;=N(H743)),"Reçu",IF(N(S743)=0,"Brouillon",IF(AND(ISNUMBER(R743),R743&lt;p_today),"En retard",IF(N(T743)&gt;0,"Partiel","Envoyé"))))))</f>
        <v/>
      </c>
      <c r="Y743" s="75" t="str">
        <f>IF(X743="En retard",p_today-R743,IF(AND(X743="Reçu",ISNUMBER(R743)),MAX(0,N(U743)-R743),""))</f>
        <v/>
      </c>
      <c r="Z743" s="67" t="str">
        <f>IF(AND(A743="",E743=""),"",IF(A743="","N° de bon manquant",IF(N(B743)=0,"Date de commande manquante",IF(C743="","Fournisseur manquant",IF(ISNA(MATCH($C743,sup_code,0)),"Fournisseur inconnu",IF(E743="","Article manquant",IF(ISNA(MATCH($E743,art_ref,0)),"Article inconnu",IF(N(H743)&lt;=0,"Quantité invalide",IF(J743="","Prix manquant",IF(OR(N(K743)&lt;0,N(K743)&gt;=1),"Remise invalide",IF(M743="","TVA manquante",IF(ISNA(MATCH(M743,p_tva,0)),"Taux de TVA inconnu",IF(COUNTIFS(po_num,A743,po_sup,"&lt;&gt;"&amp;C743)&gt;0,"Fournisseur différent sur ce bon",IF(COUNTIFS(po_num,A743,po_date,"&lt;&gt;"&amp;B743)&gt;0,"Date différente sur ce bon",IF(COUNTIF(po_num,A743)&gt;25,"Plus de 25 lignes sur ce bon",IF(R743="","Date de livraison manquante",IF(R743&lt;B743,"Livraison avant la commande",IF(AND(N(T743)&gt;0,N(S743)=0),"Date d'envoi manquante",IF(N(T743)&gt;N(H743),"Reçu plus que commandé",IF(AND(N(T743)&gt;0,N(U743)=0),"Date de réception manquante",IF(AND(N(U743)&gt;0,U743&lt;B743),"Réception avant la commande","OK")))))))))))))))))))))</f>
        <v/>
      </c>
      <c r="AA743" s="66" t="str">
        <f>IF(AND(X743="Reçu",ISNUMBER(R743)),IF(N(U743)&lt;=R743,1,0),"")</f>
        <v/>
      </c>
      <c r="AB743" s="76" t="str">
        <f>IF(OR(X743="Envoyé",X743="Partiel",X743="En retard"),IF(ISNUMBER(R743),R743,100000)+ROW()/100000,"")</f>
        <v/>
      </c>
      <c r="AC743" s="66" t="str">
        <f>IF(A743="","",IF(COUNTIF($A$6:A743,A743)=1,1,""))</f>
        <v/>
      </c>
      <c r="AD743" s="66" t="str">
        <f>IF(AC743=1,COUNT($AC$6:AC743),"")</f>
        <v/>
      </c>
      <c r="AE743" s="66" t="str">
        <f>IFERROR(INDEX(po_num,MATCH(738,po_seq,0))&amp;"","")</f>
        <v/>
      </c>
      <c r="AF743" s="66" t="str">
        <f>IF(OR(A743="",p_po=""),"",IF(A743&amp;""=p_po,COUNTIF($A$6:A743,A743),""))</f>
        <v/>
      </c>
      <c r="AG743" s="66" t="str">
        <f>IF(OR(AB743="",A743=""),"",IF(COUNTIFS($A$6:A743,A743,$AB$6:AB743,"&gt;0")=1,1,""))</f>
        <v/>
      </c>
      <c r="AH743" s="70" t="str">
        <f>IF(AB743="","",ROUND(N(W743)*N(J743)*(1-N(K743)),2))</f>
        <v/>
      </c>
      <c r="AI743" s="70" t="str">
        <f>IF(OR(J743="",N(T743)&lt;=0,V743="Oui"),"",ROUND(N(T743)*J743*(1-N(K743)),2))</f>
        <v/>
      </c>
    </row>
    <row r="744">
      <c r="A744" s="63" t="n"/>
      <c r="B744" s="64" t="n"/>
      <c r="C744" s="65" t="n"/>
      <c r="D744" s="66" t="str">
        <f>IF(C744="","",IFERROR(INDEX(sup_name,MATCH($C744,sup_code,0))&amp;"","Fournisseur inconnu"))</f>
        <v/>
      </c>
      <c r="E744" s="63" t="n"/>
      <c r="F744" s="66" t="str">
        <f>IF(E744="","",IFERROR(INDEX(art_des,MATCH($E744,art_ref,0))&amp;"","Article inconnu"))</f>
        <v/>
      </c>
      <c r="G744" s="67" t="str">
        <f>IF(E744="","",IFERROR(INDEX(art_unit,MATCH($E744,art_ref,0))&amp;"",""))</f>
        <v/>
      </c>
      <c r="H744" s="68" t="n"/>
      <c r="I744" s="69" t="n"/>
      <c r="J744" s="70" t="str">
        <f>IF(E744="","",IF(ISNUMBER(I744),I744,IFERROR(IF(ISNUMBER(INDEX(art_price,MATCH($E744,art_ref,0))),INDEX(art_price,MATCH($E744,art_ref,0)),""),"")))</f>
        <v/>
      </c>
      <c r="K744" s="71" t="n"/>
      <c r="L744" s="72" t="n"/>
      <c r="M744" s="72" t="str">
        <f>IF(E744="","",IF(L744&lt;&gt;"",L744,IFERROR(IF(ISNUMBER(INDEX(art_tva,MATCH($E744,art_ref,0))),INDEX(art_tva,MATCH($E744,art_ref,0)),""),"")))</f>
        <v/>
      </c>
      <c r="N744" s="70" t="str">
        <f>IF(OR(E744="",J744=""),"",ROUND(N(H744)*J744*(1-N(K744)),2))</f>
        <v/>
      </c>
      <c r="O744" s="70" t="str">
        <f>IF(OR(N744="",NOT(ISNUMBER(M744))),"",ROUND(N744*M744,2))</f>
        <v/>
      </c>
      <c r="P744" s="70" t="str">
        <f>IF(N744="","",N744+N(O744))</f>
        <v/>
      </c>
      <c r="Q744" s="64" t="n"/>
      <c r="R744" s="73" t="str">
        <f>IF(N(Q744)&gt;0,Q744,IF(OR(N(B744)=0,ISNA(MATCH($C744,sup_code,0))),"",IF(ISNUMBER(INDEX(sup_delay,MATCH($C744,sup_code,0))),B744+INDEX(sup_delay,MATCH($C744,sup_code,0)),"")))</f>
        <v/>
      </c>
      <c r="S744" s="64" t="n"/>
      <c r="T744" s="68" t="n"/>
      <c r="U744" s="64" t="n"/>
      <c r="V744" s="65" t="n"/>
      <c r="W744" s="74" t="str">
        <f>IF(AND(A744="",E744=""),"",IF(V744="Oui",0,MAX(0,ROUND(N(H744)-N(T744),6))))</f>
        <v/>
      </c>
      <c r="X744" s="67" t="str">
        <f>IF(AND(A744="",E744=""),"",IF(V744="Oui","Annulé",IF(AND(N(H744)&gt;0,N(T744)&gt;=N(H744)),"Reçu",IF(N(S744)=0,"Brouillon",IF(AND(ISNUMBER(R744),R744&lt;p_today),"En retard",IF(N(T744)&gt;0,"Partiel","Envoyé"))))))</f>
        <v/>
      </c>
      <c r="Y744" s="75" t="str">
        <f>IF(X744="En retard",p_today-R744,IF(AND(X744="Reçu",ISNUMBER(R744)),MAX(0,N(U744)-R744),""))</f>
        <v/>
      </c>
      <c r="Z744" s="67" t="str">
        <f>IF(AND(A744="",E744=""),"",IF(A744="","N° de bon manquant",IF(N(B744)=0,"Date de commande manquante",IF(C744="","Fournisseur manquant",IF(ISNA(MATCH($C744,sup_code,0)),"Fournisseur inconnu",IF(E744="","Article manquant",IF(ISNA(MATCH($E744,art_ref,0)),"Article inconnu",IF(N(H744)&lt;=0,"Quantité invalide",IF(J744="","Prix manquant",IF(OR(N(K744)&lt;0,N(K744)&gt;=1),"Remise invalide",IF(M744="","TVA manquante",IF(ISNA(MATCH(M744,p_tva,0)),"Taux de TVA inconnu",IF(COUNTIFS(po_num,A744,po_sup,"&lt;&gt;"&amp;C744)&gt;0,"Fournisseur différent sur ce bon",IF(COUNTIFS(po_num,A744,po_date,"&lt;&gt;"&amp;B744)&gt;0,"Date différente sur ce bon",IF(COUNTIF(po_num,A744)&gt;25,"Plus de 25 lignes sur ce bon",IF(R744="","Date de livraison manquante",IF(R744&lt;B744,"Livraison avant la commande",IF(AND(N(T744)&gt;0,N(S744)=0),"Date d'envoi manquante",IF(N(T744)&gt;N(H744),"Reçu plus que commandé",IF(AND(N(T744)&gt;0,N(U744)=0),"Date de réception manquante",IF(AND(N(U744)&gt;0,U744&lt;B744),"Réception avant la commande","OK")))))))))))))))))))))</f>
        <v/>
      </c>
      <c r="AA744" s="66" t="str">
        <f>IF(AND(X744="Reçu",ISNUMBER(R744)),IF(N(U744)&lt;=R744,1,0),"")</f>
        <v/>
      </c>
      <c r="AB744" s="76" t="str">
        <f>IF(OR(X744="Envoyé",X744="Partiel",X744="En retard"),IF(ISNUMBER(R744),R744,100000)+ROW()/100000,"")</f>
        <v/>
      </c>
      <c r="AC744" s="66" t="str">
        <f>IF(A744="","",IF(COUNTIF($A$6:A744,A744)=1,1,""))</f>
        <v/>
      </c>
      <c r="AD744" s="66" t="str">
        <f>IF(AC744=1,COUNT($AC$6:AC744),"")</f>
        <v/>
      </c>
      <c r="AE744" s="66" t="str">
        <f>IFERROR(INDEX(po_num,MATCH(739,po_seq,0))&amp;"","")</f>
        <v/>
      </c>
      <c r="AF744" s="66" t="str">
        <f>IF(OR(A744="",p_po=""),"",IF(A744&amp;""=p_po,COUNTIF($A$6:A744,A744),""))</f>
        <v/>
      </c>
      <c r="AG744" s="66" t="str">
        <f>IF(OR(AB744="",A744=""),"",IF(COUNTIFS($A$6:A744,A744,$AB$6:AB744,"&gt;0")=1,1,""))</f>
        <v/>
      </c>
      <c r="AH744" s="70" t="str">
        <f>IF(AB744="","",ROUND(N(W744)*N(J744)*(1-N(K744)),2))</f>
        <v/>
      </c>
      <c r="AI744" s="70" t="str">
        <f>IF(OR(J744="",N(T744)&lt;=0,V744="Oui"),"",ROUND(N(T744)*J744*(1-N(K744)),2))</f>
        <v/>
      </c>
    </row>
    <row r="745">
      <c r="A745" s="63" t="n"/>
      <c r="B745" s="64" t="n"/>
      <c r="C745" s="65" t="n"/>
      <c r="D745" s="66" t="str">
        <f>IF(C745="","",IFERROR(INDEX(sup_name,MATCH($C745,sup_code,0))&amp;"","Fournisseur inconnu"))</f>
        <v/>
      </c>
      <c r="E745" s="63" t="n"/>
      <c r="F745" s="66" t="str">
        <f>IF(E745="","",IFERROR(INDEX(art_des,MATCH($E745,art_ref,0))&amp;"","Article inconnu"))</f>
        <v/>
      </c>
      <c r="G745" s="67" t="str">
        <f>IF(E745="","",IFERROR(INDEX(art_unit,MATCH($E745,art_ref,0))&amp;"",""))</f>
        <v/>
      </c>
      <c r="H745" s="68" t="n"/>
      <c r="I745" s="69" t="n"/>
      <c r="J745" s="70" t="str">
        <f>IF(E745="","",IF(ISNUMBER(I745),I745,IFERROR(IF(ISNUMBER(INDEX(art_price,MATCH($E745,art_ref,0))),INDEX(art_price,MATCH($E745,art_ref,0)),""),"")))</f>
        <v/>
      </c>
      <c r="K745" s="71" t="n"/>
      <c r="L745" s="72" t="n"/>
      <c r="M745" s="72" t="str">
        <f>IF(E745="","",IF(L745&lt;&gt;"",L745,IFERROR(IF(ISNUMBER(INDEX(art_tva,MATCH($E745,art_ref,0))),INDEX(art_tva,MATCH($E745,art_ref,0)),""),"")))</f>
        <v/>
      </c>
      <c r="N745" s="70" t="str">
        <f>IF(OR(E745="",J745=""),"",ROUND(N(H745)*J745*(1-N(K745)),2))</f>
        <v/>
      </c>
      <c r="O745" s="70" t="str">
        <f>IF(OR(N745="",NOT(ISNUMBER(M745))),"",ROUND(N745*M745,2))</f>
        <v/>
      </c>
      <c r="P745" s="70" t="str">
        <f>IF(N745="","",N745+N(O745))</f>
        <v/>
      </c>
      <c r="Q745" s="64" t="n"/>
      <c r="R745" s="73" t="str">
        <f>IF(N(Q745)&gt;0,Q745,IF(OR(N(B745)=0,ISNA(MATCH($C745,sup_code,0))),"",IF(ISNUMBER(INDEX(sup_delay,MATCH($C745,sup_code,0))),B745+INDEX(sup_delay,MATCH($C745,sup_code,0)),"")))</f>
        <v/>
      </c>
      <c r="S745" s="64" t="n"/>
      <c r="T745" s="68" t="n"/>
      <c r="U745" s="64" t="n"/>
      <c r="V745" s="65" t="n"/>
      <c r="W745" s="74" t="str">
        <f>IF(AND(A745="",E745=""),"",IF(V745="Oui",0,MAX(0,ROUND(N(H745)-N(T745),6))))</f>
        <v/>
      </c>
      <c r="X745" s="67" t="str">
        <f>IF(AND(A745="",E745=""),"",IF(V745="Oui","Annulé",IF(AND(N(H745)&gt;0,N(T745)&gt;=N(H745)),"Reçu",IF(N(S745)=0,"Brouillon",IF(AND(ISNUMBER(R745),R745&lt;p_today),"En retard",IF(N(T745)&gt;0,"Partiel","Envoyé"))))))</f>
        <v/>
      </c>
      <c r="Y745" s="75" t="str">
        <f>IF(X745="En retard",p_today-R745,IF(AND(X745="Reçu",ISNUMBER(R745)),MAX(0,N(U745)-R745),""))</f>
        <v/>
      </c>
      <c r="Z745" s="67" t="str">
        <f>IF(AND(A745="",E745=""),"",IF(A745="","N° de bon manquant",IF(N(B745)=0,"Date de commande manquante",IF(C745="","Fournisseur manquant",IF(ISNA(MATCH($C745,sup_code,0)),"Fournisseur inconnu",IF(E745="","Article manquant",IF(ISNA(MATCH($E745,art_ref,0)),"Article inconnu",IF(N(H745)&lt;=0,"Quantité invalide",IF(J745="","Prix manquant",IF(OR(N(K745)&lt;0,N(K745)&gt;=1),"Remise invalide",IF(M745="","TVA manquante",IF(ISNA(MATCH(M745,p_tva,0)),"Taux de TVA inconnu",IF(COUNTIFS(po_num,A745,po_sup,"&lt;&gt;"&amp;C745)&gt;0,"Fournisseur différent sur ce bon",IF(COUNTIFS(po_num,A745,po_date,"&lt;&gt;"&amp;B745)&gt;0,"Date différente sur ce bon",IF(COUNTIF(po_num,A745)&gt;25,"Plus de 25 lignes sur ce bon",IF(R745="","Date de livraison manquante",IF(R745&lt;B745,"Livraison avant la commande",IF(AND(N(T745)&gt;0,N(S745)=0),"Date d'envoi manquante",IF(N(T745)&gt;N(H745),"Reçu plus que commandé",IF(AND(N(T745)&gt;0,N(U745)=0),"Date de réception manquante",IF(AND(N(U745)&gt;0,U745&lt;B745),"Réception avant la commande","OK")))))))))))))))))))))</f>
        <v/>
      </c>
      <c r="AA745" s="66" t="str">
        <f>IF(AND(X745="Reçu",ISNUMBER(R745)),IF(N(U745)&lt;=R745,1,0),"")</f>
        <v/>
      </c>
      <c r="AB745" s="76" t="str">
        <f>IF(OR(X745="Envoyé",X745="Partiel",X745="En retard"),IF(ISNUMBER(R745),R745,100000)+ROW()/100000,"")</f>
        <v/>
      </c>
      <c r="AC745" s="66" t="str">
        <f>IF(A745="","",IF(COUNTIF($A$6:A745,A745)=1,1,""))</f>
        <v/>
      </c>
      <c r="AD745" s="66" t="str">
        <f>IF(AC745=1,COUNT($AC$6:AC745),"")</f>
        <v/>
      </c>
      <c r="AE745" s="66" t="str">
        <f>IFERROR(INDEX(po_num,MATCH(740,po_seq,0))&amp;"","")</f>
        <v/>
      </c>
      <c r="AF745" s="66" t="str">
        <f>IF(OR(A745="",p_po=""),"",IF(A745&amp;""=p_po,COUNTIF($A$6:A745,A745),""))</f>
        <v/>
      </c>
      <c r="AG745" s="66" t="str">
        <f>IF(OR(AB745="",A745=""),"",IF(COUNTIFS($A$6:A745,A745,$AB$6:AB745,"&gt;0")=1,1,""))</f>
        <v/>
      </c>
      <c r="AH745" s="70" t="str">
        <f>IF(AB745="","",ROUND(N(W745)*N(J745)*(1-N(K745)),2))</f>
        <v/>
      </c>
      <c r="AI745" s="70" t="str">
        <f>IF(OR(J745="",N(T745)&lt;=0,V745="Oui"),"",ROUND(N(T745)*J745*(1-N(K745)),2))</f>
        <v/>
      </c>
    </row>
    <row r="746">
      <c r="A746" s="63" t="n"/>
      <c r="B746" s="64" t="n"/>
      <c r="C746" s="65" t="n"/>
      <c r="D746" s="66" t="str">
        <f>IF(C746="","",IFERROR(INDEX(sup_name,MATCH($C746,sup_code,0))&amp;"","Fournisseur inconnu"))</f>
        <v/>
      </c>
      <c r="E746" s="63" t="n"/>
      <c r="F746" s="66" t="str">
        <f>IF(E746="","",IFERROR(INDEX(art_des,MATCH($E746,art_ref,0))&amp;"","Article inconnu"))</f>
        <v/>
      </c>
      <c r="G746" s="67" t="str">
        <f>IF(E746="","",IFERROR(INDEX(art_unit,MATCH($E746,art_ref,0))&amp;"",""))</f>
        <v/>
      </c>
      <c r="H746" s="68" t="n"/>
      <c r="I746" s="69" t="n"/>
      <c r="J746" s="70" t="str">
        <f>IF(E746="","",IF(ISNUMBER(I746),I746,IFERROR(IF(ISNUMBER(INDEX(art_price,MATCH($E746,art_ref,0))),INDEX(art_price,MATCH($E746,art_ref,0)),""),"")))</f>
        <v/>
      </c>
      <c r="K746" s="71" t="n"/>
      <c r="L746" s="72" t="n"/>
      <c r="M746" s="72" t="str">
        <f>IF(E746="","",IF(L746&lt;&gt;"",L746,IFERROR(IF(ISNUMBER(INDEX(art_tva,MATCH($E746,art_ref,0))),INDEX(art_tva,MATCH($E746,art_ref,0)),""),"")))</f>
        <v/>
      </c>
      <c r="N746" s="70" t="str">
        <f>IF(OR(E746="",J746=""),"",ROUND(N(H746)*J746*(1-N(K746)),2))</f>
        <v/>
      </c>
      <c r="O746" s="70" t="str">
        <f>IF(OR(N746="",NOT(ISNUMBER(M746))),"",ROUND(N746*M746,2))</f>
        <v/>
      </c>
      <c r="P746" s="70" t="str">
        <f>IF(N746="","",N746+N(O746))</f>
        <v/>
      </c>
      <c r="Q746" s="64" t="n"/>
      <c r="R746" s="73" t="str">
        <f>IF(N(Q746)&gt;0,Q746,IF(OR(N(B746)=0,ISNA(MATCH($C746,sup_code,0))),"",IF(ISNUMBER(INDEX(sup_delay,MATCH($C746,sup_code,0))),B746+INDEX(sup_delay,MATCH($C746,sup_code,0)),"")))</f>
        <v/>
      </c>
      <c r="S746" s="64" t="n"/>
      <c r="T746" s="68" t="n"/>
      <c r="U746" s="64" t="n"/>
      <c r="V746" s="65" t="n"/>
      <c r="W746" s="74" t="str">
        <f>IF(AND(A746="",E746=""),"",IF(V746="Oui",0,MAX(0,ROUND(N(H746)-N(T746),6))))</f>
        <v/>
      </c>
      <c r="X746" s="67" t="str">
        <f>IF(AND(A746="",E746=""),"",IF(V746="Oui","Annulé",IF(AND(N(H746)&gt;0,N(T746)&gt;=N(H746)),"Reçu",IF(N(S746)=0,"Brouillon",IF(AND(ISNUMBER(R746),R746&lt;p_today),"En retard",IF(N(T746)&gt;0,"Partiel","Envoyé"))))))</f>
        <v/>
      </c>
      <c r="Y746" s="75" t="str">
        <f>IF(X746="En retard",p_today-R746,IF(AND(X746="Reçu",ISNUMBER(R746)),MAX(0,N(U746)-R746),""))</f>
        <v/>
      </c>
      <c r="Z746" s="67" t="str">
        <f>IF(AND(A746="",E746=""),"",IF(A746="","N° de bon manquant",IF(N(B746)=0,"Date de commande manquante",IF(C746="","Fournisseur manquant",IF(ISNA(MATCH($C746,sup_code,0)),"Fournisseur inconnu",IF(E746="","Article manquant",IF(ISNA(MATCH($E746,art_ref,0)),"Article inconnu",IF(N(H746)&lt;=0,"Quantité invalide",IF(J746="","Prix manquant",IF(OR(N(K746)&lt;0,N(K746)&gt;=1),"Remise invalide",IF(M746="","TVA manquante",IF(ISNA(MATCH(M746,p_tva,0)),"Taux de TVA inconnu",IF(COUNTIFS(po_num,A746,po_sup,"&lt;&gt;"&amp;C746)&gt;0,"Fournisseur différent sur ce bon",IF(COUNTIFS(po_num,A746,po_date,"&lt;&gt;"&amp;B746)&gt;0,"Date différente sur ce bon",IF(COUNTIF(po_num,A746)&gt;25,"Plus de 25 lignes sur ce bon",IF(R746="","Date de livraison manquante",IF(R746&lt;B746,"Livraison avant la commande",IF(AND(N(T746)&gt;0,N(S746)=0),"Date d'envoi manquante",IF(N(T746)&gt;N(H746),"Reçu plus que commandé",IF(AND(N(T746)&gt;0,N(U746)=0),"Date de réception manquante",IF(AND(N(U746)&gt;0,U746&lt;B746),"Réception avant la commande","OK")))))))))))))))))))))</f>
        <v/>
      </c>
      <c r="AA746" s="66" t="str">
        <f>IF(AND(X746="Reçu",ISNUMBER(R746)),IF(N(U746)&lt;=R746,1,0),"")</f>
        <v/>
      </c>
      <c r="AB746" s="76" t="str">
        <f>IF(OR(X746="Envoyé",X746="Partiel",X746="En retard"),IF(ISNUMBER(R746),R746,100000)+ROW()/100000,"")</f>
        <v/>
      </c>
      <c r="AC746" s="66" t="str">
        <f>IF(A746="","",IF(COUNTIF($A$6:A746,A746)=1,1,""))</f>
        <v/>
      </c>
      <c r="AD746" s="66" t="str">
        <f>IF(AC746=1,COUNT($AC$6:AC746),"")</f>
        <v/>
      </c>
      <c r="AE746" s="66" t="str">
        <f>IFERROR(INDEX(po_num,MATCH(741,po_seq,0))&amp;"","")</f>
        <v/>
      </c>
      <c r="AF746" s="66" t="str">
        <f>IF(OR(A746="",p_po=""),"",IF(A746&amp;""=p_po,COUNTIF($A$6:A746,A746),""))</f>
        <v/>
      </c>
      <c r="AG746" s="66" t="str">
        <f>IF(OR(AB746="",A746=""),"",IF(COUNTIFS($A$6:A746,A746,$AB$6:AB746,"&gt;0")=1,1,""))</f>
        <v/>
      </c>
      <c r="AH746" s="70" t="str">
        <f>IF(AB746="","",ROUND(N(W746)*N(J746)*(1-N(K746)),2))</f>
        <v/>
      </c>
      <c r="AI746" s="70" t="str">
        <f>IF(OR(J746="",N(T746)&lt;=0,V746="Oui"),"",ROUND(N(T746)*J746*(1-N(K746)),2))</f>
        <v/>
      </c>
    </row>
    <row r="747">
      <c r="A747" s="63" t="n"/>
      <c r="B747" s="64" t="n"/>
      <c r="C747" s="65" t="n"/>
      <c r="D747" s="66" t="str">
        <f>IF(C747="","",IFERROR(INDEX(sup_name,MATCH($C747,sup_code,0))&amp;"","Fournisseur inconnu"))</f>
        <v/>
      </c>
      <c r="E747" s="63" t="n"/>
      <c r="F747" s="66" t="str">
        <f>IF(E747="","",IFERROR(INDEX(art_des,MATCH($E747,art_ref,0))&amp;"","Article inconnu"))</f>
        <v/>
      </c>
      <c r="G747" s="67" t="str">
        <f>IF(E747="","",IFERROR(INDEX(art_unit,MATCH($E747,art_ref,0))&amp;"",""))</f>
        <v/>
      </c>
      <c r="H747" s="68" t="n"/>
      <c r="I747" s="69" t="n"/>
      <c r="J747" s="70" t="str">
        <f>IF(E747="","",IF(ISNUMBER(I747),I747,IFERROR(IF(ISNUMBER(INDEX(art_price,MATCH($E747,art_ref,0))),INDEX(art_price,MATCH($E747,art_ref,0)),""),"")))</f>
        <v/>
      </c>
      <c r="K747" s="71" t="n"/>
      <c r="L747" s="72" t="n"/>
      <c r="M747" s="72" t="str">
        <f>IF(E747="","",IF(L747&lt;&gt;"",L747,IFERROR(IF(ISNUMBER(INDEX(art_tva,MATCH($E747,art_ref,0))),INDEX(art_tva,MATCH($E747,art_ref,0)),""),"")))</f>
        <v/>
      </c>
      <c r="N747" s="70" t="str">
        <f>IF(OR(E747="",J747=""),"",ROUND(N(H747)*J747*(1-N(K747)),2))</f>
        <v/>
      </c>
      <c r="O747" s="70" t="str">
        <f>IF(OR(N747="",NOT(ISNUMBER(M747))),"",ROUND(N747*M747,2))</f>
        <v/>
      </c>
      <c r="P747" s="70" t="str">
        <f>IF(N747="","",N747+N(O747))</f>
        <v/>
      </c>
      <c r="Q747" s="64" t="n"/>
      <c r="R747" s="73" t="str">
        <f>IF(N(Q747)&gt;0,Q747,IF(OR(N(B747)=0,ISNA(MATCH($C747,sup_code,0))),"",IF(ISNUMBER(INDEX(sup_delay,MATCH($C747,sup_code,0))),B747+INDEX(sup_delay,MATCH($C747,sup_code,0)),"")))</f>
        <v/>
      </c>
      <c r="S747" s="64" t="n"/>
      <c r="T747" s="68" t="n"/>
      <c r="U747" s="64" t="n"/>
      <c r="V747" s="65" t="n"/>
      <c r="W747" s="74" t="str">
        <f>IF(AND(A747="",E747=""),"",IF(V747="Oui",0,MAX(0,ROUND(N(H747)-N(T747),6))))</f>
        <v/>
      </c>
      <c r="X747" s="67" t="str">
        <f>IF(AND(A747="",E747=""),"",IF(V747="Oui","Annulé",IF(AND(N(H747)&gt;0,N(T747)&gt;=N(H747)),"Reçu",IF(N(S747)=0,"Brouillon",IF(AND(ISNUMBER(R747),R747&lt;p_today),"En retard",IF(N(T747)&gt;0,"Partiel","Envoyé"))))))</f>
        <v/>
      </c>
      <c r="Y747" s="75" t="str">
        <f>IF(X747="En retard",p_today-R747,IF(AND(X747="Reçu",ISNUMBER(R747)),MAX(0,N(U747)-R747),""))</f>
        <v/>
      </c>
      <c r="Z747" s="67" t="str">
        <f>IF(AND(A747="",E747=""),"",IF(A747="","N° de bon manquant",IF(N(B747)=0,"Date de commande manquante",IF(C747="","Fournisseur manquant",IF(ISNA(MATCH($C747,sup_code,0)),"Fournisseur inconnu",IF(E747="","Article manquant",IF(ISNA(MATCH($E747,art_ref,0)),"Article inconnu",IF(N(H747)&lt;=0,"Quantité invalide",IF(J747="","Prix manquant",IF(OR(N(K747)&lt;0,N(K747)&gt;=1),"Remise invalide",IF(M747="","TVA manquante",IF(ISNA(MATCH(M747,p_tva,0)),"Taux de TVA inconnu",IF(COUNTIFS(po_num,A747,po_sup,"&lt;&gt;"&amp;C747)&gt;0,"Fournisseur différent sur ce bon",IF(COUNTIFS(po_num,A747,po_date,"&lt;&gt;"&amp;B747)&gt;0,"Date différente sur ce bon",IF(COUNTIF(po_num,A747)&gt;25,"Plus de 25 lignes sur ce bon",IF(R747="","Date de livraison manquante",IF(R747&lt;B747,"Livraison avant la commande",IF(AND(N(T747)&gt;0,N(S747)=0),"Date d'envoi manquante",IF(N(T747)&gt;N(H747),"Reçu plus que commandé",IF(AND(N(T747)&gt;0,N(U747)=0),"Date de réception manquante",IF(AND(N(U747)&gt;0,U747&lt;B747),"Réception avant la commande","OK")))))))))))))))))))))</f>
        <v/>
      </c>
      <c r="AA747" s="66" t="str">
        <f>IF(AND(X747="Reçu",ISNUMBER(R747)),IF(N(U747)&lt;=R747,1,0),"")</f>
        <v/>
      </c>
      <c r="AB747" s="76" t="str">
        <f>IF(OR(X747="Envoyé",X747="Partiel",X747="En retard"),IF(ISNUMBER(R747),R747,100000)+ROW()/100000,"")</f>
        <v/>
      </c>
      <c r="AC747" s="66" t="str">
        <f>IF(A747="","",IF(COUNTIF($A$6:A747,A747)=1,1,""))</f>
        <v/>
      </c>
      <c r="AD747" s="66" t="str">
        <f>IF(AC747=1,COUNT($AC$6:AC747),"")</f>
        <v/>
      </c>
      <c r="AE747" s="66" t="str">
        <f>IFERROR(INDEX(po_num,MATCH(742,po_seq,0))&amp;"","")</f>
        <v/>
      </c>
      <c r="AF747" s="66" t="str">
        <f>IF(OR(A747="",p_po=""),"",IF(A747&amp;""=p_po,COUNTIF($A$6:A747,A747),""))</f>
        <v/>
      </c>
      <c r="AG747" s="66" t="str">
        <f>IF(OR(AB747="",A747=""),"",IF(COUNTIFS($A$6:A747,A747,$AB$6:AB747,"&gt;0")=1,1,""))</f>
        <v/>
      </c>
      <c r="AH747" s="70" t="str">
        <f>IF(AB747="","",ROUND(N(W747)*N(J747)*(1-N(K747)),2))</f>
        <v/>
      </c>
      <c r="AI747" s="70" t="str">
        <f>IF(OR(J747="",N(T747)&lt;=0,V747="Oui"),"",ROUND(N(T747)*J747*(1-N(K747)),2))</f>
        <v/>
      </c>
    </row>
    <row r="748">
      <c r="A748" s="63" t="n"/>
      <c r="B748" s="64" t="n"/>
      <c r="C748" s="65" t="n"/>
      <c r="D748" s="66" t="str">
        <f>IF(C748="","",IFERROR(INDEX(sup_name,MATCH($C748,sup_code,0))&amp;"","Fournisseur inconnu"))</f>
        <v/>
      </c>
      <c r="E748" s="63" t="n"/>
      <c r="F748" s="66" t="str">
        <f>IF(E748="","",IFERROR(INDEX(art_des,MATCH($E748,art_ref,0))&amp;"","Article inconnu"))</f>
        <v/>
      </c>
      <c r="G748" s="67" t="str">
        <f>IF(E748="","",IFERROR(INDEX(art_unit,MATCH($E748,art_ref,0))&amp;"",""))</f>
        <v/>
      </c>
      <c r="H748" s="68" t="n"/>
      <c r="I748" s="69" t="n"/>
      <c r="J748" s="70" t="str">
        <f>IF(E748="","",IF(ISNUMBER(I748),I748,IFERROR(IF(ISNUMBER(INDEX(art_price,MATCH($E748,art_ref,0))),INDEX(art_price,MATCH($E748,art_ref,0)),""),"")))</f>
        <v/>
      </c>
      <c r="K748" s="71" t="n"/>
      <c r="L748" s="72" t="n"/>
      <c r="M748" s="72" t="str">
        <f>IF(E748="","",IF(L748&lt;&gt;"",L748,IFERROR(IF(ISNUMBER(INDEX(art_tva,MATCH($E748,art_ref,0))),INDEX(art_tva,MATCH($E748,art_ref,0)),""),"")))</f>
        <v/>
      </c>
      <c r="N748" s="70" t="str">
        <f>IF(OR(E748="",J748=""),"",ROUND(N(H748)*J748*(1-N(K748)),2))</f>
        <v/>
      </c>
      <c r="O748" s="70" t="str">
        <f>IF(OR(N748="",NOT(ISNUMBER(M748))),"",ROUND(N748*M748,2))</f>
        <v/>
      </c>
      <c r="P748" s="70" t="str">
        <f>IF(N748="","",N748+N(O748))</f>
        <v/>
      </c>
      <c r="Q748" s="64" t="n"/>
      <c r="R748" s="73" t="str">
        <f>IF(N(Q748)&gt;0,Q748,IF(OR(N(B748)=0,ISNA(MATCH($C748,sup_code,0))),"",IF(ISNUMBER(INDEX(sup_delay,MATCH($C748,sup_code,0))),B748+INDEX(sup_delay,MATCH($C748,sup_code,0)),"")))</f>
        <v/>
      </c>
      <c r="S748" s="64" t="n"/>
      <c r="T748" s="68" t="n"/>
      <c r="U748" s="64" t="n"/>
      <c r="V748" s="65" t="n"/>
      <c r="W748" s="74" t="str">
        <f>IF(AND(A748="",E748=""),"",IF(V748="Oui",0,MAX(0,ROUND(N(H748)-N(T748),6))))</f>
        <v/>
      </c>
      <c r="X748" s="67" t="str">
        <f>IF(AND(A748="",E748=""),"",IF(V748="Oui","Annulé",IF(AND(N(H748)&gt;0,N(T748)&gt;=N(H748)),"Reçu",IF(N(S748)=0,"Brouillon",IF(AND(ISNUMBER(R748),R748&lt;p_today),"En retard",IF(N(T748)&gt;0,"Partiel","Envoyé"))))))</f>
        <v/>
      </c>
      <c r="Y748" s="75" t="str">
        <f>IF(X748="En retard",p_today-R748,IF(AND(X748="Reçu",ISNUMBER(R748)),MAX(0,N(U748)-R748),""))</f>
        <v/>
      </c>
      <c r="Z748" s="67" t="str">
        <f>IF(AND(A748="",E748=""),"",IF(A748="","N° de bon manquant",IF(N(B748)=0,"Date de commande manquante",IF(C748="","Fournisseur manquant",IF(ISNA(MATCH($C748,sup_code,0)),"Fournisseur inconnu",IF(E748="","Article manquant",IF(ISNA(MATCH($E748,art_ref,0)),"Article inconnu",IF(N(H748)&lt;=0,"Quantité invalide",IF(J748="","Prix manquant",IF(OR(N(K748)&lt;0,N(K748)&gt;=1),"Remise invalide",IF(M748="","TVA manquante",IF(ISNA(MATCH(M748,p_tva,0)),"Taux de TVA inconnu",IF(COUNTIFS(po_num,A748,po_sup,"&lt;&gt;"&amp;C748)&gt;0,"Fournisseur différent sur ce bon",IF(COUNTIFS(po_num,A748,po_date,"&lt;&gt;"&amp;B748)&gt;0,"Date différente sur ce bon",IF(COUNTIF(po_num,A748)&gt;25,"Plus de 25 lignes sur ce bon",IF(R748="","Date de livraison manquante",IF(R748&lt;B748,"Livraison avant la commande",IF(AND(N(T748)&gt;0,N(S748)=0),"Date d'envoi manquante",IF(N(T748)&gt;N(H748),"Reçu plus que commandé",IF(AND(N(T748)&gt;0,N(U748)=0),"Date de réception manquante",IF(AND(N(U748)&gt;0,U748&lt;B748),"Réception avant la commande","OK")))))))))))))))))))))</f>
        <v/>
      </c>
      <c r="AA748" s="66" t="str">
        <f>IF(AND(X748="Reçu",ISNUMBER(R748)),IF(N(U748)&lt;=R748,1,0),"")</f>
        <v/>
      </c>
      <c r="AB748" s="76" t="str">
        <f>IF(OR(X748="Envoyé",X748="Partiel",X748="En retard"),IF(ISNUMBER(R748),R748,100000)+ROW()/100000,"")</f>
        <v/>
      </c>
      <c r="AC748" s="66" t="str">
        <f>IF(A748="","",IF(COUNTIF($A$6:A748,A748)=1,1,""))</f>
        <v/>
      </c>
      <c r="AD748" s="66" t="str">
        <f>IF(AC748=1,COUNT($AC$6:AC748),"")</f>
        <v/>
      </c>
      <c r="AE748" s="66" t="str">
        <f>IFERROR(INDEX(po_num,MATCH(743,po_seq,0))&amp;"","")</f>
        <v/>
      </c>
      <c r="AF748" s="66" t="str">
        <f>IF(OR(A748="",p_po=""),"",IF(A748&amp;""=p_po,COUNTIF($A$6:A748,A748),""))</f>
        <v/>
      </c>
      <c r="AG748" s="66" t="str">
        <f>IF(OR(AB748="",A748=""),"",IF(COUNTIFS($A$6:A748,A748,$AB$6:AB748,"&gt;0")=1,1,""))</f>
        <v/>
      </c>
      <c r="AH748" s="70" t="str">
        <f>IF(AB748="","",ROUND(N(W748)*N(J748)*(1-N(K748)),2))</f>
        <v/>
      </c>
      <c r="AI748" s="70" t="str">
        <f>IF(OR(J748="",N(T748)&lt;=0,V748="Oui"),"",ROUND(N(T748)*J748*(1-N(K748)),2))</f>
        <v/>
      </c>
    </row>
    <row r="749">
      <c r="A749" s="63" t="n"/>
      <c r="B749" s="64" t="n"/>
      <c r="C749" s="65" t="n"/>
      <c r="D749" s="66" t="str">
        <f>IF(C749="","",IFERROR(INDEX(sup_name,MATCH($C749,sup_code,0))&amp;"","Fournisseur inconnu"))</f>
        <v/>
      </c>
      <c r="E749" s="63" t="n"/>
      <c r="F749" s="66" t="str">
        <f>IF(E749="","",IFERROR(INDEX(art_des,MATCH($E749,art_ref,0))&amp;"","Article inconnu"))</f>
        <v/>
      </c>
      <c r="G749" s="67" t="str">
        <f>IF(E749="","",IFERROR(INDEX(art_unit,MATCH($E749,art_ref,0))&amp;"",""))</f>
        <v/>
      </c>
      <c r="H749" s="68" t="n"/>
      <c r="I749" s="69" t="n"/>
      <c r="J749" s="70" t="str">
        <f>IF(E749="","",IF(ISNUMBER(I749),I749,IFERROR(IF(ISNUMBER(INDEX(art_price,MATCH($E749,art_ref,0))),INDEX(art_price,MATCH($E749,art_ref,0)),""),"")))</f>
        <v/>
      </c>
      <c r="K749" s="71" t="n"/>
      <c r="L749" s="72" t="n"/>
      <c r="M749" s="72" t="str">
        <f>IF(E749="","",IF(L749&lt;&gt;"",L749,IFERROR(IF(ISNUMBER(INDEX(art_tva,MATCH($E749,art_ref,0))),INDEX(art_tva,MATCH($E749,art_ref,0)),""),"")))</f>
        <v/>
      </c>
      <c r="N749" s="70" t="str">
        <f>IF(OR(E749="",J749=""),"",ROUND(N(H749)*J749*(1-N(K749)),2))</f>
        <v/>
      </c>
      <c r="O749" s="70" t="str">
        <f>IF(OR(N749="",NOT(ISNUMBER(M749))),"",ROUND(N749*M749,2))</f>
        <v/>
      </c>
      <c r="P749" s="70" t="str">
        <f>IF(N749="","",N749+N(O749))</f>
        <v/>
      </c>
      <c r="Q749" s="64" t="n"/>
      <c r="R749" s="73" t="str">
        <f>IF(N(Q749)&gt;0,Q749,IF(OR(N(B749)=0,ISNA(MATCH($C749,sup_code,0))),"",IF(ISNUMBER(INDEX(sup_delay,MATCH($C749,sup_code,0))),B749+INDEX(sup_delay,MATCH($C749,sup_code,0)),"")))</f>
        <v/>
      </c>
      <c r="S749" s="64" t="n"/>
      <c r="T749" s="68" t="n"/>
      <c r="U749" s="64" t="n"/>
      <c r="V749" s="65" t="n"/>
      <c r="W749" s="74" t="str">
        <f>IF(AND(A749="",E749=""),"",IF(V749="Oui",0,MAX(0,ROUND(N(H749)-N(T749),6))))</f>
        <v/>
      </c>
      <c r="X749" s="67" t="str">
        <f>IF(AND(A749="",E749=""),"",IF(V749="Oui","Annulé",IF(AND(N(H749)&gt;0,N(T749)&gt;=N(H749)),"Reçu",IF(N(S749)=0,"Brouillon",IF(AND(ISNUMBER(R749),R749&lt;p_today),"En retard",IF(N(T749)&gt;0,"Partiel","Envoyé"))))))</f>
        <v/>
      </c>
      <c r="Y749" s="75" t="str">
        <f>IF(X749="En retard",p_today-R749,IF(AND(X749="Reçu",ISNUMBER(R749)),MAX(0,N(U749)-R749),""))</f>
        <v/>
      </c>
      <c r="Z749" s="67" t="str">
        <f>IF(AND(A749="",E749=""),"",IF(A749="","N° de bon manquant",IF(N(B749)=0,"Date de commande manquante",IF(C749="","Fournisseur manquant",IF(ISNA(MATCH($C749,sup_code,0)),"Fournisseur inconnu",IF(E749="","Article manquant",IF(ISNA(MATCH($E749,art_ref,0)),"Article inconnu",IF(N(H749)&lt;=0,"Quantité invalide",IF(J749="","Prix manquant",IF(OR(N(K749)&lt;0,N(K749)&gt;=1),"Remise invalide",IF(M749="","TVA manquante",IF(ISNA(MATCH(M749,p_tva,0)),"Taux de TVA inconnu",IF(COUNTIFS(po_num,A749,po_sup,"&lt;&gt;"&amp;C749)&gt;0,"Fournisseur différent sur ce bon",IF(COUNTIFS(po_num,A749,po_date,"&lt;&gt;"&amp;B749)&gt;0,"Date différente sur ce bon",IF(COUNTIF(po_num,A749)&gt;25,"Plus de 25 lignes sur ce bon",IF(R749="","Date de livraison manquante",IF(R749&lt;B749,"Livraison avant la commande",IF(AND(N(T749)&gt;0,N(S749)=0),"Date d'envoi manquante",IF(N(T749)&gt;N(H749),"Reçu plus que commandé",IF(AND(N(T749)&gt;0,N(U749)=0),"Date de réception manquante",IF(AND(N(U749)&gt;0,U749&lt;B749),"Réception avant la commande","OK")))))))))))))))))))))</f>
        <v/>
      </c>
      <c r="AA749" s="66" t="str">
        <f>IF(AND(X749="Reçu",ISNUMBER(R749)),IF(N(U749)&lt;=R749,1,0),"")</f>
        <v/>
      </c>
      <c r="AB749" s="76" t="str">
        <f>IF(OR(X749="Envoyé",X749="Partiel",X749="En retard"),IF(ISNUMBER(R749),R749,100000)+ROW()/100000,"")</f>
        <v/>
      </c>
      <c r="AC749" s="66" t="str">
        <f>IF(A749="","",IF(COUNTIF($A$6:A749,A749)=1,1,""))</f>
        <v/>
      </c>
      <c r="AD749" s="66" t="str">
        <f>IF(AC749=1,COUNT($AC$6:AC749),"")</f>
        <v/>
      </c>
      <c r="AE749" s="66" t="str">
        <f>IFERROR(INDEX(po_num,MATCH(744,po_seq,0))&amp;"","")</f>
        <v/>
      </c>
      <c r="AF749" s="66" t="str">
        <f>IF(OR(A749="",p_po=""),"",IF(A749&amp;""=p_po,COUNTIF($A$6:A749,A749),""))</f>
        <v/>
      </c>
      <c r="AG749" s="66" t="str">
        <f>IF(OR(AB749="",A749=""),"",IF(COUNTIFS($A$6:A749,A749,$AB$6:AB749,"&gt;0")=1,1,""))</f>
        <v/>
      </c>
      <c r="AH749" s="70" t="str">
        <f>IF(AB749="","",ROUND(N(W749)*N(J749)*(1-N(K749)),2))</f>
        <v/>
      </c>
      <c r="AI749" s="70" t="str">
        <f>IF(OR(J749="",N(T749)&lt;=0,V749="Oui"),"",ROUND(N(T749)*J749*(1-N(K749)),2))</f>
        <v/>
      </c>
    </row>
    <row r="750">
      <c r="A750" s="63" t="n"/>
      <c r="B750" s="64" t="n"/>
      <c r="C750" s="65" t="n"/>
      <c r="D750" s="66" t="str">
        <f>IF(C750="","",IFERROR(INDEX(sup_name,MATCH($C750,sup_code,0))&amp;"","Fournisseur inconnu"))</f>
        <v/>
      </c>
      <c r="E750" s="63" t="n"/>
      <c r="F750" s="66" t="str">
        <f>IF(E750="","",IFERROR(INDEX(art_des,MATCH($E750,art_ref,0))&amp;"","Article inconnu"))</f>
        <v/>
      </c>
      <c r="G750" s="67" t="str">
        <f>IF(E750="","",IFERROR(INDEX(art_unit,MATCH($E750,art_ref,0))&amp;"",""))</f>
        <v/>
      </c>
      <c r="H750" s="68" t="n"/>
      <c r="I750" s="69" t="n"/>
      <c r="J750" s="70" t="str">
        <f>IF(E750="","",IF(ISNUMBER(I750),I750,IFERROR(IF(ISNUMBER(INDEX(art_price,MATCH($E750,art_ref,0))),INDEX(art_price,MATCH($E750,art_ref,0)),""),"")))</f>
        <v/>
      </c>
      <c r="K750" s="71" t="n"/>
      <c r="L750" s="72" t="n"/>
      <c r="M750" s="72" t="str">
        <f>IF(E750="","",IF(L750&lt;&gt;"",L750,IFERROR(IF(ISNUMBER(INDEX(art_tva,MATCH($E750,art_ref,0))),INDEX(art_tva,MATCH($E750,art_ref,0)),""),"")))</f>
        <v/>
      </c>
      <c r="N750" s="70" t="str">
        <f>IF(OR(E750="",J750=""),"",ROUND(N(H750)*J750*(1-N(K750)),2))</f>
        <v/>
      </c>
      <c r="O750" s="70" t="str">
        <f>IF(OR(N750="",NOT(ISNUMBER(M750))),"",ROUND(N750*M750,2))</f>
        <v/>
      </c>
      <c r="P750" s="70" t="str">
        <f>IF(N750="","",N750+N(O750))</f>
        <v/>
      </c>
      <c r="Q750" s="64" t="n"/>
      <c r="R750" s="73" t="str">
        <f>IF(N(Q750)&gt;0,Q750,IF(OR(N(B750)=0,ISNA(MATCH($C750,sup_code,0))),"",IF(ISNUMBER(INDEX(sup_delay,MATCH($C750,sup_code,0))),B750+INDEX(sup_delay,MATCH($C750,sup_code,0)),"")))</f>
        <v/>
      </c>
      <c r="S750" s="64" t="n"/>
      <c r="T750" s="68" t="n"/>
      <c r="U750" s="64" t="n"/>
      <c r="V750" s="65" t="n"/>
      <c r="W750" s="74" t="str">
        <f>IF(AND(A750="",E750=""),"",IF(V750="Oui",0,MAX(0,ROUND(N(H750)-N(T750),6))))</f>
        <v/>
      </c>
      <c r="X750" s="67" t="str">
        <f>IF(AND(A750="",E750=""),"",IF(V750="Oui","Annulé",IF(AND(N(H750)&gt;0,N(T750)&gt;=N(H750)),"Reçu",IF(N(S750)=0,"Brouillon",IF(AND(ISNUMBER(R750),R750&lt;p_today),"En retard",IF(N(T750)&gt;0,"Partiel","Envoyé"))))))</f>
        <v/>
      </c>
      <c r="Y750" s="75" t="str">
        <f>IF(X750="En retard",p_today-R750,IF(AND(X750="Reçu",ISNUMBER(R750)),MAX(0,N(U750)-R750),""))</f>
        <v/>
      </c>
      <c r="Z750" s="67" t="str">
        <f>IF(AND(A750="",E750=""),"",IF(A750="","N° de bon manquant",IF(N(B750)=0,"Date de commande manquante",IF(C750="","Fournisseur manquant",IF(ISNA(MATCH($C750,sup_code,0)),"Fournisseur inconnu",IF(E750="","Article manquant",IF(ISNA(MATCH($E750,art_ref,0)),"Article inconnu",IF(N(H750)&lt;=0,"Quantité invalide",IF(J750="","Prix manquant",IF(OR(N(K750)&lt;0,N(K750)&gt;=1),"Remise invalide",IF(M750="","TVA manquante",IF(ISNA(MATCH(M750,p_tva,0)),"Taux de TVA inconnu",IF(COUNTIFS(po_num,A750,po_sup,"&lt;&gt;"&amp;C750)&gt;0,"Fournisseur différent sur ce bon",IF(COUNTIFS(po_num,A750,po_date,"&lt;&gt;"&amp;B750)&gt;0,"Date différente sur ce bon",IF(COUNTIF(po_num,A750)&gt;25,"Plus de 25 lignes sur ce bon",IF(R750="","Date de livraison manquante",IF(R750&lt;B750,"Livraison avant la commande",IF(AND(N(T750)&gt;0,N(S750)=0),"Date d'envoi manquante",IF(N(T750)&gt;N(H750),"Reçu plus que commandé",IF(AND(N(T750)&gt;0,N(U750)=0),"Date de réception manquante",IF(AND(N(U750)&gt;0,U750&lt;B750),"Réception avant la commande","OK")))))))))))))))))))))</f>
        <v/>
      </c>
      <c r="AA750" s="66" t="str">
        <f>IF(AND(X750="Reçu",ISNUMBER(R750)),IF(N(U750)&lt;=R750,1,0),"")</f>
        <v/>
      </c>
      <c r="AB750" s="76" t="str">
        <f>IF(OR(X750="Envoyé",X750="Partiel",X750="En retard"),IF(ISNUMBER(R750),R750,100000)+ROW()/100000,"")</f>
        <v/>
      </c>
      <c r="AC750" s="66" t="str">
        <f>IF(A750="","",IF(COUNTIF($A$6:A750,A750)=1,1,""))</f>
        <v/>
      </c>
      <c r="AD750" s="66" t="str">
        <f>IF(AC750=1,COUNT($AC$6:AC750),"")</f>
        <v/>
      </c>
      <c r="AE750" s="66" t="str">
        <f>IFERROR(INDEX(po_num,MATCH(745,po_seq,0))&amp;"","")</f>
        <v/>
      </c>
      <c r="AF750" s="66" t="str">
        <f>IF(OR(A750="",p_po=""),"",IF(A750&amp;""=p_po,COUNTIF($A$6:A750,A750),""))</f>
        <v/>
      </c>
      <c r="AG750" s="66" t="str">
        <f>IF(OR(AB750="",A750=""),"",IF(COUNTIFS($A$6:A750,A750,$AB$6:AB750,"&gt;0")=1,1,""))</f>
        <v/>
      </c>
      <c r="AH750" s="70" t="str">
        <f>IF(AB750="","",ROUND(N(W750)*N(J750)*(1-N(K750)),2))</f>
        <v/>
      </c>
      <c r="AI750" s="70" t="str">
        <f>IF(OR(J750="",N(T750)&lt;=0,V750="Oui"),"",ROUND(N(T750)*J750*(1-N(K750)),2))</f>
        <v/>
      </c>
    </row>
    <row r="751">
      <c r="A751" s="63" t="n"/>
      <c r="B751" s="64" t="n"/>
      <c r="C751" s="65" t="n"/>
      <c r="D751" s="66" t="str">
        <f>IF(C751="","",IFERROR(INDEX(sup_name,MATCH($C751,sup_code,0))&amp;"","Fournisseur inconnu"))</f>
        <v/>
      </c>
      <c r="E751" s="63" t="n"/>
      <c r="F751" s="66" t="str">
        <f>IF(E751="","",IFERROR(INDEX(art_des,MATCH($E751,art_ref,0))&amp;"","Article inconnu"))</f>
        <v/>
      </c>
      <c r="G751" s="67" t="str">
        <f>IF(E751="","",IFERROR(INDEX(art_unit,MATCH($E751,art_ref,0))&amp;"",""))</f>
        <v/>
      </c>
      <c r="H751" s="68" t="n"/>
      <c r="I751" s="69" t="n"/>
      <c r="J751" s="70" t="str">
        <f>IF(E751="","",IF(ISNUMBER(I751),I751,IFERROR(IF(ISNUMBER(INDEX(art_price,MATCH($E751,art_ref,0))),INDEX(art_price,MATCH($E751,art_ref,0)),""),"")))</f>
        <v/>
      </c>
      <c r="K751" s="71" t="n"/>
      <c r="L751" s="72" t="n"/>
      <c r="M751" s="72" t="str">
        <f>IF(E751="","",IF(L751&lt;&gt;"",L751,IFERROR(IF(ISNUMBER(INDEX(art_tva,MATCH($E751,art_ref,0))),INDEX(art_tva,MATCH($E751,art_ref,0)),""),"")))</f>
        <v/>
      </c>
      <c r="N751" s="70" t="str">
        <f>IF(OR(E751="",J751=""),"",ROUND(N(H751)*J751*(1-N(K751)),2))</f>
        <v/>
      </c>
      <c r="O751" s="70" t="str">
        <f>IF(OR(N751="",NOT(ISNUMBER(M751))),"",ROUND(N751*M751,2))</f>
        <v/>
      </c>
      <c r="P751" s="70" t="str">
        <f>IF(N751="","",N751+N(O751))</f>
        <v/>
      </c>
      <c r="Q751" s="64" t="n"/>
      <c r="R751" s="73" t="str">
        <f>IF(N(Q751)&gt;0,Q751,IF(OR(N(B751)=0,ISNA(MATCH($C751,sup_code,0))),"",IF(ISNUMBER(INDEX(sup_delay,MATCH($C751,sup_code,0))),B751+INDEX(sup_delay,MATCH($C751,sup_code,0)),"")))</f>
        <v/>
      </c>
      <c r="S751" s="64" t="n"/>
      <c r="T751" s="68" t="n"/>
      <c r="U751" s="64" t="n"/>
      <c r="V751" s="65" t="n"/>
      <c r="W751" s="74" t="str">
        <f>IF(AND(A751="",E751=""),"",IF(V751="Oui",0,MAX(0,ROUND(N(H751)-N(T751),6))))</f>
        <v/>
      </c>
      <c r="X751" s="67" t="str">
        <f>IF(AND(A751="",E751=""),"",IF(V751="Oui","Annulé",IF(AND(N(H751)&gt;0,N(T751)&gt;=N(H751)),"Reçu",IF(N(S751)=0,"Brouillon",IF(AND(ISNUMBER(R751),R751&lt;p_today),"En retard",IF(N(T751)&gt;0,"Partiel","Envoyé"))))))</f>
        <v/>
      </c>
      <c r="Y751" s="75" t="str">
        <f>IF(X751="En retard",p_today-R751,IF(AND(X751="Reçu",ISNUMBER(R751)),MAX(0,N(U751)-R751),""))</f>
        <v/>
      </c>
      <c r="Z751" s="67" t="str">
        <f>IF(AND(A751="",E751=""),"",IF(A751="","N° de bon manquant",IF(N(B751)=0,"Date de commande manquante",IF(C751="","Fournisseur manquant",IF(ISNA(MATCH($C751,sup_code,0)),"Fournisseur inconnu",IF(E751="","Article manquant",IF(ISNA(MATCH($E751,art_ref,0)),"Article inconnu",IF(N(H751)&lt;=0,"Quantité invalide",IF(J751="","Prix manquant",IF(OR(N(K751)&lt;0,N(K751)&gt;=1),"Remise invalide",IF(M751="","TVA manquante",IF(ISNA(MATCH(M751,p_tva,0)),"Taux de TVA inconnu",IF(COUNTIFS(po_num,A751,po_sup,"&lt;&gt;"&amp;C751)&gt;0,"Fournisseur différent sur ce bon",IF(COUNTIFS(po_num,A751,po_date,"&lt;&gt;"&amp;B751)&gt;0,"Date différente sur ce bon",IF(COUNTIF(po_num,A751)&gt;25,"Plus de 25 lignes sur ce bon",IF(R751="","Date de livraison manquante",IF(R751&lt;B751,"Livraison avant la commande",IF(AND(N(T751)&gt;0,N(S751)=0),"Date d'envoi manquante",IF(N(T751)&gt;N(H751),"Reçu plus que commandé",IF(AND(N(T751)&gt;0,N(U751)=0),"Date de réception manquante",IF(AND(N(U751)&gt;0,U751&lt;B751),"Réception avant la commande","OK")))))))))))))))))))))</f>
        <v/>
      </c>
      <c r="AA751" s="66" t="str">
        <f>IF(AND(X751="Reçu",ISNUMBER(R751)),IF(N(U751)&lt;=R751,1,0),"")</f>
        <v/>
      </c>
      <c r="AB751" s="76" t="str">
        <f>IF(OR(X751="Envoyé",X751="Partiel",X751="En retard"),IF(ISNUMBER(R751),R751,100000)+ROW()/100000,"")</f>
        <v/>
      </c>
      <c r="AC751" s="66" t="str">
        <f>IF(A751="","",IF(COUNTIF($A$6:A751,A751)=1,1,""))</f>
        <v/>
      </c>
      <c r="AD751" s="66" t="str">
        <f>IF(AC751=1,COUNT($AC$6:AC751),"")</f>
        <v/>
      </c>
      <c r="AE751" s="66" t="str">
        <f>IFERROR(INDEX(po_num,MATCH(746,po_seq,0))&amp;"","")</f>
        <v/>
      </c>
      <c r="AF751" s="66" t="str">
        <f>IF(OR(A751="",p_po=""),"",IF(A751&amp;""=p_po,COUNTIF($A$6:A751,A751),""))</f>
        <v/>
      </c>
      <c r="AG751" s="66" t="str">
        <f>IF(OR(AB751="",A751=""),"",IF(COUNTIFS($A$6:A751,A751,$AB$6:AB751,"&gt;0")=1,1,""))</f>
        <v/>
      </c>
      <c r="AH751" s="70" t="str">
        <f>IF(AB751="","",ROUND(N(W751)*N(J751)*(1-N(K751)),2))</f>
        <v/>
      </c>
      <c r="AI751" s="70" t="str">
        <f>IF(OR(J751="",N(T751)&lt;=0,V751="Oui"),"",ROUND(N(T751)*J751*(1-N(K751)),2))</f>
        <v/>
      </c>
    </row>
    <row r="752">
      <c r="A752" s="63" t="n"/>
      <c r="B752" s="64" t="n"/>
      <c r="C752" s="65" t="n"/>
      <c r="D752" s="66" t="str">
        <f>IF(C752="","",IFERROR(INDEX(sup_name,MATCH($C752,sup_code,0))&amp;"","Fournisseur inconnu"))</f>
        <v/>
      </c>
      <c r="E752" s="63" t="n"/>
      <c r="F752" s="66" t="str">
        <f>IF(E752="","",IFERROR(INDEX(art_des,MATCH($E752,art_ref,0))&amp;"","Article inconnu"))</f>
        <v/>
      </c>
      <c r="G752" s="67" t="str">
        <f>IF(E752="","",IFERROR(INDEX(art_unit,MATCH($E752,art_ref,0))&amp;"",""))</f>
        <v/>
      </c>
      <c r="H752" s="68" t="n"/>
      <c r="I752" s="69" t="n"/>
      <c r="J752" s="70" t="str">
        <f>IF(E752="","",IF(ISNUMBER(I752),I752,IFERROR(IF(ISNUMBER(INDEX(art_price,MATCH($E752,art_ref,0))),INDEX(art_price,MATCH($E752,art_ref,0)),""),"")))</f>
        <v/>
      </c>
      <c r="K752" s="71" t="n"/>
      <c r="L752" s="72" t="n"/>
      <c r="M752" s="72" t="str">
        <f>IF(E752="","",IF(L752&lt;&gt;"",L752,IFERROR(IF(ISNUMBER(INDEX(art_tva,MATCH($E752,art_ref,0))),INDEX(art_tva,MATCH($E752,art_ref,0)),""),"")))</f>
        <v/>
      </c>
      <c r="N752" s="70" t="str">
        <f>IF(OR(E752="",J752=""),"",ROUND(N(H752)*J752*(1-N(K752)),2))</f>
        <v/>
      </c>
      <c r="O752" s="70" t="str">
        <f>IF(OR(N752="",NOT(ISNUMBER(M752))),"",ROUND(N752*M752,2))</f>
        <v/>
      </c>
      <c r="P752" s="70" t="str">
        <f>IF(N752="","",N752+N(O752))</f>
        <v/>
      </c>
      <c r="Q752" s="64" t="n"/>
      <c r="R752" s="73" t="str">
        <f>IF(N(Q752)&gt;0,Q752,IF(OR(N(B752)=0,ISNA(MATCH($C752,sup_code,0))),"",IF(ISNUMBER(INDEX(sup_delay,MATCH($C752,sup_code,0))),B752+INDEX(sup_delay,MATCH($C752,sup_code,0)),"")))</f>
        <v/>
      </c>
      <c r="S752" s="64" t="n"/>
      <c r="T752" s="68" t="n"/>
      <c r="U752" s="64" t="n"/>
      <c r="V752" s="65" t="n"/>
      <c r="W752" s="74" t="str">
        <f>IF(AND(A752="",E752=""),"",IF(V752="Oui",0,MAX(0,ROUND(N(H752)-N(T752),6))))</f>
        <v/>
      </c>
      <c r="X752" s="67" t="str">
        <f>IF(AND(A752="",E752=""),"",IF(V752="Oui","Annulé",IF(AND(N(H752)&gt;0,N(T752)&gt;=N(H752)),"Reçu",IF(N(S752)=0,"Brouillon",IF(AND(ISNUMBER(R752),R752&lt;p_today),"En retard",IF(N(T752)&gt;0,"Partiel","Envoyé"))))))</f>
        <v/>
      </c>
      <c r="Y752" s="75" t="str">
        <f>IF(X752="En retard",p_today-R752,IF(AND(X752="Reçu",ISNUMBER(R752)),MAX(0,N(U752)-R752),""))</f>
        <v/>
      </c>
      <c r="Z752" s="67" t="str">
        <f>IF(AND(A752="",E752=""),"",IF(A752="","N° de bon manquant",IF(N(B752)=0,"Date de commande manquante",IF(C752="","Fournisseur manquant",IF(ISNA(MATCH($C752,sup_code,0)),"Fournisseur inconnu",IF(E752="","Article manquant",IF(ISNA(MATCH($E752,art_ref,0)),"Article inconnu",IF(N(H752)&lt;=0,"Quantité invalide",IF(J752="","Prix manquant",IF(OR(N(K752)&lt;0,N(K752)&gt;=1),"Remise invalide",IF(M752="","TVA manquante",IF(ISNA(MATCH(M752,p_tva,0)),"Taux de TVA inconnu",IF(COUNTIFS(po_num,A752,po_sup,"&lt;&gt;"&amp;C752)&gt;0,"Fournisseur différent sur ce bon",IF(COUNTIFS(po_num,A752,po_date,"&lt;&gt;"&amp;B752)&gt;0,"Date différente sur ce bon",IF(COUNTIF(po_num,A752)&gt;25,"Plus de 25 lignes sur ce bon",IF(R752="","Date de livraison manquante",IF(R752&lt;B752,"Livraison avant la commande",IF(AND(N(T752)&gt;0,N(S752)=0),"Date d'envoi manquante",IF(N(T752)&gt;N(H752),"Reçu plus que commandé",IF(AND(N(T752)&gt;0,N(U752)=0),"Date de réception manquante",IF(AND(N(U752)&gt;0,U752&lt;B752),"Réception avant la commande","OK")))))))))))))))))))))</f>
        <v/>
      </c>
      <c r="AA752" s="66" t="str">
        <f>IF(AND(X752="Reçu",ISNUMBER(R752)),IF(N(U752)&lt;=R752,1,0),"")</f>
        <v/>
      </c>
      <c r="AB752" s="76" t="str">
        <f>IF(OR(X752="Envoyé",X752="Partiel",X752="En retard"),IF(ISNUMBER(R752),R752,100000)+ROW()/100000,"")</f>
        <v/>
      </c>
      <c r="AC752" s="66" t="str">
        <f>IF(A752="","",IF(COUNTIF($A$6:A752,A752)=1,1,""))</f>
        <v/>
      </c>
      <c r="AD752" s="66" t="str">
        <f>IF(AC752=1,COUNT($AC$6:AC752),"")</f>
        <v/>
      </c>
      <c r="AE752" s="66" t="str">
        <f>IFERROR(INDEX(po_num,MATCH(747,po_seq,0))&amp;"","")</f>
        <v/>
      </c>
      <c r="AF752" s="66" t="str">
        <f>IF(OR(A752="",p_po=""),"",IF(A752&amp;""=p_po,COUNTIF($A$6:A752,A752),""))</f>
        <v/>
      </c>
      <c r="AG752" s="66" t="str">
        <f>IF(OR(AB752="",A752=""),"",IF(COUNTIFS($A$6:A752,A752,$AB$6:AB752,"&gt;0")=1,1,""))</f>
        <v/>
      </c>
      <c r="AH752" s="70" t="str">
        <f>IF(AB752="","",ROUND(N(W752)*N(J752)*(1-N(K752)),2))</f>
        <v/>
      </c>
      <c r="AI752" s="70" t="str">
        <f>IF(OR(J752="",N(T752)&lt;=0,V752="Oui"),"",ROUND(N(T752)*J752*(1-N(K752)),2))</f>
        <v/>
      </c>
    </row>
    <row r="753">
      <c r="A753" s="63" t="n"/>
      <c r="B753" s="64" t="n"/>
      <c r="C753" s="65" t="n"/>
      <c r="D753" s="66" t="str">
        <f>IF(C753="","",IFERROR(INDEX(sup_name,MATCH($C753,sup_code,0))&amp;"","Fournisseur inconnu"))</f>
        <v/>
      </c>
      <c r="E753" s="63" t="n"/>
      <c r="F753" s="66" t="str">
        <f>IF(E753="","",IFERROR(INDEX(art_des,MATCH($E753,art_ref,0))&amp;"","Article inconnu"))</f>
        <v/>
      </c>
      <c r="G753" s="67" t="str">
        <f>IF(E753="","",IFERROR(INDEX(art_unit,MATCH($E753,art_ref,0))&amp;"",""))</f>
        <v/>
      </c>
      <c r="H753" s="68" t="n"/>
      <c r="I753" s="69" t="n"/>
      <c r="J753" s="70" t="str">
        <f>IF(E753="","",IF(ISNUMBER(I753),I753,IFERROR(IF(ISNUMBER(INDEX(art_price,MATCH($E753,art_ref,0))),INDEX(art_price,MATCH($E753,art_ref,0)),""),"")))</f>
        <v/>
      </c>
      <c r="K753" s="71" t="n"/>
      <c r="L753" s="72" t="n"/>
      <c r="M753" s="72" t="str">
        <f>IF(E753="","",IF(L753&lt;&gt;"",L753,IFERROR(IF(ISNUMBER(INDEX(art_tva,MATCH($E753,art_ref,0))),INDEX(art_tva,MATCH($E753,art_ref,0)),""),"")))</f>
        <v/>
      </c>
      <c r="N753" s="70" t="str">
        <f>IF(OR(E753="",J753=""),"",ROUND(N(H753)*J753*(1-N(K753)),2))</f>
        <v/>
      </c>
      <c r="O753" s="70" t="str">
        <f>IF(OR(N753="",NOT(ISNUMBER(M753))),"",ROUND(N753*M753,2))</f>
        <v/>
      </c>
      <c r="P753" s="70" t="str">
        <f>IF(N753="","",N753+N(O753))</f>
        <v/>
      </c>
      <c r="Q753" s="64" t="n"/>
      <c r="R753" s="73" t="str">
        <f>IF(N(Q753)&gt;0,Q753,IF(OR(N(B753)=0,ISNA(MATCH($C753,sup_code,0))),"",IF(ISNUMBER(INDEX(sup_delay,MATCH($C753,sup_code,0))),B753+INDEX(sup_delay,MATCH($C753,sup_code,0)),"")))</f>
        <v/>
      </c>
      <c r="S753" s="64" t="n"/>
      <c r="T753" s="68" t="n"/>
      <c r="U753" s="64" t="n"/>
      <c r="V753" s="65" t="n"/>
      <c r="W753" s="74" t="str">
        <f>IF(AND(A753="",E753=""),"",IF(V753="Oui",0,MAX(0,ROUND(N(H753)-N(T753),6))))</f>
        <v/>
      </c>
      <c r="X753" s="67" t="str">
        <f>IF(AND(A753="",E753=""),"",IF(V753="Oui","Annulé",IF(AND(N(H753)&gt;0,N(T753)&gt;=N(H753)),"Reçu",IF(N(S753)=0,"Brouillon",IF(AND(ISNUMBER(R753),R753&lt;p_today),"En retard",IF(N(T753)&gt;0,"Partiel","Envoyé"))))))</f>
        <v/>
      </c>
      <c r="Y753" s="75" t="str">
        <f>IF(X753="En retard",p_today-R753,IF(AND(X753="Reçu",ISNUMBER(R753)),MAX(0,N(U753)-R753),""))</f>
        <v/>
      </c>
      <c r="Z753" s="67" t="str">
        <f>IF(AND(A753="",E753=""),"",IF(A753="","N° de bon manquant",IF(N(B753)=0,"Date de commande manquante",IF(C753="","Fournisseur manquant",IF(ISNA(MATCH($C753,sup_code,0)),"Fournisseur inconnu",IF(E753="","Article manquant",IF(ISNA(MATCH($E753,art_ref,0)),"Article inconnu",IF(N(H753)&lt;=0,"Quantité invalide",IF(J753="","Prix manquant",IF(OR(N(K753)&lt;0,N(K753)&gt;=1),"Remise invalide",IF(M753="","TVA manquante",IF(ISNA(MATCH(M753,p_tva,0)),"Taux de TVA inconnu",IF(COUNTIFS(po_num,A753,po_sup,"&lt;&gt;"&amp;C753)&gt;0,"Fournisseur différent sur ce bon",IF(COUNTIFS(po_num,A753,po_date,"&lt;&gt;"&amp;B753)&gt;0,"Date différente sur ce bon",IF(COUNTIF(po_num,A753)&gt;25,"Plus de 25 lignes sur ce bon",IF(R753="","Date de livraison manquante",IF(R753&lt;B753,"Livraison avant la commande",IF(AND(N(T753)&gt;0,N(S753)=0),"Date d'envoi manquante",IF(N(T753)&gt;N(H753),"Reçu plus que commandé",IF(AND(N(T753)&gt;0,N(U753)=0),"Date de réception manquante",IF(AND(N(U753)&gt;0,U753&lt;B753),"Réception avant la commande","OK")))))))))))))))))))))</f>
        <v/>
      </c>
      <c r="AA753" s="66" t="str">
        <f>IF(AND(X753="Reçu",ISNUMBER(R753)),IF(N(U753)&lt;=R753,1,0),"")</f>
        <v/>
      </c>
      <c r="AB753" s="76" t="str">
        <f>IF(OR(X753="Envoyé",X753="Partiel",X753="En retard"),IF(ISNUMBER(R753),R753,100000)+ROW()/100000,"")</f>
        <v/>
      </c>
      <c r="AC753" s="66" t="str">
        <f>IF(A753="","",IF(COUNTIF($A$6:A753,A753)=1,1,""))</f>
        <v/>
      </c>
      <c r="AD753" s="66" t="str">
        <f>IF(AC753=1,COUNT($AC$6:AC753),"")</f>
        <v/>
      </c>
      <c r="AE753" s="66" t="str">
        <f>IFERROR(INDEX(po_num,MATCH(748,po_seq,0))&amp;"","")</f>
        <v/>
      </c>
      <c r="AF753" s="66" t="str">
        <f>IF(OR(A753="",p_po=""),"",IF(A753&amp;""=p_po,COUNTIF($A$6:A753,A753),""))</f>
        <v/>
      </c>
      <c r="AG753" s="66" t="str">
        <f>IF(OR(AB753="",A753=""),"",IF(COUNTIFS($A$6:A753,A753,$AB$6:AB753,"&gt;0")=1,1,""))</f>
        <v/>
      </c>
      <c r="AH753" s="70" t="str">
        <f>IF(AB753="","",ROUND(N(W753)*N(J753)*(1-N(K753)),2))</f>
        <v/>
      </c>
      <c r="AI753" s="70" t="str">
        <f>IF(OR(J753="",N(T753)&lt;=0,V753="Oui"),"",ROUND(N(T753)*J753*(1-N(K753)),2))</f>
        <v/>
      </c>
    </row>
    <row r="754">
      <c r="A754" s="63" t="n"/>
      <c r="B754" s="64" t="n"/>
      <c r="C754" s="65" t="n"/>
      <c r="D754" s="66" t="str">
        <f>IF(C754="","",IFERROR(INDEX(sup_name,MATCH($C754,sup_code,0))&amp;"","Fournisseur inconnu"))</f>
        <v/>
      </c>
      <c r="E754" s="63" t="n"/>
      <c r="F754" s="66" t="str">
        <f>IF(E754="","",IFERROR(INDEX(art_des,MATCH($E754,art_ref,0))&amp;"","Article inconnu"))</f>
        <v/>
      </c>
      <c r="G754" s="67" t="str">
        <f>IF(E754="","",IFERROR(INDEX(art_unit,MATCH($E754,art_ref,0))&amp;"",""))</f>
        <v/>
      </c>
      <c r="H754" s="68" t="n"/>
      <c r="I754" s="69" t="n"/>
      <c r="J754" s="70" t="str">
        <f>IF(E754="","",IF(ISNUMBER(I754),I754,IFERROR(IF(ISNUMBER(INDEX(art_price,MATCH($E754,art_ref,0))),INDEX(art_price,MATCH($E754,art_ref,0)),""),"")))</f>
        <v/>
      </c>
      <c r="K754" s="71" t="n"/>
      <c r="L754" s="72" t="n"/>
      <c r="M754" s="72" t="str">
        <f>IF(E754="","",IF(L754&lt;&gt;"",L754,IFERROR(IF(ISNUMBER(INDEX(art_tva,MATCH($E754,art_ref,0))),INDEX(art_tva,MATCH($E754,art_ref,0)),""),"")))</f>
        <v/>
      </c>
      <c r="N754" s="70" t="str">
        <f>IF(OR(E754="",J754=""),"",ROUND(N(H754)*J754*(1-N(K754)),2))</f>
        <v/>
      </c>
      <c r="O754" s="70" t="str">
        <f>IF(OR(N754="",NOT(ISNUMBER(M754))),"",ROUND(N754*M754,2))</f>
        <v/>
      </c>
      <c r="P754" s="70" t="str">
        <f>IF(N754="","",N754+N(O754))</f>
        <v/>
      </c>
      <c r="Q754" s="64" t="n"/>
      <c r="R754" s="73" t="str">
        <f>IF(N(Q754)&gt;0,Q754,IF(OR(N(B754)=0,ISNA(MATCH($C754,sup_code,0))),"",IF(ISNUMBER(INDEX(sup_delay,MATCH($C754,sup_code,0))),B754+INDEX(sup_delay,MATCH($C754,sup_code,0)),"")))</f>
        <v/>
      </c>
      <c r="S754" s="64" t="n"/>
      <c r="T754" s="68" t="n"/>
      <c r="U754" s="64" t="n"/>
      <c r="V754" s="65" t="n"/>
      <c r="W754" s="74" t="str">
        <f>IF(AND(A754="",E754=""),"",IF(V754="Oui",0,MAX(0,ROUND(N(H754)-N(T754),6))))</f>
        <v/>
      </c>
      <c r="X754" s="67" t="str">
        <f>IF(AND(A754="",E754=""),"",IF(V754="Oui","Annulé",IF(AND(N(H754)&gt;0,N(T754)&gt;=N(H754)),"Reçu",IF(N(S754)=0,"Brouillon",IF(AND(ISNUMBER(R754),R754&lt;p_today),"En retard",IF(N(T754)&gt;0,"Partiel","Envoyé"))))))</f>
        <v/>
      </c>
      <c r="Y754" s="75" t="str">
        <f>IF(X754="En retard",p_today-R754,IF(AND(X754="Reçu",ISNUMBER(R754)),MAX(0,N(U754)-R754),""))</f>
        <v/>
      </c>
      <c r="Z754" s="67" t="str">
        <f>IF(AND(A754="",E754=""),"",IF(A754="","N° de bon manquant",IF(N(B754)=0,"Date de commande manquante",IF(C754="","Fournisseur manquant",IF(ISNA(MATCH($C754,sup_code,0)),"Fournisseur inconnu",IF(E754="","Article manquant",IF(ISNA(MATCH($E754,art_ref,0)),"Article inconnu",IF(N(H754)&lt;=0,"Quantité invalide",IF(J754="","Prix manquant",IF(OR(N(K754)&lt;0,N(K754)&gt;=1),"Remise invalide",IF(M754="","TVA manquante",IF(ISNA(MATCH(M754,p_tva,0)),"Taux de TVA inconnu",IF(COUNTIFS(po_num,A754,po_sup,"&lt;&gt;"&amp;C754)&gt;0,"Fournisseur différent sur ce bon",IF(COUNTIFS(po_num,A754,po_date,"&lt;&gt;"&amp;B754)&gt;0,"Date différente sur ce bon",IF(COUNTIF(po_num,A754)&gt;25,"Plus de 25 lignes sur ce bon",IF(R754="","Date de livraison manquante",IF(R754&lt;B754,"Livraison avant la commande",IF(AND(N(T754)&gt;0,N(S754)=0),"Date d'envoi manquante",IF(N(T754)&gt;N(H754),"Reçu plus que commandé",IF(AND(N(T754)&gt;0,N(U754)=0),"Date de réception manquante",IF(AND(N(U754)&gt;0,U754&lt;B754),"Réception avant la commande","OK")))))))))))))))))))))</f>
        <v/>
      </c>
      <c r="AA754" s="66" t="str">
        <f>IF(AND(X754="Reçu",ISNUMBER(R754)),IF(N(U754)&lt;=R754,1,0),"")</f>
        <v/>
      </c>
      <c r="AB754" s="76" t="str">
        <f>IF(OR(X754="Envoyé",X754="Partiel",X754="En retard"),IF(ISNUMBER(R754),R754,100000)+ROW()/100000,"")</f>
        <v/>
      </c>
      <c r="AC754" s="66" t="str">
        <f>IF(A754="","",IF(COUNTIF($A$6:A754,A754)=1,1,""))</f>
        <v/>
      </c>
      <c r="AD754" s="66" t="str">
        <f>IF(AC754=1,COUNT($AC$6:AC754),"")</f>
        <v/>
      </c>
      <c r="AE754" s="66" t="str">
        <f>IFERROR(INDEX(po_num,MATCH(749,po_seq,0))&amp;"","")</f>
        <v/>
      </c>
      <c r="AF754" s="66" t="str">
        <f>IF(OR(A754="",p_po=""),"",IF(A754&amp;""=p_po,COUNTIF($A$6:A754,A754),""))</f>
        <v/>
      </c>
      <c r="AG754" s="66" t="str">
        <f>IF(OR(AB754="",A754=""),"",IF(COUNTIFS($A$6:A754,A754,$AB$6:AB754,"&gt;0")=1,1,""))</f>
        <v/>
      </c>
      <c r="AH754" s="70" t="str">
        <f>IF(AB754="","",ROUND(N(W754)*N(J754)*(1-N(K754)),2))</f>
        <v/>
      </c>
      <c r="AI754" s="70" t="str">
        <f>IF(OR(J754="",N(T754)&lt;=0,V754="Oui"),"",ROUND(N(T754)*J754*(1-N(K754)),2))</f>
        <v/>
      </c>
    </row>
    <row r="755">
      <c r="A755" s="63" t="n"/>
      <c r="B755" s="64" t="n"/>
      <c r="C755" s="65" t="n"/>
      <c r="D755" s="66" t="str">
        <f>IF(C755="","",IFERROR(INDEX(sup_name,MATCH($C755,sup_code,0))&amp;"","Fournisseur inconnu"))</f>
        <v/>
      </c>
      <c r="E755" s="63" t="n"/>
      <c r="F755" s="66" t="str">
        <f>IF(E755="","",IFERROR(INDEX(art_des,MATCH($E755,art_ref,0))&amp;"","Article inconnu"))</f>
        <v/>
      </c>
      <c r="G755" s="67" t="str">
        <f>IF(E755="","",IFERROR(INDEX(art_unit,MATCH($E755,art_ref,0))&amp;"",""))</f>
        <v/>
      </c>
      <c r="H755" s="68" t="n"/>
      <c r="I755" s="69" t="n"/>
      <c r="J755" s="70" t="str">
        <f>IF(E755="","",IF(ISNUMBER(I755),I755,IFERROR(IF(ISNUMBER(INDEX(art_price,MATCH($E755,art_ref,0))),INDEX(art_price,MATCH($E755,art_ref,0)),""),"")))</f>
        <v/>
      </c>
      <c r="K755" s="71" t="n"/>
      <c r="L755" s="72" t="n"/>
      <c r="M755" s="72" t="str">
        <f>IF(E755="","",IF(L755&lt;&gt;"",L755,IFERROR(IF(ISNUMBER(INDEX(art_tva,MATCH($E755,art_ref,0))),INDEX(art_tva,MATCH($E755,art_ref,0)),""),"")))</f>
        <v/>
      </c>
      <c r="N755" s="70" t="str">
        <f>IF(OR(E755="",J755=""),"",ROUND(N(H755)*J755*(1-N(K755)),2))</f>
        <v/>
      </c>
      <c r="O755" s="70" t="str">
        <f>IF(OR(N755="",NOT(ISNUMBER(M755))),"",ROUND(N755*M755,2))</f>
        <v/>
      </c>
      <c r="P755" s="70" t="str">
        <f>IF(N755="","",N755+N(O755))</f>
        <v/>
      </c>
      <c r="Q755" s="64" t="n"/>
      <c r="R755" s="73" t="str">
        <f>IF(N(Q755)&gt;0,Q755,IF(OR(N(B755)=0,ISNA(MATCH($C755,sup_code,0))),"",IF(ISNUMBER(INDEX(sup_delay,MATCH($C755,sup_code,0))),B755+INDEX(sup_delay,MATCH($C755,sup_code,0)),"")))</f>
        <v/>
      </c>
      <c r="S755" s="64" t="n"/>
      <c r="T755" s="68" t="n"/>
      <c r="U755" s="64" t="n"/>
      <c r="V755" s="65" t="n"/>
      <c r="W755" s="74" t="str">
        <f>IF(AND(A755="",E755=""),"",IF(V755="Oui",0,MAX(0,ROUND(N(H755)-N(T755),6))))</f>
        <v/>
      </c>
      <c r="X755" s="67" t="str">
        <f>IF(AND(A755="",E755=""),"",IF(V755="Oui","Annulé",IF(AND(N(H755)&gt;0,N(T755)&gt;=N(H755)),"Reçu",IF(N(S755)=0,"Brouillon",IF(AND(ISNUMBER(R755),R755&lt;p_today),"En retard",IF(N(T755)&gt;0,"Partiel","Envoyé"))))))</f>
        <v/>
      </c>
      <c r="Y755" s="75" t="str">
        <f>IF(X755="En retard",p_today-R755,IF(AND(X755="Reçu",ISNUMBER(R755)),MAX(0,N(U755)-R755),""))</f>
        <v/>
      </c>
      <c r="Z755" s="67" t="str">
        <f>IF(AND(A755="",E755=""),"",IF(A755="","N° de bon manquant",IF(N(B755)=0,"Date de commande manquante",IF(C755="","Fournisseur manquant",IF(ISNA(MATCH($C755,sup_code,0)),"Fournisseur inconnu",IF(E755="","Article manquant",IF(ISNA(MATCH($E755,art_ref,0)),"Article inconnu",IF(N(H755)&lt;=0,"Quantité invalide",IF(J755="","Prix manquant",IF(OR(N(K755)&lt;0,N(K755)&gt;=1),"Remise invalide",IF(M755="","TVA manquante",IF(ISNA(MATCH(M755,p_tva,0)),"Taux de TVA inconnu",IF(COUNTIFS(po_num,A755,po_sup,"&lt;&gt;"&amp;C755)&gt;0,"Fournisseur différent sur ce bon",IF(COUNTIFS(po_num,A755,po_date,"&lt;&gt;"&amp;B755)&gt;0,"Date différente sur ce bon",IF(COUNTIF(po_num,A755)&gt;25,"Plus de 25 lignes sur ce bon",IF(R755="","Date de livraison manquante",IF(R755&lt;B755,"Livraison avant la commande",IF(AND(N(T755)&gt;0,N(S755)=0),"Date d'envoi manquante",IF(N(T755)&gt;N(H755),"Reçu plus que commandé",IF(AND(N(T755)&gt;0,N(U755)=0),"Date de réception manquante",IF(AND(N(U755)&gt;0,U755&lt;B755),"Réception avant la commande","OK")))))))))))))))))))))</f>
        <v/>
      </c>
      <c r="AA755" s="66" t="str">
        <f>IF(AND(X755="Reçu",ISNUMBER(R755)),IF(N(U755)&lt;=R755,1,0),"")</f>
        <v/>
      </c>
      <c r="AB755" s="76" t="str">
        <f>IF(OR(X755="Envoyé",X755="Partiel",X755="En retard"),IF(ISNUMBER(R755),R755,100000)+ROW()/100000,"")</f>
        <v/>
      </c>
      <c r="AC755" s="66" t="str">
        <f>IF(A755="","",IF(COUNTIF($A$6:A755,A755)=1,1,""))</f>
        <v/>
      </c>
      <c r="AD755" s="66" t="str">
        <f>IF(AC755=1,COUNT($AC$6:AC755),"")</f>
        <v/>
      </c>
      <c r="AE755" s="66" t="str">
        <f>IFERROR(INDEX(po_num,MATCH(750,po_seq,0))&amp;"","")</f>
        <v/>
      </c>
      <c r="AF755" s="66" t="str">
        <f>IF(OR(A755="",p_po=""),"",IF(A755&amp;""=p_po,COUNTIF($A$6:A755,A755),""))</f>
        <v/>
      </c>
      <c r="AG755" s="66" t="str">
        <f>IF(OR(AB755="",A755=""),"",IF(COUNTIFS($A$6:A755,A755,$AB$6:AB755,"&gt;0")=1,1,""))</f>
        <v/>
      </c>
      <c r="AH755" s="70" t="str">
        <f>IF(AB755="","",ROUND(N(W755)*N(J755)*(1-N(K755)),2))</f>
        <v/>
      </c>
      <c r="AI755" s="70" t="str">
        <f>IF(OR(J755="",N(T755)&lt;=0,V755="Oui"),"",ROUND(N(T755)*J755*(1-N(K755)),2))</f>
        <v/>
      </c>
    </row>
    <row r="756">
      <c r="A756" s="63" t="n"/>
      <c r="B756" s="64" t="n"/>
      <c r="C756" s="65" t="n"/>
      <c r="D756" s="66" t="str">
        <f>IF(C756="","",IFERROR(INDEX(sup_name,MATCH($C756,sup_code,0))&amp;"","Fournisseur inconnu"))</f>
        <v/>
      </c>
      <c r="E756" s="63" t="n"/>
      <c r="F756" s="66" t="str">
        <f>IF(E756="","",IFERROR(INDEX(art_des,MATCH($E756,art_ref,0))&amp;"","Article inconnu"))</f>
        <v/>
      </c>
      <c r="G756" s="67" t="str">
        <f>IF(E756="","",IFERROR(INDEX(art_unit,MATCH($E756,art_ref,0))&amp;"",""))</f>
        <v/>
      </c>
      <c r="H756" s="68" t="n"/>
      <c r="I756" s="69" t="n"/>
      <c r="J756" s="70" t="str">
        <f>IF(E756="","",IF(ISNUMBER(I756),I756,IFERROR(IF(ISNUMBER(INDEX(art_price,MATCH($E756,art_ref,0))),INDEX(art_price,MATCH($E756,art_ref,0)),""),"")))</f>
        <v/>
      </c>
      <c r="K756" s="71" t="n"/>
      <c r="L756" s="72" t="n"/>
      <c r="M756" s="72" t="str">
        <f>IF(E756="","",IF(L756&lt;&gt;"",L756,IFERROR(IF(ISNUMBER(INDEX(art_tva,MATCH($E756,art_ref,0))),INDEX(art_tva,MATCH($E756,art_ref,0)),""),"")))</f>
        <v/>
      </c>
      <c r="N756" s="70" t="str">
        <f>IF(OR(E756="",J756=""),"",ROUND(N(H756)*J756*(1-N(K756)),2))</f>
        <v/>
      </c>
      <c r="O756" s="70" t="str">
        <f>IF(OR(N756="",NOT(ISNUMBER(M756))),"",ROUND(N756*M756,2))</f>
        <v/>
      </c>
      <c r="P756" s="70" t="str">
        <f>IF(N756="","",N756+N(O756))</f>
        <v/>
      </c>
      <c r="Q756" s="64" t="n"/>
      <c r="R756" s="73" t="str">
        <f>IF(N(Q756)&gt;0,Q756,IF(OR(N(B756)=0,ISNA(MATCH($C756,sup_code,0))),"",IF(ISNUMBER(INDEX(sup_delay,MATCH($C756,sup_code,0))),B756+INDEX(sup_delay,MATCH($C756,sup_code,0)),"")))</f>
        <v/>
      </c>
      <c r="S756" s="64" t="n"/>
      <c r="T756" s="68" t="n"/>
      <c r="U756" s="64" t="n"/>
      <c r="V756" s="65" t="n"/>
      <c r="W756" s="74" t="str">
        <f>IF(AND(A756="",E756=""),"",IF(V756="Oui",0,MAX(0,ROUND(N(H756)-N(T756),6))))</f>
        <v/>
      </c>
      <c r="X756" s="67" t="str">
        <f>IF(AND(A756="",E756=""),"",IF(V756="Oui","Annulé",IF(AND(N(H756)&gt;0,N(T756)&gt;=N(H756)),"Reçu",IF(N(S756)=0,"Brouillon",IF(AND(ISNUMBER(R756),R756&lt;p_today),"En retard",IF(N(T756)&gt;0,"Partiel","Envoyé"))))))</f>
        <v/>
      </c>
      <c r="Y756" s="75" t="str">
        <f>IF(X756="En retard",p_today-R756,IF(AND(X756="Reçu",ISNUMBER(R756)),MAX(0,N(U756)-R756),""))</f>
        <v/>
      </c>
      <c r="Z756" s="67" t="str">
        <f>IF(AND(A756="",E756=""),"",IF(A756="","N° de bon manquant",IF(N(B756)=0,"Date de commande manquante",IF(C756="","Fournisseur manquant",IF(ISNA(MATCH($C756,sup_code,0)),"Fournisseur inconnu",IF(E756="","Article manquant",IF(ISNA(MATCH($E756,art_ref,0)),"Article inconnu",IF(N(H756)&lt;=0,"Quantité invalide",IF(J756="","Prix manquant",IF(OR(N(K756)&lt;0,N(K756)&gt;=1),"Remise invalide",IF(M756="","TVA manquante",IF(ISNA(MATCH(M756,p_tva,0)),"Taux de TVA inconnu",IF(COUNTIFS(po_num,A756,po_sup,"&lt;&gt;"&amp;C756)&gt;0,"Fournisseur différent sur ce bon",IF(COUNTIFS(po_num,A756,po_date,"&lt;&gt;"&amp;B756)&gt;0,"Date différente sur ce bon",IF(COUNTIF(po_num,A756)&gt;25,"Plus de 25 lignes sur ce bon",IF(R756="","Date de livraison manquante",IF(R756&lt;B756,"Livraison avant la commande",IF(AND(N(T756)&gt;0,N(S756)=0),"Date d'envoi manquante",IF(N(T756)&gt;N(H756),"Reçu plus que commandé",IF(AND(N(T756)&gt;0,N(U756)=0),"Date de réception manquante",IF(AND(N(U756)&gt;0,U756&lt;B756),"Réception avant la commande","OK")))))))))))))))))))))</f>
        <v/>
      </c>
      <c r="AA756" s="66" t="str">
        <f>IF(AND(X756="Reçu",ISNUMBER(R756)),IF(N(U756)&lt;=R756,1,0),"")</f>
        <v/>
      </c>
      <c r="AB756" s="76" t="str">
        <f>IF(OR(X756="Envoyé",X756="Partiel",X756="En retard"),IF(ISNUMBER(R756),R756,100000)+ROW()/100000,"")</f>
        <v/>
      </c>
      <c r="AC756" s="66" t="str">
        <f>IF(A756="","",IF(COUNTIF($A$6:A756,A756)=1,1,""))</f>
        <v/>
      </c>
      <c r="AD756" s="66" t="str">
        <f>IF(AC756=1,COUNT($AC$6:AC756),"")</f>
        <v/>
      </c>
      <c r="AE756" s="66" t="str">
        <f>IFERROR(INDEX(po_num,MATCH(751,po_seq,0))&amp;"","")</f>
        <v/>
      </c>
      <c r="AF756" s="66" t="str">
        <f>IF(OR(A756="",p_po=""),"",IF(A756&amp;""=p_po,COUNTIF($A$6:A756,A756),""))</f>
        <v/>
      </c>
      <c r="AG756" s="66" t="str">
        <f>IF(OR(AB756="",A756=""),"",IF(COUNTIFS($A$6:A756,A756,$AB$6:AB756,"&gt;0")=1,1,""))</f>
        <v/>
      </c>
      <c r="AH756" s="70" t="str">
        <f>IF(AB756="","",ROUND(N(W756)*N(J756)*(1-N(K756)),2))</f>
        <v/>
      </c>
      <c r="AI756" s="70" t="str">
        <f>IF(OR(J756="",N(T756)&lt;=0,V756="Oui"),"",ROUND(N(T756)*J756*(1-N(K756)),2))</f>
        <v/>
      </c>
    </row>
    <row r="757">
      <c r="A757" s="63" t="n"/>
      <c r="B757" s="64" t="n"/>
      <c r="C757" s="65" t="n"/>
      <c r="D757" s="66" t="str">
        <f>IF(C757="","",IFERROR(INDEX(sup_name,MATCH($C757,sup_code,0))&amp;"","Fournisseur inconnu"))</f>
        <v/>
      </c>
      <c r="E757" s="63" t="n"/>
      <c r="F757" s="66" t="str">
        <f>IF(E757="","",IFERROR(INDEX(art_des,MATCH($E757,art_ref,0))&amp;"","Article inconnu"))</f>
        <v/>
      </c>
      <c r="G757" s="67" t="str">
        <f>IF(E757="","",IFERROR(INDEX(art_unit,MATCH($E757,art_ref,0))&amp;"",""))</f>
        <v/>
      </c>
      <c r="H757" s="68" t="n"/>
      <c r="I757" s="69" t="n"/>
      <c r="J757" s="70" t="str">
        <f>IF(E757="","",IF(ISNUMBER(I757),I757,IFERROR(IF(ISNUMBER(INDEX(art_price,MATCH($E757,art_ref,0))),INDEX(art_price,MATCH($E757,art_ref,0)),""),"")))</f>
        <v/>
      </c>
      <c r="K757" s="71" t="n"/>
      <c r="L757" s="72" t="n"/>
      <c r="M757" s="72" t="str">
        <f>IF(E757="","",IF(L757&lt;&gt;"",L757,IFERROR(IF(ISNUMBER(INDEX(art_tva,MATCH($E757,art_ref,0))),INDEX(art_tva,MATCH($E757,art_ref,0)),""),"")))</f>
        <v/>
      </c>
      <c r="N757" s="70" t="str">
        <f>IF(OR(E757="",J757=""),"",ROUND(N(H757)*J757*(1-N(K757)),2))</f>
        <v/>
      </c>
      <c r="O757" s="70" t="str">
        <f>IF(OR(N757="",NOT(ISNUMBER(M757))),"",ROUND(N757*M757,2))</f>
        <v/>
      </c>
      <c r="P757" s="70" t="str">
        <f>IF(N757="","",N757+N(O757))</f>
        <v/>
      </c>
      <c r="Q757" s="64" t="n"/>
      <c r="R757" s="73" t="str">
        <f>IF(N(Q757)&gt;0,Q757,IF(OR(N(B757)=0,ISNA(MATCH($C757,sup_code,0))),"",IF(ISNUMBER(INDEX(sup_delay,MATCH($C757,sup_code,0))),B757+INDEX(sup_delay,MATCH($C757,sup_code,0)),"")))</f>
        <v/>
      </c>
      <c r="S757" s="64" t="n"/>
      <c r="T757" s="68" t="n"/>
      <c r="U757" s="64" t="n"/>
      <c r="V757" s="65" t="n"/>
      <c r="W757" s="74" t="str">
        <f>IF(AND(A757="",E757=""),"",IF(V757="Oui",0,MAX(0,ROUND(N(H757)-N(T757),6))))</f>
        <v/>
      </c>
      <c r="X757" s="67" t="str">
        <f>IF(AND(A757="",E757=""),"",IF(V757="Oui","Annulé",IF(AND(N(H757)&gt;0,N(T757)&gt;=N(H757)),"Reçu",IF(N(S757)=0,"Brouillon",IF(AND(ISNUMBER(R757),R757&lt;p_today),"En retard",IF(N(T757)&gt;0,"Partiel","Envoyé"))))))</f>
        <v/>
      </c>
      <c r="Y757" s="75" t="str">
        <f>IF(X757="En retard",p_today-R757,IF(AND(X757="Reçu",ISNUMBER(R757)),MAX(0,N(U757)-R757),""))</f>
        <v/>
      </c>
      <c r="Z757" s="67" t="str">
        <f>IF(AND(A757="",E757=""),"",IF(A757="","N° de bon manquant",IF(N(B757)=0,"Date de commande manquante",IF(C757="","Fournisseur manquant",IF(ISNA(MATCH($C757,sup_code,0)),"Fournisseur inconnu",IF(E757="","Article manquant",IF(ISNA(MATCH($E757,art_ref,0)),"Article inconnu",IF(N(H757)&lt;=0,"Quantité invalide",IF(J757="","Prix manquant",IF(OR(N(K757)&lt;0,N(K757)&gt;=1),"Remise invalide",IF(M757="","TVA manquante",IF(ISNA(MATCH(M757,p_tva,0)),"Taux de TVA inconnu",IF(COUNTIFS(po_num,A757,po_sup,"&lt;&gt;"&amp;C757)&gt;0,"Fournisseur différent sur ce bon",IF(COUNTIFS(po_num,A757,po_date,"&lt;&gt;"&amp;B757)&gt;0,"Date différente sur ce bon",IF(COUNTIF(po_num,A757)&gt;25,"Plus de 25 lignes sur ce bon",IF(R757="","Date de livraison manquante",IF(R757&lt;B757,"Livraison avant la commande",IF(AND(N(T757)&gt;0,N(S757)=0),"Date d'envoi manquante",IF(N(T757)&gt;N(H757),"Reçu plus que commandé",IF(AND(N(T757)&gt;0,N(U757)=0),"Date de réception manquante",IF(AND(N(U757)&gt;0,U757&lt;B757),"Réception avant la commande","OK")))))))))))))))))))))</f>
        <v/>
      </c>
      <c r="AA757" s="66" t="str">
        <f>IF(AND(X757="Reçu",ISNUMBER(R757)),IF(N(U757)&lt;=R757,1,0),"")</f>
        <v/>
      </c>
      <c r="AB757" s="76" t="str">
        <f>IF(OR(X757="Envoyé",X757="Partiel",X757="En retard"),IF(ISNUMBER(R757),R757,100000)+ROW()/100000,"")</f>
        <v/>
      </c>
      <c r="AC757" s="66" t="str">
        <f>IF(A757="","",IF(COUNTIF($A$6:A757,A757)=1,1,""))</f>
        <v/>
      </c>
      <c r="AD757" s="66" t="str">
        <f>IF(AC757=1,COUNT($AC$6:AC757),"")</f>
        <v/>
      </c>
      <c r="AE757" s="66" t="str">
        <f>IFERROR(INDEX(po_num,MATCH(752,po_seq,0))&amp;"","")</f>
        <v/>
      </c>
      <c r="AF757" s="66" t="str">
        <f>IF(OR(A757="",p_po=""),"",IF(A757&amp;""=p_po,COUNTIF($A$6:A757,A757),""))</f>
        <v/>
      </c>
      <c r="AG757" s="66" t="str">
        <f>IF(OR(AB757="",A757=""),"",IF(COUNTIFS($A$6:A757,A757,$AB$6:AB757,"&gt;0")=1,1,""))</f>
        <v/>
      </c>
      <c r="AH757" s="70" t="str">
        <f>IF(AB757="","",ROUND(N(W757)*N(J757)*(1-N(K757)),2))</f>
        <v/>
      </c>
      <c r="AI757" s="70" t="str">
        <f>IF(OR(J757="",N(T757)&lt;=0,V757="Oui"),"",ROUND(N(T757)*J757*(1-N(K757)),2))</f>
        <v/>
      </c>
    </row>
    <row r="758">
      <c r="A758" s="63" t="n"/>
      <c r="B758" s="64" t="n"/>
      <c r="C758" s="65" t="n"/>
      <c r="D758" s="66" t="str">
        <f>IF(C758="","",IFERROR(INDEX(sup_name,MATCH($C758,sup_code,0))&amp;"","Fournisseur inconnu"))</f>
        <v/>
      </c>
      <c r="E758" s="63" t="n"/>
      <c r="F758" s="66" t="str">
        <f>IF(E758="","",IFERROR(INDEX(art_des,MATCH($E758,art_ref,0))&amp;"","Article inconnu"))</f>
        <v/>
      </c>
      <c r="G758" s="67" t="str">
        <f>IF(E758="","",IFERROR(INDEX(art_unit,MATCH($E758,art_ref,0))&amp;"",""))</f>
        <v/>
      </c>
      <c r="H758" s="68" t="n"/>
      <c r="I758" s="69" t="n"/>
      <c r="J758" s="70" t="str">
        <f>IF(E758="","",IF(ISNUMBER(I758),I758,IFERROR(IF(ISNUMBER(INDEX(art_price,MATCH($E758,art_ref,0))),INDEX(art_price,MATCH($E758,art_ref,0)),""),"")))</f>
        <v/>
      </c>
      <c r="K758" s="71" t="n"/>
      <c r="L758" s="72" t="n"/>
      <c r="M758" s="72" t="str">
        <f>IF(E758="","",IF(L758&lt;&gt;"",L758,IFERROR(IF(ISNUMBER(INDEX(art_tva,MATCH($E758,art_ref,0))),INDEX(art_tva,MATCH($E758,art_ref,0)),""),"")))</f>
        <v/>
      </c>
      <c r="N758" s="70" t="str">
        <f>IF(OR(E758="",J758=""),"",ROUND(N(H758)*J758*(1-N(K758)),2))</f>
        <v/>
      </c>
      <c r="O758" s="70" t="str">
        <f>IF(OR(N758="",NOT(ISNUMBER(M758))),"",ROUND(N758*M758,2))</f>
        <v/>
      </c>
      <c r="P758" s="70" t="str">
        <f>IF(N758="","",N758+N(O758))</f>
        <v/>
      </c>
      <c r="Q758" s="64" t="n"/>
      <c r="R758" s="73" t="str">
        <f>IF(N(Q758)&gt;0,Q758,IF(OR(N(B758)=0,ISNA(MATCH($C758,sup_code,0))),"",IF(ISNUMBER(INDEX(sup_delay,MATCH($C758,sup_code,0))),B758+INDEX(sup_delay,MATCH($C758,sup_code,0)),"")))</f>
        <v/>
      </c>
      <c r="S758" s="64" t="n"/>
      <c r="T758" s="68" t="n"/>
      <c r="U758" s="64" t="n"/>
      <c r="V758" s="65" t="n"/>
      <c r="W758" s="74" t="str">
        <f>IF(AND(A758="",E758=""),"",IF(V758="Oui",0,MAX(0,ROUND(N(H758)-N(T758),6))))</f>
        <v/>
      </c>
      <c r="X758" s="67" t="str">
        <f>IF(AND(A758="",E758=""),"",IF(V758="Oui","Annulé",IF(AND(N(H758)&gt;0,N(T758)&gt;=N(H758)),"Reçu",IF(N(S758)=0,"Brouillon",IF(AND(ISNUMBER(R758),R758&lt;p_today),"En retard",IF(N(T758)&gt;0,"Partiel","Envoyé"))))))</f>
        <v/>
      </c>
      <c r="Y758" s="75" t="str">
        <f>IF(X758="En retard",p_today-R758,IF(AND(X758="Reçu",ISNUMBER(R758)),MAX(0,N(U758)-R758),""))</f>
        <v/>
      </c>
      <c r="Z758" s="67" t="str">
        <f>IF(AND(A758="",E758=""),"",IF(A758="","N° de bon manquant",IF(N(B758)=0,"Date de commande manquante",IF(C758="","Fournisseur manquant",IF(ISNA(MATCH($C758,sup_code,0)),"Fournisseur inconnu",IF(E758="","Article manquant",IF(ISNA(MATCH($E758,art_ref,0)),"Article inconnu",IF(N(H758)&lt;=0,"Quantité invalide",IF(J758="","Prix manquant",IF(OR(N(K758)&lt;0,N(K758)&gt;=1),"Remise invalide",IF(M758="","TVA manquante",IF(ISNA(MATCH(M758,p_tva,0)),"Taux de TVA inconnu",IF(COUNTIFS(po_num,A758,po_sup,"&lt;&gt;"&amp;C758)&gt;0,"Fournisseur différent sur ce bon",IF(COUNTIFS(po_num,A758,po_date,"&lt;&gt;"&amp;B758)&gt;0,"Date différente sur ce bon",IF(COUNTIF(po_num,A758)&gt;25,"Plus de 25 lignes sur ce bon",IF(R758="","Date de livraison manquante",IF(R758&lt;B758,"Livraison avant la commande",IF(AND(N(T758)&gt;0,N(S758)=0),"Date d'envoi manquante",IF(N(T758)&gt;N(H758),"Reçu plus que commandé",IF(AND(N(T758)&gt;0,N(U758)=0),"Date de réception manquante",IF(AND(N(U758)&gt;0,U758&lt;B758),"Réception avant la commande","OK")))))))))))))))))))))</f>
        <v/>
      </c>
      <c r="AA758" s="66" t="str">
        <f>IF(AND(X758="Reçu",ISNUMBER(R758)),IF(N(U758)&lt;=R758,1,0),"")</f>
        <v/>
      </c>
      <c r="AB758" s="76" t="str">
        <f>IF(OR(X758="Envoyé",X758="Partiel",X758="En retard"),IF(ISNUMBER(R758),R758,100000)+ROW()/100000,"")</f>
        <v/>
      </c>
      <c r="AC758" s="66" t="str">
        <f>IF(A758="","",IF(COUNTIF($A$6:A758,A758)=1,1,""))</f>
        <v/>
      </c>
      <c r="AD758" s="66" t="str">
        <f>IF(AC758=1,COUNT($AC$6:AC758),"")</f>
        <v/>
      </c>
      <c r="AE758" s="66" t="str">
        <f>IFERROR(INDEX(po_num,MATCH(753,po_seq,0))&amp;"","")</f>
        <v/>
      </c>
      <c r="AF758" s="66" t="str">
        <f>IF(OR(A758="",p_po=""),"",IF(A758&amp;""=p_po,COUNTIF($A$6:A758,A758),""))</f>
        <v/>
      </c>
      <c r="AG758" s="66" t="str">
        <f>IF(OR(AB758="",A758=""),"",IF(COUNTIFS($A$6:A758,A758,$AB$6:AB758,"&gt;0")=1,1,""))</f>
        <v/>
      </c>
      <c r="AH758" s="70" t="str">
        <f>IF(AB758="","",ROUND(N(W758)*N(J758)*(1-N(K758)),2))</f>
        <v/>
      </c>
      <c r="AI758" s="70" t="str">
        <f>IF(OR(J758="",N(T758)&lt;=0,V758="Oui"),"",ROUND(N(T758)*J758*(1-N(K758)),2))</f>
        <v/>
      </c>
    </row>
    <row r="759">
      <c r="A759" s="63" t="n"/>
      <c r="B759" s="64" t="n"/>
      <c r="C759" s="65" t="n"/>
      <c r="D759" s="66" t="str">
        <f>IF(C759="","",IFERROR(INDEX(sup_name,MATCH($C759,sup_code,0))&amp;"","Fournisseur inconnu"))</f>
        <v/>
      </c>
      <c r="E759" s="63" t="n"/>
      <c r="F759" s="66" t="str">
        <f>IF(E759="","",IFERROR(INDEX(art_des,MATCH($E759,art_ref,0))&amp;"","Article inconnu"))</f>
        <v/>
      </c>
      <c r="G759" s="67" t="str">
        <f>IF(E759="","",IFERROR(INDEX(art_unit,MATCH($E759,art_ref,0))&amp;"",""))</f>
        <v/>
      </c>
      <c r="H759" s="68" t="n"/>
      <c r="I759" s="69" t="n"/>
      <c r="J759" s="70" t="str">
        <f>IF(E759="","",IF(ISNUMBER(I759),I759,IFERROR(IF(ISNUMBER(INDEX(art_price,MATCH($E759,art_ref,0))),INDEX(art_price,MATCH($E759,art_ref,0)),""),"")))</f>
        <v/>
      </c>
      <c r="K759" s="71" t="n"/>
      <c r="L759" s="72" t="n"/>
      <c r="M759" s="72" t="str">
        <f>IF(E759="","",IF(L759&lt;&gt;"",L759,IFERROR(IF(ISNUMBER(INDEX(art_tva,MATCH($E759,art_ref,0))),INDEX(art_tva,MATCH($E759,art_ref,0)),""),"")))</f>
        <v/>
      </c>
      <c r="N759" s="70" t="str">
        <f>IF(OR(E759="",J759=""),"",ROUND(N(H759)*J759*(1-N(K759)),2))</f>
        <v/>
      </c>
      <c r="O759" s="70" t="str">
        <f>IF(OR(N759="",NOT(ISNUMBER(M759))),"",ROUND(N759*M759,2))</f>
        <v/>
      </c>
      <c r="P759" s="70" t="str">
        <f>IF(N759="","",N759+N(O759))</f>
        <v/>
      </c>
      <c r="Q759" s="64" t="n"/>
      <c r="R759" s="73" t="str">
        <f>IF(N(Q759)&gt;0,Q759,IF(OR(N(B759)=0,ISNA(MATCH($C759,sup_code,0))),"",IF(ISNUMBER(INDEX(sup_delay,MATCH($C759,sup_code,0))),B759+INDEX(sup_delay,MATCH($C759,sup_code,0)),"")))</f>
        <v/>
      </c>
      <c r="S759" s="64" t="n"/>
      <c r="T759" s="68" t="n"/>
      <c r="U759" s="64" t="n"/>
      <c r="V759" s="65" t="n"/>
      <c r="W759" s="74" t="str">
        <f>IF(AND(A759="",E759=""),"",IF(V759="Oui",0,MAX(0,ROUND(N(H759)-N(T759),6))))</f>
        <v/>
      </c>
      <c r="X759" s="67" t="str">
        <f>IF(AND(A759="",E759=""),"",IF(V759="Oui","Annulé",IF(AND(N(H759)&gt;0,N(T759)&gt;=N(H759)),"Reçu",IF(N(S759)=0,"Brouillon",IF(AND(ISNUMBER(R759),R759&lt;p_today),"En retard",IF(N(T759)&gt;0,"Partiel","Envoyé"))))))</f>
        <v/>
      </c>
      <c r="Y759" s="75" t="str">
        <f>IF(X759="En retard",p_today-R759,IF(AND(X759="Reçu",ISNUMBER(R759)),MAX(0,N(U759)-R759),""))</f>
        <v/>
      </c>
      <c r="Z759" s="67" t="str">
        <f>IF(AND(A759="",E759=""),"",IF(A759="","N° de bon manquant",IF(N(B759)=0,"Date de commande manquante",IF(C759="","Fournisseur manquant",IF(ISNA(MATCH($C759,sup_code,0)),"Fournisseur inconnu",IF(E759="","Article manquant",IF(ISNA(MATCH($E759,art_ref,0)),"Article inconnu",IF(N(H759)&lt;=0,"Quantité invalide",IF(J759="","Prix manquant",IF(OR(N(K759)&lt;0,N(K759)&gt;=1),"Remise invalide",IF(M759="","TVA manquante",IF(ISNA(MATCH(M759,p_tva,0)),"Taux de TVA inconnu",IF(COUNTIFS(po_num,A759,po_sup,"&lt;&gt;"&amp;C759)&gt;0,"Fournisseur différent sur ce bon",IF(COUNTIFS(po_num,A759,po_date,"&lt;&gt;"&amp;B759)&gt;0,"Date différente sur ce bon",IF(COUNTIF(po_num,A759)&gt;25,"Plus de 25 lignes sur ce bon",IF(R759="","Date de livraison manquante",IF(R759&lt;B759,"Livraison avant la commande",IF(AND(N(T759)&gt;0,N(S759)=0),"Date d'envoi manquante",IF(N(T759)&gt;N(H759),"Reçu plus que commandé",IF(AND(N(T759)&gt;0,N(U759)=0),"Date de réception manquante",IF(AND(N(U759)&gt;0,U759&lt;B759),"Réception avant la commande","OK")))))))))))))))))))))</f>
        <v/>
      </c>
      <c r="AA759" s="66" t="str">
        <f>IF(AND(X759="Reçu",ISNUMBER(R759)),IF(N(U759)&lt;=R759,1,0),"")</f>
        <v/>
      </c>
      <c r="AB759" s="76" t="str">
        <f>IF(OR(X759="Envoyé",X759="Partiel",X759="En retard"),IF(ISNUMBER(R759),R759,100000)+ROW()/100000,"")</f>
        <v/>
      </c>
      <c r="AC759" s="66" t="str">
        <f>IF(A759="","",IF(COUNTIF($A$6:A759,A759)=1,1,""))</f>
        <v/>
      </c>
      <c r="AD759" s="66" t="str">
        <f>IF(AC759=1,COUNT($AC$6:AC759),"")</f>
        <v/>
      </c>
      <c r="AE759" s="66" t="str">
        <f>IFERROR(INDEX(po_num,MATCH(754,po_seq,0))&amp;"","")</f>
        <v/>
      </c>
      <c r="AF759" s="66" t="str">
        <f>IF(OR(A759="",p_po=""),"",IF(A759&amp;""=p_po,COUNTIF($A$6:A759,A759),""))</f>
        <v/>
      </c>
      <c r="AG759" s="66" t="str">
        <f>IF(OR(AB759="",A759=""),"",IF(COUNTIFS($A$6:A759,A759,$AB$6:AB759,"&gt;0")=1,1,""))</f>
        <v/>
      </c>
      <c r="AH759" s="70" t="str">
        <f>IF(AB759="","",ROUND(N(W759)*N(J759)*(1-N(K759)),2))</f>
        <v/>
      </c>
      <c r="AI759" s="70" t="str">
        <f>IF(OR(J759="",N(T759)&lt;=0,V759="Oui"),"",ROUND(N(T759)*J759*(1-N(K759)),2))</f>
        <v/>
      </c>
    </row>
    <row r="760">
      <c r="A760" s="63" t="n"/>
      <c r="B760" s="64" t="n"/>
      <c r="C760" s="65" t="n"/>
      <c r="D760" s="66" t="str">
        <f>IF(C760="","",IFERROR(INDEX(sup_name,MATCH($C760,sup_code,0))&amp;"","Fournisseur inconnu"))</f>
        <v/>
      </c>
      <c r="E760" s="63" t="n"/>
      <c r="F760" s="66" t="str">
        <f>IF(E760="","",IFERROR(INDEX(art_des,MATCH($E760,art_ref,0))&amp;"","Article inconnu"))</f>
        <v/>
      </c>
      <c r="G760" s="67" t="str">
        <f>IF(E760="","",IFERROR(INDEX(art_unit,MATCH($E760,art_ref,0))&amp;"",""))</f>
        <v/>
      </c>
      <c r="H760" s="68" t="n"/>
      <c r="I760" s="69" t="n"/>
      <c r="J760" s="70" t="str">
        <f>IF(E760="","",IF(ISNUMBER(I760),I760,IFERROR(IF(ISNUMBER(INDEX(art_price,MATCH($E760,art_ref,0))),INDEX(art_price,MATCH($E760,art_ref,0)),""),"")))</f>
        <v/>
      </c>
      <c r="K760" s="71" t="n"/>
      <c r="L760" s="72" t="n"/>
      <c r="M760" s="72" t="str">
        <f>IF(E760="","",IF(L760&lt;&gt;"",L760,IFERROR(IF(ISNUMBER(INDEX(art_tva,MATCH($E760,art_ref,0))),INDEX(art_tva,MATCH($E760,art_ref,0)),""),"")))</f>
        <v/>
      </c>
      <c r="N760" s="70" t="str">
        <f>IF(OR(E760="",J760=""),"",ROUND(N(H760)*J760*(1-N(K760)),2))</f>
        <v/>
      </c>
      <c r="O760" s="70" t="str">
        <f>IF(OR(N760="",NOT(ISNUMBER(M760))),"",ROUND(N760*M760,2))</f>
        <v/>
      </c>
      <c r="P760" s="70" t="str">
        <f>IF(N760="","",N760+N(O760))</f>
        <v/>
      </c>
      <c r="Q760" s="64" t="n"/>
      <c r="R760" s="73" t="str">
        <f>IF(N(Q760)&gt;0,Q760,IF(OR(N(B760)=0,ISNA(MATCH($C760,sup_code,0))),"",IF(ISNUMBER(INDEX(sup_delay,MATCH($C760,sup_code,0))),B760+INDEX(sup_delay,MATCH($C760,sup_code,0)),"")))</f>
        <v/>
      </c>
      <c r="S760" s="64" t="n"/>
      <c r="T760" s="68" t="n"/>
      <c r="U760" s="64" t="n"/>
      <c r="V760" s="65" t="n"/>
      <c r="W760" s="74" t="str">
        <f>IF(AND(A760="",E760=""),"",IF(V760="Oui",0,MAX(0,ROUND(N(H760)-N(T760),6))))</f>
        <v/>
      </c>
      <c r="X760" s="67" t="str">
        <f>IF(AND(A760="",E760=""),"",IF(V760="Oui","Annulé",IF(AND(N(H760)&gt;0,N(T760)&gt;=N(H760)),"Reçu",IF(N(S760)=0,"Brouillon",IF(AND(ISNUMBER(R760),R760&lt;p_today),"En retard",IF(N(T760)&gt;0,"Partiel","Envoyé"))))))</f>
        <v/>
      </c>
      <c r="Y760" s="75" t="str">
        <f>IF(X760="En retard",p_today-R760,IF(AND(X760="Reçu",ISNUMBER(R760)),MAX(0,N(U760)-R760),""))</f>
        <v/>
      </c>
      <c r="Z760" s="67" t="str">
        <f>IF(AND(A760="",E760=""),"",IF(A760="","N° de bon manquant",IF(N(B760)=0,"Date de commande manquante",IF(C760="","Fournisseur manquant",IF(ISNA(MATCH($C760,sup_code,0)),"Fournisseur inconnu",IF(E760="","Article manquant",IF(ISNA(MATCH($E760,art_ref,0)),"Article inconnu",IF(N(H760)&lt;=0,"Quantité invalide",IF(J760="","Prix manquant",IF(OR(N(K760)&lt;0,N(K760)&gt;=1),"Remise invalide",IF(M760="","TVA manquante",IF(ISNA(MATCH(M760,p_tva,0)),"Taux de TVA inconnu",IF(COUNTIFS(po_num,A760,po_sup,"&lt;&gt;"&amp;C760)&gt;0,"Fournisseur différent sur ce bon",IF(COUNTIFS(po_num,A760,po_date,"&lt;&gt;"&amp;B760)&gt;0,"Date différente sur ce bon",IF(COUNTIF(po_num,A760)&gt;25,"Plus de 25 lignes sur ce bon",IF(R760="","Date de livraison manquante",IF(R760&lt;B760,"Livraison avant la commande",IF(AND(N(T760)&gt;0,N(S760)=0),"Date d'envoi manquante",IF(N(T760)&gt;N(H760),"Reçu plus que commandé",IF(AND(N(T760)&gt;0,N(U760)=0),"Date de réception manquante",IF(AND(N(U760)&gt;0,U760&lt;B760),"Réception avant la commande","OK")))))))))))))))))))))</f>
        <v/>
      </c>
      <c r="AA760" s="66" t="str">
        <f>IF(AND(X760="Reçu",ISNUMBER(R760)),IF(N(U760)&lt;=R760,1,0),"")</f>
        <v/>
      </c>
      <c r="AB760" s="76" t="str">
        <f>IF(OR(X760="Envoyé",X760="Partiel",X760="En retard"),IF(ISNUMBER(R760),R760,100000)+ROW()/100000,"")</f>
        <v/>
      </c>
      <c r="AC760" s="66" t="str">
        <f>IF(A760="","",IF(COUNTIF($A$6:A760,A760)=1,1,""))</f>
        <v/>
      </c>
      <c r="AD760" s="66" t="str">
        <f>IF(AC760=1,COUNT($AC$6:AC760),"")</f>
        <v/>
      </c>
      <c r="AE760" s="66" t="str">
        <f>IFERROR(INDEX(po_num,MATCH(755,po_seq,0))&amp;"","")</f>
        <v/>
      </c>
      <c r="AF760" s="66" t="str">
        <f>IF(OR(A760="",p_po=""),"",IF(A760&amp;""=p_po,COUNTIF($A$6:A760,A760),""))</f>
        <v/>
      </c>
      <c r="AG760" s="66" t="str">
        <f>IF(OR(AB760="",A760=""),"",IF(COUNTIFS($A$6:A760,A760,$AB$6:AB760,"&gt;0")=1,1,""))</f>
        <v/>
      </c>
      <c r="AH760" s="70" t="str">
        <f>IF(AB760="","",ROUND(N(W760)*N(J760)*(1-N(K760)),2))</f>
        <v/>
      </c>
      <c r="AI760" s="70" t="str">
        <f>IF(OR(J760="",N(T760)&lt;=0,V760="Oui"),"",ROUND(N(T760)*J760*(1-N(K760)),2))</f>
        <v/>
      </c>
    </row>
    <row r="761">
      <c r="A761" s="63" t="n"/>
      <c r="B761" s="64" t="n"/>
      <c r="C761" s="65" t="n"/>
      <c r="D761" s="66" t="str">
        <f>IF(C761="","",IFERROR(INDEX(sup_name,MATCH($C761,sup_code,0))&amp;"","Fournisseur inconnu"))</f>
        <v/>
      </c>
      <c r="E761" s="63" t="n"/>
      <c r="F761" s="66" t="str">
        <f>IF(E761="","",IFERROR(INDEX(art_des,MATCH($E761,art_ref,0))&amp;"","Article inconnu"))</f>
        <v/>
      </c>
      <c r="G761" s="67" t="str">
        <f>IF(E761="","",IFERROR(INDEX(art_unit,MATCH($E761,art_ref,0))&amp;"",""))</f>
        <v/>
      </c>
      <c r="H761" s="68" t="n"/>
      <c r="I761" s="69" t="n"/>
      <c r="J761" s="70" t="str">
        <f>IF(E761="","",IF(ISNUMBER(I761),I761,IFERROR(IF(ISNUMBER(INDEX(art_price,MATCH($E761,art_ref,0))),INDEX(art_price,MATCH($E761,art_ref,0)),""),"")))</f>
        <v/>
      </c>
      <c r="K761" s="71" t="n"/>
      <c r="L761" s="72" t="n"/>
      <c r="M761" s="72" t="str">
        <f>IF(E761="","",IF(L761&lt;&gt;"",L761,IFERROR(IF(ISNUMBER(INDEX(art_tva,MATCH($E761,art_ref,0))),INDEX(art_tva,MATCH($E761,art_ref,0)),""),"")))</f>
        <v/>
      </c>
      <c r="N761" s="70" t="str">
        <f>IF(OR(E761="",J761=""),"",ROUND(N(H761)*J761*(1-N(K761)),2))</f>
        <v/>
      </c>
      <c r="O761" s="70" t="str">
        <f>IF(OR(N761="",NOT(ISNUMBER(M761))),"",ROUND(N761*M761,2))</f>
        <v/>
      </c>
      <c r="P761" s="70" t="str">
        <f>IF(N761="","",N761+N(O761))</f>
        <v/>
      </c>
      <c r="Q761" s="64" t="n"/>
      <c r="R761" s="73" t="str">
        <f>IF(N(Q761)&gt;0,Q761,IF(OR(N(B761)=0,ISNA(MATCH($C761,sup_code,0))),"",IF(ISNUMBER(INDEX(sup_delay,MATCH($C761,sup_code,0))),B761+INDEX(sup_delay,MATCH($C761,sup_code,0)),"")))</f>
        <v/>
      </c>
      <c r="S761" s="64" t="n"/>
      <c r="T761" s="68" t="n"/>
      <c r="U761" s="64" t="n"/>
      <c r="V761" s="65" t="n"/>
      <c r="W761" s="74" t="str">
        <f>IF(AND(A761="",E761=""),"",IF(V761="Oui",0,MAX(0,ROUND(N(H761)-N(T761),6))))</f>
        <v/>
      </c>
      <c r="X761" s="67" t="str">
        <f>IF(AND(A761="",E761=""),"",IF(V761="Oui","Annulé",IF(AND(N(H761)&gt;0,N(T761)&gt;=N(H761)),"Reçu",IF(N(S761)=0,"Brouillon",IF(AND(ISNUMBER(R761),R761&lt;p_today),"En retard",IF(N(T761)&gt;0,"Partiel","Envoyé"))))))</f>
        <v/>
      </c>
      <c r="Y761" s="75" t="str">
        <f>IF(X761="En retard",p_today-R761,IF(AND(X761="Reçu",ISNUMBER(R761)),MAX(0,N(U761)-R761),""))</f>
        <v/>
      </c>
      <c r="Z761" s="67" t="str">
        <f>IF(AND(A761="",E761=""),"",IF(A761="","N° de bon manquant",IF(N(B761)=0,"Date de commande manquante",IF(C761="","Fournisseur manquant",IF(ISNA(MATCH($C761,sup_code,0)),"Fournisseur inconnu",IF(E761="","Article manquant",IF(ISNA(MATCH($E761,art_ref,0)),"Article inconnu",IF(N(H761)&lt;=0,"Quantité invalide",IF(J761="","Prix manquant",IF(OR(N(K761)&lt;0,N(K761)&gt;=1),"Remise invalide",IF(M761="","TVA manquante",IF(ISNA(MATCH(M761,p_tva,0)),"Taux de TVA inconnu",IF(COUNTIFS(po_num,A761,po_sup,"&lt;&gt;"&amp;C761)&gt;0,"Fournisseur différent sur ce bon",IF(COUNTIFS(po_num,A761,po_date,"&lt;&gt;"&amp;B761)&gt;0,"Date différente sur ce bon",IF(COUNTIF(po_num,A761)&gt;25,"Plus de 25 lignes sur ce bon",IF(R761="","Date de livraison manquante",IF(R761&lt;B761,"Livraison avant la commande",IF(AND(N(T761)&gt;0,N(S761)=0),"Date d'envoi manquante",IF(N(T761)&gt;N(H761),"Reçu plus que commandé",IF(AND(N(T761)&gt;0,N(U761)=0),"Date de réception manquante",IF(AND(N(U761)&gt;0,U761&lt;B761),"Réception avant la commande","OK")))))))))))))))))))))</f>
        <v/>
      </c>
      <c r="AA761" s="66" t="str">
        <f>IF(AND(X761="Reçu",ISNUMBER(R761)),IF(N(U761)&lt;=R761,1,0),"")</f>
        <v/>
      </c>
      <c r="AB761" s="76" t="str">
        <f>IF(OR(X761="Envoyé",X761="Partiel",X761="En retard"),IF(ISNUMBER(R761),R761,100000)+ROW()/100000,"")</f>
        <v/>
      </c>
      <c r="AC761" s="66" t="str">
        <f>IF(A761="","",IF(COUNTIF($A$6:A761,A761)=1,1,""))</f>
        <v/>
      </c>
      <c r="AD761" s="66" t="str">
        <f>IF(AC761=1,COUNT($AC$6:AC761),"")</f>
        <v/>
      </c>
      <c r="AE761" s="66" t="str">
        <f>IFERROR(INDEX(po_num,MATCH(756,po_seq,0))&amp;"","")</f>
        <v/>
      </c>
      <c r="AF761" s="66" t="str">
        <f>IF(OR(A761="",p_po=""),"",IF(A761&amp;""=p_po,COUNTIF($A$6:A761,A761),""))</f>
        <v/>
      </c>
      <c r="AG761" s="66" t="str">
        <f>IF(OR(AB761="",A761=""),"",IF(COUNTIFS($A$6:A761,A761,$AB$6:AB761,"&gt;0")=1,1,""))</f>
        <v/>
      </c>
      <c r="AH761" s="70" t="str">
        <f>IF(AB761="","",ROUND(N(W761)*N(J761)*(1-N(K761)),2))</f>
        <v/>
      </c>
      <c r="AI761" s="70" t="str">
        <f>IF(OR(J761="",N(T761)&lt;=0,V761="Oui"),"",ROUND(N(T761)*J761*(1-N(K761)),2))</f>
        <v/>
      </c>
    </row>
    <row r="762">
      <c r="A762" s="63" t="n"/>
      <c r="B762" s="64" t="n"/>
      <c r="C762" s="65" t="n"/>
      <c r="D762" s="66" t="str">
        <f>IF(C762="","",IFERROR(INDEX(sup_name,MATCH($C762,sup_code,0))&amp;"","Fournisseur inconnu"))</f>
        <v/>
      </c>
      <c r="E762" s="63" t="n"/>
      <c r="F762" s="66" t="str">
        <f>IF(E762="","",IFERROR(INDEX(art_des,MATCH($E762,art_ref,0))&amp;"","Article inconnu"))</f>
        <v/>
      </c>
      <c r="G762" s="67" t="str">
        <f>IF(E762="","",IFERROR(INDEX(art_unit,MATCH($E762,art_ref,0))&amp;"",""))</f>
        <v/>
      </c>
      <c r="H762" s="68" t="n"/>
      <c r="I762" s="69" t="n"/>
      <c r="J762" s="70" t="str">
        <f>IF(E762="","",IF(ISNUMBER(I762),I762,IFERROR(IF(ISNUMBER(INDEX(art_price,MATCH($E762,art_ref,0))),INDEX(art_price,MATCH($E762,art_ref,0)),""),"")))</f>
        <v/>
      </c>
      <c r="K762" s="71" t="n"/>
      <c r="L762" s="72" t="n"/>
      <c r="M762" s="72" t="str">
        <f>IF(E762="","",IF(L762&lt;&gt;"",L762,IFERROR(IF(ISNUMBER(INDEX(art_tva,MATCH($E762,art_ref,0))),INDEX(art_tva,MATCH($E762,art_ref,0)),""),"")))</f>
        <v/>
      </c>
      <c r="N762" s="70" t="str">
        <f>IF(OR(E762="",J762=""),"",ROUND(N(H762)*J762*(1-N(K762)),2))</f>
        <v/>
      </c>
      <c r="O762" s="70" t="str">
        <f>IF(OR(N762="",NOT(ISNUMBER(M762))),"",ROUND(N762*M762,2))</f>
        <v/>
      </c>
      <c r="P762" s="70" t="str">
        <f>IF(N762="","",N762+N(O762))</f>
        <v/>
      </c>
      <c r="Q762" s="64" t="n"/>
      <c r="R762" s="73" t="str">
        <f>IF(N(Q762)&gt;0,Q762,IF(OR(N(B762)=0,ISNA(MATCH($C762,sup_code,0))),"",IF(ISNUMBER(INDEX(sup_delay,MATCH($C762,sup_code,0))),B762+INDEX(sup_delay,MATCH($C762,sup_code,0)),"")))</f>
        <v/>
      </c>
      <c r="S762" s="64" t="n"/>
      <c r="T762" s="68" t="n"/>
      <c r="U762" s="64" t="n"/>
      <c r="V762" s="65" t="n"/>
      <c r="W762" s="74" t="str">
        <f>IF(AND(A762="",E762=""),"",IF(V762="Oui",0,MAX(0,ROUND(N(H762)-N(T762),6))))</f>
        <v/>
      </c>
      <c r="X762" s="67" t="str">
        <f>IF(AND(A762="",E762=""),"",IF(V762="Oui","Annulé",IF(AND(N(H762)&gt;0,N(T762)&gt;=N(H762)),"Reçu",IF(N(S762)=0,"Brouillon",IF(AND(ISNUMBER(R762),R762&lt;p_today),"En retard",IF(N(T762)&gt;0,"Partiel","Envoyé"))))))</f>
        <v/>
      </c>
      <c r="Y762" s="75" t="str">
        <f>IF(X762="En retard",p_today-R762,IF(AND(X762="Reçu",ISNUMBER(R762)),MAX(0,N(U762)-R762),""))</f>
        <v/>
      </c>
      <c r="Z762" s="67" t="str">
        <f>IF(AND(A762="",E762=""),"",IF(A762="","N° de bon manquant",IF(N(B762)=0,"Date de commande manquante",IF(C762="","Fournisseur manquant",IF(ISNA(MATCH($C762,sup_code,0)),"Fournisseur inconnu",IF(E762="","Article manquant",IF(ISNA(MATCH($E762,art_ref,0)),"Article inconnu",IF(N(H762)&lt;=0,"Quantité invalide",IF(J762="","Prix manquant",IF(OR(N(K762)&lt;0,N(K762)&gt;=1),"Remise invalide",IF(M762="","TVA manquante",IF(ISNA(MATCH(M762,p_tva,0)),"Taux de TVA inconnu",IF(COUNTIFS(po_num,A762,po_sup,"&lt;&gt;"&amp;C762)&gt;0,"Fournisseur différent sur ce bon",IF(COUNTIFS(po_num,A762,po_date,"&lt;&gt;"&amp;B762)&gt;0,"Date différente sur ce bon",IF(COUNTIF(po_num,A762)&gt;25,"Plus de 25 lignes sur ce bon",IF(R762="","Date de livraison manquante",IF(R762&lt;B762,"Livraison avant la commande",IF(AND(N(T762)&gt;0,N(S762)=0),"Date d'envoi manquante",IF(N(T762)&gt;N(H762),"Reçu plus que commandé",IF(AND(N(T762)&gt;0,N(U762)=0),"Date de réception manquante",IF(AND(N(U762)&gt;0,U762&lt;B762),"Réception avant la commande","OK")))))))))))))))))))))</f>
        <v/>
      </c>
      <c r="AA762" s="66" t="str">
        <f>IF(AND(X762="Reçu",ISNUMBER(R762)),IF(N(U762)&lt;=R762,1,0),"")</f>
        <v/>
      </c>
      <c r="AB762" s="76" t="str">
        <f>IF(OR(X762="Envoyé",X762="Partiel",X762="En retard"),IF(ISNUMBER(R762),R762,100000)+ROW()/100000,"")</f>
        <v/>
      </c>
      <c r="AC762" s="66" t="str">
        <f>IF(A762="","",IF(COUNTIF($A$6:A762,A762)=1,1,""))</f>
        <v/>
      </c>
      <c r="AD762" s="66" t="str">
        <f>IF(AC762=1,COUNT($AC$6:AC762),"")</f>
        <v/>
      </c>
      <c r="AE762" s="66" t="str">
        <f>IFERROR(INDEX(po_num,MATCH(757,po_seq,0))&amp;"","")</f>
        <v/>
      </c>
      <c r="AF762" s="66" t="str">
        <f>IF(OR(A762="",p_po=""),"",IF(A762&amp;""=p_po,COUNTIF($A$6:A762,A762),""))</f>
        <v/>
      </c>
      <c r="AG762" s="66" t="str">
        <f>IF(OR(AB762="",A762=""),"",IF(COUNTIFS($A$6:A762,A762,$AB$6:AB762,"&gt;0")=1,1,""))</f>
        <v/>
      </c>
      <c r="AH762" s="70" t="str">
        <f>IF(AB762="","",ROUND(N(W762)*N(J762)*(1-N(K762)),2))</f>
        <v/>
      </c>
      <c r="AI762" s="70" t="str">
        <f>IF(OR(J762="",N(T762)&lt;=0,V762="Oui"),"",ROUND(N(T762)*J762*(1-N(K762)),2))</f>
        <v/>
      </c>
    </row>
    <row r="763">
      <c r="A763" s="63" t="n"/>
      <c r="B763" s="64" t="n"/>
      <c r="C763" s="65" t="n"/>
      <c r="D763" s="66" t="str">
        <f>IF(C763="","",IFERROR(INDEX(sup_name,MATCH($C763,sup_code,0))&amp;"","Fournisseur inconnu"))</f>
        <v/>
      </c>
      <c r="E763" s="63" t="n"/>
      <c r="F763" s="66" t="str">
        <f>IF(E763="","",IFERROR(INDEX(art_des,MATCH($E763,art_ref,0))&amp;"","Article inconnu"))</f>
        <v/>
      </c>
      <c r="G763" s="67" t="str">
        <f>IF(E763="","",IFERROR(INDEX(art_unit,MATCH($E763,art_ref,0))&amp;"",""))</f>
        <v/>
      </c>
      <c r="H763" s="68" t="n"/>
      <c r="I763" s="69" t="n"/>
      <c r="J763" s="70" t="str">
        <f>IF(E763="","",IF(ISNUMBER(I763),I763,IFERROR(IF(ISNUMBER(INDEX(art_price,MATCH($E763,art_ref,0))),INDEX(art_price,MATCH($E763,art_ref,0)),""),"")))</f>
        <v/>
      </c>
      <c r="K763" s="71" t="n"/>
      <c r="L763" s="72" t="n"/>
      <c r="M763" s="72" t="str">
        <f>IF(E763="","",IF(L763&lt;&gt;"",L763,IFERROR(IF(ISNUMBER(INDEX(art_tva,MATCH($E763,art_ref,0))),INDEX(art_tva,MATCH($E763,art_ref,0)),""),"")))</f>
        <v/>
      </c>
      <c r="N763" s="70" t="str">
        <f>IF(OR(E763="",J763=""),"",ROUND(N(H763)*J763*(1-N(K763)),2))</f>
        <v/>
      </c>
      <c r="O763" s="70" t="str">
        <f>IF(OR(N763="",NOT(ISNUMBER(M763))),"",ROUND(N763*M763,2))</f>
        <v/>
      </c>
      <c r="P763" s="70" t="str">
        <f>IF(N763="","",N763+N(O763))</f>
        <v/>
      </c>
      <c r="Q763" s="64" t="n"/>
      <c r="R763" s="73" t="str">
        <f>IF(N(Q763)&gt;0,Q763,IF(OR(N(B763)=0,ISNA(MATCH($C763,sup_code,0))),"",IF(ISNUMBER(INDEX(sup_delay,MATCH($C763,sup_code,0))),B763+INDEX(sup_delay,MATCH($C763,sup_code,0)),"")))</f>
        <v/>
      </c>
      <c r="S763" s="64" t="n"/>
      <c r="T763" s="68" t="n"/>
      <c r="U763" s="64" t="n"/>
      <c r="V763" s="65" t="n"/>
      <c r="W763" s="74" t="str">
        <f>IF(AND(A763="",E763=""),"",IF(V763="Oui",0,MAX(0,ROUND(N(H763)-N(T763),6))))</f>
        <v/>
      </c>
      <c r="X763" s="67" t="str">
        <f>IF(AND(A763="",E763=""),"",IF(V763="Oui","Annulé",IF(AND(N(H763)&gt;0,N(T763)&gt;=N(H763)),"Reçu",IF(N(S763)=0,"Brouillon",IF(AND(ISNUMBER(R763),R763&lt;p_today),"En retard",IF(N(T763)&gt;0,"Partiel","Envoyé"))))))</f>
        <v/>
      </c>
      <c r="Y763" s="75" t="str">
        <f>IF(X763="En retard",p_today-R763,IF(AND(X763="Reçu",ISNUMBER(R763)),MAX(0,N(U763)-R763),""))</f>
        <v/>
      </c>
      <c r="Z763" s="67" t="str">
        <f>IF(AND(A763="",E763=""),"",IF(A763="","N° de bon manquant",IF(N(B763)=0,"Date de commande manquante",IF(C763="","Fournisseur manquant",IF(ISNA(MATCH($C763,sup_code,0)),"Fournisseur inconnu",IF(E763="","Article manquant",IF(ISNA(MATCH($E763,art_ref,0)),"Article inconnu",IF(N(H763)&lt;=0,"Quantité invalide",IF(J763="","Prix manquant",IF(OR(N(K763)&lt;0,N(K763)&gt;=1),"Remise invalide",IF(M763="","TVA manquante",IF(ISNA(MATCH(M763,p_tva,0)),"Taux de TVA inconnu",IF(COUNTIFS(po_num,A763,po_sup,"&lt;&gt;"&amp;C763)&gt;0,"Fournisseur différent sur ce bon",IF(COUNTIFS(po_num,A763,po_date,"&lt;&gt;"&amp;B763)&gt;0,"Date différente sur ce bon",IF(COUNTIF(po_num,A763)&gt;25,"Plus de 25 lignes sur ce bon",IF(R763="","Date de livraison manquante",IF(R763&lt;B763,"Livraison avant la commande",IF(AND(N(T763)&gt;0,N(S763)=0),"Date d'envoi manquante",IF(N(T763)&gt;N(H763),"Reçu plus que commandé",IF(AND(N(T763)&gt;0,N(U763)=0),"Date de réception manquante",IF(AND(N(U763)&gt;0,U763&lt;B763),"Réception avant la commande","OK")))))))))))))))))))))</f>
        <v/>
      </c>
      <c r="AA763" s="66" t="str">
        <f>IF(AND(X763="Reçu",ISNUMBER(R763)),IF(N(U763)&lt;=R763,1,0),"")</f>
        <v/>
      </c>
      <c r="AB763" s="76" t="str">
        <f>IF(OR(X763="Envoyé",X763="Partiel",X763="En retard"),IF(ISNUMBER(R763),R763,100000)+ROW()/100000,"")</f>
        <v/>
      </c>
      <c r="AC763" s="66" t="str">
        <f>IF(A763="","",IF(COUNTIF($A$6:A763,A763)=1,1,""))</f>
        <v/>
      </c>
      <c r="AD763" s="66" t="str">
        <f>IF(AC763=1,COUNT($AC$6:AC763),"")</f>
        <v/>
      </c>
      <c r="AE763" s="66" t="str">
        <f>IFERROR(INDEX(po_num,MATCH(758,po_seq,0))&amp;"","")</f>
        <v/>
      </c>
      <c r="AF763" s="66" t="str">
        <f>IF(OR(A763="",p_po=""),"",IF(A763&amp;""=p_po,COUNTIF($A$6:A763,A763),""))</f>
        <v/>
      </c>
      <c r="AG763" s="66" t="str">
        <f>IF(OR(AB763="",A763=""),"",IF(COUNTIFS($A$6:A763,A763,$AB$6:AB763,"&gt;0")=1,1,""))</f>
        <v/>
      </c>
      <c r="AH763" s="70" t="str">
        <f>IF(AB763="","",ROUND(N(W763)*N(J763)*(1-N(K763)),2))</f>
        <v/>
      </c>
      <c r="AI763" s="70" t="str">
        <f>IF(OR(J763="",N(T763)&lt;=0,V763="Oui"),"",ROUND(N(T763)*J763*(1-N(K763)),2))</f>
        <v/>
      </c>
    </row>
    <row r="764">
      <c r="A764" s="63" t="n"/>
      <c r="B764" s="64" t="n"/>
      <c r="C764" s="65" t="n"/>
      <c r="D764" s="66" t="str">
        <f>IF(C764="","",IFERROR(INDEX(sup_name,MATCH($C764,sup_code,0))&amp;"","Fournisseur inconnu"))</f>
        <v/>
      </c>
      <c r="E764" s="63" t="n"/>
      <c r="F764" s="66" t="str">
        <f>IF(E764="","",IFERROR(INDEX(art_des,MATCH($E764,art_ref,0))&amp;"","Article inconnu"))</f>
        <v/>
      </c>
      <c r="G764" s="67" t="str">
        <f>IF(E764="","",IFERROR(INDEX(art_unit,MATCH($E764,art_ref,0))&amp;"",""))</f>
        <v/>
      </c>
      <c r="H764" s="68" t="n"/>
      <c r="I764" s="69" t="n"/>
      <c r="J764" s="70" t="str">
        <f>IF(E764="","",IF(ISNUMBER(I764),I764,IFERROR(IF(ISNUMBER(INDEX(art_price,MATCH($E764,art_ref,0))),INDEX(art_price,MATCH($E764,art_ref,0)),""),"")))</f>
        <v/>
      </c>
      <c r="K764" s="71" t="n"/>
      <c r="L764" s="72" t="n"/>
      <c r="M764" s="72" t="str">
        <f>IF(E764="","",IF(L764&lt;&gt;"",L764,IFERROR(IF(ISNUMBER(INDEX(art_tva,MATCH($E764,art_ref,0))),INDEX(art_tva,MATCH($E764,art_ref,0)),""),"")))</f>
        <v/>
      </c>
      <c r="N764" s="70" t="str">
        <f>IF(OR(E764="",J764=""),"",ROUND(N(H764)*J764*(1-N(K764)),2))</f>
        <v/>
      </c>
      <c r="O764" s="70" t="str">
        <f>IF(OR(N764="",NOT(ISNUMBER(M764))),"",ROUND(N764*M764,2))</f>
        <v/>
      </c>
      <c r="P764" s="70" t="str">
        <f>IF(N764="","",N764+N(O764))</f>
        <v/>
      </c>
      <c r="Q764" s="64" t="n"/>
      <c r="R764" s="73" t="str">
        <f>IF(N(Q764)&gt;0,Q764,IF(OR(N(B764)=0,ISNA(MATCH($C764,sup_code,0))),"",IF(ISNUMBER(INDEX(sup_delay,MATCH($C764,sup_code,0))),B764+INDEX(sup_delay,MATCH($C764,sup_code,0)),"")))</f>
        <v/>
      </c>
      <c r="S764" s="64" t="n"/>
      <c r="T764" s="68" t="n"/>
      <c r="U764" s="64" t="n"/>
      <c r="V764" s="65" t="n"/>
      <c r="W764" s="74" t="str">
        <f>IF(AND(A764="",E764=""),"",IF(V764="Oui",0,MAX(0,ROUND(N(H764)-N(T764),6))))</f>
        <v/>
      </c>
      <c r="X764" s="67" t="str">
        <f>IF(AND(A764="",E764=""),"",IF(V764="Oui","Annulé",IF(AND(N(H764)&gt;0,N(T764)&gt;=N(H764)),"Reçu",IF(N(S764)=0,"Brouillon",IF(AND(ISNUMBER(R764),R764&lt;p_today),"En retard",IF(N(T764)&gt;0,"Partiel","Envoyé"))))))</f>
        <v/>
      </c>
      <c r="Y764" s="75" t="str">
        <f>IF(X764="En retard",p_today-R764,IF(AND(X764="Reçu",ISNUMBER(R764)),MAX(0,N(U764)-R764),""))</f>
        <v/>
      </c>
      <c r="Z764" s="67" t="str">
        <f>IF(AND(A764="",E764=""),"",IF(A764="","N° de bon manquant",IF(N(B764)=0,"Date de commande manquante",IF(C764="","Fournisseur manquant",IF(ISNA(MATCH($C764,sup_code,0)),"Fournisseur inconnu",IF(E764="","Article manquant",IF(ISNA(MATCH($E764,art_ref,0)),"Article inconnu",IF(N(H764)&lt;=0,"Quantité invalide",IF(J764="","Prix manquant",IF(OR(N(K764)&lt;0,N(K764)&gt;=1),"Remise invalide",IF(M764="","TVA manquante",IF(ISNA(MATCH(M764,p_tva,0)),"Taux de TVA inconnu",IF(COUNTIFS(po_num,A764,po_sup,"&lt;&gt;"&amp;C764)&gt;0,"Fournisseur différent sur ce bon",IF(COUNTIFS(po_num,A764,po_date,"&lt;&gt;"&amp;B764)&gt;0,"Date différente sur ce bon",IF(COUNTIF(po_num,A764)&gt;25,"Plus de 25 lignes sur ce bon",IF(R764="","Date de livraison manquante",IF(R764&lt;B764,"Livraison avant la commande",IF(AND(N(T764)&gt;0,N(S764)=0),"Date d'envoi manquante",IF(N(T764)&gt;N(H764),"Reçu plus que commandé",IF(AND(N(T764)&gt;0,N(U764)=0),"Date de réception manquante",IF(AND(N(U764)&gt;0,U764&lt;B764),"Réception avant la commande","OK")))))))))))))))))))))</f>
        <v/>
      </c>
      <c r="AA764" s="66" t="str">
        <f>IF(AND(X764="Reçu",ISNUMBER(R764)),IF(N(U764)&lt;=R764,1,0),"")</f>
        <v/>
      </c>
      <c r="AB764" s="76" t="str">
        <f>IF(OR(X764="Envoyé",X764="Partiel",X764="En retard"),IF(ISNUMBER(R764),R764,100000)+ROW()/100000,"")</f>
        <v/>
      </c>
      <c r="AC764" s="66" t="str">
        <f>IF(A764="","",IF(COUNTIF($A$6:A764,A764)=1,1,""))</f>
        <v/>
      </c>
      <c r="AD764" s="66" t="str">
        <f>IF(AC764=1,COUNT($AC$6:AC764),"")</f>
        <v/>
      </c>
      <c r="AE764" s="66" t="str">
        <f>IFERROR(INDEX(po_num,MATCH(759,po_seq,0))&amp;"","")</f>
        <v/>
      </c>
      <c r="AF764" s="66" t="str">
        <f>IF(OR(A764="",p_po=""),"",IF(A764&amp;""=p_po,COUNTIF($A$6:A764,A764),""))</f>
        <v/>
      </c>
      <c r="AG764" s="66" t="str">
        <f>IF(OR(AB764="",A764=""),"",IF(COUNTIFS($A$6:A764,A764,$AB$6:AB764,"&gt;0")=1,1,""))</f>
        <v/>
      </c>
      <c r="AH764" s="70" t="str">
        <f>IF(AB764="","",ROUND(N(W764)*N(J764)*(1-N(K764)),2))</f>
        <v/>
      </c>
      <c r="AI764" s="70" t="str">
        <f>IF(OR(J764="",N(T764)&lt;=0,V764="Oui"),"",ROUND(N(T764)*J764*(1-N(K764)),2))</f>
        <v/>
      </c>
    </row>
    <row r="765">
      <c r="A765" s="63" t="n"/>
      <c r="B765" s="64" t="n"/>
      <c r="C765" s="65" t="n"/>
      <c r="D765" s="66" t="str">
        <f>IF(C765="","",IFERROR(INDEX(sup_name,MATCH($C765,sup_code,0))&amp;"","Fournisseur inconnu"))</f>
        <v/>
      </c>
      <c r="E765" s="63" t="n"/>
      <c r="F765" s="66" t="str">
        <f>IF(E765="","",IFERROR(INDEX(art_des,MATCH($E765,art_ref,0))&amp;"","Article inconnu"))</f>
        <v/>
      </c>
      <c r="G765" s="67" t="str">
        <f>IF(E765="","",IFERROR(INDEX(art_unit,MATCH($E765,art_ref,0))&amp;"",""))</f>
        <v/>
      </c>
      <c r="H765" s="68" t="n"/>
      <c r="I765" s="69" t="n"/>
      <c r="J765" s="70" t="str">
        <f>IF(E765="","",IF(ISNUMBER(I765),I765,IFERROR(IF(ISNUMBER(INDEX(art_price,MATCH($E765,art_ref,0))),INDEX(art_price,MATCH($E765,art_ref,0)),""),"")))</f>
        <v/>
      </c>
      <c r="K765" s="71" t="n"/>
      <c r="L765" s="72" t="n"/>
      <c r="M765" s="72" t="str">
        <f>IF(E765="","",IF(L765&lt;&gt;"",L765,IFERROR(IF(ISNUMBER(INDEX(art_tva,MATCH($E765,art_ref,0))),INDEX(art_tva,MATCH($E765,art_ref,0)),""),"")))</f>
        <v/>
      </c>
      <c r="N765" s="70" t="str">
        <f>IF(OR(E765="",J765=""),"",ROUND(N(H765)*J765*(1-N(K765)),2))</f>
        <v/>
      </c>
      <c r="O765" s="70" t="str">
        <f>IF(OR(N765="",NOT(ISNUMBER(M765))),"",ROUND(N765*M765,2))</f>
        <v/>
      </c>
      <c r="P765" s="70" t="str">
        <f>IF(N765="","",N765+N(O765))</f>
        <v/>
      </c>
      <c r="Q765" s="64" t="n"/>
      <c r="R765" s="73" t="str">
        <f>IF(N(Q765)&gt;0,Q765,IF(OR(N(B765)=0,ISNA(MATCH($C765,sup_code,0))),"",IF(ISNUMBER(INDEX(sup_delay,MATCH($C765,sup_code,0))),B765+INDEX(sup_delay,MATCH($C765,sup_code,0)),"")))</f>
        <v/>
      </c>
      <c r="S765" s="64" t="n"/>
      <c r="T765" s="68" t="n"/>
      <c r="U765" s="64" t="n"/>
      <c r="V765" s="65" t="n"/>
      <c r="W765" s="74" t="str">
        <f>IF(AND(A765="",E765=""),"",IF(V765="Oui",0,MAX(0,ROUND(N(H765)-N(T765),6))))</f>
        <v/>
      </c>
      <c r="X765" s="67" t="str">
        <f>IF(AND(A765="",E765=""),"",IF(V765="Oui","Annulé",IF(AND(N(H765)&gt;0,N(T765)&gt;=N(H765)),"Reçu",IF(N(S765)=0,"Brouillon",IF(AND(ISNUMBER(R765),R765&lt;p_today),"En retard",IF(N(T765)&gt;0,"Partiel","Envoyé"))))))</f>
        <v/>
      </c>
      <c r="Y765" s="75" t="str">
        <f>IF(X765="En retard",p_today-R765,IF(AND(X765="Reçu",ISNUMBER(R765)),MAX(0,N(U765)-R765),""))</f>
        <v/>
      </c>
      <c r="Z765" s="67" t="str">
        <f>IF(AND(A765="",E765=""),"",IF(A765="","N° de bon manquant",IF(N(B765)=0,"Date de commande manquante",IF(C765="","Fournisseur manquant",IF(ISNA(MATCH($C765,sup_code,0)),"Fournisseur inconnu",IF(E765="","Article manquant",IF(ISNA(MATCH($E765,art_ref,0)),"Article inconnu",IF(N(H765)&lt;=0,"Quantité invalide",IF(J765="","Prix manquant",IF(OR(N(K765)&lt;0,N(K765)&gt;=1),"Remise invalide",IF(M765="","TVA manquante",IF(ISNA(MATCH(M765,p_tva,0)),"Taux de TVA inconnu",IF(COUNTIFS(po_num,A765,po_sup,"&lt;&gt;"&amp;C765)&gt;0,"Fournisseur différent sur ce bon",IF(COUNTIFS(po_num,A765,po_date,"&lt;&gt;"&amp;B765)&gt;0,"Date différente sur ce bon",IF(COUNTIF(po_num,A765)&gt;25,"Plus de 25 lignes sur ce bon",IF(R765="","Date de livraison manquante",IF(R765&lt;B765,"Livraison avant la commande",IF(AND(N(T765)&gt;0,N(S765)=0),"Date d'envoi manquante",IF(N(T765)&gt;N(H765),"Reçu plus que commandé",IF(AND(N(T765)&gt;0,N(U765)=0),"Date de réception manquante",IF(AND(N(U765)&gt;0,U765&lt;B765),"Réception avant la commande","OK")))))))))))))))))))))</f>
        <v/>
      </c>
      <c r="AA765" s="66" t="str">
        <f>IF(AND(X765="Reçu",ISNUMBER(R765)),IF(N(U765)&lt;=R765,1,0),"")</f>
        <v/>
      </c>
      <c r="AB765" s="76" t="str">
        <f>IF(OR(X765="Envoyé",X765="Partiel",X765="En retard"),IF(ISNUMBER(R765),R765,100000)+ROW()/100000,"")</f>
        <v/>
      </c>
      <c r="AC765" s="66" t="str">
        <f>IF(A765="","",IF(COUNTIF($A$6:A765,A765)=1,1,""))</f>
        <v/>
      </c>
      <c r="AD765" s="66" t="str">
        <f>IF(AC765=1,COUNT($AC$6:AC765),"")</f>
        <v/>
      </c>
      <c r="AE765" s="66" t="str">
        <f>IFERROR(INDEX(po_num,MATCH(760,po_seq,0))&amp;"","")</f>
        <v/>
      </c>
      <c r="AF765" s="66" t="str">
        <f>IF(OR(A765="",p_po=""),"",IF(A765&amp;""=p_po,COUNTIF($A$6:A765,A765),""))</f>
        <v/>
      </c>
      <c r="AG765" s="66" t="str">
        <f>IF(OR(AB765="",A765=""),"",IF(COUNTIFS($A$6:A765,A765,$AB$6:AB765,"&gt;0")=1,1,""))</f>
        <v/>
      </c>
      <c r="AH765" s="70" t="str">
        <f>IF(AB765="","",ROUND(N(W765)*N(J765)*(1-N(K765)),2))</f>
        <v/>
      </c>
      <c r="AI765" s="70" t="str">
        <f>IF(OR(J765="",N(T765)&lt;=0,V765="Oui"),"",ROUND(N(T765)*J765*(1-N(K765)),2))</f>
        <v/>
      </c>
    </row>
    <row r="766">
      <c r="A766" s="63" t="n"/>
      <c r="B766" s="64" t="n"/>
      <c r="C766" s="65" t="n"/>
      <c r="D766" s="66" t="str">
        <f>IF(C766="","",IFERROR(INDEX(sup_name,MATCH($C766,sup_code,0))&amp;"","Fournisseur inconnu"))</f>
        <v/>
      </c>
      <c r="E766" s="63" t="n"/>
      <c r="F766" s="66" t="str">
        <f>IF(E766="","",IFERROR(INDEX(art_des,MATCH($E766,art_ref,0))&amp;"","Article inconnu"))</f>
        <v/>
      </c>
      <c r="G766" s="67" t="str">
        <f>IF(E766="","",IFERROR(INDEX(art_unit,MATCH($E766,art_ref,0))&amp;"",""))</f>
        <v/>
      </c>
      <c r="H766" s="68" t="n"/>
      <c r="I766" s="69" t="n"/>
      <c r="J766" s="70" t="str">
        <f>IF(E766="","",IF(ISNUMBER(I766),I766,IFERROR(IF(ISNUMBER(INDEX(art_price,MATCH($E766,art_ref,0))),INDEX(art_price,MATCH($E766,art_ref,0)),""),"")))</f>
        <v/>
      </c>
      <c r="K766" s="71" t="n"/>
      <c r="L766" s="72" t="n"/>
      <c r="M766" s="72" t="str">
        <f>IF(E766="","",IF(L766&lt;&gt;"",L766,IFERROR(IF(ISNUMBER(INDEX(art_tva,MATCH($E766,art_ref,0))),INDEX(art_tva,MATCH($E766,art_ref,0)),""),"")))</f>
        <v/>
      </c>
      <c r="N766" s="70" t="str">
        <f>IF(OR(E766="",J766=""),"",ROUND(N(H766)*J766*(1-N(K766)),2))</f>
        <v/>
      </c>
      <c r="O766" s="70" t="str">
        <f>IF(OR(N766="",NOT(ISNUMBER(M766))),"",ROUND(N766*M766,2))</f>
        <v/>
      </c>
      <c r="P766" s="70" t="str">
        <f>IF(N766="","",N766+N(O766))</f>
        <v/>
      </c>
      <c r="Q766" s="64" t="n"/>
      <c r="R766" s="73" t="str">
        <f>IF(N(Q766)&gt;0,Q766,IF(OR(N(B766)=0,ISNA(MATCH($C766,sup_code,0))),"",IF(ISNUMBER(INDEX(sup_delay,MATCH($C766,sup_code,0))),B766+INDEX(sup_delay,MATCH($C766,sup_code,0)),"")))</f>
        <v/>
      </c>
      <c r="S766" s="64" t="n"/>
      <c r="T766" s="68" t="n"/>
      <c r="U766" s="64" t="n"/>
      <c r="V766" s="65" t="n"/>
      <c r="W766" s="74" t="str">
        <f>IF(AND(A766="",E766=""),"",IF(V766="Oui",0,MAX(0,ROUND(N(H766)-N(T766),6))))</f>
        <v/>
      </c>
      <c r="X766" s="67" t="str">
        <f>IF(AND(A766="",E766=""),"",IF(V766="Oui","Annulé",IF(AND(N(H766)&gt;0,N(T766)&gt;=N(H766)),"Reçu",IF(N(S766)=0,"Brouillon",IF(AND(ISNUMBER(R766),R766&lt;p_today),"En retard",IF(N(T766)&gt;0,"Partiel","Envoyé"))))))</f>
        <v/>
      </c>
      <c r="Y766" s="75" t="str">
        <f>IF(X766="En retard",p_today-R766,IF(AND(X766="Reçu",ISNUMBER(R766)),MAX(0,N(U766)-R766),""))</f>
        <v/>
      </c>
      <c r="Z766" s="67" t="str">
        <f>IF(AND(A766="",E766=""),"",IF(A766="","N° de bon manquant",IF(N(B766)=0,"Date de commande manquante",IF(C766="","Fournisseur manquant",IF(ISNA(MATCH($C766,sup_code,0)),"Fournisseur inconnu",IF(E766="","Article manquant",IF(ISNA(MATCH($E766,art_ref,0)),"Article inconnu",IF(N(H766)&lt;=0,"Quantité invalide",IF(J766="","Prix manquant",IF(OR(N(K766)&lt;0,N(K766)&gt;=1),"Remise invalide",IF(M766="","TVA manquante",IF(ISNA(MATCH(M766,p_tva,0)),"Taux de TVA inconnu",IF(COUNTIFS(po_num,A766,po_sup,"&lt;&gt;"&amp;C766)&gt;0,"Fournisseur différent sur ce bon",IF(COUNTIFS(po_num,A766,po_date,"&lt;&gt;"&amp;B766)&gt;0,"Date différente sur ce bon",IF(COUNTIF(po_num,A766)&gt;25,"Plus de 25 lignes sur ce bon",IF(R766="","Date de livraison manquante",IF(R766&lt;B766,"Livraison avant la commande",IF(AND(N(T766)&gt;0,N(S766)=0),"Date d'envoi manquante",IF(N(T766)&gt;N(H766),"Reçu plus que commandé",IF(AND(N(T766)&gt;0,N(U766)=0),"Date de réception manquante",IF(AND(N(U766)&gt;0,U766&lt;B766),"Réception avant la commande","OK")))))))))))))))))))))</f>
        <v/>
      </c>
      <c r="AA766" s="66" t="str">
        <f>IF(AND(X766="Reçu",ISNUMBER(R766)),IF(N(U766)&lt;=R766,1,0),"")</f>
        <v/>
      </c>
      <c r="AB766" s="76" t="str">
        <f>IF(OR(X766="Envoyé",X766="Partiel",X766="En retard"),IF(ISNUMBER(R766),R766,100000)+ROW()/100000,"")</f>
        <v/>
      </c>
      <c r="AC766" s="66" t="str">
        <f>IF(A766="","",IF(COUNTIF($A$6:A766,A766)=1,1,""))</f>
        <v/>
      </c>
      <c r="AD766" s="66" t="str">
        <f>IF(AC766=1,COUNT($AC$6:AC766),"")</f>
        <v/>
      </c>
      <c r="AE766" s="66" t="str">
        <f>IFERROR(INDEX(po_num,MATCH(761,po_seq,0))&amp;"","")</f>
        <v/>
      </c>
      <c r="AF766" s="66" t="str">
        <f>IF(OR(A766="",p_po=""),"",IF(A766&amp;""=p_po,COUNTIF($A$6:A766,A766),""))</f>
        <v/>
      </c>
      <c r="AG766" s="66" t="str">
        <f>IF(OR(AB766="",A766=""),"",IF(COUNTIFS($A$6:A766,A766,$AB$6:AB766,"&gt;0")=1,1,""))</f>
        <v/>
      </c>
      <c r="AH766" s="70" t="str">
        <f>IF(AB766="","",ROUND(N(W766)*N(J766)*(1-N(K766)),2))</f>
        <v/>
      </c>
      <c r="AI766" s="70" t="str">
        <f>IF(OR(J766="",N(T766)&lt;=0,V766="Oui"),"",ROUND(N(T766)*J766*(1-N(K766)),2))</f>
        <v/>
      </c>
    </row>
    <row r="767">
      <c r="A767" s="63" t="n"/>
      <c r="B767" s="64" t="n"/>
      <c r="C767" s="65" t="n"/>
      <c r="D767" s="66" t="str">
        <f>IF(C767="","",IFERROR(INDEX(sup_name,MATCH($C767,sup_code,0))&amp;"","Fournisseur inconnu"))</f>
        <v/>
      </c>
      <c r="E767" s="63" t="n"/>
      <c r="F767" s="66" t="str">
        <f>IF(E767="","",IFERROR(INDEX(art_des,MATCH($E767,art_ref,0))&amp;"","Article inconnu"))</f>
        <v/>
      </c>
      <c r="G767" s="67" t="str">
        <f>IF(E767="","",IFERROR(INDEX(art_unit,MATCH($E767,art_ref,0))&amp;"",""))</f>
        <v/>
      </c>
      <c r="H767" s="68" t="n"/>
      <c r="I767" s="69" t="n"/>
      <c r="J767" s="70" t="str">
        <f>IF(E767="","",IF(ISNUMBER(I767),I767,IFERROR(IF(ISNUMBER(INDEX(art_price,MATCH($E767,art_ref,0))),INDEX(art_price,MATCH($E767,art_ref,0)),""),"")))</f>
        <v/>
      </c>
      <c r="K767" s="71" t="n"/>
      <c r="L767" s="72" t="n"/>
      <c r="M767" s="72" t="str">
        <f>IF(E767="","",IF(L767&lt;&gt;"",L767,IFERROR(IF(ISNUMBER(INDEX(art_tva,MATCH($E767,art_ref,0))),INDEX(art_tva,MATCH($E767,art_ref,0)),""),"")))</f>
        <v/>
      </c>
      <c r="N767" s="70" t="str">
        <f>IF(OR(E767="",J767=""),"",ROUND(N(H767)*J767*(1-N(K767)),2))</f>
        <v/>
      </c>
      <c r="O767" s="70" t="str">
        <f>IF(OR(N767="",NOT(ISNUMBER(M767))),"",ROUND(N767*M767,2))</f>
        <v/>
      </c>
      <c r="P767" s="70" t="str">
        <f>IF(N767="","",N767+N(O767))</f>
        <v/>
      </c>
      <c r="Q767" s="64" t="n"/>
      <c r="R767" s="73" t="str">
        <f>IF(N(Q767)&gt;0,Q767,IF(OR(N(B767)=0,ISNA(MATCH($C767,sup_code,0))),"",IF(ISNUMBER(INDEX(sup_delay,MATCH($C767,sup_code,0))),B767+INDEX(sup_delay,MATCH($C767,sup_code,0)),"")))</f>
        <v/>
      </c>
      <c r="S767" s="64" t="n"/>
      <c r="T767" s="68" t="n"/>
      <c r="U767" s="64" t="n"/>
      <c r="V767" s="65" t="n"/>
      <c r="W767" s="74" t="str">
        <f>IF(AND(A767="",E767=""),"",IF(V767="Oui",0,MAX(0,ROUND(N(H767)-N(T767),6))))</f>
        <v/>
      </c>
      <c r="X767" s="67" t="str">
        <f>IF(AND(A767="",E767=""),"",IF(V767="Oui","Annulé",IF(AND(N(H767)&gt;0,N(T767)&gt;=N(H767)),"Reçu",IF(N(S767)=0,"Brouillon",IF(AND(ISNUMBER(R767),R767&lt;p_today),"En retard",IF(N(T767)&gt;0,"Partiel","Envoyé"))))))</f>
        <v/>
      </c>
      <c r="Y767" s="75" t="str">
        <f>IF(X767="En retard",p_today-R767,IF(AND(X767="Reçu",ISNUMBER(R767)),MAX(0,N(U767)-R767),""))</f>
        <v/>
      </c>
      <c r="Z767" s="67" t="str">
        <f>IF(AND(A767="",E767=""),"",IF(A767="","N° de bon manquant",IF(N(B767)=0,"Date de commande manquante",IF(C767="","Fournisseur manquant",IF(ISNA(MATCH($C767,sup_code,0)),"Fournisseur inconnu",IF(E767="","Article manquant",IF(ISNA(MATCH($E767,art_ref,0)),"Article inconnu",IF(N(H767)&lt;=0,"Quantité invalide",IF(J767="","Prix manquant",IF(OR(N(K767)&lt;0,N(K767)&gt;=1),"Remise invalide",IF(M767="","TVA manquante",IF(ISNA(MATCH(M767,p_tva,0)),"Taux de TVA inconnu",IF(COUNTIFS(po_num,A767,po_sup,"&lt;&gt;"&amp;C767)&gt;0,"Fournisseur différent sur ce bon",IF(COUNTIFS(po_num,A767,po_date,"&lt;&gt;"&amp;B767)&gt;0,"Date différente sur ce bon",IF(COUNTIF(po_num,A767)&gt;25,"Plus de 25 lignes sur ce bon",IF(R767="","Date de livraison manquante",IF(R767&lt;B767,"Livraison avant la commande",IF(AND(N(T767)&gt;0,N(S767)=0),"Date d'envoi manquante",IF(N(T767)&gt;N(H767),"Reçu plus que commandé",IF(AND(N(T767)&gt;0,N(U767)=0),"Date de réception manquante",IF(AND(N(U767)&gt;0,U767&lt;B767),"Réception avant la commande","OK")))))))))))))))))))))</f>
        <v/>
      </c>
      <c r="AA767" s="66" t="str">
        <f>IF(AND(X767="Reçu",ISNUMBER(R767)),IF(N(U767)&lt;=R767,1,0),"")</f>
        <v/>
      </c>
      <c r="AB767" s="76" t="str">
        <f>IF(OR(X767="Envoyé",X767="Partiel",X767="En retard"),IF(ISNUMBER(R767),R767,100000)+ROW()/100000,"")</f>
        <v/>
      </c>
      <c r="AC767" s="66" t="str">
        <f>IF(A767="","",IF(COUNTIF($A$6:A767,A767)=1,1,""))</f>
        <v/>
      </c>
      <c r="AD767" s="66" t="str">
        <f>IF(AC767=1,COUNT($AC$6:AC767),"")</f>
        <v/>
      </c>
      <c r="AE767" s="66" t="str">
        <f>IFERROR(INDEX(po_num,MATCH(762,po_seq,0))&amp;"","")</f>
        <v/>
      </c>
      <c r="AF767" s="66" t="str">
        <f>IF(OR(A767="",p_po=""),"",IF(A767&amp;""=p_po,COUNTIF($A$6:A767,A767),""))</f>
        <v/>
      </c>
      <c r="AG767" s="66" t="str">
        <f>IF(OR(AB767="",A767=""),"",IF(COUNTIFS($A$6:A767,A767,$AB$6:AB767,"&gt;0")=1,1,""))</f>
        <v/>
      </c>
      <c r="AH767" s="70" t="str">
        <f>IF(AB767="","",ROUND(N(W767)*N(J767)*(1-N(K767)),2))</f>
        <v/>
      </c>
      <c r="AI767" s="70" t="str">
        <f>IF(OR(J767="",N(T767)&lt;=0,V767="Oui"),"",ROUND(N(T767)*J767*(1-N(K767)),2))</f>
        <v/>
      </c>
    </row>
    <row r="768">
      <c r="A768" s="63" t="n"/>
      <c r="B768" s="64" t="n"/>
      <c r="C768" s="65" t="n"/>
      <c r="D768" s="66" t="str">
        <f>IF(C768="","",IFERROR(INDEX(sup_name,MATCH($C768,sup_code,0))&amp;"","Fournisseur inconnu"))</f>
        <v/>
      </c>
      <c r="E768" s="63" t="n"/>
      <c r="F768" s="66" t="str">
        <f>IF(E768="","",IFERROR(INDEX(art_des,MATCH($E768,art_ref,0))&amp;"","Article inconnu"))</f>
        <v/>
      </c>
      <c r="G768" s="67" t="str">
        <f>IF(E768="","",IFERROR(INDEX(art_unit,MATCH($E768,art_ref,0))&amp;"",""))</f>
        <v/>
      </c>
      <c r="H768" s="68" t="n"/>
      <c r="I768" s="69" t="n"/>
      <c r="J768" s="70" t="str">
        <f>IF(E768="","",IF(ISNUMBER(I768),I768,IFERROR(IF(ISNUMBER(INDEX(art_price,MATCH($E768,art_ref,0))),INDEX(art_price,MATCH($E768,art_ref,0)),""),"")))</f>
        <v/>
      </c>
      <c r="K768" s="71" t="n"/>
      <c r="L768" s="72" t="n"/>
      <c r="M768" s="72" t="str">
        <f>IF(E768="","",IF(L768&lt;&gt;"",L768,IFERROR(IF(ISNUMBER(INDEX(art_tva,MATCH($E768,art_ref,0))),INDEX(art_tva,MATCH($E768,art_ref,0)),""),"")))</f>
        <v/>
      </c>
      <c r="N768" s="70" t="str">
        <f>IF(OR(E768="",J768=""),"",ROUND(N(H768)*J768*(1-N(K768)),2))</f>
        <v/>
      </c>
      <c r="O768" s="70" t="str">
        <f>IF(OR(N768="",NOT(ISNUMBER(M768))),"",ROUND(N768*M768,2))</f>
        <v/>
      </c>
      <c r="P768" s="70" t="str">
        <f>IF(N768="","",N768+N(O768))</f>
        <v/>
      </c>
      <c r="Q768" s="64" t="n"/>
      <c r="R768" s="73" t="str">
        <f>IF(N(Q768)&gt;0,Q768,IF(OR(N(B768)=0,ISNA(MATCH($C768,sup_code,0))),"",IF(ISNUMBER(INDEX(sup_delay,MATCH($C768,sup_code,0))),B768+INDEX(sup_delay,MATCH($C768,sup_code,0)),"")))</f>
        <v/>
      </c>
      <c r="S768" s="64" t="n"/>
      <c r="T768" s="68" t="n"/>
      <c r="U768" s="64" t="n"/>
      <c r="V768" s="65" t="n"/>
      <c r="W768" s="74" t="str">
        <f>IF(AND(A768="",E768=""),"",IF(V768="Oui",0,MAX(0,ROUND(N(H768)-N(T768),6))))</f>
        <v/>
      </c>
      <c r="X768" s="67" t="str">
        <f>IF(AND(A768="",E768=""),"",IF(V768="Oui","Annulé",IF(AND(N(H768)&gt;0,N(T768)&gt;=N(H768)),"Reçu",IF(N(S768)=0,"Brouillon",IF(AND(ISNUMBER(R768),R768&lt;p_today),"En retard",IF(N(T768)&gt;0,"Partiel","Envoyé"))))))</f>
        <v/>
      </c>
      <c r="Y768" s="75" t="str">
        <f>IF(X768="En retard",p_today-R768,IF(AND(X768="Reçu",ISNUMBER(R768)),MAX(0,N(U768)-R768),""))</f>
        <v/>
      </c>
      <c r="Z768" s="67" t="str">
        <f>IF(AND(A768="",E768=""),"",IF(A768="","N° de bon manquant",IF(N(B768)=0,"Date de commande manquante",IF(C768="","Fournisseur manquant",IF(ISNA(MATCH($C768,sup_code,0)),"Fournisseur inconnu",IF(E768="","Article manquant",IF(ISNA(MATCH($E768,art_ref,0)),"Article inconnu",IF(N(H768)&lt;=0,"Quantité invalide",IF(J768="","Prix manquant",IF(OR(N(K768)&lt;0,N(K768)&gt;=1),"Remise invalide",IF(M768="","TVA manquante",IF(ISNA(MATCH(M768,p_tva,0)),"Taux de TVA inconnu",IF(COUNTIFS(po_num,A768,po_sup,"&lt;&gt;"&amp;C768)&gt;0,"Fournisseur différent sur ce bon",IF(COUNTIFS(po_num,A768,po_date,"&lt;&gt;"&amp;B768)&gt;0,"Date différente sur ce bon",IF(COUNTIF(po_num,A768)&gt;25,"Plus de 25 lignes sur ce bon",IF(R768="","Date de livraison manquante",IF(R768&lt;B768,"Livraison avant la commande",IF(AND(N(T768)&gt;0,N(S768)=0),"Date d'envoi manquante",IF(N(T768)&gt;N(H768),"Reçu plus que commandé",IF(AND(N(T768)&gt;0,N(U768)=0),"Date de réception manquante",IF(AND(N(U768)&gt;0,U768&lt;B768),"Réception avant la commande","OK")))))))))))))))))))))</f>
        <v/>
      </c>
      <c r="AA768" s="66" t="str">
        <f>IF(AND(X768="Reçu",ISNUMBER(R768)),IF(N(U768)&lt;=R768,1,0),"")</f>
        <v/>
      </c>
      <c r="AB768" s="76" t="str">
        <f>IF(OR(X768="Envoyé",X768="Partiel",X768="En retard"),IF(ISNUMBER(R768),R768,100000)+ROW()/100000,"")</f>
        <v/>
      </c>
      <c r="AC768" s="66" t="str">
        <f>IF(A768="","",IF(COUNTIF($A$6:A768,A768)=1,1,""))</f>
        <v/>
      </c>
      <c r="AD768" s="66" t="str">
        <f>IF(AC768=1,COUNT($AC$6:AC768),"")</f>
        <v/>
      </c>
      <c r="AE768" s="66" t="str">
        <f>IFERROR(INDEX(po_num,MATCH(763,po_seq,0))&amp;"","")</f>
        <v/>
      </c>
      <c r="AF768" s="66" t="str">
        <f>IF(OR(A768="",p_po=""),"",IF(A768&amp;""=p_po,COUNTIF($A$6:A768,A768),""))</f>
        <v/>
      </c>
      <c r="AG768" s="66" t="str">
        <f>IF(OR(AB768="",A768=""),"",IF(COUNTIFS($A$6:A768,A768,$AB$6:AB768,"&gt;0")=1,1,""))</f>
        <v/>
      </c>
      <c r="AH768" s="70" t="str">
        <f>IF(AB768="","",ROUND(N(W768)*N(J768)*(1-N(K768)),2))</f>
        <v/>
      </c>
      <c r="AI768" s="70" t="str">
        <f>IF(OR(J768="",N(T768)&lt;=0,V768="Oui"),"",ROUND(N(T768)*J768*(1-N(K768)),2))</f>
        <v/>
      </c>
    </row>
    <row r="769">
      <c r="A769" s="63" t="n"/>
      <c r="B769" s="64" t="n"/>
      <c r="C769" s="65" t="n"/>
      <c r="D769" s="66" t="str">
        <f>IF(C769="","",IFERROR(INDEX(sup_name,MATCH($C769,sup_code,0))&amp;"","Fournisseur inconnu"))</f>
        <v/>
      </c>
      <c r="E769" s="63" t="n"/>
      <c r="F769" s="66" t="str">
        <f>IF(E769="","",IFERROR(INDEX(art_des,MATCH($E769,art_ref,0))&amp;"","Article inconnu"))</f>
        <v/>
      </c>
      <c r="G769" s="67" t="str">
        <f>IF(E769="","",IFERROR(INDEX(art_unit,MATCH($E769,art_ref,0))&amp;"",""))</f>
        <v/>
      </c>
      <c r="H769" s="68" t="n"/>
      <c r="I769" s="69" t="n"/>
      <c r="J769" s="70" t="str">
        <f>IF(E769="","",IF(ISNUMBER(I769),I769,IFERROR(IF(ISNUMBER(INDEX(art_price,MATCH($E769,art_ref,0))),INDEX(art_price,MATCH($E769,art_ref,0)),""),"")))</f>
        <v/>
      </c>
      <c r="K769" s="71" t="n"/>
      <c r="L769" s="72" t="n"/>
      <c r="M769" s="72" t="str">
        <f>IF(E769="","",IF(L769&lt;&gt;"",L769,IFERROR(IF(ISNUMBER(INDEX(art_tva,MATCH($E769,art_ref,0))),INDEX(art_tva,MATCH($E769,art_ref,0)),""),"")))</f>
        <v/>
      </c>
      <c r="N769" s="70" t="str">
        <f>IF(OR(E769="",J769=""),"",ROUND(N(H769)*J769*(1-N(K769)),2))</f>
        <v/>
      </c>
      <c r="O769" s="70" t="str">
        <f>IF(OR(N769="",NOT(ISNUMBER(M769))),"",ROUND(N769*M769,2))</f>
        <v/>
      </c>
      <c r="P769" s="70" t="str">
        <f>IF(N769="","",N769+N(O769))</f>
        <v/>
      </c>
      <c r="Q769" s="64" t="n"/>
      <c r="R769" s="73" t="str">
        <f>IF(N(Q769)&gt;0,Q769,IF(OR(N(B769)=0,ISNA(MATCH($C769,sup_code,0))),"",IF(ISNUMBER(INDEX(sup_delay,MATCH($C769,sup_code,0))),B769+INDEX(sup_delay,MATCH($C769,sup_code,0)),"")))</f>
        <v/>
      </c>
      <c r="S769" s="64" t="n"/>
      <c r="T769" s="68" t="n"/>
      <c r="U769" s="64" t="n"/>
      <c r="V769" s="65" t="n"/>
      <c r="W769" s="74" t="str">
        <f>IF(AND(A769="",E769=""),"",IF(V769="Oui",0,MAX(0,ROUND(N(H769)-N(T769),6))))</f>
        <v/>
      </c>
      <c r="X769" s="67" t="str">
        <f>IF(AND(A769="",E769=""),"",IF(V769="Oui","Annulé",IF(AND(N(H769)&gt;0,N(T769)&gt;=N(H769)),"Reçu",IF(N(S769)=0,"Brouillon",IF(AND(ISNUMBER(R769),R769&lt;p_today),"En retard",IF(N(T769)&gt;0,"Partiel","Envoyé"))))))</f>
        <v/>
      </c>
      <c r="Y769" s="75" t="str">
        <f>IF(X769="En retard",p_today-R769,IF(AND(X769="Reçu",ISNUMBER(R769)),MAX(0,N(U769)-R769),""))</f>
        <v/>
      </c>
      <c r="Z769" s="67" t="str">
        <f>IF(AND(A769="",E769=""),"",IF(A769="","N° de bon manquant",IF(N(B769)=0,"Date de commande manquante",IF(C769="","Fournisseur manquant",IF(ISNA(MATCH($C769,sup_code,0)),"Fournisseur inconnu",IF(E769="","Article manquant",IF(ISNA(MATCH($E769,art_ref,0)),"Article inconnu",IF(N(H769)&lt;=0,"Quantité invalide",IF(J769="","Prix manquant",IF(OR(N(K769)&lt;0,N(K769)&gt;=1),"Remise invalide",IF(M769="","TVA manquante",IF(ISNA(MATCH(M769,p_tva,0)),"Taux de TVA inconnu",IF(COUNTIFS(po_num,A769,po_sup,"&lt;&gt;"&amp;C769)&gt;0,"Fournisseur différent sur ce bon",IF(COUNTIFS(po_num,A769,po_date,"&lt;&gt;"&amp;B769)&gt;0,"Date différente sur ce bon",IF(COUNTIF(po_num,A769)&gt;25,"Plus de 25 lignes sur ce bon",IF(R769="","Date de livraison manquante",IF(R769&lt;B769,"Livraison avant la commande",IF(AND(N(T769)&gt;0,N(S769)=0),"Date d'envoi manquante",IF(N(T769)&gt;N(H769),"Reçu plus que commandé",IF(AND(N(T769)&gt;0,N(U769)=0),"Date de réception manquante",IF(AND(N(U769)&gt;0,U769&lt;B769),"Réception avant la commande","OK")))))))))))))))))))))</f>
        <v/>
      </c>
      <c r="AA769" s="66" t="str">
        <f>IF(AND(X769="Reçu",ISNUMBER(R769)),IF(N(U769)&lt;=R769,1,0),"")</f>
        <v/>
      </c>
      <c r="AB769" s="76" t="str">
        <f>IF(OR(X769="Envoyé",X769="Partiel",X769="En retard"),IF(ISNUMBER(R769),R769,100000)+ROW()/100000,"")</f>
        <v/>
      </c>
      <c r="AC769" s="66" t="str">
        <f>IF(A769="","",IF(COUNTIF($A$6:A769,A769)=1,1,""))</f>
        <v/>
      </c>
      <c r="AD769" s="66" t="str">
        <f>IF(AC769=1,COUNT($AC$6:AC769),"")</f>
        <v/>
      </c>
      <c r="AE769" s="66" t="str">
        <f>IFERROR(INDEX(po_num,MATCH(764,po_seq,0))&amp;"","")</f>
        <v/>
      </c>
      <c r="AF769" s="66" t="str">
        <f>IF(OR(A769="",p_po=""),"",IF(A769&amp;""=p_po,COUNTIF($A$6:A769,A769),""))</f>
        <v/>
      </c>
      <c r="AG769" s="66" t="str">
        <f>IF(OR(AB769="",A769=""),"",IF(COUNTIFS($A$6:A769,A769,$AB$6:AB769,"&gt;0")=1,1,""))</f>
        <v/>
      </c>
      <c r="AH769" s="70" t="str">
        <f>IF(AB769="","",ROUND(N(W769)*N(J769)*(1-N(K769)),2))</f>
        <v/>
      </c>
      <c r="AI769" s="70" t="str">
        <f>IF(OR(J769="",N(T769)&lt;=0,V769="Oui"),"",ROUND(N(T769)*J769*(1-N(K769)),2))</f>
        <v/>
      </c>
    </row>
    <row r="770">
      <c r="A770" s="63" t="n"/>
      <c r="B770" s="64" t="n"/>
      <c r="C770" s="65" t="n"/>
      <c r="D770" s="66" t="str">
        <f>IF(C770="","",IFERROR(INDEX(sup_name,MATCH($C770,sup_code,0))&amp;"","Fournisseur inconnu"))</f>
        <v/>
      </c>
      <c r="E770" s="63" t="n"/>
      <c r="F770" s="66" t="str">
        <f>IF(E770="","",IFERROR(INDEX(art_des,MATCH($E770,art_ref,0))&amp;"","Article inconnu"))</f>
        <v/>
      </c>
      <c r="G770" s="67" t="str">
        <f>IF(E770="","",IFERROR(INDEX(art_unit,MATCH($E770,art_ref,0))&amp;"",""))</f>
        <v/>
      </c>
      <c r="H770" s="68" t="n"/>
      <c r="I770" s="69" t="n"/>
      <c r="J770" s="70" t="str">
        <f>IF(E770="","",IF(ISNUMBER(I770),I770,IFERROR(IF(ISNUMBER(INDEX(art_price,MATCH($E770,art_ref,0))),INDEX(art_price,MATCH($E770,art_ref,0)),""),"")))</f>
        <v/>
      </c>
      <c r="K770" s="71" t="n"/>
      <c r="L770" s="72" t="n"/>
      <c r="M770" s="72" t="str">
        <f>IF(E770="","",IF(L770&lt;&gt;"",L770,IFERROR(IF(ISNUMBER(INDEX(art_tva,MATCH($E770,art_ref,0))),INDEX(art_tva,MATCH($E770,art_ref,0)),""),"")))</f>
        <v/>
      </c>
      <c r="N770" s="70" t="str">
        <f>IF(OR(E770="",J770=""),"",ROUND(N(H770)*J770*(1-N(K770)),2))</f>
        <v/>
      </c>
      <c r="O770" s="70" t="str">
        <f>IF(OR(N770="",NOT(ISNUMBER(M770))),"",ROUND(N770*M770,2))</f>
        <v/>
      </c>
      <c r="P770" s="70" t="str">
        <f>IF(N770="","",N770+N(O770))</f>
        <v/>
      </c>
      <c r="Q770" s="64" t="n"/>
      <c r="R770" s="73" t="str">
        <f>IF(N(Q770)&gt;0,Q770,IF(OR(N(B770)=0,ISNA(MATCH($C770,sup_code,0))),"",IF(ISNUMBER(INDEX(sup_delay,MATCH($C770,sup_code,0))),B770+INDEX(sup_delay,MATCH($C770,sup_code,0)),"")))</f>
        <v/>
      </c>
      <c r="S770" s="64" t="n"/>
      <c r="T770" s="68" t="n"/>
      <c r="U770" s="64" t="n"/>
      <c r="V770" s="65" t="n"/>
      <c r="W770" s="74" t="str">
        <f>IF(AND(A770="",E770=""),"",IF(V770="Oui",0,MAX(0,ROUND(N(H770)-N(T770),6))))</f>
        <v/>
      </c>
      <c r="X770" s="67" t="str">
        <f>IF(AND(A770="",E770=""),"",IF(V770="Oui","Annulé",IF(AND(N(H770)&gt;0,N(T770)&gt;=N(H770)),"Reçu",IF(N(S770)=0,"Brouillon",IF(AND(ISNUMBER(R770),R770&lt;p_today),"En retard",IF(N(T770)&gt;0,"Partiel","Envoyé"))))))</f>
        <v/>
      </c>
      <c r="Y770" s="75" t="str">
        <f>IF(X770="En retard",p_today-R770,IF(AND(X770="Reçu",ISNUMBER(R770)),MAX(0,N(U770)-R770),""))</f>
        <v/>
      </c>
      <c r="Z770" s="67" t="str">
        <f>IF(AND(A770="",E770=""),"",IF(A770="","N° de bon manquant",IF(N(B770)=0,"Date de commande manquante",IF(C770="","Fournisseur manquant",IF(ISNA(MATCH($C770,sup_code,0)),"Fournisseur inconnu",IF(E770="","Article manquant",IF(ISNA(MATCH($E770,art_ref,0)),"Article inconnu",IF(N(H770)&lt;=0,"Quantité invalide",IF(J770="","Prix manquant",IF(OR(N(K770)&lt;0,N(K770)&gt;=1),"Remise invalide",IF(M770="","TVA manquante",IF(ISNA(MATCH(M770,p_tva,0)),"Taux de TVA inconnu",IF(COUNTIFS(po_num,A770,po_sup,"&lt;&gt;"&amp;C770)&gt;0,"Fournisseur différent sur ce bon",IF(COUNTIFS(po_num,A770,po_date,"&lt;&gt;"&amp;B770)&gt;0,"Date différente sur ce bon",IF(COUNTIF(po_num,A770)&gt;25,"Plus de 25 lignes sur ce bon",IF(R770="","Date de livraison manquante",IF(R770&lt;B770,"Livraison avant la commande",IF(AND(N(T770)&gt;0,N(S770)=0),"Date d'envoi manquante",IF(N(T770)&gt;N(H770),"Reçu plus que commandé",IF(AND(N(T770)&gt;0,N(U770)=0),"Date de réception manquante",IF(AND(N(U770)&gt;0,U770&lt;B770),"Réception avant la commande","OK")))))))))))))))))))))</f>
        <v/>
      </c>
      <c r="AA770" s="66" t="str">
        <f>IF(AND(X770="Reçu",ISNUMBER(R770)),IF(N(U770)&lt;=R770,1,0),"")</f>
        <v/>
      </c>
      <c r="AB770" s="76" t="str">
        <f>IF(OR(X770="Envoyé",X770="Partiel",X770="En retard"),IF(ISNUMBER(R770),R770,100000)+ROW()/100000,"")</f>
        <v/>
      </c>
      <c r="AC770" s="66" t="str">
        <f>IF(A770="","",IF(COUNTIF($A$6:A770,A770)=1,1,""))</f>
        <v/>
      </c>
      <c r="AD770" s="66" t="str">
        <f>IF(AC770=1,COUNT($AC$6:AC770),"")</f>
        <v/>
      </c>
      <c r="AE770" s="66" t="str">
        <f>IFERROR(INDEX(po_num,MATCH(765,po_seq,0))&amp;"","")</f>
        <v/>
      </c>
      <c r="AF770" s="66" t="str">
        <f>IF(OR(A770="",p_po=""),"",IF(A770&amp;""=p_po,COUNTIF($A$6:A770,A770),""))</f>
        <v/>
      </c>
      <c r="AG770" s="66" t="str">
        <f>IF(OR(AB770="",A770=""),"",IF(COUNTIFS($A$6:A770,A770,$AB$6:AB770,"&gt;0")=1,1,""))</f>
        <v/>
      </c>
      <c r="AH770" s="70" t="str">
        <f>IF(AB770="","",ROUND(N(W770)*N(J770)*(1-N(K770)),2))</f>
        <v/>
      </c>
      <c r="AI770" s="70" t="str">
        <f>IF(OR(J770="",N(T770)&lt;=0,V770="Oui"),"",ROUND(N(T770)*J770*(1-N(K770)),2))</f>
        <v/>
      </c>
    </row>
    <row r="771">
      <c r="A771" s="63" t="n"/>
      <c r="B771" s="64" t="n"/>
      <c r="C771" s="65" t="n"/>
      <c r="D771" s="66" t="str">
        <f>IF(C771="","",IFERROR(INDEX(sup_name,MATCH($C771,sup_code,0))&amp;"","Fournisseur inconnu"))</f>
        <v/>
      </c>
      <c r="E771" s="63" t="n"/>
      <c r="F771" s="66" t="str">
        <f>IF(E771="","",IFERROR(INDEX(art_des,MATCH($E771,art_ref,0))&amp;"","Article inconnu"))</f>
        <v/>
      </c>
      <c r="G771" s="67" t="str">
        <f>IF(E771="","",IFERROR(INDEX(art_unit,MATCH($E771,art_ref,0))&amp;"",""))</f>
        <v/>
      </c>
      <c r="H771" s="68" t="n"/>
      <c r="I771" s="69" t="n"/>
      <c r="J771" s="70" t="str">
        <f>IF(E771="","",IF(ISNUMBER(I771),I771,IFERROR(IF(ISNUMBER(INDEX(art_price,MATCH($E771,art_ref,0))),INDEX(art_price,MATCH($E771,art_ref,0)),""),"")))</f>
        <v/>
      </c>
      <c r="K771" s="71" t="n"/>
      <c r="L771" s="72" t="n"/>
      <c r="M771" s="72" t="str">
        <f>IF(E771="","",IF(L771&lt;&gt;"",L771,IFERROR(IF(ISNUMBER(INDEX(art_tva,MATCH($E771,art_ref,0))),INDEX(art_tva,MATCH($E771,art_ref,0)),""),"")))</f>
        <v/>
      </c>
      <c r="N771" s="70" t="str">
        <f>IF(OR(E771="",J771=""),"",ROUND(N(H771)*J771*(1-N(K771)),2))</f>
        <v/>
      </c>
      <c r="O771" s="70" t="str">
        <f>IF(OR(N771="",NOT(ISNUMBER(M771))),"",ROUND(N771*M771,2))</f>
        <v/>
      </c>
      <c r="P771" s="70" t="str">
        <f>IF(N771="","",N771+N(O771))</f>
        <v/>
      </c>
      <c r="Q771" s="64" t="n"/>
      <c r="R771" s="73" t="str">
        <f>IF(N(Q771)&gt;0,Q771,IF(OR(N(B771)=0,ISNA(MATCH($C771,sup_code,0))),"",IF(ISNUMBER(INDEX(sup_delay,MATCH($C771,sup_code,0))),B771+INDEX(sup_delay,MATCH($C771,sup_code,0)),"")))</f>
        <v/>
      </c>
      <c r="S771" s="64" t="n"/>
      <c r="T771" s="68" t="n"/>
      <c r="U771" s="64" t="n"/>
      <c r="V771" s="65" t="n"/>
      <c r="W771" s="74" t="str">
        <f>IF(AND(A771="",E771=""),"",IF(V771="Oui",0,MAX(0,ROUND(N(H771)-N(T771),6))))</f>
        <v/>
      </c>
      <c r="X771" s="67" t="str">
        <f>IF(AND(A771="",E771=""),"",IF(V771="Oui","Annulé",IF(AND(N(H771)&gt;0,N(T771)&gt;=N(H771)),"Reçu",IF(N(S771)=0,"Brouillon",IF(AND(ISNUMBER(R771),R771&lt;p_today),"En retard",IF(N(T771)&gt;0,"Partiel","Envoyé"))))))</f>
        <v/>
      </c>
      <c r="Y771" s="75" t="str">
        <f>IF(X771="En retard",p_today-R771,IF(AND(X771="Reçu",ISNUMBER(R771)),MAX(0,N(U771)-R771),""))</f>
        <v/>
      </c>
      <c r="Z771" s="67" t="str">
        <f>IF(AND(A771="",E771=""),"",IF(A771="","N° de bon manquant",IF(N(B771)=0,"Date de commande manquante",IF(C771="","Fournisseur manquant",IF(ISNA(MATCH($C771,sup_code,0)),"Fournisseur inconnu",IF(E771="","Article manquant",IF(ISNA(MATCH($E771,art_ref,0)),"Article inconnu",IF(N(H771)&lt;=0,"Quantité invalide",IF(J771="","Prix manquant",IF(OR(N(K771)&lt;0,N(K771)&gt;=1),"Remise invalide",IF(M771="","TVA manquante",IF(ISNA(MATCH(M771,p_tva,0)),"Taux de TVA inconnu",IF(COUNTIFS(po_num,A771,po_sup,"&lt;&gt;"&amp;C771)&gt;0,"Fournisseur différent sur ce bon",IF(COUNTIFS(po_num,A771,po_date,"&lt;&gt;"&amp;B771)&gt;0,"Date différente sur ce bon",IF(COUNTIF(po_num,A771)&gt;25,"Plus de 25 lignes sur ce bon",IF(R771="","Date de livraison manquante",IF(R771&lt;B771,"Livraison avant la commande",IF(AND(N(T771)&gt;0,N(S771)=0),"Date d'envoi manquante",IF(N(T771)&gt;N(H771),"Reçu plus que commandé",IF(AND(N(T771)&gt;0,N(U771)=0),"Date de réception manquante",IF(AND(N(U771)&gt;0,U771&lt;B771),"Réception avant la commande","OK")))))))))))))))))))))</f>
        <v/>
      </c>
      <c r="AA771" s="66" t="str">
        <f>IF(AND(X771="Reçu",ISNUMBER(R771)),IF(N(U771)&lt;=R771,1,0),"")</f>
        <v/>
      </c>
      <c r="AB771" s="76" t="str">
        <f>IF(OR(X771="Envoyé",X771="Partiel",X771="En retard"),IF(ISNUMBER(R771),R771,100000)+ROW()/100000,"")</f>
        <v/>
      </c>
      <c r="AC771" s="66" t="str">
        <f>IF(A771="","",IF(COUNTIF($A$6:A771,A771)=1,1,""))</f>
        <v/>
      </c>
      <c r="AD771" s="66" t="str">
        <f>IF(AC771=1,COUNT($AC$6:AC771),"")</f>
        <v/>
      </c>
      <c r="AE771" s="66" t="str">
        <f>IFERROR(INDEX(po_num,MATCH(766,po_seq,0))&amp;"","")</f>
        <v/>
      </c>
      <c r="AF771" s="66" t="str">
        <f>IF(OR(A771="",p_po=""),"",IF(A771&amp;""=p_po,COUNTIF($A$6:A771,A771),""))</f>
        <v/>
      </c>
      <c r="AG771" s="66" t="str">
        <f>IF(OR(AB771="",A771=""),"",IF(COUNTIFS($A$6:A771,A771,$AB$6:AB771,"&gt;0")=1,1,""))</f>
        <v/>
      </c>
      <c r="AH771" s="70" t="str">
        <f>IF(AB771="","",ROUND(N(W771)*N(J771)*(1-N(K771)),2))</f>
        <v/>
      </c>
      <c r="AI771" s="70" t="str">
        <f>IF(OR(J771="",N(T771)&lt;=0,V771="Oui"),"",ROUND(N(T771)*J771*(1-N(K771)),2))</f>
        <v/>
      </c>
    </row>
    <row r="772">
      <c r="A772" s="63" t="n"/>
      <c r="B772" s="64" t="n"/>
      <c r="C772" s="65" t="n"/>
      <c r="D772" s="66" t="str">
        <f>IF(C772="","",IFERROR(INDEX(sup_name,MATCH($C772,sup_code,0))&amp;"","Fournisseur inconnu"))</f>
        <v/>
      </c>
      <c r="E772" s="63" t="n"/>
      <c r="F772" s="66" t="str">
        <f>IF(E772="","",IFERROR(INDEX(art_des,MATCH($E772,art_ref,0))&amp;"","Article inconnu"))</f>
        <v/>
      </c>
      <c r="G772" s="67" t="str">
        <f>IF(E772="","",IFERROR(INDEX(art_unit,MATCH($E772,art_ref,0))&amp;"",""))</f>
        <v/>
      </c>
      <c r="H772" s="68" t="n"/>
      <c r="I772" s="69" t="n"/>
      <c r="J772" s="70" t="str">
        <f>IF(E772="","",IF(ISNUMBER(I772),I772,IFERROR(IF(ISNUMBER(INDEX(art_price,MATCH($E772,art_ref,0))),INDEX(art_price,MATCH($E772,art_ref,0)),""),"")))</f>
        <v/>
      </c>
      <c r="K772" s="71" t="n"/>
      <c r="L772" s="72" t="n"/>
      <c r="M772" s="72" t="str">
        <f>IF(E772="","",IF(L772&lt;&gt;"",L772,IFERROR(IF(ISNUMBER(INDEX(art_tva,MATCH($E772,art_ref,0))),INDEX(art_tva,MATCH($E772,art_ref,0)),""),"")))</f>
        <v/>
      </c>
      <c r="N772" s="70" t="str">
        <f>IF(OR(E772="",J772=""),"",ROUND(N(H772)*J772*(1-N(K772)),2))</f>
        <v/>
      </c>
      <c r="O772" s="70" t="str">
        <f>IF(OR(N772="",NOT(ISNUMBER(M772))),"",ROUND(N772*M772,2))</f>
        <v/>
      </c>
      <c r="P772" s="70" t="str">
        <f>IF(N772="","",N772+N(O772))</f>
        <v/>
      </c>
      <c r="Q772" s="64" t="n"/>
      <c r="R772" s="73" t="str">
        <f>IF(N(Q772)&gt;0,Q772,IF(OR(N(B772)=0,ISNA(MATCH($C772,sup_code,0))),"",IF(ISNUMBER(INDEX(sup_delay,MATCH($C772,sup_code,0))),B772+INDEX(sup_delay,MATCH($C772,sup_code,0)),"")))</f>
        <v/>
      </c>
      <c r="S772" s="64" t="n"/>
      <c r="T772" s="68" t="n"/>
      <c r="U772" s="64" t="n"/>
      <c r="V772" s="65" t="n"/>
      <c r="W772" s="74" t="str">
        <f>IF(AND(A772="",E772=""),"",IF(V772="Oui",0,MAX(0,ROUND(N(H772)-N(T772),6))))</f>
        <v/>
      </c>
      <c r="X772" s="67" t="str">
        <f>IF(AND(A772="",E772=""),"",IF(V772="Oui","Annulé",IF(AND(N(H772)&gt;0,N(T772)&gt;=N(H772)),"Reçu",IF(N(S772)=0,"Brouillon",IF(AND(ISNUMBER(R772),R772&lt;p_today),"En retard",IF(N(T772)&gt;0,"Partiel","Envoyé"))))))</f>
        <v/>
      </c>
      <c r="Y772" s="75" t="str">
        <f>IF(X772="En retard",p_today-R772,IF(AND(X772="Reçu",ISNUMBER(R772)),MAX(0,N(U772)-R772),""))</f>
        <v/>
      </c>
      <c r="Z772" s="67" t="str">
        <f>IF(AND(A772="",E772=""),"",IF(A772="","N° de bon manquant",IF(N(B772)=0,"Date de commande manquante",IF(C772="","Fournisseur manquant",IF(ISNA(MATCH($C772,sup_code,0)),"Fournisseur inconnu",IF(E772="","Article manquant",IF(ISNA(MATCH($E772,art_ref,0)),"Article inconnu",IF(N(H772)&lt;=0,"Quantité invalide",IF(J772="","Prix manquant",IF(OR(N(K772)&lt;0,N(K772)&gt;=1),"Remise invalide",IF(M772="","TVA manquante",IF(ISNA(MATCH(M772,p_tva,0)),"Taux de TVA inconnu",IF(COUNTIFS(po_num,A772,po_sup,"&lt;&gt;"&amp;C772)&gt;0,"Fournisseur différent sur ce bon",IF(COUNTIFS(po_num,A772,po_date,"&lt;&gt;"&amp;B772)&gt;0,"Date différente sur ce bon",IF(COUNTIF(po_num,A772)&gt;25,"Plus de 25 lignes sur ce bon",IF(R772="","Date de livraison manquante",IF(R772&lt;B772,"Livraison avant la commande",IF(AND(N(T772)&gt;0,N(S772)=0),"Date d'envoi manquante",IF(N(T772)&gt;N(H772),"Reçu plus que commandé",IF(AND(N(T772)&gt;0,N(U772)=0),"Date de réception manquante",IF(AND(N(U772)&gt;0,U772&lt;B772),"Réception avant la commande","OK")))))))))))))))))))))</f>
        <v/>
      </c>
      <c r="AA772" s="66" t="str">
        <f>IF(AND(X772="Reçu",ISNUMBER(R772)),IF(N(U772)&lt;=R772,1,0),"")</f>
        <v/>
      </c>
      <c r="AB772" s="76" t="str">
        <f>IF(OR(X772="Envoyé",X772="Partiel",X772="En retard"),IF(ISNUMBER(R772),R772,100000)+ROW()/100000,"")</f>
        <v/>
      </c>
      <c r="AC772" s="66" t="str">
        <f>IF(A772="","",IF(COUNTIF($A$6:A772,A772)=1,1,""))</f>
        <v/>
      </c>
      <c r="AD772" s="66" t="str">
        <f>IF(AC772=1,COUNT($AC$6:AC772),"")</f>
        <v/>
      </c>
      <c r="AE772" s="66" t="str">
        <f>IFERROR(INDEX(po_num,MATCH(767,po_seq,0))&amp;"","")</f>
        <v/>
      </c>
      <c r="AF772" s="66" t="str">
        <f>IF(OR(A772="",p_po=""),"",IF(A772&amp;""=p_po,COUNTIF($A$6:A772,A772),""))</f>
        <v/>
      </c>
      <c r="AG772" s="66" t="str">
        <f>IF(OR(AB772="",A772=""),"",IF(COUNTIFS($A$6:A772,A772,$AB$6:AB772,"&gt;0")=1,1,""))</f>
        <v/>
      </c>
      <c r="AH772" s="70" t="str">
        <f>IF(AB772="","",ROUND(N(W772)*N(J772)*(1-N(K772)),2))</f>
        <v/>
      </c>
      <c r="AI772" s="70" t="str">
        <f>IF(OR(J772="",N(T772)&lt;=0,V772="Oui"),"",ROUND(N(T772)*J772*(1-N(K772)),2))</f>
        <v/>
      </c>
    </row>
    <row r="773">
      <c r="A773" s="63" t="n"/>
      <c r="B773" s="64" t="n"/>
      <c r="C773" s="65" t="n"/>
      <c r="D773" s="66" t="str">
        <f>IF(C773="","",IFERROR(INDEX(sup_name,MATCH($C773,sup_code,0))&amp;"","Fournisseur inconnu"))</f>
        <v/>
      </c>
      <c r="E773" s="63" t="n"/>
      <c r="F773" s="66" t="str">
        <f>IF(E773="","",IFERROR(INDEX(art_des,MATCH($E773,art_ref,0))&amp;"","Article inconnu"))</f>
        <v/>
      </c>
      <c r="G773" s="67" t="str">
        <f>IF(E773="","",IFERROR(INDEX(art_unit,MATCH($E773,art_ref,0))&amp;"",""))</f>
        <v/>
      </c>
      <c r="H773" s="68" t="n"/>
      <c r="I773" s="69" t="n"/>
      <c r="J773" s="70" t="str">
        <f>IF(E773="","",IF(ISNUMBER(I773),I773,IFERROR(IF(ISNUMBER(INDEX(art_price,MATCH($E773,art_ref,0))),INDEX(art_price,MATCH($E773,art_ref,0)),""),"")))</f>
        <v/>
      </c>
      <c r="K773" s="71" t="n"/>
      <c r="L773" s="72" t="n"/>
      <c r="M773" s="72" t="str">
        <f>IF(E773="","",IF(L773&lt;&gt;"",L773,IFERROR(IF(ISNUMBER(INDEX(art_tva,MATCH($E773,art_ref,0))),INDEX(art_tva,MATCH($E773,art_ref,0)),""),"")))</f>
        <v/>
      </c>
      <c r="N773" s="70" t="str">
        <f>IF(OR(E773="",J773=""),"",ROUND(N(H773)*J773*(1-N(K773)),2))</f>
        <v/>
      </c>
      <c r="O773" s="70" t="str">
        <f>IF(OR(N773="",NOT(ISNUMBER(M773))),"",ROUND(N773*M773,2))</f>
        <v/>
      </c>
      <c r="P773" s="70" t="str">
        <f>IF(N773="","",N773+N(O773))</f>
        <v/>
      </c>
      <c r="Q773" s="64" t="n"/>
      <c r="R773" s="73" t="str">
        <f>IF(N(Q773)&gt;0,Q773,IF(OR(N(B773)=0,ISNA(MATCH($C773,sup_code,0))),"",IF(ISNUMBER(INDEX(sup_delay,MATCH($C773,sup_code,0))),B773+INDEX(sup_delay,MATCH($C773,sup_code,0)),"")))</f>
        <v/>
      </c>
      <c r="S773" s="64" t="n"/>
      <c r="T773" s="68" t="n"/>
      <c r="U773" s="64" t="n"/>
      <c r="V773" s="65" t="n"/>
      <c r="W773" s="74" t="str">
        <f>IF(AND(A773="",E773=""),"",IF(V773="Oui",0,MAX(0,ROUND(N(H773)-N(T773),6))))</f>
        <v/>
      </c>
      <c r="X773" s="67" t="str">
        <f>IF(AND(A773="",E773=""),"",IF(V773="Oui","Annulé",IF(AND(N(H773)&gt;0,N(T773)&gt;=N(H773)),"Reçu",IF(N(S773)=0,"Brouillon",IF(AND(ISNUMBER(R773),R773&lt;p_today),"En retard",IF(N(T773)&gt;0,"Partiel","Envoyé"))))))</f>
        <v/>
      </c>
      <c r="Y773" s="75" t="str">
        <f>IF(X773="En retard",p_today-R773,IF(AND(X773="Reçu",ISNUMBER(R773)),MAX(0,N(U773)-R773),""))</f>
        <v/>
      </c>
      <c r="Z773" s="67" t="str">
        <f>IF(AND(A773="",E773=""),"",IF(A773="","N° de bon manquant",IF(N(B773)=0,"Date de commande manquante",IF(C773="","Fournisseur manquant",IF(ISNA(MATCH($C773,sup_code,0)),"Fournisseur inconnu",IF(E773="","Article manquant",IF(ISNA(MATCH($E773,art_ref,0)),"Article inconnu",IF(N(H773)&lt;=0,"Quantité invalide",IF(J773="","Prix manquant",IF(OR(N(K773)&lt;0,N(K773)&gt;=1),"Remise invalide",IF(M773="","TVA manquante",IF(ISNA(MATCH(M773,p_tva,0)),"Taux de TVA inconnu",IF(COUNTIFS(po_num,A773,po_sup,"&lt;&gt;"&amp;C773)&gt;0,"Fournisseur différent sur ce bon",IF(COUNTIFS(po_num,A773,po_date,"&lt;&gt;"&amp;B773)&gt;0,"Date différente sur ce bon",IF(COUNTIF(po_num,A773)&gt;25,"Plus de 25 lignes sur ce bon",IF(R773="","Date de livraison manquante",IF(R773&lt;B773,"Livraison avant la commande",IF(AND(N(T773)&gt;0,N(S773)=0),"Date d'envoi manquante",IF(N(T773)&gt;N(H773),"Reçu plus que commandé",IF(AND(N(T773)&gt;0,N(U773)=0),"Date de réception manquante",IF(AND(N(U773)&gt;0,U773&lt;B773),"Réception avant la commande","OK")))))))))))))))))))))</f>
        <v/>
      </c>
      <c r="AA773" s="66" t="str">
        <f>IF(AND(X773="Reçu",ISNUMBER(R773)),IF(N(U773)&lt;=R773,1,0),"")</f>
        <v/>
      </c>
      <c r="AB773" s="76" t="str">
        <f>IF(OR(X773="Envoyé",X773="Partiel",X773="En retard"),IF(ISNUMBER(R773),R773,100000)+ROW()/100000,"")</f>
        <v/>
      </c>
      <c r="AC773" s="66" t="str">
        <f>IF(A773="","",IF(COUNTIF($A$6:A773,A773)=1,1,""))</f>
        <v/>
      </c>
      <c r="AD773" s="66" t="str">
        <f>IF(AC773=1,COUNT($AC$6:AC773),"")</f>
        <v/>
      </c>
      <c r="AE773" s="66" t="str">
        <f>IFERROR(INDEX(po_num,MATCH(768,po_seq,0))&amp;"","")</f>
        <v/>
      </c>
      <c r="AF773" s="66" t="str">
        <f>IF(OR(A773="",p_po=""),"",IF(A773&amp;""=p_po,COUNTIF($A$6:A773,A773),""))</f>
        <v/>
      </c>
      <c r="AG773" s="66" t="str">
        <f>IF(OR(AB773="",A773=""),"",IF(COUNTIFS($A$6:A773,A773,$AB$6:AB773,"&gt;0")=1,1,""))</f>
        <v/>
      </c>
      <c r="AH773" s="70" t="str">
        <f>IF(AB773="","",ROUND(N(W773)*N(J773)*(1-N(K773)),2))</f>
        <v/>
      </c>
      <c r="AI773" s="70" t="str">
        <f>IF(OR(J773="",N(T773)&lt;=0,V773="Oui"),"",ROUND(N(T773)*J773*(1-N(K773)),2))</f>
        <v/>
      </c>
    </row>
    <row r="774">
      <c r="A774" s="63" t="n"/>
      <c r="B774" s="64" t="n"/>
      <c r="C774" s="65" t="n"/>
      <c r="D774" s="66" t="str">
        <f>IF(C774="","",IFERROR(INDEX(sup_name,MATCH($C774,sup_code,0))&amp;"","Fournisseur inconnu"))</f>
        <v/>
      </c>
      <c r="E774" s="63" t="n"/>
      <c r="F774" s="66" t="str">
        <f>IF(E774="","",IFERROR(INDEX(art_des,MATCH($E774,art_ref,0))&amp;"","Article inconnu"))</f>
        <v/>
      </c>
      <c r="G774" s="67" t="str">
        <f>IF(E774="","",IFERROR(INDEX(art_unit,MATCH($E774,art_ref,0))&amp;"",""))</f>
        <v/>
      </c>
      <c r="H774" s="68" t="n"/>
      <c r="I774" s="69" t="n"/>
      <c r="J774" s="70" t="str">
        <f>IF(E774="","",IF(ISNUMBER(I774),I774,IFERROR(IF(ISNUMBER(INDEX(art_price,MATCH($E774,art_ref,0))),INDEX(art_price,MATCH($E774,art_ref,0)),""),"")))</f>
        <v/>
      </c>
      <c r="K774" s="71" t="n"/>
      <c r="L774" s="72" t="n"/>
      <c r="M774" s="72" t="str">
        <f>IF(E774="","",IF(L774&lt;&gt;"",L774,IFERROR(IF(ISNUMBER(INDEX(art_tva,MATCH($E774,art_ref,0))),INDEX(art_tva,MATCH($E774,art_ref,0)),""),"")))</f>
        <v/>
      </c>
      <c r="N774" s="70" t="str">
        <f>IF(OR(E774="",J774=""),"",ROUND(N(H774)*J774*(1-N(K774)),2))</f>
        <v/>
      </c>
      <c r="O774" s="70" t="str">
        <f>IF(OR(N774="",NOT(ISNUMBER(M774))),"",ROUND(N774*M774,2))</f>
        <v/>
      </c>
      <c r="P774" s="70" t="str">
        <f>IF(N774="","",N774+N(O774))</f>
        <v/>
      </c>
      <c r="Q774" s="64" t="n"/>
      <c r="R774" s="73" t="str">
        <f>IF(N(Q774)&gt;0,Q774,IF(OR(N(B774)=0,ISNA(MATCH($C774,sup_code,0))),"",IF(ISNUMBER(INDEX(sup_delay,MATCH($C774,sup_code,0))),B774+INDEX(sup_delay,MATCH($C774,sup_code,0)),"")))</f>
        <v/>
      </c>
      <c r="S774" s="64" t="n"/>
      <c r="T774" s="68" t="n"/>
      <c r="U774" s="64" t="n"/>
      <c r="V774" s="65" t="n"/>
      <c r="W774" s="74" t="str">
        <f>IF(AND(A774="",E774=""),"",IF(V774="Oui",0,MAX(0,ROUND(N(H774)-N(T774),6))))</f>
        <v/>
      </c>
      <c r="X774" s="67" t="str">
        <f>IF(AND(A774="",E774=""),"",IF(V774="Oui","Annulé",IF(AND(N(H774)&gt;0,N(T774)&gt;=N(H774)),"Reçu",IF(N(S774)=0,"Brouillon",IF(AND(ISNUMBER(R774),R774&lt;p_today),"En retard",IF(N(T774)&gt;0,"Partiel","Envoyé"))))))</f>
        <v/>
      </c>
      <c r="Y774" s="75" t="str">
        <f>IF(X774="En retard",p_today-R774,IF(AND(X774="Reçu",ISNUMBER(R774)),MAX(0,N(U774)-R774),""))</f>
        <v/>
      </c>
      <c r="Z774" s="67" t="str">
        <f>IF(AND(A774="",E774=""),"",IF(A774="","N° de bon manquant",IF(N(B774)=0,"Date de commande manquante",IF(C774="","Fournisseur manquant",IF(ISNA(MATCH($C774,sup_code,0)),"Fournisseur inconnu",IF(E774="","Article manquant",IF(ISNA(MATCH($E774,art_ref,0)),"Article inconnu",IF(N(H774)&lt;=0,"Quantité invalide",IF(J774="","Prix manquant",IF(OR(N(K774)&lt;0,N(K774)&gt;=1),"Remise invalide",IF(M774="","TVA manquante",IF(ISNA(MATCH(M774,p_tva,0)),"Taux de TVA inconnu",IF(COUNTIFS(po_num,A774,po_sup,"&lt;&gt;"&amp;C774)&gt;0,"Fournisseur différent sur ce bon",IF(COUNTIFS(po_num,A774,po_date,"&lt;&gt;"&amp;B774)&gt;0,"Date différente sur ce bon",IF(COUNTIF(po_num,A774)&gt;25,"Plus de 25 lignes sur ce bon",IF(R774="","Date de livraison manquante",IF(R774&lt;B774,"Livraison avant la commande",IF(AND(N(T774)&gt;0,N(S774)=0),"Date d'envoi manquante",IF(N(T774)&gt;N(H774),"Reçu plus que commandé",IF(AND(N(T774)&gt;0,N(U774)=0),"Date de réception manquante",IF(AND(N(U774)&gt;0,U774&lt;B774),"Réception avant la commande","OK")))))))))))))))))))))</f>
        <v/>
      </c>
      <c r="AA774" s="66" t="str">
        <f>IF(AND(X774="Reçu",ISNUMBER(R774)),IF(N(U774)&lt;=R774,1,0),"")</f>
        <v/>
      </c>
      <c r="AB774" s="76" t="str">
        <f>IF(OR(X774="Envoyé",X774="Partiel",X774="En retard"),IF(ISNUMBER(R774),R774,100000)+ROW()/100000,"")</f>
        <v/>
      </c>
      <c r="AC774" s="66" t="str">
        <f>IF(A774="","",IF(COUNTIF($A$6:A774,A774)=1,1,""))</f>
        <v/>
      </c>
      <c r="AD774" s="66" t="str">
        <f>IF(AC774=1,COUNT($AC$6:AC774),"")</f>
        <v/>
      </c>
      <c r="AE774" s="66" t="str">
        <f>IFERROR(INDEX(po_num,MATCH(769,po_seq,0))&amp;"","")</f>
        <v/>
      </c>
      <c r="AF774" s="66" t="str">
        <f>IF(OR(A774="",p_po=""),"",IF(A774&amp;""=p_po,COUNTIF($A$6:A774,A774),""))</f>
        <v/>
      </c>
      <c r="AG774" s="66" t="str">
        <f>IF(OR(AB774="",A774=""),"",IF(COUNTIFS($A$6:A774,A774,$AB$6:AB774,"&gt;0")=1,1,""))</f>
        <v/>
      </c>
      <c r="AH774" s="70" t="str">
        <f>IF(AB774="","",ROUND(N(W774)*N(J774)*(1-N(K774)),2))</f>
        <v/>
      </c>
      <c r="AI774" s="70" t="str">
        <f>IF(OR(J774="",N(T774)&lt;=0,V774="Oui"),"",ROUND(N(T774)*J774*(1-N(K774)),2))</f>
        <v/>
      </c>
    </row>
    <row r="775">
      <c r="A775" s="63" t="n"/>
      <c r="B775" s="64" t="n"/>
      <c r="C775" s="65" t="n"/>
      <c r="D775" s="66" t="str">
        <f>IF(C775="","",IFERROR(INDEX(sup_name,MATCH($C775,sup_code,0))&amp;"","Fournisseur inconnu"))</f>
        <v/>
      </c>
      <c r="E775" s="63" t="n"/>
      <c r="F775" s="66" t="str">
        <f>IF(E775="","",IFERROR(INDEX(art_des,MATCH($E775,art_ref,0))&amp;"","Article inconnu"))</f>
        <v/>
      </c>
      <c r="G775" s="67" t="str">
        <f>IF(E775="","",IFERROR(INDEX(art_unit,MATCH($E775,art_ref,0))&amp;"",""))</f>
        <v/>
      </c>
      <c r="H775" s="68" t="n"/>
      <c r="I775" s="69" t="n"/>
      <c r="J775" s="70" t="str">
        <f>IF(E775="","",IF(ISNUMBER(I775),I775,IFERROR(IF(ISNUMBER(INDEX(art_price,MATCH($E775,art_ref,0))),INDEX(art_price,MATCH($E775,art_ref,0)),""),"")))</f>
        <v/>
      </c>
      <c r="K775" s="71" t="n"/>
      <c r="L775" s="72" t="n"/>
      <c r="M775" s="72" t="str">
        <f>IF(E775="","",IF(L775&lt;&gt;"",L775,IFERROR(IF(ISNUMBER(INDEX(art_tva,MATCH($E775,art_ref,0))),INDEX(art_tva,MATCH($E775,art_ref,0)),""),"")))</f>
        <v/>
      </c>
      <c r="N775" s="70" t="str">
        <f>IF(OR(E775="",J775=""),"",ROUND(N(H775)*J775*(1-N(K775)),2))</f>
        <v/>
      </c>
      <c r="O775" s="70" t="str">
        <f>IF(OR(N775="",NOT(ISNUMBER(M775))),"",ROUND(N775*M775,2))</f>
        <v/>
      </c>
      <c r="P775" s="70" t="str">
        <f>IF(N775="","",N775+N(O775))</f>
        <v/>
      </c>
      <c r="Q775" s="64" t="n"/>
      <c r="R775" s="73" t="str">
        <f>IF(N(Q775)&gt;0,Q775,IF(OR(N(B775)=0,ISNA(MATCH($C775,sup_code,0))),"",IF(ISNUMBER(INDEX(sup_delay,MATCH($C775,sup_code,0))),B775+INDEX(sup_delay,MATCH($C775,sup_code,0)),"")))</f>
        <v/>
      </c>
      <c r="S775" s="64" t="n"/>
      <c r="T775" s="68" t="n"/>
      <c r="U775" s="64" t="n"/>
      <c r="V775" s="65" t="n"/>
      <c r="W775" s="74" t="str">
        <f>IF(AND(A775="",E775=""),"",IF(V775="Oui",0,MAX(0,ROUND(N(H775)-N(T775),6))))</f>
        <v/>
      </c>
      <c r="X775" s="67" t="str">
        <f>IF(AND(A775="",E775=""),"",IF(V775="Oui","Annulé",IF(AND(N(H775)&gt;0,N(T775)&gt;=N(H775)),"Reçu",IF(N(S775)=0,"Brouillon",IF(AND(ISNUMBER(R775),R775&lt;p_today),"En retard",IF(N(T775)&gt;0,"Partiel","Envoyé"))))))</f>
        <v/>
      </c>
      <c r="Y775" s="75" t="str">
        <f>IF(X775="En retard",p_today-R775,IF(AND(X775="Reçu",ISNUMBER(R775)),MAX(0,N(U775)-R775),""))</f>
        <v/>
      </c>
      <c r="Z775" s="67" t="str">
        <f>IF(AND(A775="",E775=""),"",IF(A775="","N° de bon manquant",IF(N(B775)=0,"Date de commande manquante",IF(C775="","Fournisseur manquant",IF(ISNA(MATCH($C775,sup_code,0)),"Fournisseur inconnu",IF(E775="","Article manquant",IF(ISNA(MATCH($E775,art_ref,0)),"Article inconnu",IF(N(H775)&lt;=0,"Quantité invalide",IF(J775="","Prix manquant",IF(OR(N(K775)&lt;0,N(K775)&gt;=1),"Remise invalide",IF(M775="","TVA manquante",IF(ISNA(MATCH(M775,p_tva,0)),"Taux de TVA inconnu",IF(COUNTIFS(po_num,A775,po_sup,"&lt;&gt;"&amp;C775)&gt;0,"Fournisseur différent sur ce bon",IF(COUNTIFS(po_num,A775,po_date,"&lt;&gt;"&amp;B775)&gt;0,"Date différente sur ce bon",IF(COUNTIF(po_num,A775)&gt;25,"Plus de 25 lignes sur ce bon",IF(R775="","Date de livraison manquante",IF(R775&lt;B775,"Livraison avant la commande",IF(AND(N(T775)&gt;0,N(S775)=0),"Date d'envoi manquante",IF(N(T775)&gt;N(H775),"Reçu plus que commandé",IF(AND(N(T775)&gt;0,N(U775)=0),"Date de réception manquante",IF(AND(N(U775)&gt;0,U775&lt;B775),"Réception avant la commande","OK")))))))))))))))))))))</f>
        <v/>
      </c>
      <c r="AA775" s="66" t="str">
        <f>IF(AND(X775="Reçu",ISNUMBER(R775)),IF(N(U775)&lt;=R775,1,0),"")</f>
        <v/>
      </c>
      <c r="AB775" s="76" t="str">
        <f>IF(OR(X775="Envoyé",X775="Partiel",X775="En retard"),IF(ISNUMBER(R775),R775,100000)+ROW()/100000,"")</f>
        <v/>
      </c>
      <c r="AC775" s="66" t="str">
        <f>IF(A775="","",IF(COUNTIF($A$6:A775,A775)=1,1,""))</f>
        <v/>
      </c>
      <c r="AD775" s="66" t="str">
        <f>IF(AC775=1,COUNT($AC$6:AC775),"")</f>
        <v/>
      </c>
      <c r="AE775" s="66" t="str">
        <f>IFERROR(INDEX(po_num,MATCH(770,po_seq,0))&amp;"","")</f>
        <v/>
      </c>
      <c r="AF775" s="66" t="str">
        <f>IF(OR(A775="",p_po=""),"",IF(A775&amp;""=p_po,COUNTIF($A$6:A775,A775),""))</f>
        <v/>
      </c>
      <c r="AG775" s="66" t="str">
        <f>IF(OR(AB775="",A775=""),"",IF(COUNTIFS($A$6:A775,A775,$AB$6:AB775,"&gt;0")=1,1,""))</f>
        <v/>
      </c>
      <c r="AH775" s="70" t="str">
        <f>IF(AB775="","",ROUND(N(W775)*N(J775)*(1-N(K775)),2))</f>
        <v/>
      </c>
      <c r="AI775" s="70" t="str">
        <f>IF(OR(J775="",N(T775)&lt;=0,V775="Oui"),"",ROUND(N(T775)*J775*(1-N(K775)),2))</f>
        <v/>
      </c>
    </row>
    <row r="776">
      <c r="A776" s="63" t="n"/>
      <c r="B776" s="64" t="n"/>
      <c r="C776" s="65" t="n"/>
      <c r="D776" s="66" t="str">
        <f>IF(C776="","",IFERROR(INDEX(sup_name,MATCH($C776,sup_code,0))&amp;"","Fournisseur inconnu"))</f>
        <v/>
      </c>
      <c r="E776" s="63" t="n"/>
      <c r="F776" s="66" t="str">
        <f>IF(E776="","",IFERROR(INDEX(art_des,MATCH($E776,art_ref,0))&amp;"","Article inconnu"))</f>
        <v/>
      </c>
      <c r="G776" s="67" t="str">
        <f>IF(E776="","",IFERROR(INDEX(art_unit,MATCH($E776,art_ref,0))&amp;"",""))</f>
        <v/>
      </c>
      <c r="H776" s="68" t="n"/>
      <c r="I776" s="69" t="n"/>
      <c r="J776" s="70" t="str">
        <f>IF(E776="","",IF(ISNUMBER(I776),I776,IFERROR(IF(ISNUMBER(INDEX(art_price,MATCH($E776,art_ref,0))),INDEX(art_price,MATCH($E776,art_ref,0)),""),"")))</f>
        <v/>
      </c>
      <c r="K776" s="71" t="n"/>
      <c r="L776" s="72" t="n"/>
      <c r="M776" s="72" t="str">
        <f>IF(E776="","",IF(L776&lt;&gt;"",L776,IFERROR(IF(ISNUMBER(INDEX(art_tva,MATCH($E776,art_ref,0))),INDEX(art_tva,MATCH($E776,art_ref,0)),""),"")))</f>
        <v/>
      </c>
      <c r="N776" s="70" t="str">
        <f>IF(OR(E776="",J776=""),"",ROUND(N(H776)*J776*(1-N(K776)),2))</f>
        <v/>
      </c>
      <c r="O776" s="70" t="str">
        <f>IF(OR(N776="",NOT(ISNUMBER(M776))),"",ROUND(N776*M776,2))</f>
        <v/>
      </c>
      <c r="P776" s="70" t="str">
        <f>IF(N776="","",N776+N(O776))</f>
        <v/>
      </c>
      <c r="Q776" s="64" t="n"/>
      <c r="R776" s="73" t="str">
        <f>IF(N(Q776)&gt;0,Q776,IF(OR(N(B776)=0,ISNA(MATCH($C776,sup_code,0))),"",IF(ISNUMBER(INDEX(sup_delay,MATCH($C776,sup_code,0))),B776+INDEX(sup_delay,MATCH($C776,sup_code,0)),"")))</f>
        <v/>
      </c>
      <c r="S776" s="64" t="n"/>
      <c r="T776" s="68" t="n"/>
      <c r="U776" s="64" t="n"/>
      <c r="V776" s="65" t="n"/>
      <c r="W776" s="74" t="str">
        <f>IF(AND(A776="",E776=""),"",IF(V776="Oui",0,MAX(0,ROUND(N(H776)-N(T776),6))))</f>
        <v/>
      </c>
      <c r="X776" s="67" t="str">
        <f>IF(AND(A776="",E776=""),"",IF(V776="Oui","Annulé",IF(AND(N(H776)&gt;0,N(T776)&gt;=N(H776)),"Reçu",IF(N(S776)=0,"Brouillon",IF(AND(ISNUMBER(R776),R776&lt;p_today),"En retard",IF(N(T776)&gt;0,"Partiel","Envoyé"))))))</f>
        <v/>
      </c>
      <c r="Y776" s="75" t="str">
        <f>IF(X776="En retard",p_today-R776,IF(AND(X776="Reçu",ISNUMBER(R776)),MAX(0,N(U776)-R776),""))</f>
        <v/>
      </c>
      <c r="Z776" s="67" t="str">
        <f>IF(AND(A776="",E776=""),"",IF(A776="","N° de bon manquant",IF(N(B776)=0,"Date de commande manquante",IF(C776="","Fournisseur manquant",IF(ISNA(MATCH($C776,sup_code,0)),"Fournisseur inconnu",IF(E776="","Article manquant",IF(ISNA(MATCH($E776,art_ref,0)),"Article inconnu",IF(N(H776)&lt;=0,"Quantité invalide",IF(J776="","Prix manquant",IF(OR(N(K776)&lt;0,N(K776)&gt;=1),"Remise invalide",IF(M776="","TVA manquante",IF(ISNA(MATCH(M776,p_tva,0)),"Taux de TVA inconnu",IF(COUNTIFS(po_num,A776,po_sup,"&lt;&gt;"&amp;C776)&gt;0,"Fournisseur différent sur ce bon",IF(COUNTIFS(po_num,A776,po_date,"&lt;&gt;"&amp;B776)&gt;0,"Date différente sur ce bon",IF(COUNTIF(po_num,A776)&gt;25,"Plus de 25 lignes sur ce bon",IF(R776="","Date de livraison manquante",IF(R776&lt;B776,"Livraison avant la commande",IF(AND(N(T776)&gt;0,N(S776)=0),"Date d'envoi manquante",IF(N(T776)&gt;N(H776),"Reçu plus que commandé",IF(AND(N(T776)&gt;0,N(U776)=0),"Date de réception manquante",IF(AND(N(U776)&gt;0,U776&lt;B776),"Réception avant la commande","OK")))))))))))))))))))))</f>
        <v/>
      </c>
      <c r="AA776" s="66" t="str">
        <f>IF(AND(X776="Reçu",ISNUMBER(R776)),IF(N(U776)&lt;=R776,1,0),"")</f>
        <v/>
      </c>
      <c r="AB776" s="76" t="str">
        <f>IF(OR(X776="Envoyé",X776="Partiel",X776="En retard"),IF(ISNUMBER(R776),R776,100000)+ROW()/100000,"")</f>
        <v/>
      </c>
      <c r="AC776" s="66" t="str">
        <f>IF(A776="","",IF(COUNTIF($A$6:A776,A776)=1,1,""))</f>
        <v/>
      </c>
      <c r="AD776" s="66" t="str">
        <f>IF(AC776=1,COUNT($AC$6:AC776),"")</f>
        <v/>
      </c>
      <c r="AE776" s="66" t="str">
        <f>IFERROR(INDEX(po_num,MATCH(771,po_seq,0))&amp;"","")</f>
        <v/>
      </c>
      <c r="AF776" s="66" t="str">
        <f>IF(OR(A776="",p_po=""),"",IF(A776&amp;""=p_po,COUNTIF($A$6:A776,A776),""))</f>
        <v/>
      </c>
      <c r="AG776" s="66" t="str">
        <f>IF(OR(AB776="",A776=""),"",IF(COUNTIFS($A$6:A776,A776,$AB$6:AB776,"&gt;0")=1,1,""))</f>
        <v/>
      </c>
      <c r="AH776" s="70" t="str">
        <f>IF(AB776="","",ROUND(N(W776)*N(J776)*(1-N(K776)),2))</f>
        <v/>
      </c>
      <c r="AI776" s="70" t="str">
        <f>IF(OR(J776="",N(T776)&lt;=0,V776="Oui"),"",ROUND(N(T776)*J776*(1-N(K776)),2))</f>
        <v/>
      </c>
    </row>
    <row r="777">
      <c r="A777" s="63" t="n"/>
      <c r="B777" s="64" t="n"/>
      <c r="C777" s="65" t="n"/>
      <c r="D777" s="66" t="str">
        <f>IF(C777="","",IFERROR(INDEX(sup_name,MATCH($C777,sup_code,0))&amp;"","Fournisseur inconnu"))</f>
        <v/>
      </c>
      <c r="E777" s="63" t="n"/>
      <c r="F777" s="66" t="str">
        <f>IF(E777="","",IFERROR(INDEX(art_des,MATCH($E777,art_ref,0))&amp;"","Article inconnu"))</f>
        <v/>
      </c>
      <c r="G777" s="67" t="str">
        <f>IF(E777="","",IFERROR(INDEX(art_unit,MATCH($E777,art_ref,0))&amp;"",""))</f>
        <v/>
      </c>
      <c r="H777" s="68" t="n"/>
      <c r="I777" s="69" t="n"/>
      <c r="J777" s="70" t="str">
        <f>IF(E777="","",IF(ISNUMBER(I777),I777,IFERROR(IF(ISNUMBER(INDEX(art_price,MATCH($E777,art_ref,0))),INDEX(art_price,MATCH($E777,art_ref,0)),""),"")))</f>
        <v/>
      </c>
      <c r="K777" s="71" t="n"/>
      <c r="L777" s="72" t="n"/>
      <c r="M777" s="72" t="str">
        <f>IF(E777="","",IF(L777&lt;&gt;"",L777,IFERROR(IF(ISNUMBER(INDEX(art_tva,MATCH($E777,art_ref,0))),INDEX(art_tva,MATCH($E777,art_ref,0)),""),"")))</f>
        <v/>
      </c>
      <c r="N777" s="70" t="str">
        <f>IF(OR(E777="",J777=""),"",ROUND(N(H777)*J777*(1-N(K777)),2))</f>
        <v/>
      </c>
      <c r="O777" s="70" t="str">
        <f>IF(OR(N777="",NOT(ISNUMBER(M777))),"",ROUND(N777*M777,2))</f>
        <v/>
      </c>
      <c r="P777" s="70" t="str">
        <f>IF(N777="","",N777+N(O777))</f>
        <v/>
      </c>
      <c r="Q777" s="64" t="n"/>
      <c r="R777" s="73" t="str">
        <f>IF(N(Q777)&gt;0,Q777,IF(OR(N(B777)=0,ISNA(MATCH($C777,sup_code,0))),"",IF(ISNUMBER(INDEX(sup_delay,MATCH($C777,sup_code,0))),B777+INDEX(sup_delay,MATCH($C777,sup_code,0)),"")))</f>
        <v/>
      </c>
      <c r="S777" s="64" t="n"/>
      <c r="T777" s="68" t="n"/>
      <c r="U777" s="64" t="n"/>
      <c r="V777" s="65" t="n"/>
      <c r="W777" s="74" t="str">
        <f>IF(AND(A777="",E777=""),"",IF(V777="Oui",0,MAX(0,ROUND(N(H777)-N(T777),6))))</f>
        <v/>
      </c>
      <c r="X777" s="67" t="str">
        <f>IF(AND(A777="",E777=""),"",IF(V777="Oui","Annulé",IF(AND(N(H777)&gt;0,N(T777)&gt;=N(H777)),"Reçu",IF(N(S777)=0,"Brouillon",IF(AND(ISNUMBER(R777),R777&lt;p_today),"En retard",IF(N(T777)&gt;0,"Partiel","Envoyé"))))))</f>
        <v/>
      </c>
      <c r="Y777" s="75" t="str">
        <f>IF(X777="En retard",p_today-R777,IF(AND(X777="Reçu",ISNUMBER(R777)),MAX(0,N(U777)-R777),""))</f>
        <v/>
      </c>
      <c r="Z777" s="67" t="str">
        <f>IF(AND(A777="",E777=""),"",IF(A777="","N° de bon manquant",IF(N(B777)=0,"Date de commande manquante",IF(C777="","Fournisseur manquant",IF(ISNA(MATCH($C777,sup_code,0)),"Fournisseur inconnu",IF(E777="","Article manquant",IF(ISNA(MATCH($E777,art_ref,0)),"Article inconnu",IF(N(H777)&lt;=0,"Quantité invalide",IF(J777="","Prix manquant",IF(OR(N(K777)&lt;0,N(K777)&gt;=1),"Remise invalide",IF(M777="","TVA manquante",IF(ISNA(MATCH(M777,p_tva,0)),"Taux de TVA inconnu",IF(COUNTIFS(po_num,A777,po_sup,"&lt;&gt;"&amp;C777)&gt;0,"Fournisseur différent sur ce bon",IF(COUNTIFS(po_num,A777,po_date,"&lt;&gt;"&amp;B777)&gt;0,"Date différente sur ce bon",IF(COUNTIF(po_num,A777)&gt;25,"Plus de 25 lignes sur ce bon",IF(R777="","Date de livraison manquante",IF(R777&lt;B777,"Livraison avant la commande",IF(AND(N(T777)&gt;0,N(S777)=0),"Date d'envoi manquante",IF(N(T777)&gt;N(H777),"Reçu plus que commandé",IF(AND(N(T777)&gt;0,N(U777)=0),"Date de réception manquante",IF(AND(N(U777)&gt;0,U777&lt;B777),"Réception avant la commande","OK")))))))))))))))))))))</f>
        <v/>
      </c>
      <c r="AA777" s="66" t="str">
        <f>IF(AND(X777="Reçu",ISNUMBER(R777)),IF(N(U777)&lt;=R777,1,0),"")</f>
        <v/>
      </c>
      <c r="AB777" s="76" t="str">
        <f>IF(OR(X777="Envoyé",X777="Partiel",X777="En retard"),IF(ISNUMBER(R777),R777,100000)+ROW()/100000,"")</f>
        <v/>
      </c>
      <c r="AC777" s="66" t="str">
        <f>IF(A777="","",IF(COUNTIF($A$6:A777,A777)=1,1,""))</f>
        <v/>
      </c>
      <c r="AD777" s="66" t="str">
        <f>IF(AC777=1,COUNT($AC$6:AC777),"")</f>
        <v/>
      </c>
      <c r="AE777" s="66" t="str">
        <f>IFERROR(INDEX(po_num,MATCH(772,po_seq,0))&amp;"","")</f>
        <v/>
      </c>
      <c r="AF777" s="66" t="str">
        <f>IF(OR(A777="",p_po=""),"",IF(A777&amp;""=p_po,COUNTIF($A$6:A777,A777),""))</f>
        <v/>
      </c>
      <c r="AG777" s="66" t="str">
        <f>IF(OR(AB777="",A777=""),"",IF(COUNTIFS($A$6:A777,A777,$AB$6:AB777,"&gt;0")=1,1,""))</f>
        <v/>
      </c>
      <c r="AH777" s="70" t="str">
        <f>IF(AB777="","",ROUND(N(W777)*N(J777)*(1-N(K777)),2))</f>
        <v/>
      </c>
      <c r="AI777" s="70" t="str">
        <f>IF(OR(J777="",N(T777)&lt;=0,V777="Oui"),"",ROUND(N(T777)*J777*(1-N(K777)),2))</f>
        <v/>
      </c>
    </row>
    <row r="778">
      <c r="A778" s="63" t="n"/>
      <c r="B778" s="64" t="n"/>
      <c r="C778" s="65" t="n"/>
      <c r="D778" s="66" t="str">
        <f>IF(C778="","",IFERROR(INDEX(sup_name,MATCH($C778,sup_code,0))&amp;"","Fournisseur inconnu"))</f>
        <v/>
      </c>
      <c r="E778" s="63" t="n"/>
      <c r="F778" s="66" t="str">
        <f>IF(E778="","",IFERROR(INDEX(art_des,MATCH($E778,art_ref,0))&amp;"","Article inconnu"))</f>
        <v/>
      </c>
      <c r="G778" s="67" t="str">
        <f>IF(E778="","",IFERROR(INDEX(art_unit,MATCH($E778,art_ref,0))&amp;"",""))</f>
        <v/>
      </c>
      <c r="H778" s="68" t="n"/>
      <c r="I778" s="69" t="n"/>
      <c r="J778" s="70" t="str">
        <f>IF(E778="","",IF(ISNUMBER(I778),I778,IFERROR(IF(ISNUMBER(INDEX(art_price,MATCH($E778,art_ref,0))),INDEX(art_price,MATCH($E778,art_ref,0)),""),"")))</f>
        <v/>
      </c>
      <c r="K778" s="71" t="n"/>
      <c r="L778" s="72" t="n"/>
      <c r="M778" s="72" t="str">
        <f>IF(E778="","",IF(L778&lt;&gt;"",L778,IFERROR(IF(ISNUMBER(INDEX(art_tva,MATCH($E778,art_ref,0))),INDEX(art_tva,MATCH($E778,art_ref,0)),""),"")))</f>
        <v/>
      </c>
      <c r="N778" s="70" t="str">
        <f>IF(OR(E778="",J778=""),"",ROUND(N(H778)*J778*(1-N(K778)),2))</f>
        <v/>
      </c>
      <c r="O778" s="70" t="str">
        <f>IF(OR(N778="",NOT(ISNUMBER(M778))),"",ROUND(N778*M778,2))</f>
        <v/>
      </c>
      <c r="P778" s="70" t="str">
        <f>IF(N778="","",N778+N(O778))</f>
        <v/>
      </c>
      <c r="Q778" s="64" t="n"/>
      <c r="R778" s="73" t="str">
        <f>IF(N(Q778)&gt;0,Q778,IF(OR(N(B778)=0,ISNA(MATCH($C778,sup_code,0))),"",IF(ISNUMBER(INDEX(sup_delay,MATCH($C778,sup_code,0))),B778+INDEX(sup_delay,MATCH($C778,sup_code,0)),"")))</f>
        <v/>
      </c>
      <c r="S778" s="64" t="n"/>
      <c r="T778" s="68" t="n"/>
      <c r="U778" s="64" t="n"/>
      <c r="V778" s="65" t="n"/>
      <c r="W778" s="74" t="str">
        <f>IF(AND(A778="",E778=""),"",IF(V778="Oui",0,MAX(0,ROUND(N(H778)-N(T778),6))))</f>
        <v/>
      </c>
      <c r="X778" s="67" t="str">
        <f>IF(AND(A778="",E778=""),"",IF(V778="Oui","Annulé",IF(AND(N(H778)&gt;0,N(T778)&gt;=N(H778)),"Reçu",IF(N(S778)=0,"Brouillon",IF(AND(ISNUMBER(R778),R778&lt;p_today),"En retard",IF(N(T778)&gt;0,"Partiel","Envoyé"))))))</f>
        <v/>
      </c>
      <c r="Y778" s="75" t="str">
        <f>IF(X778="En retard",p_today-R778,IF(AND(X778="Reçu",ISNUMBER(R778)),MAX(0,N(U778)-R778),""))</f>
        <v/>
      </c>
      <c r="Z778" s="67" t="str">
        <f>IF(AND(A778="",E778=""),"",IF(A778="","N° de bon manquant",IF(N(B778)=0,"Date de commande manquante",IF(C778="","Fournisseur manquant",IF(ISNA(MATCH($C778,sup_code,0)),"Fournisseur inconnu",IF(E778="","Article manquant",IF(ISNA(MATCH($E778,art_ref,0)),"Article inconnu",IF(N(H778)&lt;=0,"Quantité invalide",IF(J778="","Prix manquant",IF(OR(N(K778)&lt;0,N(K778)&gt;=1),"Remise invalide",IF(M778="","TVA manquante",IF(ISNA(MATCH(M778,p_tva,0)),"Taux de TVA inconnu",IF(COUNTIFS(po_num,A778,po_sup,"&lt;&gt;"&amp;C778)&gt;0,"Fournisseur différent sur ce bon",IF(COUNTIFS(po_num,A778,po_date,"&lt;&gt;"&amp;B778)&gt;0,"Date différente sur ce bon",IF(COUNTIF(po_num,A778)&gt;25,"Plus de 25 lignes sur ce bon",IF(R778="","Date de livraison manquante",IF(R778&lt;B778,"Livraison avant la commande",IF(AND(N(T778)&gt;0,N(S778)=0),"Date d'envoi manquante",IF(N(T778)&gt;N(H778),"Reçu plus que commandé",IF(AND(N(T778)&gt;0,N(U778)=0),"Date de réception manquante",IF(AND(N(U778)&gt;0,U778&lt;B778),"Réception avant la commande","OK")))))))))))))))))))))</f>
        <v/>
      </c>
      <c r="AA778" s="66" t="str">
        <f>IF(AND(X778="Reçu",ISNUMBER(R778)),IF(N(U778)&lt;=R778,1,0),"")</f>
        <v/>
      </c>
      <c r="AB778" s="76" t="str">
        <f>IF(OR(X778="Envoyé",X778="Partiel",X778="En retard"),IF(ISNUMBER(R778),R778,100000)+ROW()/100000,"")</f>
        <v/>
      </c>
      <c r="AC778" s="66" t="str">
        <f>IF(A778="","",IF(COUNTIF($A$6:A778,A778)=1,1,""))</f>
        <v/>
      </c>
      <c r="AD778" s="66" t="str">
        <f>IF(AC778=1,COUNT($AC$6:AC778),"")</f>
        <v/>
      </c>
      <c r="AE778" s="66" t="str">
        <f>IFERROR(INDEX(po_num,MATCH(773,po_seq,0))&amp;"","")</f>
        <v/>
      </c>
      <c r="AF778" s="66" t="str">
        <f>IF(OR(A778="",p_po=""),"",IF(A778&amp;""=p_po,COUNTIF($A$6:A778,A778),""))</f>
        <v/>
      </c>
      <c r="AG778" s="66" t="str">
        <f>IF(OR(AB778="",A778=""),"",IF(COUNTIFS($A$6:A778,A778,$AB$6:AB778,"&gt;0")=1,1,""))</f>
        <v/>
      </c>
      <c r="AH778" s="70" t="str">
        <f>IF(AB778="","",ROUND(N(W778)*N(J778)*(1-N(K778)),2))</f>
        <v/>
      </c>
      <c r="AI778" s="70" t="str">
        <f>IF(OR(J778="",N(T778)&lt;=0,V778="Oui"),"",ROUND(N(T778)*J778*(1-N(K778)),2))</f>
        <v/>
      </c>
    </row>
    <row r="779">
      <c r="A779" s="63" t="n"/>
      <c r="B779" s="64" t="n"/>
      <c r="C779" s="65" t="n"/>
      <c r="D779" s="66" t="str">
        <f>IF(C779="","",IFERROR(INDEX(sup_name,MATCH($C779,sup_code,0))&amp;"","Fournisseur inconnu"))</f>
        <v/>
      </c>
      <c r="E779" s="63" t="n"/>
      <c r="F779" s="66" t="str">
        <f>IF(E779="","",IFERROR(INDEX(art_des,MATCH($E779,art_ref,0))&amp;"","Article inconnu"))</f>
        <v/>
      </c>
      <c r="G779" s="67" t="str">
        <f>IF(E779="","",IFERROR(INDEX(art_unit,MATCH($E779,art_ref,0))&amp;"",""))</f>
        <v/>
      </c>
      <c r="H779" s="68" t="n"/>
      <c r="I779" s="69" t="n"/>
      <c r="J779" s="70" t="str">
        <f>IF(E779="","",IF(ISNUMBER(I779),I779,IFERROR(IF(ISNUMBER(INDEX(art_price,MATCH($E779,art_ref,0))),INDEX(art_price,MATCH($E779,art_ref,0)),""),"")))</f>
        <v/>
      </c>
      <c r="K779" s="71" t="n"/>
      <c r="L779" s="72" t="n"/>
      <c r="M779" s="72" t="str">
        <f>IF(E779="","",IF(L779&lt;&gt;"",L779,IFERROR(IF(ISNUMBER(INDEX(art_tva,MATCH($E779,art_ref,0))),INDEX(art_tva,MATCH($E779,art_ref,0)),""),"")))</f>
        <v/>
      </c>
      <c r="N779" s="70" t="str">
        <f>IF(OR(E779="",J779=""),"",ROUND(N(H779)*J779*(1-N(K779)),2))</f>
        <v/>
      </c>
      <c r="O779" s="70" t="str">
        <f>IF(OR(N779="",NOT(ISNUMBER(M779))),"",ROUND(N779*M779,2))</f>
        <v/>
      </c>
      <c r="P779" s="70" t="str">
        <f>IF(N779="","",N779+N(O779))</f>
        <v/>
      </c>
      <c r="Q779" s="64" t="n"/>
      <c r="R779" s="73" t="str">
        <f>IF(N(Q779)&gt;0,Q779,IF(OR(N(B779)=0,ISNA(MATCH($C779,sup_code,0))),"",IF(ISNUMBER(INDEX(sup_delay,MATCH($C779,sup_code,0))),B779+INDEX(sup_delay,MATCH($C779,sup_code,0)),"")))</f>
        <v/>
      </c>
      <c r="S779" s="64" t="n"/>
      <c r="T779" s="68" t="n"/>
      <c r="U779" s="64" t="n"/>
      <c r="V779" s="65" t="n"/>
      <c r="W779" s="74" t="str">
        <f>IF(AND(A779="",E779=""),"",IF(V779="Oui",0,MAX(0,ROUND(N(H779)-N(T779),6))))</f>
        <v/>
      </c>
      <c r="X779" s="67" t="str">
        <f>IF(AND(A779="",E779=""),"",IF(V779="Oui","Annulé",IF(AND(N(H779)&gt;0,N(T779)&gt;=N(H779)),"Reçu",IF(N(S779)=0,"Brouillon",IF(AND(ISNUMBER(R779),R779&lt;p_today),"En retard",IF(N(T779)&gt;0,"Partiel","Envoyé"))))))</f>
        <v/>
      </c>
      <c r="Y779" s="75" t="str">
        <f>IF(X779="En retard",p_today-R779,IF(AND(X779="Reçu",ISNUMBER(R779)),MAX(0,N(U779)-R779),""))</f>
        <v/>
      </c>
      <c r="Z779" s="67" t="str">
        <f>IF(AND(A779="",E779=""),"",IF(A779="","N° de bon manquant",IF(N(B779)=0,"Date de commande manquante",IF(C779="","Fournisseur manquant",IF(ISNA(MATCH($C779,sup_code,0)),"Fournisseur inconnu",IF(E779="","Article manquant",IF(ISNA(MATCH($E779,art_ref,0)),"Article inconnu",IF(N(H779)&lt;=0,"Quantité invalide",IF(J779="","Prix manquant",IF(OR(N(K779)&lt;0,N(K779)&gt;=1),"Remise invalide",IF(M779="","TVA manquante",IF(ISNA(MATCH(M779,p_tva,0)),"Taux de TVA inconnu",IF(COUNTIFS(po_num,A779,po_sup,"&lt;&gt;"&amp;C779)&gt;0,"Fournisseur différent sur ce bon",IF(COUNTIFS(po_num,A779,po_date,"&lt;&gt;"&amp;B779)&gt;0,"Date différente sur ce bon",IF(COUNTIF(po_num,A779)&gt;25,"Plus de 25 lignes sur ce bon",IF(R779="","Date de livraison manquante",IF(R779&lt;B779,"Livraison avant la commande",IF(AND(N(T779)&gt;0,N(S779)=0),"Date d'envoi manquante",IF(N(T779)&gt;N(H779),"Reçu plus que commandé",IF(AND(N(T779)&gt;0,N(U779)=0),"Date de réception manquante",IF(AND(N(U779)&gt;0,U779&lt;B779),"Réception avant la commande","OK")))))))))))))))))))))</f>
        <v/>
      </c>
      <c r="AA779" s="66" t="str">
        <f>IF(AND(X779="Reçu",ISNUMBER(R779)),IF(N(U779)&lt;=R779,1,0),"")</f>
        <v/>
      </c>
      <c r="AB779" s="76" t="str">
        <f>IF(OR(X779="Envoyé",X779="Partiel",X779="En retard"),IF(ISNUMBER(R779),R779,100000)+ROW()/100000,"")</f>
        <v/>
      </c>
      <c r="AC779" s="66" t="str">
        <f>IF(A779="","",IF(COUNTIF($A$6:A779,A779)=1,1,""))</f>
        <v/>
      </c>
      <c r="AD779" s="66" t="str">
        <f>IF(AC779=1,COUNT($AC$6:AC779),"")</f>
        <v/>
      </c>
      <c r="AE779" s="66" t="str">
        <f>IFERROR(INDEX(po_num,MATCH(774,po_seq,0))&amp;"","")</f>
        <v/>
      </c>
      <c r="AF779" s="66" t="str">
        <f>IF(OR(A779="",p_po=""),"",IF(A779&amp;""=p_po,COUNTIF($A$6:A779,A779),""))</f>
        <v/>
      </c>
      <c r="AG779" s="66" t="str">
        <f>IF(OR(AB779="",A779=""),"",IF(COUNTIFS($A$6:A779,A779,$AB$6:AB779,"&gt;0")=1,1,""))</f>
        <v/>
      </c>
      <c r="AH779" s="70" t="str">
        <f>IF(AB779="","",ROUND(N(W779)*N(J779)*(1-N(K779)),2))</f>
        <v/>
      </c>
      <c r="AI779" s="70" t="str">
        <f>IF(OR(J779="",N(T779)&lt;=0,V779="Oui"),"",ROUND(N(T779)*J779*(1-N(K779)),2))</f>
        <v/>
      </c>
    </row>
    <row r="780">
      <c r="A780" s="63" t="n"/>
      <c r="B780" s="64" t="n"/>
      <c r="C780" s="65" t="n"/>
      <c r="D780" s="66" t="str">
        <f>IF(C780="","",IFERROR(INDEX(sup_name,MATCH($C780,sup_code,0))&amp;"","Fournisseur inconnu"))</f>
        <v/>
      </c>
      <c r="E780" s="63" t="n"/>
      <c r="F780" s="66" t="str">
        <f>IF(E780="","",IFERROR(INDEX(art_des,MATCH($E780,art_ref,0))&amp;"","Article inconnu"))</f>
        <v/>
      </c>
      <c r="G780" s="67" t="str">
        <f>IF(E780="","",IFERROR(INDEX(art_unit,MATCH($E780,art_ref,0))&amp;"",""))</f>
        <v/>
      </c>
      <c r="H780" s="68" t="n"/>
      <c r="I780" s="69" t="n"/>
      <c r="J780" s="70" t="str">
        <f>IF(E780="","",IF(ISNUMBER(I780),I780,IFERROR(IF(ISNUMBER(INDEX(art_price,MATCH($E780,art_ref,0))),INDEX(art_price,MATCH($E780,art_ref,0)),""),"")))</f>
        <v/>
      </c>
      <c r="K780" s="71" t="n"/>
      <c r="L780" s="72" t="n"/>
      <c r="M780" s="72" t="str">
        <f>IF(E780="","",IF(L780&lt;&gt;"",L780,IFERROR(IF(ISNUMBER(INDEX(art_tva,MATCH($E780,art_ref,0))),INDEX(art_tva,MATCH($E780,art_ref,0)),""),"")))</f>
        <v/>
      </c>
      <c r="N780" s="70" t="str">
        <f>IF(OR(E780="",J780=""),"",ROUND(N(H780)*J780*(1-N(K780)),2))</f>
        <v/>
      </c>
      <c r="O780" s="70" t="str">
        <f>IF(OR(N780="",NOT(ISNUMBER(M780))),"",ROUND(N780*M780,2))</f>
        <v/>
      </c>
      <c r="P780" s="70" t="str">
        <f>IF(N780="","",N780+N(O780))</f>
        <v/>
      </c>
      <c r="Q780" s="64" t="n"/>
      <c r="R780" s="73" t="str">
        <f>IF(N(Q780)&gt;0,Q780,IF(OR(N(B780)=0,ISNA(MATCH($C780,sup_code,0))),"",IF(ISNUMBER(INDEX(sup_delay,MATCH($C780,sup_code,0))),B780+INDEX(sup_delay,MATCH($C780,sup_code,0)),"")))</f>
        <v/>
      </c>
      <c r="S780" s="64" t="n"/>
      <c r="T780" s="68" t="n"/>
      <c r="U780" s="64" t="n"/>
      <c r="V780" s="65" t="n"/>
      <c r="W780" s="74" t="str">
        <f>IF(AND(A780="",E780=""),"",IF(V780="Oui",0,MAX(0,ROUND(N(H780)-N(T780),6))))</f>
        <v/>
      </c>
      <c r="X780" s="67" t="str">
        <f>IF(AND(A780="",E780=""),"",IF(V780="Oui","Annulé",IF(AND(N(H780)&gt;0,N(T780)&gt;=N(H780)),"Reçu",IF(N(S780)=0,"Brouillon",IF(AND(ISNUMBER(R780),R780&lt;p_today),"En retard",IF(N(T780)&gt;0,"Partiel","Envoyé"))))))</f>
        <v/>
      </c>
      <c r="Y780" s="75" t="str">
        <f>IF(X780="En retard",p_today-R780,IF(AND(X780="Reçu",ISNUMBER(R780)),MAX(0,N(U780)-R780),""))</f>
        <v/>
      </c>
      <c r="Z780" s="67" t="str">
        <f>IF(AND(A780="",E780=""),"",IF(A780="","N° de bon manquant",IF(N(B780)=0,"Date de commande manquante",IF(C780="","Fournisseur manquant",IF(ISNA(MATCH($C780,sup_code,0)),"Fournisseur inconnu",IF(E780="","Article manquant",IF(ISNA(MATCH($E780,art_ref,0)),"Article inconnu",IF(N(H780)&lt;=0,"Quantité invalide",IF(J780="","Prix manquant",IF(OR(N(K780)&lt;0,N(K780)&gt;=1),"Remise invalide",IF(M780="","TVA manquante",IF(ISNA(MATCH(M780,p_tva,0)),"Taux de TVA inconnu",IF(COUNTIFS(po_num,A780,po_sup,"&lt;&gt;"&amp;C780)&gt;0,"Fournisseur différent sur ce bon",IF(COUNTIFS(po_num,A780,po_date,"&lt;&gt;"&amp;B780)&gt;0,"Date différente sur ce bon",IF(COUNTIF(po_num,A780)&gt;25,"Plus de 25 lignes sur ce bon",IF(R780="","Date de livraison manquante",IF(R780&lt;B780,"Livraison avant la commande",IF(AND(N(T780)&gt;0,N(S780)=0),"Date d'envoi manquante",IF(N(T780)&gt;N(H780),"Reçu plus que commandé",IF(AND(N(T780)&gt;0,N(U780)=0),"Date de réception manquante",IF(AND(N(U780)&gt;0,U780&lt;B780),"Réception avant la commande","OK")))))))))))))))))))))</f>
        <v/>
      </c>
      <c r="AA780" s="66" t="str">
        <f>IF(AND(X780="Reçu",ISNUMBER(R780)),IF(N(U780)&lt;=R780,1,0),"")</f>
        <v/>
      </c>
      <c r="AB780" s="76" t="str">
        <f>IF(OR(X780="Envoyé",X780="Partiel",X780="En retard"),IF(ISNUMBER(R780),R780,100000)+ROW()/100000,"")</f>
        <v/>
      </c>
      <c r="AC780" s="66" t="str">
        <f>IF(A780="","",IF(COUNTIF($A$6:A780,A780)=1,1,""))</f>
        <v/>
      </c>
      <c r="AD780" s="66" t="str">
        <f>IF(AC780=1,COUNT($AC$6:AC780),"")</f>
        <v/>
      </c>
      <c r="AE780" s="66" t="str">
        <f>IFERROR(INDEX(po_num,MATCH(775,po_seq,0))&amp;"","")</f>
        <v/>
      </c>
      <c r="AF780" s="66" t="str">
        <f>IF(OR(A780="",p_po=""),"",IF(A780&amp;""=p_po,COUNTIF($A$6:A780,A780),""))</f>
        <v/>
      </c>
      <c r="AG780" s="66" t="str">
        <f>IF(OR(AB780="",A780=""),"",IF(COUNTIFS($A$6:A780,A780,$AB$6:AB780,"&gt;0")=1,1,""))</f>
        <v/>
      </c>
      <c r="AH780" s="70" t="str">
        <f>IF(AB780="","",ROUND(N(W780)*N(J780)*(1-N(K780)),2))</f>
        <v/>
      </c>
      <c r="AI780" s="70" t="str">
        <f>IF(OR(J780="",N(T780)&lt;=0,V780="Oui"),"",ROUND(N(T780)*J780*(1-N(K780)),2))</f>
        <v/>
      </c>
    </row>
    <row r="781">
      <c r="A781" s="63" t="n"/>
      <c r="B781" s="64" t="n"/>
      <c r="C781" s="65" t="n"/>
      <c r="D781" s="66" t="str">
        <f>IF(C781="","",IFERROR(INDEX(sup_name,MATCH($C781,sup_code,0))&amp;"","Fournisseur inconnu"))</f>
        <v/>
      </c>
      <c r="E781" s="63" t="n"/>
      <c r="F781" s="66" t="str">
        <f>IF(E781="","",IFERROR(INDEX(art_des,MATCH($E781,art_ref,0))&amp;"","Article inconnu"))</f>
        <v/>
      </c>
      <c r="G781" s="67" t="str">
        <f>IF(E781="","",IFERROR(INDEX(art_unit,MATCH($E781,art_ref,0))&amp;"",""))</f>
        <v/>
      </c>
      <c r="H781" s="68" t="n"/>
      <c r="I781" s="69" t="n"/>
      <c r="J781" s="70" t="str">
        <f>IF(E781="","",IF(ISNUMBER(I781),I781,IFERROR(IF(ISNUMBER(INDEX(art_price,MATCH($E781,art_ref,0))),INDEX(art_price,MATCH($E781,art_ref,0)),""),"")))</f>
        <v/>
      </c>
      <c r="K781" s="71" t="n"/>
      <c r="L781" s="72" t="n"/>
      <c r="M781" s="72" t="str">
        <f>IF(E781="","",IF(L781&lt;&gt;"",L781,IFERROR(IF(ISNUMBER(INDEX(art_tva,MATCH($E781,art_ref,0))),INDEX(art_tva,MATCH($E781,art_ref,0)),""),"")))</f>
        <v/>
      </c>
      <c r="N781" s="70" t="str">
        <f>IF(OR(E781="",J781=""),"",ROUND(N(H781)*J781*(1-N(K781)),2))</f>
        <v/>
      </c>
      <c r="O781" s="70" t="str">
        <f>IF(OR(N781="",NOT(ISNUMBER(M781))),"",ROUND(N781*M781,2))</f>
        <v/>
      </c>
      <c r="P781" s="70" t="str">
        <f>IF(N781="","",N781+N(O781))</f>
        <v/>
      </c>
      <c r="Q781" s="64" t="n"/>
      <c r="R781" s="73" t="str">
        <f>IF(N(Q781)&gt;0,Q781,IF(OR(N(B781)=0,ISNA(MATCH($C781,sup_code,0))),"",IF(ISNUMBER(INDEX(sup_delay,MATCH($C781,sup_code,0))),B781+INDEX(sup_delay,MATCH($C781,sup_code,0)),"")))</f>
        <v/>
      </c>
      <c r="S781" s="64" t="n"/>
      <c r="T781" s="68" t="n"/>
      <c r="U781" s="64" t="n"/>
      <c r="V781" s="65" t="n"/>
      <c r="W781" s="74" t="str">
        <f>IF(AND(A781="",E781=""),"",IF(V781="Oui",0,MAX(0,ROUND(N(H781)-N(T781),6))))</f>
        <v/>
      </c>
      <c r="X781" s="67" t="str">
        <f>IF(AND(A781="",E781=""),"",IF(V781="Oui","Annulé",IF(AND(N(H781)&gt;0,N(T781)&gt;=N(H781)),"Reçu",IF(N(S781)=0,"Brouillon",IF(AND(ISNUMBER(R781),R781&lt;p_today),"En retard",IF(N(T781)&gt;0,"Partiel","Envoyé"))))))</f>
        <v/>
      </c>
      <c r="Y781" s="75" t="str">
        <f>IF(X781="En retard",p_today-R781,IF(AND(X781="Reçu",ISNUMBER(R781)),MAX(0,N(U781)-R781),""))</f>
        <v/>
      </c>
      <c r="Z781" s="67" t="str">
        <f>IF(AND(A781="",E781=""),"",IF(A781="","N° de bon manquant",IF(N(B781)=0,"Date de commande manquante",IF(C781="","Fournisseur manquant",IF(ISNA(MATCH($C781,sup_code,0)),"Fournisseur inconnu",IF(E781="","Article manquant",IF(ISNA(MATCH($E781,art_ref,0)),"Article inconnu",IF(N(H781)&lt;=0,"Quantité invalide",IF(J781="","Prix manquant",IF(OR(N(K781)&lt;0,N(K781)&gt;=1),"Remise invalide",IF(M781="","TVA manquante",IF(ISNA(MATCH(M781,p_tva,0)),"Taux de TVA inconnu",IF(COUNTIFS(po_num,A781,po_sup,"&lt;&gt;"&amp;C781)&gt;0,"Fournisseur différent sur ce bon",IF(COUNTIFS(po_num,A781,po_date,"&lt;&gt;"&amp;B781)&gt;0,"Date différente sur ce bon",IF(COUNTIF(po_num,A781)&gt;25,"Plus de 25 lignes sur ce bon",IF(R781="","Date de livraison manquante",IF(R781&lt;B781,"Livraison avant la commande",IF(AND(N(T781)&gt;0,N(S781)=0),"Date d'envoi manquante",IF(N(T781)&gt;N(H781),"Reçu plus que commandé",IF(AND(N(T781)&gt;0,N(U781)=0),"Date de réception manquante",IF(AND(N(U781)&gt;0,U781&lt;B781),"Réception avant la commande","OK")))))))))))))))))))))</f>
        <v/>
      </c>
      <c r="AA781" s="66" t="str">
        <f>IF(AND(X781="Reçu",ISNUMBER(R781)),IF(N(U781)&lt;=R781,1,0),"")</f>
        <v/>
      </c>
      <c r="AB781" s="76" t="str">
        <f>IF(OR(X781="Envoyé",X781="Partiel",X781="En retard"),IF(ISNUMBER(R781),R781,100000)+ROW()/100000,"")</f>
        <v/>
      </c>
      <c r="AC781" s="66" t="str">
        <f>IF(A781="","",IF(COUNTIF($A$6:A781,A781)=1,1,""))</f>
        <v/>
      </c>
      <c r="AD781" s="66" t="str">
        <f>IF(AC781=1,COUNT($AC$6:AC781),"")</f>
        <v/>
      </c>
      <c r="AE781" s="66" t="str">
        <f>IFERROR(INDEX(po_num,MATCH(776,po_seq,0))&amp;"","")</f>
        <v/>
      </c>
      <c r="AF781" s="66" t="str">
        <f>IF(OR(A781="",p_po=""),"",IF(A781&amp;""=p_po,COUNTIF($A$6:A781,A781),""))</f>
        <v/>
      </c>
      <c r="AG781" s="66" t="str">
        <f>IF(OR(AB781="",A781=""),"",IF(COUNTIFS($A$6:A781,A781,$AB$6:AB781,"&gt;0")=1,1,""))</f>
        <v/>
      </c>
      <c r="AH781" s="70" t="str">
        <f>IF(AB781="","",ROUND(N(W781)*N(J781)*(1-N(K781)),2))</f>
        <v/>
      </c>
      <c r="AI781" s="70" t="str">
        <f>IF(OR(J781="",N(T781)&lt;=0,V781="Oui"),"",ROUND(N(T781)*J781*(1-N(K781)),2))</f>
        <v/>
      </c>
    </row>
    <row r="782">
      <c r="A782" s="63" t="n"/>
      <c r="B782" s="64" t="n"/>
      <c r="C782" s="65" t="n"/>
      <c r="D782" s="66" t="str">
        <f>IF(C782="","",IFERROR(INDEX(sup_name,MATCH($C782,sup_code,0))&amp;"","Fournisseur inconnu"))</f>
        <v/>
      </c>
      <c r="E782" s="63" t="n"/>
      <c r="F782" s="66" t="str">
        <f>IF(E782="","",IFERROR(INDEX(art_des,MATCH($E782,art_ref,0))&amp;"","Article inconnu"))</f>
        <v/>
      </c>
      <c r="G782" s="67" t="str">
        <f>IF(E782="","",IFERROR(INDEX(art_unit,MATCH($E782,art_ref,0))&amp;"",""))</f>
        <v/>
      </c>
      <c r="H782" s="68" t="n"/>
      <c r="I782" s="69" t="n"/>
      <c r="J782" s="70" t="str">
        <f>IF(E782="","",IF(ISNUMBER(I782),I782,IFERROR(IF(ISNUMBER(INDEX(art_price,MATCH($E782,art_ref,0))),INDEX(art_price,MATCH($E782,art_ref,0)),""),"")))</f>
        <v/>
      </c>
      <c r="K782" s="71" t="n"/>
      <c r="L782" s="72" t="n"/>
      <c r="M782" s="72" t="str">
        <f>IF(E782="","",IF(L782&lt;&gt;"",L782,IFERROR(IF(ISNUMBER(INDEX(art_tva,MATCH($E782,art_ref,0))),INDEX(art_tva,MATCH($E782,art_ref,0)),""),"")))</f>
        <v/>
      </c>
      <c r="N782" s="70" t="str">
        <f>IF(OR(E782="",J782=""),"",ROUND(N(H782)*J782*(1-N(K782)),2))</f>
        <v/>
      </c>
      <c r="O782" s="70" t="str">
        <f>IF(OR(N782="",NOT(ISNUMBER(M782))),"",ROUND(N782*M782,2))</f>
        <v/>
      </c>
      <c r="P782" s="70" t="str">
        <f>IF(N782="","",N782+N(O782))</f>
        <v/>
      </c>
      <c r="Q782" s="64" t="n"/>
      <c r="R782" s="73" t="str">
        <f>IF(N(Q782)&gt;0,Q782,IF(OR(N(B782)=0,ISNA(MATCH($C782,sup_code,0))),"",IF(ISNUMBER(INDEX(sup_delay,MATCH($C782,sup_code,0))),B782+INDEX(sup_delay,MATCH($C782,sup_code,0)),"")))</f>
        <v/>
      </c>
      <c r="S782" s="64" t="n"/>
      <c r="T782" s="68" t="n"/>
      <c r="U782" s="64" t="n"/>
      <c r="V782" s="65" t="n"/>
      <c r="W782" s="74" t="str">
        <f>IF(AND(A782="",E782=""),"",IF(V782="Oui",0,MAX(0,ROUND(N(H782)-N(T782),6))))</f>
        <v/>
      </c>
      <c r="X782" s="67" t="str">
        <f>IF(AND(A782="",E782=""),"",IF(V782="Oui","Annulé",IF(AND(N(H782)&gt;0,N(T782)&gt;=N(H782)),"Reçu",IF(N(S782)=0,"Brouillon",IF(AND(ISNUMBER(R782),R782&lt;p_today),"En retard",IF(N(T782)&gt;0,"Partiel","Envoyé"))))))</f>
        <v/>
      </c>
      <c r="Y782" s="75" t="str">
        <f>IF(X782="En retard",p_today-R782,IF(AND(X782="Reçu",ISNUMBER(R782)),MAX(0,N(U782)-R782),""))</f>
        <v/>
      </c>
      <c r="Z782" s="67" t="str">
        <f>IF(AND(A782="",E782=""),"",IF(A782="","N° de bon manquant",IF(N(B782)=0,"Date de commande manquante",IF(C782="","Fournisseur manquant",IF(ISNA(MATCH($C782,sup_code,0)),"Fournisseur inconnu",IF(E782="","Article manquant",IF(ISNA(MATCH($E782,art_ref,0)),"Article inconnu",IF(N(H782)&lt;=0,"Quantité invalide",IF(J782="","Prix manquant",IF(OR(N(K782)&lt;0,N(K782)&gt;=1),"Remise invalide",IF(M782="","TVA manquante",IF(ISNA(MATCH(M782,p_tva,0)),"Taux de TVA inconnu",IF(COUNTIFS(po_num,A782,po_sup,"&lt;&gt;"&amp;C782)&gt;0,"Fournisseur différent sur ce bon",IF(COUNTIFS(po_num,A782,po_date,"&lt;&gt;"&amp;B782)&gt;0,"Date différente sur ce bon",IF(COUNTIF(po_num,A782)&gt;25,"Plus de 25 lignes sur ce bon",IF(R782="","Date de livraison manquante",IF(R782&lt;B782,"Livraison avant la commande",IF(AND(N(T782)&gt;0,N(S782)=0),"Date d'envoi manquante",IF(N(T782)&gt;N(H782),"Reçu plus que commandé",IF(AND(N(T782)&gt;0,N(U782)=0),"Date de réception manquante",IF(AND(N(U782)&gt;0,U782&lt;B782),"Réception avant la commande","OK")))))))))))))))))))))</f>
        <v/>
      </c>
      <c r="AA782" s="66" t="str">
        <f>IF(AND(X782="Reçu",ISNUMBER(R782)),IF(N(U782)&lt;=R782,1,0),"")</f>
        <v/>
      </c>
      <c r="AB782" s="76" t="str">
        <f>IF(OR(X782="Envoyé",X782="Partiel",X782="En retard"),IF(ISNUMBER(R782),R782,100000)+ROW()/100000,"")</f>
        <v/>
      </c>
      <c r="AC782" s="66" t="str">
        <f>IF(A782="","",IF(COUNTIF($A$6:A782,A782)=1,1,""))</f>
        <v/>
      </c>
      <c r="AD782" s="66" t="str">
        <f>IF(AC782=1,COUNT($AC$6:AC782),"")</f>
        <v/>
      </c>
      <c r="AE782" s="66" t="str">
        <f>IFERROR(INDEX(po_num,MATCH(777,po_seq,0))&amp;"","")</f>
        <v/>
      </c>
      <c r="AF782" s="66" t="str">
        <f>IF(OR(A782="",p_po=""),"",IF(A782&amp;""=p_po,COUNTIF($A$6:A782,A782),""))</f>
        <v/>
      </c>
      <c r="AG782" s="66" t="str">
        <f>IF(OR(AB782="",A782=""),"",IF(COUNTIFS($A$6:A782,A782,$AB$6:AB782,"&gt;0")=1,1,""))</f>
        <v/>
      </c>
      <c r="AH782" s="70" t="str">
        <f>IF(AB782="","",ROUND(N(W782)*N(J782)*(1-N(K782)),2))</f>
        <v/>
      </c>
      <c r="AI782" s="70" t="str">
        <f>IF(OR(J782="",N(T782)&lt;=0,V782="Oui"),"",ROUND(N(T782)*J782*(1-N(K782)),2))</f>
        <v/>
      </c>
    </row>
    <row r="783">
      <c r="A783" s="63" t="n"/>
      <c r="B783" s="64" t="n"/>
      <c r="C783" s="65" t="n"/>
      <c r="D783" s="66" t="str">
        <f>IF(C783="","",IFERROR(INDEX(sup_name,MATCH($C783,sup_code,0))&amp;"","Fournisseur inconnu"))</f>
        <v/>
      </c>
      <c r="E783" s="63" t="n"/>
      <c r="F783" s="66" t="str">
        <f>IF(E783="","",IFERROR(INDEX(art_des,MATCH($E783,art_ref,0))&amp;"","Article inconnu"))</f>
        <v/>
      </c>
      <c r="G783" s="67" t="str">
        <f>IF(E783="","",IFERROR(INDEX(art_unit,MATCH($E783,art_ref,0))&amp;"",""))</f>
        <v/>
      </c>
      <c r="H783" s="68" t="n"/>
      <c r="I783" s="69" t="n"/>
      <c r="J783" s="70" t="str">
        <f>IF(E783="","",IF(ISNUMBER(I783),I783,IFERROR(IF(ISNUMBER(INDEX(art_price,MATCH($E783,art_ref,0))),INDEX(art_price,MATCH($E783,art_ref,0)),""),"")))</f>
        <v/>
      </c>
      <c r="K783" s="71" t="n"/>
      <c r="L783" s="72" t="n"/>
      <c r="M783" s="72" t="str">
        <f>IF(E783="","",IF(L783&lt;&gt;"",L783,IFERROR(IF(ISNUMBER(INDEX(art_tva,MATCH($E783,art_ref,0))),INDEX(art_tva,MATCH($E783,art_ref,0)),""),"")))</f>
        <v/>
      </c>
      <c r="N783" s="70" t="str">
        <f>IF(OR(E783="",J783=""),"",ROUND(N(H783)*J783*(1-N(K783)),2))</f>
        <v/>
      </c>
      <c r="O783" s="70" t="str">
        <f>IF(OR(N783="",NOT(ISNUMBER(M783))),"",ROUND(N783*M783,2))</f>
        <v/>
      </c>
      <c r="P783" s="70" t="str">
        <f>IF(N783="","",N783+N(O783))</f>
        <v/>
      </c>
      <c r="Q783" s="64" t="n"/>
      <c r="R783" s="73" t="str">
        <f>IF(N(Q783)&gt;0,Q783,IF(OR(N(B783)=0,ISNA(MATCH($C783,sup_code,0))),"",IF(ISNUMBER(INDEX(sup_delay,MATCH($C783,sup_code,0))),B783+INDEX(sup_delay,MATCH($C783,sup_code,0)),"")))</f>
        <v/>
      </c>
      <c r="S783" s="64" t="n"/>
      <c r="T783" s="68" t="n"/>
      <c r="U783" s="64" t="n"/>
      <c r="V783" s="65" t="n"/>
      <c r="W783" s="74" t="str">
        <f>IF(AND(A783="",E783=""),"",IF(V783="Oui",0,MAX(0,ROUND(N(H783)-N(T783),6))))</f>
        <v/>
      </c>
      <c r="X783" s="67" t="str">
        <f>IF(AND(A783="",E783=""),"",IF(V783="Oui","Annulé",IF(AND(N(H783)&gt;0,N(T783)&gt;=N(H783)),"Reçu",IF(N(S783)=0,"Brouillon",IF(AND(ISNUMBER(R783),R783&lt;p_today),"En retard",IF(N(T783)&gt;0,"Partiel","Envoyé"))))))</f>
        <v/>
      </c>
      <c r="Y783" s="75" t="str">
        <f>IF(X783="En retard",p_today-R783,IF(AND(X783="Reçu",ISNUMBER(R783)),MAX(0,N(U783)-R783),""))</f>
        <v/>
      </c>
      <c r="Z783" s="67" t="str">
        <f>IF(AND(A783="",E783=""),"",IF(A783="","N° de bon manquant",IF(N(B783)=0,"Date de commande manquante",IF(C783="","Fournisseur manquant",IF(ISNA(MATCH($C783,sup_code,0)),"Fournisseur inconnu",IF(E783="","Article manquant",IF(ISNA(MATCH($E783,art_ref,0)),"Article inconnu",IF(N(H783)&lt;=0,"Quantité invalide",IF(J783="","Prix manquant",IF(OR(N(K783)&lt;0,N(K783)&gt;=1),"Remise invalide",IF(M783="","TVA manquante",IF(ISNA(MATCH(M783,p_tva,0)),"Taux de TVA inconnu",IF(COUNTIFS(po_num,A783,po_sup,"&lt;&gt;"&amp;C783)&gt;0,"Fournisseur différent sur ce bon",IF(COUNTIFS(po_num,A783,po_date,"&lt;&gt;"&amp;B783)&gt;0,"Date différente sur ce bon",IF(COUNTIF(po_num,A783)&gt;25,"Plus de 25 lignes sur ce bon",IF(R783="","Date de livraison manquante",IF(R783&lt;B783,"Livraison avant la commande",IF(AND(N(T783)&gt;0,N(S783)=0),"Date d'envoi manquante",IF(N(T783)&gt;N(H783),"Reçu plus que commandé",IF(AND(N(T783)&gt;0,N(U783)=0),"Date de réception manquante",IF(AND(N(U783)&gt;0,U783&lt;B783),"Réception avant la commande","OK")))))))))))))))))))))</f>
        <v/>
      </c>
      <c r="AA783" s="66" t="str">
        <f>IF(AND(X783="Reçu",ISNUMBER(R783)),IF(N(U783)&lt;=R783,1,0),"")</f>
        <v/>
      </c>
      <c r="AB783" s="76" t="str">
        <f>IF(OR(X783="Envoyé",X783="Partiel",X783="En retard"),IF(ISNUMBER(R783),R783,100000)+ROW()/100000,"")</f>
        <v/>
      </c>
      <c r="AC783" s="66" t="str">
        <f>IF(A783="","",IF(COUNTIF($A$6:A783,A783)=1,1,""))</f>
        <v/>
      </c>
      <c r="AD783" s="66" t="str">
        <f>IF(AC783=1,COUNT($AC$6:AC783),"")</f>
        <v/>
      </c>
      <c r="AE783" s="66" t="str">
        <f>IFERROR(INDEX(po_num,MATCH(778,po_seq,0))&amp;"","")</f>
        <v/>
      </c>
      <c r="AF783" s="66" t="str">
        <f>IF(OR(A783="",p_po=""),"",IF(A783&amp;""=p_po,COUNTIF($A$6:A783,A783),""))</f>
        <v/>
      </c>
      <c r="AG783" s="66" t="str">
        <f>IF(OR(AB783="",A783=""),"",IF(COUNTIFS($A$6:A783,A783,$AB$6:AB783,"&gt;0")=1,1,""))</f>
        <v/>
      </c>
      <c r="AH783" s="70" t="str">
        <f>IF(AB783="","",ROUND(N(W783)*N(J783)*(1-N(K783)),2))</f>
        <v/>
      </c>
      <c r="AI783" s="70" t="str">
        <f>IF(OR(J783="",N(T783)&lt;=0,V783="Oui"),"",ROUND(N(T783)*J783*(1-N(K783)),2))</f>
        <v/>
      </c>
    </row>
    <row r="784">
      <c r="A784" s="63" t="n"/>
      <c r="B784" s="64" t="n"/>
      <c r="C784" s="65" t="n"/>
      <c r="D784" s="66" t="str">
        <f>IF(C784="","",IFERROR(INDEX(sup_name,MATCH($C784,sup_code,0))&amp;"","Fournisseur inconnu"))</f>
        <v/>
      </c>
      <c r="E784" s="63" t="n"/>
      <c r="F784" s="66" t="str">
        <f>IF(E784="","",IFERROR(INDEX(art_des,MATCH($E784,art_ref,0))&amp;"","Article inconnu"))</f>
        <v/>
      </c>
      <c r="G784" s="67" t="str">
        <f>IF(E784="","",IFERROR(INDEX(art_unit,MATCH($E784,art_ref,0))&amp;"",""))</f>
        <v/>
      </c>
      <c r="H784" s="68" t="n"/>
      <c r="I784" s="69" t="n"/>
      <c r="J784" s="70" t="str">
        <f>IF(E784="","",IF(ISNUMBER(I784),I784,IFERROR(IF(ISNUMBER(INDEX(art_price,MATCH($E784,art_ref,0))),INDEX(art_price,MATCH($E784,art_ref,0)),""),"")))</f>
        <v/>
      </c>
      <c r="K784" s="71" t="n"/>
      <c r="L784" s="72" t="n"/>
      <c r="M784" s="72" t="str">
        <f>IF(E784="","",IF(L784&lt;&gt;"",L784,IFERROR(IF(ISNUMBER(INDEX(art_tva,MATCH($E784,art_ref,0))),INDEX(art_tva,MATCH($E784,art_ref,0)),""),"")))</f>
        <v/>
      </c>
      <c r="N784" s="70" t="str">
        <f>IF(OR(E784="",J784=""),"",ROUND(N(H784)*J784*(1-N(K784)),2))</f>
        <v/>
      </c>
      <c r="O784" s="70" t="str">
        <f>IF(OR(N784="",NOT(ISNUMBER(M784))),"",ROUND(N784*M784,2))</f>
        <v/>
      </c>
      <c r="P784" s="70" t="str">
        <f>IF(N784="","",N784+N(O784))</f>
        <v/>
      </c>
      <c r="Q784" s="64" t="n"/>
      <c r="R784" s="73" t="str">
        <f>IF(N(Q784)&gt;0,Q784,IF(OR(N(B784)=0,ISNA(MATCH($C784,sup_code,0))),"",IF(ISNUMBER(INDEX(sup_delay,MATCH($C784,sup_code,0))),B784+INDEX(sup_delay,MATCH($C784,sup_code,0)),"")))</f>
        <v/>
      </c>
      <c r="S784" s="64" t="n"/>
      <c r="T784" s="68" t="n"/>
      <c r="U784" s="64" t="n"/>
      <c r="V784" s="65" t="n"/>
      <c r="W784" s="74" t="str">
        <f>IF(AND(A784="",E784=""),"",IF(V784="Oui",0,MAX(0,ROUND(N(H784)-N(T784),6))))</f>
        <v/>
      </c>
      <c r="X784" s="67" t="str">
        <f>IF(AND(A784="",E784=""),"",IF(V784="Oui","Annulé",IF(AND(N(H784)&gt;0,N(T784)&gt;=N(H784)),"Reçu",IF(N(S784)=0,"Brouillon",IF(AND(ISNUMBER(R784),R784&lt;p_today),"En retard",IF(N(T784)&gt;0,"Partiel","Envoyé"))))))</f>
        <v/>
      </c>
      <c r="Y784" s="75" t="str">
        <f>IF(X784="En retard",p_today-R784,IF(AND(X784="Reçu",ISNUMBER(R784)),MAX(0,N(U784)-R784),""))</f>
        <v/>
      </c>
      <c r="Z784" s="67" t="str">
        <f>IF(AND(A784="",E784=""),"",IF(A784="","N° de bon manquant",IF(N(B784)=0,"Date de commande manquante",IF(C784="","Fournisseur manquant",IF(ISNA(MATCH($C784,sup_code,0)),"Fournisseur inconnu",IF(E784="","Article manquant",IF(ISNA(MATCH($E784,art_ref,0)),"Article inconnu",IF(N(H784)&lt;=0,"Quantité invalide",IF(J784="","Prix manquant",IF(OR(N(K784)&lt;0,N(K784)&gt;=1),"Remise invalide",IF(M784="","TVA manquante",IF(ISNA(MATCH(M784,p_tva,0)),"Taux de TVA inconnu",IF(COUNTIFS(po_num,A784,po_sup,"&lt;&gt;"&amp;C784)&gt;0,"Fournisseur différent sur ce bon",IF(COUNTIFS(po_num,A784,po_date,"&lt;&gt;"&amp;B784)&gt;0,"Date différente sur ce bon",IF(COUNTIF(po_num,A784)&gt;25,"Plus de 25 lignes sur ce bon",IF(R784="","Date de livraison manquante",IF(R784&lt;B784,"Livraison avant la commande",IF(AND(N(T784)&gt;0,N(S784)=0),"Date d'envoi manquante",IF(N(T784)&gt;N(H784),"Reçu plus que commandé",IF(AND(N(T784)&gt;0,N(U784)=0),"Date de réception manquante",IF(AND(N(U784)&gt;0,U784&lt;B784),"Réception avant la commande","OK")))))))))))))))))))))</f>
        <v/>
      </c>
      <c r="AA784" s="66" t="str">
        <f>IF(AND(X784="Reçu",ISNUMBER(R784)),IF(N(U784)&lt;=R784,1,0),"")</f>
        <v/>
      </c>
      <c r="AB784" s="76" t="str">
        <f>IF(OR(X784="Envoyé",X784="Partiel",X784="En retard"),IF(ISNUMBER(R784),R784,100000)+ROW()/100000,"")</f>
        <v/>
      </c>
      <c r="AC784" s="66" t="str">
        <f>IF(A784="","",IF(COUNTIF($A$6:A784,A784)=1,1,""))</f>
        <v/>
      </c>
      <c r="AD784" s="66" t="str">
        <f>IF(AC784=1,COUNT($AC$6:AC784),"")</f>
        <v/>
      </c>
      <c r="AE784" s="66" t="str">
        <f>IFERROR(INDEX(po_num,MATCH(779,po_seq,0))&amp;"","")</f>
        <v/>
      </c>
      <c r="AF784" s="66" t="str">
        <f>IF(OR(A784="",p_po=""),"",IF(A784&amp;""=p_po,COUNTIF($A$6:A784,A784),""))</f>
        <v/>
      </c>
      <c r="AG784" s="66" t="str">
        <f>IF(OR(AB784="",A784=""),"",IF(COUNTIFS($A$6:A784,A784,$AB$6:AB784,"&gt;0")=1,1,""))</f>
        <v/>
      </c>
      <c r="AH784" s="70" t="str">
        <f>IF(AB784="","",ROUND(N(W784)*N(J784)*(1-N(K784)),2))</f>
        <v/>
      </c>
      <c r="AI784" s="70" t="str">
        <f>IF(OR(J784="",N(T784)&lt;=0,V784="Oui"),"",ROUND(N(T784)*J784*(1-N(K784)),2))</f>
        <v/>
      </c>
    </row>
    <row r="785">
      <c r="A785" s="63" t="n"/>
      <c r="B785" s="64" t="n"/>
      <c r="C785" s="65" t="n"/>
      <c r="D785" s="66" t="str">
        <f>IF(C785="","",IFERROR(INDEX(sup_name,MATCH($C785,sup_code,0))&amp;"","Fournisseur inconnu"))</f>
        <v/>
      </c>
      <c r="E785" s="63" t="n"/>
      <c r="F785" s="66" t="str">
        <f>IF(E785="","",IFERROR(INDEX(art_des,MATCH($E785,art_ref,0))&amp;"","Article inconnu"))</f>
        <v/>
      </c>
      <c r="G785" s="67" t="str">
        <f>IF(E785="","",IFERROR(INDEX(art_unit,MATCH($E785,art_ref,0))&amp;"",""))</f>
        <v/>
      </c>
      <c r="H785" s="68" t="n"/>
      <c r="I785" s="69" t="n"/>
      <c r="J785" s="70" t="str">
        <f>IF(E785="","",IF(ISNUMBER(I785),I785,IFERROR(IF(ISNUMBER(INDEX(art_price,MATCH($E785,art_ref,0))),INDEX(art_price,MATCH($E785,art_ref,0)),""),"")))</f>
        <v/>
      </c>
      <c r="K785" s="71" t="n"/>
      <c r="L785" s="72" t="n"/>
      <c r="M785" s="72" t="str">
        <f>IF(E785="","",IF(L785&lt;&gt;"",L785,IFERROR(IF(ISNUMBER(INDEX(art_tva,MATCH($E785,art_ref,0))),INDEX(art_tva,MATCH($E785,art_ref,0)),""),"")))</f>
        <v/>
      </c>
      <c r="N785" s="70" t="str">
        <f>IF(OR(E785="",J785=""),"",ROUND(N(H785)*J785*(1-N(K785)),2))</f>
        <v/>
      </c>
      <c r="O785" s="70" t="str">
        <f>IF(OR(N785="",NOT(ISNUMBER(M785))),"",ROUND(N785*M785,2))</f>
        <v/>
      </c>
      <c r="P785" s="70" t="str">
        <f>IF(N785="","",N785+N(O785))</f>
        <v/>
      </c>
      <c r="Q785" s="64" t="n"/>
      <c r="R785" s="73" t="str">
        <f>IF(N(Q785)&gt;0,Q785,IF(OR(N(B785)=0,ISNA(MATCH($C785,sup_code,0))),"",IF(ISNUMBER(INDEX(sup_delay,MATCH($C785,sup_code,0))),B785+INDEX(sup_delay,MATCH($C785,sup_code,0)),"")))</f>
        <v/>
      </c>
      <c r="S785" s="64" t="n"/>
      <c r="T785" s="68" t="n"/>
      <c r="U785" s="64" t="n"/>
      <c r="V785" s="65" t="n"/>
      <c r="W785" s="74" t="str">
        <f>IF(AND(A785="",E785=""),"",IF(V785="Oui",0,MAX(0,ROUND(N(H785)-N(T785),6))))</f>
        <v/>
      </c>
      <c r="X785" s="67" t="str">
        <f>IF(AND(A785="",E785=""),"",IF(V785="Oui","Annulé",IF(AND(N(H785)&gt;0,N(T785)&gt;=N(H785)),"Reçu",IF(N(S785)=0,"Brouillon",IF(AND(ISNUMBER(R785),R785&lt;p_today),"En retard",IF(N(T785)&gt;0,"Partiel","Envoyé"))))))</f>
        <v/>
      </c>
      <c r="Y785" s="75" t="str">
        <f>IF(X785="En retard",p_today-R785,IF(AND(X785="Reçu",ISNUMBER(R785)),MAX(0,N(U785)-R785),""))</f>
        <v/>
      </c>
      <c r="Z785" s="67" t="str">
        <f>IF(AND(A785="",E785=""),"",IF(A785="","N° de bon manquant",IF(N(B785)=0,"Date de commande manquante",IF(C785="","Fournisseur manquant",IF(ISNA(MATCH($C785,sup_code,0)),"Fournisseur inconnu",IF(E785="","Article manquant",IF(ISNA(MATCH($E785,art_ref,0)),"Article inconnu",IF(N(H785)&lt;=0,"Quantité invalide",IF(J785="","Prix manquant",IF(OR(N(K785)&lt;0,N(K785)&gt;=1),"Remise invalide",IF(M785="","TVA manquante",IF(ISNA(MATCH(M785,p_tva,0)),"Taux de TVA inconnu",IF(COUNTIFS(po_num,A785,po_sup,"&lt;&gt;"&amp;C785)&gt;0,"Fournisseur différent sur ce bon",IF(COUNTIFS(po_num,A785,po_date,"&lt;&gt;"&amp;B785)&gt;0,"Date différente sur ce bon",IF(COUNTIF(po_num,A785)&gt;25,"Plus de 25 lignes sur ce bon",IF(R785="","Date de livraison manquante",IF(R785&lt;B785,"Livraison avant la commande",IF(AND(N(T785)&gt;0,N(S785)=0),"Date d'envoi manquante",IF(N(T785)&gt;N(H785),"Reçu plus que commandé",IF(AND(N(T785)&gt;0,N(U785)=0),"Date de réception manquante",IF(AND(N(U785)&gt;0,U785&lt;B785),"Réception avant la commande","OK")))))))))))))))))))))</f>
        <v/>
      </c>
      <c r="AA785" s="66" t="str">
        <f>IF(AND(X785="Reçu",ISNUMBER(R785)),IF(N(U785)&lt;=R785,1,0),"")</f>
        <v/>
      </c>
      <c r="AB785" s="76" t="str">
        <f>IF(OR(X785="Envoyé",X785="Partiel",X785="En retard"),IF(ISNUMBER(R785),R785,100000)+ROW()/100000,"")</f>
        <v/>
      </c>
      <c r="AC785" s="66" t="str">
        <f>IF(A785="","",IF(COUNTIF($A$6:A785,A785)=1,1,""))</f>
        <v/>
      </c>
      <c r="AD785" s="66" t="str">
        <f>IF(AC785=1,COUNT($AC$6:AC785),"")</f>
        <v/>
      </c>
      <c r="AE785" s="66" t="str">
        <f>IFERROR(INDEX(po_num,MATCH(780,po_seq,0))&amp;"","")</f>
        <v/>
      </c>
      <c r="AF785" s="66" t="str">
        <f>IF(OR(A785="",p_po=""),"",IF(A785&amp;""=p_po,COUNTIF($A$6:A785,A785),""))</f>
        <v/>
      </c>
      <c r="AG785" s="66" t="str">
        <f>IF(OR(AB785="",A785=""),"",IF(COUNTIFS($A$6:A785,A785,$AB$6:AB785,"&gt;0")=1,1,""))</f>
        <v/>
      </c>
      <c r="AH785" s="70" t="str">
        <f>IF(AB785="","",ROUND(N(W785)*N(J785)*(1-N(K785)),2))</f>
        <v/>
      </c>
      <c r="AI785" s="70" t="str">
        <f>IF(OR(J785="",N(T785)&lt;=0,V785="Oui"),"",ROUND(N(T785)*J785*(1-N(K785)),2))</f>
        <v/>
      </c>
    </row>
    <row r="786">
      <c r="A786" s="63" t="n"/>
      <c r="B786" s="64" t="n"/>
      <c r="C786" s="65" t="n"/>
      <c r="D786" s="66" t="str">
        <f>IF(C786="","",IFERROR(INDEX(sup_name,MATCH($C786,sup_code,0))&amp;"","Fournisseur inconnu"))</f>
        <v/>
      </c>
      <c r="E786" s="63" t="n"/>
      <c r="F786" s="66" t="str">
        <f>IF(E786="","",IFERROR(INDEX(art_des,MATCH($E786,art_ref,0))&amp;"","Article inconnu"))</f>
        <v/>
      </c>
      <c r="G786" s="67" t="str">
        <f>IF(E786="","",IFERROR(INDEX(art_unit,MATCH($E786,art_ref,0))&amp;"",""))</f>
        <v/>
      </c>
      <c r="H786" s="68" t="n"/>
      <c r="I786" s="69" t="n"/>
      <c r="J786" s="70" t="str">
        <f>IF(E786="","",IF(ISNUMBER(I786),I786,IFERROR(IF(ISNUMBER(INDEX(art_price,MATCH($E786,art_ref,0))),INDEX(art_price,MATCH($E786,art_ref,0)),""),"")))</f>
        <v/>
      </c>
      <c r="K786" s="71" t="n"/>
      <c r="L786" s="72" t="n"/>
      <c r="M786" s="72" t="str">
        <f>IF(E786="","",IF(L786&lt;&gt;"",L786,IFERROR(IF(ISNUMBER(INDEX(art_tva,MATCH($E786,art_ref,0))),INDEX(art_tva,MATCH($E786,art_ref,0)),""),"")))</f>
        <v/>
      </c>
      <c r="N786" s="70" t="str">
        <f>IF(OR(E786="",J786=""),"",ROUND(N(H786)*J786*(1-N(K786)),2))</f>
        <v/>
      </c>
      <c r="O786" s="70" t="str">
        <f>IF(OR(N786="",NOT(ISNUMBER(M786))),"",ROUND(N786*M786,2))</f>
        <v/>
      </c>
      <c r="P786" s="70" t="str">
        <f>IF(N786="","",N786+N(O786))</f>
        <v/>
      </c>
      <c r="Q786" s="64" t="n"/>
      <c r="R786" s="73" t="str">
        <f>IF(N(Q786)&gt;0,Q786,IF(OR(N(B786)=0,ISNA(MATCH($C786,sup_code,0))),"",IF(ISNUMBER(INDEX(sup_delay,MATCH($C786,sup_code,0))),B786+INDEX(sup_delay,MATCH($C786,sup_code,0)),"")))</f>
        <v/>
      </c>
      <c r="S786" s="64" t="n"/>
      <c r="T786" s="68" t="n"/>
      <c r="U786" s="64" t="n"/>
      <c r="V786" s="65" t="n"/>
      <c r="W786" s="74" t="str">
        <f>IF(AND(A786="",E786=""),"",IF(V786="Oui",0,MAX(0,ROUND(N(H786)-N(T786),6))))</f>
        <v/>
      </c>
      <c r="X786" s="67" t="str">
        <f>IF(AND(A786="",E786=""),"",IF(V786="Oui","Annulé",IF(AND(N(H786)&gt;0,N(T786)&gt;=N(H786)),"Reçu",IF(N(S786)=0,"Brouillon",IF(AND(ISNUMBER(R786),R786&lt;p_today),"En retard",IF(N(T786)&gt;0,"Partiel","Envoyé"))))))</f>
        <v/>
      </c>
      <c r="Y786" s="75" t="str">
        <f>IF(X786="En retard",p_today-R786,IF(AND(X786="Reçu",ISNUMBER(R786)),MAX(0,N(U786)-R786),""))</f>
        <v/>
      </c>
      <c r="Z786" s="67" t="str">
        <f>IF(AND(A786="",E786=""),"",IF(A786="","N° de bon manquant",IF(N(B786)=0,"Date de commande manquante",IF(C786="","Fournisseur manquant",IF(ISNA(MATCH($C786,sup_code,0)),"Fournisseur inconnu",IF(E786="","Article manquant",IF(ISNA(MATCH($E786,art_ref,0)),"Article inconnu",IF(N(H786)&lt;=0,"Quantité invalide",IF(J786="","Prix manquant",IF(OR(N(K786)&lt;0,N(K786)&gt;=1),"Remise invalide",IF(M786="","TVA manquante",IF(ISNA(MATCH(M786,p_tva,0)),"Taux de TVA inconnu",IF(COUNTIFS(po_num,A786,po_sup,"&lt;&gt;"&amp;C786)&gt;0,"Fournisseur différent sur ce bon",IF(COUNTIFS(po_num,A786,po_date,"&lt;&gt;"&amp;B786)&gt;0,"Date différente sur ce bon",IF(COUNTIF(po_num,A786)&gt;25,"Plus de 25 lignes sur ce bon",IF(R786="","Date de livraison manquante",IF(R786&lt;B786,"Livraison avant la commande",IF(AND(N(T786)&gt;0,N(S786)=0),"Date d'envoi manquante",IF(N(T786)&gt;N(H786),"Reçu plus que commandé",IF(AND(N(T786)&gt;0,N(U786)=0),"Date de réception manquante",IF(AND(N(U786)&gt;0,U786&lt;B786),"Réception avant la commande","OK")))))))))))))))))))))</f>
        <v/>
      </c>
      <c r="AA786" s="66" t="str">
        <f>IF(AND(X786="Reçu",ISNUMBER(R786)),IF(N(U786)&lt;=R786,1,0),"")</f>
        <v/>
      </c>
      <c r="AB786" s="76" t="str">
        <f>IF(OR(X786="Envoyé",X786="Partiel",X786="En retard"),IF(ISNUMBER(R786),R786,100000)+ROW()/100000,"")</f>
        <v/>
      </c>
      <c r="AC786" s="66" t="str">
        <f>IF(A786="","",IF(COUNTIF($A$6:A786,A786)=1,1,""))</f>
        <v/>
      </c>
      <c r="AD786" s="66" t="str">
        <f>IF(AC786=1,COUNT($AC$6:AC786),"")</f>
        <v/>
      </c>
      <c r="AE786" s="66" t="str">
        <f>IFERROR(INDEX(po_num,MATCH(781,po_seq,0))&amp;"","")</f>
        <v/>
      </c>
      <c r="AF786" s="66" t="str">
        <f>IF(OR(A786="",p_po=""),"",IF(A786&amp;""=p_po,COUNTIF($A$6:A786,A786),""))</f>
        <v/>
      </c>
      <c r="AG786" s="66" t="str">
        <f>IF(OR(AB786="",A786=""),"",IF(COUNTIFS($A$6:A786,A786,$AB$6:AB786,"&gt;0")=1,1,""))</f>
        <v/>
      </c>
      <c r="AH786" s="70" t="str">
        <f>IF(AB786="","",ROUND(N(W786)*N(J786)*(1-N(K786)),2))</f>
        <v/>
      </c>
      <c r="AI786" s="70" t="str">
        <f>IF(OR(J786="",N(T786)&lt;=0,V786="Oui"),"",ROUND(N(T786)*J786*(1-N(K786)),2))</f>
        <v/>
      </c>
    </row>
    <row r="787">
      <c r="A787" s="63" t="n"/>
      <c r="B787" s="64" t="n"/>
      <c r="C787" s="65" t="n"/>
      <c r="D787" s="66" t="str">
        <f>IF(C787="","",IFERROR(INDEX(sup_name,MATCH($C787,sup_code,0))&amp;"","Fournisseur inconnu"))</f>
        <v/>
      </c>
      <c r="E787" s="63" t="n"/>
      <c r="F787" s="66" t="str">
        <f>IF(E787="","",IFERROR(INDEX(art_des,MATCH($E787,art_ref,0))&amp;"","Article inconnu"))</f>
        <v/>
      </c>
      <c r="G787" s="67" t="str">
        <f>IF(E787="","",IFERROR(INDEX(art_unit,MATCH($E787,art_ref,0))&amp;"",""))</f>
        <v/>
      </c>
      <c r="H787" s="68" t="n"/>
      <c r="I787" s="69" t="n"/>
      <c r="J787" s="70" t="str">
        <f>IF(E787="","",IF(ISNUMBER(I787),I787,IFERROR(IF(ISNUMBER(INDEX(art_price,MATCH($E787,art_ref,0))),INDEX(art_price,MATCH($E787,art_ref,0)),""),"")))</f>
        <v/>
      </c>
      <c r="K787" s="71" t="n"/>
      <c r="L787" s="72" t="n"/>
      <c r="M787" s="72" t="str">
        <f>IF(E787="","",IF(L787&lt;&gt;"",L787,IFERROR(IF(ISNUMBER(INDEX(art_tva,MATCH($E787,art_ref,0))),INDEX(art_tva,MATCH($E787,art_ref,0)),""),"")))</f>
        <v/>
      </c>
      <c r="N787" s="70" t="str">
        <f>IF(OR(E787="",J787=""),"",ROUND(N(H787)*J787*(1-N(K787)),2))</f>
        <v/>
      </c>
      <c r="O787" s="70" t="str">
        <f>IF(OR(N787="",NOT(ISNUMBER(M787))),"",ROUND(N787*M787,2))</f>
        <v/>
      </c>
      <c r="P787" s="70" t="str">
        <f>IF(N787="","",N787+N(O787))</f>
        <v/>
      </c>
      <c r="Q787" s="64" t="n"/>
      <c r="R787" s="73" t="str">
        <f>IF(N(Q787)&gt;0,Q787,IF(OR(N(B787)=0,ISNA(MATCH($C787,sup_code,0))),"",IF(ISNUMBER(INDEX(sup_delay,MATCH($C787,sup_code,0))),B787+INDEX(sup_delay,MATCH($C787,sup_code,0)),"")))</f>
        <v/>
      </c>
      <c r="S787" s="64" t="n"/>
      <c r="T787" s="68" t="n"/>
      <c r="U787" s="64" t="n"/>
      <c r="V787" s="65" t="n"/>
      <c r="W787" s="74" t="str">
        <f>IF(AND(A787="",E787=""),"",IF(V787="Oui",0,MAX(0,ROUND(N(H787)-N(T787),6))))</f>
        <v/>
      </c>
      <c r="X787" s="67" t="str">
        <f>IF(AND(A787="",E787=""),"",IF(V787="Oui","Annulé",IF(AND(N(H787)&gt;0,N(T787)&gt;=N(H787)),"Reçu",IF(N(S787)=0,"Brouillon",IF(AND(ISNUMBER(R787),R787&lt;p_today),"En retard",IF(N(T787)&gt;0,"Partiel","Envoyé"))))))</f>
        <v/>
      </c>
      <c r="Y787" s="75" t="str">
        <f>IF(X787="En retard",p_today-R787,IF(AND(X787="Reçu",ISNUMBER(R787)),MAX(0,N(U787)-R787),""))</f>
        <v/>
      </c>
      <c r="Z787" s="67" t="str">
        <f>IF(AND(A787="",E787=""),"",IF(A787="","N° de bon manquant",IF(N(B787)=0,"Date de commande manquante",IF(C787="","Fournisseur manquant",IF(ISNA(MATCH($C787,sup_code,0)),"Fournisseur inconnu",IF(E787="","Article manquant",IF(ISNA(MATCH($E787,art_ref,0)),"Article inconnu",IF(N(H787)&lt;=0,"Quantité invalide",IF(J787="","Prix manquant",IF(OR(N(K787)&lt;0,N(K787)&gt;=1),"Remise invalide",IF(M787="","TVA manquante",IF(ISNA(MATCH(M787,p_tva,0)),"Taux de TVA inconnu",IF(COUNTIFS(po_num,A787,po_sup,"&lt;&gt;"&amp;C787)&gt;0,"Fournisseur différent sur ce bon",IF(COUNTIFS(po_num,A787,po_date,"&lt;&gt;"&amp;B787)&gt;0,"Date différente sur ce bon",IF(COUNTIF(po_num,A787)&gt;25,"Plus de 25 lignes sur ce bon",IF(R787="","Date de livraison manquante",IF(R787&lt;B787,"Livraison avant la commande",IF(AND(N(T787)&gt;0,N(S787)=0),"Date d'envoi manquante",IF(N(T787)&gt;N(H787),"Reçu plus que commandé",IF(AND(N(T787)&gt;0,N(U787)=0),"Date de réception manquante",IF(AND(N(U787)&gt;0,U787&lt;B787),"Réception avant la commande","OK")))))))))))))))))))))</f>
        <v/>
      </c>
      <c r="AA787" s="66" t="str">
        <f>IF(AND(X787="Reçu",ISNUMBER(R787)),IF(N(U787)&lt;=R787,1,0),"")</f>
        <v/>
      </c>
      <c r="AB787" s="76" t="str">
        <f>IF(OR(X787="Envoyé",X787="Partiel",X787="En retard"),IF(ISNUMBER(R787),R787,100000)+ROW()/100000,"")</f>
        <v/>
      </c>
      <c r="AC787" s="66" t="str">
        <f>IF(A787="","",IF(COUNTIF($A$6:A787,A787)=1,1,""))</f>
        <v/>
      </c>
      <c r="AD787" s="66" t="str">
        <f>IF(AC787=1,COUNT($AC$6:AC787),"")</f>
        <v/>
      </c>
      <c r="AE787" s="66" t="str">
        <f>IFERROR(INDEX(po_num,MATCH(782,po_seq,0))&amp;"","")</f>
        <v/>
      </c>
      <c r="AF787" s="66" t="str">
        <f>IF(OR(A787="",p_po=""),"",IF(A787&amp;""=p_po,COUNTIF($A$6:A787,A787),""))</f>
        <v/>
      </c>
      <c r="AG787" s="66" t="str">
        <f>IF(OR(AB787="",A787=""),"",IF(COUNTIFS($A$6:A787,A787,$AB$6:AB787,"&gt;0")=1,1,""))</f>
        <v/>
      </c>
      <c r="AH787" s="70" t="str">
        <f>IF(AB787="","",ROUND(N(W787)*N(J787)*(1-N(K787)),2))</f>
        <v/>
      </c>
      <c r="AI787" s="70" t="str">
        <f>IF(OR(J787="",N(T787)&lt;=0,V787="Oui"),"",ROUND(N(T787)*J787*(1-N(K787)),2))</f>
        <v/>
      </c>
    </row>
    <row r="788">
      <c r="A788" s="63" t="n"/>
      <c r="B788" s="64" t="n"/>
      <c r="C788" s="65" t="n"/>
      <c r="D788" s="66" t="str">
        <f>IF(C788="","",IFERROR(INDEX(sup_name,MATCH($C788,sup_code,0))&amp;"","Fournisseur inconnu"))</f>
        <v/>
      </c>
      <c r="E788" s="63" t="n"/>
      <c r="F788" s="66" t="str">
        <f>IF(E788="","",IFERROR(INDEX(art_des,MATCH($E788,art_ref,0))&amp;"","Article inconnu"))</f>
        <v/>
      </c>
      <c r="G788" s="67" t="str">
        <f>IF(E788="","",IFERROR(INDEX(art_unit,MATCH($E788,art_ref,0))&amp;"",""))</f>
        <v/>
      </c>
      <c r="H788" s="68" t="n"/>
      <c r="I788" s="69" t="n"/>
      <c r="J788" s="70" t="str">
        <f>IF(E788="","",IF(ISNUMBER(I788),I788,IFERROR(IF(ISNUMBER(INDEX(art_price,MATCH($E788,art_ref,0))),INDEX(art_price,MATCH($E788,art_ref,0)),""),"")))</f>
        <v/>
      </c>
      <c r="K788" s="71" t="n"/>
      <c r="L788" s="72" t="n"/>
      <c r="M788" s="72" t="str">
        <f>IF(E788="","",IF(L788&lt;&gt;"",L788,IFERROR(IF(ISNUMBER(INDEX(art_tva,MATCH($E788,art_ref,0))),INDEX(art_tva,MATCH($E788,art_ref,0)),""),"")))</f>
        <v/>
      </c>
      <c r="N788" s="70" t="str">
        <f>IF(OR(E788="",J788=""),"",ROUND(N(H788)*J788*(1-N(K788)),2))</f>
        <v/>
      </c>
      <c r="O788" s="70" t="str">
        <f>IF(OR(N788="",NOT(ISNUMBER(M788))),"",ROUND(N788*M788,2))</f>
        <v/>
      </c>
      <c r="P788" s="70" t="str">
        <f>IF(N788="","",N788+N(O788))</f>
        <v/>
      </c>
      <c r="Q788" s="64" t="n"/>
      <c r="R788" s="73" t="str">
        <f>IF(N(Q788)&gt;0,Q788,IF(OR(N(B788)=0,ISNA(MATCH($C788,sup_code,0))),"",IF(ISNUMBER(INDEX(sup_delay,MATCH($C788,sup_code,0))),B788+INDEX(sup_delay,MATCH($C788,sup_code,0)),"")))</f>
        <v/>
      </c>
      <c r="S788" s="64" t="n"/>
      <c r="T788" s="68" t="n"/>
      <c r="U788" s="64" t="n"/>
      <c r="V788" s="65" t="n"/>
      <c r="W788" s="74" t="str">
        <f>IF(AND(A788="",E788=""),"",IF(V788="Oui",0,MAX(0,ROUND(N(H788)-N(T788),6))))</f>
        <v/>
      </c>
      <c r="X788" s="67" t="str">
        <f>IF(AND(A788="",E788=""),"",IF(V788="Oui","Annulé",IF(AND(N(H788)&gt;0,N(T788)&gt;=N(H788)),"Reçu",IF(N(S788)=0,"Brouillon",IF(AND(ISNUMBER(R788),R788&lt;p_today),"En retard",IF(N(T788)&gt;0,"Partiel","Envoyé"))))))</f>
        <v/>
      </c>
      <c r="Y788" s="75" t="str">
        <f>IF(X788="En retard",p_today-R788,IF(AND(X788="Reçu",ISNUMBER(R788)),MAX(0,N(U788)-R788),""))</f>
        <v/>
      </c>
      <c r="Z788" s="67" t="str">
        <f>IF(AND(A788="",E788=""),"",IF(A788="","N° de bon manquant",IF(N(B788)=0,"Date de commande manquante",IF(C788="","Fournisseur manquant",IF(ISNA(MATCH($C788,sup_code,0)),"Fournisseur inconnu",IF(E788="","Article manquant",IF(ISNA(MATCH($E788,art_ref,0)),"Article inconnu",IF(N(H788)&lt;=0,"Quantité invalide",IF(J788="","Prix manquant",IF(OR(N(K788)&lt;0,N(K788)&gt;=1),"Remise invalide",IF(M788="","TVA manquante",IF(ISNA(MATCH(M788,p_tva,0)),"Taux de TVA inconnu",IF(COUNTIFS(po_num,A788,po_sup,"&lt;&gt;"&amp;C788)&gt;0,"Fournisseur différent sur ce bon",IF(COUNTIFS(po_num,A788,po_date,"&lt;&gt;"&amp;B788)&gt;0,"Date différente sur ce bon",IF(COUNTIF(po_num,A788)&gt;25,"Plus de 25 lignes sur ce bon",IF(R788="","Date de livraison manquante",IF(R788&lt;B788,"Livraison avant la commande",IF(AND(N(T788)&gt;0,N(S788)=0),"Date d'envoi manquante",IF(N(T788)&gt;N(H788),"Reçu plus que commandé",IF(AND(N(T788)&gt;0,N(U788)=0),"Date de réception manquante",IF(AND(N(U788)&gt;0,U788&lt;B788),"Réception avant la commande","OK")))))))))))))))))))))</f>
        <v/>
      </c>
      <c r="AA788" s="66" t="str">
        <f>IF(AND(X788="Reçu",ISNUMBER(R788)),IF(N(U788)&lt;=R788,1,0),"")</f>
        <v/>
      </c>
      <c r="AB788" s="76" t="str">
        <f>IF(OR(X788="Envoyé",X788="Partiel",X788="En retard"),IF(ISNUMBER(R788),R788,100000)+ROW()/100000,"")</f>
        <v/>
      </c>
      <c r="AC788" s="66" t="str">
        <f>IF(A788="","",IF(COUNTIF($A$6:A788,A788)=1,1,""))</f>
        <v/>
      </c>
      <c r="AD788" s="66" t="str">
        <f>IF(AC788=1,COUNT($AC$6:AC788),"")</f>
        <v/>
      </c>
      <c r="AE788" s="66" t="str">
        <f>IFERROR(INDEX(po_num,MATCH(783,po_seq,0))&amp;"","")</f>
        <v/>
      </c>
      <c r="AF788" s="66" t="str">
        <f>IF(OR(A788="",p_po=""),"",IF(A788&amp;""=p_po,COUNTIF($A$6:A788,A788),""))</f>
        <v/>
      </c>
      <c r="AG788" s="66" t="str">
        <f>IF(OR(AB788="",A788=""),"",IF(COUNTIFS($A$6:A788,A788,$AB$6:AB788,"&gt;0")=1,1,""))</f>
        <v/>
      </c>
      <c r="AH788" s="70" t="str">
        <f>IF(AB788="","",ROUND(N(W788)*N(J788)*(1-N(K788)),2))</f>
        <v/>
      </c>
      <c r="AI788" s="70" t="str">
        <f>IF(OR(J788="",N(T788)&lt;=0,V788="Oui"),"",ROUND(N(T788)*J788*(1-N(K788)),2))</f>
        <v/>
      </c>
    </row>
    <row r="789">
      <c r="A789" s="63" t="n"/>
      <c r="B789" s="64" t="n"/>
      <c r="C789" s="65" t="n"/>
      <c r="D789" s="66" t="str">
        <f>IF(C789="","",IFERROR(INDEX(sup_name,MATCH($C789,sup_code,0))&amp;"","Fournisseur inconnu"))</f>
        <v/>
      </c>
      <c r="E789" s="63" t="n"/>
      <c r="F789" s="66" t="str">
        <f>IF(E789="","",IFERROR(INDEX(art_des,MATCH($E789,art_ref,0))&amp;"","Article inconnu"))</f>
        <v/>
      </c>
      <c r="G789" s="67" t="str">
        <f>IF(E789="","",IFERROR(INDEX(art_unit,MATCH($E789,art_ref,0))&amp;"",""))</f>
        <v/>
      </c>
      <c r="H789" s="68" t="n"/>
      <c r="I789" s="69" t="n"/>
      <c r="J789" s="70" t="str">
        <f>IF(E789="","",IF(ISNUMBER(I789),I789,IFERROR(IF(ISNUMBER(INDEX(art_price,MATCH($E789,art_ref,0))),INDEX(art_price,MATCH($E789,art_ref,0)),""),"")))</f>
        <v/>
      </c>
      <c r="K789" s="71" t="n"/>
      <c r="L789" s="72" t="n"/>
      <c r="M789" s="72" t="str">
        <f>IF(E789="","",IF(L789&lt;&gt;"",L789,IFERROR(IF(ISNUMBER(INDEX(art_tva,MATCH($E789,art_ref,0))),INDEX(art_tva,MATCH($E789,art_ref,0)),""),"")))</f>
        <v/>
      </c>
      <c r="N789" s="70" t="str">
        <f>IF(OR(E789="",J789=""),"",ROUND(N(H789)*J789*(1-N(K789)),2))</f>
        <v/>
      </c>
      <c r="O789" s="70" t="str">
        <f>IF(OR(N789="",NOT(ISNUMBER(M789))),"",ROUND(N789*M789,2))</f>
        <v/>
      </c>
      <c r="P789" s="70" t="str">
        <f>IF(N789="","",N789+N(O789))</f>
        <v/>
      </c>
      <c r="Q789" s="64" t="n"/>
      <c r="R789" s="73" t="str">
        <f>IF(N(Q789)&gt;0,Q789,IF(OR(N(B789)=0,ISNA(MATCH($C789,sup_code,0))),"",IF(ISNUMBER(INDEX(sup_delay,MATCH($C789,sup_code,0))),B789+INDEX(sup_delay,MATCH($C789,sup_code,0)),"")))</f>
        <v/>
      </c>
      <c r="S789" s="64" t="n"/>
      <c r="T789" s="68" t="n"/>
      <c r="U789" s="64" t="n"/>
      <c r="V789" s="65" t="n"/>
      <c r="W789" s="74" t="str">
        <f>IF(AND(A789="",E789=""),"",IF(V789="Oui",0,MAX(0,ROUND(N(H789)-N(T789),6))))</f>
        <v/>
      </c>
      <c r="X789" s="67" t="str">
        <f>IF(AND(A789="",E789=""),"",IF(V789="Oui","Annulé",IF(AND(N(H789)&gt;0,N(T789)&gt;=N(H789)),"Reçu",IF(N(S789)=0,"Brouillon",IF(AND(ISNUMBER(R789),R789&lt;p_today),"En retard",IF(N(T789)&gt;0,"Partiel","Envoyé"))))))</f>
        <v/>
      </c>
      <c r="Y789" s="75" t="str">
        <f>IF(X789="En retard",p_today-R789,IF(AND(X789="Reçu",ISNUMBER(R789)),MAX(0,N(U789)-R789),""))</f>
        <v/>
      </c>
      <c r="Z789" s="67" t="str">
        <f>IF(AND(A789="",E789=""),"",IF(A789="","N° de bon manquant",IF(N(B789)=0,"Date de commande manquante",IF(C789="","Fournisseur manquant",IF(ISNA(MATCH($C789,sup_code,0)),"Fournisseur inconnu",IF(E789="","Article manquant",IF(ISNA(MATCH($E789,art_ref,0)),"Article inconnu",IF(N(H789)&lt;=0,"Quantité invalide",IF(J789="","Prix manquant",IF(OR(N(K789)&lt;0,N(K789)&gt;=1),"Remise invalide",IF(M789="","TVA manquante",IF(ISNA(MATCH(M789,p_tva,0)),"Taux de TVA inconnu",IF(COUNTIFS(po_num,A789,po_sup,"&lt;&gt;"&amp;C789)&gt;0,"Fournisseur différent sur ce bon",IF(COUNTIFS(po_num,A789,po_date,"&lt;&gt;"&amp;B789)&gt;0,"Date différente sur ce bon",IF(COUNTIF(po_num,A789)&gt;25,"Plus de 25 lignes sur ce bon",IF(R789="","Date de livraison manquante",IF(R789&lt;B789,"Livraison avant la commande",IF(AND(N(T789)&gt;0,N(S789)=0),"Date d'envoi manquante",IF(N(T789)&gt;N(H789),"Reçu plus que commandé",IF(AND(N(T789)&gt;0,N(U789)=0),"Date de réception manquante",IF(AND(N(U789)&gt;0,U789&lt;B789),"Réception avant la commande","OK")))))))))))))))))))))</f>
        <v/>
      </c>
      <c r="AA789" s="66" t="str">
        <f>IF(AND(X789="Reçu",ISNUMBER(R789)),IF(N(U789)&lt;=R789,1,0),"")</f>
        <v/>
      </c>
      <c r="AB789" s="76" t="str">
        <f>IF(OR(X789="Envoyé",X789="Partiel",X789="En retard"),IF(ISNUMBER(R789),R789,100000)+ROW()/100000,"")</f>
        <v/>
      </c>
      <c r="AC789" s="66" t="str">
        <f>IF(A789="","",IF(COUNTIF($A$6:A789,A789)=1,1,""))</f>
        <v/>
      </c>
      <c r="AD789" s="66" t="str">
        <f>IF(AC789=1,COUNT($AC$6:AC789),"")</f>
        <v/>
      </c>
      <c r="AE789" s="66" t="str">
        <f>IFERROR(INDEX(po_num,MATCH(784,po_seq,0))&amp;"","")</f>
        <v/>
      </c>
      <c r="AF789" s="66" t="str">
        <f>IF(OR(A789="",p_po=""),"",IF(A789&amp;""=p_po,COUNTIF($A$6:A789,A789),""))</f>
        <v/>
      </c>
      <c r="AG789" s="66" t="str">
        <f>IF(OR(AB789="",A789=""),"",IF(COUNTIFS($A$6:A789,A789,$AB$6:AB789,"&gt;0")=1,1,""))</f>
        <v/>
      </c>
      <c r="AH789" s="70" t="str">
        <f>IF(AB789="","",ROUND(N(W789)*N(J789)*(1-N(K789)),2))</f>
        <v/>
      </c>
      <c r="AI789" s="70" t="str">
        <f>IF(OR(J789="",N(T789)&lt;=0,V789="Oui"),"",ROUND(N(T789)*J789*(1-N(K789)),2))</f>
        <v/>
      </c>
    </row>
    <row r="790">
      <c r="A790" s="63" t="n"/>
      <c r="B790" s="64" t="n"/>
      <c r="C790" s="65" t="n"/>
      <c r="D790" s="66" t="str">
        <f>IF(C790="","",IFERROR(INDEX(sup_name,MATCH($C790,sup_code,0))&amp;"","Fournisseur inconnu"))</f>
        <v/>
      </c>
      <c r="E790" s="63" t="n"/>
      <c r="F790" s="66" t="str">
        <f>IF(E790="","",IFERROR(INDEX(art_des,MATCH($E790,art_ref,0))&amp;"","Article inconnu"))</f>
        <v/>
      </c>
      <c r="G790" s="67" t="str">
        <f>IF(E790="","",IFERROR(INDEX(art_unit,MATCH($E790,art_ref,0))&amp;"",""))</f>
        <v/>
      </c>
      <c r="H790" s="68" t="n"/>
      <c r="I790" s="69" t="n"/>
      <c r="J790" s="70" t="str">
        <f>IF(E790="","",IF(ISNUMBER(I790),I790,IFERROR(IF(ISNUMBER(INDEX(art_price,MATCH($E790,art_ref,0))),INDEX(art_price,MATCH($E790,art_ref,0)),""),"")))</f>
        <v/>
      </c>
      <c r="K790" s="71" t="n"/>
      <c r="L790" s="72" t="n"/>
      <c r="M790" s="72" t="str">
        <f>IF(E790="","",IF(L790&lt;&gt;"",L790,IFERROR(IF(ISNUMBER(INDEX(art_tva,MATCH($E790,art_ref,0))),INDEX(art_tva,MATCH($E790,art_ref,0)),""),"")))</f>
        <v/>
      </c>
      <c r="N790" s="70" t="str">
        <f>IF(OR(E790="",J790=""),"",ROUND(N(H790)*J790*(1-N(K790)),2))</f>
        <v/>
      </c>
      <c r="O790" s="70" t="str">
        <f>IF(OR(N790="",NOT(ISNUMBER(M790))),"",ROUND(N790*M790,2))</f>
        <v/>
      </c>
      <c r="P790" s="70" t="str">
        <f>IF(N790="","",N790+N(O790))</f>
        <v/>
      </c>
      <c r="Q790" s="64" t="n"/>
      <c r="R790" s="73" t="str">
        <f>IF(N(Q790)&gt;0,Q790,IF(OR(N(B790)=0,ISNA(MATCH($C790,sup_code,0))),"",IF(ISNUMBER(INDEX(sup_delay,MATCH($C790,sup_code,0))),B790+INDEX(sup_delay,MATCH($C790,sup_code,0)),"")))</f>
        <v/>
      </c>
      <c r="S790" s="64" t="n"/>
      <c r="T790" s="68" t="n"/>
      <c r="U790" s="64" t="n"/>
      <c r="V790" s="65" t="n"/>
      <c r="W790" s="74" t="str">
        <f>IF(AND(A790="",E790=""),"",IF(V790="Oui",0,MAX(0,ROUND(N(H790)-N(T790),6))))</f>
        <v/>
      </c>
      <c r="X790" s="67" t="str">
        <f>IF(AND(A790="",E790=""),"",IF(V790="Oui","Annulé",IF(AND(N(H790)&gt;0,N(T790)&gt;=N(H790)),"Reçu",IF(N(S790)=0,"Brouillon",IF(AND(ISNUMBER(R790),R790&lt;p_today),"En retard",IF(N(T790)&gt;0,"Partiel","Envoyé"))))))</f>
        <v/>
      </c>
      <c r="Y790" s="75" t="str">
        <f>IF(X790="En retard",p_today-R790,IF(AND(X790="Reçu",ISNUMBER(R790)),MAX(0,N(U790)-R790),""))</f>
        <v/>
      </c>
      <c r="Z790" s="67" t="str">
        <f>IF(AND(A790="",E790=""),"",IF(A790="","N° de bon manquant",IF(N(B790)=0,"Date de commande manquante",IF(C790="","Fournisseur manquant",IF(ISNA(MATCH($C790,sup_code,0)),"Fournisseur inconnu",IF(E790="","Article manquant",IF(ISNA(MATCH($E790,art_ref,0)),"Article inconnu",IF(N(H790)&lt;=0,"Quantité invalide",IF(J790="","Prix manquant",IF(OR(N(K790)&lt;0,N(K790)&gt;=1),"Remise invalide",IF(M790="","TVA manquante",IF(ISNA(MATCH(M790,p_tva,0)),"Taux de TVA inconnu",IF(COUNTIFS(po_num,A790,po_sup,"&lt;&gt;"&amp;C790)&gt;0,"Fournisseur différent sur ce bon",IF(COUNTIFS(po_num,A790,po_date,"&lt;&gt;"&amp;B790)&gt;0,"Date différente sur ce bon",IF(COUNTIF(po_num,A790)&gt;25,"Plus de 25 lignes sur ce bon",IF(R790="","Date de livraison manquante",IF(R790&lt;B790,"Livraison avant la commande",IF(AND(N(T790)&gt;0,N(S790)=0),"Date d'envoi manquante",IF(N(T790)&gt;N(H790),"Reçu plus que commandé",IF(AND(N(T790)&gt;0,N(U790)=0),"Date de réception manquante",IF(AND(N(U790)&gt;0,U790&lt;B790),"Réception avant la commande","OK")))))))))))))))))))))</f>
        <v/>
      </c>
      <c r="AA790" s="66" t="str">
        <f>IF(AND(X790="Reçu",ISNUMBER(R790)),IF(N(U790)&lt;=R790,1,0),"")</f>
        <v/>
      </c>
      <c r="AB790" s="76" t="str">
        <f>IF(OR(X790="Envoyé",X790="Partiel",X790="En retard"),IF(ISNUMBER(R790),R790,100000)+ROW()/100000,"")</f>
        <v/>
      </c>
      <c r="AC790" s="66" t="str">
        <f>IF(A790="","",IF(COUNTIF($A$6:A790,A790)=1,1,""))</f>
        <v/>
      </c>
      <c r="AD790" s="66" t="str">
        <f>IF(AC790=1,COUNT($AC$6:AC790),"")</f>
        <v/>
      </c>
      <c r="AE790" s="66" t="str">
        <f>IFERROR(INDEX(po_num,MATCH(785,po_seq,0))&amp;"","")</f>
        <v/>
      </c>
      <c r="AF790" s="66" t="str">
        <f>IF(OR(A790="",p_po=""),"",IF(A790&amp;""=p_po,COUNTIF($A$6:A790,A790),""))</f>
        <v/>
      </c>
      <c r="AG790" s="66" t="str">
        <f>IF(OR(AB790="",A790=""),"",IF(COUNTIFS($A$6:A790,A790,$AB$6:AB790,"&gt;0")=1,1,""))</f>
        <v/>
      </c>
      <c r="AH790" s="70" t="str">
        <f>IF(AB790="","",ROUND(N(W790)*N(J790)*(1-N(K790)),2))</f>
        <v/>
      </c>
      <c r="AI790" s="70" t="str">
        <f>IF(OR(J790="",N(T790)&lt;=0,V790="Oui"),"",ROUND(N(T790)*J790*(1-N(K790)),2))</f>
        <v/>
      </c>
    </row>
    <row r="791">
      <c r="A791" s="63" t="n"/>
      <c r="B791" s="64" t="n"/>
      <c r="C791" s="65" t="n"/>
      <c r="D791" s="66" t="str">
        <f>IF(C791="","",IFERROR(INDEX(sup_name,MATCH($C791,sup_code,0))&amp;"","Fournisseur inconnu"))</f>
        <v/>
      </c>
      <c r="E791" s="63" t="n"/>
      <c r="F791" s="66" t="str">
        <f>IF(E791="","",IFERROR(INDEX(art_des,MATCH($E791,art_ref,0))&amp;"","Article inconnu"))</f>
        <v/>
      </c>
      <c r="G791" s="67" t="str">
        <f>IF(E791="","",IFERROR(INDEX(art_unit,MATCH($E791,art_ref,0))&amp;"",""))</f>
        <v/>
      </c>
      <c r="H791" s="68" t="n"/>
      <c r="I791" s="69" t="n"/>
      <c r="J791" s="70" t="str">
        <f>IF(E791="","",IF(ISNUMBER(I791),I791,IFERROR(IF(ISNUMBER(INDEX(art_price,MATCH($E791,art_ref,0))),INDEX(art_price,MATCH($E791,art_ref,0)),""),"")))</f>
        <v/>
      </c>
      <c r="K791" s="71" t="n"/>
      <c r="L791" s="72" t="n"/>
      <c r="M791" s="72" t="str">
        <f>IF(E791="","",IF(L791&lt;&gt;"",L791,IFERROR(IF(ISNUMBER(INDEX(art_tva,MATCH($E791,art_ref,0))),INDEX(art_tva,MATCH($E791,art_ref,0)),""),"")))</f>
        <v/>
      </c>
      <c r="N791" s="70" t="str">
        <f>IF(OR(E791="",J791=""),"",ROUND(N(H791)*J791*(1-N(K791)),2))</f>
        <v/>
      </c>
      <c r="O791" s="70" t="str">
        <f>IF(OR(N791="",NOT(ISNUMBER(M791))),"",ROUND(N791*M791,2))</f>
        <v/>
      </c>
      <c r="P791" s="70" t="str">
        <f>IF(N791="","",N791+N(O791))</f>
        <v/>
      </c>
      <c r="Q791" s="64" t="n"/>
      <c r="R791" s="73" t="str">
        <f>IF(N(Q791)&gt;0,Q791,IF(OR(N(B791)=0,ISNA(MATCH($C791,sup_code,0))),"",IF(ISNUMBER(INDEX(sup_delay,MATCH($C791,sup_code,0))),B791+INDEX(sup_delay,MATCH($C791,sup_code,0)),"")))</f>
        <v/>
      </c>
      <c r="S791" s="64" t="n"/>
      <c r="T791" s="68" t="n"/>
      <c r="U791" s="64" t="n"/>
      <c r="V791" s="65" t="n"/>
      <c r="W791" s="74" t="str">
        <f>IF(AND(A791="",E791=""),"",IF(V791="Oui",0,MAX(0,ROUND(N(H791)-N(T791),6))))</f>
        <v/>
      </c>
      <c r="X791" s="67" t="str">
        <f>IF(AND(A791="",E791=""),"",IF(V791="Oui","Annulé",IF(AND(N(H791)&gt;0,N(T791)&gt;=N(H791)),"Reçu",IF(N(S791)=0,"Brouillon",IF(AND(ISNUMBER(R791),R791&lt;p_today),"En retard",IF(N(T791)&gt;0,"Partiel","Envoyé"))))))</f>
        <v/>
      </c>
      <c r="Y791" s="75" t="str">
        <f>IF(X791="En retard",p_today-R791,IF(AND(X791="Reçu",ISNUMBER(R791)),MAX(0,N(U791)-R791),""))</f>
        <v/>
      </c>
      <c r="Z791" s="67" t="str">
        <f>IF(AND(A791="",E791=""),"",IF(A791="","N° de bon manquant",IF(N(B791)=0,"Date de commande manquante",IF(C791="","Fournisseur manquant",IF(ISNA(MATCH($C791,sup_code,0)),"Fournisseur inconnu",IF(E791="","Article manquant",IF(ISNA(MATCH($E791,art_ref,0)),"Article inconnu",IF(N(H791)&lt;=0,"Quantité invalide",IF(J791="","Prix manquant",IF(OR(N(K791)&lt;0,N(K791)&gt;=1),"Remise invalide",IF(M791="","TVA manquante",IF(ISNA(MATCH(M791,p_tva,0)),"Taux de TVA inconnu",IF(COUNTIFS(po_num,A791,po_sup,"&lt;&gt;"&amp;C791)&gt;0,"Fournisseur différent sur ce bon",IF(COUNTIFS(po_num,A791,po_date,"&lt;&gt;"&amp;B791)&gt;0,"Date différente sur ce bon",IF(COUNTIF(po_num,A791)&gt;25,"Plus de 25 lignes sur ce bon",IF(R791="","Date de livraison manquante",IF(R791&lt;B791,"Livraison avant la commande",IF(AND(N(T791)&gt;0,N(S791)=0),"Date d'envoi manquante",IF(N(T791)&gt;N(H791),"Reçu plus que commandé",IF(AND(N(T791)&gt;0,N(U791)=0),"Date de réception manquante",IF(AND(N(U791)&gt;0,U791&lt;B791),"Réception avant la commande","OK")))))))))))))))))))))</f>
        <v/>
      </c>
      <c r="AA791" s="66" t="str">
        <f>IF(AND(X791="Reçu",ISNUMBER(R791)),IF(N(U791)&lt;=R791,1,0),"")</f>
        <v/>
      </c>
      <c r="AB791" s="76" t="str">
        <f>IF(OR(X791="Envoyé",X791="Partiel",X791="En retard"),IF(ISNUMBER(R791),R791,100000)+ROW()/100000,"")</f>
        <v/>
      </c>
      <c r="AC791" s="66" t="str">
        <f>IF(A791="","",IF(COUNTIF($A$6:A791,A791)=1,1,""))</f>
        <v/>
      </c>
      <c r="AD791" s="66" t="str">
        <f>IF(AC791=1,COUNT($AC$6:AC791),"")</f>
        <v/>
      </c>
      <c r="AE791" s="66" t="str">
        <f>IFERROR(INDEX(po_num,MATCH(786,po_seq,0))&amp;"","")</f>
        <v/>
      </c>
      <c r="AF791" s="66" t="str">
        <f>IF(OR(A791="",p_po=""),"",IF(A791&amp;""=p_po,COUNTIF($A$6:A791,A791),""))</f>
        <v/>
      </c>
      <c r="AG791" s="66" t="str">
        <f>IF(OR(AB791="",A791=""),"",IF(COUNTIFS($A$6:A791,A791,$AB$6:AB791,"&gt;0")=1,1,""))</f>
        <v/>
      </c>
      <c r="AH791" s="70" t="str">
        <f>IF(AB791="","",ROUND(N(W791)*N(J791)*(1-N(K791)),2))</f>
        <v/>
      </c>
      <c r="AI791" s="70" t="str">
        <f>IF(OR(J791="",N(T791)&lt;=0,V791="Oui"),"",ROUND(N(T791)*J791*(1-N(K791)),2))</f>
        <v/>
      </c>
    </row>
    <row r="792">
      <c r="A792" s="63" t="n"/>
      <c r="B792" s="64" t="n"/>
      <c r="C792" s="65" t="n"/>
      <c r="D792" s="66" t="str">
        <f>IF(C792="","",IFERROR(INDEX(sup_name,MATCH($C792,sup_code,0))&amp;"","Fournisseur inconnu"))</f>
        <v/>
      </c>
      <c r="E792" s="63" t="n"/>
      <c r="F792" s="66" t="str">
        <f>IF(E792="","",IFERROR(INDEX(art_des,MATCH($E792,art_ref,0))&amp;"","Article inconnu"))</f>
        <v/>
      </c>
      <c r="G792" s="67" t="str">
        <f>IF(E792="","",IFERROR(INDEX(art_unit,MATCH($E792,art_ref,0))&amp;"",""))</f>
        <v/>
      </c>
      <c r="H792" s="68" t="n"/>
      <c r="I792" s="69" t="n"/>
      <c r="J792" s="70" t="str">
        <f>IF(E792="","",IF(ISNUMBER(I792),I792,IFERROR(IF(ISNUMBER(INDEX(art_price,MATCH($E792,art_ref,0))),INDEX(art_price,MATCH($E792,art_ref,0)),""),"")))</f>
        <v/>
      </c>
      <c r="K792" s="71" t="n"/>
      <c r="L792" s="72" t="n"/>
      <c r="M792" s="72" t="str">
        <f>IF(E792="","",IF(L792&lt;&gt;"",L792,IFERROR(IF(ISNUMBER(INDEX(art_tva,MATCH($E792,art_ref,0))),INDEX(art_tva,MATCH($E792,art_ref,0)),""),"")))</f>
        <v/>
      </c>
      <c r="N792" s="70" t="str">
        <f>IF(OR(E792="",J792=""),"",ROUND(N(H792)*J792*(1-N(K792)),2))</f>
        <v/>
      </c>
      <c r="O792" s="70" t="str">
        <f>IF(OR(N792="",NOT(ISNUMBER(M792))),"",ROUND(N792*M792,2))</f>
        <v/>
      </c>
      <c r="P792" s="70" t="str">
        <f>IF(N792="","",N792+N(O792))</f>
        <v/>
      </c>
      <c r="Q792" s="64" t="n"/>
      <c r="R792" s="73" t="str">
        <f>IF(N(Q792)&gt;0,Q792,IF(OR(N(B792)=0,ISNA(MATCH($C792,sup_code,0))),"",IF(ISNUMBER(INDEX(sup_delay,MATCH($C792,sup_code,0))),B792+INDEX(sup_delay,MATCH($C792,sup_code,0)),"")))</f>
        <v/>
      </c>
      <c r="S792" s="64" t="n"/>
      <c r="T792" s="68" t="n"/>
      <c r="U792" s="64" t="n"/>
      <c r="V792" s="65" t="n"/>
      <c r="W792" s="74" t="str">
        <f>IF(AND(A792="",E792=""),"",IF(V792="Oui",0,MAX(0,ROUND(N(H792)-N(T792),6))))</f>
        <v/>
      </c>
      <c r="X792" s="67" t="str">
        <f>IF(AND(A792="",E792=""),"",IF(V792="Oui","Annulé",IF(AND(N(H792)&gt;0,N(T792)&gt;=N(H792)),"Reçu",IF(N(S792)=0,"Brouillon",IF(AND(ISNUMBER(R792),R792&lt;p_today),"En retard",IF(N(T792)&gt;0,"Partiel","Envoyé"))))))</f>
        <v/>
      </c>
      <c r="Y792" s="75" t="str">
        <f>IF(X792="En retard",p_today-R792,IF(AND(X792="Reçu",ISNUMBER(R792)),MAX(0,N(U792)-R792),""))</f>
        <v/>
      </c>
      <c r="Z792" s="67" t="str">
        <f>IF(AND(A792="",E792=""),"",IF(A792="","N° de bon manquant",IF(N(B792)=0,"Date de commande manquante",IF(C792="","Fournisseur manquant",IF(ISNA(MATCH($C792,sup_code,0)),"Fournisseur inconnu",IF(E792="","Article manquant",IF(ISNA(MATCH($E792,art_ref,0)),"Article inconnu",IF(N(H792)&lt;=0,"Quantité invalide",IF(J792="","Prix manquant",IF(OR(N(K792)&lt;0,N(K792)&gt;=1),"Remise invalide",IF(M792="","TVA manquante",IF(ISNA(MATCH(M792,p_tva,0)),"Taux de TVA inconnu",IF(COUNTIFS(po_num,A792,po_sup,"&lt;&gt;"&amp;C792)&gt;0,"Fournisseur différent sur ce bon",IF(COUNTIFS(po_num,A792,po_date,"&lt;&gt;"&amp;B792)&gt;0,"Date différente sur ce bon",IF(COUNTIF(po_num,A792)&gt;25,"Plus de 25 lignes sur ce bon",IF(R792="","Date de livraison manquante",IF(R792&lt;B792,"Livraison avant la commande",IF(AND(N(T792)&gt;0,N(S792)=0),"Date d'envoi manquante",IF(N(T792)&gt;N(H792),"Reçu plus que commandé",IF(AND(N(T792)&gt;0,N(U792)=0),"Date de réception manquante",IF(AND(N(U792)&gt;0,U792&lt;B792),"Réception avant la commande","OK")))))))))))))))))))))</f>
        <v/>
      </c>
      <c r="AA792" s="66" t="str">
        <f>IF(AND(X792="Reçu",ISNUMBER(R792)),IF(N(U792)&lt;=R792,1,0),"")</f>
        <v/>
      </c>
      <c r="AB792" s="76" t="str">
        <f>IF(OR(X792="Envoyé",X792="Partiel",X792="En retard"),IF(ISNUMBER(R792),R792,100000)+ROW()/100000,"")</f>
        <v/>
      </c>
      <c r="AC792" s="66" t="str">
        <f>IF(A792="","",IF(COUNTIF($A$6:A792,A792)=1,1,""))</f>
        <v/>
      </c>
      <c r="AD792" s="66" t="str">
        <f>IF(AC792=1,COUNT($AC$6:AC792),"")</f>
        <v/>
      </c>
      <c r="AE792" s="66" t="str">
        <f>IFERROR(INDEX(po_num,MATCH(787,po_seq,0))&amp;"","")</f>
        <v/>
      </c>
      <c r="AF792" s="66" t="str">
        <f>IF(OR(A792="",p_po=""),"",IF(A792&amp;""=p_po,COUNTIF($A$6:A792,A792),""))</f>
        <v/>
      </c>
      <c r="AG792" s="66" t="str">
        <f>IF(OR(AB792="",A792=""),"",IF(COUNTIFS($A$6:A792,A792,$AB$6:AB792,"&gt;0")=1,1,""))</f>
        <v/>
      </c>
      <c r="AH792" s="70" t="str">
        <f>IF(AB792="","",ROUND(N(W792)*N(J792)*(1-N(K792)),2))</f>
        <v/>
      </c>
      <c r="AI792" s="70" t="str">
        <f>IF(OR(J792="",N(T792)&lt;=0,V792="Oui"),"",ROUND(N(T792)*J792*(1-N(K792)),2))</f>
        <v/>
      </c>
    </row>
    <row r="793">
      <c r="A793" s="63" t="n"/>
      <c r="B793" s="64" t="n"/>
      <c r="C793" s="65" t="n"/>
      <c r="D793" s="66" t="str">
        <f>IF(C793="","",IFERROR(INDEX(sup_name,MATCH($C793,sup_code,0))&amp;"","Fournisseur inconnu"))</f>
        <v/>
      </c>
      <c r="E793" s="63" t="n"/>
      <c r="F793" s="66" t="str">
        <f>IF(E793="","",IFERROR(INDEX(art_des,MATCH($E793,art_ref,0))&amp;"","Article inconnu"))</f>
        <v/>
      </c>
      <c r="G793" s="67" t="str">
        <f>IF(E793="","",IFERROR(INDEX(art_unit,MATCH($E793,art_ref,0))&amp;"",""))</f>
        <v/>
      </c>
      <c r="H793" s="68" t="n"/>
      <c r="I793" s="69" t="n"/>
      <c r="J793" s="70" t="str">
        <f>IF(E793="","",IF(ISNUMBER(I793),I793,IFERROR(IF(ISNUMBER(INDEX(art_price,MATCH($E793,art_ref,0))),INDEX(art_price,MATCH($E793,art_ref,0)),""),"")))</f>
        <v/>
      </c>
      <c r="K793" s="71" t="n"/>
      <c r="L793" s="72" t="n"/>
      <c r="M793" s="72" t="str">
        <f>IF(E793="","",IF(L793&lt;&gt;"",L793,IFERROR(IF(ISNUMBER(INDEX(art_tva,MATCH($E793,art_ref,0))),INDEX(art_tva,MATCH($E793,art_ref,0)),""),"")))</f>
        <v/>
      </c>
      <c r="N793" s="70" t="str">
        <f>IF(OR(E793="",J793=""),"",ROUND(N(H793)*J793*(1-N(K793)),2))</f>
        <v/>
      </c>
      <c r="O793" s="70" t="str">
        <f>IF(OR(N793="",NOT(ISNUMBER(M793))),"",ROUND(N793*M793,2))</f>
        <v/>
      </c>
      <c r="P793" s="70" t="str">
        <f>IF(N793="","",N793+N(O793))</f>
        <v/>
      </c>
      <c r="Q793" s="64" t="n"/>
      <c r="R793" s="73" t="str">
        <f>IF(N(Q793)&gt;0,Q793,IF(OR(N(B793)=0,ISNA(MATCH($C793,sup_code,0))),"",IF(ISNUMBER(INDEX(sup_delay,MATCH($C793,sup_code,0))),B793+INDEX(sup_delay,MATCH($C793,sup_code,0)),"")))</f>
        <v/>
      </c>
      <c r="S793" s="64" t="n"/>
      <c r="T793" s="68" t="n"/>
      <c r="U793" s="64" t="n"/>
      <c r="V793" s="65" t="n"/>
      <c r="W793" s="74" t="str">
        <f>IF(AND(A793="",E793=""),"",IF(V793="Oui",0,MAX(0,ROUND(N(H793)-N(T793),6))))</f>
        <v/>
      </c>
      <c r="X793" s="67" t="str">
        <f>IF(AND(A793="",E793=""),"",IF(V793="Oui","Annulé",IF(AND(N(H793)&gt;0,N(T793)&gt;=N(H793)),"Reçu",IF(N(S793)=0,"Brouillon",IF(AND(ISNUMBER(R793),R793&lt;p_today),"En retard",IF(N(T793)&gt;0,"Partiel","Envoyé"))))))</f>
        <v/>
      </c>
      <c r="Y793" s="75" t="str">
        <f>IF(X793="En retard",p_today-R793,IF(AND(X793="Reçu",ISNUMBER(R793)),MAX(0,N(U793)-R793),""))</f>
        <v/>
      </c>
      <c r="Z793" s="67" t="str">
        <f>IF(AND(A793="",E793=""),"",IF(A793="","N° de bon manquant",IF(N(B793)=0,"Date de commande manquante",IF(C793="","Fournisseur manquant",IF(ISNA(MATCH($C793,sup_code,0)),"Fournisseur inconnu",IF(E793="","Article manquant",IF(ISNA(MATCH($E793,art_ref,0)),"Article inconnu",IF(N(H793)&lt;=0,"Quantité invalide",IF(J793="","Prix manquant",IF(OR(N(K793)&lt;0,N(K793)&gt;=1),"Remise invalide",IF(M793="","TVA manquante",IF(ISNA(MATCH(M793,p_tva,0)),"Taux de TVA inconnu",IF(COUNTIFS(po_num,A793,po_sup,"&lt;&gt;"&amp;C793)&gt;0,"Fournisseur différent sur ce bon",IF(COUNTIFS(po_num,A793,po_date,"&lt;&gt;"&amp;B793)&gt;0,"Date différente sur ce bon",IF(COUNTIF(po_num,A793)&gt;25,"Plus de 25 lignes sur ce bon",IF(R793="","Date de livraison manquante",IF(R793&lt;B793,"Livraison avant la commande",IF(AND(N(T793)&gt;0,N(S793)=0),"Date d'envoi manquante",IF(N(T793)&gt;N(H793),"Reçu plus que commandé",IF(AND(N(T793)&gt;0,N(U793)=0),"Date de réception manquante",IF(AND(N(U793)&gt;0,U793&lt;B793),"Réception avant la commande","OK")))))))))))))))))))))</f>
        <v/>
      </c>
      <c r="AA793" s="66" t="str">
        <f>IF(AND(X793="Reçu",ISNUMBER(R793)),IF(N(U793)&lt;=R793,1,0),"")</f>
        <v/>
      </c>
      <c r="AB793" s="76" t="str">
        <f>IF(OR(X793="Envoyé",X793="Partiel",X793="En retard"),IF(ISNUMBER(R793),R793,100000)+ROW()/100000,"")</f>
        <v/>
      </c>
      <c r="AC793" s="66" t="str">
        <f>IF(A793="","",IF(COUNTIF($A$6:A793,A793)=1,1,""))</f>
        <v/>
      </c>
      <c r="AD793" s="66" t="str">
        <f>IF(AC793=1,COUNT($AC$6:AC793),"")</f>
        <v/>
      </c>
      <c r="AE793" s="66" t="str">
        <f>IFERROR(INDEX(po_num,MATCH(788,po_seq,0))&amp;"","")</f>
        <v/>
      </c>
      <c r="AF793" s="66" t="str">
        <f>IF(OR(A793="",p_po=""),"",IF(A793&amp;""=p_po,COUNTIF($A$6:A793,A793),""))</f>
        <v/>
      </c>
      <c r="AG793" s="66" t="str">
        <f>IF(OR(AB793="",A793=""),"",IF(COUNTIFS($A$6:A793,A793,$AB$6:AB793,"&gt;0")=1,1,""))</f>
        <v/>
      </c>
      <c r="AH793" s="70" t="str">
        <f>IF(AB793="","",ROUND(N(W793)*N(J793)*(1-N(K793)),2))</f>
        <v/>
      </c>
      <c r="AI793" s="70" t="str">
        <f>IF(OR(J793="",N(T793)&lt;=0,V793="Oui"),"",ROUND(N(T793)*J793*(1-N(K793)),2))</f>
        <v/>
      </c>
    </row>
    <row r="794">
      <c r="A794" s="63" t="n"/>
      <c r="B794" s="64" t="n"/>
      <c r="C794" s="65" t="n"/>
      <c r="D794" s="66" t="str">
        <f>IF(C794="","",IFERROR(INDEX(sup_name,MATCH($C794,sup_code,0))&amp;"","Fournisseur inconnu"))</f>
        <v/>
      </c>
      <c r="E794" s="63" t="n"/>
      <c r="F794" s="66" t="str">
        <f>IF(E794="","",IFERROR(INDEX(art_des,MATCH($E794,art_ref,0))&amp;"","Article inconnu"))</f>
        <v/>
      </c>
      <c r="G794" s="67" t="str">
        <f>IF(E794="","",IFERROR(INDEX(art_unit,MATCH($E794,art_ref,0))&amp;"",""))</f>
        <v/>
      </c>
      <c r="H794" s="68" t="n"/>
      <c r="I794" s="69" t="n"/>
      <c r="J794" s="70" t="str">
        <f>IF(E794="","",IF(ISNUMBER(I794),I794,IFERROR(IF(ISNUMBER(INDEX(art_price,MATCH($E794,art_ref,0))),INDEX(art_price,MATCH($E794,art_ref,0)),""),"")))</f>
        <v/>
      </c>
      <c r="K794" s="71" t="n"/>
      <c r="L794" s="72" t="n"/>
      <c r="M794" s="72" t="str">
        <f>IF(E794="","",IF(L794&lt;&gt;"",L794,IFERROR(IF(ISNUMBER(INDEX(art_tva,MATCH($E794,art_ref,0))),INDEX(art_tva,MATCH($E794,art_ref,0)),""),"")))</f>
        <v/>
      </c>
      <c r="N794" s="70" t="str">
        <f>IF(OR(E794="",J794=""),"",ROUND(N(H794)*J794*(1-N(K794)),2))</f>
        <v/>
      </c>
      <c r="O794" s="70" t="str">
        <f>IF(OR(N794="",NOT(ISNUMBER(M794))),"",ROUND(N794*M794,2))</f>
        <v/>
      </c>
      <c r="P794" s="70" t="str">
        <f>IF(N794="","",N794+N(O794))</f>
        <v/>
      </c>
      <c r="Q794" s="64" t="n"/>
      <c r="R794" s="73" t="str">
        <f>IF(N(Q794)&gt;0,Q794,IF(OR(N(B794)=0,ISNA(MATCH($C794,sup_code,0))),"",IF(ISNUMBER(INDEX(sup_delay,MATCH($C794,sup_code,0))),B794+INDEX(sup_delay,MATCH($C794,sup_code,0)),"")))</f>
        <v/>
      </c>
      <c r="S794" s="64" t="n"/>
      <c r="T794" s="68" t="n"/>
      <c r="U794" s="64" t="n"/>
      <c r="V794" s="65" t="n"/>
      <c r="W794" s="74" t="str">
        <f>IF(AND(A794="",E794=""),"",IF(V794="Oui",0,MAX(0,ROUND(N(H794)-N(T794),6))))</f>
        <v/>
      </c>
      <c r="X794" s="67" t="str">
        <f>IF(AND(A794="",E794=""),"",IF(V794="Oui","Annulé",IF(AND(N(H794)&gt;0,N(T794)&gt;=N(H794)),"Reçu",IF(N(S794)=0,"Brouillon",IF(AND(ISNUMBER(R794),R794&lt;p_today),"En retard",IF(N(T794)&gt;0,"Partiel","Envoyé"))))))</f>
        <v/>
      </c>
      <c r="Y794" s="75" t="str">
        <f>IF(X794="En retard",p_today-R794,IF(AND(X794="Reçu",ISNUMBER(R794)),MAX(0,N(U794)-R794),""))</f>
        <v/>
      </c>
      <c r="Z794" s="67" t="str">
        <f>IF(AND(A794="",E794=""),"",IF(A794="","N° de bon manquant",IF(N(B794)=0,"Date de commande manquante",IF(C794="","Fournisseur manquant",IF(ISNA(MATCH($C794,sup_code,0)),"Fournisseur inconnu",IF(E794="","Article manquant",IF(ISNA(MATCH($E794,art_ref,0)),"Article inconnu",IF(N(H794)&lt;=0,"Quantité invalide",IF(J794="","Prix manquant",IF(OR(N(K794)&lt;0,N(K794)&gt;=1),"Remise invalide",IF(M794="","TVA manquante",IF(ISNA(MATCH(M794,p_tva,0)),"Taux de TVA inconnu",IF(COUNTIFS(po_num,A794,po_sup,"&lt;&gt;"&amp;C794)&gt;0,"Fournisseur différent sur ce bon",IF(COUNTIFS(po_num,A794,po_date,"&lt;&gt;"&amp;B794)&gt;0,"Date différente sur ce bon",IF(COUNTIF(po_num,A794)&gt;25,"Plus de 25 lignes sur ce bon",IF(R794="","Date de livraison manquante",IF(R794&lt;B794,"Livraison avant la commande",IF(AND(N(T794)&gt;0,N(S794)=0),"Date d'envoi manquante",IF(N(T794)&gt;N(H794),"Reçu plus que commandé",IF(AND(N(T794)&gt;0,N(U794)=0),"Date de réception manquante",IF(AND(N(U794)&gt;0,U794&lt;B794),"Réception avant la commande","OK")))))))))))))))))))))</f>
        <v/>
      </c>
      <c r="AA794" s="66" t="str">
        <f>IF(AND(X794="Reçu",ISNUMBER(R794)),IF(N(U794)&lt;=R794,1,0),"")</f>
        <v/>
      </c>
      <c r="AB794" s="76" t="str">
        <f>IF(OR(X794="Envoyé",X794="Partiel",X794="En retard"),IF(ISNUMBER(R794),R794,100000)+ROW()/100000,"")</f>
        <v/>
      </c>
      <c r="AC794" s="66" t="str">
        <f>IF(A794="","",IF(COUNTIF($A$6:A794,A794)=1,1,""))</f>
        <v/>
      </c>
      <c r="AD794" s="66" t="str">
        <f>IF(AC794=1,COUNT($AC$6:AC794),"")</f>
        <v/>
      </c>
      <c r="AE794" s="66" t="str">
        <f>IFERROR(INDEX(po_num,MATCH(789,po_seq,0))&amp;"","")</f>
        <v/>
      </c>
      <c r="AF794" s="66" t="str">
        <f>IF(OR(A794="",p_po=""),"",IF(A794&amp;""=p_po,COUNTIF($A$6:A794,A794),""))</f>
        <v/>
      </c>
      <c r="AG794" s="66" t="str">
        <f>IF(OR(AB794="",A794=""),"",IF(COUNTIFS($A$6:A794,A794,$AB$6:AB794,"&gt;0")=1,1,""))</f>
        <v/>
      </c>
      <c r="AH794" s="70" t="str">
        <f>IF(AB794="","",ROUND(N(W794)*N(J794)*(1-N(K794)),2))</f>
        <v/>
      </c>
      <c r="AI794" s="70" t="str">
        <f>IF(OR(J794="",N(T794)&lt;=0,V794="Oui"),"",ROUND(N(T794)*J794*(1-N(K794)),2))</f>
        <v/>
      </c>
    </row>
    <row r="795">
      <c r="A795" s="63" t="n"/>
      <c r="B795" s="64" t="n"/>
      <c r="C795" s="65" t="n"/>
      <c r="D795" s="66" t="str">
        <f>IF(C795="","",IFERROR(INDEX(sup_name,MATCH($C795,sup_code,0))&amp;"","Fournisseur inconnu"))</f>
        <v/>
      </c>
      <c r="E795" s="63" t="n"/>
      <c r="F795" s="66" t="str">
        <f>IF(E795="","",IFERROR(INDEX(art_des,MATCH($E795,art_ref,0))&amp;"","Article inconnu"))</f>
        <v/>
      </c>
      <c r="G795" s="67" t="str">
        <f>IF(E795="","",IFERROR(INDEX(art_unit,MATCH($E795,art_ref,0))&amp;"",""))</f>
        <v/>
      </c>
      <c r="H795" s="68" t="n"/>
      <c r="I795" s="69" t="n"/>
      <c r="J795" s="70" t="str">
        <f>IF(E795="","",IF(ISNUMBER(I795),I795,IFERROR(IF(ISNUMBER(INDEX(art_price,MATCH($E795,art_ref,0))),INDEX(art_price,MATCH($E795,art_ref,0)),""),"")))</f>
        <v/>
      </c>
      <c r="K795" s="71" t="n"/>
      <c r="L795" s="72" t="n"/>
      <c r="M795" s="72" t="str">
        <f>IF(E795="","",IF(L795&lt;&gt;"",L795,IFERROR(IF(ISNUMBER(INDEX(art_tva,MATCH($E795,art_ref,0))),INDEX(art_tva,MATCH($E795,art_ref,0)),""),"")))</f>
        <v/>
      </c>
      <c r="N795" s="70" t="str">
        <f>IF(OR(E795="",J795=""),"",ROUND(N(H795)*J795*(1-N(K795)),2))</f>
        <v/>
      </c>
      <c r="O795" s="70" t="str">
        <f>IF(OR(N795="",NOT(ISNUMBER(M795))),"",ROUND(N795*M795,2))</f>
        <v/>
      </c>
      <c r="P795" s="70" t="str">
        <f>IF(N795="","",N795+N(O795))</f>
        <v/>
      </c>
      <c r="Q795" s="64" t="n"/>
      <c r="R795" s="73" t="str">
        <f>IF(N(Q795)&gt;0,Q795,IF(OR(N(B795)=0,ISNA(MATCH($C795,sup_code,0))),"",IF(ISNUMBER(INDEX(sup_delay,MATCH($C795,sup_code,0))),B795+INDEX(sup_delay,MATCH($C795,sup_code,0)),"")))</f>
        <v/>
      </c>
      <c r="S795" s="64" t="n"/>
      <c r="T795" s="68" t="n"/>
      <c r="U795" s="64" t="n"/>
      <c r="V795" s="65" t="n"/>
      <c r="W795" s="74" t="str">
        <f>IF(AND(A795="",E795=""),"",IF(V795="Oui",0,MAX(0,ROUND(N(H795)-N(T795),6))))</f>
        <v/>
      </c>
      <c r="X795" s="67" t="str">
        <f>IF(AND(A795="",E795=""),"",IF(V795="Oui","Annulé",IF(AND(N(H795)&gt;0,N(T795)&gt;=N(H795)),"Reçu",IF(N(S795)=0,"Brouillon",IF(AND(ISNUMBER(R795),R795&lt;p_today),"En retard",IF(N(T795)&gt;0,"Partiel","Envoyé"))))))</f>
        <v/>
      </c>
      <c r="Y795" s="75" t="str">
        <f>IF(X795="En retard",p_today-R795,IF(AND(X795="Reçu",ISNUMBER(R795)),MAX(0,N(U795)-R795),""))</f>
        <v/>
      </c>
      <c r="Z795" s="67" t="str">
        <f>IF(AND(A795="",E795=""),"",IF(A795="","N° de bon manquant",IF(N(B795)=0,"Date de commande manquante",IF(C795="","Fournisseur manquant",IF(ISNA(MATCH($C795,sup_code,0)),"Fournisseur inconnu",IF(E795="","Article manquant",IF(ISNA(MATCH($E795,art_ref,0)),"Article inconnu",IF(N(H795)&lt;=0,"Quantité invalide",IF(J795="","Prix manquant",IF(OR(N(K795)&lt;0,N(K795)&gt;=1),"Remise invalide",IF(M795="","TVA manquante",IF(ISNA(MATCH(M795,p_tva,0)),"Taux de TVA inconnu",IF(COUNTIFS(po_num,A795,po_sup,"&lt;&gt;"&amp;C795)&gt;0,"Fournisseur différent sur ce bon",IF(COUNTIFS(po_num,A795,po_date,"&lt;&gt;"&amp;B795)&gt;0,"Date différente sur ce bon",IF(COUNTIF(po_num,A795)&gt;25,"Plus de 25 lignes sur ce bon",IF(R795="","Date de livraison manquante",IF(R795&lt;B795,"Livraison avant la commande",IF(AND(N(T795)&gt;0,N(S795)=0),"Date d'envoi manquante",IF(N(T795)&gt;N(H795),"Reçu plus que commandé",IF(AND(N(T795)&gt;0,N(U795)=0),"Date de réception manquante",IF(AND(N(U795)&gt;0,U795&lt;B795),"Réception avant la commande","OK")))))))))))))))))))))</f>
        <v/>
      </c>
      <c r="AA795" s="66" t="str">
        <f>IF(AND(X795="Reçu",ISNUMBER(R795)),IF(N(U795)&lt;=R795,1,0),"")</f>
        <v/>
      </c>
      <c r="AB795" s="76" t="str">
        <f>IF(OR(X795="Envoyé",X795="Partiel",X795="En retard"),IF(ISNUMBER(R795),R795,100000)+ROW()/100000,"")</f>
        <v/>
      </c>
      <c r="AC795" s="66" t="str">
        <f>IF(A795="","",IF(COUNTIF($A$6:A795,A795)=1,1,""))</f>
        <v/>
      </c>
      <c r="AD795" s="66" t="str">
        <f>IF(AC795=1,COUNT($AC$6:AC795),"")</f>
        <v/>
      </c>
      <c r="AE795" s="66" t="str">
        <f>IFERROR(INDEX(po_num,MATCH(790,po_seq,0))&amp;"","")</f>
        <v/>
      </c>
      <c r="AF795" s="66" t="str">
        <f>IF(OR(A795="",p_po=""),"",IF(A795&amp;""=p_po,COUNTIF($A$6:A795,A795),""))</f>
        <v/>
      </c>
      <c r="AG795" s="66" t="str">
        <f>IF(OR(AB795="",A795=""),"",IF(COUNTIFS($A$6:A795,A795,$AB$6:AB795,"&gt;0")=1,1,""))</f>
        <v/>
      </c>
      <c r="AH795" s="70" t="str">
        <f>IF(AB795="","",ROUND(N(W795)*N(J795)*(1-N(K795)),2))</f>
        <v/>
      </c>
      <c r="AI795" s="70" t="str">
        <f>IF(OR(J795="",N(T795)&lt;=0,V795="Oui"),"",ROUND(N(T795)*J795*(1-N(K795)),2))</f>
        <v/>
      </c>
    </row>
    <row r="796">
      <c r="A796" s="63" t="n"/>
      <c r="B796" s="64" t="n"/>
      <c r="C796" s="65" t="n"/>
      <c r="D796" s="66" t="str">
        <f>IF(C796="","",IFERROR(INDEX(sup_name,MATCH($C796,sup_code,0))&amp;"","Fournisseur inconnu"))</f>
        <v/>
      </c>
      <c r="E796" s="63" t="n"/>
      <c r="F796" s="66" t="str">
        <f>IF(E796="","",IFERROR(INDEX(art_des,MATCH($E796,art_ref,0))&amp;"","Article inconnu"))</f>
        <v/>
      </c>
      <c r="G796" s="67" t="str">
        <f>IF(E796="","",IFERROR(INDEX(art_unit,MATCH($E796,art_ref,0))&amp;"",""))</f>
        <v/>
      </c>
      <c r="H796" s="68" t="n"/>
      <c r="I796" s="69" t="n"/>
      <c r="J796" s="70" t="str">
        <f>IF(E796="","",IF(ISNUMBER(I796),I796,IFERROR(IF(ISNUMBER(INDEX(art_price,MATCH($E796,art_ref,0))),INDEX(art_price,MATCH($E796,art_ref,0)),""),"")))</f>
        <v/>
      </c>
      <c r="K796" s="71" t="n"/>
      <c r="L796" s="72" t="n"/>
      <c r="M796" s="72" t="str">
        <f>IF(E796="","",IF(L796&lt;&gt;"",L796,IFERROR(IF(ISNUMBER(INDEX(art_tva,MATCH($E796,art_ref,0))),INDEX(art_tva,MATCH($E796,art_ref,0)),""),"")))</f>
        <v/>
      </c>
      <c r="N796" s="70" t="str">
        <f>IF(OR(E796="",J796=""),"",ROUND(N(H796)*J796*(1-N(K796)),2))</f>
        <v/>
      </c>
      <c r="O796" s="70" t="str">
        <f>IF(OR(N796="",NOT(ISNUMBER(M796))),"",ROUND(N796*M796,2))</f>
        <v/>
      </c>
      <c r="P796" s="70" t="str">
        <f>IF(N796="","",N796+N(O796))</f>
        <v/>
      </c>
      <c r="Q796" s="64" t="n"/>
      <c r="R796" s="73" t="str">
        <f>IF(N(Q796)&gt;0,Q796,IF(OR(N(B796)=0,ISNA(MATCH($C796,sup_code,0))),"",IF(ISNUMBER(INDEX(sup_delay,MATCH($C796,sup_code,0))),B796+INDEX(sup_delay,MATCH($C796,sup_code,0)),"")))</f>
        <v/>
      </c>
      <c r="S796" s="64" t="n"/>
      <c r="T796" s="68" t="n"/>
      <c r="U796" s="64" t="n"/>
      <c r="V796" s="65" t="n"/>
      <c r="W796" s="74" t="str">
        <f>IF(AND(A796="",E796=""),"",IF(V796="Oui",0,MAX(0,ROUND(N(H796)-N(T796),6))))</f>
        <v/>
      </c>
      <c r="X796" s="67" t="str">
        <f>IF(AND(A796="",E796=""),"",IF(V796="Oui","Annulé",IF(AND(N(H796)&gt;0,N(T796)&gt;=N(H796)),"Reçu",IF(N(S796)=0,"Brouillon",IF(AND(ISNUMBER(R796),R796&lt;p_today),"En retard",IF(N(T796)&gt;0,"Partiel","Envoyé"))))))</f>
        <v/>
      </c>
      <c r="Y796" s="75" t="str">
        <f>IF(X796="En retard",p_today-R796,IF(AND(X796="Reçu",ISNUMBER(R796)),MAX(0,N(U796)-R796),""))</f>
        <v/>
      </c>
      <c r="Z796" s="67" t="str">
        <f>IF(AND(A796="",E796=""),"",IF(A796="","N° de bon manquant",IF(N(B796)=0,"Date de commande manquante",IF(C796="","Fournisseur manquant",IF(ISNA(MATCH($C796,sup_code,0)),"Fournisseur inconnu",IF(E796="","Article manquant",IF(ISNA(MATCH($E796,art_ref,0)),"Article inconnu",IF(N(H796)&lt;=0,"Quantité invalide",IF(J796="","Prix manquant",IF(OR(N(K796)&lt;0,N(K796)&gt;=1),"Remise invalide",IF(M796="","TVA manquante",IF(ISNA(MATCH(M796,p_tva,0)),"Taux de TVA inconnu",IF(COUNTIFS(po_num,A796,po_sup,"&lt;&gt;"&amp;C796)&gt;0,"Fournisseur différent sur ce bon",IF(COUNTIFS(po_num,A796,po_date,"&lt;&gt;"&amp;B796)&gt;0,"Date différente sur ce bon",IF(COUNTIF(po_num,A796)&gt;25,"Plus de 25 lignes sur ce bon",IF(R796="","Date de livraison manquante",IF(R796&lt;B796,"Livraison avant la commande",IF(AND(N(T796)&gt;0,N(S796)=0),"Date d'envoi manquante",IF(N(T796)&gt;N(H796),"Reçu plus que commandé",IF(AND(N(T796)&gt;0,N(U796)=0),"Date de réception manquante",IF(AND(N(U796)&gt;0,U796&lt;B796),"Réception avant la commande","OK")))))))))))))))))))))</f>
        <v/>
      </c>
      <c r="AA796" s="66" t="str">
        <f>IF(AND(X796="Reçu",ISNUMBER(R796)),IF(N(U796)&lt;=R796,1,0),"")</f>
        <v/>
      </c>
      <c r="AB796" s="76" t="str">
        <f>IF(OR(X796="Envoyé",X796="Partiel",X796="En retard"),IF(ISNUMBER(R796),R796,100000)+ROW()/100000,"")</f>
        <v/>
      </c>
      <c r="AC796" s="66" t="str">
        <f>IF(A796="","",IF(COUNTIF($A$6:A796,A796)=1,1,""))</f>
        <v/>
      </c>
      <c r="AD796" s="66" t="str">
        <f>IF(AC796=1,COUNT($AC$6:AC796),"")</f>
        <v/>
      </c>
      <c r="AE796" s="66" t="str">
        <f>IFERROR(INDEX(po_num,MATCH(791,po_seq,0))&amp;"","")</f>
        <v/>
      </c>
      <c r="AF796" s="66" t="str">
        <f>IF(OR(A796="",p_po=""),"",IF(A796&amp;""=p_po,COUNTIF($A$6:A796,A796),""))</f>
        <v/>
      </c>
      <c r="AG796" s="66" t="str">
        <f>IF(OR(AB796="",A796=""),"",IF(COUNTIFS($A$6:A796,A796,$AB$6:AB796,"&gt;0")=1,1,""))</f>
        <v/>
      </c>
      <c r="AH796" s="70" t="str">
        <f>IF(AB796="","",ROUND(N(W796)*N(J796)*(1-N(K796)),2))</f>
        <v/>
      </c>
      <c r="AI796" s="70" t="str">
        <f>IF(OR(J796="",N(T796)&lt;=0,V796="Oui"),"",ROUND(N(T796)*J796*(1-N(K796)),2))</f>
        <v/>
      </c>
    </row>
    <row r="797">
      <c r="A797" s="63" t="n"/>
      <c r="B797" s="64" t="n"/>
      <c r="C797" s="65" t="n"/>
      <c r="D797" s="66" t="str">
        <f>IF(C797="","",IFERROR(INDEX(sup_name,MATCH($C797,sup_code,0))&amp;"","Fournisseur inconnu"))</f>
        <v/>
      </c>
      <c r="E797" s="63" t="n"/>
      <c r="F797" s="66" t="str">
        <f>IF(E797="","",IFERROR(INDEX(art_des,MATCH($E797,art_ref,0))&amp;"","Article inconnu"))</f>
        <v/>
      </c>
      <c r="G797" s="67" t="str">
        <f>IF(E797="","",IFERROR(INDEX(art_unit,MATCH($E797,art_ref,0))&amp;"",""))</f>
        <v/>
      </c>
      <c r="H797" s="68" t="n"/>
      <c r="I797" s="69" t="n"/>
      <c r="J797" s="70" t="str">
        <f>IF(E797="","",IF(ISNUMBER(I797),I797,IFERROR(IF(ISNUMBER(INDEX(art_price,MATCH($E797,art_ref,0))),INDEX(art_price,MATCH($E797,art_ref,0)),""),"")))</f>
        <v/>
      </c>
      <c r="K797" s="71" t="n"/>
      <c r="L797" s="72" t="n"/>
      <c r="M797" s="72" t="str">
        <f>IF(E797="","",IF(L797&lt;&gt;"",L797,IFERROR(IF(ISNUMBER(INDEX(art_tva,MATCH($E797,art_ref,0))),INDEX(art_tva,MATCH($E797,art_ref,0)),""),"")))</f>
        <v/>
      </c>
      <c r="N797" s="70" t="str">
        <f>IF(OR(E797="",J797=""),"",ROUND(N(H797)*J797*(1-N(K797)),2))</f>
        <v/>
      </c>
      <c r="O797" s="70" t="str">
        <f>IF(OR(N797="",NOT(ISNUMBER(M797))),"",ROUND(N797*M797,2))</f>
        <v/>
      </c>
      <c r="P797" s="70" t="str">
        <f>IF(N797="","",N797+N(O797))</f>
        <v/>
      </c>
      <c r="Q797" s="64" t="n"/>
      <c r="R797" s="73" t="str">
        <f>IF(N(Q797)&gt;0,Q797,IF(OR(N(B797)=0,ISNA(MATCH($C797,sup_code,0))),"",IF(ISNUMBER(INDEX(sup_delay,MATCH($C797,sup_code,0))),B797+INDEX(sup_delay,MATCH($C797,sup_code,0)),"")))</f>
        <v/>
      </c>
      <c r="S797" s="64" t="n"/>
      <c r="T797" s="68" t="n"/>
      <c r="U797" s="64" t="n"/>
      <c r="V797" s="65" t="n"/>
      <c r="W797" s="74" t="str">
        <f>IF(AND(A797="",E797=""),"",IF(V797="Oui",0,MAX(0,ROUND(N(H797)-N(T797),6))))</f>
        <v/>
      </c>
      <c r="X797" s="67" t="str">
        <f>IF(AND(A797="",E797=""),"",IF(V797="Oui","Annulé",IF(AND(N(H797)&gt;0,N(T797)&gt;=N(H797)),"Reçu",IF(N(S797)=0,"Brouillon",IF(AND(ISNUMBER(R797),R797&lt;p_today),"En retard",IF(N(T797)&gt;0,"Partiel","Envoyé"))))))</f>
        <v/>
      </c>
      <c r="Y797" s="75" t="str">
        <f>IF(X797="En retard",p_today-R797,IF(AND(X797="Reçu",ISNUMBER(R797)),MAX(0,N(U797)-R797),""))</f>
        <v/>
      </c>
      <c r="Z797" s="67" t="str">
        <f>IF(AND(A797="",E797=""),"",IF(A797="","N° de bon manquant",IF(N(B797)=0,"Date de commande manquante",IF(C797="","Fournisseur manquant",IF(ISNA(MATCH($C797,sup_code,0)),"Fournisseur inconnu",IF(E797="","Article manquant",IF(ISNA(MATCH($E797,art_ref,0)),"Article inconnu",IF(N(H797)&lt;=0,"Quantité invalide",IF(J797="","Prix manquant",IF(OR(N(K797)&lt;0,N(K797)&gt;=1),"Remise invalide",IF(M797="","TVA manquante",IF(ISNA(MATCH(M797,p_tva,0)),"Taux de TVA inconnu",IF(COUNTIFS(po_num,A797,po_sup,"&lt;&gt;"&amp;C797)&gt;0,"Fournisseur différent sur ce bon",IF(COUNTIFS(po_num,A797,po_date,"&lt;&gt;"&amp;B797)&gt;0,"Date différente sur ce bon",IF(COUNTIF(po_num,A797)&gt;25,"Plus de 25 lignes sur ce bon",IF(R797="","Date de livraison manquante",IF(R797&lt;B797,"Livraison avant la commande",IF(AND(N(T797)&gt;0,N(S797)=0),"Date d'envoi manquante",IF(N(T797)&gt;N(H797),"Reçu plus que commandé",IF(AND(N(T797)&gt;0,N(U797)=0),"Date de réception manquante",IF(AND(N(U797)&gt;0,U797&lt;B797),"Réception avant la commande","OK")))))))))))))))))))))</f>
        <v/>
      </c>
      <c r="AA797" s="66" t="str">
        <f>IF(AND(X797="Reçu",ISNUMBER(R797)),IF(N(U797)&lt;=R797,1,0),"")</f>
        <v/>
      </c>
      <c r="AB797" s="76" t="str">
        <f>IF(OR(X797="Envoyé",X797="Partiel",X797="En retard"),IF(ISNUMBER(R797),R797,100000)+ROW()/100000,"")</f>
        <v/>
      </c>
      <c r="AC797" s="66" t="str">
        <f>IF(A797="","",IF(COUNTIF($A$6:A797,A797)=1,1,""))</f>
        <v/>
      </c>
      <c r="AD797" s="66" t="str">
        <f>IF(AC797=1,COUNT($AC$6:AC797),"")</f>
        <v/>
      </c>
      <c r="AE797" s="66" t="str">
        <f>IFERROR(INDEX(po_num,MATCH(792,po_seq,0))&amp;"","")</f>
        <v/>
      </c>
      <c r="AF797" s="66" t="str">
        <f>IF(OR(A797="",p_po=""),"",IF(A797&amp;""=p_po,COUNTIF($A$6:A797,A797),""))</f>
        <v/>
      </c>
      <c r="AG797" s="66" t="str">
        <f>IF(OR(AB797="",A797=""),"",IF(COUNTIFS($A$6:A797,A797,$AB$6:AB797,"&gt;0")=1,1,""))</f>
        <v/>
      </c>
      <c r="AH797" s="70" t="str">
        <f>IF(AB797="","",ROUND(N(W797)*N(J797)*(1-N(K797)),2))</f>
        <v/>
      </c>
      <c r="AI797" s="70" t="str">
        <f>IF(OR(J797="",N(T797)&lt;=0,V797="Oui"),"",ROUND(N(T797)*J797*(1-N(K797)),2))</f>
        <v/>
      </c>
    </row>
    <row r="798">
      <c r="A798" s="63" t="n"/>
      <c r="B798" s="64" t="n"/>
      <c r="C798" s="65" t="n"/>
      <c r="D798" s="66" t="str">
        <f>IF(C798="","",IFERROR(INDEX(sup_name,MATCH($C798,sup_code,0))&amp;"","Fournisseur inconnu"))</f>
        <v/>
      </c>
      <c r="E798" s="63" t="n"/>
      <c r="F798" s="66" t="str">
        <f>IF(E798="","",IFERROR(INDEX(art_des,MATCH($E798,art_ref,0))&amp;"","Article inconnu"))</f>
        <v/>
      </c>
      <c r="G798" s="67" t="str">
        <f>IF(E798="","",IFERROR(INDEX(art_unit,MATCH($E798,art_ref,0))&amp;"",""))</f>
        <v/>
      </c>
      <c r="H798" s="68" t="n"/>
      <c r="I798" s="69" t="n"/>
      <c r="J798" s="70" t="str">
        <f>IF(E798="","",IF(ISNUMBER(I798),I798,IFERROR(IF(ISNUMBER(INDEX(art_price,MATCH($E798,art_ref,0))),INDEX(art_price,MATCH($E798,art_ref,0)),""),"")))</f>
        <v/>
      </c>
      <c r="K798" s="71" t="n"/>
      <c r="L798" s="72" t="n"/>
      <c r="M798" s="72" t="str">
        <f>IF(E798="","",IF(L798&lt;&gt;"",L798,IFERROR(IF(ISNUMBER(INDEX(art_tva,MATCH($E798,art_ref,0))),INDEX(art_tva,MATCH($E798,art_ref,0)),""),"")))</f>
        <v/>
      </c>
      <c r="N798" s="70" t="str">
        <f>IF(OR(E798="",J798=""),"",ROUND(N(H798)*J798*(1-N(K798)),2))</f>
        <v/>
      </c>
      <c r="O798" s="70" t="str">
        <f>IF(OR(N798="",NOT(ISNUMBER(M798))),"",ROUND(N798*M798,2))</f>
        <v/>
      </c>
      <c r="P798" s="70" t="str">
        <f>IF(N798="","",N798+N(O798))</f>
        <v/>
      </c>
      <c r="Q798" s="64" t="n"/>
      <c r="R798" s="73" t="str">
        <f>IF(N(Q798)&gt;0,Q798,IF(OR(N(B798)=0,ISNA(MATCH($C798,sup_code,0))),"",IF(ISNUMBER(INDEX(sup_delay,MATCH($C798,sup_code,0))),B798+INDEX(sup_delay,MATCH($C798,sup_code,0)),"")))</f>
        <v/>
      </c>
      <c r="S798" s="64" t="n"/>
      <c r="T798" s="68" t="n"/>
      <c r="U798" s="64" t="n"/>
      <c r="V798" s="65" t="n"/>
      <c r="W798" s="74" t="str">
        <f>IF(AND(A798="",E798=""),"",IF(V798="Oui",0,MAX(0,ROUND(N(H798)-N(T798),6))))</f>
        <v/>
      </c>
      <c r="X798" s="67" t="str">
        <f>IF(AND(A798="",E798=""),"",IF(V798="Oui","Annulé",IF(AND(N(H798)&gt;0,N(T798)&gt;=N(H798)),"Reçu",IF(N(S798)=0,"Brouillon",IF(AND(ISNUMBER(R798),R798&lt;p_today),"En retard",IF(N(T798)&gt;0,"Partiel","Envoyé"))))))</f>
        <v/>
      </c>
      <c r="Y798" s="75" t="str">
        <f>IF(X798="En retard",p_today-R798,IF(AND(X798="Reçu",ISNUMBER(R798)),MAX(0,N(U798)-R798),""))</f>
        <v/>
      </c>
      <c r="Z798" s="67" t="str">
        <f>IF(AND(A798="",E798=""),"",IF(A798="","N° de bon manquant",IF(N(B798)=0,"Date de commande manquante",IF(C798="","Fournisseur manquant",IF(ISNA(MATCH($C798,sup_code,0)),"Fournisseur inconnu",IF(E798="","Article manquant",IF(ISNA(MATCH($E798,art_ref,0)),"Article inconnu",IF(N(H798)&lt;=0,"Quantité invalide",IF(J798="","Prix manquant",IF(OR(N(K798)&lt;0,N(K798)&gt;=1),"Remise invalide",IF(M798="","TVA manquante",IF(ISNA(MATCH(M798,p_tva,0)),"Taux de TVA inconnu",IF(COUNTIFS(po_num,A798,po_sup,"&lt;&gt;"&amp;C798)&gt;0,"Fournisseur différent sur ce bon",IF(COUNTIFS(po_num,A798,po_date,"&lt;&gt;"&amp;B798)&gt;0,"Date différente sur ce bon",IF(COUNTIF(po_num,A798)&gt;25,"Plus de 25 lignes sur ce bon",IF(R798="","Date de livraison manquante",IF(R798&lt;B798,"Livraison avant la commande",IF(AND(N(T798)&gt;0,N(S798)=0),"Date d'envoi manquante",IF(N(T798)&gt;N(H798),"Reçu plus que commandé",IF(AND(N(T798)&gt;0,N(U798)=0),"Date de réception manquante",IF(AND(N(U798)&gt;0,U798&lt;B798),"Réception avant la commande","OK")))))))))))))))))))))</f>
        <v/>
      </c>
      <c r="AA798" s="66" t="str">
        <f>IF(AND(X798="Reçu",ISNUMBER(R798)),IF(N(U798)&lt;=R798,1,0),"")</f>
        <v/>
      </c>
      <c r="AB798" s="76" t="str">
        <f>IF(OR(X798="Envoyé",X798="Partiel",X798="En retard"),IF(ISNUMBER(R798),R798,100000)+ROW()/100000,"")</f>
        <v/>
      </c>
      <c r="AC798" s="66" t="str">
        <f>IF(A798="","",IF(COUNTIF($A$6:A798,A798)=1,1,""))</f>
        <v/>
      </c>
      <c r="AD798" s="66" t="str">
        <f>IF(AC798=1,COUNT($AC$6:AC798),"")</f>
        <v/>
      </c>
      <c r="AE798" s="66" t="str">
        <f>IFERROR(INDEX(po_num,MATCH(793,po_seq,0))&amp;"","")</f>
        <v/>
      </c>
      <c r="AF798" s="66" t="str">
        <f>IF(OR(A798="",p_po=""),"",IF(A798&amp;""=p_po,COUNTIF($A$6:A798,A798),""))</f>
        <v/>
      </c>
      <c r="AG798" s="66" t="str">
        <f>IF(OR(AB798="",A798=""),"",IF(COUNTIFS($A$6:A798,A798,$AB$6:AB798,"&gt;0")=1,1,""))</f>
        <v/>
      </c>
      <c r="AH798" s="70" t="str">
        <f>IF(AB798="","",ROUND(N(W798)*N(J798)*(1-N(K798)),2))</f>
        <v/>
      </c>
      <c r="AI798" s="70" t="str">
        <f>IF(OR(J798="",N(T798)&lt;=0,V798="Oui"),"",ROUND(N(T798)*J798*(1-N(K798)),2))</f>
        <v/>
      </c>
    </row>
    <row r="799">
      <c r="A799" s="63" t="n"/>
      <c r="B799" s="64" t="n"/>
      <c r="C799" s="65" t="n"/>
      <c r="D799" s="66" t="str">
        <f>IF(C799="","",IFERROR(INDEX(sup_name,MATCH($C799,sup_code,0))&amp;"","Fournisseur inconnu"))</f>
        <v/>
      </c>
      <c r="E799" s="63" t="n"/>
      <c r="F799" s="66" t="str">
        <f>IF(E799="","",IFERROR(INDEX(art_des,MATCH($E799,art_ref,0))&amp;"","Article inconnu"))</f>
        <v/>
      </c>
      <c r="G799" s="67" t="str">
        <f>IF(E799="","",IFERROR(INDEX(art_unit,MATCH($E799,art_ref,0))&amp;"",""))</f>
        <v/>
      </c>
      <c r="H799" s="68" t="n"/>
      <c r="I799" s="69" t="n"/>
      <c r="J799" s="70" t="str">
        <f>IF(E799="","",IF(ISNUMBER(I799),I799,IFERROR(IF(ISNUMBER(INDEX(art_price,MATCH($E799,art_ref,0))),INDEX(art_price,MATCH($E799,art_ref,0)),""),"")))</f>
        <v/>
      </c>
      <c r="K799" s="71" t="n"/>
      <c r="L799" s="72" t="n"/>
      <c r="M799" s="72" t="str">
        <f>IF(E799="","",IF(L799&lt;&gt;"",L799,IFERROR(IF(ISNUMBER(INDEX(art_tva,MATCH($E799,art_ref,0))),INDEX(art_tva,MATCH($E799,art_ref,0)),""),"")))</f>
        <v/>
      </c>
      <c r="N799" s="70" t="str">
        <f>IF(OR(E799="",J799=""),"",ROUND(N(H799)*J799*(1-N(K799)),2))</f>
        <v/>
      </c>
      <c r="O799" s="70" t="str">
        <f>IF(OR(N799="",NOT(ISNUMBER(M799))),"",ROUND(N799*M799,2))</f>
        <v/>
      </c>
      <c r="P799" s="70" t="str">
        <f>IF(N799="","",N799+N(O799))</f>
        <v/>
      </c>
      <c r="Q799" s="64" t="n"/>
      <c r="R799" s="73" t="str">
        <f>IF(N(Q799)&gt;0,Q799,IF(OR(N(B799)=0,ISNA(MATCH($C799,sup_code,0))),"",IF(ISNUMBER(INDEX(sup_delay,MATCH($C799,sup_code,0))),B799+INDEX(sup_delay,MATCH($C799,sup_code,0)),"")))</f>
        <v/>
      </c>
      <c r="S799" s="64" t="n"/>
      <c r="T799" s="68" t="n"/>
      <c r="U799" s="64" t="n"/>
      <c r="V799" s="65" t="n"/>
      <c r="W799" s="74" t="str">
        <f>IF(AND(A799="",E799=""),"",IF(V799="Oui",0,MAX(0,ROUND(N(H799)-N(T799),6))))</f>
        <v/>
      </c>
      <c r="X799" s="67" t="str">
        <f>IF(AND(A799="",E799=""),"",IF(V799="Oui","Annulé",IF(AND(N(H799)&gt;0,N(T799)&gt;=N(H799)),"Reçu",IF(N(S799)=0,"Brouillon",IF(AND(ISNUMBER(R799),R799&lt;p_today),"En retard",IF(N(T799)&gt;0,"Partiel","Envoyé"))))))</f>
        <v/>
      </c>
      <c r="Y799" s="75" t="str">
        <f>IF(X799="En retard",p_today-R799,IF(AND(X799="Reçu",ISNUMBER(R799)),MAX(0,N(U799)-R799),""))</f>
        <v/>
      </c>
      <c r="Z799" s="67" t="str">
        <f>IF(AND(A799="",E799=""),"",IF(A799="","N° de bon manquant",IF(N(B799)=0,"Date de commande manquante",IF(C799="","Fournisseur manquant",IF(ISNA(MATCH($C799,sup_code,0)),"Fournisseur inconnu",IF(E799="","Article manquant",IF(ISNA(MATCH($E799,art_ref,0)),"Article inconnu",IF(N(H799)&lt;=0,"Quantité invalide",IF(J799="","Prix manquant",IF(OR(N(K799)&lt;0,N(K799)&gt;=1),"Remise invalide",IF(M799="","TVA manquante",IF(ISNA(MATCH(M799,p_tva,0)),"Taux de TVA inconnu",IF(COUNTIFS(po_num,A799,po_sup,"&lt;&gt;"&amp;C799)&gt;0,"Fournisseur différent sur ce bon",IF(COUNTIFS(po_num,A799,po_date,"&lt;&gt;"&amp;B799)&gt;0,"Date différente sur ce bon",IF(COUNTIF(po_num,A799)&gt;25,"Plus de 25 lignes sur ce bon",IF(R799="","Date de livraison manquante",IF(R799&lt;B799,"Livraison avant la commande",IF(AND(N(T799)&gt;0,N(S799)=0),"Date d'envoi manquante",IF(N(T799)&gt;N(H799),"Reçu plus que commandé",IF(AND(N(T799)&gt;0,N(U799)=0),"Date de réception manquante",IF(AND(N(U799)&gt;0,U799&lt;B799),"Réception avant la commande","OK")))))))))))))))))))))</f>
        <v/>
      </c>
      <c r="AA799" s="66" t="str">
        <f>IF(AND(X799="Reçu",ISNUMBER(R799)),IF(N(U799)&lt;=R799,1,0),"")</f>
        <v/>
      </c>
      <c r="AB799" s="76" t="str">
        <f>IF(OR(X799="Envoyé",X799="Partiel",X799="En retard"),IF(ISNUMBER(R799),R799,100000)+ROW()/100000,"")</f>
        <v/>
      </c>
      <c r="AC799" s="66" t="str">
        <f>IF(A799="","",IF(COUNTIF($A$6:A799,A799)=1,1,""))</f>
        <v/>
      </c>
      <c r="AD799" s="66" t="str">
        <f>IF(AC799=1,COUNT($AC$6:AC799),"")</f>
        <v/>
      </c>
      <c r="AE799" s="66" t="str">
        <f>IFERROR(INDEX(po_num,MATCH(794,po_seq,0))&amp;"","")</f>
        <v/>
      </c>
      <c r="AF799" s="66" t="str">
        <f>IF(OR(A799="",p_po=""),"",IF(A799&amp;""=p_po,COUNTIF($A$6:A799,A799),""))</f>
        <v/>
      </c>
      <c r="AG799" s="66" t="str">
        <f>IF(OR(AB799="",A799=""),"",IF(COUNTIFS($A$6:A799,A799,$AB$6:AB799,"&gt;0")=1,1,""))</f>
        <v/>
      </c>
      <c r="AH799" s="70" t="str">
        <f>IF(AB799="","",ROUND(N(W799)*N(J799)*(1-N(K799)),2))</f>
        <v/>
      </c>
      <c r="AI799" s="70" t="str">
        <f>IF(OR(J799="",N(T799)&lt;=0,V799="Oui"),"",ROUND(N(T799)*J799*(1-N(K799)),2))</f>
        <v/>
      </c>
    </row>
    <row r="800">
      <c r="A800" s="63" t="n"/>
      <c r="B800" s="64" t="n"/>
      <c r="C800" s="65" t="n"/>
      <c r="D800" s="66" t="str">
        <f>IF(C800="","",IFERROR(INDEX(sup_name,MATCH($C800,sup_code,0))&amp;"","Fournisseur inconnu"))</f>
        <v/>
      </c>
      <c r="E800" s="63" t="n"/>
      <c r="F800" s="66" t="str">
        <f>IF(E800="","",IFERROR(INDEX(art_des,MATCH($E800,art_ref,0))&amp;"","Article inconnu"))</f>
        <v/>
      </c>
      <c r="G800" s="67" t="str">
        <f>IF(E800="","",IFERROR(INDEX(art_unit,MATCH($E800,art_ref,0))&amp;"",""))</f>
        <v/>
      </c>
      <c r="H800" s="68" t="n"/>
      <c r="I800" s="69" t="n"/>
      <c r="J800" s="70" t="str">
        <f>IF(E800="","",IF(ISNUMBER(I800),I800,IFERROR(IF(ISNUMBER(INDEX(art_price,MATCH($E800,art_ref,0))),INDEX(art_price,MATCH($E800,art_ref,0)),""),"")))</f>
        <v/>
      </c>
      <c r="K800" s="71" t="n"/>
      <c r="L800" s="72" t="n"/>
      <c r="M800" s="72" t="str">
        <f>IF(E800="","",IF(L800&lt;&gt;"",L800,IFERROR(IF(ISNUMBER(INDEX(art_tva,MATCH($E800,art_ref,0))),INDEX(art_tva,MATCH($E800,art_ref,0)),""),"")))</f>
        <v/>
      </c>
      <c r="N800" s="70" t="str">
        <f>IF(OR(E800="",J800=""),"",ROUND(N(H800)*J800*(1-N(K800)),2))</f>
        <v/>
      </c>
      <c r="O800" s="70" t="str">
        <f>IF(OR(N800="",NOT(ISNUMBER(M800))),"",ROUND(N800*M800,2))</f>
        <v/>
      </c>
      <c r="P800" s="70" t="str">
        <f>IF(N800="","",N800+N(O800))</f>
        <v/>
      </c>
      <c r="Q800" s="64" t="n"/>
      <c r="R800" s="73" t="str">
        <f>IF(N(Q800)&gt;0,Q800,IF(OR(N(B800)=0,ISNA(MATCH($C800,sup_code,0))),"",IF(ISNUMBER(INDEX(sup_delay,MATCH($C800,sup_code,0))),B800+INDEX(sup_delay,MATCH($C800,sup_code,0)),"")))</f>
        <v/>
      </c>
      <c r="S800" s="64" t="n"/>
      <c r="T800" s="68" t="n"/>
      <c r="U800" s="64" t="n"/>
      <c r="V800" s="65" t="n"/>
      <c r="W800" s="74" t="str">
        <f>IF(AND(A800="",E800=""),"",IF(V800="Oui",0,MAX(0,ROUND(N(H800)-N(T800),6))))</f>
        <v/>
      </c>
      <c r="X800" s="67" t="str">
        <f>IF(AND(A800="",E800=""),"",IF(V800="Oui","Annulé",IF(AND(N(H800)&gt;0,N(T800)&gt;=N(H800)),"Reçu",IF(N(S800)=0,"Brouillon",IF(AND(ISNUMBER(R800),R800&lt;p_today),"En retard",IF(N(T800)&gt;0,"Partiel","Envoyé"))))))</f>
        <v/>
      </c>
      <c r="Y800" s="75" t="str">
        <f>IF(X800="En retard",p_today-R800,IF(AND(X800="Reçu",ISNUMBER(R800)),MAX(0,N(U800)-R800),""))</f>
        <v/>
      </c>
      <c r="Z800" s="67" t="str">
        <f>IF(AND(A800="",E800=""),"",IF(A800="","N° de bon manquant",IF(N(B800)=0,"Date de commande manquante",IF(C800="","Fournisseur manquant",IF(ISNA(MATCH($C800,sup_code,0)),"Fournisseur inconnu",IF(E800="","Article manquant",IF(ISNA(MATCH($E800,art_ref,0)),"Article inconnu",IF(N(H800)&lt;=0,"Quantité invalide",IF(J800="","Prix manquant",IF(OR(N(K800)&lt;0,N(K800)&gt;=1),"Remise invalide",IF(M800="","TVA manquante",IF(ISNA(MATCH(M800,p_tva,0)),"Taux de TVA inconnu",IF(COUNTIFS(po_num,A800,po_sup,"&lt;&gt;"&amp;C800)&gt;0,"Fournisseur différent sur ce bon",IF(COUNTIFS(po_num,A800,po_date,"&lt;&gt;"&amp;B800)&gt;0,"Date différente sur ce bon",IF(COUNTIF(po_num,A800)&gt;25,"Plus de 25 lignes sur ce bon",IF(R800="","Date de livraison manquante",IF(R800&lt;B800,"Livraison avant la commande",IF(AND(N(T800)&gt;0,N(S800)=0),"Date d'envoi manquante",IF(N(T800)&gt;N(H800),"Reçu plus que commandé",IF(AND(N(T800)&gt;0,N(U800)=0),"Date de réception manquante",IF(AND(N(U800)&gt;0,U800&lt;B800),"Réception avant la commande","OK")))))))))))))))))))))</f>
        <v/>
      </c>
      <c r="AA800" s="66" t="str">
        <f>IF(AND(X800="Reçu",ISNUMBER(R800)),IF(N(U800)&lt;=R800,1,0),"")</f>
        <v/>
      </c>
      <c r="AB800" s="76" t="str">
        <f>IF(OR(X800="Envoyé",X800="Partiel",X800="En retard"),IF(ISNUMBER(R800),R800,100000)+ROW()/100000,"")</f>
        <v/>
      </c>
      <c r="AC800" s="66" t="str">
        <f>IF(A800="","",IF(COUNTIF($A$6:A800,A800)=1,1,""))</f>
        <v/>
      </c>
      <c r="AD800" s="66" t="str">
        <f>IF(AC800=1,COUNT($AC$6:AC800),"")</f>
        <v/>
      </c>
      <c r="AE800" s="66" t="str">
        <f>IFERROR(INDEX(po_num,MATCH(795,po_seq,0))&amp;"","")</f>
        <v/>
      </c>
      <c r="AF800" s="66" t="str">
        <f>IF(OR(A800="",p_po=""),"",IF(A800&amp;""=p_po,COUNTIF($A$6:A800,A800),""))</f>
        <v/>
      </c>
      <c r="AG800" s="66" t="str">
        <f>IF(OR(AB800="",A800=""),"",IF(COUNTIFS($A$6:A800,A800,$AB$6:AB800,"&gt;0")=1,1,""))</f>
        <v/>
      </c>
      <c r="AH800" s="70" t="str">
        <f>IF(AB800="","",ROUND(N(W800)*N(J800)*(1-N(K800)),2))</f>
        <v/>
      </c>
      <c r="AI800" s="70" t="str">
        <f>IF(OR(J800="",N(T800)&lt;=0,V800="Oui"),"",ROUND(N(T800)*J800*(1-N(K800)),2))</f>
        <v/>
      </c>
    </row>
    <row r="801">
      <c r="A801" s="63" t="n"/>
      <c r="B801" s="64" t="n"/>
      <c r="C801" s="65" t="n"/>
      <c r="D801" s="66" t="str">
        <f>IF(C801="","",IFERROR(INDEX(sup_name,MATCH($C801,sup_code,0))&amp;"","Fournisseur inconnu"))</f>
        <v/>
      </c>
      <c r="E801" s="63" t="n"/>
      <c r="F801" s="66" t="str">
        <f>IF(E801="","",IFERROR(INDEX(art_des,MATCH($E801,art_ref,0))&amp;"","Article inconnu"))</f>
        <v/>
      </c>
      <c r="G801" s="67" t="str">
        <f>IF(E801="","",IFERROR(INDEX(art_unit,MATCH($E801,art_ref,0))&amp;"",""))</f>
        <v/>
      </c>
      <c r="H801" s="68" t="n"/>
      <c r="I801" s="69" t="n"/>
      <c r="J801" s="70" t="str">
        <f>IF(E801="","",IF(ISNUMBER(I801),I801,IFERROR(IF(ISNUMBER(INDEX(art_price,MATCH($E801,art_ref,0))),INDEX(art_price,MATCH($E801,art_ref,0)),""),"")))</f>
        <v/>
      </c>
      <c r="K801" s="71" t="n"/>
      <c r="L801" s="72" t="n"/>
      <c r="M801" s="72" t="str">
        <f>IF(E801="","",IF(L801&lt;&gt;"",L801,IFERROR(IF(ISNUMBER(INDEX(art_tva,MATCH($E801,art_ref,0))),INDEX(art_tva,MATCH($E801,art_ref,0)),""),"")))</f>
        <v/>
      </c>
      <c r="N801" s="70" t="str">
        <f>IF(OR(E801="",J801=""),"",ROUND(N(H801)*J801*(1-N(K801)),2))</f>
        <v/>
      </c>
      <c r="O801" s="70" t="str">
        <f>IF(OR(N801="",NOT(ISNUMBER(M801))),"",ROUND(N801*M801,2))</f>
        <v/>
      </c>
      <c r="P801" s="70" t="str">
        <f>IF(N801="","",N801+N(O801))</f>
        <v/>
      </c>
      <c r="Q801" s="64" t="n"/>
      <c r="R801" s="73" t="str">
        <f>IF(N(Q801)&gt;0,Q801,IF(OR(N(B801)=0,ISNA(MATCH($C801,sup_code,0))),"",IF(ISNUMBER(INDEX(sup_delay,MATCH($C801,sup_code,0))),B801+INDEX(sup_delay,MATCH($C801,sup_code,0)),"")))</f>
        <v/>
      </c>
      <c r="S801" s="64" t="n"/>
      <c r="T801" s="68" t="n"/>
      <c r="U801" s="64" t="n"/>
      <c r="V801" s="65" t="n"/>
      <c r="W801" s="74" t="str">
        <f>IF(AND(A801="",E801=""),"",IF(V801="Oui",0,MAX(0,ROUND(N(H801)-N(T801),6))))</f>
        <v/>
      </c>
      <c r="X801" s="67" t="str">
        <f>IF(AND(A801="",E801=""),"",IF(V801="Oui","Annulé",IF(AND(N(H801)&gt;0,N(T801)&gt;=N(H801)),"Reçu",IF(N(S801)=0,"Brouillon",IF(AND(ISNUMBER(R801),R801&lt;p_today),"En retard",IF(N(T801)&gt;0,"Partiel","Envoyé"))))))</f>
        <v/>
      </c>
      <c r="Y801" s="75" t="str">
        <f>IF(X801="En retard",p_today-R801,IF(AND(X801="Reçu",ISNUMBER(R801)),MAX(0,N(U801)-R801),""))</f>
        <v/>
      </c>
      <c r="Z801" s="67" t="str">
        <f>IF(AND(A801="",E801=""),"",IF(A801="","N° de bon manquant",IF(N(B801)=0,"Date de commande manquante",IF(C801="","Fournisseur manquant",IF(ISNA(MATCH($C801,sup_code,0)),"Fournisseur inconnu",IF(E801="","Article manquant",IF(ISNA(MATCH($E801,art_ref,0)),"Article inconnu",IF(N(H801)&lt;=0,"Quantité invalide",IF(J801="","Prix manquant",IF(OR(N(K801)&lt;0,N(K801)&gt;=1),"Remise invalide",IF(M801="","TVA manquante",IF(ISNA(MATCH(M801,p_tva,0)),"Taux de TVA inconnu",IF(COUNTIFS(po_num,A801,po_sup,"&lt;&gt;"&amp;C801)&gt;0,"Fournisseur différent sur ce bon",IF(COUNTIFS(po_num,A801,po_date,"&lt;&gt;"&amp;B801)&gt;0,"Date différente sur ce bon",IF(COUNTIF(po_num,A801)&gt;25,"Plus de 25 lignes sur ce bon",IF(R801="","Date de livraison manquante",IF(R801&lt;B801,"Livraison avant la commande",IF(AND(N(T801)&gt;0,N(S801)=0),"Date d'envoi manquante",IF(N(T801)&gt;N(H801),"Reçu plus que commandé",IF(AND(N(T801)&gt;0,N(U801)=0),"Date de réception manquante",IF(AND(N(U801)&gt;0,U801&lt;B801),"Réception avant la commande","OK")))))))))))))))))))))</f>
        <v/>
      </c>
      <c r="AA801" s="66" t="str">
        <f>IF(AND(X801="Reçu",ISNUMBER(R801)),IF(N(U801)&lt;=R801,1,0),"")</f>
        <v/>
      </c>
      <c r="AB801" s="76" t="str">
        <f>IF(OR(X801="Envoyé",X801="Partiel",X801="En retard"),IF(ISNUMBER(R801),R801,100000)+ROW()/100000,"")</f>
        <v/>
      </c>
      <c r="AC801" s="66" t="str">
        <f>IF(A801="","",IF(COUNTIF($A$6:A801,A801)=1,1,""))</f>
        <v/>
      </c>
      <c r="AD801" s="66" t="str">
        <f>IF(AC801=1,COUNT($AC$6:AC801),"")</f>
        <v/>
      </c>
      <c r="AE801" s="66" t="str">
        <f>IFERROR(INDEX(po_num,MATCH(796,po_seq,0))&amp;"","")</f>
        <v/>
      </c>
      <c r="AF801" s="66" t="str">
        <f>IF(OR(A801="",p_po=""),"",IF(A801&amp;""=p_po,COUNTIF($A$6:A801,A801),""))</f>
        <v/>
      </c>
      <c r="AG801" s="66" t="str">
        <f>IF(OR(AB801="",A801=""),"",IF(COUNTIFS($A$6:A801,A801,$AB$6:AB801,"&gt;0")=1,1,""))</f>
        <v/>
      </c>
      <c r="AH801" s="70" t="str">
        <f>IF(AB801="","",ROUND(N(W801)*N(J801)*(1-N(K801)),2))</f>
        <v/>
      </c>
      <c r="AI801" s="70" t="str">
        <f>IF(OR(J801="",N(T801)&lt;=0,V801="Oui"),"",ROUND(N(T801)*J801*(1-N(K801)),2))</f>
        <v/>
      </c>
    </row>
    <row r="802">
      <c r="A802" s="63" t="n"/>
      <c r="B802" s="64" t="n"/>
      <c r="C802" s="65" t="n"/>
      <c r="D802" s="66" t="str">
        <f>IF(C802="","",IFERROR(INDEX(sup_name,MATCH($C802,sup_code,0))&amp;"","Fournisseur inconnu"))</f>
        <v/>
      </c>
      <c r="E802" s="63" t="n"/>
      <c r="F802" s="66" t="str">
        <f>IF(E802="","",IFERROR(INDEX(art_des,MATCH($E802,art_ref,0))&amp;"","Article inconnu"))</f>
        <v/>
      </c>
      <c r="G802" s="67" t="str">
        <f>IF(E802="","",IFERROR(INDEX(art_unit,MATCH($E802,art_ref,0))&amp;"",""))</f>
        <v/>
      </c>
      <c r="H802" s="68" t="n"/>
      <c r="I802" s="69" t="n"/>
      <c r="J802" s="70" t="str">
        <f>IF(E802="","",IF(ISNUMBER(I802),I802,IFERROR(IF(ISNUMBER(INDEX(art_price,MATCH($E802,art_ref,0))),INDEX(art_price,MATCH($E802,art_ref,0)),""),"")))</f>
        <v/>
      </c>
      <c r="K802" s="71" t="n"/>
      <c r="L802" s="72" t="n"/>
      <c r="M802" s="72" t="str">
        <f>IF(E802="","",IF(L802&lt;&gt;"",L802,IFERROR(IF(ISNUMBER(INDEX(art_tva,MATCH($E802,art_ref,0))),INDEX(art_tva,MATCH($E802,art_ref,0)),""),"")))</f>
        <v/>
      </c>
      <c r="N802" s="70" t="str">
        <f>IF(OR(E802="",J802=""),"",ROUND(N(H802)*J802*(1-N(K802)),2))</f>
        <v/>
      </c>
      <c r="O802" s="70" t="str">
        <f>IF(OR(N802="",NOT(ISNUMBER(M802))),"",ROUND(N802*M802,2))</f>
        <v/>
      </c>
      <c r="P802" s="70" t="str">
        <f>IF(N802="","",N802+N(O802))</f>
        <v/>
      </c>
      <c r="Q802" s="64" t="n"/>
      <c r="R802" s="73" t="str">
        <f>IF(N(Q802)&gt;0,Q802,IF(OR(N(B802)=0,ISNA(MATCH($C802,sup_code,0))),"",IF(ISNUMBER(INDEX(sup_delay,MATCH($C802,sup_code,0))),B802+INDEX(sup_delay,MATCH($C802,sup_code,0)),"")))</f>
        <v/>
      </c>
      <c r="S802" s="64" t="n"/>
      <c r="T802" s="68" t="n"/>
      <c r="U802" s="64" t="n"/>
      <c r="V802" s="65" t="n"/>
      <c r="W802" s="74" t="str">
        <f>IF(AND(A802="",E802=""),"",IF(V802="Oui",0,MAX(0,ROUND(N(H802)-N(T802),6))))</f>
        <v/>
      </c>
      <c r="X802" s="67" t="str">
        <f>IF(AND(A802="",E802=""),"",IF(V802="Oui","Annulé",IF(AND(N(H802)&gt;0,N(T802)&gt;=N(H802)),"Reçu",IF(N(S802)=0,"Brouillon",IF(AND(ISNUMBER(R802),R802&lt;p_today),"En retard",IF(N(T802)&gt;0,"Partiel","Envoyé"))))))</f>
        <v/>
      </c>
      <c r="Y802" s="75" t="str">
        <f>IF(X802="En retard",p_today-R802,IF(AND(X802="Reçu",ISNUMBER(R802)),MAX(0,N(U802)-R802),""))</f>
        <v/>
      </c>
      <c r="Z802" s="67" t="str">
        <f>IF(AND(A802="",E802=""),"",IF(A802="","N° de bon manquant",IF(N(B802)=0,"Date de commande manquante",IF(C802="","Fournisseur manquant",IF(ISNA(MATCH($C802,sup_code,0)),"Fournisseur inconnu",IF(E802="","Article manquant",IF(ISNA(MATCH($E802,art_ref,0)),"Article inconnu",IF(N(H802)&lt;=0,"Quantité invalide",IF(J802="","Prix manquant",IF(OR(N(K802)&lt;0,N(K802)&gt;=1),"Remise invalide",IF(M802="","TVA manquante",IF(ISNA(MATCH(M802,p_tva,0)),"Taux de TVA inconnu",IF(COUNTIFS(po_num,A802,po_sup,"&lt;&gt;"&amp;C802)&gt;0,"Fournisseur différent sur ce bon",IF(COUNTIFS(po_num,A802,po_date,"&lt;&gt;"&amp;B802)&gt;0,"Date différente sur ce bon",IF(COUNTIF(po_num,A802)&gt;25,"Plus de 25 lignes sur ce bon",IF(R802="","Date de livraison manquante",IF(R802&lt;B802,"Livraison avant la commande",IF(AND(N(T802)&gt;0,N(S802)=0),"Date d'envoi manquante",IF(N(T802)&gt;N(H802),"Reçu plus que commandé",IF(AND(N(T802)&gt;0,N(U802)=0),"Date de réception manquante",IF(AND(N(U802)&gt;0,U802&lt;B802),"Réception avant la commande","OK")))))))))))))))))))))</f>
        <v/>
      </c>
      <c r="AA802" s="66" t="str">
        <f>IF(AND(X802="Reçu",ISNUMBER(R802)),IF(N(U802)&lt;=R802,1,0),"")</f>
        <v/>
      </c>
      <c r="AB802" s="76" t="str">
        <f>IF(OR(X802="Envoyé",X802="Partiel",X802="En retard"),IF(ISNUMBER(R802),R802,100000)+ROW()/100000,"")</f>
        <v/>
      </c>
      <c r="AC802" s="66" t="str">
        <f>IF(A802="","",IF(COUNTIF($A$6:A802,A802)=1,1,""))</f>
        <v/>
      </c>
      <c r="AD802" s="66" t="str">
        <f>IF(AC802=1,COUNT($AC$6:AC802),"")</f>
        <v/>
      </c>
      <c r="AE802" s="66" t="str">
        <f>IFERROR(INDEX(po_num,MATCH(797,po_seq,0))&amp;"","")</f>
        <v/>
      </c>
      <c r="AF802" s="66" t="str">
        <f>IF(OR(A802="",p_po=""),"",IF(A802&amp;""=p_po,COUNTIF($A$6:A802,A802),""))</f>
        <v/>
      </c>
      <c r="AG802" s="66" t="str">
        <f>IF(OR(AB802="",A802=""),"",IF(COUNTIFS($A$6:A802,A802,$AB$6:AB802,"&gt;0")=1,1,""))</f>
        <v/>
      </c>
      <c r="AH802" s="70" t="str">
        <f>IF(AB802="","",ROUND(N(W802)*N(J802)*(1-N(K802)),2))</f>
        <v/>
      </c>
      <c r="AI802" s="70" t="str">
        <f>IF(OR(J802="",N(T802)&lt;=0,V802="Oui"),"",ROUND(N(T802)*J802*(1-N(K802)),2))</f>
        <v/>
      </c>
    </row>
    <row r="803">
      <c r="A803" s="63" t="n"/>
      <c r="B803" s="64" t="n"/>
      <c r="C803" s="65" t="n"/>
      <c r="D803" s="66" t="str">
        <f>IF(C803="","",IFERROR(INDEX(sup_name,MATCH($C803,sup_code,0))&amp;"","Fournisseur inconnu"))</f>
        <v/>
      </c>
      <c r="E803" s="63" t="n"/>
      <c r="F803" s="66" t="str">
        <f>IF(E803="","",IFERROR(INDEX(art_des,MATCH($E803,art_ref,0))&amp;"","Article inconnu"))</f>
        <v/>
      </c>
      <c r="G803" s="67" t="str">
        <f>IF(E803="","",IFERROR(INDEX(art_unit,MATCH($E803,art_ref,0))&amp;"",""))</f>
        <v/>
      </c>
      <c r="H803" s="68" t="n"/>
      <c r="I803" s="69" t="n"/>
      <c r="J803" s="70" t="str">
        <f>IF(E803="","",IF(ISNUMBER(I803),I803,IFERROR(IF(ISNUMBER(INDEX(art_price,MATCH($E803,art_ref,0))),INDEX(art_price,MATCH($E803,art_ref,0)),""),"")))</f>
        <v/>
      </c>
      <c r="K803" s="71" t="n"/>
      <c r="L803" s="72" t="n"/>
      <c r="M803" s="72" t="str">
        <f>IF(E803="","",IF(L803&lt;&gt;"",L803,IFERROR(IF(ISNUMBER(INDEX(art_tva,MATCH($E803,art_ref,0))),INDEX(art_tva,MATCH($E803,art_ref,0)),""),"")))</f>
        <v/>
      </c>
      <c r="N803" s="70" t="str">
        <f>IF(OR(E803="",J803=""),"",ROUND(N(H803)*J803*(1-N(K803)),2))</f>
        <v/>
      </c>
      <c r="O803" s="70" t="str">
        <f>IF(OR(N803="",NOT(ISNUMBER(M803))),"",ROUND(N803*M803,2))</f>
        <v/>
      </c>
      <c r="P803" s="70" t="str">
        <f>IF(N803="","",N803+N(O803))</f>
        <v/>
      </c>
      <c r="Q803" s="64" t="n"/>
      <c r="R803" s="73" t="str">
        <f>IF(N(Q803)&gt;0,Q803,IF(OR(N(B803)=0,ISNA(MATCH($C803,sup_code,0))),"",IF(ISNUMBER(INDEX(sup_delay,MATCH($C803,sup_code,0))),B803+INDEX(sup_delay,MATCH($C803,sup_code,0)),"")))</f>
        <v/>
      </c>
      <c r="S803" s="64" t="n"/>
      <c r="T803" s="68" t="n"/>
      <c r="U803" s="64" t="n"/>
      <c r="V803" s="65" t="n"/>
      <c r="W803" s="74" t="str">
        <f>IF(AND(A803="",E803=""),"",IF(V803="Oui",0,MAX(0,ROUND(N(H803)-N(T803),6))))</f>
        <v/>
      </c>
      <c r="X803" s="67" t="str">
        <f>IF(AND(A803="",E803=""),"",IF(V803="Oui","Annulé",IF(AND(N(H803)&gt;0,N(T803)&gt;=N(H803)),"Reçu",IF(N(S803)=0,"Brouillon",IF(AND(ISNUMBER(R803),R803&lt;p_today),"En retard",IF(N(T803)&gt;0,"Partiel","Envoyé"))))))</f>
        <v/>
      </c>
      <c r="Y803" s="75" t="str">
        <f>IF(X803="En retard",p_today-R803,IF(AND(X803="Reçu",ISNUMBER(R803)),MAX(0,N(U803)-R803),""))</f>
        <v/>
      </c>
      <c r="Z803" s="67" t="str">
        <f>IF(AND(A803="",E803=""),"",IF(A803="","N° de bon manquant",IF(N(B803)=0,"Date de commande manquante",IF(C803="","Fournisseur manquant",IF(ISNA(MATCH($C803,sup_code,0)),"Fournisseur inconnu",IF(E803="","Article manquant",IF(ISNA(MATCH($E803,art_ref,0)),"Article inconnu",IF(N(H803)&lt;=0,"Quantité invalide",IF(J803="","Prix manquant",IF(OR(N(K803)&lt;0,N(K803)&gt;=1),"Remise invalide",IF(M803="","TVA manquante",IF(ISNA(MATCH(M803,p_tva,0)),"Taux de TVA inconnu",IF(COUNTIFS(po_num,A803,po_sup,"&lt;&gt;"&amp;C803)&gt;0,"Fournisseur différent sur ce bon",IF(COUNTIFS(po_num,A803,po_date,"&lt;&gt;"&amp;B803)&gt;0,"Date différente sur ce bon",IF(COUNTIF(po_num,A803)&gt;25,"Plus de 25 lignes sur ce bon",IF(R803="","Date de livraison manquante",IF(R803&lt;B803,"Livraison avant la commande",IF(AND(N(T803)&gt;0,N(S803)=0),"Date d'envoi manquante",IF(N(T803)&gt;N(H803),"Reçu plus que commandé",IF(AND(N(T803)&gt;0,N(U803)=0),"Date de réception manquante",IF(AND(N(U803)&gt;0,U803&lt;B803),"Réception avant la commande","OK")))))))))))))))))))))</f>
        <v/>
      </c>
      <c r="AA803" s="66" t="str">
        <f>IF(AND(X803="Reçu",ISNUMBER(R803)),IF(N(U803)&lt;=R803,1,0),"")</f>
        <v/>
      </c>
      <c r="AB803" s="76" t="str">
        <f>IF(OR(X803="Envoyé",X803="Partiel",X803="En retard"),IF(ISNUMBER(R803),R803,100000)+ROW()/100000,"")</f>
        <v/>
      </c>
      <c r="AC803" s="66" t="str">
        <f>IF(A803="","",IF(COUNTIF($A$6:A803,A803)=1,1,""))</f>
        <v/>
      </c>
      <c r="AD803" s="66" t="str">
        <f>IF(AC803=1,COUNT($AC$6:AC803),"")</f>
        <v/>
      </c>
      <c r="AE803" s="66" t="str">
        <f>IFERROR(INDEX(po_num,MATCH(798,po_seq,0))&amp;"","")</f>
        <v/>
      </c>
      <c r="AF803" s="66" t="str">
        <f>IF(OR(A803="",p_po=""),"",IF(A803&amp;""=p_po,COUNTIF($A$6:A803,A803),""))</f>
        <v/>
      </c>
      <c r="AG803" s="66" t="str">
        <f>IF(OR(AB803="",A803=""),"",IF(COUNTIFS($A$6:A803,A803,$AB$6:AB803,"&gt;0")=1,1,""))</f>
        <v/>
      </c>
      <c r="AH803" s="70" t="str">
        <f>IF(AB803="","",ROUND(N(W803)*N(J803)*(1-N(K803)),2))</f>
        <v/>
      </c>
      <c r="AI803" s="70" t="str">
        <f>IF(OR(J803="",N(T803)&lt;=0,V803="Oui"),"",ROUND(N(T803)*J803*(1-N(K803)),2))</f>
        <v/>
      </c>
    </row>
    <row r="804">
      <c r="A804" s="63" t="n"/>
      <c r="B804" s="64" t="n"/>
      <c r="C804" s="65" t="n"/>
      <c r="D804" s="66" t="str">
        <f>IF(C804="","",IFERROR(INDEX(sup_name,MATCH($C804,sup_code,0))&amp;"","Fournisseur inconnu"))</f>
        <v/>
      </c>
      <c r="E804" s="63" t="n"/>
      <c r="F804" s="66" t="str">
        <f>IF(E804="","",IFERROR(INDEX(art_des,MATCH($E804,art_ref,0))&amp;"","Article inconnu"))</f>
        <v/>
      </c>
      <c r="G804" s="67" t="str">
        <f>IF(E804="","",IFERROR(INDEX(art_unit,MATCH($E804,art_ref,0))&amp;"",""))</f>
        <v/>
      </c>
      <c r="H804" s="68" t="n"/>
      <c r="I804" s="69" t="n"/>
      <c r="J804" s="70" t="str">
        <f>IF(E804="","",IF(ISNUMBER(I804),I804,IFERROR(IF(ISNUMBER(INDEX(art_price,MATCH($E804,art_ref,0))),INDEX(art_price,MATCH($E804,art_ref,0)),""),"")))</f>
        <v/>
      </c>
      <c r="K804" s="71" t="n"/>
      <c r="L804" s="72" t="n"/>
      <c r="M804" s="72" t="str">
        <f>IF(E804="","",IF(L804&lt;&gt;"",L804,IFERROR(IF(ISNUMBER(INDEX(art_tva,MATCH($E804,art_ref,0))),INDEX(art_tva,MATCH($E804,art_ref,0)),""),"")))</f>
        <v/>
      </c>
      <c r="N804" s="70" t="str">
        <f>IF(OR(E804="",J804=""),"",ROUND(N(H804)*J804*(1-N(K804)),2))</f>
        <v/>
      </c>
      <c r="O804" s="70" t="str">
        <f>IF(OR(N804="",NOT(ISNUMBER(M804))),"",ROUND(N804*M804,2))</f>
        <v/>
      </c>
      <c r="P804" s="70" t="str">
        <f>IF(N804="","",N804+N(O804))</f>
        <v/>
      </c>
      <c r="Q804" s="64" t="n"/>
      <c r="R804" s="73" t="str">
        <f>IF(N(Q804)&gt;0,Q804,IF(OR(N(B804)=0,ISNA(MATCH($C804,sup_code,0))),"",IF(ISNUMBER(INDEX(sup_delay,MATCH($C804,sup_code,0))),B804+INDEX(sup_delay,MATCH($C804,sup_code,0)),"")))</f>
        <v/>
      </c>
      <c r="S804" s="64" t="n"/>
      <c r="T804" s="68" t="n"/>
      <c r="U804" s="64" t="n"/>
      <c r="V804" s="65" t="n"/>
      <c r="W804" s="74" t="str">
        <f>IF(AND(A804="",E804=""),"",IF(V804="Oui",0,MAX(0,ROUND(N(H804)-N(T804),6))))</f>
        <v/>
      </c>
      <c r="X804" s="67" t="str">
        <f>IF(AND(A804="",E804=""),"",IF(V804="Oui","Annulé",IF(AND(N(H804)&gt;0,N(T804)&gt;=N(H804)),"Reçu",IF(N(S804)=0,"Brouillon",IF(AND(ISNUMBER(R804),R804&lt;p_today),"En retard",IF(N(T804)&gt;0,"Partiel","Envoyé"))))))</f>
        <v/>
      </c>
      <c r="Y804" s="75" t="str">
        <f>IF(X804="En retard",p_today-R804,IF(AND(X804="Reçu",ISNUMBER(R804)),MAX(0,N(U804)-R804),""))</f>
        <v/>
      </c>
      <c r="Z804" s="67" t="str">
        <f>IF(AND(A804="",E804=""),"",IF(A804="","N° de bon manquant",IF(N(B804)=0,"Date de commande manquante",IF(C804="","Fournisseur manquant",IF(ISNA(MATCH($C804,sup_code,0)),"Fournisseur inconnu",IF(E804="","Article manquant",IF(ISNA(MATCH($E804,art_ref,0)),"Article inconnu",IF(N(H804)&lt;=0,"Quantité invalide",IF(J804="","Prix manquant",IF(OR(N(K804)&lt;0,N(K804)&gt;=1),"Remise invalide",IF(M804="","TVA manquante",IF(ISNA(MATCH(M804,p_tva,0)),"Taux de TVA inconnu",IF(COUNTIFS(po_num,A804,po_sup,"&lt;&gt;"&amp;C804)&gt;0,"Fournisseur différent sur ce bon",IF(COUNTIFS(po_num,A804,po_date,"&lt;&gt;"&amp;B804)&gt;0,"Date différente sur ce bon",IF(COUNTIF(po_num,A804)&gt;25,"Plus de 25 lignes sur ce bon",IF(R804="","Date de livraison manquante",IF(R804&lt;B804,"Livraison avant la commande",IF(AND(N(T804)&gt;0,N(S804)=0),"Date d'envoi manquante",IF(N(T804)&gt;N(H804),"Reçu plus que commandé",IF(AND(N(T804)&gt;0,N(U804)=0),"Date de réception manquante",IF(AND(N(U804)&gt;0,U804&lt;B804),"Réception avant la commande","OK")))))))))))))))))))))</f>
        <v/>
      </c>
      <c r="AA804" s="66" t="str">
        <f>IF(AND(X804="Reçu",ISNUMBER(R804)),IF(N(U804)&lt;=R804,1,0),"")</f>
        <v/>
      </c>
      <c r="AB804" s="76" t="str">
        <f>IF(OR(X804="Envoyé",X804="Partiel",X804="En retard"),IF(ISNUMBER(R804),R804,100000)+ROW()/100000,"")</f>
        <v/>
      </c>
      <c r="AC804" s="66" t="str">
        <f>IF(A804="","",IF(COUNTIF($A$6:A804,A804)=1,1,""))</f>
        <v/>
      </c>
      <c r="AD804" s="66" t="str">
        <f>IF(AC804=1,COUNT($AC$6:AC804),"")</f>
        <v/>
      </c>
      <c r="AE804" s="66" t="str">
        <f>IFERROR(INDEX(po_num,MATCH(799,po_seq,0))&amp;"","")</f>
        <v/>
      </c>
      <c r="AF804" s="66" t="str">
        <f>IF(OR(A804="",p_po=""),"",IF(A804&amp;""=p_po,COUNTIF($A$6:A804,A804),""))</f>
        <v/>
      </c>
      <c r="AG804" s="66" t="str">
        <f>IF(OR(AB804="",A804=""),"",IF(COUNTIFS($A$6:A804,A804,$AB$6:AB804,"&gt;0")=1,1,""))</f>
        <v/>
      </c>
      <c r="AH804" s="70" t="str">
        <f>IF(AB804="","",ROUND(N(W804)*N(J804)*(1-N(K804)),2))</f>
        <v/>
      </c>
      <c r="AI804" s="70" t="str">
        <f>IF(OR(J804="",N(T804)&lt;=0,V804="Oui"),"",ROUND(N(T804)*J804*(1-N(K804)),2))</f>
        <v/>
      </c>
    </row>
    <row r="805">
      <c r="A805" s="63" t="n"/>
      <c r="B805" s="64" t="n"/>
      <c r="C805" s="65" t="n"/>
      <c r="D805" s="66" t="str">
        <f>IF(C805="","",IFERROR(INDEX(sup_name,MATCH($C805,sup_code,0))&amp;"","Fournisseur inconnu"))</f>
        <v/>
      </c>
      <c r="E805" s="63" t="n"/>
      <c r="F805" s="66" t="str">
        <f>IF(E805="","",IFERROR(INDEX(art_des,MATCH($E805,art_ref,0))&amp;"","Article inconnu"))</f>
        <v/>
      </c>
      <c r="G805" s="67" t="str">
        <f>IF(E805="","",IFERROR(INDEX(art_unit,MATCH($E805,art_ref,0))&amp;"",""))</f>
        <v/>
      </c>
      <c r="H805" s="68" t="n"/>
      <c r="I805" s="69" t="n"/>
      <c r="J805" s="70" t="str">
        <f>IF(E805="","",IF(ISNUMBER(I805),I805,IFERROR(IF(ISNUMBER(INDEX(art_price,MATCH($E805,art_ref,0))),INDEX(art_price,MATCH($E805,art_ref,0)),""),"")))</f>
        <v/>
      </c>
      <c r="K805" s="71" t="n"/>
      <c r="L805" s="72" t="n"/>
      <c r="M805" s="72" t="str">
        <f>IF(E805="","",IF(L805&lt;&gt;"",L805,IFERROR(IF(ISNUMBER(INDEX(art_tva,MATCH($E805,art_ref,0))),INDEX(art_tva,MATCH($E805,art_ref,0)),""),"")))</f>
        <v/>
      </c>
      <c r="N805" s="70" t="str">
        <f>IF(OR(E805="",J805=""),"",ROUND(N(H805)*J805*(1-N(K805)),2))</f>
        <v/>
      </c>
      <c r="O805" s="70" t="str">
        <f>IF(OR(N805="",NOT(ISNUMBER(M805))),"",ROUND(N805*M805,2))</f>
        <v/>
      </c>
      <c r="P805" s="70" t="str">
        <f>IF(N805="","",N805+N(O805))</f>
        <v/>
      </c>
      <c r="Q805" s="64" t="n"/>
      <c r="R805" s="73" t="str">
        <f>IF(N(Q805)&gt;0,Q805,IF(OR(N(B805)=0,ISNA(MATCH($C805,sup_code,0))),"",IF(ISNUMBER(INDEX(sup_delay,MATCH($C805,sup_code,0))),B805+INDEX(sup_delay,MATCH($C805,sup_code,0)),"")))</f>
        <v/>
      </c>
      <c r="S805" s="64" t="n"/>
      <c r="T805" s="68" t="n"/>
      <c r="U805" s="64" t="n"/>
      <c r="V805" s="65" t="n"/>
      <c r="W805" s="74" t="str">
        <f>IF(AND(A805="",E805=""),"",IF(V805="Oui",0,MAX(0,ROUND(N(H805)-N(T805),6))))</f>
        <v/>
      </c>
      <c r="X805" s="67" t="str">
        <f>IF(AND(A805="",E805=""),"",IF(V805="Oui","Annulé",IF(AND(N(H805)&gt;0,N(T805)&gt;=N(H805)),"Reçu",IF(N(S805)=0,"Brouillon",IF(AND(ISNUMBER(R805),R805&lt;p_today),"En retard",IF(N(T805)&gt;0,"Partiel","Envoyé"))))))</f>
        <v/>
      </c>
      <c r="Y805" s="75" t="str">
        <f>IF(X805="En retard",p_today-R805,IF(AND(X805="Reçu",ISNUMBER(R805)),MAX(0,N(U805)-R805),""))</f>
        <v/>
      </c>
      <c r="Z805" s="67" t="str">
        <f>IF(AND(A805="",E805=""),"",IF(A805="","N° de bon manquant",IF(N(B805)=0,"Date de commande manquante",IF(C805="","Fournisseur manquant",IF(ISNA(MATCH($C805,sup_code,0)),"Fournisseur inconnu",IF(E805="","Article manquant",IF(ISNA(MATCH($E805,art_ref,0)),"Article inconnu",IF(N(H805)&lt;=0,"Quantité invalide",IF(J805="","Prix manquant",IF(OR(N(K805)&lt;0,N(K805)&gt;=1),"Remise invalide",IF(M805="","TVA manquante",IF(ISNA(MATCH(M805,p_tva,0)),"Taux de TVA inconnu",IF(COUNTIFS(po_num,A805,po_sup,"&lt;&gt;"&amp;C805)&gt;0,"Fournisseur différent sur ce bon",IF(COUNTIFS(po_num,A805,po_date,"&lt;&gt;"&amp;B805)&gt;0,"Date différente sur ce bon",IF(COUNTIF(po_num,A805)&gt;25,"Plus de 25 lignes sur ce bon",IF(R805="","Date de livraison manquante",IF(R805&lt;B805,"Livraison avant la commande",IF(AND(N(T805)&gt;0,N(S805)=0),"Date d'envoi manquante",IF(N(T805)&gt;N(H805),"Reçu plus que commandé",IF(AND(N(T805)&gt;0,N(U805)=0),"Date de réception manquante",IF(AND(N(U805)&gt;0,U805&lt;B805),"Réception avant la commande","OK")))))))))))))))))))))</f>
        <v/>
      </c>
      <c r="AA805" s="66" t="str">
        <f>IF(AND(X805="Reçu",ISNUMBER(R805)),IF(N(U805)&lt;=R805,1,0),"")</f>
        <v/>
      </c>
      <c r="AB805" s="76" t="str">
        <f>IF(OR(X805="Envoyé",X805="Partiel",X805="En retard"),IF(ISNUMBER(R805),R805,100000)+ROW()/100000,"")</f>
        <v/>
      </c>
      <c r="AC805" s="66" t="str">
        <f>IF(A805="","",IF(COUNTIF($A$6:A805,A805)=1,1,""))</f>
        <v/>
      </c>
      <c r="AD805" s="66" t="str">
        <f>IF(AC805=1,COUNT($AC$6:AC805),"")</f>
        <v/>
      </c>
      <c r="AE805" s="66" t="str">
        <f>IFERROR(INDEX(po_num,MATCH(800,po_seq,0))&amp;"","")</f>
        <v/>
      </c>
      <c r="AF805" s="66" t="str">
        <f>IF(OR(A805="",p_po=""),"",IF(A805&amp;""=p_po,COUNTIF($A$6:A805,A805),""))</f>
        <v/>
      </c>
      <c r="AG805" s="66" t="str">
        <f>IF(OR(AB805="",A805=""),"",IF(COUNTIFS($A$6:A805,A805,$AB$6:AB805,"&gt;0")=1,1,""))</f>
        <v/>
      </c>
      <c r="AH805" s="70" t="str">
        <f>IF(AB805="","",ROUND(N(W805)*N(J805)*(1-N(K805)),2))</f>
        <v/>
      </c>
      <c r="AI805" s="70" t="str">
        <f>IF(OR(J805="",N(T805)&lt;=0,V805="Oui"),"",ROUND(N(T805)*J805*(1-N(K805)),2))</f>
        <v/>
      </c>
    </row>
    <row r="806">
      <c r="A806" s="63" t="n"/>
      <c r="B806" s="64" t="n"/>
      <c r="C806" s="65" t="n"/>
      <c r="D806" s="66" t="str">
        <f>IF(C806="","",IFERROR(INDEX(sup_name,MATCH($C806,sup_code,0))&amp;"","Fournisseur inconnu"))</f>
        <v/>
      </c>
      <c r="E806" s="63" t="n"/>
      <c r="F806" s="66" t="str">
        <f>IF(E806="","",IFERROR(INDEX(art_des,MATCH($E806,art_ref,0))&amp;"","Article inconnu"))</f>
        <v/>
      </c>
      <c r="G806" s="67" t="str">
        <f>IF(E806="","",IFERROR(INDEX(art_unit,MATCH($E806,art_ref,0))&amp;"",""))</f>
        <v/>
      </c>
      <c r="H806" s="68" t="n"/>
      <c r="I806" s="69" t="n"/>
      <c r="J806" s="70" t="str">
        <f>IF(E806="","",IF(ISNUMBER(I806),I806,IFERROR(IF(ISNUMBER(INDEX(art_price,MATCH($E806,art_ref,0))),INDEX(art_price,MATCH($E806,art_ref,0)),""),"")))</f>
        <v/>
      </c>
      <c r="K806" s="71" t="n"/>
      <c r="L806" s="72" t="n"/>
      <c r="M806" s="72" t="str">
        <f>IF(E806="","",IF(L806&lt;&gt;"",L806,IFERROR(IF(ISNUMBER(INDEX(art_tva,MATCH($E806,art_ref,0))),INDEX(art_tva,MATCH($E806,art_ref,0)),""),"")))</f>
        <v/>
      </c>
      <c r="N806" s="70" t="str">
        <f>IF(OR(E806="",J806=""),"",ROUND(N(H806)*J806*(1-N(K806)),2))</f>
        <v/>
      </c>
      <c r="O806" s="70" t="str">
        <f>IF(OR(N806="",NOT(ISNUMBER(M806))),"",ROUND(N806*M806,2))</f>
        <v/>
      </c>
      <c r="P806" s="70" t="str">
        <f>IF(N806="","",N806+N(O806))</f>
        <v/>
      </c>
      <c r="Q806" s="64" t="n"/>
      <c r="R806" s="73" t="str">
        <f>IF(N(Q806)&gt;0,Q806,IF(OR(N(B806)=0,ISNA(MATCH($C806,sup_code,0))),"",IF(ISNUMBER(INDEX(sup_delay,MATCH($C806,sup_code,0))),B806+INDEX(sup_delay,MATCH($C806,sup_code,0)),"")))</f>
        <v/>
      </c>
      <c r="S806" s="64" t="n"/>
      <c r="T806" s="68" t="n"/>
      <c r="U806" s="64" t="n"/>
      <c r="V806" s="65" t="n"/>
      <c r="W806" s="74" t="str">
        <f>IF(AND(A806="",E806=""),"",IF(V806="Oui",0,MAX(0,ROUND(N(H806)-N(T806),6))))</f>
        <v/>
      </c>
      <c r="X806" s="67" t="str">
        <f>IF(AND(A806="",E806=""),"",IF(V806="Oui","Annulé",IF(AND(N(H806)&gt;0,N(T806)&gt;=N(H806)),"Reçu",IF(N(S806)=0,"Brouillon",IF(AND(ISNUMBER(R806),R806&lt;p_today),"En retard",IF(N(T806)&gt;0,"Partiel","Envoyé"))))))</f>
        <v/>
      </c>
      <c r="Y806" s="75" t="str">
        <f>IF(X806="En retard",p_today-R806,IF(AND(X806="Reçu",ISNUMBER(R806)),MAX(0,N(U806)-R806),""))</f>
        <v/>
      </c>
      <c r="Z806" s="67" t="str">
        <f>IF(AND(A806="",E806=""),"",IF(A806="","N° de bon manquant",IF(N(B806)=0,"Date de commande manquante",IF(C806="","Fournisseur manquant",IF(ISNA(MATCH($C806,sup_code,0)),"Fournisseur inconnu",IF(E806="","Article manquant",IF(ISNA(MATCH($E806,art_ref,0)),"Article inconnu",IF(N(H806)&lt;=0,"Quantité invalide",IF(J806="","Prix manquant",IF(OR(N(K806)&lt;0,N(K806)&gt;=1),"Remise invalide",IF(M806="","TVA manquante",IF(ISNA(MATCH(M806,p_tva,0)),"Taux de TVA inconnu",IF(COUNTIFS(po_num,A806,po_sup,"&lt;&gt;"&amp;C806)&gt;0,"Fournisseur différent sur ce bon",IF(COUNTIFS(po_num,A806,po_date,"&lt;&gt;"&amp;B806)&gt;0,"Date différente sur ce bon",IF(COUNTIF(po_num,A806)&gt;25,"Plus de 25 lignes sur ce bon",IF(R806="","Date de livraison manquante",IF(R806&lt;B806,"Livraison avant la commande",IF(AND(N(T806)&gt;0,N(S806)=0),"Date d'envoi manquante",IF(N(T806)&gt;N(H806),"Reçu plus que commandé",IF(AND(N(T806)&gt;0,N(U806)=0),"Date de réception manquante",IF(AND(N(U806)&gt;0,U806&lt;B806),"Réception avant la commande","OK")))))))))))))))))))))</f>
        <v/>
      </c>
      <c r="AA806" s="66" t="str">
        <f>IF(AND(X806="Reçu",ISNUMBER(R806)),IF(N(U806)&lt;=R806,1,0),"")</f>
        <v/>
      </c>
      <c r="AB806" s="76" t="str">
        <f>IF(OR(X806="Envoyé",X806="Partiel",X806="En retard"),IF(ISNUMBER(R806),R806,100000)+ROW()/100000,"")</f>
        <v/>
      </c>
      <c r="AC806" s="66" t="str">
        <f>IF(A806="","",IF(COUNTIF($A$6:A806,A806)=1,1,""))</f>
        <v/>
      </c>
      <c r="AD806" s="66" t="str">
        <f>IF(AC806=1,COUNT($AC$6:AC806),"")</f>
        <v/>
      </c>
      <c r="AE806" s="66" t="str">
        <f>IFERROR(INDEX(po_num,MATCH(801,po_seq,0))&amp;"","")</f>
        <v/>
      </c>
      <c r="AF806" s="66" t="str">
        <f>IF(OR(A806="",p_po=""),"",IF(A806&amp;""=p_po,COUNTIF($A$6:A806,A806),""))</f>
        <v/>
      </c>
      <c r="AG806" s="66" t="str">
        <f>IF(OR(AB806="",A806=""),"",IF(COUNTIFS($A$6:A806,A806,$AB$6:AB806,"&gt;0")=1,1,""))</f>
        <v/>
      </c>
      <c r="AH806" s="70" t="str">
        <f>IF(AB806="","",ROUND(N(W806)*N(J806)*(1-N(K806)),2))</f>
        <v/>
      </c>
      <c r="AI806" s="70" t="str">
        <f>IF(OR(J806="",N(T806)&lt;=0,V806="Oui"),"",ROUND(N(T806)*J806*(1-N(K806)),2))</f>
        <v/>
      </c>
    </row>
    <row r="807">
      <c r="A807" s="63" t="n"/>
      <c r="B807" s="64" t="n"/>
      <c r="C807" s="65" t="n"/>
      <c r="D807" s="66" t="str">
        <f>IF(C807="","",IFERROR(INDEX(sup_name,MATCH($C807,sup_code,0))&amp;"","Fournisseur inconnu"))</f>
        <v/>
      </c>
      <c r="E807" s="63" t="n"/>
      <c r="F807" s="66" t="str">
        <f>IF(E807="","",IFERROR(INDEX(art_des,MATCH($E807,art_ref,0))&amp;"","Article inconnu"))</f>
        <v/>
      </c>
      <c r="G807" s="67" t="str">
        <f>IF(E807="","",IFERROR(INDEX(art_unit,MATCH($E807,art_ref,0))&amp;"",""))</f>
        <v/>
      </c>
      <c r="H807" s="68" t="n"/>
      <c r="I807" s="69" t="n"/>
      <c r="J807" s="70" t="str">
        <f>IF(E807="","",IF(ISNUMBER(I807),I807,IFERROR(IF(ISNUMBER(INDEX(art_price,MATCH($E807,art_ref,0))),INDEX(art_price,MATCH($E807,art_ref,0)),""),"")))</f>
        <v/>
      </c>
      <c r="K807" s="71" t="n"/>
      <c r="L807" s="72" t="n"/>
      <c r="M807" s="72" t="str">
        <f>IF(E807="","",IF(L807&lt;&gt;"",L807,IFERROR(IF(ISNUMBER(INDEX(art_tva,MATCH($E807,art_ref,0))),INDEX(art_tva,MATCH($E807,art_ref,0)),""),"")))</f>
        <v/>
      </c>
      <c r="N807" s="70" t="str">
        <f>IF(OR(E807="",J807=""),"",ROUND(N(H807)*J807*(1-N(K807)),2))</f>
        <v/>
      </c>
      <c r="O807" s="70" t="str">
        <f>IF(OR(N807="",NOT(ISNUMBER(M807))),"",ROUND(N807*M807,2))</f>
        <v/>
      </c>
      <c r="P807" s="70" t="str">
        <f>IF(N807="","",N807+N(O807))</f>
        <v/>
      </c>
      <c r="Q807" s="64" t="n"/>
      <c r="R807" s="73" t="str">
        <f>IF(N(Q807)&gt;0,Q807,IF(OR(N(B807)=0,ISNA(MATCH($C807,sup_code,0))),"",IF(ISNUMBER(INDEX(sup_delay,MATCH($C807,sup_code,0))),B807+INDEX(sup_delay,MATCH($C807,sup_code,0)),"")))</f>
        <v/>
      </c>
      <c r="S807" s="64" t="n"/>
      <c r="T807" s="68" t="n"/>
      <c r="U807" s="64" t="n"/>
      <c r="V807" s="65" t="n"/>
      <c r="W807" s="74" t="str">
        <f>IF(AND(A807="",E807=""),"",IF(V807="Oui",0,MAX(0,ROUND(N(H807)-N(T807),6))))</f>
        <v/>
      </c>
      <c r="X807" s="67" t="str">
        <f>IF(AND(A807="",E807=""),"",IF(V807="Oui","Annulé",IF(AND(N(H807)&gt;0,N(T807)&gt;=N(H807)),"Reçu",IF(N(S807)=0,"Brouillon",IF(AND(ISNUMBER(R807),R807&lt;p_today),"En retard",IF(N(T807)&gt;0,"Partiel","Envoyé"))))))</f>
        <v/>
      </c>
      <c r="Y807" s="75" t="str">
        <f>IF(X807="En retard",p_today-R807,IF(AND(X807="Reçu",ISNUMBER(R807)),MAX(0,N(U807)-R807),""))</f>
        <v/>
      </c>
      <c r="Z807" s="67" t="str">
        <f>IF(AND(A807="",E807=""),"",IF(A807="","N° de bon manquant",IF(N(B807)=0,"Date de commande manquante",IF(C807="","Fournisseur manquant",IF(ISNA(MATCH($C807,sup_code,0)),"Fournisseur inconnu",IF(E807="","Article manquant",IF(ISNA(MATCH($E807,art_ref,0)),"Article inconnu",IF(N(H807)&lt;=0,"Quantité invalide",IF(J807="","Prix manquant",IF(OR(N(K807)&lt;0,N(K807)&gt;=1),"Remise invalide",IF(M807="","TVA manquante",IF(ISNA(MATCH(M807,p_tva,0)),"Taux de TVA inconnu",IF(COUNTIFS(po_num,A807,po_sup,"&lt;&gt;"&amp;C807)&gt;0,"Fournisseur différent sur ce bon",IF(COUNTIFS(po_num,A807,po_date,"&lt;&gt;"&amp;B807)&gt;0,"Date différente sur ce bon",IF(COUNTIF(po_num,A807)&gt;25,"Plus de 25 lignes sur ce bon",IF(R807="","Date de livraison manquante",IF(R807&lt;B807,"Livraison avant la commande",IF(AND(N(T807)&gt;0,N(S807)=0),"Date d'envoi manquante",IF(N(T807)&gt;N(H807),"Reçu plus que commandé",IF(AND(N(T807)&gt;0,N(U807)=0),"Date de réception manquante",IF(AND(N(U807)&gt;0,U807&lt;B807),"Réception avant la commande","OK")))))))))))))))))))))</f>
        <v/>
      </c>
      <c r="AA807" s="66" t="str">
        <f>IF(AND(X807="Reçu",ISNUMBER(R807)),IF(N(U807)&lt;=R807,1,0),"")</f>
        <v/>
      </c>
      <c r="AB807" s="76" t="str">
        <f>IF(OR(X807="Envoyé",X807="Partiel",X807="En retard"),IF(ISNUMBER(R807),R807,100000)+ROW()/100000,"")</f>
        <v/>
      </c>
      <c r="AC807" s="66" t="str">
        <f>IF(A807="","",IF(COUNTIF($A$6:A807,A807)=1,1,""))</f>
        <v/>
      </c>
      <c r="AD807" s="66" t="str">
        <f>IF(AC807=1,COUNT($AC$6:AC807),"")</f>
        <v/>
      </c>
      <c r="AE807" s="66" t="str">
        <f>IFERROR(INDEX(po_num,MATCH(802,po_seq,0))&amp;"","")</f>
        <v/>
      </c>
      <c r="AF807" s="66" t="str">
        <f>IF(OR(A807="",p_po=""),"",IF(A807&amp;""=p_po,COUNTIF($A$6:A807,A807),""))</f>
        <v/>
      </c>
      <c r="AG807" s="66" t="str">
        <f>IF(OR(AB807="",A807=""),"",IF(COUNTIFS($A$6:A807,A807,$AB$6:AB807,"&gt;0")=1,1,""))</f>
        <v/>
      </c>
      <c r="AH807" s="70" t="str">
        <f>IF(AB807="","",ROUND(N(W807)*N(J807)*(1-N(K807)),2))</f>
        <v/>
      </c>
      <c r="AI807" s="70" t="str">
        <f>IF(OR(J807="",N(T807)&lt;=0,V807="Oui"),"",ROUND(N(T807)*J807*(1-N(K807)),2))</f>
        <v/>
      </c>
    </row>
    <row r="808">
      <c r="A808" s="63" t="n"/>
      <c r="B808" s="64" t="n"/>
      <c r="C808" s="65" t="n"/>
      <c r="D808" s="66" t="str">
        <f>IF(C808="","",IFERROR(INDEX(sup_name,MATCH($C808,sup_code,0))&amp;"","Fournisseur inconnu"))</f>
        <v/>
      </c>
      <c r="E808" s="63" t="n"/>
      <c r="F808" s="66" t="str">
        <f>IF(E808="","",IFERROR(INDEX(art_des,MATCH($E808,art_ref,0))&amp;"","Article inconnu"))</f>
        <v/>
      </c>
      <c r="G808" s="67" t="str">
        <f>IF(E808="","",IFERROR(INDEX(art_unit,MATCH($E808,art_ref,0))&amp;"",""))</f>
        <v/>
      </c>
      <c r="H808" s="68" t="n"/>
      <c r="I808" s="69" t="n"/>
      <c r="J808" s="70" t="str">
        <f>IF(E808="","",IF(ISNUMBER(I808),I808,IFERROR(IF(ISNUMBER(INDEX(art_price,MATCH($E808,art_ref,0))),INDEX(art_price,MATCH($E808,art_ref,0)),""),"")))</f>
        <v/>
      </c>
      <c r="K808" s="71" t="n"/>
      <c r="L808" s="72" t="n"/>
      <c r="M808" s="72" t="str">
        <f>IF(E808="","",IF(L808&lt;&gt;"",L808,IFERROR(IF(ISNUMBER(INDEX(art_tva,MATCH($E808,art_ref,0))),INDEX(art_tva,MATCH($E808,art_ref,0)),""),"")))</f>
        <v/>
      </c>
      <c r="N808" s="70" t="str">
        <f>IF(OR(E808="",J808=""),"",ROUND(N(H808)*J808*(1-N(K808)),2))</f>
        <v/>
      </c>
      <c r="O808" s="70" t="str">
        <f>IF(OR(N808="",NOT(ISNUMBER(M808))),"",ROUND(N808*M808,2))</f>
        <v/>
      </c>
      <c r="P808" s="70" t="str">
        <f>IF(N808="","",N808+N(O808))</f>
        <v/>
      </c>
      <c r="Q808" s="64" t="n"/>
      <c r="R808" s="73" t="str">
        <f>IF(N(Q808)&gt;0,Q808,IF(OR(N(B808)=0,ISNA(MATCH($C808,sup_code,0))),"",IF(ISNUMBER(INDEX(sup_delay,MATCH($C808,sup_code,0))),B808+INDEX(sup_delay,MATCH($C808,sup_code,0)),"")))</f>
        <v/>
      </c>
      <c r="S808" s="64" t="n"/>
      <c r="T808" s="68" t="n"/>
      <c r="U808" s="64" t="n"/>
      <c r="V808" s="65" t="n"/>
      <c r="W808" s="74" t="str">
        <f>IF(AND(A808="",E808=""),"",IF(V808="Oui",0,MAX(0,ROUND(N(H808)-N(T808),6))))</f>
        <v/>
      </c>
      <c r="X808" s="67" t="str">
        <f>IF(AND(A808="",E808=""),"",IF(V808="Oui","Annulé",IF(AND(N(H808)&gt;0,N(T808)&gt;=N(H808)),"Reçu",IF(N(S808)=0,"Brouillon",IF(AND(ISNUMBER(R808),R808&lt;p_today),"En retard",IF(N(T808)&gt;0,"Partiel","Envoyé"))))))</f>
        <v/>
      </c>
      <c r="Y808" s="75" t="str">
        <f>IF(X808="En retard",p_today-R808,IF(AND(X808="Reçu",ISNUMBER(R808)),MAX(0,N(U808)-R808),""))</f>
        <v/>
      </c>
      <c r="Z808" s="67" t="str">
        <f>IF(AND(A808="",E808=""),"",IF(A808="","N° de bon manquant",IF(N(B808)=0,"Date de commande manquante",IF(C808="","Fournisseur manquant",IF(ISNA(MATCH($C808,sup_code,0)),"Fournisseur inconnu",IF(E808="","Article manquant",IF(ISNA(MATCH($E808,art_ref,0)),"Article inconnu",IF(N(H808)&lt;=0,"Quantité invalide",IF(J808="","Prix manquant",IF(OR(N(K808)&lt;0,N(K808)&gt;=1),"Remise invalide",IF(M808="","TVA manquante",IF(ISNA(MATCH(M808,p_tva,0)),"Taux de TVA inconnu",IF(COUNTIFS(po_num,A808,po_sup,"&lt;&gt;"&amp;C808)&gt;0,"Fournisseur différent sur ce bon",IF(COUNTIFS(po_num,A808,po_date,"&lt;&gt;"&amp;B808)&gt;0,"Date différente sur ce bon",IF(COUNTIF(po_num,A808)&gt;25,"Plus de 25 lignes sur ce bon",IF(R808="","Date de livraison manquante",IF(R808&lt;B808,"Livraison avant la commande",IF(AND(N(T808)&gt;0,N(S808)=0),"Date d'envoi manquante",IF(N(T808)&gt;N(H808),"Reçu plus que commandé",IF(AND(N(T808)&gt;0,N(U808)=0),"Date de réception manquante",IF(AND(N(U808)&gt;0,U808&lt;B808),"Réception avant la commande","OK")))))))))))))))))))))</f>
        <v/>
      </c>
      <c r="AA808" s="66" t="str">
        <f>IF(AND(X808="Reçu",ISNUMBER(R808)),IF(N(U808)&lt;=R808,1,0),"")</f>
        <v/>
      </c>
      <c r="AB808" s="76" t="str">
        <f>IF(OR(X808="Envoyé",X808="Partiel",X808="En retard"),IF(ISNUMBER(R808),R808,100000)+ROW()/100000,"")</f>
        <v/>
      </c>
      <c r="AC808" s="66" t="str">
        <f>IF(A808="","",IF(COUNTIF($A$6:A808,A808)=1,1,""))</f>
        <v/>
      </c>
      <c r="AD808" s="66" t="str">
        <f>IF(AC808=1,COUNT($AC$6:AC808),"")</f>
        <v/>
      </c>
      <c r="AE808" s="66" t="str">
        <f>IFERROR(INDEX(po_num,MATCH(803,po_seq,0))&amp;"","")</f>
        <v/>
      </c>
      <c r="AF808" s="66" t="str">
        <f>IF(OR(A808="",p_po=""),"",IF(A808&amp;""=p_po,COUNTIF($A$6:A808,A808),""))</f>
        <v/>
      </c>
      <c r="AG808" s="66" t="str">
        <f>IF(OR(AB808="",A808=""),"",IF(COUNTIFS($A$6:A808,A808,$AB$6:AB808,"&gt;0")=1,1,""))</f>
        <v/>
      </c>
      <c r="AH808" s="70" t="str">
        <f>IF(AB808="","",ROUND(N(W808)*N(J808)*(1-N(K808)),2))</f>
        <v/>
      </c>
      <c r="AI808" s="70" t="str">
        <f>IF(OR(J808="",N(T808)&lt;=0,V808="Oui"),"",ROUND(N(T808)*J808*(1-N(K808)),2))</f>
        <v/>
      </c>
    </row>
    <row r="809">
      <c r="A809" s="63" t="n"/>
      <c r="B809" s="64" t="n"/>
      <c r="C809" s="65" t="n"/>
      <c r="D809" s="66" t="str">
        <f>IF(C809="","",IFERROR(INDEX(sup_name,MATCH($C809,sup_code,0))&amp;"","Fournisseur inconnu"))</f>
        <v/>
      </c>
      <c r="E809" s="63" t="n"/>
      <c r="F809" s="66" t="str">
        <f>IF(E809="","",IFERROR(INDEX(art_des,MATCH($E809,art_ref,0))&amp;"","Article inconnu"))</f>
        <v/>
      </c>
      <c r="G809" s="67" t="str">
        <f>IF(E809="","",IFERROR(INDEX(art_unit,MATCH($E809,art_ref,0))&amp;"",""))</f>
        <v/>
      </c>
      <c r="H809" s="68" t="n"/>
      <c r="I809" s="69" t="n"/>
      <c r="J809" s="70" t="str">
        <f>IF(E809="","",IF(ISNUMBER(I809),I809,IFERROR(IF(ISNUMBER(INDEX(art_price,MATCH($E809,art_ref,0))),INDEX(art_price,MATCH($E809,art_ref,0)),""),"")))</f>
        <v/>
      </c>
      <c r="K809" s="71" t="n"/>
      <c r="L809" s="72" t="n"/>
      <c r="M809" s="72" t="str">
        <f>IF(E809="","",IF(L809&lt;&gt;"",L809,IFERROR(IF(ISNUMBER(INDEX(art_tva,MATCH($E809,art_ref,0))),INDEX(art_tva,MATCH($E809,art_ref,0)),""),"")))</f>
        <v/>
      </c>
      <c r="N809" s="70" t="str">
        <f>IF(OR(E809="",J809=""),"",ROUND(N(H809)*J809*(1-N(K809)),2))</f>
        <v/>
      </c>
      <c r="O809" s="70" t="str">
        <f>IF(OR(N809="",NOT(ISNUMBER(M809))),"",ROUND(N809*M809,2))</f>
        <v/>
      </c>
      <c r="P809" s="70" t="str">
        <f>IF(N809="","",N809+N(O809))</f>
        <v/>
      </c>
      <c r="Q809" s="64" t="n"/>
      <c r="R809" s="73" t="str">
        <f>IF(N(Q809)&gt;0,Q809,IF(OR(N(B809)=0,ISNA(MATCH($C809,sup_code,0))),"",IF(ISNUMBER(INDEX(sup_delay,MATCH($C809,sup_code,0))),B809+INDEX(sup_delay,MATCH($C809,sup_code,0)),"")))</f>
        <v/>
      </c>
      <c r="S809" s="64" t="n"/>
      <c r="T809" s="68" t="n"/>
      <c r="U809" s="64" t="n"/>
      <c r="V809" s="65" t="n"/>
      <c r="W809" s="74" t="str">
        <f>IF(AND(A809="",E809=""),"",IF(V809="Oui",0,MAX(0,ROUND(N(H809)-N(T809),6))))</f>
        <v/>
      </c>
      <c r="X809" s="67" t="str">
        <f>IF(AND(A809="",E809=""),"",IF(V809="Oui","Annulé",IF(AND(N(H809)&gt;0,N(T809)&gt;=N(H809)),"Reçu",IF(N(S809)=0,"Brouillon",IF(AND(ISNUMBER(R809),R809&lt;p_today),"En retard",IF(N(T809)&gt;0,"Partiel","Envoyé"))))))</f>
        <v/>
      </c>
      <c r="Y809" s="75" t="str">
        <f>IF(X809="En retard",p_today-R809,IF(AND(X809="Reçu",ISNUMBER(R809)),MAX(0,N(U809)-R809),""))</f>
        <v/>
      </c>
      <c r="Z809" s="67" t="str">
        <f>IF(AND(A809="",E809=""),"",IF(A809="","N° de bon manquant",IF(N(B809)=0,"Date de commande manquante",IF(C809="","Fournisseur manquant",IF(ISNA(MATCH($C809,sup_code,0)),"Fournisseur inconnu",IF(E809="","Article manquant",IF(ISNA(MATCH($E809,art_ref,0)),"Article inconnu",IF(N(H809)&lt;=0,"Quantité invalide",IF(J809="","Prix manquant",IF(OR(N(K809)&lt;0,N(K809)&gt;=1),"Remise invalide",IF(M809="","TVA manquante",IF(ISNA(MATCH(M809,p_tva,0)),"Taux de TVA inconnu",IF(COUNTIFS(po_num,A809,po_sup,"&lt;&gt;"&amp;C809)&gt;0,"Fournisseur différent sur ce bon",IF(COUNTIFS(po_num,A809,po_date,"&lt;&gt;"&amp;B809)&gt;0,"Date différente sur ce bon",IF(COUNTIF(po_num,A809)&gt;25,"Plus de 25 lignes sur ce bon",IF(R809="","Date de livraison manquante",IF(R809&lt;B809,"Livraison avant la commande",IF(AND(N(T809)&gt;0,N(S809)=0),"Date d'envoi manquante",IF(N(T809)&gt;N(H809),"Reçu plus que commandé",IF(AND(N(T809)&gt;0,N(U809)=0),"Date de réception manquante",IF(AND(N(U809)&gt;0,U809&lt;B809),"Réception avant la commande","OK")))))))))))))))))))))</f>
        <v/>
      </c>
      <c r="AA809" s="66" t="str">
        <f>IF(AND(X809="Reçu",ISNUMBER(R809)),IF(N(U809)&lt;=R809,1,0),"")</f>
        <v/>
      </c>
      <c r="AB809" s="76" t="str">
        <f>IF(OR(X809="Envoyé",X809="Partiel",X809="En retard"),IF(ISNUMBER(R809),R809,100000)+ROW()/100000,"")</f>
        <v/>
      </c>
      <c r="AC809" s="66" t="str">
        <f>IF(A809="","",IF(COUNTIF($A$6:A809,A809)=1,1,""))</f>
        <v/>
      </c>
      <c r="AD809" s="66" t="str">
        <f>IF(AC809=1,COUNT($AC$6:AC809),"")</f>
        <v/>
      </c>
      <c r="AE809" s="66" t="str">
        <f>IFERROR(INDEX(po_num,MATCH(804,po_seq,0))&amp;"","")</f>
        <v/>
      </c>
      <c r="AF809" s="66" t="str">
        <f>IF(OR(A809="",p_po=""),"",IF(A809&amp;""=p_po,COUNTIF($A$6:A809,A809),""))</f>
        <v/>
      </c>
      <c r="AG809" s="66" t="str">
        <f>IF(OR(AB809="",A809=""),"",IF(COUNTIFS($A$6:A809,A809,$AB$6:AB809,"&gt;0")=1,1,""))</f>
        <v/>
      </c>
      <c r="AH809" s="70" t="str">
        <f>IF(AB809="","",ROUND(N(W809)*N(J809)*(1-N(K809)),2))</f>
        <v/>
      </c>
      <c r="AI809" s="70" t="str">
        <f>IF(OR(J809="",N(T809)&lt;=0,V809="Oui"),"",ROUND(N(T809)*J809*(1-N(K809)),2))</f>
        <v/>
      </c>
    </row>
    <row r="810">
      <c r="A810" s="63" t="n"/>
      <c r="B810" s="64" t="n"/>
      <c r="C810" s="65" t="n"/>
      <c r="D810" s="66" t="str">
        <f>IF(C810="","",IFERROR(INDEX(sup_name,MATCH($C810,sup_code,0))&amp;"","Fournisseur inconnu"))</f>
        <v/>
      </c>
      <c r="E810" s="63" t="n"/>
      <c r="F810" s="66" t="str">
        <f>IF(E810="","",IFERROR(INDEX(art_des,MATCH($E810,art_ref,0))&amp;"","Article inconnu"))</f>
        <v/>
      </c>
      <c r="G810" s="67" t="str">
        <f>IF(E810="","",IFERROR(INDEX(art_unit,MATCH($E810,art_ref,0))&amp;"",""))</f>
        <v/>
      </c>
      <c r="H810" s="68" t="n"/>
      <c r="I810" s="69" t="n"/>
      <c r="J810" s="70" t="str">
        <f>IF(E810="","",IF(ISNUMBER(I810),I810,IFERROR(IF(ISNUMBER(INDEX(art_price,MATCH($E810,art_ref,0))),INDEX(art_price,MATCH($E810,art_ref,0)),""),"")))</f>
        <v/>
      </c>
      <c r="K810" s="71" t="n"/>
      <c r="L810" s="72" t="n"/>
      <c r="M810" s="72" t="str">
        <f>IF(E810="","",IF(L810&lt;&gt;"",L810,IFERROR(IF(ISNUMBER(INDEX(art_tva,MATCH($E810,art_ref,0))),INDEX(art_tva,MATCH($E810,art_ref,0)),""),"")))</f>
        <v/>
      </c>
      <c r="N810" s="70" t="str">
        <f>IF(OR(E810="",J810=""),"",ROUND(N(H810)*J810*(1-N(K810)),2))</f>
        <v/>
      </c>
      <c r="O810" s="70" t="str">
        <f>IF(OR(N810="",NOT(ISNUMBER(M810))),"",ROUND(N810*M810,2))</f>
        <v/>
      </c>
      <c r="P810" s="70" t="str">
        <f>IF(N810="","",N810+N(O810))</f>
        <v/>
      </c>
      <c r="Q810" s="64" t="n"/>
      <c r="R810" s="73" t="str">
        <f>IF(N(Q810)&gt;0,Q810,IF(OR(N(B810)=0,ISNA(MATCH($C810,sup_code,0))),"",IF(ISNUMBER(INDEX(sup_delay,MATCH($C810,sup_code,0))),B810+INDEX(sup_delay,MATCH($C810,sup_code,0)),"")))</f>
        <v/>
      </c>
      <c r="S810" s="64" t="n"/>
      <c r="T810" s="68" t="n"/>
      <c r="U810" s="64" t="n"/>
      <c r="V810" s="65" t="n"/>
      <c r="W810" s="74" t="str">
        <f>IF(AND(A810="",E810=""),"",IF(V810="Oui",0,MAX(0,ROUND(N(H810)-N(T810),6))))</f>
        <v/>
      </c>
      <c r="X810" s="67" t="str">
        <f>IF(AND(A810="",E810=""),"",IF(V810="Oui","Annulé",IF(AND(N(H810)&gt;0,N(T810)&gt;=N(H810)),"Reçu",IF(N(S810)=0,"Brouillon",IF(AND(ISNUMBER(R810),R810&lt;p_today),"En retard",IF(N(T810)&gt;0,"Partiel","Envoyé"))))))</f>
        <v/>
      </c>
      <c r="Y810" s="75" t="str">
        <f>IF(X810="En retard",p_today-R810,IF(AND(X810="Reçu",ISNUMBER(R810)),MAX(0,N(U810)-R810),""))</f>
        <v/>
      </c>
      <c r="Z810" s="67" t="str">
        <f>IF(AND(A810="",E810=""),"",IF(A810="","N° de bon manquant",IF(N(B810)=0,"Date de commande manquante",IF(C810="","Fournisseur manquant",IF(ISNA(MATCH($C810,sup_code,0)),"Fournisseur inconnu",IF(E810="","Article manquant",IF(ISNA(MATCH($E810,art_ref,0)),"Article inconnu",IF(N(H810)&lt;=0,"Quantité invalide",IF(J810="","Prix manquant",IF(OR(N(K810)&lt;0,N(K810)&gt;=1),"Remise invalide",IF(M810="","TVA manquante",IF(ISNA(MATCH(M810,p_tva,0)),"Taux de TVA inconnu",IF(COUNTIFS(po_num,A810,po_sup,"&lt;&gt;"&amp;C810)&gt;0,"Fournisseur différent sur ce bon",IF(COUNTIFS(po_num,A810,po_date,"&lt;&gt;"&amp;B810)&gt;0,"Date différente sur ce bon",IF(COUNTIF(po_num,A810)&gt;25,"Plus de 25 lignes sur ce bon",IF(R810="","Date de livraison manquante",IF(R810&lt;B810,"Livraison avant la commande",IF(AND(N(T810)&gt;0,N(S810)=0),"Date d'envoi manquante",IF(N(T810)&gt;N(H810),"Reçu plus que commandé",IF(AND(N(T810)&gt;0,N(U810)=0),"Date de réception manquante",IF(AND(N(U810)&gt;0,U810&lt;B810),"Réception avant la commande","OK")))))))))))))))))))))</f>
        <v/>
      </c>
      <c r="AA810" s="66" t="str">
        <f>IF(AND(X810="Reçu",ISNUMBER(R810)),IF(N(U810)&lt;=R810,1,0),"")</f>
        <v/>
      </c>
      <c r="AB810" s="76" t="str">
        <f>IF(OR(X810="Envoyé",X810="Partiel",X810="En retard"),IF(ISNUMBER(R810),R810,100000)+ROW()/100000,"")</f>
        <v/>
      </c>
      <c r="AC810" s="66" t="str">
        <f>IF(A810="","",IF(COUNTIF($A$6:A810,A810)=1,1,""))</f>
        <v/>
      </c>
      <c r="AD810" s="66" t="str">
        <f>IF(AC810=1,COUNT($AC$6:AC810),"")</f>
        <v/>
      </c>
      <c r="AE810" s="66" t="str">
        <f>IFERROR(INDEX(po_num,MATCH(805,po_seq,0))&amp;"","")</f>
        <v/>
      </c>
      <c r="AF810" s="66" t="str">
        <f>IF(OR(A810="",p_po=""),"",IF(A810&amp;""=p_po,COUNTIF($A$6:A810,A810),""))</f>
        <v/>
      </c>
      <c r="AG810" s="66" t="str">
        <f>IF(OR(AB810="",A810=""),"",IF(COUNTIFS($A$6:A810,A810,$AB$6:AB810,"&gt;0")=1,1,""))</f>
        <v/>
      </c>
      <c r="AH810" s="70" t="str">
        <f>IF(AB810="","",ROUND(N(W810)*N(J810)*(1-N(K810)),2))</f>
        <v/>
      </c>
      <c r="AI810" s="70" t="str">
        <f>IF(OR(J810="",N(T810)&lt;=0,V810="Oui"),"",ROUND(N(T810)*J810*(1-N(K810)),2))</f>
        <v/>
      </c>
    </row>
    <row r="811">
      <c r="A811" s="63" t="n"/>
      <c r="B811" s="64" t="n"/>
      <c r="C811" s="65" t="n"/>
      <c r="D811" s="66" t="str">
        <f>IF(C811="","",IFERROR(INDEX(sup_name,MATCH($C811,sup_code,0))&amp;"","Fournisseur inconnu"))</f>
        <v/>
      </c>
      <c r="E811" s="63" t="n"/>
      <c r="F811" s="66" t="str">
        <f>IF(E811="","",IFERROR(INDEX(art_des,MATCH($E811,art_ref,0))&amp;"","Article inconnu"))</f>
        <v/>
      </c>
      <c r="G811" s="67" t="str">
        <f>IF(E811="","",IFERROR(INDEX(art_unit,MATCH($E811,art_ref,0))&amp;"",""))</f>
        <v/>
      </c>
      <c r="H811" s="68" t="n"/>
      <c r="I811" s="69" t="n"/>
      <c r="J811" s="70" t="str">
        <f>IF(E811="","",IF(ISNUMBER(I811),I811,IFERROR(IF(ISNUMBER(INDEX(art_price,MATCH($E811,art_ref,0))),INDEX(art_price,MATCH($E811,art_ref,0)),""),"")))</f>
        <v/>
      </c>
      <c r="K811" s="71" t="n"/>
      <c r="L811" s="72" t="n"/>
      <c r="M811" s="72" t="str">
        <f>IF(E811="","",IF(L811&lt;&gt;"",L811,IFERROR(IF(ISNUMBER(INDEX(art_tva,MATCH($E811,art_ref,0))),INDEX(art_tva,MATCH($E811,art_ref,0)),""),"")))</f>
        <v/>
      </c>
      <c r="N811" s="70" t="str">
        <f>IF(OR(E811="",J811=""),"",ROUND(N(H811)*J811*(1-N(K811)),2))</f>
        <v/>
      </c>
      <c r="O811" s="70" t="str">
        <f>IF(OR(N811="",NOT(ISNUMBER(M811))),"",ROUND(N811*M811,2))</f>
        <v/>
      </c>
      <c r="P811" s="70" t="str">
        <f>IF(N811="","",N811+N(O811))</f>
        <v/>
      </c>
      <c r="Q811" s="64" t="n"/>
      <c r="R811" s="73" t="str">
        <f>IF(N(Q811)&gt;0,Q811,IF(OR(N(B811)=0,ISNA(MATCH($C811,sup_code,0))),"",IF(ISNUMBER(INDEX(sup_delay,MATCH($C811,sup_code,0))),B811+INDEX(sup_delay,MATCH($C811,sup_code,0)),"")))</f>
        <v/>
      </c>
      <c r="S811" s="64" t="n"/>
      <c r="T811" s="68" t="n"/>
      <c r="U811" s="64" t="n"/>
      <c r="V811" s="65" t="n"/>
      <c r="W811" s="74" t="str">
        <f>IF(AND(A811="",E811=""),"",IF(V811="Oui",0,MAX(0,ROUND(N(H811)-N(T811),6))))</f>
        <v/>
      </c>
      <c r="X811" s="67" t="str">
        <f>IF(AND(A811="",E811=""),"",IF(V811="Oui","Annulé",IF(AND(N(H811)&gt;0,N(T811)&gt;=N(H811)),"Reçu",IF(N(S811)=0,"Brouillon",IF(AND(ISNUMBER(R811),R811&lt;p_today),"En retard",IF(N(T811)&gt;0,"Partiel","Envoyé"))))))</f>
        <v/>
      </c>
      <c r="Y811" s="75" t="str">
        <f>IF(X811="En retard",p_today-R811,IF(AND(X811="Reçu",ISNUMBER(R811)),MAX(0,N(U811)-R811),""))</f>
        <v/>
      </c>
      <c r="Z811" s="67" t="str">
        <f>IF(AND(A811="",E811=""),"",IF(A811="","N° de bon manquant",IF(N(B811)=0,"Date de commande manquante",IF(C811="","Fournisseur manquant",IF(ISNA(MATCH($C811,sup_code,0)),"Fournisseur inconnu",IF(E811="","Article manquant",IF(ISNA(MATCH($E811,art_ref,0)),"Article inconnu",IF(N(H811)&lt;=0,"Quantité invalide",IF(J811="","Prix manquant",IF(OR(N(K811)&lt;0,N(K811)&gt;=1),"Remise invalide",IF(M811="","TVA manquante",IF(ISNA(MATCH(M811,p_tva,0)),"Taux de TVA inconnu",IF(COUNTIFS(po_num,A811,po_sup,"&lt;&gt;"&amp;C811)&gt;0,"Fournisseur différent sur ce bon",IF(COUNTIFS(po_num,A811,po_date,"&lt;&gt;"&amp;B811)&gt;0,"Date différente sur ce bon",IF(COUNTIF(po_num,A811)&gt;25,"Plus de 25 lignes sur ce bon",IF(R811="","Date de livraison manquante",IF(R811&lt;B811,"Livraison avant la commande",IF(AND(N(T811)&gt;0,N(S811)=0),"Date d'envoi manquante",IF(N(T811)&gt;N(H811),"Reçu plus que commandé",IF(AND(N(T811)&gt;0,N(U811)=0),"Date de réception manquante",IF(AND(N(U811)&gt;0,U811&lt;B811),"Réception avant la commande","OK")))))))))))))))))))))</f>
        <v/>
      </c>
      <c r="AA811" s="66" t="str">
        <f>IF(AND(X811="Reçu",ISNUMBER(R811)),IF(N(U811)&lt;=R811,1,0),"")</f>
        <v/>
      </c>
      <c r="AB811" s="76" t="str">
        <f>IF(OR(X811="Envoyé",X811="Partiel",X811="En retard"),IF(ISNUMBER(R811),R811,100000)+ROW()/100000,"")</f>
        <v/>
      </c>
      <c r="AC811" s="66" t="str">
        <f>IF(A811="","",IF(COUNTIF($A$6:A811,A811)=1,1,""))</f>
        <v/>
      </c>
      <c r="AD811" s="66" t="str">
        <f>IF(AC811=1,COUNT($AC$6:AC811),"")</f>
        <v/>
      </c>
      <c r="AE811" s="66" t="str">
        <f>IFERROR(INDEX(po_num,MATCH(806,po_seq,0))&amp;"","")</f>
        <v/>
      </c>
      <c r="AF811" s="66" t="str">
        <f>IF(OR(A811="",p_po=""),"",IF(A811&amp;""=p_po,COUNTIF($A$6:A811,A811),""))</f>
        <v/>
      </c>
      <c r="AG811" s="66" t="str">
        <f>IF(OR(AB811="",A811=""),"",IF(COUNTIFS($A$6:A811,A811,$AB$6:AB811,"&gt;0")=1,1,""))</f>
        <v/>
      </c>
      <c r="AH811" s="70" t="str">
        <f>IF(AB811="","",ROUND(N(W811)*N(J811)*(1-N(K811)),2))</f>
        <v/>
      </c>
      <c r="AI811" s="70" t="str">
        <f>IF(OR(J811="",N(T811)&lt;=0,V811="Oui"),"",ROUND(N(T811)*J811*(1-N(K811)),2))</f>
        <v/>
      </c>
    </row>
    <row r="812">
      <c r="A812" s="63" t="n"/>
      <c r="B812" s="64" t="n"/>
      <c r="C812" s="65" t="n"/>
      <c r="D812" s="66" t="str">
        <f>IF(C812="","",IFERROR(INDEX(sup_name,MATCH($C812,sup_code,0))&amp;"","Fournisseur inconnu"))</f>
        <v/>
      </c>
      <c r="E812" s="63" t="n"/>
      <c r="F812" s="66" t="str">
        <f>IF(E812="","",IFERROR(INDEX(art_des,MATCH($E812,art_ref,0))&amp;"","Article inconnu"))</f>
        <v/>
      </c>
      <c r="G812" s="67" t="str">
        <f>IF(E812="","",IFERROR(INDEX(art_unit,MATCH($E812,art_ref,0))&amp;"",""))</f>
        <v/>
      </c>
      <c r="H812" s="68" t="n"/>
      <c r="I812" s="69" t="n"/>
      <c r="J812" s="70" t="str">
        <f>IF(E812="","",IF(ISNUMBER(I812),I812,IFERROR(IF(ISNUMBER(INDEX(art_price,MATCH($E812,art_ref,0))),INDEX(art_price,MATCH($E812,art_ref,0)),""),"")))</f>
        <v/>
      </c>
      <c r="K812" s="71" t="n"/>
      <c r="L812" s="72" t="n"/>
      <c r="M812" s="72" t="str">
        <f>IF(E812="","",IF(L812&lt;&gt;"",L812,IFERROR(IF(ISNUMBER(INDEX(art_tva,MATCH($E812,art_ref,0))),INDEX(art_tva,MATCH($E812,art_ref,0)),""),"")))</f>
        <v/>
      </c>
      <c r="N812" s="70" t="str">
        <f>IF(OR(E812="",J812=""),"",ROUND(N(H812)*J812*(1-N(K812)),2))</f>
        <v/>
      </c>
      <c r="O812" s="70" t="str">
        <f>IF(OR(N812="",NOT(ISNUMBER(M812))),"",ROUND(N812*M812,2))</f>
        <v/>
      </c>
      <c r="P812" s="70" t="str">
        <f>IF(N812="","",N812+N(O812))</f>
        <v/>
      </c>
      <c r="Q812" s="64" t="n"/>
      <c r="R812" s="73" t="str">
        <f>IF(N(Q812)&gt;0,Q812,IF(OR(N(B812)=0,ISNA(MATCH($C812,sup_code,0))),"",IF(ISNUMBER(INDEX(sup_delay,MATCH($C812,sup_code,0))),B812+INDEX(sup_delay,MATCH($C812,sup_code,0)),"")))</f>
        <v/>
      </c>
      <c r="S812" s="64" t="n"/>
      <c r="T812" s="68" t="n"/>
      <c r="U812" s="64" t="n"/>
      <c r="V812" s="65" t="n"/>
      <c r="W812" s="74" t="str">
        <f>IF(AND(A812="",E812=""),"",IF(V812="Oui",0,MAX(0,ROUND(N(H812)-N(T812),6))))</f>
        <v/>
      </c>
      <c r="X812" s="67" t="str">
        <f>IF(AND(A812="",E812=""),"",IF(V812="Oui","Annulé",IF(AND(N(H812)&gt;0,N(T812)&gt;=N(H812)),"Reçu",IF(N(S812)=0,"Brouillon",IF(AND(ISNUMBER(R812),R812&lt;p_today),"En retard",IF(N(T812)&gt;0,"Partiel","Envoyé"))))))</f>
        <v/>
      </c>
      <c r="Y812" s="75" t="str">
        <f>IF(X812="En retard",p_today-R812,IF(AND(X812="Reçu",ISNUMBER(R812)),MAX(0,N(U812)-R812),""))</f>
        <v/>
      </c>
      <c r="Z812" s="67" t="str">
        <f>IF(AND(A812="",E812=""),"",IF(A812="","N° de bon manquant",IF(N(B812)=0,"Date de commande manquante",IF(C812="","Fournisseur manquant",IF(ISNA(MATCH($C812,sup_code,0)),"Fournisseur inconnu",IF(E812="","Article manquant",IF(ISNA(MATCH($E812,art_ref,0)),"Article inconnu",IF(N(H812)&lt;=0,"Quantité invalide",IF(J812="","Prix manquant",IF(OR(N(K812)&lt;0,N(K812)&gt;=1),"Remise invalide",IF(M812="","TVA manquante",IF(ISNA(MATCH(M812,p_tva,0)),"Taux de TVA inconnu",IF(COUNTIFS(po_num,A812,po_sup,"&lt;&gt;"&amp;C812)&gt;0,"Fournisseur différent sur ce bon",IF(COUNTIFS(po_num,A812,po_date,"&lt;&gt;"&amp;B812)&gt;0,"Date différente sur ce bon",IF(COUNTIF(po_num,A812)&gt;25,"Plus de 25 lignes sur ce bon",IF(R812="","Date de livraison manquante",IF(R812&lt;B812,"Livraison avant la commande",IF(AND(N(T812)&gt;0,N(S812)=0),"Date d'envoi manquante",IF(N(T812)&gt;N(H812),"Reçu plus que commandé",IF(AND(N(T812)&gt;0,N(U812)=0),"Date de réception manquante",IF(AND(N(U812)&gt;0,U812&lt;B812),"Réception avant la commande","OK")))))))))))))))))))))</f>
        <v/>
      </c>
      <c r="AA812" s="66" t="str">
        <f>IF(AND(X812="Reçu",ISNUMBER(R812)),IF(N(U812)&lt;=R812,1,0),"")</f>
        <v/>
      </c>
      <c r="AB812" s="76" t="str">
        <f>IF(OR(X812="Envoyé",X812="Partiel",X812="En retard"),IF(ISNUMBER(R812),R812,100000)+ROW()/100000,"")</f>
        <v/>
      </c>
      <c r="AC812" s="66" t="str">
        <f>IF(A812="","",IF(COUNTIF($A$6:A812,A812)=1,1,""))</f>
        <v/>
      </c>
      <c r="AD812" s="66" t="str">
        <f>IF(AC812=1,COUNT($AC$6:AC812),"")</f>
        <v/>
      </c>
      <c r="AE812" s="66" t="str">
        <f>IFERROR(INDEX(po_num,MATCH(807,po_seq,0))&amp;"","")</f>
        <v/>
      </c>
      <c r="AF812" s="66" t="str">
        <f>IF(OR(A812="",p_po=""),"",IF(A812&amp;""=p_po,COUNTIF($A$6:A812,A812),""))</f>
        <v/>
      </c>
      <c r="AG812" s="66" t="str">
        <f>IF(OR(AB812="",A812=""),"",IF(COUNTIFS($A$6:A812,A812,$AB$6:AB812,"&gt;0")=1,1,""))</f>
        <v/>
      </c>
      <c r="AH812" s="70" t="str">
        <f>IF(AB812="","",ROUND(N(W812)*N(J812)*(1-N(K812)),2))</f>
        <v/>
      </c>
      <c r="AI812" s="70" t="str">
        <f>IF(OR(J812="",N(T812)&lt;=0,V812="Oui"),"",ROUND(N(T812)*J812*(1-N(K812)),2))</f>
        <v/>
      </c>
    </row>
    <row r="813">
      <c r="A813" s="63" t="n"/>
      <c r="B813" s="64" t="n"/>
      <c r="C813" s="65" t="n"/>
      <c r="D813" s="66" t="str">
        <f>IF(C813="","",IFERROR(INDEX(sup_name,MATCH($C813,sup_code,0))&amp;"","Fournisseur inconnu"))</f>
        <v/>
      </c>
      <c r="E813" s="63" t="n"/>
      <c r="F813" s="66" t="str">
        <f>IF(E813="","",IFERROR(INDEX(art_des,MATCH($E813,art_ref,0))&amp;"","Article inconnu"))</f>
        <v/>
      </c>
      <c r="G813" s="67" t="str">
        <f>IF(E813="","",IFERROR(INDEX(art_unit,MATCH($E813,art_ref,0))&amp;"",""))</f>
        <v/>
      </c>
      <c r="H813" s="68" t="n"/>
      <c r="I813" s="69" t="n"/>
      <c r="J813" s="70" t="str">
        <f>IF(E813="","",IF(ISNUMBER(I813),I813,IFERROR(IF(ISNUMBER(INDEX(art_price,MATCH($E813,art_ref,0))),INDEX(art_price,MATCH($E813,art_ref,0)),""),"")))</f>
        <v/>
      </c>
      <c r="K813" s="71" t="n"/>
      <c r="L813" s="72" t="n"/>
      <c r="M813" s="72" t="str">
        <f>IF(E813="","",IF(L813&lt;&gt;"",L813,IFERROR(IF(ISNUMBER(INDEX(art_tva,MATCH($E813,art_ref,0))),INDEX(art_tva,MATCH($E813,art_ref,0)),""),"")))</f>
        <v/>
      </c>
      <c r="N813" s="70" t="str">
        <f>IF(OR(E813="",J813=""),"",ROUND(N(H813)*J813*(1-N(K813)),2))</f>
        <v/>
      </c>
      <c r="O813" s="70" t="str">
        <f>IF(OR(N813="",NOT(ISNUMBER(M813))),"",ROUND(N813*M813,2))</f>
        <v/>
      </c>
      <c r="P813" s="70" t="str">
        <f>IF(N813="","",N813+N(O813))</f>
        <v/>
      </c>
      <c r="Q813" s="64" t="n"/>
      <c r="R813" s="73" t="str">
        <f>IF(N(Q813)&gt;0,Q813,IF(OR(N(B813)=0,ISNA(MATCH($C813,sup_code,0))),"",IF(ISNUMBER(INDEX(sup_delay,MATCH($C813,sup_code,0))),B813+INDEX(sup_delay,MATCH($C813,sup_code,0)),"")))</f>
        <v/>
      </c>
      <c r="S813" s="64" t="n"/>
      <c r="T813" s="68" t="n"/>
      <c r="U813" s="64" t="n"/>
      <c r="V813" s="65" t="n"/>
      <c r="W813" s="74" t="str">
        <f>IF(AND(A813="",E813=""),"",IF(V813="Oui",0,MAX(0,ROUND(N(H813)-N(T813),6))))</f>
        <v/>
      </c>
      <c r="X813" s="67" t="str">
        <f>IF(AND(A813="",E813=""),"",IF(V813="Oui","Annulé",IF(AND(N(H813)&gt;0,N(T813)&gt;=N(H813)),"Reçu",IF(N(S813)=0,"Brouillon",IF(AND(ISNUMBER(R813),R813&lt;p_today),"En retard",IF(N(T813)&gt;0,"Partiel","Envoyé"))))))</f>
        <v/>
      </c>
      <c r="Y813" s="75" t="str">
        <f>IF(X813="En retard",p_today-R813,IF(AND(X813="Reçu",ISNUMBER(R813)),MAX(0,N(U813)-R813),""))</f>
        <v/>
      </c>
      <c r="Z813" s="67" t="str">
        <f>IF(AND(A813="",E813=""),"",IF(A813="","N° de bon manquant",IF(N(B813)=0,"Date de commande manquante",IF(C813="","Fournisseur manquant",IF(ISNA(MATCH($C813,sup_code,0)),"Fournisseur inconnu",IF(E813="","Article manquant",IF(ISNA(MATCH($E813,art_ref,0)),"Article inconnu",IF(N(H813)&lt;=0,"Quantité invalide",IF(J813="","Prix manquant",IF(OR(N(K813)&lt;0,N(K813)&gt;=1),"Remise invalide",IF(M813="","TVA manquante",IF(ISNA(MATCH(M813,p_tva,0)),"Taux de TVA inconnu",IF(COUNTIFS(po_num,A813,po_sup,"&lt;&gt;"&amp;C813)&gt;0,"Fournisseur différent sur ce bon",IF(COUNTIFS(po_num,A813,po_date,"&lt;&gt;"&amp;B813)&gt;0,"Date différente sur ce bon",IF(COUNTIF(po_num,A813)&gt;25,"Plus de 25 lignes sur ce bon",IF(R813="","Date de livraison manquante",IF(R813&lt;B813,"Livraison avant la commande",IF(AND(N(T813)&gt;0,N(S813)=0),"Date d'envoi manquante",IF(N(T813)&gt;N(H813),"Reçu plus que commandé",IF(AND(N(T813)&gt;0,N(U813)=0),"Date de réception manquante",IF(AND(N(U813)&gt;0,U813&lt;B813),"Réception avant la commande","OK")))))))))))))))))))))</f>
        <v/>
      </c>
      <c r="AA813" s="66" t="str">
        <f>IF(AND(X813="Reçu",ISNUMBER(R813)),IF(N(U813)&lt;=R813,1,0),"")</f>
        <v/>
      </c>
      <c r="AB813" s="76" t="str">
        <f>IF(OR(X813="Envoyé",X813="Partiel",X813="En retard"),IF(ISNUMBER(R813),R813,100000)+ROW()/100000,"")</f>
        <v/>
      </c>
      <c r="AC813" s="66" t="str">
        <f>IF(A813="","",IF(COUNTIF($A$6:A813,A813)=1,1,""))</f>
        <v/>
      </c>
      <c r="AD813" s="66" t="str">
        <f>IF(AC813=1,COUNT($AC$6:AC813),"")</f>
        <v/>
      </c>
      <c r="AE813" s="66" t="str">
        <f>IFERROR(INDEX(po_num,MATCH(808,po_seq,0))&amp;"","")</f>
        <v/>
      </c>
      <c r="AF813" s="66" t="str">
        <f>IF(OR(A813="",p_po=""),"",IF(A813&amp;""=p_po,COUNTIF($A$6:A813,A813),""))</f>
        <v/>
      </c>
      <c r="AG813" s="66" t="str">
        <f>IF(OR(AB813="",A813=""),"",IF(COUNTIFS($A$6:A813,A813,$AB$6:AB813,"&gt;0")=1,1,""))</f>
        <v/>
      </c>
      <c r="AH813" s="70" t="str">
        <f>IF(AB813="","",ROUND(N(W813)*N(J813)*(1-N(K813)),2))</f>
        <v/>
      </c>
      <c r="AI813" s="70" t="str">
        <f>IF(OR(J813="",N(T813)&lt;=0,V813="Oui"),"",ROUND(N(T813)*J813*(1-N(K813)),2))</f>
        <v/>
      </c>
    </row>
    <row r="814">
      <c r="A814" s="63" t="n"/>
      <c r="B814" s="64" t="n"/>
      <c r="C814" s="65" t="n"/>
      <c r="D814" s="66" t="str">
        <f>IF(C814="","",IFERROR(INDEX(sup_name,MATCH($C814,sup_code,0))&amp;"","Fournisseur inconnu"))</f>
        <v/>
      </c>
      <c r="E814" s="63" t="n"/>
      <c r="F814" s="66" t="str">
        <f>IF(E814="","",IFERROR(INDEX(art_des,MATCH($E814,art_ref,0))&amp;"","Article inconnu"))</f>
        <v/>
      </c>
      <c r="G814" s="67" t="str">
        <f>IF(E814="","",IFERROR(INDEX(art_unit,MATCH($E814,art_ref,0))&amp;"",""))</f>
        <v/>
      </c>
      <c r="H814" s="68" t="n"/>
      <c r="I814" s="69" t="n"/>
      <c r="J814" s="70" t="str">
        <f>IF(E814="","",IF(ISNUMBER(I814),I814,IFERROR(IF(ISNUMBER(INDEX(art_price,MATCH($E814,art_ref,0))),INDEX(art_price,MATCH($E814,art_ref,0)),""),"")))</f>
        <v/>
      </c>
      <c r="K814" s="71" t="n"/>
      <c r="L814" s="72" t="n"/>
      <c r="M814" s="72" t="str">
        <f>IF(E814="","",IF(L814&lt;&gt;"",L814,IFERROR(IF(ISNUMBER(INDEX(art_tva,MATCH($E814,art_ref,0))),INDEX(art_tva,MATCH($E814,art_ref,0)),""),"")))</f>
        <v/>
      </c>
      <c r="N814" s="70" t="str">
        <f>IF(OR(E814="",J814=""),"",ROUND(N(H814)*J814*(1-N(K814)),2))</f>
        <v/>
      </c>
      <c r="O814" s="70" t="str">
        <f>IF(OR(N814="",NOT(ISNUMBER(M814))),"",ROUND(N814*M814,2))</f>
        <v/>
      </c>
      <c r="P814" s="70" t="str">
        <f>IF(N814="","",N814+N(O814))</f>
        <v/>
      </c>
      <c r="Q814" s="64" t="n"/>
      <c r="R814" s="73" t="str">
        <f>IF(N(Q814)&gt;0,Q814,IF(OR(N(B814)=0,ISNA(MATCH($C814,sup_code,0))),"",IF(ISNUMBER(INDEX(sup_delay,MATCH($C814,sup_code,0))),B814+INDEX(sup_delay,MATCH($C814,sup_code,0)),"")))</f>
        <v/>
      </c>
      <c r="S814" s="64" t="n"/>
      <c r="T814" s="68" t="n"/>
      <c r="U814" s="64" t="n"/>
      <c r="V814" s="65" t="n"/>
      <c r="W814" s="74" t="str">
        <f>IF(AND(A814="",E814=""),"",IF(V814="Oui",0,MAX(0,ROUND(N(H814)-N(T814),6))))</f>
        <v/>
      </c>
      <c r="X814" s="67" t="str">
        <f>IF(AND(A814="",E814=""),"",IF(V814="Oui","Annulé",IF(AND(N(H814)&gt;0,N(T814)&gt;=N(H814)),"Reçu",IF(N(S814)=0,"Brouillon",IF(AND(ISNUMBER(R814),R814&lt;p_today),"En retard",IF(N(T814)&gt;0,"Partiel","Envoyé"))))))</f>
        <v/>
      </c>
      <c r="Y814" s="75" t="str">
        <f>IF(X814="En retard",p_today-R814,IF(AND(X814="Reçu",ISNUMBER(R814)),MAX(0,N(U814)-R814),""))</f>
        <v/>
      </c>
      <c r="Z814" s="67" t="str">
        <f>IF(AND(A814="",E814=""),"",IF(A814="","N° de bon manquant",IF(N(B814)=0,"Date de commande manquante",IF(C814="","Fournisseur manquant",IF(ISNA(MATCH($C814,sup_code,0)),"Fournisseur inconnu",IF(E814="","Article manquant",IF(ISNA(MATCH($E814,art_ref,0)),"Article inconnu",IF(N(H814)&lt;=0,"Quantité invalide",IF(J814="","Prix manquant",IF(OR(N(K814)&lt;0,N(K814)&gt;=1),"Remise invalide",IF(M814="","TVA manquante",IF(ISNA(MATCH(M814,p_tva,0)),"Taux de TVA inconnu",IF(COUNTIFS(po_num,A814,po_sup,"&lt;&gt;"&amp;C814)&gt;0,"Fournisseur différent sur ce bon",IF(COUNTIFS(po_num,A814,po_date,"&lt;&gt;"&amp;B814)&gt;0,"Date différente sur ce bon",IF(COUNTIF(po_num,A814)&gt;25,"Plus de 25 lignes sur ce bon",IF(R814="","Date de livraison manquante",IF(R814&lt;B814,"Livraison avant la commande",IF(AND(N(T814)&gt;0,N(S814)=0),"Date d'envoi manquante",IF(N(T814)&gt;N(H814),"Reçu plus que commandé",IF(AND(N(T814)&gt;0,N(U814)=0),"Date de réception manquante",IF(AND(N(U814)&gt;0,U814&lt;B814),"Réception avant la commande","OK")))))))))))))))))))))</f>
        <v/>
      </c>
      <c r="AA814" s="66" t="str">
        <f>IF(AND(X814="Reçu",ISNUMBER(R814)),IF(N(U814)&lt;=R814,1,0),"")</f>
        <v/>
      </c>
      <c r="AB814" s="76" t="str">
        <f>IF(OR(X814="Envoyé",X814="Partiel",X814="En retard"),IF(ISNUMBER(R814),R814,100000)+ROW()/100000,"")</f>
        <v/>
      </c>
      <c r="AC814" s="66" t="str">
        <f>IF(A814="","",IF(COUNTIF($A$6:A814,A814)=1,1,""))</f>
        <v/>
      </c>
      <c r="AD814" s="66" t="str">
        <f>IF(AC814=1,COUNT($AC$6:AC814),"")</f>
        <v/>
      </c>
      <c r="AE814" s="66" t="str">
        <f>IFERROR(INDEX(po_num,MATCH(809,po_seq,0))&amp;"","")</f>
        <v/>
      </c>
      <c r="AF814" s="66" t="str">
        <f>IF(OR(A814="",p_po=""),"",IF(A814&amp;""=p_po,COUNTIF($A$6:A814,A814),""))</f>
        <v/>
      </c>
      <c r="AG814" s="66" t="str">
        <f>IF(OR(AB814="",A814=""),"",IF(COUNTIFS($A$6:A814,A814,$AB$6:AB814,"&gt;0")=1,1,""))</f>
        <v/>
      </c>
      <c r="AH814" s="70" t="str">
        <f>IF(AB814="","",ROUND(N(W814)*N(J814)*(1-N(K814)),2))</f>
        <v/>
      </c>
      <c r="AI814" s="70" t="str">
        <f>IF(OR(J814="",N(T814)&lt;=0,V814="Oui"),"",ROUND(N(T814)*J814*(1-N(K814)),2))</f>
        <v/>
      </c>
    </row>
    <row r="815">
      <c r="A815" s="63" t="n"/>
      <c r="B815" s="64" t="n"/>
      <c r="C815" s="65" t="n"/>
      <c r="D815" s="66" t="str">
        <f>IF(C815="","",IFERROR(INDEX(sup_name,MATCH($C815,sup_code,0))&amp;"","Fournisseur inconnu"))</f>
        <v/>
      </c>
      <c r="E815" s="63" t="n"/>
      <c r="F815" s="66" t="str">
        <f>IF(E815="","",IFERROR(INDEX(art_des,MATCH($E815,art_ref,0))&amp;"","Article inconnu"))</f>
        <v/>
      </c>
      <c r="G815" s="67" t="str">
        <f>IF(E815="","",IFERROR(INDEX(art_unit,MATCH($E815,art_ref,0))&amp;"",""))</f>
        <v/>
      </c>
      <c r="H815" s="68" t="n"/>
      <c r="I815" s="69" t="n"/>
      <c r="J815" s="70" t="str">
        <f>IF(E815="","",IF(ISNUMBER(I815),I815,IFERROR(IF(ISNUMBER(INDEX(art_price,MATCH($E815,art_ref,0))),INDEX(art_price,MATCH($E815,art_ref,0)),""),"")))</f>
        <v/>
      </c>
      <c r="K815" s="71" t="n"/>
      <c r="L815" s="72" t="n"/>
      <c r="M815" s="72" t="str">
        <f>IF(E815="","",IF(L815&lt;&gt;"",L815,IFERROR(IF(ISNUMBER(INDEX(art_tva,MATCH($E815,art_ref,0))),INDEX(art_tva,MATCH($E815,art_ref,0)),""),"")))</f>
        <v/>
      </c>
      <c r="N815" s="70" t="str">
        <f>IF(OR(E815="",J815=""),"",ROUND(N(H815)*J815*(1-N(K815)),2))</f>
        <v/>
      </c>
      <c r="O815" s="70" t="str">
        <f>IF(OR(N815="",NOT(ISNUMBER(M815))),"",ROUND(N815*M815,2))</f>
        <v/>
      </c>
      <c r="P815" s="70" t="str">
        <f>IF(N815="","",N815+N(O815))</f>
        <v/>
      </c>
      <c r="Q815" s="64" t="n"/>
      <c r="R815" s="73" t="str">
        <f>IF(N(Q815)&gt;0,Q815,IF(OR(N(B815)=0,ISNA(MATCH($C815,sup_code,0))),"",IF(ISNUMBER(INDEX(sup_delay,MATCH($C815,sup_code,0))),B815+INDEX(sup_delay,MATCH($C815,sup_code,0)),"")))</f>
        <v/>
      </c>
      <c r="S815" s="64" t="n"/>
      <c r="T815" s="68" t="n"/>
      <c r="U815" s="64" t="n"/>
      <c r="V815" s="65" t="n"/>
      <c r="W815" s="74" t="str">
        <f>IF(AND(A815="",E815=""),"",IF(V815="Oui",0,MAX(0,ROUND(N(H815)-N(T815),6))))</f>
        <v/>
      </c>
      <c r="X815" s="67" t="str">
        <f>IF(AND(A815="",E815=""),"",IF(V815="Oui","Annulé",IF(AND(N(H815)&gt;0,N(T815)&gt;=N(H815)),"Reçu",IF(N(S815)=0,"Brouillon",IF(AND(ISNUMBER(R815),R815&lt;p_today),"En retard",IF(N(T815)&gt;0,"Partiel","Envoyé"))))))</f>
        <v/>
      </c>
      <c r="Y815" s="75" t="str">
        <f>IF(X815="En retard",p_today-R815,IF(AND(X815="Reçu",ISNUMBER(R815)),MAX(0,N(U815)-R815),""))</f>
        <v/>
      </c>
      <c r="Z815" s="67" t="str">
        <f>IF(AND(A815="",E815=""),"",IF(A815="","N° de bon manquant",IF(N(B815)=0,"Date de commande manquante",IF(C815="","Fournisseur manquant",IF(ISNA(MATCH($C815,sup_code,0)),"Fournisseur inconnu",IF(E815="","Article manquant",IF(ISNA(MATCH($E815,art_ref,0)),"Article inconnu",IF(N(H815)&lt;=0,"Quantité invalide",IF(J815="","Prix manquant",IF(OR(N(K815)&lt;0,N(K815)&gt;=1),"Remise invalide",IF(M815="","TVA manquante",IF(ISNA(MATCH(M815,p_tva,0)),"Taux de TVA inconnu",IF(COUNTIFS(po_num,A815,po_sup,"&lt;&gt;"&amp;C815)&gt;0,"Fournisseur différent sur ce bon",IF(COUNTIFS(po_num,A815,po_date,"&lt;&gt;"&amp;B815)&gt;0,"Date différente sur ce bon",IF(COUNTIF(po_num,A815)&gt;25,"Plus de 25 lignes sur ce bon",IF(R815="","Date de livraison manquante",IF(R815&lt;B815,"Livraison avant la commande",IF(AND(N(T815)&gt;0,N(S815)=0),"Date d'envoi manquante",IF(N(T815)&gt;N(H815),"Reçu plus que commandé",IF(AND(N(T815)&gt;0,N(U815)=0),"Date de réception manquante",IF(AND(N(U815)&gt;0,U815&lt;B815),"Réception avant la commande","OK")))))))))))))))))))))</f>
        <v/>
      </c>
      <c r="AA815" s="66" t="str">
        <f>IF(AND(X815="Reçu",ISNUMBER(R815)),IF(N(U815)&lt;=R815,1,0),"")</f>
        <v/>
      </c>
      <c r="AB815" s="76" t="str">
        <f>IF(OR(X815="Envoyé",X815="Partiel",X815="En retard"),IF(ISNUMBER(R815),R815,100000)+ROW()/100000,"")</f>
        <v/>
      </c>
      <c r="AC815" s="66" t="str">
        <f>IF(A815="","",IF(COUNTIF($A$6:A815,A815)=1,1,""))</f>
        <v/>
      </c>
      <c r="AD815" s="66" t="str">
        <f>IF(AC815=1,COUNT($AC$6:AC815),"")</f>
        <v/>
      </c>
      <c r="AE815" s="66" t="str">
        <f>IFERROR(INDEX(po_num,MATCH(810,po_seq,0))&amp;"","")</f>
        <v/>
      </c>
      <c r="AF815" s="66" t="str">
        <f>IF(OR(A815="",p_po=""),"",IF(A815&amp;""=p_po,COUNTIF($A$6:A815,A815),""))</f>
        <v/>
      </c>
      <c r="AG815" s="66" t="str">
        <f>IF(OR(AB815="",A815=""),"",IF(COUNTIFS($A$6:A815,A815,$AB$6:AB815,"&gt;0")=1,1,""))</f>
        <v/>
      </c>
      <c r="AH815" s="70" t="str">
        <f>IF(AB815="","",ROUND(N(W815)*N(J815)*(1-N(K815)),2))</f>
        <v/>
      </c>
      <c r="AI815" s="70" t="str">
        <f>IF(OR(J815="",N(T815)&lt;=0,V815="Oui"),"",ROUND(N(T815)*J815*(1-N(K815)),2))</f>
        <v/>
      </c>
    </row>
    <row r="816">
      <c r="A816" s="63" t="n"/>
      <c r="B816" s="64" t="n"/>
      <c r="C816" s="65" t="n"/>
      <c r="D816" s="66" t="str">
        <f>IF(C816="","",IFERROR(INDEX(sup_name,MATCH($C816,sup_code,0))&amp;"","Fournisseur inconnu"))</f>
        <v/>
      </c>
      <c r="E816" s="63" t="n"/>
      <c r="F816" s="66" t="str">
        <f>IF(E816="","",IFERROR(INDEX(art_des,MATCH($E816,art_ref,0))&amp;"","Article inconnu"))</f>
        <v/>
      </c>
      <c r="G816" s="67" t="str">
        <f>IF(E816="","",IFERROR(INDEX(art_unit,MATCH($E816,art_ref,0))&amp;"",""))</f>
        <v/>
      </c>
      <c r="H816" s="68" t="n"/>
      <c r="I816" s="69" t="n"/>
      <c r="J816" s="70" t="str">
        <f>IF(E816="","",IF(ISNUMBER(I816),I816,IFERROR(IF(ISNUMBER(INDEX(art_price,MATCH($E816,art_ref,0))),INDEX(art_price,MATCH($E816,art_ref,0)),""),"")))</f>
        <v/>
      </c>
      <c r="K816" s="71" t="n"/>
      <c r="L816" s="72" t="n"/>
      <c r="M816" s="72" t="str">
        <f>IF(E816="","",IF(L816&lt;&gt;"",L816,IFERROR(IF(ISNUMBER(INDEX(art_tva,MATCH($E816,art_ref,0))),INDEX(art_tva,MATCH($E816,art_ref,0)),""),"")))</f>
        <v/>
      </c>
      <c r="N816" s="70" t="str">
        <f>IF(OR(E816="",J816=""),"",ROUND(N(H816)*J816*(1-N(K816)),2))</f>
        <v/>
      </c>
      <c r="O816" s="70" t="str">
        <f>IF(OR(N816="",NOT(ISNUMBER(M816))),"",ROUND(N816*M816,2))</f>
        <v/>
      </c>
      <c r="P816" s="70" t="str">
        <f>IF(N816="","",N816+N(O816))</f>
        <v/>
      </c>
      <c r="Q816" s="64" t="n"/>
      <c r="R816" s="73" t="str">
        <f>IF(N(Q816)&gt;0,Q816,IF(OR(N(B816)=0,ISNA(MATCH($C816,sup_code,0))),"",IF(ISNUMBER(INDEX(sup_delay,MATCH($C816,sup_code,0))),B816+INDEX(sup_delay,MATCH($C816,sup_code,0)),"")))</f>
        <v/>
      </c>
      <c r="S816" s="64" t="n"/>
      <c r="T816" s="68" t="n"/>
      <c r="U816" s="64" t="n"/>
      <c r="V816" s="65" t="n"/>
      <c r="W816" s="74" t="str">
        <f>IF(AND(A816="",E816=""),"",IF(V816="Oui",0,MAX(0,ROUND(N(H816)-N(T816),6))))</f>
        <v/>
      </c>
      <c r="X816" s="67" t="str">
        <f>IF(AND(A816="",E816=""),"",IF(V816="Oui","Annulé",IF(AND(N(H816)&gt;0,N(T816)&gt;=N(H816)),"Reçu",IF(N(S816)=0,"Brouillon",IF(AND(ISNUMBER(R816),R816&lt;p_today),"En retard",IF(N(T816)&gt;0,"Partiel","Envoyé"))))))</f>
        <v/>
      </c>
      <c r="Y816" s="75" t="str">
        <f>IF(X816="En retard",p_today-R816,IF(AND(X816="Reçu",ISNUMBER(R816)),MAX(0,N(U816)-R816),""))</f>
        <v/>
      </c>
      <c r="Z816" s="67" t="str">
        <f>IF(AND(A816="",E816=""),"",IF(A816="","N° de bon manquant",IF(N(B816)=0,"Date de commande manquante",IF(C816="","Fournisseur manquant",IF(ISNA(MATCH($C816,sup_code,0)),"Fournisseur inconnu",IF(E816="","Article manquant",IF(ISNA(MATCH($E816,art_ref,0)),"Article inconnu",IF(N(H816)&lt;=0,"Quantité invalide",IF(J816="","Prix manquant",IF(OR(N(K816)&lt;0,N(K816)&gt;=1),"Remise invalide",IF(M816="","TVA manquante",IF(ISNA(MATCH(M816,p_tva,0)),"Taux de TVA inconnu",IF(COUNTIFS(po_num,A816,po_sup,"&lt;&gt;"&amp;C816)&gt;0,"Fournisseur différent sur ce bon",IF(COUNTIFS(po_num,A816,po_date,"&lt;&gt;"&amp;B816)&gt;0,"Date différente sur ce bon",IF(COUNTIF(po_num,A816)&gt;25,"Plus de 25 lignes sur ce bon",IF(R816="","Date de livraison manquante",IF(R816&lt;B816,"Livraison avant la commande",IF(AND(N(T816)&gt;0,N(S816)=0),"Date d'envoi manquante",IF(N(T816)&gt;N(H816),"Reçu plus que commandé",IF(AND(N(T816)&gt;0,N(U816)=0),"Date de réception manquante",IF(AND(N(U816)&gt;0,U816&lt;B816),"Réception avant la commande","OK")))))))))))))))))))))</f>
        <v/>
      </c>
      <c r="AA816" s="66" t="str">
        <f>IF(AND(X816="Reçu",ISNUMBER(R816)),IF(N(U816)&lt;=R816,1,0),"")</f>
        <v/>
      </c>
      <c r="AB816" s="76" t="str">
        <f>IF(OR(X816="Envoyé",X816="Partiel",X816="En retard"),IF(ISNUMBER(R816),R816,100000)+ROW()/100000,"")</f>
        <v/>
      </c>
      <c r="AC816" s="66" t="str">
        <f>IF(A816="","",IF(COUNTIF($A$6:A816,A816)=1,1,""))</f>
        <v/>
      </c>
      <c r="AD816" s="66" t="str">
        <f>IF(AC816=1,COUNT($AC$6:AC816),"")</f>
        <v/>
      </c>
      <c r="AE816" s="66" t="str">
        <f>IFERROR(INDEX(po_num,MATCH(811,po_seq,0))&amp;"","")</f>
        <v/>
      </c>
      <c r="AF816" s="66" t="str">
        <f>IF(OR(A816="",p_po=""),"",IF(A816&amp;""=p_po,COUNTIF($A$6:A816,A816),""))</f>
        <v/>
      </c>
      <c r="AG816" s="66" t="str">
        <f>IF(OR(AB816="",A816=""),"",IF(COUNTIFS($A$6:A816,A816,$AB$6:AB816,"&gt;0")=1,1,""))</f>
        <v/>
      </c>
      <c r="AH816" s="70" t="str">
        <f>IF(AB816="","",ROUND(N(W816)*N(J816)*(1-N(K816)),2))</f>
        <v/>
      </c>
      <c r="AI816" s="70" t="str">
        <f>IF(OR(J816="",N(T816)&lt;=0,V816="Oui"),"",ROUND(N(T816)*J816*(1-N(K816)),2))</f>
        <v/>
      </c>
    </row>
    <row r="817">
      <c r="A817" s="63" t="n"/>
      <c r="B817" s="64" t="n"/>
      <c r="C817" s="65" t="n"/>
      <c r="D817" s="66" t="str">
        <f>IF(C817="","",IFERROR(INDEX(sup_name,MATCH($C817,sup_code,0))&amp;"","Fournisseur inconnu"))</f>
        <v/>
      </c>
      <c r="E817" s="63" t="n"/>
      <c r="F817" s="66" t="str">
        <f>IF(E817="","",IFERROR(INDEX(art_des,MATCH($E817,art_ref,0))&amp;"","Article inconnu"))</f>
        <v/>
      </c>
      <c r="G817" s="67" t="str">
        <f>IF(E817="","",IFERROR(INDEX(art_unit,MATCH($E817,art_ref,0))&amp;"",""))</f>
        <v/>
      </c>
      <c r="H817" s="68" t="n"/>
      <c r="I817" s="69" t="n"/>
      <c r="J817" s="70" t="str">
        <f>IF(E817="","",IF(ISNUMBER(I817),I817,IFERROR(IF(ISNUMBER(INDEX(art_price,MATCH($E817,art_ref,0))),INDEX(art_price,MATCH($E817,art_ref,0)),""),"")))</f>
        <v/>
      </c>
      <c r="K817" s="71" t="n"/>
      <c r="L817" s="72" t="n"/>
      <c r="M817" s="72" t="str">
        <f>IF(E817="","",IF(L817&lt;&gt;"",L817,IFERROR(IF(ISNUMBER(INDEX(art_tva,MATCH($E817,art_ref,0))),INDEX(art_tva,MATCH($E817,art_ref,0)),""),"")))</f>
        <v/>
      </c>
      <c r="N817" s="70" t="str">
        <f>IF(OR(E817="",J817=""),"",ROUND(N(H817)*J817*(1-N(K817)),2))</f>
        <v/>
      </c>
      <c r="O817" s="70" t="str">
        <f>IF(OR(N817="",NOT(ISNUMBER(M817))),"",ROUND(N817*M817,2))</f>
        <v/>
      </c>
      <c r="P817" s="70" t="str">
        <f>IF(N817="","",N817+N(O817))</f>
        <v/>
      </c>
      <c r="Q817" s="64" t="n"/>
      <c r="R817" s="73" t="str">
        <f>IF(N(Q817)&gt;0,Q817,IF(OR(N(B817)=0,ISNA(MATCH($C817,sup_code,0))),"",IF(ISNUMBER(INDEX(sup_delay,MATCH($C817,sup_code,0))),B817+INDEX(sup_delay,MATCH($C817,sup_code,0)),"")))</f>
        <v/>
      </c>
      <c r="S817" s="64" t="n"/>
      <c r="T817" s="68" t="n"/>
      <c r="U817" s="64" t="n"/>
      <c r="V817" s="65" t="n"/>
      <c r="W817" s="74" t="str">
        <f>IF(AND(A817="",E817=""),"",IF(V817="Oui",0,MAX(0,ROUND(N(H817)-N(T817),6))))</f>
        <v/>
      </c>
      <c r="X817" s="67" t="str">
        <f>IF(AND(A817="",E817=""),"",IF(V817="Oui","Annulé",IF(AND(N(H817)&gt;0,N(T817)&gt;=N(H817)),"Reçu",IF(N(S817)=0,"Brouillon",IF(AND(ISNUMBER(R817),R817&lt;p_today),"En retard",IF(N(T817)&gt;0,"Partiel","Envoyé"))))))</f>
        <v/>
      </c>
      <c r="Y817" s="75" t="str">
        <f>IF(X817="En retard",p_today-R817,IF(AND(X817="Reçu",ISNUMBER(R817)),MAX(0,N(U817)-R817),""))</f>
        <v/>
      </c>
      <c r="Z817" s="67" t="str">
        <f>IF(AND(A817="",E817=""),"",IF(A817="","N° de bon manquant",IF(N(B817)=0,"Date de commande manquante",IF(C817="","Fournisseur manquant",IF(ISNA(MATCH($C817,sup_code,0)),"Fournisseur inconnu",IF(E817="","Article manquant",IF(ISNA(MATCH($E817,art_ref,0)),"Article inconnu",IF(N(H817)&lt;=0,"Quantité invalide",IF(J817="","Prix manquant",IF(OR(N(K817)&lt;0,N(K817)&gt;=1),"Remise invalide",IF(M817="","TVA manquante",IF(ISNA(MATCH(M817,p_tva,0)),"Taux de TVA inconnu",IF(COUNTIFS(po_num,A817,po_sup,"&lt;&gt;"&amp;C817)&gt;0,"Fournisseur différent sur ce bon",IF(COUNTIFS(po_num,A817,po_date,"&lt;&gt;"&amp;B817)&gt;0,"Date différente sur ce bon",IF(COUNTIF(po_num,A817)&gt;25,"Plus de 25 lignes sur ce bon",IF(R817="","Date de livraison manquante",IF(R817&lt;B817,"Livraison avant la commande",IF(AND(N(T817)&gt;0,N(S817)=0),"Date d'envoi manquante",IF(N(T817)&gt;N(H817),"Reçu plus que commandé",IF(AND(N(T817)&gt;0,N(U817)=0),"Date de réception manquante",IF(AND(N(U817)&gt;0,U817&lt;B817),"Réception avant la commande","OK")))))))))))))))))))))</f>
        <v/>
      </c>
      <c r="AA817" s="66" t="str">
        <f>IF(AND(X817="Reçu",ISNUMBER(R817)),IF(N(U817)&lt;=R817,1,0),"")</f>
        <v/>
      </c>
      <c r="AB817" s="76" t="str">
        <f>IF(OR(X817="Envoyé",X817="Partiel",X817="En retard"),IF(ISNUMBER(R817),R817,100000)+ROW()/100000,"")</f>
        <v/>
      </c>
      <c r="AC817" s="66" t="str">
        <f>IF(A817="","",IF(COUNTIF($A$6:A817,A817)=1,1,""))</f>
        <v/>
      </c>
      <c r="AD817" s="66" t="str">
        <f>IF(AC817=1,COUNT($AC$6:AC817),"")</f>
        <v/>
      </c>
      <c r="AE817" s="66" t="str">
        <f>IFERROR(INDEX(po_num,MATCH(812,po_seq,0))&amp;"","")</f>
        <v/>
      </c>
      <c r="AF817" s="66" t="str">
        <f>IF(OR(A817="",p_po=""),"",IF(A817&amp;""=p_po,COUNTIF($A$6:A817,A817),""))</f>
        <v/>
      </c>
      <c r="AG817" s="66" t="str">
        <f>IF(OR(AB817="",A817=""),"",IF(COUNTIFS($A$6:A817,A817,$AB$6:AB817,"&gt;0")=1,1,""))</f>
        <v/>
      </c>
      <c r="AH817" s="70" t="str">
        <f>IF(AB817="","",ROUND(N(W817)*N(J817)*(1-N(K817)),2))</f>
        <v/>
      </c>
      <c r="AI817" s="70" t="str">
        <f>IF(OR(J817="",N(T817)&lt;=0,V817="Oui"),"",ROUND(N(T817)*J817*(1-N(K817)),2))</f>
        <v/>
      </c>
    </row>
    <row r="818">
      <c r="A818" s="63" t="n"/>
      <c r="B818" s="64" t="n"/>
      <c r="C818" s="65" t="n"/>
      <c r="D818" s="66" t="str">
        <f>IF(C818="","",IFERROR(INDEX(sup_name,MATCH($C818,sup_code,0))&amp;"","Fournisseur inconnu"))</f>
        <v/>
      </c>
      <c r="E818" s="63" t="n"/>
      <c r="F818" s="66" t="str">
        <f>IF(E818="","",IFERROR(INDEX(art_des,MATCH($E818,art_ref,0))&amp;"","Article inconnu"))</f>
        <v/>
      </c>
      <c r="G818" s="67" t="str">
        <f>IF(E818="","",IFERROR(INDEX(art_unit,MATCH($E818,art_ref,0))&amp;"",""))</f>
        <v/>
      </c>
      <c r="H818" s="68" t="n"/>
      <c r="I818" s="69" t="n"/>
      <c r="J818" s="70" t="str">
        <f>IF(E818="","",IF(ISNUMBER(I818),I818,IFERROR(IF(ISNUMBER(INDEX(art_price,MATCH($E818,art_ref,0))),INDEX(art_price,MATCH($E818,art_ref,0)),""),"")))</f>
        <v/>
      </c>
      <c r="K818" s="71" t="n"/>
      <c r="L818" s="72" t="n"/>
      <c r="M818" s="72" t="str">
        <f>IF(E818="","",IF(L818&lt;&gt;"",L818,IFERROR(IF(ISNUMBER(INDEX(art_tva,MATCH($E818,art_ref,0))),INDEX(art_tva,MATCH($E818,art_ref,0)),""),"")))</f>
        <v/>
      </c>
      <c r="N818" s="70" t="str">
        <f>IF(OR(E818="",J818=""),"",ROUND(N(H818)*J818*(1-N(K818)),2))</f>
        <v/>
      </c>
      <c r="O818" s="70" t="str">
        <f>IF(OR(N818="",NOT(ISNUMBER(M818))),"",ROUND(N818*M818,2))</f>
        <v/>
      </c>
      <c r="P818" s="70" t="str">
        <f>IF(N818="","",N818+N(O818))</f>
        <v/>
      </c>
      <c r="Q818" s="64" t="n"/>
      <c r="R818" s="73" t="str">
        <f>IF(N(Q818)&gt;0,Q818,IF(OR(N(B818)=0,ISNA(MATCH($C818,sup_code,0))),"",IF(ISNUMBER(INDEX(sup_delay,MATCH($C818,sup_code,0))),B818+INDEX(sup_delay,MATCH($C818,sup_code,0)),"")))</f>
        <v/>
      </c>
      <c r="S818" s="64" t="n"/>
      <c r="T818" s="68" t="n"/>
      <c r="U818" s="64" t="n"/>
      <c r="V818" s="65" t="n"/>
      <c r="W818" s="74" t="str">
        <f>IF(AND(A818="",E818=""),"",IF(V818="Oui",0,MAX(0,ROUND(N(H818)-N(T818),6))))</f>
        <v/>
      </c>
      <c r="X818" s="67" t="str">
        <f>IF(AND(A818="",E818=""),"",IF(V818="Oui","Annulé",IF(AND(N(H818)&gt;0,N(T818)&gt;=N(H818)),"Reçu",IF(N(S818)=0,"Brouillon",IF(AND(ISNUMBER(R818),R818&lt;p_today),"En retard",IF(N(T818)&gt;0,"Partiel","Envoyé"))))))</f>
        <v/>
      </c>
      <c r="Y818" s="75" t="str">
        <f>IF(X818="En retard",p_today-R818,IF(AND(X818="Reçu",ISNUMBER(R818)),MAX(0,N(U818)-R818),""))</f>
        <v/>
      </c>
      <c r="Z818" s="67" t="str">
        <f>IF(AND(A818="",E818=""),"",IF(A818="","N° de bon manquant",IF(N(B818)=0,"Date de commande manquante",IF(C818="","Fournisseur manquant",IF(ISNA(MATCH($C818,sup_code,0)),"Fournisseur inconnu",IF(E818="","Article manquant",IF(ISNA(MATCH($E818,art_ref,0)),"Article inconnu",IF(N(H818)&lt;=0,"Quantité invalide",IF(J818="","Prix manquant",IF(OR(N(K818)&lt;0,N(K818)&gt;=1),"Remise invalide",IF(M818="","TVA manquante",IF(ISNA(MATCH(M818,p_tva,0)),"Taux de TVA inconnu",IF(COUNTIFS(po_num,A818,po_sup,"&lt;&gt;"&amp;C818)&gt;0,"Fournisseur différent sur ce bon",IF(COUNTIFS(po_num,A818,po_date,"&lt;&gt;"&amp;B818)&gt;0,"Date différente sur ce bon",IF(COUNTIF(po_num,A818)&gt;25,"Plus de 25 lignes sur ce bon",IF(R818="","Date de livraison manquante",IF(R818&lt;B818,"Livraison avant la commande",IF(AND(N(T818)&gt;0,N(S818)=0),"Date d'envoi manquante",IF(N(T818)&gt;N(H818),"Reçu plus que commandé",IF(AND(N(T818)&gt;0,N(U818)=0),"Date de réception manquante",IF(AND(N(U818)&gt;0,U818&lt;B818),"Réception avant la commande","OK")))))))))))))))))))))</f>
        <v/>
      </c>
      <c r="AA818" s="66" t="str">
        <f>IF(AND(X818="Reçu",ISNUMBER(R818)),IF(N(U818)&lt;=R818,1,0),"")</f>
        <v/>
      </c>
      <c r="AB818" s="76" t="str">
        <f>IF(OR(X818="Envoyé",X818="Partiel",X818="En retard"),IF(ISNUMBER(R818),R818,100000)+ROW()/100000,"")</f>
        <v/>
      </c>
      <c r="AC818" s="66" t="str">
        <f>IF(A818="","",IF(COUNTIF($A$6:A818,A818)=1,1,""))</f>
        <v/>
      </c>
      <c r="AD818" s="66" t="str">
        <f>IF(AC818=1,COUNT($AC$6:AC818),"")</f>
        <v/>
      </c>
      <c r="AE818" s="66" t="str">
        <f>IFERROR(INDEX(po_num,MATCH(813,po_seq,0))&amp;"","")</f>
        <v/>
      </c>
      <c r="AF818" s="66" t="str">
        <f>IF(OR(A818="",p_po=""),"",IF(A818&amp;""=p_po,COUNTIF($A$6:A818,A818),""))</f>
        <v/>
      </c>
      <c r="AG818" s="66" t="str">
        <f>IF(OR(AB818="",A818=""),"",IF(COUNTIFS($A$6:A818,A818,$AB$6:AB818,"&gt;0")=1,1,""))</f>
        <v/>
      </c>
      <c r="AH818" s="70" t="str">
        <f>IF(AB818="","",ROUND(N(W818)*N(J818)*(1-N(K818)),2))</f>
        <v/>
      </c>
      <c r="AI818" s="70" t="str">
        <f>IF(OR(J818="",N(T818)&lt;=0,V818="Oui"),"",ROUND(N(T818)*J818*(1-N(K818)),2))</f>
        <v/>
      </c>
    </row>
    <row r="819">
      <c r="A819" s="63" t="n"/>
      <c r="B819" s="64" t="n"/>
      <c r="C819" s="65" t="n"/>
      <c r="D819" s="66" t="str">
        <f>IF(C819="","",IFERROR(INDEX(sup_name,MATCH($C819,sup_code,0))&amp;"","Fournisseur inconnu"))</f>
        <v/>
      </c>
      <c r="E819" s="63" t="n"/>
      <c r="F819" s="66" t="str">
        <f>IF(E819="","",IFERROR(INDEX(art_des,MATCH($E819,art_ref,0))&amp;"","Article inconnu"))</f>
        <v/>
      </c>
      <c r="G819" s="67" t="str">
        <f>IF(E819="","",IFERROR(INDEX(art_unit,MATCH($E819,art_ref,0))&amp;"",""))</f>
        <v/>
      </c>
      <c r="H819" s="68" t="n"/>
      <c r="I819" s="69" t="n"/>
      <c r="J819" s="70" t="str">
        <f>IF(E819="","",IF(ISNUMBER(I819),I819,IFERROR(IF(ISNUMBER(INDEX(art_price,MATCH($E819,art_ref,0))),INDEX(art_price,MATCH($E819,art_ref,0)),""),"")))</f>
        <v/>
      </c>
      <c r="K819" s="71" t="n"/>
      <c r="L819" s="72" t="n"/>
      <c r="M819" s="72" t="str">
        <f>IF(E819="","",IF(L819&lt;&gt;"",L819,IFERROR(IF(ISNUMBER(INDEX(art_tva,MATCH($E819,art_ref,0))),INDEX(art_tva,MATCH($E819,art_ref,0)),""),"")))</f>
        <v/>
      </c>
      <c r="N819" s="70" t="str">
        <f>IF(OR(E819="",J819=""),"",ROUND(N(H819)*J819*(1-N(K819)),2))</f>
        <v/>
      </c>
      <c r="O819" s="70" t="str">
        <f>IF(OR(N819="",NOT(ISNUMBER(M819))),"",ROUND(N819*M819,2))</f>
        <v/>
      </c>
      <c r="P819" s="70" t="str">
        <f>IF(N819="","",N819+N(O819))</f>
        <v/>
      </c>
      <c r="Q819" s="64" t="n"/>
      <c r="R819" s="73" t="str">
        <f>IF(N(Q819)&gt;0,Q819,IF(OR(N(B819)=0,ISNA(MATCH($C819,sup_code,0))),"",IF(ISNUMBER(INDEX(sup_delay,MATCH($C819,sup_code,0))),B819+INDEX(sup_delay,MATCH($C819,sup_code,0)),"")))</f>
        <v/>
      </c>
      <c r="S819" s="64" t="n"/>
      <c r="T819" s="68" t="n"/>
      <c r="U819" s="64" t="n"/>
      <c r="V819" s="65" t="n"/>
      <c r="W819" s="74" t="str">
        <f>IF(AND(A819="",E819=""),"",IF(V819="Oui",0,MAX(0,ROUND(N(H819)-N(T819),6))))</f>
        <v/>
      </c>
      <c r="X819" s="67" t="str">
        <f>IF(AND(A819="",E819=""),"",IF(V819="Oui","Annulé",IF(AND(N(H819)&gt;0,N(T819)&gt;=N(H819)),"Reçu",IF(N(S819)=0,"Brouillon",IF(AND(ISNUMBER(R819),R819&lt;p_today),"En retard",IF(N(T819)&gt;0,"Partiel","Envoyé"))))))</f>
        <v/>
      </c>
      <c r="Y819" s="75" t="str">
        <f>IF(X819="En retard",p_today-R819,IF(AND(X819="Reçu",ISNUMBER(R819)),MAX(0,N(U819)-R819),""))</f>
        <v/>
      </c>
      <c r="Z819" s="67" t="str">
        <f>IF(AND(A819="",E819=""),"",IF(A819="","N° de bon manquant",IF(N(B819)=0,"Date de commande manquante",IF(C819="","Fournisseur manquant",IF(ISNA(MATCH($C819,sup_code,0)),"Fournisseur inconnu",IF(E819="","Article manquant",IF(ISNA(MATCH($E819,art_ref,0)),"Article inconnu",IF(N(H819)&lt;=0,"Quantité invalide",IF(J819="","Prix manquant",IF(OR(N(K819)&lt;0,N(K819)&gt;=1),"Remise invalide",IF(M819="","TVA manquante",IF(ISNA(MATCH(M819,p_tva,0)),"Taux de TVA inconnu",IF(COUNTIFS(po_num,A819,po_sup,"&lt;&gt;"&amp;C819)&gt;0,"Fournisseur différent sur ce bon",IF(COUNTIFS(po_num,A819,po_date,"&lt;&gt;"&amp;B819)&gt;0,"Date différente sur ce bon",IF(COUNTIF(po_num,A819)&gt;25,"Plus de 25 lignes sur ce bon",IF(R819="","Date de livraison manquante",IF(R819&lt;B819,"Livraison avant la commande",IF(AND(N(T819)&gt;0,N(S819)=0),"Date d'envoi manquante",IF(N(T819)&gt;N(H819),"Reçu plus que commandé",IF(AND(N(T819)&gt;0,N(U819)=0),"Date de réception manquante",IF(AND(N(U819)&gt;0,U819&lt;B819),"Réception avant la commande","OK")))))))))))))))))))))</f>
        <v/>
      </c>
      <c r="AA819" s="66" t="str">
        <f>IF(AND(X819="Reçu",ISNUMBER(R819)),IF(N(U819)&lt;=R819,1,0),"")</f>
        <v/>
      </c>
      <c r="AB819" s="76" t="str">
        <f>IF(OR(X819="Envoyé",X819="Partiel",X819="En retard"),IF(ISNUMBER(R819),R819,100000)+ROW()/100000,"")</f>
        <v/>
      </c>
      <c r="AC819" s="66" t="str">
        <f>IF(A819="","",IF(COUNTIF($A$6:A819,A819)=1,1,""))</f>
        <v/>
      </c>
      <c r="AD819" s="66" t="str">
        <f>IF(AC819=1,COUNT($AC$6:AC819),"")</f>
        <v/>
      </c>
      <c r="AE819" s="66" t="str">
        <f>IFERROR(INDEX(po_num,MATCH(814,po_seq,0))&amp;"","")</f>
        <v/>
      </c>
      <c r="AF819" s="66" t="str">
        <f>IF(OR(A819="",p_po=""),"",IF(A819&amp;""=p_po,COUNTIF($A$6:A819,A819),""))</f>
        <v/>
      </c>
      <c r="AG819" s="66" t="str">
        <f>IF(OR(AB819="",A819=""),"",IF(COUNTIFS($A$6:A819,A819,$AB$6:AB819,"&gt;0")=1,1,""))</f>
        <v/>
      </c>
      <c r="AH819" s="70" t="str">
        <f>IF(AB819="","",ROUND(N(W819)*N(J819)*(1-N(K819)),2))</f>
        <v/>
      </c>
      <c r="AI819" s="70" t="str">
        <f>IF(OR(J819="",N(T819)&lt;=0,V819="Oui"),"",ROUND(N(T819)*J819*(1-N(K819)),2))</f>
        <v/>
      </c>
    </row>
    <row r="820">
      <c r="A820" s="63" t="n"/>
      <c r="B820" s="64" t="n"/>
      <c r="C820" s="65" t="n"/>
      <c r="D820" s="66" t="str">
        <f>IF(C820="","",IFERROR(INDEX(sup_name,MATCH($C820,sup_code,0))&amp;"","Fournisseur inconnu"))</f>
        <v/>
      </c>
      <c r="E820" s="63" t="n"/>
      <c r="F820" s="66" t="str">
        <f>IF(E820="","",IFERROR(INDEX(art_des,MATCH($E820,art_ref,0))&amp;"","Article inconnu"))</f>
        <v/>
      </c>
      <c r="G820" s="67" t="str">
        <f>IF(E820="","",IFERROR(INDEX(art_unit,MATCH($E820,art_ref,0))&amp;"",""))</f>
        <v/>
      </c>
      <c r="H820" s="68" t="n"/>
      <c r="I820" s="69" t="n"/>
      <c r="J820" s="70" t="str">
        <f>IF(E820="","",IF(ISNUMBER(I820),I820,IFERROR(IF(ISNUMBER(INDEX(art_price,MATCH($E820,art_ref,0))),INDEX(art_price,MATCH($E820,art_ref,0)),""),"")))</f>
        <v/>
      </c>
      <c r="K820" s="71" t="n"/>
      <c r="L820" s="72" t="n"/>
      <c r="M820" s="72" t="str">
        <f>IF(E820="","",IF(L820&lt;&gt;"",L820,IFERROR(IF(ISNUMBER(INDEX(art_tva,MATCH($E820,art_ref,0))),INDEX(art_tva,MATCH($E820,art_ref,0)),""),"")))</f>
        <v/>
      </c>
      <c r="N820" s="70" t="str">
        <f>IF(OR(E820="",J820=""),"",ROUND(N(H820)*J820*(1-N(K820)),2))</f>
        <v/>
      </c>
      <c r="O820" s="70" t="str">
        <f>IF(OR(N820="",NOT(ISNUMBER(M820))),"",ROUND(N820*M820,2))</f>
        <v/>
      </c>
      <c r="P820" s="70" t="str">
        <f>IF(N820="","",N820+N(O820))</f>
        <v/>
      </c>
      <c r="Q820" s="64" t="n"/>
      <c r="R820" s="73" t="str">
        <f>IF(N(Q820)&gt;0,Q820,IF(OR(N(B820)=0,ISNA(MATCH($C820,sup_code,0))),"",IF(ISNUMBER(INDEX(sup_delay,MATCH($C820,sup_code,0))),B820+INDEX(sup_delay,MATCH($C820,sup_code,0)),"")))</f>
        <v/>
      </c>
      <c r="S820" s="64" t="n"/>
      <c r="T820" s="68" t="n"/>
      <c r="U820" s="64" t="n"/>
      <c r="V820" s="65" t="n"/>
      <c r="W820" s="74" t="str">
        <f>IF(AND(A820="",E820=""),"",IF(V820="Oui",0,MAX(0,ROUND(N(H820)-N(T820),6))))</f>
        <v/>
      </c>
      <c r="X820" s="67" t="str">
        <f>IF(AND(A820="",E820=""),"",IF(V820="Oui","Annulé",IF(AND(N(H820)&gt;0,N(T820)&gt;=N(H820)),"Reçu",IF(N(S820)=0,"Brouillon",IF(AND(ISNUMBER(R820),R820&lt;p_today),"En retard",IF(N(T820)&gt;0,"Partiel","Envoyé"))))))</f>
        <v/>
      </c>
      <c r="Y820" s="75" t="str">
        <f>IF(X820="En retard",p_today-R820,IF(AND(X820="Reçu",ISNUMBER(R820)),MAX(0,N(U820)-R820),""))</f>
        <v/>
      </c>
      <c r="Z820" s="67" t="str">
        <f>IF(AND(A820="",E820=""),"",IF(A820="","N° de bon manquant",IF(N(B820)=0,"Date de commande manquante",IF(C820="","Fournisseur manquant",IF(ISNA(MATCH($C820,sup_code,0)),"Fournisseur inconnu",IF(E820="","Article manquant",IF(ISNA(MATCH($E820,art_ref,0)),"Article inconnu",IF(N(H820)&lt;=0,"Quantité invalide",IF(J820="","Prix manquant",IF(OR(N(K820)&lt;0,N(K820)&gt;=1),"Remise invalide",IF(M820="","TVA manquante",IF(ISNA(MATCH(M820,p_tva,0)),"Taux de TVA inconnu",IF(COUNTIFS(po_num,A820,po_sup,"&lt;&gt;"&amp;C820)&gt;0,"Fournisseur différent sur ce bon",IF(COUNTIFS(po_num,A820,po_date,"&lt;&gt;"&amp;B820)&gt;0,"Date différente sur ce bon",IF(COUNTIF(po_num,A820)&gt;25,"Plus de 25 lignes sur ce bon",IF(R820="","Date de livraison manquante",IF(R820&lt;B820,"Livraison avant la commande",IF(AND(N(T820)&gt;0,N(S820)=0),"Date d'envoi manquante",IF(N(T820)&gt;N(H820),"Reçu plus que commandé",IF(AND(N(T820)&gt;0,N(U820)=0),"Date de réception manquante",IF(AND(N(U820)&gt;0,U820&lt;B820),"Réception avant la commande","OK")))))))))))))))))))))</f>
        <v/>
      </c>
      <c r="AA820" s="66" t="str">
        <f>IF(AND(X820="Reçu",ISNUMBER(R820)),IF(N(U820)&lt;=R820,1,0),"")</f>
        <v/>
      </c>
      <c r="AB820" s="76" t="str">
        <f>IF(OR(X820="Envoyé",X820="Partiel",X820="En retard"),IF(ISNUMBER(R820),R820,100000)+ROW()/100000,"")</f>
        <v/>
      </c>
      <c r="AC820" s="66" t="str">
        <f>IF(A820="","",IF(COUNTIF($A$6:A820,A820)=1,1,""))</f>
        <v/>
      </c>
      <c r="AD820" s="66" t="str">
        <f>IF(AC820=1,COUNT($AC$6:AC820),"")</f>
        <v/>
      </c>
      <c r="AE820" s="66" t="str">
        <f>IFERROR(INDEX(po_num,MATCH(815,po_seq,0))&amp;"","")</f>
        <v/>
      </c>
      <c r="AF820" s="66" t="str">
        <f>IF(OR(A820="",p_po=""),"",IF(A820&amp;""=p_po,COUNTIF($A$6:A820,A820),""))</f>
        <v/>
      </c>
      <c r="AG820" s="66" t="str">
        <f>IF(OR(AB820="",A820=""),"",IF(COUNTIFS($A$6:A820,A820,$AB$6:AB820,"&gt;0")=1,1,""))</f>
        <v/>
      </c>
      <c r="AH820" s="70" t="str">
        <f>IF(AB820="","",ROUND(N(W820)*N(J820)*(1-N(K820)),2))</f>
        <v/>
      </c>
      <c r="AI820" s="70" t="str">
        <f>IF(OR(J820="",N(T820)&lt;=0,V820="Oui"),"",ROUND(N(T820)*J820*(1-N(K820)),2))</f>
        <v/>
      </c>
    </row>
    <row r="821">
      <c r="A821" s="63" t="n"/>
      <c r="B821" s="64" t="n"/>
      <c r="C821" s="65" t="n"/>
      <c r="D821" s="66" t="str">
        <f>IF(C821="","",IFERROR(INDEX(sup_name,MATCH($C821,sup_code,0))&amp;"","Fournisseur inconnu"))</f>
        <v/>
      </c>
      <c r="E821" s="63" t="n"/>
      <c r="F821" s="66" t="str">
        <f>IF(E821="","",IFERROR(INDEX(art_des,MATCH($E821,art_ref,0))&amp;"","Article inconnu"))</f>
        <v/>
      </c>
      <c r="G821" s="67" t="str">
        <f>IF(E821="","",IFERROR(INDEX(art_unit,MATCH($E821,art_ref,0))&amp;"",""))</f>
        <v/>
      </c>
      <c r="H821" s="68" t="n"/>
      <c r="I821" s="69" t="n"/>
      <c r="J821" s="70" t="str">
        <f>IF(E821="","",IF(ISNUMBER(I821),I821,IFERROR(IF(ISNUMBER(INDEX(art_price,MATCH($E821,art_ref,0))),INDEX(art_price,MATCH($E821,art_ref,0)),""),"")))</f>
        <v/>
      </c>
      <c r="K821" s="71" t="n"/>
      <c r="L821" s="72" t="n"/>
      <c r="M821" s="72" t="str">
        <f>IF(E821="","",IF(L821&lt;&gt;"",L821,IFERROR(IF(ISNUMBER(INDEX(art_tva,MATCH($E821,art_ref,0))),INDEX(art_tva,MATCH($E821,art_ref,0)),""),"")))</f>
        <v/>
      </c>
      <c r="N821" s="70" t="str">
        <f>IF(OR(E821="",J821=""),"",ROUND(N(H821)*J821*(1-N(K821)),2))</f>
        <v/>
      </c>
      <c r="O821" s="70" t="str">
        <f>IF(OR(N821="",NOT(ISNUMBER(M821))),"",ROUND(N821*M821,2))</f>
        <v/>
      </c>
      <c r="P821" s="70" t="str">
        <f>IF(N821="","",N821+N(O821))</f>
        <v/>
      </c>
      <c r="Q821" s="64" t="n"/>
      <c r="R821" s="73" t="str">
        <f>IF(N(Q821)&gt;0,Q821,IF(OR(N(B821)=0,ISNA(MATCH($C821,sup_code,0))),"",IF(ISNUMBER(INDEX(sup_delay,MATCH($C821,sup_code,0))),B821+INDEX(sup_delay,MATCH($C821,sup_code,0)),"")))</f>
        <v/>
      </c>
      <c r="S821" s="64" t="n"/>
      <c r="T821" s="68" t="n"/>
      <c r="U821" s="64" t="n"/>
      <c r="V821" s="65" t="n"/>
      <c r="W821" s="74" t="str">
        <f>IF(AND(A821="",E821=""),"",IF(V821="Oui",0,MAX(0,ROUND(N(H821)-N(T821),6))))</f>
        <v/>
      </c>
      <c r="X821" s="67" t="str">
        <f>IF(AND(A821="",E821=""),"",IF(V821="Oui","Annulé",IF(AND(N(H821)&gt;0,N(T821)&gt;=N(H821)),"Reçu",IF(N(S821)=0,"Brouillon",IF(AND(ISNUMBER(R821),R821&lt;p_today),"En retard",IF(N(T821)&gt;0,"Partiel","Envoyé"))))))</f>
        <v/>
      </c>
      <c r="Y821" s="75" t="str">
        <f>IF(X821="En retard",p_today-R821,IF(AND(X821="Reçu",ISNUMBER(R821)),MAX(0,N(U821)-R821),""))</f>
        <v/>
      </c>
      <c r="Z821" s="67" t="str">
        <f>IF(AND(A821="",E821=""),"",IF(A821="","N° de bon manquant",IF(N(B821)=0,"Date de commande manquante",IF(C821="","Fournisseur manquant",IF(ISNA(MATCH($C821,sup_code,0)),"Fournisseur inconnu",IF(E821="","Article manquant",IF(ISNA(MATCH($E821,art_ref,0)),"Article inconnu",IF(N(H821)&lt;=0,"Quantité invalide",IF(J821="","Prix manquant",IF(OR(N(K821)&lt;0,N(K821)&gt;=1),"Remise invalide",IF(M821="","TVA manquante",IF(ISNA(MATCH(M821,p_tva,0)),"Taux de TVA inconnu",IF(COUNTIFS(po_num,A821,po_sup,"&lt;&gt;"&amp;C821)&gt;0,"Fournisseur différent sur ce bon",IF(COUNTIFS(po_num,A821,po_date,"&lt;&gt;"&amp;B821)&gt;0,"Date différente sur ce bon",IF(COUNTIF(po_num,A821)&gt;25,"Plus de 25 lignes sur ce bon",IF(R821="","Date de livraison manquante",IF(R821&lt;B821,"Livraison avant la commande",IF(AND(N(T821)&gt;0,N(S821)=0),"Date d'envoi manquante",IF(N(T821)&gt;N(H821),"Reçu plus que commandé",IF(AND(N(T821)&gt;0,N(U821)=0),"Date de réception manquante",IF(AND(N(U821)&gt;0,U821&lt;B821),"Réception avant la commande","OK")))))))))))))))))))))</f>
        <v/>
      </c>
      <c r="AA821" s="66" t="str">
        <f>IF(AND(X821="Reçu",ISNUMBER(R821)),IF(N(U821)&lt;=R821,1,0),"")</f>
        <v/>
      </c>
      <c r="AB821" s="76" t="str">
        <f>IF(OR(X821="Envoyé",X821="Partiel",X821="En retard"),IF(ISNUMBER(R821),R821,100000)+ROW()/100000,"")</f>
        <v/>
      </c>
      <c r="AC821" s="66" t="str">
        <f>IF(A821="","",IF(COUNTIF($A$6:A821,A821)=1,1,""))</f>
        <v/>
      </c>
      <c r="AD821" s="66" t="str">
        <f>IF(AC821=1,COUNT($AC$6:AC821),"")</f>
        <v/>
      </c>
      <c r="AE821" s="66" t="str">
        <f>IFERROR(INDEX(po_num,MATCH(816,po_seq,0))&amp;"","")</f>
        <v/>
      </c>
      <c r="AF821" s="66" t="str">
        <f>IF(OR(A821="",p_po=""),"",IF(A821&amp;""=p_po,COUNTIF($A$6:A821,A821),""))</f>
        <v/>
      </c>
      <c r="AG821" s="66" t="str">
        <f>IF(OR(AB821="",A821=""),"",IF(COUNTIFS($A$6:A821,A821,$AB$6:AB821,"&gt;0")=1,1,""))</f>
        <v/>
      </c>
      <c r="AH821" s="70" t="str">
        <f>IF(AB821="","",ROUND(N(W821)*N(J821)*(1-N(K821)),2))</f>
        <v/>
      </c>
      <c r="AI821" s="70" t="str">
        <f>IF(OR(J821="",N(T821)&lt;=0,V821="Oui"),"",ROUND(N(T821)*J821*(1-N(K821)),2))</f>
        <v/>
      </c>
    </row>
    <row r="822">
      <c r="A822" s="63" t="n"/>
      <c r="B822" s="64" t="n"/>
      <c r="C822" s="65" t="n"/>
      <c r="D822" s="66" t="str">
        <f>IF(C822="","",IFERROR(INDEX(sup_name,MATCH($C822,sup_code,0))&amp;"","Fournisseur inconnu"))</f>
        <v/>
      </c>
      <c r="E822" s="63" t="n"/>
      <c r="F822" s="66" t="str">
        <f>IF(E822="","",IFERROR(INDEX(art_des,MATCH($E822,art_ref,0))&amp;"","Article inconnu"))</f>
        <v/>
      </c>
      <c r="G822" s="67" t="str">
        <f>IF(E822="","",IFERROR(INDEX(art_unit,MATCH($E822,art_ref,0))&amp;"",""))</f>
        <v/>
      </c>
      <c r="H822" s="68" t="n"/>
      <c r="I822" s="69" t="n"/>
      <c r="J822" s="70" t="str">
        <f>IF(E822="","",IF(ISNUMBER(I822),I822,IFERROR(IF(ISNUMBER(INDEX(art_price,MATCH($E822,art_ref,0))),INDEX(art_price,MATCH($E822,art_ref,0)),""),"")))</f>
        <v/>
      </c>
      <c r="K822" s="71" t="n"/>
      <c r="L822" s="72" t="n"/>
      <c r="M822" s="72" t="str">
        <f>IF(E822="","",IF(L822&lt;&gt;"",L822,IFERROR(IF(ISNUMBER(INDEX(art_tva,MATCH($E822,art_ref,0))),INDEX(art_tva,MATCH($E822,art_ref,0)),""),"")))</f>
        <v/>
      </c>
      <c r="N822" s="70" t="str">
        <f>IF(OR(E822="",J822=""),"",ROUND(N(H822)*J822*(1-N(K822)),2))</f>
        <v/>
      </c>
      <c r="O822" s="70" t="str">
        <f>IF(OR(N822="",NOT(ISNUMBER(M822))),"",ROUND(N822*M822,2))</f>
        <v/>
      </c>
      <c r="P822" s="70" t="str">
        <f>IF(N822="","",N822+N(O822))</f>
        <v/>
      </c>
      <c r="Q822" s="64" t="n"/>
      <c r="R822" s="73" t="str">
        <f>IF(N(Q822)&gt;0,Q822,IF(OR(N(B822)=0,ISNA(MATCH($C822,sup_code,0))),"",IF(ISNUMBER(INDEX(sup_delay,MATCH($C822,sup_code,0))),B822+INDEX(sup_delay,MATCH($C822,sup_code,0)),"")))</f>
        <v/>
      </c>
      <c r="S822" s="64" t="n"/>
      <c r="T822" s="68" t="n"/>
      <c r="U822" s="64" t="n"/>
      <c r="V822" s="65" t="n"/>
      <c r="W822" s="74" t="str">
        <f>IF(AND(A822="",E822=""),"",IF(V822="Oui",0,MAX(0,ROUND(N(H822)-N(T822),6))))</f>
        <v/>
      </c>
      <c r="X822" s="67" t="str">
        <f>IF(AND(A822="",E822=""),"",IF(V822="Oui","Annulé",IF(AND(N(H822)&gt;0,N(T822)&gt;=N(H822)),"Reçu",IF(N(S822)=0,"Brouillon",IF(AND(ISNUMBER(R822),R822&lt;p_today),"En retard",IF(N(T822)&gt;0,"Partiel","Envoyé"))))))</f>
        <v/>
      </c>
      <c r="Y822" s="75" t="str">
        <f>IF(X822="En retard",p_today-R822,IF(AND(X822="Reçu",ISNUMBER(R822)),MAX(0,N(U822)-R822),""))</f>
        <v/>
      </c>
      <c r="Z822" s="67" t="str">
        <f>IF(AND(A822="",E822=""),"",IF(A822="","N° de bon manquant",IF(N(B822)=0,"Date de commande manquante",IF(C822="","Fournisseur manquant",IF(ISNA(MATCH($C822,sup_code,0)),"Fournisseur inconnu",IF(E822="","Article manquant",IF(ISNA(MATCH($E822,art_ref,0)),"Article inconnu",IF(N(H822)&lt;=0,"Quantité invalide",IF(J822="","Prix manquant",IF(OR(N(K822)&lt;0,N(K822)&gt;=1),"Remise invalide",IF(M822="","TVA manquante",IF(ISNA(MATCH(M822,p_tva,0)),"Taux de TVA inconnu",IF(COUNTIFS(po_num,A822,po_sup,"&lt;&gt;"&amp;C822)&gt;0,"Fournisseur différent sur ce bon",IF(COUNTIFS(po_num,A822,po_date,"&lt;&gt;"&amp;B822)&gt;0,"Date différente sur ce bon",IF(COUNTIF(po_num,A822)&gt;25,"Plus de 25 lignes sur ce bon",IF(R822="","Date de livraison manquante",IF(R822&lt;B822,"Livraison avant la commande",IF(AND(N(T822)&gt;0,N(S822)=0),"Date d'envoi manquante",IF(N(T822)&gt;N(H822),"Reçu plus que commandé",IF(AND(N(T822)&gt;0,N(U822)=0),"Date de réception manquante",IF(AND(N(U822)&gt;0,U822&lt;B822),"Réception avant la commande","OK")))))))))))))))))))))</f>
        <v/>
      </c>
      <c r="AA822" s="66" t="str">
        <f>IF(AND(X822="Reçu",ISNUMBER(R822)),IF(N(U822)&lt;=R822,1,0),"")</f>
        <v/>
      </c>
      <c r="AB822" s="76" t="str">
        <f>IF(OR(X822="Envoyé",X822="Partiel",X822="En retard"),IF(ISNUMBER(R822),R822,100000)+ROW()/100000,"")</f>
        <v/>
      </c>
      <c r="AC822" s="66" t="str">
        <f>IF(A822="","",IF(COUNTIF($A$6:A822,A822)=1,1,""))</f>
        <v/>
      </c>
      <c r="AD822" s="66" t="str">
        <f>IF(AC822=1,COUNT($AC$6:AC822),"")</f>
        <v/>
      </c>
      <c r="AE822" s="66" t="str">
        <f>IFERROR(INDEX(po_num,MATCH(817,po_seq,0))&amp;"","")</f>
        <v/>
      </c>
      <c r="AF822" s="66" t="str">
        <f>IF(OR(A822="",p_po=""),"",IF(A822&amp;""=p_po,COUNTIF($A$6:A822,A822),""))</f>
        <v/>
      </c>
      <c r="AG822" s="66" t="str">
        <f>IF(OR(AB822="",A822=""),"",IF(COUNTIFS($A$6:A822,A822,$AB$6:AB822,"&gt;0")=1,1,""))</f>
        <v/>
      </c>
      <c r="AH822" s="70" t="str">
        <f>IF(AB822="","",ROUND(N(W822)*N(J822)*(1-N(K822)),2))</f>
        <v/>
      </c>
      <c r="AI822" s="70" t="str">
        <f>IF(OR(J822="",N(T822)&lt;=0,V822="Oui"),"",ROUND(N(T822)*J822*(1-N(K822)),2))</f>
        <v/>
      </c>
    </row>
    <row r="823">
      <c r="A823" s="63" t="n"/>
      <c r="B823" s="64" t="n"/>
      <c r="C823" s="65" t="n"/>
      <c r="D823" s="66" t="str">
        <f>IF(C823="","",IFERROR(INDEX(sup_name,MATCH($C823,sup_code,0))&amp;"","Fournisseur inconnu"))</f>
        <v/>
      </c>
      <c r="E823" s="63" t="n"/>
      <c r="F823" s="66" t="str">
        <f>IF(E823="","",IFERROR(INDEX(art_des,MATCH($E823,art_ref,0))&amp;"","Article inconnu"))</f>
        <v/>
      </c>
      <c r="G823" s="67" t="str">
        <f>IF(E823="","",IFERROR(INDEX(art_unit,MATCH($E823,art_ref,0))&amp;"",""))</f>
        <v/>
      </c>
      <c r="H823" s="68" t="n"/>
      <c r="I823" s="69" t="n"/>
      <c r="J823" s="70" t="str">
        <f>IF(E823="","",IF(ISNUMBER(I823),I823,IFERROR(IF(ISNUMBER(INDEX(art_price,MATCH($E823,art_ref,0))),INDEX(art_price,MATCH($E823,art_ref,0)),""),"")))</f>
        <v/>
      </c>
      <c r="K823" s="71" t="n"/>
      <c r="L823" s="72" t="n"/>
      <c r="M823" s="72" t="str">
        <f>IF(E823="","",IF(L823&lt;&gt;"",L823,IFERROR(IF(ISNUMBER(INDEX(art_tva,MATCH($E823,art_ref,0))),INDEX(art_tva,MATCH($E823,art_ref,0)),""),"")))</f>
        <v/>
      </c>
      <c r="N823" s="70" t="str">
        <f>IF(OR(E823="",J823=""),"",ROUND(N(H823)*J823*(1-N(K823)),2))</f>
        <v/>
      </c>
      <c r="O823" s="70" t="str">
        <f>IF(OR(N823="",NOT(ISNUMBER(M823))),"",ROUND(N823*M823,2))</f>
        <v/>
      </c>
      <c r="P823" s="70" t="str">
        <f>IF(N823="","",N823+N(O823))</f>
        <v/>
      </c>
      <c r="Q823" s="64" t="n"/>
      <c r="R823" s="73" t="str">
        <f>IF(N(Q823)&gt;0,Q823,IF(OR(N(B823)=0,ISNA(MATCH($C823,sup_code,0))),"",IF(ISNUMBER(INDEX(sup_delay,MATCH($C823,sup_code,0))),B823+INDEX(sup_delay,MATCH($C823,sup_code,0)),"")))</f>
        <v/>
      </c>
      <c r="S823" s="64" t="n"/>
      <c r="T823" s="68" t="n"/>
      <c r="U823" s="64" t="n"/>
      <c r="V823" s="65" t="n"/>
      <c r="W823" s="74" t="str">
        <f>IF(AND(A823="",E823=""),"",IF(V823="Oui",0,MAX(0,ROUND(N(H823)-N(T823),6))))</f>
        <v/>
      </c>
      <c r="X823" s="67" t="str">
        <f>IF(AND(A823="",E823=""),"",IF(V823="Oui","Annulé",IF(AND(N(H823)&gt;0,N(T823)&gt;=N(H823)),"Reçu",IF(N(S823)=0,"Brouillon",IF(AND(ISNUMBER(R823),R823&lt;p_today),"En retard",IF(N(T823)&gt;0,"Partiel","Envoyé"))))))</f>
        <v/>
      </c>
      <c r="Y823" s="75" t="str">
        <f>IF(X823="En retard",p_today-R823,IF(AND(X823="Reçu",ISNUMBER(R823)),MAX(0,N(U823)-R823),""))</f>
        <v/>
      </c>
      <c r="Z823" s="67" t="str">
        <f>IF(AND(A823="",E823=""),"",IF(A823="","N° de bon manquant",IF(N(B823)=0,"Date de commande manquante",IF(C823="","Fournisseur manquant",IF(ISNA(MATCH($C823,sup_code,0)),"Fournisseur inconnu",IF(E823="","Article manquant",IF(ISNA(MATCH($E823,art_ref,0)),"Article inconnu",IF(N(H823)&lt;=0,"Quantité invalide",IF(J823="","Prix manquant",IF(OR(N(K823)&lt;0,N(K823)&gt;=1),"Remise invalide",IF(M823="","TVA manquante",IF(ISNA(MATCH(M823,p_tva,0)),"Taux de TVA inconnu",IF(COUNTIFS(po_num,A823,po_sup,"&lt;&gt;"&amp;C823)&gt;0,"Fournisseur différent sur ce bon",IF(COUNTIFS(po_num,A823,po_date,"&lt;&gt;"&amp;B823)&gt;0,"Date différente sur ce bon",IF(COUNTIF(po_num,A823)&gt;25,"Plus de 25 lignes sur ce bon",IF(R823="","Date de livraison manquante",IF(R823&lt;B823,"Livraison avant la commande",IF(AND(N(T823)&gt;0,N(S823)=0),"Date d'envoi manquante",IF(N(T823)&gt;N(H823),"Reçu plus que commandé",IF(AND(N(T823)&gt;0,N(U823)=0),"Date de réception manquante",IF(AND(N(U823)&gt;0,U823&lt;B823),"Réception avant la commande","OK")))))))))))))))))))))</f>
        <v/>
      </c>
      <c r="AA823" s="66" t="str">
        <f>IF(AND(X823="Reçu",ISNUMBER(R823)),IF(N(U823)&lt;=R823,1,0),"")</f>
        <v/>
      </c>
      <c r="AB823" s="76" t="str">
        <f>IF(OR(X823="Envoyé",X823="Partiel",X823="En retard"),IF(ISNUMBER(R823),R823,100000)+ROW()/100000,"")</f>
        <v/>
      </c>
      <c r="AC823" s="66" t="str">
        <f>IF(A823="","",IF(COUNTIF($A$6:A823,A823)=1,1,""))</f>
        <v/>
      </c>
      <c r="AD823" s="66" t="str">
        <f>IF(AC823=1,COUNT($AC$6:AC823),"")</f>
        <v/>
      </c>
      <c r="AE823" s="66" t="str">
        <f>IFERROR(INDEX(po_num,MATCH(818,po_seq,0))&amp;"","")</f>
        <v/>
      </c>
      <c r="AF823" s="66" t="str">
        <f>IF(OR(A823="",p_po=""),"",IF(A823&amp;""=p_po,COUNTIF($A$6:A823,A823),""))</f>
        <v/>
      </c>
      <c r="AG823" s="66" t="str">
        <f>IF(OR(AB823="",A823=""),"",IF(COUNTIFS($A$6:A823,A823,$AB$6:AB823,"&gt;0")=1,1,""))</f>
        <v/>
      </c>
      <c r="AH823" s="70" t="str">
        <f>IF(AB823="","",ROUND(N(W823)*N(J823)*(1-N(K823)),2))</f>
        <v/>
      </c>
      <c r="AI823" s="70" t="str">
        <f>IF(OR(J823="",N(T823)&lt;=0,V823="Oui"),"",ROUND(N(T823)*J823*(1-N(K823)),2))</f>
        <v/>
      </c>
    </row>
    <row r="824">
      <c r="A824" s="63" t="n"/>
      <c r="B824" s="64" t="n"/>
      <c r="C824" s="65" t="n"/>
      <c r="D824" s="66" t="str">
        <f>IF(C824="","",IFERROR(INDEX(sup_name,MATCH($C824,sup_code,0))&amp;"","Fournisseur inconnu"))</f>
        <v/>
      </c>
      <c r="E824" s="63" t="n"/>
      <c r="F824" s="66" t="str">
        <f>IF(E824="","",IFERROR(INDEX(art_des,MATCH($E824,art_ref,0))&amp;"","Article inconnu"))</f>
        <v/>
      </c>
      <c r="G824" s="67" t="str">
        <f>IF(E824="","",IFERROR(INDEX(art_unit,MATCH($E824,art_ref,0))&amp;"",""))</f>
        <v/>
      </c>
      <c r="H824" s="68" t="n"/>
      <c r="I824" s="69" t="n"/>
      <c r="J824" s="70" t="str">
        <f>IF(E824="","",IF(ISNUMBER(I824),I824,IFERROR(IF(ISNUMBER(INDEX(art_price,MATCH($E824,art_ref,0))),INDEX(art_price,MATCH($E824,art_ref,0)),""),"")))</f>
        <v/>
      </c>
      <c r="K824" s="71" t="n"/>
      <c r="L824" s="72" t="n"/>
      <c r="M824" s="72" t="str">
        <f>IF(E824="","",IF(L824&lt;&gt;"",L824,IFERROR(IF(ISNUMBER(INDEX(art_tva,MATCH($E824,art_ref,0))),INDEX(art_tva,MATCH($E824,art_ref,0)),""),"")))</f>
        <v/>
      </c>
      <c r="N824" s="70" t="str">
        <f>IF(OR(E824="",J824=""),"",ROUND(N(H824)*J824*(1-N(K824)),2))</f>
        <v/>
      </c>
      <c r="O824" s="70" t="str">
        <f>IF(OR(N824="",NOT(ISNUMBER(M824))),"",ROUND(N824*M824,2))</f>
        <v/>
      </c>
      <c r="P824" s="70" t="str">
        <f>IF(N824="","",N824+N(O824))</f>
        <v/>
      </c>
      <c r="Q824" s="64" t="n"/>
      <c r="R824" s="73" t="str">
        <f>IF(N(Q824)&gt;0,Q824,IF(OR(N(B824)=0,ISNA(MATCH($C824,sup_code,0))),"",IF(ISNUMBER(INDEX(sup_delay,MATCH($C824,sup_code,0))),B824+INDEX(sup_delay,MATCH($C824,sup_code,0)),"")))</f>
        <v/>
      </c>
      <c r="S824" s="64" t="n"/>
      <c r="T824" s="68" t="n"/>
      <c r="U824" s="64" t="n"/>
      <c r="V824" s="65" t="n"/>
      <c r="W824" s="74" t="str">
        <f>IF(AND(A824="",E824=""),"",IF(V824="Oui",0,MAX(0,ROUND(N(H824)-N(T824),6))))</f>
        <v/>
      </c>
      <c r="X824" s="67" t="str">
        <f>IF(AND(A824="",E824=""),"",IF(V824="Oui","Annulé",IF(AND(N(H824)&gt;0,N(T824)&gt;=N(H824)),"Reçu",IF(N(S824)=0,"Brouillon",IF(AND(ISNUMBER(R824),R824&lt;p_today),"En retard",IF(N(T824)&gt;0,"Partiel","Envoyé"))))))</f>
        <v/>
      </c>
      <c r="Y824" s="75" t="str">
        <f>IF(X824="En retard",p_today-R824,IF(AND(X824="Reçu",ISNUMBER(R824)),MAX(0,N(U824)-R824),""))</f>
        <v/>
      </c>
      <c r="Z824" s="67" t="str">
        <f>IF(AND(A824="",E824=""),"",IF(A824="","N° de bon manquant",IF(N(B824)=0,"Date de commande manquante",IF(C824="","Fournisseur manquant",IF(ISNA(MATCH($C824,sup_code,0)),"Fournisseur inconnu",IF(E824="","Article manquant",IF(ISNA(MATCH($E824,art_ref,0)),"Article inconnu",IF(N(H824)&lt;=0,"Quantité invalide",IF(J824="","Prix manquant",IF(OR(N(K824)&lt;0,N(K824)&gt;=1),"Remise invalide",IF(M824="","TVA manquante",IF(ISNA(MATCH(M824,p_tva,0)),"Taux de TVA inconnu",IF(COUNTIFS(po_num,A824,po_sup,"&lt;&gt;"&amp;C824)&gt;0,"Fournisseur différent sur ce bon",IF(COUNTIFS(po_num,A824,po_date,"&lt;&gt;"&amp;B824)&gt;0,"Date différente sur ce bon",IF(COUNTIF(po_num,A824)&gt;25,"Plus de 25 lignes sur ce bon",IF(R824="","Date de livraison manquante",IF(R824&lt;B824,"Livraison avant la commande",IF(AND(N(T824)&gt;0,N(S824)=0),"Date d'envoi manquante",IF(N(T824)&gt;N(H824),"Reçu plus que commandé",IF(AND(N(T824)&gt;0,N(U824)=0),"Date de réception manquante",IF(AND(N(U824)&gt;0,U824&lt;B824),"Réception avant la commande","OK")))))))))))))))))))))</f>
        <v/>
      </c>
      <c r="AA824" s="66" t="str">
        <f>IF(AND(X824="Reçu",ISNUMBER(R824)),IF(N(U824)&lt;=R824,1,0),"")</f>
        <v/>
      </c>
      <c r="AB824" s="76" t="str">
        <f>IF(OR(X824="Envoyé",X824="Partiel",X824="En retard"),IF(ISNUMBER(R824),R824,100000)+ROW()/100000,"")</f>
        <v/>
      </c>
      <c r="AC824" s="66" t="str">
        <f>IF(A824="","",IF(COUNTIF($A$6:A824,A824)=1,1,""))</f>
        <v/>
      </c>
      <c r="AD824" s="66" t="str">
        <f>IF(AC824=1,COUNT($AC$6:AC824),"")</f>
        <v/>
      </c>
      <c r="AE824" s="66" t="str">
        <f>IFERROR(INDEX(po_num,MATCH(819,po_seq,0))&amp;"","")</f>
        <v/>
      </c>
      <c r="AF824" s="66" t="str">
        <f>IF(OR(A824="",p_po=""),"",IF(A824&amp;""=p_po,COUNTIF($A$6:A824,A824),""))</f>
        <v/>
      </c>
      <c r="AG824" s="66" t="str">
        <f>IF(OR(AB824="",A824=""),"",IF(COUNTIFS($A$6:A824,A824,$AB$6:AB824,"&gt;0")=1,1,""))</f>
        <v/>
      </c>
      <c r="AH824" s="70" t="str">
        <f>IF(AB824="","",ROUND(N(W824)*N(J824)*(1-N(K824)),2))</f>
        <v/>
      </c>
      <c r="AI824" s="70" t="str">
        <f>IF(OR(J824="",N(T824)&lt;=0,V824="Oui"),"",ROUND(N(T824)*J824*(1-N(K824)),2))</f>
        <v/>
      </c>
    </row>
    <row r="825">
      <c r="A825" s="63" t="n"/>
      <c r="B825" s="64" t="n"/>
      <c r="C825" s="65" t="n"/>
      <c r="D825" s="66" t="str">
        <f>IF(C825="","",IFERROR(INDEX(sup_name,MATCH($C825,sup_code,0))&amp;"","Fournisseur inconnu"))</f>
        <v/>
      </c>
      <c r="E825" s="63" t="n"/>
      <c r="F825" s="66" t="str">
        <f>IF(E825="","",IFERROR(INDEX(art_des,MATCH($E825,art_ref,0))&amp;"","Article inconnu"))</f>
        <v/>
      </c>
      <c r="G825" s="67" t="str">
        <f>IF(E825="","",IFERROR(INDEX(art_unit,MATCH($E825,art_ref,0))&amp;"",""))</f>
        <v/>
      </c>
      <c r="H825" s="68" t="n"/>
      <c r="I825" s="69" t="n"/>
      <c r="J825" s="70" t="str">
        <f>IF(E825="","",IF(ISNUMBER(I825),I825,IFERROR(IF(ISNUMBER(INDEX(art_price,MATCH($E825,art_ref,0))),INDEX(art_price,MATCH($E825,art_ref,0)),""),"")))</f>
        <v/>
      </c>
      <c r="K825" s="71" t="n"/>
      <c r="L825" s="72" t="n"/>
      <c r="M825" s="72" t="str">
        <f>IF(E825="","",IF(L825&lt;&gt;"",L825,IFERROR(IF(ISNUMBER(INDEX(art_tva,MATCH($E825,art_ref,0))),INDEX(art_tva,MATCH($E825,art_ref,0)),""),"")))</f>
        <v/>
      </c>
      <c r="N825" s="70" t="str">
        <f>IF(OR(E825="",J825=""),"",ROUND(N(H825)*J825*(1-N(K825)),2))</f>
        <v/>
      </c>
      <c r="O825" s="70" t="str">
        <f>IF(OR(N825="",NOT(ISNUMBER(M825))),"",ROUND(N825*M825,2))</f>
        <v/>
      </c>
      <c r="P825" s="70" t="str">
        <f>IF(N825="","",N825+N(O825))</f>
        <v/>
      </c>
      <c r="Q825" s="64" t="n"/>
      <c r="R825" s="73" t="str">
        <f>IF(N(Q825)&gt;0,Q825,IF(OR(N(B825)=0,ISNA(MATCH($C825,sup_code,0))),"",IF(ISNUMBER(INDEX(sup_delay,MATCH($C825,sup_code,0))),B825+INDEX(sup_delay,MATCH($C825,sup_code,0)),"")))</f>
        <v/>
      </c>
      <c r="S825" s="64" t="n"/>
      <c r="T825" s="68" t="n"/>
      <c r="U825" s="64" t="n"/>
      <c r="V825" s="65" t="n"/>
      <c r="W825" s="74" t="str">
        <f>IF(AND(A825="",E825=""),"",IF(V825="Oui",0,MAX(0,ROUND(N(H825)-N(T825),6))))</f>
        <v/>
      </c>
      <c r="X825" s="67" t="str">
        <f>IF(AND(A825="",E825=""),"",IF(V825="Oui","Annulé",IF(AND(N(H825)&gt;0,N(T825)&gt;=N(H825)),"Reçu",IF(N(S825)=0,"Brouillon",IF(AND(ISNUMBER(R825),R825&lt;p_today),"En retard",IF(N(T825)&gt;0,"Partiel","Envoyé"))))))</f>
        <v/>
      </c>
      <c r="Y825" s="75" t="str">
        <f>IF(X825="En retard",p_today-R825,IF(AND(X825="Reçu",ISNUMBER(R825)),MAX(0,N(U825)-R825),""))</f>
        <v/>
      </c>
      <c r="Z825" s="67" t="str">
        <f>IF(AND(A825="",E825=""),"",IF(A825="","N° de bon manquant",IF(N(B825)=0,"Date de commande manquante",IF(C825="","Fournisseur manquant",IF(ISNA(MATCH($C825,sup_code,0)),"Fournisseur inconnu",IF(E825="","Article manquant",IF(ISNA(MATCH($E825,art_ref,0)),"Article inconnu",IF(N(H825)&lt;=0,"Quantité invalide",IF(J825="","Prix manquant",IF(OR(N(K825)&lt;0,N(K825)&gt;=1),"Remise invalide",IF(M825="","TVA manquante",IF(ISNA(MATCH(M825,p_tva,0)),"Taux de TVA inconnu",IF(COUNTIFS(po_num,A825,po_sup,"&lt;&gt;"&amp;C825)&gt;0,"Fournisseur différent sur ce bon",IF(COUNTIFS(po_num,A825,po_date,"&lt;&gt;"&amp;B825)&gt;0,"Date différente sur ce bon",IF(COUNTIF(po_num,A825)&gt;25,"Plus de 25 lignes sur ce bon",IF(R825="","Date de livraison manquante",IF(R825&lt;B825,"Livraison avant la commande",IF(AND(N(T825)&gt;0,N(S825)=0),"Date d'envoi manquante",IF(N(T825)&gt;N(H825),"Reçu plus que commandé",IF(AND(N(T825)&gt;0,N(U825)=0),"Date de réception manquante",IF(AND(N(U825)&gt;0,U825&lt;B825),"Réception avant la commande","OK")))))))))))))))))))))</f>
        <v/>
      </c>
      <c r="AA825" s="66" t="str">
        <f>IF(AND(X825="Reçu",ISNUMBER(R825)),IF(N(U825)&lt;=R825,1,0),"")</f>
        <v/>
      </c>
      <c r="AB825" s="76" t="str">
        <f>IF(OR(X825="Envoyé",X825="Partiel",X825="En retard"),IF(ISNUMBER(R825),R825,100000)+ROW()/100000,"")</f>
        <v/>
      </c>
      <c r="AC825" s="66" t="str">
        <f>IF(A825="","",IF(COUNTIF($A$6:A825,A825)=1,1,""))</f>
        <v/>
      </c>
      <c r="AD825" s="66" t="str">
        <f>IF(AC825=1,COUNT($AC$6:AC825),"")</f>
        <v/>
      </c>
      <c r="AE825" s="66" t="str">
        <f>IFERROR(INDEX(po_num,MATCH(820,po_seq,0))&amp;"","")</f>
        <v/>
      </c>
      <c r="AF825" s="66" t="str">
        <f>IF(OR(A825="",p_po=""),"",IF(A825&amp;""=p_po,COUNTIF($A$6:A825,A825),""))</f>
        <v/>
      </c>
      <c r="AG825" s="66" t="str">
        <f>IF(OR(AB825="",A825=""),"",IF(COUNTIFS($A$6:A825,A825,$AB$6:AB825,"&gt;0")=1,1,""))</f>
        <v/>
      </c>
      <c r="AH825" s="70" t="str">
        <f>IF(AB825="","",ROUND(N(W825)*N(J825)*(1-N(K825)),2))</f>
        <v/>
      </c>
      <c r="AI825" s="70" t="str">
        <f>IF(OR(J825="",N(T825)&lt;=0,V825="Oui"),"",ROUND(N(T825)*J825*(1-N(K825)),2))</f>
        <v/>
      </c>
    </row>
    <row r="826">
      <c r="A826" s="63" t="n"/>
      <c r="B826" s="64" t="n"/>
      <c r="C826" s="65" t="n"/>
      <c r="D826" s="66" t="str">
        <f>IF(C826="","",IFERROR(INDEX(sup_name,MATCH($C826,sup_code,0))&amp;"","Fournisseur inconnu"))</f>
        <v/>
      </c>
      <c r="E826" s="63" t="n"/>
      <c r="F826" s="66" t="str">
        <f>IF(E826="","",IFERROR(INDEX(art_des,MATCH($E826,art_ref,0))&amp;"","Article inconnu"))</f>
        <v/>
      </c>
      <c r="G826" s="67" t="str">
        <f>IF(E826="","",IFERROR(INDEX(art_unit,MATCH($E826,art_ref,0))&amp;"",""))</f>
        <v/>
      </c>
      <c r="H826" s="68" t="n"/>
      <c r="I826" s="69" t="n"/>
      <c r="J826" s="70" t="str">
        <f>IF(E826="","",IF(ISNUMBER(I826),I826,IFERROR(IF(ISNUMBER(INDEX(art_price,MATCH($E826,art_ref,0))),INDEX(art_price,MATCH($E826,art_ref,0)),""),"")))</f>
        <v/>
      </c>
      <c r="K826" s="71" t="n"/>
      <c r="L826" s="72" t="n"/>
      <c r="M826" s="72" t="str">
        <f>IF(E826="","",IF(L826&lt;&gt;"",L826,IFERROR(IF(ISNUMBER(INDEX(art_tva,MATCH($E826,art_ref,0))),INDEX(art_tva,MATCH($E826,art_ref,0)),""),"")))</f>
        <v/>
      </c>
      <c r="N826" s="70" t="str">
        <f>IF(OR(E826="",J826=""),"",ROUND(N(H826)*J826*(1-N(K826)),2))</f>
        <v/>
      </c>
      <c r="O826" s="70" t="str">
        <f>IF(OR(N826="",NOT(ISNUMBER(M826))),"",ROUND(N826*M826,2))</f>
        <v/>
      </c>
      <c r="P826" s="70" t="str">
        <f>IF(N826="","",N826+N(O826))</f>
        <v/>
      </c>
      <c r="Q826" s="64" t="n"/>
      <c r="R826" s="73" t="str">
        <f>IF(N(Q826)&gt;0,Q826,IF(OR(N(B826)=0,ISNA(MATCH($C826,sup_code,0))),"",IF(ISNUMBER(INDEX(sup_delay,MATCH($C826,sup_code,0))),B826+INDEX(sup_delay,MATCH($C826,sup_code,0)),"")))</f>
        <v/>
      </c>
      <c r="S826" s="64" t="n"/>
      <c r="T826" s="68" t="n"/>
      <c r="U826" s="64" t="n"/>
      <c r="V826" s="65" t="n"/>
      <c r="W826" s="74" t="str">
        <f>IF(AND(A826="",E826=""),"",IF(V826="Oui",0,MAX(0,ROUND(N(H826)-N(T826),6))))</f>
        <v/>
      </c>
      <c r="X826" s="67" t="str">
        <f>IF(AND(A826="",E826=""),"",IF(V826="Oui","Annulé",IF(AND(N(H826)&gt;0,N(T826)&gt;=N(H826)),"Reçu",IF(N(S826)=0,"Brouillon",IF(AND(ISNUMBER(R826),R826&lt;p_today),"En retard",IF(N(T826)&gt;0,"Partiel","Envoyé"))))))</f>
        <v/>
      </c>
      <c r="Y826" s="75" t="str">
        <f>IF(X826="En retard",p_today-R826,IF(AND(X826="Reçu",ISNUMBER(R826)),MAX(0,N(U826)-R826),""))</f>
        <v/>
      </c>
      <c r="Z826" s="67" t="str">
        <f>IF(AND(A826="",E826=""),"",IF(A826="","N° de bon manquant",IF(N(B826)=0,"Date de commande manquante",IF(C826="","Fournisseur manquant",IF(ISNA(MATCH($C826,sup_code,0)),"Fournisseur inconnu",IF(E826="","Article manquant",IF(ISNA(MATCH($E826,art_ref,0)),"Article inconnu",IF(N(H826)&lt;=0,"Quantité invalide",IF(J826="","Prix manquant",IF(OR(N(K826)&lt;0,N(K826)&gt;=1),"Remise invalide",IF(M826="","TVA manquante",IF(ISNA(MATCH(M826,p_tva,0)),"Taux de TVA inconnu",IF(COUNTIFS(po_num,A826,po_sup,"&lt;&gt;"&amp;C826)&gt;0,"Fournisseur différent sur ce bon",IF(COUNTIFS(po_num,A826,po_date,"&lt;&gt;"&amp;B826)&gt;0,"Date différente sur ce bon",IF(COUNTIF(po_num,A826)&gt;25,"Plus de 25 lignes sur ce bon",IF(R826="","Date de livraison manquante",IF(R826&lt;B826,"Livraison avant la commande",IF(AND(N(T826)&gt;0,N(S826)=0),"Date d'envoi manquante",IF(N(T826)&gt;N(H826),"Reçu plus que commandé",IF(AND(N(T826)&gt;0,N(U826)=0),"Date de réception manquante",IF(AND(N(U826)&gt;0,U826&lt;B826),"Réception avant la commande","OK")))))))))))))))))))))</f>
        <v/>
      </c>
      <c r="AA826" s="66" t="str">
        <f>IF(AND(X826="Reçu",ISNUMBER(R826)),IF(N(U826)&lt;=R826,1,0),"")</f>
        <v/>
      </c>
      <c r="AB826" s="76" t="str">
        <f>IF(OR(X826="Envoyé",X826="Partiel",X826="En retard"),IF(ISNUMBER(R826),R826,100000)+ROW()/100000,"")</f>
        <v/>
      </c>
      <c r="AC826" s="66" t="str">
        <f>IF(A826="","",IF(COUNTIF($A$6:A826,A826)=1,1,""))</f>
        <v/>
      </c>
      <c r="AD826" s="66" t="str">
        <f>IF(AC826=1,COUNT($AC$6:AC826),"")</f>
        <v/>
      </c>
      <c r="AE826" s="66" t="str">
        <f>IFERROR(INDEX(po_num,MATCH(821,po_seq,0))&amp;"","")</f>
        <v/>
      </c>
      <c r="AF826" s="66" t="str">
        <f>IF(OR(A826="",p_po=""),"",IF(A826&amp;""=p_po,COUNTIF($A$6:A826,A826),""))</f>
        <v/>
      </c>
      <c r="AG826" s="66" t="str">
        <f>IF(OR(AB826="",A826=""),"",IF(COUNTIFS($A$6:A826,A826,$AB$6:AB826,"&gt;0")=1,1,""))</f>
        <v/>
      </c>
      <c r="AH826" s="70" t="str">
        <f>IF(AB826="","",ROUND(N(W826)*N(J826)*(1-N(K826)),2))</f>
        <v/>
      </c>
      <c r="AI826" s="70" t="str">
        <f>IF(OR(J826="",N(T826)&lt;=0,V826="Oui"),"",ROUND(N(T826)*J826*(1-N(K826)),2))</f>
        <v/>
      </c>
    </row>
    <row r="827">
      <c r="A827" s="63" t="n"/>
      <c r="B827" s="64" t="n"/>
      <c r="C827" s="65" t="n"/>
      <c r="D827" s="66" t="str">
        <f>IF(C827="","",IFERROR(INDEX(sup_name,MATCH($C827,sup_code,0))&amp;"","Fournisseur inconnu"))</f>
        <v/>
      </c>
      <c r="E827" s="63" t="n"/>
      <c r="F827" s="66" t="str">
        <f>IF(E827="","",IFERROR(INDEX(art_des,MATCH($E827,art_ref,0))&amp;"","Article inconnu"))</f>
        <v/>
      </c>
      <c r="G827" s="67" t="str">
        <f>IF(E827="","",IFERROR(INDEX(art_unit,MATCH($E827,art_ref,0))&amp;"",""))</f>
        <v/>
      </c>
      <c r="H827" s="68" t="n"/>
      <c r="I827" s="69" t="n"/>
      <c r="J827" s="70" t="str">
        <f>IF(E827="","",IF(ISNUMBER(I827),I827,IFERROR(IF(ISNUMBER(INDEX(art_price,MATCH($E827,art_ref,0))),INDEX(art_price,MATCH($E827,art_ref,0)),""),"")))</f>
        <v/>
      </c>
      <c r="K827" s="71" t="n"/>
      <c r="L827" s="72" t="n"/>
      <c r="M827" s="72" t="str">
        <f>IF(E827="","",IF(L827&lt;&gt;"",L827,IFERROR(IF(ISNUMBER(INDEX(art_tva,MATCH($E827,art_ref,0))),INDEX(art_tva,MATCH($E827,art_ref,0)),""),"")))</f>
        <v/>
      </c>
      <c r="N827" s="70" t="str">
        <f>IF(OR(E827="",J827=""),"",ROUND(N(H827)*J827*(1-N(K827)),2))</f>
        <v/>
      </c>
      <c r="O827" s="70" t="str">
        <f>IF(OR(N827="",NOT(ISNUMBER(M827))),"",ROUND(N827*M827,2))</f>
        <v/>
      </c>
      <c r="P827" s="70" t="str">
        <f>IF(N827="","",N827+N(O827))</f>
        <v/>
      </c>
      <c r="Q827" s="64" t="n"/>
      <c r="R827" s="73" t="str">
        <f>IF(N(Q827)&gt;0,Q827,IF(OR(N(B827)=0,ISNA(MATCH($C827,sup_code,0))),"",IF(ISNUMBER(INDEX(sup_delay,MATCH($C827,sup_code,0))),B827+INDEX(sup_delay,MATCH($C827,sup_code,0)),"")))</f>
        <v/>
      </c>
      <c r="S827" s="64" t="n"/>
      <c r="T827" s="68" t="n"/>
      <c r="U827" s="64" t="n"/>
      <c r="V827" s="65" t="n"/>
      <c r="W827" s="74" t="str">
        <f>IF(AND(A827="",E827=""),"",IF(V827="Oui",0,MAX(0,ROUND(N(H827)-N(T827),6))))</f>
        <v/>
      </c>
      <c r="X827" s="67" t="str">
        <f>IF(AND(A827="",E827=""),"",IF(V827="Oui","Annulé",IF(AND(N(H827)&gt;0,N(T827)&gt;=N(H827)),"Reçu",IF(N(S827)=0,"Brouillon",IF(AND(ISNUMBER(R827),R827&lt;p_today),"En retard",IF(N(T827)&gt;0,"Partiel","Envoyé"))))))</f>
        <v/>
      </c>
      <c r="Y827" s="75" t="str">
        <f>IF(X827="En retard",p_today-R827,IF(AND(X827="Reçu",ISNUMBER(R827)),MAX(0,N(U827)-R827),""))</f>
        <v/>
      </c>
      <c r="Z827" s="67" t="str">
        <f>IF(AND(A827="",E827=""),"",IF(A827="","N° de bon manquant",IF(N(B827)=0,"Date de commande manquante",IF(C827="","Fournisseur manquant",IF(ISNA(MATCH($C827,sup_code,0)),"Fournisseur inconnu",IF(E827="","Article manquant",IF(ISNA(MATCH($E827,art_ref,0)),"Article inconnu",IF(N(H827)&lt;=0,"Quantité invalide",IF(J827="","Prix manquant",IF(OR(N(K827)&lt;0,N(K827)&gt;=1),"Remise invalide",IF(M827="","TVA manquante",IF(ISNA(MATCH(M827,p_tva,0)),"Taux de TVA inconnu",IF(COUNTIFS(po_num,A827,po_sup,"&lt;&gt;"&amp;C827)&gt;0,"Fournisseur différent sur ce bon",IF(COUNTIFS(po_num,A827,po_date,"&lt;&gt;"&amp;B827)&gt;0,"Date différente sur ce bon",IF(COUNTIF(po_num,A827)&gt;25,"Plus de 25 lignes sur ce bon",IF(R827="","Date de livraison manquante",IF(R827&lt;B827,"Livraison avant la commande",IF(AND(N(T827)&gt;0,N(S827)=0),"Date d'envoi manquante",IF(N(T827)&gt;N(H827),"Reçu plus que commandé",IF(AND(N(T827)&gt;0,N(U827)=0),"Date de réception manquante",IF(AND(N(U827)&gt;0,U827&lt;B827),"Réception avant la commande","OK")))))))))))))))))))))</f>
        <v/>
      </c>
      <c r="AA827" s="66" t="str">
        <f>IF(AND(X827="Reçu",ISNUMBER(R827)),IF(N(U827)&lt;=R827,1,0),"")</f>
        <v/>
      </c>
      <c r="AB827" s="76" t="str">
        <f>IF(OR(X827="Envoyé",X827="Partiel",X827="En retard"),IF(ISNUMBER(R827),R827,100000)+ROW()/100000,"")</f>
        <v/>
      </c>
      <c r="AC827" s="66" t="str">
        <f>IF(A827="","",IF(COUNTIF($A$6:A827,A827)=1,1,""))</f>
        <v/>
      </c>
      <c r="AD827" s="66" t="str">
        <f>IF(AC827=1,COUNT($AC$6:AC827),"")</f>
        <v/>
      </c>
      <c r="AE827" s="66" t="str">
        <f>IFERROR(INDEX(po_num,MATCH(822,po_seq,0))&amp;"","")</f>
        <v/>
      </c>
      <c r="AF827" s="66" t="str">
        <f>IF(OR(A827="",p_po=""),"",IF(A827&amp;""=p_po,COUNTIF($A$6:A827,A827),""))</f>
        <v/>
      </c>
      <c r="AG827" s="66" t="str">
        <f>IF(OR(AB827="",A827=""),"",IF(COUNTIFS($A$6:A827,A827,$AB$6:AB827,"&gt;0")=1,1,""))</f>
        <v/>
      </c>
      <c r="AH827" s="70" t="str">
        <f>IF(AB827="","",ROUND(N(W827)*N(J827)*(1-N(K827)),2))</f>
        <v/>
      </c>
      <c r="AI827" s="70" t="str">
        <f>IF(OR(J827="",N(T827)&lt;=0,V827="Oui"),"",ROUND(N(T827)*J827*(1-N(K827)),2))</f>
        <v/>
      </c>
    </row>
    <row r="828">
      <c r="A828" s="63" t="n"/>
      <c r="B828" s="64" t="n"/>
      <c r="C828" s="65" t="n"/>
      <c r="D828" s="66" t="str">
        <f>IF(C828="","",IFERROR(INDEX(sup_name,MATCH($C828,sup_code,0))&amp;"","Fournisseur inconnu"))</f>
        <v/>
      </c>
      <c r="E828" s="63" t="n"/>
      <c r="F828" s="66" t="str">
        <f>IF(E828="","",IFERROR(INDEX(art_des,MATCH($E828,art_ref,0))&amp;"","Article inconnu"))</f>
        <v/>
      </c>
      <c r="G828" s="67" t="str">
        <f>IF(E828="","",IFERROR(INDEX(art_unit,MATCH($E828,art_ref,0))&amp;"",""))</f>
        <v/>
      </c>
      <c r="H828" s="68" t="n"/>
      <c r="I828" s="69" t="n"/>
      <c r="J828" s="70" t="str">
        <f>IF(E828="","",IF(ISNUMBER(I828),I828,IFERROR(IF(ISNUMBER(INDEX(art_price,MATCH($E828,art_ref,0))),INDEX(art_price,MATCH($E828,art_ref,0)),""),"")))</f>
        <v/>
      </c>
      <c r="K828" s="71" t="n"/>
      <c r="L828" s="72" t="n"/>
      <c r="M828" s="72" t="str">
        <f>IF(E828="","",IF(L828&lt;&gt;"",L828,IFERROR(IF(ISNUMBER(INDEX(art_tva,MATCH($E828,art_ref,0))),INDEX(art_tva,MATCH($E828,art_ref,0)),""),"")))</f>
        <v/>
      </c>
      <c r="N828" s="70" t="str">
        <f>IF(OR(E828="",J828=""),"",ROUND(N(H828)*J828*(1-N(K828)),2))</f>
        <v/>
      </c>
      <c r="O828" s="70" t="str">
        <f>IF(OR(N828="",NOT(ISNUMBER(M828))),"",ROUND(N828*M828,2))</f>
        <v/>
      </c>
      <c r="P828" s="70" t="str">
        <f>IF(N828="","",N828+N(O828))</f>
        <v/>
      </c>
      <c r="Q828" s="64" t="n"/>
      <c r="R828" s="73" t="str">
        <f>IF(N(Q828)&gt;0,Q828,IF(OR(N(B828)=0,ISNA(MATCH($C828,sup_code,0))),"",IF(ISNUMBER(INDEX(sup_delay,MATCH($C828,sup_code,0))),B828+INDEX(sup_delay,MATCH($C828,sup_code,0)),"")))</f>
        <v/>
      </c>
      <c r="S828" s="64" t="n"/>
      <c r="T828" s="68" t="n"/>
      <c r="U828" s="64" t="n"/>
      <c r="V828" s="65" t="n"/>
      <c r="W828" s="74" t="str">
        <f>IF(AND(A828="",E828=""),"",IF(V828="Oui",0,MAX(0,ROUND(N(H828)-N(T828),6))))</f>
        <v/>
      </c>
      <c r="X828" s="67" t="str">
        <f>IF(AND(A828="",E828=""),"",IF(V828="Oui","Annulé",IF(AND(N(H828)&gt;0,N(T828)&gt;=N(H828)),"Reçu",IF(N(S828)=0,"Brouillon",IF(AND(ISNUMBER(R828),R828&lt;p_today),"En retard",IF(N(T828)&gt;0,"Partiel","Envoyé"))))))</f>
        <v/>
      </c>
      <c r="Y828" s="75" t="str">
        <f>IF(X828="En retard",p_today-R828,IF(AND(X828="Reçu",ISNUMBER(R828)),MAX(0,N(U828)-R828),""))</f>
        <v/>
      </c>
      <c r="Z828" s="67" t="str">
        <f>IF(AND(A828="",E828=""),"",IF(A828="","N° de bon manquant",IF(N(B828)=0,"Date de commande manquante",IF(C828="","Fournisseur manquant",IF(ISNA(MATCH($C828,sup_code,0)),"Fournisseur inconnu",IF(E828="","Article manquant",IF(ISNA(MATCH($E828,art_ref,0)),"Article inconnu",IF(N(H828)&lt;=0,"Quantité invalide",IF(J828="","Prix manquant",IF(OR(N(K828)&lt;0,N(K828)&gt;=1),"Remise invalide",IF(M828="","TVA manquante",IF(ISNA(MATCH(M828,p_tva,0)),"Taux de TVA inconnu",IF(COUNTIFS(po_num,A828,po_sup,"&lt;&gt;"&amp;C828)&gt;0,"Fournisseur différent sur ce bon",IF(COUNTIFS(po_num,A828,po_date,"&lt;&gt;"&amp;B828)&gt;0,"Date différente sur ce bon",IF(COUNTIF(po_num,A828)&gt;25,"Plus de 25 lignes sur ce bon",IF(R828="","Date de livraison manquante",IF(R828&lt;B828,"Livraison avant la commande",IF(AND(N(T828)&gt;0,N(S828)=0),"Date d'envoi manquante",IF(N(T828)&gt;N(H828),"Reçu plus que commandé",IF(AND(N(T828)&gt;0,N(U828)=0),"Date de réception manquante",IF(AND(N(U828)&gt;0,U828&lt;B828),"Réception avant la commande","OK")))))))))))))))))))))</f>
        <v/>
      </c>
      <c r="AA828" s="66" t="str">
        <f>IF(AND(X828="Reçu",ISNUMBER(R828)),IF(N(U828)&lt;=R828,1,0),"")</f>
        <v/>
      </c>
      <c r="AB828" s="76" t="str">
        <f>IF(OR(X828="Envoyé",X828="Partiel",X828="En retard"),IF(ISNUMBER(R828),R828,100000)+ROW()/100000,"")</f>
        <v/>
      </c>
      <c r="AC828" s="66" t="str">
        <f>IF(A828="","",IF(COUNTIF($A$6:A828,A828)=1,1,""))</f>
        <v/>
      </c>
      <c r="AD828" s="66" t="str">
        <f>IF(AC828=1,COUNT($AC$6:AC828),"")</f>
        <v/>
      </c>
      <c r="AE828" s="66" t="str">
        <f>IFERROR(INDEX(po_num,MATCH(823,po_seq,0))&amp;"","")</f>
        <v/>
      </c>
      <c r="AF828" s="66" t="str">
        <f>IF(OR(A828="",p_po=""),"",IF(A828&amp;""=p_po,COUNTIF($A$6:A828,A828),""))</f>
        <v/>
      </c>
      <c r="AG828" s="66" t="str">
        <f>IF(OR(AB828="",A828=""),"",IF(COUNTIFS($A$6:A828,A828,$AB$6:AB828,"&gt;0")=1,1,""))</f>
        <v/>
      </c>
      <c r="AH828" s="70" t="str">
        <f>IF(AB828="","",ROUND(N(W828)*N(J828)*(1-N(K828)),2))</f>
        <v/>
      </c>
      <c r="AI828" s="70" t="str">
        <f>IF(OR(J828="",N(T828)&lt;=0,V828="Oui"),"",ROUND(N(T828)*J828*(1-N(K828)),2))</f>
        <v/>
      </c>
    </row>
    <row r="829">
      <c r="A829" s="63" t="n"/>
      <c r="B829" s="64" t="n"/>
      <c r="C829" s="65" t="n"/>
      <c r="D829" s="66" t="str">
        <f>IF(C829="","",IFERROR(INDEX(sup_name,MATCH($C829,sup_code,0))&amp;"","Fournisseur inconnu"))</f>
        <v/>
      </c>
      <c r="E829" s="63" t="n"/>
      <c r="F829" s="66" t="str">
        <f>IF(E829="","",IFERROR(INDEX(art_des,MATCH($E829,art_ref,0))&amp;"","Article inconnu"))</f>
        <v/>
      </c>
      <c r="G829" s="67" t="str">
        <f>IF(E829="","",IFERROR(INDEX(art_unit,MATCH($E829,art_ref,0))&amp;"",""))</f>
        <v/>
      </c>
      <c r="H829" s="68" t="n"/>
      <c r="I829" s="69" t="n"/>
      <c r="J829" s="70" t="str">
        <f>IF(E829="","",IF(ISNUMBER(I829),I829,IFERROR(IF(ISNUMBER(INDEX(art_price,MATCH($E829,art_ref,0))),INDEX(art_price,MATCH($E829,art_ref,0)),""),"")))</f>
        <v/>
      </c>
      <c r="K829" s="71" t="n"/>
      <c r="L829" s="72" t="n"/>
      <c r="M829" s="72" t="str">
        <f>IF(E829="","",IF(L829&lt;&gt;"",L829,IFERROR(IF(ISNUMBER(INDEX(art_tva,MATCH($E829,art_ref,0))),INDEX(art_tva,MATCH($E829,art_ref,0)),""),"")))</f>
        <v/>
      </c>
      <c r="N829" s="70" t="str">
        <f>IF(OR(E829="",J829=""),"",ROUND(N(H829)*J829*(1-N(K829)),2))</f>
        <v/>
      </c>
      <c r="O829" s="70" t="str">
        <f>IF(OR(N829="",NOT(ISNUMBER(M829))),"",ROUND(N829*M829,2))</f>
        <v/>
      </c>
      <c r="P829" s="70" t="str">
        <f>IF(N829="","",N829+N(O829))</f>
        <v/>
      </c>
      <c r="Q829" s="64" t="n"/>
      <c r="R829" s="73" t="str">
        <f>IF(N(Q829)&gt;0,Q829,IF(OR(N(B829)=0,ISNA(MATCH($C829,sup_code,0))),"",IF(ISNUMBER(INDEX(sup_delay,MATCH($C829,sup_code,0))),B829+INDEX(sup_delay,MATCH($C829,sup_code,0)),"")))</f>
        <v/>
      </c>
      <c r="S829" s="64" t="n"/>
      <c r="T829" s="68" t="n"/>
      <c r="U829" s="64" t="n"/>
      <c r="V829" s="65" t="n"/>
      <c r="W829" s="74" t="str">
        <f>IF(AND(A829="",E829=""),"",IF(V829="Oui",0,MAX(0,ROUND(N(H829)-N(T829),6))))</f>
        <v/>
      </c>
      <c r="X829" s="67" t="str">
        <f>IF(AND(A829="",E829=""),"",IF(V829="Oui","Annulé",IF(AND(N(H829)&gt;0,N(T829)&gt;=N(H829)),"Reçu",IF(N(S829)=0,"Brouillon",IF(AND(ISNUMBER(R829),R829&lt;p_today),"En retard",IF(N(T829)&gt;0,"Partiel","Envoyé"))))))</f>
        <v/>
      </c>
      <c r="Y829" s="75" t="str">
        <f>IF(X829="En retard",p_today-R829,IF(AND(X829="Reçu",ISNUMBER(R829)),MAX(0,N(U829)-R829),""))</f>
        <v/>
      </c>
      <c r="Z829" s="67" t="str">
        <f>IF(AND(A829="",E829=""),"",IF(A829="","N° de bon manquant",IF(N(B829)=0,"Date de commande manquante",IF(C829="","Fournisseur manquant",IF(ISNA(MATCH($C829,sup_code,0)),"Fournisseur inconnu",IF(E829="","Article manquant",IF(ISNA(MATCH($E829,art_ref,0)),"Article inconnu",IF(N(H829)&lt;=0,"Quantité invalide",IF(J829="","Prix manquant",IF(OR(N(K829)&lt;0,N(K829)&gt;=1),"Remise invalide",IF(M829="","TVA manquante",IF(ISNA(MATCH(M829,p_tva,0)),"Taux de TVA inconnu",IF(COUNTIFS(po_num,A829,po_sup,"&lt;&gt;"&amp;C829)&gt;0,"Fournisseur différent sur ce bon",IF(COUNTIFS(po_num,A829,po_date,"&lt;&gt;"&amp;B829)&gt;0,"Date différente sur ce bon",IF(COUNTIF(po_num,A829)&gt;25,"Plus de 25 lignes sur ce bon",IF(R829="","Date de livraison manquante",IF(R829&lt;B829,"Livraison avant la commande",IF(AND(N(T829)&gt;0,N(S829)=0),"Date d'envoi manquante",IF(N(T829)&gt;N(H829),"Reçu plus que commandé",IF(AND(N(T829)&gt;0,N(U829)=0),"Date de réception manquante",IF(AND(N(U829)&gt;0,U829&lt;B829),"Réception avant la commande","OK")))))))))))))))))))))</f>
        <v/>
      </c>
      <c r="AA829" s="66" t="str">
        <f>IF(AND(X829="Reçu",ISNUMBER(R829)),IF(N(U829)&lt;=R829,1,0),"")</f>
        <v/>
      </c>
      <c r="AB829" s="76" t="str">
        <f>IF(OR(X829="Envoyé",X829="Partiel",X829="En retard"),IF(ISNUMBER(R829),R829,100000)+ROW()/100000,"")</f>
        <v/>
      </c>
      <c r="AC829" s="66" t="str">
        <f>IF(A829="","",IF(COUNTIF($A$6:A829,A829)=1,1,""))</f>
        <v/>
      </c>
      <c r="AD829" s="66" t="str">
        <f>IF(AC829=1,COUNT($AC$6:AC829),"")</f>
        <v/>
      </c>
      <c r="AE829" s="66" t="str">
        <f>IFERROR(INDEX(po_num,MATCH(824,po_seq,0))&amp;"","")</f>
        <v/>
      </c>
      <c r="AF829" s="66" t="str">
        <f>IF(OR(A829="",p_po=""),"",IF(A829&amp;""=p_po,COUNTIF($A$6:A829,A829),""))</f>
        <v/>
      </c>
      <c r="AG829" s="66" t="str">
        <f>IF(OR(AB829="",A829=""),"",IF(COUNTIFS($A$6:A829,A829,$AB$6:AB829,"&gt;0")=1,1,""))</f>
        <v/>
      </c>
      <c r="AH829" s="70" t="str">
        <f>IF(AB829="","",ROUND(N(W829)*N(J829)*(1-N(K829)),2))</f>
        <v/>
      </c>
      <c r="AI829" s="70" t="str">
        <f>IF(OR(J829="",N(T829)&lt;=0,V829="Oui"),"",ROUND(N(T829)*J829*(1-N(K829)),2))</f>
        <v/>
      </c>
    </row>
    <row r="830">
      <c r="A830" s="63" t="n"/>
      <c r="B830" s="64" t="n"/>
      <c r="C830" s="65" t="n"/>
      <c r="D830" s="66" t="str">
        <f>IF(C830="","",IFERROR(INDEX(sup_name,MATCH($C830,sup_code,0))&amp;"","Fournisseur inconnu"))</f>
        <v/>
      </c>
      <c r="E830" s="63" t="n"/>
      <c r="F830" s="66" t="str">
        <f>IF(E830="","",IFERROR(INDEX(art_des,MATCH($E830,art_ref,0))&amp;"","Article inconnu"))</f>
        <v/>
      </c>
      <c r="G830" s="67" t="str">
        <f>IF(E830="","",IFERROR(INDEX(art_unit,MATCH($E830,art_ref,0))&amp;"",""))</f>
        <v/>
      </c>
      <c r="H830" s="68" t="n"/>
      <c r="I830" s="69" t="n"/>
      <c r="J830" s="70" t="str">
        <f>IF(E830="","",IF(ISNUMBER(I830),I830,IFERROR(IF(ISNUMBER(INDEX(art_price,MATCH($E830,art_ref,0))),INDEX(art_price,MATCH($E830,art_ref,0)),""),"")))</f>
        <v/>
      </c>
      <c r="K830" s="71" t="n"/>
      <c r="L830" s="72" t="n"/>
      <c r="M830" s="72" t="str">
        <f>IF(E830="","",IF(L830&lt;&gt;"",L830,IFERROR(IF(ISNUMBER(INDEX(art_tva,MATCH($E830,art_ref,0))),INDEX(art_tva,MATCH($E830,art_ref,0)),""),"")))</f>
        <v/>
      </c>
      <c r="N830" s="70" t="str">
        <f>IF(OR(E830="",J830=""),"",ROUND(N(H830)*J830*(1-N(K830)),2))</f>
        <v/>
      </c>
      <c r="O830" s="70" t="str">
        <f>IF(OR(N830="",NOT(ISNUMBER(M830))),"",ROUND(N830*M830,2))</f>
        <v/>
      </c>
      <c r="P830" s="70" t="str">
        <f>IF(N830="","",N830+N(O830))</f>
        <v/>
      </c>
      <c r="Q830" s="64" t="n"/>
      <c r="R830" s="73" t="str">
        <f>IF(N(Q830)&gt;0,Q830,IF(OR(N(B830)=0,ISNA(MATCH($C830,sup_code,0))),"",IF(ISNUMBER(INDEX(sup_delay,MATCH($C830,sup_code,0))),B830+INDEX(sup_delay,MATCH($C830,sup_code,0)),"")))</f>
        <v/>
      </c>
      <c r="S830" s="64" t="n"/>
      <c r="T830" s="68" t="n"/>
      <c r="U830" s="64" t="n"/>
      <c r="V830" s="65" t="n"/>
      <c r="W830" s="74" t="str">
        <f>IF(AND(A830="",E830=""),"",IF(V830="Oui",0,MAX(0,ROUND(N(H830)-N(T830),6))))</f>
        <v/>
      </c>
      <c r="X830" s="67" t="str">
        <f>IF(AND(A830="",E830=""),"",IF(V830="Oui","Annulé",IF(AND(N(H830)&gt;0,N(T830)&gt;=N(H830)),"Reçu",IF(N(S830)=0,"Brouillon",IF(AND(ISNUMBER(R830),R830&lt;p_today),"En retard",IF(N(T830)&gt;0,"Partiel","Envoyé"))))))</f>
        <v/>
      </c>
      <c r="Y830" s="75" t="str">
        <f>IF(X830="En retard",p_today-R830,IF(AND(X830="Reçu",ISNUMBER(R830)),MAX(0,N(U830)-R830),""))</f>
        <v/>
      </c>
      <c r="Z830" s="67" t="str">
        <f>IF(AND(A830="",E830=""),"",IF(A830="","N° de bon manquant",IF(N(B830)=0,"Date de commande manquante",IF(C830="","Fournisseur manquant",IF(ISNA(MATCH($C830,sup_code,0)),"Fournisseur inconnu",IF(E830="","Article manquant",IF(ISNA(MATCH($E830,art_ref,0)),"Article inconnu",IF(N(H830)&lt;=0,"Quantité invalide",IF(J830="","Prix manquant",IF(OR(N(K830)&lt;0,N(K830)&gt;=1),"Remise invalide",IF(M830="","TVA manquante",IF(ISNA(MATCH(M830,p_tva,0)),"Taux de TVA inconnu",IF(COUNTIFS(po_num,A830,po_sup,"&lt;&gt;"&amp;C830)&gt;0,"Fournisseur différent sur ce bon",IF(COUNTIFS(po_num,A830,po_date,"&lt;&gt;"&amp;B830)&gt;0,"Date différente sur ce bon",IF(COUNTIF(po_num,A830)&gt;25,"Plus de 25 lignes sur ce bon",IF(R830="","Date de livraison manquante",IF(R830&lt;B830,"Livraison avant la commande",IF(AND(N(T830)&gt;0,N(S830)=0),"Date d'envoi manquante",IF(N(T830)&gt;N(H830),"Reçu plus que commandé",IF(AND(N(T830)&gt;0,N(U830)=0),"Date de réception manquante",IF(AND(N(U830)&gt;0,U830&lt;B830),"Réception avant la commande","OK")))))))))))))))))))))</f>
        <v/>
      </c>
      <c r="AA830" s="66" t="str">
        <f>IF(AND(X830="Reçu",ISNUMBER(R830)),IF(N(U830)&lt;=R830,1,0),"")</f>
        <v/>
      </c>
      <c r="AB830" s="76" t="str">
        <f>IF(OR(X830="Envoyé",X830="Partiel",X830="En retard"),IF(ISNUMBER(R830),R830,100000)+ROW()/100000,"")</f>
        <v/>
      </c>
      <c r="AC830" s="66" t="str">
        <f>IF(A830="","",IF(COUNTIF($A$6:A830,A830)=1,1,""))</f>
        <v/>
      </c>
      <c r="AD830" s="66" t="str">
        <f>IF(AC830=1,COUNT($AC$6:AC830),"")</f>
        <v/>
      </c>
      <c r="AE830" s="66" t="str">
        <f>IFERROR(INDEX(po_num,MATCH(825,po_seq,0))&amp;"","")</f>
        <v/>
      </c>
      <c r="AF830" s="66" t="str">
        <f>IF(OR(A830="",p_po=""),"",IF(A830&amp;""=p_po,COUNTIF($A$6:A830,A830),""))</f>
        <v/>
      </c>
      <c r="AG830" s="66" t="str">
        <f>IF(OR(AB830="",A830=""),"",IF(COUNTIFS($A$6:A830,A830,$AB$6:AB830,"&gt;0")=1,1,""))</f>
        <v/>
      </c>
      <c r="AH830" s="70" t="str">
        <f>IF(AB830="","",ROUND(N(W830)*N(J830)*(1-N(K830)),2))</f>
        <v/>
      </c>
      <c r="AI830" s="70" t="str">
        <f>IF(OR(J830="",N(T830)&lt;=0,V830="Oui"),"",ROUND(N(T830)*J830*(1-N(K830)),2))</f>
        <v/>
      </c>
    </row>
    <row r="831">
      <c r="A831" s="63" t="n"/>
      <c r="B831" s="64" t="n"/>
      <c r="C831" s="65" t="n"/>
      <c r="D831" s="66" t="str">
        <f>IF(C831="","",IFERROR(INDEX(sup_name,MATCH($C831,sup_code,0))&amp;"","Fournisseur inconnu"))</f>
        <v/>
      </c>
      <c r="E831" s="63" t="n"/>
      <c r="F831" s="66" t="str">
        <f>IF(E831="","",IFERROR(INDEX(art_des,MATCH($E831,art_ref,0))&amp;"","Article inconnu"))</f>
        <v/>
      </c>
      <c r="G831" s="67" t="str">
        <f>IF(E831="","",IFERROR(INDEX(art_unit,MATCH($E831,art_ref,0))&amp;"",""))</f>
        <v/>
      </c>
      <c r="H831" s="68" t="n"/>
      <c r="I831" s="69" t="n"/>
      <c r="J831" s="70" t="str">
        <f>IF(E831="","",IF(ISNUMBER(I831),I831,IFERROR(IF(ISNUMBER(INDEX(art_price,MATCH($E831,art_ref,0))),INDEX(art_price,MATCH($E831,art_ref,0)),""),"")))</f>
        <v/>
      </c>
      <c r="K831" s="71" t="n"/>
      <c r="L831" s="72" t="n"/>
      <c r="M831" s="72" t="str">
        <f>IF(E831="","",IF(L831&lt;&gt;"",L831,IFERROR(IF(ISNUMBER(INDEX(art_tva,MATCH($E831,art_ref,0))),INDEX(art_tva,MATCH($E831,art_ref,0)),""),"")))</f>
        <v/>
      </c>
      <c r="N831" s="70" t="str">
        <f>IF(OR(E831="",J831=""),"",ROUND(N(H831)*J831*(1-N(K831)),2))</f>
        <v/>
      </c>
      <c r="O831" s="70" t="str">
        <f>IF(OR(N831="",NOT(ISNUMBER(M831))),"",ROUND(N831*M831,2))</f>
        <v/>
      </c>
      <c r="P831" s="70" t="str">
        <f>IF(N831="","",N831+N(O831))</f>
        <v/>
      </c>
      <c r="Q831" s="64" t="n"/>
      <c r="R831" s="73" t="str">
        <f>IF(N(Q831)&gt;0,Q831,IF(OR(N(B831)=0,ISNA(MATCH($C831,sup_code,0))),"",IF(ISNUMBER(INDEX(sup_delay,MATCH($C831,sup_code,0))),B831+INDEX(sup_delay,MATCH($C831,sup_code,0)),"")))</f>
        <v/>
      </c>
      <c r="S831" s="64" t="n"/>
      <c r="T831" s="68" t="n"/>
      <c r="U831" s="64" t="n"/>
      <c r="V831" s="65" t="n"/>
      <c r="W831" s="74" t="str">
        <f>IF(AND(A831="",E831=""),"",IF(V831="Oui",0,MAX(0,ROUND(N(H831)-N(T831),6))))</f>
        <v/>
      </c>
      <c r="X831" s="67" t="str">
        <f>IF(AND(A831="",E831=""),"",IF(V831="Oui","Annulé",IF(AND(N(H831)&gt;0,N(T831)&gt;=N(H831)),"Reçu",IF(N(S831)=0,"Brouillon",IF(AND(ISNUMBER(R831),R831&lt;p_today),"En retard",IF(N(T831)&gt;0,"Partiel","Envoyé"))))))</f>
        <v/>
      </c>
      <c r="Y831" s="75" t="str">
        <f>IF(X831="En retard",p_today-R831,IF(AND(X831="Reçu",ISNUMBER(R831)),MAX(0,N(U831)-R831),""))</f>
        <v/>
      </c>
      <c r="Z831" s="67" t="str">
        <f>IF(AND(A831="",E831=""),"",IF(A831="","N° de bon manquant",IF(N(B831)=0,"Date de commande manquante",IF(C831="","Fournisseur manquant",IF(ISNA(MATCH($C831,sup_code,0)),"Fournisseur inconnu",IF(E831="","Article manquant",IF(ISNA(MATCH($E831,art_ref,0)),"Article inconnu",IF(N(H831)&lt;=0,"Quantité invalide",IF(J831="","Prix manquant",IF(OR(N(K831)&lt;0,N(K831)&gt;=1),"Remise invalide",IF(M831="","TVA manquante",IF(ISNA(MATCH(M831,p_tva,0)),"Taux de TVA inconnu",IF(COUNTIFS(po_num,A831,po_sup,"&lt;&gt;"&amp;C831)&gt;0,"Fournisseur différent sur ce bon",IF(COUNTIFS(po_num,A831,po_date,"&lt;&gt;"&amp;B831)&gt;0,"Date différente sur ce bon",IF(COUNTIF(po_num,A831)&gt;25,"Plus de 25 lignes sur ce bon",IF(R831="","Date de livraison manquante",IF(R831&lt;B831,"Livraison avant la commande",IF(AND(N(T831)&gt;0,N(S831)=0),"Date d'envoi manquante",IF(N(T831)&gt;N(H831),"Reçu plus que commandé",IF(AND(N(T831)&gt;0,N(U831)=0),"Date de réception manquante",IF(AND(N(U831)&gt;0,U831&lt;B831),"Réception avant la commande","OK")))))))))))))))))))))</f>
        <v/>
      </c>
      <c r="AA831" s="66" t="str">
        <f>IF(AND(X831="Reçu",ISNUMBER(R831)),IF(N(U831)&lt;=R831,1,0),"")</f>
        <v/>
      </c>
      <c r="AB831" s="76" t="str">
        <f>IF(OR(X831="Envoyé",X831="Partiel",X831="En retard"),IF(ISNUMBER(R831),R831,100000)+ROW()/100000,"")</f>
        <v/>
      </c>
      <c r="AC831" s="66" t="str">
        <f>IF(A831="","",IF(COUNTIF($A$6:A831,A831)=1,1,""))</f>
        <v/>
      </c>
      <c r="AD831" s="66" t="str">
        <f>IF(AC831=1,COUNT($AC$6:AC831),"")</f>
        <v/>
      </c>
      <c r="AE831" s="66" t="str">
        <f>IFERROR(INDEX(po_num,MATCH(826,po_seq,0))&amp;"","")</f>
        <v/>
      </c>
      <c r="AF831" s="66" t="str">
        <f>IF(OR(A831="",p_po=""),"",IF(A831&amp;""=p_po,COUNTIF($A$6:A831,A831),""))</f>
        <v/>
      </c>
      <c r="AG831" s="66" t="str">
        <f>IF(OR(AB831="",A831=""),"",IF(COUNTIFS($A$6:A831,A831,$AB$6:AB831,"&gt;0")=1,1,""))</f>
        <v/>
      </c>
      <c r="AH831" s="70" t="str">
        <f>IF(AB831="","",ROUND(N(W831)*N(J831)*(1-N(K831)),2))</f>
        <v/>
      </c>
      <c r="AI831" s="70" t="str">
        <f>IF(OR(J831="",N(T831)&lt;=0,V831="Oui"),"",ROUND(N(T831)*J831*(1-N(K831)),2))</f>
        <v/>
      </c>
    </row>
    <row r="832">
      <c r="A832" s="63" t="n"/>
      <c r="B832" s="64" t="n"/>
      <c r="C832" s="65" t="n"/>
      <c r="D832" s="66" t="str">
        <f>IF(C832="","",IFERROR(INDEX(sup_name,MATCH($C832,sup_code,0))&amp;"","Fournisseur inconnu"))</f>
        <v/>
      </c>
      <c r="E832" s="63" t="n"/>
      <c r="F832" s="66" t="str">
        <f>IF(E832="","",IFERROR(INDEX(art_des,MATCH($E832,art_ref,0))&amp;"","Article inconnu"))</f>
        <v/>
      </c>
      <c r="G832" s="67" t="str">
        <f>IF(E832="","",IFERROR(INDEX(art_unit,MATCH($E832,art_ref,0))&amp;"",""))</f>
        <v/>
      </c>
      <c r="H832" s="68" t="n"/>
      <c r="I832" s="69" t="n"/>
      <c r="J832" s="70" t="str">
        <f>IF(E832="","",IF(ISNUMBER(I832),I832,IFERROR(IF(ISNUMBER(INDEX(art_price,MATCH($E832,art_ref,0))),INDEX(art_price,MATCH($E832,art_ref,0)),""),"")))</f>
        <v/>
      </c>
      <c r="K832" s="71" t="n"/>
      <c r="L832" s="72" t="n"/>
      <c r="M832" s="72" t="str">
        <f>IF(E832="","",IF(L832&lt;&gt;"",L832,IFERROR(IF(ISNUMBER(INDEX(art_tva,MATCH($E832,art_ref,0))),INDEX(art_tva,MATCH($E832,art_ref,0)),""),"")))</f>
        <v/>
      </c>
      <c r="N832" s="70" t="str">
        <f>IF(OR(E832="",J832=""),"",ROUND(N(H832)*J832*(1-N(K832)),2))</f>
        <v/>
      </c>
      <c r="O832" s="70" t="str">
        <f>IF(OR(N832="",NOT(ISNUMBER(M832))),"",ROUND(N832*M832,2))</f>
        <v/>
      </c>
      <c r="P832" s="70" t="str">
        <f>IF(N832="","",N832+N(O832))</f>
        <v/>
      </c>
      <c r="Q832" s="64" t="n"/>
      <c r="R832" s="73" t="str">
        <f>IF(N(Q832)&gt;0,Q832,IF(OR(N(B832)=0,ISNA(MATCH($C832,sup_code,0))),"",IF(ISNUMBER(INDEX(sup_delay,MATCH($C832,sup_code,0))),B832+INDEX(sup_delay,MATCH($C832,sup_code,0)),"")))</f>
        <v/>
      </c>
      <c r="S832" s="64" t="n"/>
      <c r="T832" s="68" t="n"/>
      <c r="U832" s="64" t="n"/>
      <c r="V832" s="65" t="n"/>
      <c r="W832" s="74" t="str">
        <f>IF(AND(A832="",E832=""),"",IF(V832="Oui",0,MAX(0,ROUND(N(H832)-N(T832),6))))</f>
        <v/>
      </c>
      <c r="X832" s="67" t="str">
        <f>IF(AND(A832="",E832=""),"",IF(V832="Oui","Annulé",IF(AND(N(H832)&gt;0,N(T832)&gt;=N(H832)),"Reçu",IF(N(S832)=0,"Brouillon",IF(AND(ISNUMBER(R832),R832&lt;p_today),"En retard",IF(N(T832)&gt;0,"Partiel","Envoyé"))))))</f>
        <v/>
      </c>
      <c r="Y832" s="75" t="str">
        <f>IF(X832="En retard",p_today-R832,IF(AND(X832="Reçu",ISNUMBER(R832)),MAX(0,N(U832)-R832),""))</f>
        <v/>
      </c>
      <c r="Z832" s="67" t="str">
        <f>IF(AND(A832="",E832=""),"",IF(A832="","N° de bon manquant",IF(N(B832)=0,"Date de commande manquante",IF(C832="","Fournisseur manquant",IF(ISNA(MATCH($C832,sup_code,0)),"Fournisseur inconnu",IF(E832="","Article manquant",IF(ISNA(MATCH($E832,art_ref,0)),"Article inconnu",IF(N(H832)&lt;=0,"Quantité invalide",IF(J832="","Prix manquant",IF(OR(N(K832)&lt;0,N(K832)&gt;=1),"Remise invalide",IF(M832="","TVA manquante",IF(ISNA(MATCH(M832,p_tva,0)),"Taux de TVA inconnu",IF(COUNTIFS(po_num,A832,po_sup,"&lt;&gt;"&amp;C832)&gt;0,"Fournisseur différent sur ce bon",IF(COUNTIFS(po_num,A832,po_date,"&lt;&gt;"&amp;B832)&gt;0,"Date différente sur ce bon",IF(COUNTIF(po_num,A832)&gt;25,"Plus de 25 lignes sur ce bon",IF(R832="","Date de livraison manquante",IF(R832&lt;B832,"Livraison avant la commande",IF(AND(N(T832)&gt;0,N(S832)=0),"Date d'envoi manquante",IF(N(T832)&gt;N(H832),"Reçu plus que commandé",IF(AND(N(T832)&gt;0,N(U832)=0),"Date de réception manquante",IF(AND(N(U832)&gt;0,U832&lt;B832),"Réception avant la commande","OK")))))))))))))))))))))</f>
        <v/>
      </c>
      <c r="AA832" s="66" t="str">
        <f>IF(AND(X832="Reçu",ISNUMBER(R832)),IF(N(U832)&lt;=R832,1,0),"")</f>
        <v/>
      </c>
      <c r="AB832" s="76" t="str">
        <f>IF(OR(X832="Envoyé",X832="Partiel",X832="En retard"),IF(ISNUMBER(R832),R832,100000)+ROW()/100000,"")</f>
        <v/>
      </c>
      <c r="AC832" s="66" t="str">
        <f>IF(A832="","",IF(COUNTIF($A$6:A832,A832)=1,1,""))</f>
        <v/>
      </c>
      <c r="AD832" s="66" t="str">
        <f>IF(AC832=1,COUNT($AC$6:AC832),"")</f>
        <v/>
      </c>
      <c r="AE832" s="66" t="str">
        <f>IFERROR(INDEX(po_num,MATCH(827,po_seq,0))&amp;"","")</f>
        <v/>
      </c>
      <c r="AF832" s="66" t="str">
        <f>IF(OR(A832="",p_po=""),"",IF(A832&amp;""=p_po,COUNTIF($A$6:A832,A832),""))</f>
        <v/>
      </c>
      <c r="AG832" s="66" t="str">
        <f>IF(OR(AB832="",A832=""),"",IF(COUNTIFS($A$6:A832,A832,$AB$6:AB832,"&gt;0")=1,1,""))</f>
        <v/>
      </c>
      <c r="AH832" s="70" t="str">
        <f>IF(AB832="","",ROUND(N(W832)*N(J832)*(1-N(K832)),2))</f>
        <v/>
      </c>
      <c r="AI832" s="70" t="str">
        <f>IF(OR(J832="",N(T832)&lt;=0,V832="Oui"),"",ROUND(N(T832)*J832*(1-N(K832)),2))</f>
        <v/>
      </c>
    </row>
    <row r="833">
      <c r="A833" s="63" t="n"/>
      <c r="B833" s="64" t="n"/>
      <c r="C833" s="65" t="n"/>
      <c r="D833" s="66" t="str">
        <f>IF(C833="","",IFERROR(INDEX(sup_name,MATCH($C833,sup_code,0))&amp;"","Fournisseur inconnu"))</f>
        <v/>
      </c>
      <c r="E833" s="63" t="n"/>
      <c r="F833" s="66" t="str">
        <f>IF(E833="","",IFERROR(INDEX(art_des,MATCH($E833,art_ref,0))&amp;"","Article inconnu"))</f>
        <v/>
      </c>
      <c r="G833" s="67" t="str">
        <f>IF(E833="","",IFERROR(INDEX(art_unit,MATCH($E833,art_ref,0))&amp;"",""))</f>
        <v/>
      </c>
      <c r="H833" s="68" t="n"/>
      <c r="I833" s="69" t="n"/>
      <c r="J833" s="70" t="str">
        <f>IF(E833="","",IF(ISNUMBER(I833),I833,IFERROR(IF(ISNUMBER(INDEX(art_price,MATCH($E833,art_ref,0))),INDEX(art_price,MATCH($E833,art_ref,0)),""),"")))</f>
        <v/>
      </c>
      <c r="K833" s="71" t="n"/>
      <c r="L833" s="72" t="n"/>
      <c r="M833" s="72" t="str">
        <f>IF(E833="","",IF(L833&lt;&gt;"",L833,IFERROR(IF(ISNUMBER(INDEX(art_tva,MATCH($E833,art_ref,0))),INDEX(art_tva,MATCH($E833,art_ref,0)),""),"")))</f>
        <v/>
      </c>
      <c r="N833" s="70" t="str">
        <f>IF(OR(E833="",J833=""),"",ROUND(N(H833)*J833*(1-N(K833)),2))</f>
        <v/>
      </c>
      <c r="O833" s="70" t="str">
        <f>IF(OR(N833="",NOT(ISNUMBER(M833))),"",ROUND(N833*M833,2))</f>
        <v/>
      </c>
      <c r="P833" s="70" t="str">
        <f>IF(N833="","",N833+N(O833))</f>
        <v/>
      </c>
      <c r="Q833" s="64" t="n"/>
      <c r="R833" s="73" t="str">
        <f>IF(N(Q833)&gt;0,Q833,IF(OR(N(B833)=0,ISNA(MATCH($C833,sup_code,0))),"",IF(ISNUMBER(INDEX(sup_delay,MATCH($C833,sup_code,0))),B833+INDEX(sup_delay,MATCH($C833,sup_code,0)),"")))</f>
        <v/>
      </c>
      <c r="S833" s="64" t="n"/>
      <c r="T833" s="68" t="n"/>
      <c r="U833" s="64" t="n"/>
      <c r="V833" s="65" t="n"/>
      <c r="W833" s="74" t="str">
        <f>IF(AND(A833="",E833=""),"",IF(V833="Oui",0,MAX(0,ROUND(N(H833)-N(T833),6))))</f>
        <v/>
      </c>
      <c r="X833" s="67" t="str">
        <f>IF(AND(A833="",E833=""),"",IF(V833="Oui","Annulé",IF(AND(N(H833)&gt;0,N(T833)&gt;=N(H833)),"Reçu",IF(N(S833)=0,"Brouillon",IF(AND(ISNUMBER(R833),R833&lt;p_today),"En retard",IF(N(T833)&gt;0,"Partiel","Envoyé"))))))</f>
        <v/>
      </c>
      <c r="Y833" s="75" t="str">
        <f>IF(X833="En retard",p_today-R833,IF(AND(X833="Reçu",ISNUMBER(R833)),MAX(0,N(U833)-R833),""))</f>
        <v/>
      </c>
      <c r="Z833" s="67" t="str">
        <f>IF(AND(A833="",E833=""),"",IF(A833="","N° de bon manquant",IF(N(B833)=0,"Date de commande manquante",IF(C833="","Fournisseur manquant",IF(ISNA(MATCH($C833,sup_code,0)),"Fournisseur inconnu",IF(E833="","Article manquant",IF(ISNA(MATCH($E833,art_ref,0)),"Article inconnu",IF(N(H833)&lt;=0,"Quantité invalide",IF(J833="","Prix manquant",IF(OR(N(K833)&lt;0,N(K833)&gt;=1),"Remise invalide",IF(M833="","TVA manquante",IF(ISNA(MATCH(M833,p_tva,0)),"Taux de TVA inconnu",IF(COUNTIFS(po_num,A833,po_sup,"&lt;&gt;"&amp;C833)&gt;0,"Fournisseur différent sur ce bon",IF(COUNTIFS(po_num,A833,po_date,"&lt;&gt;"&amp;B833)&gt;0,"Date différente sur ce bon",IF(COUNTIF(po_num,A833)&gt;25,"Plus de 25 lignes sur ce bon",IF(R833="","Date de livraison manquante",IF(R833&lt;B833,"Livraison avant la commande",IF(AND(N(T833)&gt;0,N(S833)=0),"Date d'envoi manquante",IF(N(T833)&gt;N(H833),"Reçu plus que commandé",IF(AND(N(T833)&gt;0,N(U833)=0),"Date de réception manquante",IF(AND(N(U833)&gt;0,U833&lt;B833),"Réception avant la commande","OK")))))))))))))))))))))</f>
        <v/>
      </c>
      <c r="AA833" s="66" t="str">
        <f>IF(AND(X833="Reçu",ISNUMBER(R833)),IF(N(U833)&lt;=R833,1,0),"")</f>
        <v/>
      </c>
      <c r="AB833" s="76" t="str">
        <f>IF(OR(X833="Envoyé",X833="Partiel",X833="En retard"),IF(ISNUMBER(R833),R833,100000)+ROW()/100000,"")</f>
        <v/>
      </c>
      <c r="AC833" s="66" t="str">
        <f>IF(A833="","",IF(COUNTIF($A$6:A833,A833)=1,1,""))</f>
        <v/>
      </c>
      <c r="AD833" s="66" t="str">
        <f>IF(AC833=1,COUNT($AC$6:AC833),"")</f>
        <v/>
      </c>
      <c r="AE833" s="66" t="str">
        <f>IFERROR(INDEX(po_num,MATCH(828,po_seq,0))&amp;"","")</f>
        <v/>
      </c>
      <c r="AF833" s="66" t="str">
        <f>IF(OR(A833="",p_po=""),"",IF(A833&amp;""=p_po,COUNTIF($A$6:A833,A833),""))</f>
        <v/>
      </c>
      <c r="AG833" s="66" t="str">
        <f>IF(OR(AB833="",A833=""),"",IF(COUNTIFS($A$6:A833,A833,$AB$6:AB833,"&gt;0")=1,1,""))</f>
        <v/>
      </c>
      <c r="AH833" s="70" t="str">
        <f>IF(AB833="","",ROUND(N(W833)*N(J833)*(1-N(K833)),2))</f>
        <v/>
      </c>
      <c r="AI833" s="70" t="str">
        <f>IF(OR(J833="",N(T833)&lt;=0,V833="Oui"),"",ROUND(N(T833)*J833*(1-N(K833)),2))</f>
        <v/>
      </c>
    </row>
    <row r="834">
      <c r="A834" s="63" t="n"/>
      <c r="B834" s="64" t="n"/>
      <c r="C834" s="65" t="n"/>
      <c r="D834" s="66" t="str">
        <f>IF(C834="","",IFERROR(INDEX(sup_name,MATCH($C834,sup_code,0))&amp;"","Fournisseur inconnu"))</f>
        <v/>
      </c>
      <c r="E834" s="63" t="n"/>
      <c r="F834" s="66" t="str">
        <f>IF(E834="","",IFERROR(INDEX(art_des,MATCH($E834,art_ref,0))&amp;"","Article inconnu"))</f>
        <v/>
      </c>
      <c r="G834" s="67" t="str">
        <f>IF(E834="","",IFERROR(INDEX(art_unit,MATCH($E834,art_ref,0))&amp;"",""))</f>
        <v/>
      </c>
      <c r="H834" s="68" t="n"/>
      <c r="I834" s="69" t="n"/>
      <c r="J834" s="70" t="str">
        <f>IF(E834="","",IF(ISNUMBER(I834),I834,IFERROR(IF(ISNUMBER(INDEX(art_price,MATCH($E834,art_ref,0))),INDEX(art_price,MATCH($E834,art_ref,0)),""),"")))</f>
        <v/>
      </c>
      <c r="K834" s="71" t="n"/>
      <c r="L834" s="72" t="n"/>
      <c r="M834" s="72" t="str">
        <f>IF(E834="","",IF(L834&lt;&gt;"",L834,IFERROR(IF(ISNUMBER(INDEX(art_tva,MATCH($E834,art_ref,0))),INDEX(art_tva,MATCH($E834,art_ref,0)),""),"")))</f>
        <v/>
      </c>
      <c r="N834" s="70" t="str">
        <f>IF(OR(E834="",J834=""),"",ROUND(N(H834)*J834*(1-N(K834)),2))</f>
        <v/>
      </c>
      <c r="O834" s="70" t="str">
        <f>IF(OR(N834="",NOT(ISNUMBER(M834))),"",ROUND(N834*M834,2))</f>
        <v/>
      </c>
      <c r="P834" s="70" t="str">
        <f>IF(N834="","",N834+N(O834))</f>
        <v/>
      </c>
      <c r="Q834" s="64" t="n"/>
      <c r="R834" s="73" t="str">
        <f>IF(N(Q834)&gt;0,Q834,IF(OR(N(B834)=0,ISNA(MATCH($C834,sup_code,0))),"",IF(ISNUMBER(INDEX(sup_delay,MATCH($C834,sup_code,0))),B834+INDEX(sup_delay,MATCH($C834,sup_code,0)),"")))</f>
        <v/>
      </c>
      <c r="S834" s="64" t="n"/>
      <c r="T834" s="68" t="n"/>
      <c r="U834" s="64" t="n"/>
      <c r="V834" s="65" t="n"/>
      <c r="W834" s="74" t="str">
        <f>IF(AND(A834="",E834=""),"",IF(V834="Oui",0,MAX(0,ROUND(N(H834)-N(T834),6))))</f>
        <v/>
      </c>
      <c r="X834" s="67" t="str">
        <f>IF(AND(A834="",E834=""),"",IF(V834="Oui","Annulé",IF(AND(N(H834)&gt;0,N(T834)&gt;=N(H834)),"Reçu",IF(N(S834)=0,"Brouillon",IF(AND(ISNUMBER(R834),R834&lt;p_today),"En retard",IF(N(T834)&gt;0,"Partiel","Envoyé"))))))</f>
        <v/>
      </c>
      <c r="Y834" s="75" t="str">
        <f>IF(X834="En retard",p_today-R834,IF(AND(X834="Reçu",ISNUMBER(R834)),MAX(0,N(U834)-R834),""))</f>
        <v/>
      </c>
      <c r="Z834" s="67" t="str">
        <f>IF(AND(A834="",E834=""),"",IF(A834="","N° de bon manquant",IF(N(B834)=0,"Date de commande manquante",IF(C834="","Fournisseur manquant",IF(ISNA(MATCH($C834,sup_code,0)),"Fournisseur inconnu",IF(E834="","Article manquant",IF(ISNA(MATCH($E834,art_ref,0)),"Article inconnu",IF(N(H834)&lt;=0,"Quantité invalide",IF(J834="","Prix manquant",IF(OR(N(K834)&lt;0,N(K834)&gt;=1),"Remise invalide",IF(M834="","TVA manquante",IF(ISNA(MATCH(M834,p_tva,0)),"Taux de TVA inconnu",IF(COUNTIFS(po_num,A834,po_sup,"&lt;&gt;"&amp;C834)&gt;0,"Fournisseur différent sur ce bon",IF(COUNTIFS(po_num,A834,po_date,"&lt;&gt;"&amp;B834)&gt;0,"Date différente sur ce bon",IF(COUNTIF(po_num,A834)&gt;25,"Plus de 25 lignes sur ce bon",IF(R834="","Date de livraison manquante",IF(R834&lt;B834,"Livraison avant la commande",IF(AND(N(T834)&gt;0,N(S834)=0),"Date d'envoi manquante",IF(N(T834)&gt;N(H834),"Reçu plus que commandé",IF(AND(N(T834)&gt;0,N(U834)=0),"Date de réception manquante",IF(AND(N(U834)&gt;0,U834&lt;B834),"Réception avant la commande","OK")))))))))))))))))))))</f>
        <v/>
      </c>
      <c r="AA834" s="66" t="str">
        <f>IF(AND(X834="Reçu",ISNUMBER(R834)),IF(N(U834)&lt;=R834,1,0),"")</f>
        <v/>
      </c>
      <c r="AB834" s="76" t="str">
        <f>IF(OR(X834="Envoyé",X834="Partiel",X834="En retard"),IF(ISNUMBER(R834),R834,100000)+ROW()/100000,"")</f>
        <v/>
      </c>
      <c r="AC834" s="66" t="str">
        <f>IF(A834="","",IF(COUNTIF($A$6:A834,A834)=1,1,""))</f>
        <v/>
      </c>
      <c r="AD834" s="66" t="str">
        <f>IF(AC834=1,COUNT($AC$6:AC834),"")</f>
        <v/>
      </c>
      <c r="AE834" s="66" t="str">
        <f>IFERROR(INDEX(po_num,MATCH(829,po_seq,0))&amp;"","")</f>
        <v/>
      </c>
      <c r="AF834" s="66" t="str">
        <f>IF(OR(A834="",p_po=""),"",IF(A834&amp;""=p_po,COUNTIF($A$6:A834,A834),""))</f>
        <v/>
      </c>
      <c r="AG834" s="66" t="str">
        <f>IF(OR(AB834="",A834=""),"",IF(COUNTIFS($A$6:A834,A834,$AB$6:AB834,"&gt;0")=1,1,""))</f>
        <v/>
      </c>
      <c r="AH834" s="70" t="str">
        <f>IF(AB834="","",ROUND(N(W834)*N(J834)*(1-N(K834)),2))</f>
        <v/>
      </c>
      <c r="AI834" s="70" t="str">
        <f>IF(OR(J834="",N(T834)&lt;=0,V834="Oui"),"",ROUND(N(T834)*J834*(1-N(K834)),2))</f>
        <v/>
      </c>
    </row>
    <row r="835">
      <c r="A835" s="63" t="n"/>
      <c r="B835" s="64" t="n"/>
      <c r="C835" s="65" t="n"/>
      <c r="D835" s="66" t="str">
        <f>IF(C835="","",IFERROR(INDEX(sup_name,MATCH($C835,sup_code,0))&amp;"","Fournisseur inconnu"))</f>
        <v/>
      </c>
      <c r="E835" s="63" t="n"/>
      <c r="F835" s="66" t="str">
        <f>IF(E835="","",IFERROR(INDEX(art_des,MATCH($E835,art_ref,0))&amp;"","Article inconnu"))</f>
        <v/>
      </c>
      <c r="G835" s="67" t="str">
        <f>IF(E835="","",IFERROR(INDEX(art_unit,MATCH($E835,art_ref,0))&amp;"",""))</f>
        <v/>
      </c>
      <c r="H835" s="68" t="n"/>
      <c r="I835" s="69" t="n"/>
      <c r="J835" s="70" t="str">
        <f>IF(E835="","",IF(ISNUMBER(I835),I835,IFERROR(IF(ISNUMBER(INDEX(art_price,MATCH($E835,art_ref,0))),INDEX(art_price,MATCH($E835,art_ref,0)),""),"")))</f>
        <v/>
      </c>
      <c r="K835" s="71" t="n"/>
      <c r="L835" s="72" t="n"/>
      <c r="M835" s="72" t="str">
        <f>IF(E835="","",IF(L835&lt;&gt;"",L835,IFERROR(IF(ISNUMBER(INDEX(art_tva,MATCH($E835,art_ref,0))),INDEX(art_tva,MATCH($E835,art_ref,0)),""),"")))</f>
        <v/>
      </c>
      <c r="N835" s="70" t="str">
        <f>IF(OR(E835="",J835=""),"",ROUND(N(H835)*J835*(1-N(K835)),2))</f>
        <v/>
      </c>
      <c r="O835" s="70" t="str">
        <f>IF(OR(N835="",NOT(ISNUMBER(M835))),"",ROUND(N835*M835,2))</f>
        <v/>
      </c>
      <c r="P835" s="70" t="str">
        <f>IF(N835="","",N835+N(O835))</f>
        <v/>
      </c>
      <c r="Q835" s="64" t="n"/>
      <c r="R835" s="73" t="str">
        <f>IF(N(Q835)&gt;0,Q835,IF(OR(N(B835)=0,ISNA(MATCH($C835,sup_code,0))),"",IF(ISNUMBER(INDEX(sup_delay,MATCH($C835,sup_code,0))),B835+INDEX(sup_delay,MATCH($C835,sup_code,0)),"")))</f>
        <v/>
      </c>
      <c r="S835" s="64" t="n"/>
      <c r="T835" s="68" t="n"/>
      <c r="U835" s="64" t="n"/>
      <c r="V835" s="65" t="n"/>
      <c r="W835" s="74" t="str">
        <f>IF(AND(A835="",E835=""),"",IF(V835="Oui",0,MAX(0,ROUND(N(H835)-N(T835),6))))</f>
        <v/>
      </c>
      <c r="X835" s="67" t="str">
        <f>IF(AND(A835="",E835=""),"",IF(V835="Oui","Annulé",IF(AND(N(H835)&gt;0,N(T835)&gt;=N(H835)),"Reçu",IF(N(S835)=0,"Brouillon",IF(AND(ISNUMBER(R835),R835&lt;p_today),"En retard",IF(N(T835)&gt;0,"Partiel","Envoyé"))))))</f>
        <v/>
      </c>
      <c r="Y835" s="75" t="str">
        <f>IF(X835="En retard",p_today-R835,IF(AND(X835="Reçu",ISNUMBER(R835)),MAX(0,N(U835)-R835),""))</f>
        <v/>
      </c>
      <c r="Z835" s="67" t="str">
        <f>IF(AND(A835="",E835=""),"",IF(A835="","N° de bon manquant",IF(N(B835)=0,"Date de commande manquante",IF(C835="","Fournisseur manquant",IF(ISNA(MATCH($C835,sup_code,0)),"Fournisseur inconnu",IF(E835="","Article manquant",IF(ISNA(MATCH($E835,art_ref,0)),"Article inconnu",IF(N(H835)&lt;=0,"Quantité invalide",IF(J835="","Prix manquant",IF(OR(N(K835)&lt;0,N(K835)&gt;=1),"Remise invalide",IF(M835="","TVA manquante",IF(ISNA(MATCH(M835,p_tva,0)),"Taux de TVA inconnu",IF(COUNTIFS(po_num,A835,po_sup,"&lt;&gt;"&amp;C835)&gt;0,"Fournisseur différent sur ce bon",IF(COUNTIFS(po_num,A835,po_date,"&lt;&gt;"&amp;B835)&gt;0,"Date différente sur ce bon",IF(COUNTIF(po_num,A835)&gt;25,"Plus de 25 lignes sur ce bon",IF(R835="","Date de livraison manquante",IF(R835&lt;B835,"Livraison avant la commande",IF(AND(N(T835)&gt;0,N(S835)=0),"Date d'envoi manquante",IF(N(T835)&gt;N(H835),"Reçu plus que commandé",IF(AND(N(T835)&gt;0,N(U835)=0),"Date de réception manquante",IF(AND(N(U835)&gt;0,U835&lt;B835),"Réception avant la commande","OK")))))))))))))))))))))</f>
        <v/>
      </c>
      <c r="AA835" s="66" t="str">
        <f>IF(AND(X835="Reçu",ISNUMBER(R835)),IF(N(U835)&lt;=R835,1,0),"")</f>
        <v/>
      </c>
      <c r="AB835" s="76" t="str">
        <f>IF(OR(X835="Envoyé",X835="Partiel",X835="En retard"),IF(ISNUMBER(R835),R835,100000)+ROW()/100000,"")</f>
        <v/>
      </c>
      <c r="AC835" s="66" t="str">
        <f>IF(A835="","",IF(COUNTIF($A$6:A835,A835)=1,1,""))</f>
        <v/>
      </c>
      <c r="AD835" s="66" t="str">
        <f>IF(AC835=1,COUNT($AC$6:AC835),"")</f>
        <v/>
      </c>
      <c r="AE835" s="66" t="str">
        <f>IFERROR(INDEX(po_num,MATCH(830,po_seq,0))&amp;"","")</f>
        <v/>
      </c>
      <c r="AF835" s="66" t="str">
        <f>IF(OR(A835="",p_po=""),"",IF(A835&amp;""=p_po,COUNTIF($A$6:A835,A835),""))</f>
        <v/>
      </c>
      <c r="AG835" s="66" t="str">
        <f>IF(OR(AB835="",A835=""),"",IF(COUNTIFS($A$6:A835,A835,$AB$6:AB835,"&gt;0")=1,1,""))</f>
        <v/>
      </c>
      <c r="AH835" s="70" t="str">
        <f>IF(AB835="","",ROUND(N(W835)*N(J835)*(1-N(K835)),2))</f>
        <v/>
      </c>
      <c r="AI835" s="70" t="str">
        <f>IF(OR(J835="",N(T835)&lt;=0,V835="Oui"),"",ROUND(N(T835)*J835*(1-N(K835)),2))</f>
        <v/>
      </c>
    </row>
    <row r="836">
      <c r="A836" s="63" t="n"/>
      <c r="B836" s="64" t="n"/>
      <c r="C836" s="65" t="n"/>
      <c r="D836" s="66" t="str">
        <f>IF(C836="","",IFERROR(INDEX(sup_name,MATCH($C836,sup_code,0))&amp;"","Fournisseur inconnu"))</f>
        <v/>
      </c>
      <c r="E836" s="63" t="n"/>
      <c r="F836" s="66" t="str">
        <f>IF(E836="","",IFERROR(INDEX(art_des,MATCH($E836,art_ref,0))&amp;"","Article inconnu"))</f>
        <v/>
      </c>
      <c r="G836" s="67" t="str">
        <f>IF(E836="","",IFERROR(INDEX(art_unit,MATCH($E836,art_ref,0))&amp;"",""))</f>
        <v/>
      </c>
      <c r="H836" s="68" t="n"/>
      <c r="I836" s="69" t="n"/>
      <c r="J836" s="70" t="str">
        <f>IF(E836="","",IF(ISNUMBER(I836),I836,IFERROR(IF(ISNUMBER(INDEX(art_price,MATCH($E836,art_ref,0))),INDEX(art_price,MATCH($E836,art_ref,0)),""),"")))</f>
        <v/>
      </c>
      <c r="K836" s="71" t="n"/>
      <c r="L836" s="72" t="n"/>
      <c r="M836" s="72" t="str">
        <f>IF(E836="","",IF(L836&lt;&gt;"",L836,IFERROR(IF(ISNUMBER(INDEX(art_tva,MATCH($E836,art_ref,0))),INDEX(art_tva,MATCH($E836,art_ref,0)),""),"")))</f>
        <v/>
      </c>
      <c r="N836" s="70" t="str">
        <f>IF(OR(E836="",J836=""),"",ROUND(N(H836)*J836*(1-N(K836)),2))</f>
        <v/>
      </c>
      <c r="O836" s="70" t="str">
        <f>IF(OR(N836="",NOT(ISNUMBER(M836))),"",ROUND(N836*M836,2))</f>
        <v/>
      </c>
      <c r="P836" s="70" t="str">
        <f>IF(N836="","",N836+N(O836))</f>
        <v/>
      </c>
      <c r="Q836" s="64" t="n"/>
      <c r="R836" s="73" t="str">
        <f>IF(N(Q836)&gt;0,Q836,IF(OR(N(B836)=0,ISNA(MATCH($C836,sup_code,0))),"",IF(ISNUMBER(INDEX(sup_delay,MATCH($C836,sup_code,0))),B836+INDEX(sup_delay,MATCH($C836,sup_code,0)),"")))</f>
        <v/>
      </c>
      <c r="S836" s="64" t="n"/>
      <c r="T836" s="68" t="n"/>
      <c r="U836" s="64" t="n"/>
      <c r="V836" s="65" t="n"/>
      <c r="W836" s="74" t="str">
        <f>IF(AND(A836="",E836=""),"",IF(V836="Oui",0,MAX(0,ROUND(N(H836)-N(T836),6))))</f>
        <v/>
      </c>
      <c r="X836" s="67" t="str">
        <f>IF(AND(A836="",E836=""),"",IF(V836="Oui","Annulé",IF(AND(N(H836)&gt;0,N(T836)&gt;=N(H836)),"Reçu",IF(N(S836)=0,"Brouillon",IF(AND(ISNUMBER(R836),R836&lt;p_today),"En retard",IF(N(T836)&gt;0,"Partiel","Envoyé"))))))</f>
        <v/>
      </c>
      <c r="Y836" s="75" t="str">
        <f>IF(X836="En retard",p_today-R836,IF(AND(X836="Reçu",ISNUMBER(R836)),MAX(0,N(U836)-R836),""))</f>
        <v/>
      </c>
      <c r="Z836" s="67" t="str">
        <f>IF(AND(A836="",E836=""),"",IF(A836="","N° de bon manquant",IF(N(B836)=0,"Date de commande manquante",IF(C836="","Fournisseur manquant",IF(ISNA(MATCH($C836,sup_code,0)),"Fournisseur inconnu",IF(E836="","Article manquant",IF(ISNA(MATCH($E836,art_ref,0)),"Article inconnu",IF(N(H836)&lt;=0,"Quantité invalide",IF(J836="","Prix manquant",IF(OR(N(K836)&lt;0,N(K836)&gt;=1),"Remise invalide",IF(M836="","TVA manquante",IF(ISNA(MATCH(M836,p_tva,0)),"Taux de TVA inconnu",IF(COUNTIFS(po_num,A836,po_sup,"&lt;&gt;"&amp;C836)&gt;0,"Fournisseur différent sur ce bon",IF(COUNTIFS(po_num,A836,po_date,"&lt;&gt;"&amp;B836)&gt;0,"Date différente sur ce bon",IF(COUNTIF(po_num,A836)&gt;25,"Plus de 25 lignes sur ce bon",IF(R836="","Date de livraison manquante",IF(R836&lt;B836,"Livraison avant la commande",IF(AND(N(T836)&gt;0,N(S836)=0),"Date d'envoi manquante",IF(N(T836)&gt;N(H836),"Reçu plus que commandé",IF(AND(N(T836)&gt;0,N(U836)=0),"Date de réception manquante",IF(AND(N(U836)&gt;0,U836&lt;B836),"Réception avant la commande","OK")))))))))))))))))))))</f>
        <v/>
      </c>
      <c r="AA836" s="66" t="str">
        <f>IF(AND(X836="Reçu",ISNUMBER(R836)),IF(N(U836)&lt;=R836,1,0),"")</f>
        <v/>
      </c>
      <c r="AB836" s="76" t="str">
        <f>IF(OR(X836="Envoyé",X836="Partiel",X836="En retard"),IF(ISNUMBER(R836),R836,100000)+ROW()/100000,"")</f>
        <v/>
      </c>
      <c r="AC836" s="66" t="str">
        <f>IF(A836="","",IF(COUNTIF($A$6:A836,A836)=1,1,""))</f>
        <v/>
      </c>
      <c r="AD836" s="66" t="str">
        <f>IF(AC836=1,COUNT($AC$6:AC836),"")</f>
        <v/>
      </c>
      <c r="AE836" s="66" t="str">
        <f>IFERROR(INDEX(po_num,MATCH(831,po_seq,0))&amp;"","")</f>
        <v/>
      </c>
      <c r="AF836" s="66" t="str">
        <f>IF(OR(A836="",p_po=""),"",IF(A836&amp;""=p_po,COUNTIF($A$6:A836,A836),""))</f>
        <v/>
      </c>
      <c r="AG836" s="66" t="str">
        <f>IF(OR(AB836="",A836=""),"",IF(COUNTIFS($A$6:A836,A836,$AB$6:AB836,"&gt;0")=1,1,""))</f>
        <v/>
      </c>
      <c r="AH836" s="70" t="str">
        <f>IF(AB836="","",ROUND(N(W836)*N(J836)*(1-N(K836)),2))</f>
        <v/>
      </c>
      <c r="AI836" s="70" t="str">
        <f>IF(OR(J836="",N(T836)&lt;=0,V836="Oui"),"",ROUND(N(T836)*J836*(1-N(K836)),2))</f>
        <v/>
      </c>
    </row>
    <row r="837">
      <c r="A837" s="63" t="n"/>
      <c r="B837" s="64" t="n"/>
      <c r="C837" s="65" t="n"/>
      <c r="D837" s="66" t="str">
        <f>IF(C837="","",IFERROR(INDEX(sup_name,MATCH($C837,sup_code,0))&amp;"","Fournisseur inconnu"))</f>
        <v/>
      </c>
      <c r="E837" s="63" t="n"/>
      <c r="F837" s="66" t="str">
        <f>IF(E837="","",IFERROR(INDEX(art_des,MATCH($E837,art_ref,0))&amp;"","Article inconnu"))</f>
        <v/>
      </c>
      <c r="G837" s="67" t="str">
        <f>IF(E837="","",IFERROR(INDEX(art_unit,MATCH($E837,art_ref,0))&amp;"",""))</f>
        <v/>
      </c>
      <c r="H837" s="68" t="n"/>
      <c r="I837" s="69" t="n"/>
      <c r="J837" s="70" t="str">
        <f>IF(E837="","",IF(ISNUMBER(I837),I837,IFERROR(IF(ISNUMBER(INDEX(art_price,MATCH($E837,art_ref,0))),INDEX(art_price,MATCH($E837,art_ref,0)),""),"")))</f>
        <v/>
      </c>
      <c r="K837" s="71" t="n"/>
      <c r="L837" s="72" t="n"/>
      <c r="M837" s="72" t="str">
        <f>IF(E837="","",IF(L837&lt;&gt;"",L837,IFERROR(IF(ISNUMBER(INDEX(art_tva,MATCH($E837,art_ref,0))),INDEX(art_tva,MATCH($E837,art_ref,0)),""),"")))</f>
        <v/>
      </c>
      <c r="N837" s="70" t="str">
        <f>IF(OR(E837="",J837=""),"",ROUND(N(H837)*J837*(1-N(K837)),2))</f>
        <v/>
      </c>
      <c r="O837" s="70" t="str">
        <f>IF(OR(N837="",NOT(ISNUMBER(M837))),"",ROUND(N837*M837,2))</f>
        <v/>
      </c>
      <c r="P837" s="70" t="str">
        <f>IF(N837="","",N837+N(O837))</f>
        <v/>
      </c>
      <c r="Q837" s="64" t="n"/>
      <c r="R837" s="73" t="str">
        <f>IF(N(Q837)&gt;0,Q837,IF(OR(N(B837)=0,ISNA(MATCH($C837,sup_code,0))),"",IF(ISNUMBER(INDEX(sup_delay,MATCH($C837,sup_code,0))),B837+INDEX(sup_delay,MATCH($C837,sup_code,0)),"")))</f>
        <v/>
      </c>
      <c r="S837" s="64" t="n"/>
      <c r="T837" s="68" t="n"/>
      <c r="U837" s="64" t="n"/>
      <c r="V837" s="65" t="n"/>
      <c r="W837" s="74" t="str">
        <f>IF(AND(A837="",E837=""),"",IF(V837="Oui",0,MAX(0,ROUND(N(H837)-N(T837),6))))</f>
        <v/>
      </c>
      <c r="X837" s="67" t="str">
        <f>IF(AND(A837="",E837=""),"",IF(V837="Oui","Annulé",IF(AND(N(H837)&gt;0,N(T837)&gt;=N(H837)),"Reçu",IF(N(S837)=0,"Brouillon",IF(AND(ISNUMBER(R837),R837&lt;p_today),"En retard",IF(N(T837)&gt;0,"Partiel","Envoyé"))))))</f>
        <v/>
      </c>
      <c r="Y837" s="75" t="str">
        <f>IF(X837="En retard",p_today-R837,IF(AND(X837="Reçu",ISNUMBER(R837)),MAX(0,N(U837)-R837),""))</f>
        <v/>
      </c>
      <c r="Z837" s="67" t="str">
        <f>IF(AND(A837="",E837=""),"",IF(A837="","N° de bon manquant",IF(N(B837)=0,"Date de commande manquante",IF(C837="","Fournisseur manquant",IF(ISNA(MATCH($C837,sup_code,0)),"Fournisseur inconnu",IF(E837="","Article manquant",IF(ISNA(MATCH($E837,art_ref,0)),"Article inconnu",IF(N(H837)&lt;=0,"Quantité invalide",IF(J837="","Prix manquant",IF(OR(N(K837)&lt;0,N(K837)&gt;=1),"Remise invalide",IF(M837="","TVA manquante",IF(ISNA(MATCH(M837,p_tva,0)),"Taux de TVA inconnu",IF(COUNTIFS(po_num,A837,po_sup,"&lt;&gt;"&amp;C837)&gt;0,"Fournisseur différent sur ce bon",IF(COUNTIFS(po_num,A837,po_date,"&lt;&gt;"&amp;B837)&gt;0,"Date différente sur ce bon",IF(COUNTIF(po_num,A837)&gt;25,"Plus de 25 lignes sur ce bon",IF(R837="","Date de livraison manquante",IF(R837&lt;B837,"Livraison avant la commande",IF(AND(N(T837)&gt;0,N(S837)=0),"Date d'envoi manquante",IF(N(T837)&gt;N(H837),"Reçu plus que commandé",IF(AND(N(T837)&gt;0,N(U837)=0),"Date de réception manquante",IF(AND(N(U837)&gt;0,U837&lt;B837),"Réception avant la commande","OK")))))))))))))))))))))</f>
        <v/>
      </c>
      <c r="AA837" s="66" t="str">
        <f>IF(AND(X837="Reçu",ISNUMBER(R837)),IF(N(U837)&lt;=R837,1,0),"")</f>
        <v/>
      </c>
      <c r="AB837" s="76" t="str">
        <f>IF(OR(X837="Envoyé",X837="Partiel",X837="En retard"),IF(ISNUMBER(R837),R837,100000)+ROW()/100000,"")</f>
        <v/>
      </c>
      <c r="AC837" s="66" t="str">
        <f>IF(A837="","",IF(COUNTIF($A$6:A837,A837)=1,1,""))</f>
        <v/>
      </c>
      <c r="AD837" s="66" t="str">
        <f>IF(AC837=1,COUNT($AC$6:AC837),"")</f>
        <v/>
      </c>
      <c r="AE837" s="66" t="str">
        <f>IFERROR(INDEX(po_num,MATCH(832,po_seq,0))&amp;"","")</f>
        <v/>
      </c>
      <c r="AF837" s="66" t="str">
        <f>IF(OR(A837="",p_po=""),"",IF(A837&amp;""=p_po,COUNTIF($A$6:A837,A837),""))</f>
        <v/>
      </c>
      <c r="AG837" s="66" t="str">
        <f>IF(OR(AB837="",A837=""),"",IF(COUNTIFS($A$6:A837,A837,$AB$6:AB837,"&gt;0")=1,1,""))</f>
        <v/>
      </c>
      <c r="AH837" s="70" t="str">
        <f>IF(AB837="","",ROUND(N(W837)*N(J837)*(1-N(K837)),2))</f>
        <v/>
      </c>
      <c r="AI837" s="70" t="str">
        <f>IF(OR(J837="",N(T837)&lt;=0,V837="Oui"),"",ROUND(N(T837)*J837*(1-N(K837)),2))</f>
        <v/>
      </c>
    </row>
    <row r="838">
      <c r="A838" s="63" t="n"/>
      <c r="B838" s="64" t="n"/>
      <c r="C838" s="65" t="n"/>
      <c r="D838" s="66" t="str">
        <f>IF(C838="","",IFERROR(INDEX(sup_name,MATCH($C838,sup_code,0))&amp;"","Fournisseur inconnu"))</f>
        <v/>
      </c>
      <c r="E838" s="63" t="n"/>
      <c r="F838" s="66" t="str">
        <f>IF(E838="","",IFERROR(INDEX(art_des,MATCH($E838,art_ref,0))&amp;"","Article inconnu"))</f>
        <v/>
      </c>
      <c r="G838" s="67" t="str">
        <f>IF(E838="","",IFERROR(INDEX(art_unit,MATCH($E838,art_ref,0))&amp;"",""))</f>
        <v/>
      </c>
      <c r="H838" s="68" t="n"/>
      <c r="I838" s="69" t="n"/>
      <c r="J838" s="70" t="str">
        <f>IF(E838="","",IF(ISNUMBER(I838),I838,IFERROR(IF(ISNUMBER(INDEX(art_price,MATCH($E838,art_ref,0))),INDEX(art_price,MATCH($E838,art_ref,0)),""),"")))</f>
        <v/>
      </c>
      <c r="K838" s="71" t="n"/>
      <c r="L838" s="72" t="n"/>
      <c r="M838" s="72" t="str">
        <f>IF(E838="","",IF(L838&lt;&gt;"",L838,IFERROR(IF(ISNUMBER(INDEX(art_tva,MATCH($E838,art_ref,0))),INDEX(art_tva,MATCH($E838,art_ref,0)),""),"")))</f>
        <v/>
      </c>
      <c r="N838" s="70" t="str">
        <f>IF(OR(E838="",J838=""),"",ROUND(N(H838)*J838*(1-N(K838)),2))</f>
        <v/>
      </c>
      <c r="O838" s="70" t="str">
        <f>IF(OR(N838="",NOT(ISNUMBER(M838))),"",ROUND(N838*M838,2))</f>
        <v/>
      </c>
      <c r="P838" s="70" t="str">
        <f>IF(N838="","",N838+N(O838))</f>
        <v/>
      </c>
      <c r="Q838" s="64" t="n"/>
      <c r="R838" s="73" t="str">
        <f>IF(N(Q838)&gt;0,Q838,IF(OR(N(B838)=0,ISNA(MATCH($C838,sup_code,0))),"",IF(ISNUMBER(INDEX(sup_delay,MATCH($C838,sup_code,0))),B838+INDEX(sup_delay,MATCH($C838,sup_code,0)),"")))</f>
        <v/>
      </c>
      <c r="S838" s="64" t="n"/>
      <c r="T838" s="68" t="n"/>
      <c r="U838" s="64" t="n"/>
      <c r="V838" s="65" t="n"/>
      <c r="W838" s="74" t="str">
        <f>IF(AND(A838="",E838=""),"",IF(V838="Oui",0,MAX(0,ROUND(N(H838)-N(T838),6))))</f>
        <v/>
      </c>
      <c r="X838" s="67" t="str">
        <f>IF(AND(A838="",E838=""),"",IF(V838="Oui","Annulé",IF(AND(N(H838)&gt;0,N(T838)&gt;=N(H838)),"Reçu",IF(N(S838)=0,"Brouillon",IF(AND(ISNUMBER(R838),R838&lt;p_today),"En retard",IF(N(T838)&gt;0,"Partiel","Envoyé"))))))</f>
        <v/>
      </c>
      <c r="Y838" s="75" t="str">
        <f>IF(X838="En retard",p_today-R838,IF(AND(X838="Reçu",ISNUMBER(R838)),MAX(0,N(U838)-R838),""))</f>
        <v/>
      </c>
      <c r="Z838" s="67" t="str">
        <f>IF(AND(A838="",E838=""),"",IF(A838="","N° de bon manquant",IF(N(B838)=0,"Date de commande manquante",IF(C838="","Fournisseur manquant",IF(ISNA(MATCH($C838,sup_code,0)),"Fournisseur inconnu",IF(E838="","Article manquant",IF(ISNA(MATCH($E838,art_ref,0)),"Article inconnu",IF(N(H838)&lt;=0,"Quantité invalide",IF(J838="","Prix manquant",IF(OR(N(K838)&lt;0,N(K838)&gt;=1),"Remise invalide",IF(M838="","TVA manquante",IF(ISNA(MATCH(M838,p_tva,0)),"Taux de TVA inconnu",IF(COUNTIFS(po_num,A838,po_sup,"&lt;&gt;"&amp;C838)&gt;0,"Fournisseur différent sur ce bon",IF(COUNTIFS(po_num,A838,po_date,"&lt;&gt;"&amp;B838)&gt;0,"Date différente sur ce bon",IF(COUNTIF(po_num,A838)&gt;25,"Plus de 25 lignes sur ce bon",IF(R838="","Date de livraison manquante",IF(R838&lt;B838,"Livraison avant la commande",IF(AND(N(T838)&gt;0,N(S838)=0),"Date d'envoi manquante",IF(N(T838)&gt;N(H838),"Reçu plus que commandé",IF(AND(N(T838)&gt;0,N(U838)=0),"Date de réception manquante",IF(AND(N(U838)&gt;0,U838&lt;B838),"Réception avant la commande","OK")))))))))))))))))))))</f>
        <v/>
      </c>
      <c r="AA838" s="66" t="str">
        <f>IF(AND(X838="Reçu",ISNUMBER(R838)),IF(N(U838)&lt;=R838,1,0),"")</f>
        <v/>
      </c>
      <c r="AB838" s="76" t="str">
        <f>IF(OR(X838="Envoyé",X838="Partiel",X838="En retard"),IF(ISNUMBER(R838),R838,100000)+ROW()/100000,"")</f>
        <v/>
      </c>
      <c r="AC838" s="66" t="str">
        <f>IF(A838="","",IF(COUNTIF($A$6:A838,A838)=1,1,""))</f>
        <v/>
      </c>
      <c r="AD838" s="66" t="str">
        <f>IF(AC838=1,COUNT($AC$6:AC838),"")</f>
        <v/>
      </c>
      <c r="AE838" s="66" t="str">
        <f>IFERROR(INDEX(po_num,MATCH(833,po_seq,0))&amp;"","")</f>
        <v/>
      </c>
      <c r="AF838" s="66" t="str">
        <f>IF(OR(A838="",p_po=""),"",IF(A838&amp;""=p_po,COUNTIF($A$6:A838,A838),""))</f>
        <v/>
      </c>
      <c r="AG838" s="66" t="str">
        <f>IF(OR(AB838="",A838=""),"",IF(COUNTIFS($A$6:A838,A838,$AB$6:AB838,"&gt;0")=1,1,""))</f>
        <v/>
      </c>
      <c r="AH838" s="70" t="str">
        <f>IF(AB838="","",ROUND(N(W838)*N(J838)*(1-N(K838)),2))</f>
        <v/>
      </c>
      <c r="AI838" s="70" t="str">
        <f>IF(OR(J838="",N(T838)&lt;=0,V838="Oui"),"",ROUND(N(T838)*J838*(1-N(K838)),2))</f>
        <v/>
      </c>
    </row>
    <row r="839">
      <c r="A839" s="63" t="n"/>
      <c r="B839" s="64" t="n"/>
      <c r="C839" s="65" t="n"/>
      <c r="D839" s="66" t="str">
        <f>IF(C839="","",IFERROR(INDEX(sup_name,MATCH($C839,sup_code,0))&amp;"","Fournisseur inconnu"))</f>
        <v/>
      </c>
      <c r="E839" s="63" t="n"/>
      <c r="F839" s="66" t="str">
        <f>IF(E839="","",IFERROR(INDEX(art_des,MATCH($E839,art_ref,0))&amp;"","Article inconnu"))</f>
        <v/>
      </c>
      <c r="G839" s="67" t="str">
        <f>IF(E839="","",IFERROR(INDEX(art_unit,MATCH($E839,art_ref,0))&amp;"",""))</f>
        <v/>
      </c>
      <c r="H839" s="68" t="n"/>
      <c r="I839" s="69" t="n"/>
      <c r="J839" s="70" t="str">
        <f>IF(E839="","",IF(ISNUMBER(I839),I839,IFERROR(IF(ISNUMBER(INDEX(art_price,MATCH($E839,art_ref,0))),INDEX(art_price,MATCH($E839,art_ref,0)),""),"")))</f>
        <v/>
      </c>
      <c r="K839" s="71" t="n"/>
      <c r="L839" s="72" t="n"/>
      <c r="M839" s="72" t="str">
        <f>IF(E839="","",IF(L839&lt;&gt;"",L839,IFERROR(IF(ISNUMBER(INDEX(art_tva,MATCH($E839,art_ref,0))),INDEX(art_tva,MATCH($E839,art_ref,0)),""),"")))</f>
        <v/>
      </c>
      <c r="N839" s="70" t="str">
        <f>IF(OR(E839="",J839=""),"",ROUND(N(H839)*J839*(1-N(K839)),2))</f>
        <v/>
      </c>
      <c r="O839" s="70" t="str">
        <f>IF(OR(N839="",NOT(ISNUMBER(M839))),"",ROUND(N839*M839,2))</f>
        <v/>
      </c>
      <c r="P839" s="70" t="str">
        <f>IF(N839="","",N839+N(O839))</f>
        <v/>
      </c>
      <c r="Q839" s="64" t="n"/>
      <c r="R839" s="73" t="str">
        <f>IF(N(Q839)&gt;0,Q839,IF(OR(N(B839)=0,ISNA(MATCH($C839,sup_code,0))),"",IF(ISNUMBER(INDEX(sup_delay,MATCH($C839,sup_code,0))),B839+INDEX(sup_delay,MATCH($C839,sup_code,0)),"")))</f>
        <v/>
      </c>
      <c r="S839" s="64" t="n"/>
      <c r="T839" s="68" t="n"/>
      <c r="U839" s="64" t="n"/>
      <c r="V839" s="65" t="n"/>
      <c r="W839" s="74" t="str">
        <f>IF(AND(A839="",E839=""),"",IF(V839="Oui",0,MAX(0,ROUND(N(H839)-N(T839),6))))</f>
        <v/>
      </c>
      <c r="X839" s="67" t="str">
        <f>IF(AND(A839="",E839=""),"",IF(V839="Oui","Annulé",IF(AND(N(H839)&gt;0,N(T839)&gt;=N(H839)),"Reçu",IF(N(S839)=0,"Brouillon",IF(AND(ISNUMBER(R839),R839&lt;p_today),"En retard",IF(N(T839)&gt;0,"Partiel","Envoyé"))))))</f>
        <v/>
      </c>
      <c r="Y839" s="75" t="str">
        <f>IF(X839="En retard",p_today-R839,IF(AND(X839="Reçu",ISNUMBER(R839)),MAX(0,N(U839)-R839),""))</f>
        <v/>
      </c>
      <c r="Z839" s="67" t="str">
        <f>IF(AND(A839="",E839=""),"",IF(A839="","N° de bon manquant",IF(N(B839)=0,"Date de commande manquante",IF(C839="","Fournisseur manquant",IF(ISNA(MATCH($C839,sup_code,0)),"Fournisseur inconnu",IF(E839="","Article manquant",IF(ISNA(MATCH($E839,art_ref,0)),"Article inconnu",IF(N(H839)&lt;=0,"Quantité invalide",IF(J839="","Prix manquant",IF(OR(N(K839)&lt;0,N(K839)&gt;=1),"Remise invalide",IF(M839="","TVA manquante",IF(ISNA(MATCH(M839,p_tva,0)),"Taux de TVA inconnu",IF(COUNTIFS(po_num,A839,po_sup,"&lt;&gt;"&amp;C839)&gt;0,"Fournisseur différent sur ce bon",IF(COUNTIFS(po_num,A839,po_date,"&lt;&gt;"&amp;B839)&gt;0,"Date différente sur ce bon",IF(COUNTIF(po_num,A839)&gt;25,"Plus de 25 lignes sur ce bon",IF(R839="","Date de livraison manquante",IF(R839&lt;B839,"Livraison avant la commande",IF(AND(N(T839)&gt;0,N(S839)=0),"Date d'envoi manquante",IF(N(T839)&gt;N(H839),"Reçu plus que commandé",IF(AND(N(T839)&gt;0,N(U839)=0),"Date de réception manquante",IF(AND(N(U839)&gt;0,U839&lt;B839),"Réception avant la commande","OK")))))))))))))))))))))</f>
        <v/>
      </c>
      <c r="AA839" s="66" t="str">
        <f>IF(AND(X839="Reçu",ISNUMBER(R839)),IF(N(U839)&lt;=R839,1,0),"")</f>
        <v/>
      </c>
      <c r="AB839" s="76" t="str">
        <f>IF(OR(X839="Envoyé",X839="Partiel",X839="En retard"),IF(ISNUMBER(R839),R839,100000)+ROW()/100000,"")</f>
        <v/>
      </c>
      <c r="AC839" s="66" t="str">
        <f>IF(A839="","",IF(COUNTIF($A$6:A839,A839)=1,1,""))</f>
        <v/>
      </c>
      <c r="AD839" s="66" t="str">
        <f>IF(AC839=1,COUNT($AC$6:AC839),"")</f>
        <v/>
      </c>
      <c r="AE839" s="66" t="str">
        <f>IFERROR(INDEX(po_num,MATCH(834,po_seq,0))&amp;"","")</f>
        <v/>
      </c>
      <c r="AF839" s="66" t="str">
        <f>IF(OR(A839="",p_po=""),"",IF(A839&amp;""=p_po,COUNTIF($A$6:A839,A839),""))</f>
        <v/>
      </c>
      <c r="AG839" s="66" t="str">
        <f>IF(OR(AB839="",A839=""),"",IF(COUNTIFS($A$6:A839,A839,$AB$6:AB839,"&gt;0")=1,1,""))</f>
        <v/>
      </c>
      <c r="AH839" s="70" t="str">
        <f>IF(AB839="","",ROUND(N(W839)*N(J839)*(1-N(K839)),2))</f>
        <v/>
      </c>
      <c r="AI839" s="70" t="str">
        <f>IF(OR(J839="",N(T839)&lt;=0,V839="Oui"),"",ROUND(N(T839)*J839*(1-N(K839)),2))</f>
        <v/>
      </c>
    </row>
    <row r="840">
      <c r="A840" s="63" t="n"/>
      <c r="B840" s="64" t="n"/>
      <c r="C840" s="65" t="n"/>
      <c r="D840" s="66" t="str">
        <f>IF(C840="","",IFERROR(INDEX(sup_name,MATCH($C840,sup_code,0))&amp;"","Fournisseur inconnu"))</f>
        <v/>
      </c>
      <c r="E840" s="63" t="n"/>
      <c r="F840" s="66" t="str">
        <f>IF(E840="","",IFERROR(INDEX(art_des,MATCH($E840,art_ref,0))&amp;"","Article inconnu"))</f>
        <v/>
      </c>
      <c r="G840" s="67" t="str">
        <f>IF(E840="","",IFERROR(INDEX(art_unit,MATCH($E840,art_ref,0))&amp;"",""))</f>
        <v/>
      </c>
      <c r="H840" s="68" t="n"/>
      <c r="I840" s="69" t="n"/>
      <c r="J840" s="70" t="str">
        <f>IF(E840="","",IF(ISNUMBER(I840),I840,IFERROR(IF(ISNUMBER(INDEX(art_price,MATCH($E840,art_ref,0))),INDEX(art_price,MATCH($E840,art_ref,0)),""),"")))</f>
        <v/>
      </c>
      <c r="K840" s="71" t="n"/>
      <c r="L840" s="72" t="n"/>
      <c r="M840" s="72" t="str">
        <f>IF(E840="","",IF(L840&lt;&gt;"",L840,IFERROR(IF(ISNUMBER(INDEX(art_tva,MATCH($E840,art_ref,0))),INDEX(art_tva,MATCH($E840,art_ref,0)),""),"")))</f>
        <v/>
      </c>
      <c r="N840" s="70" t="str">
        <f>IF(OR(E840="",J840=""),"",ROUND(N(H840)*J840*(1-N(K840)),2))</f>
        <v/>
      </c>
      <c r="O840" s="70" t="str">
        <f>IF(OR(N840="",NOT(ISNUMBER(M840))),"",ROUND(N840*M840,2))</f>
        <v/>
      </c>
      <c r="P840" s="70" t="str">
        <f>IF(N840="","",N840+N(O840))</f>
        <v/>
      </c>
      <c r="Q840" s="64" t="n"/>
      <c r="R840" s="73" t="str">
        <f>IF(N(Q840)&gt;0,Q840,IF(OR(N(B840)=0,ISNA(MATCH($C840,sup_code,0))),"",IF(ISNUMBER(INDEX(sup_delay,MATCH($C840,sup_code,0))),B840+INDEX(sup_delay,MATCH($C840,sup_code,0)),"")))</f>
        <v/>
      </c>
      <c r="S840" s="64" t="n"/>
      <c r="T840" s="68" t="n"/>
      <c r="U840" s="64" t="n"/>
      <c r="V840" s="65" t="n"/>
      <c r="W840" s="74" t="str">
        <f>IF(AND(A840="",E840=""),"",IF(V840="Oui",0,MAX(0,ROUND(N(H840)-N(T840),6))))</f>
        <v/>
      </c>
      <c r="X840" s="67" t="str">
        <f>IF(AND(A840="",E840=""),"",IF(V840="Oui","Annulé",IF(AND(N(H840)&gt;0,N(T840)&gt;=N(H840)),"Reçu",IF(N(S840)=0,"Brouillon",IF(AND(ISNUMBER(R840),R840&lt;p_today),"En retard",IF(N(T840)&gt;0,"Partiel","Envoyé"))))))</f>
        <v/>
      </c>
      <c r="Y840" s="75" t="str">
        <f>IF(X840="En retard",p_today-R840,IF(AND(X840="Reçu",ISNUMBER(R840)),MAX(0,N(U840)-R840),""))</f>
        <v/>
      </c>
      <c r="Z840" s="67" t="str">
        <f>IF(AND(A840="",E840=""),"",IF(A840="","N° de bon manquant",IF(N(B840)=0,"Date de commande manquante",IF(C840="","Fournisseur manquant",IF(ISNA(MATCH($C840,sup_code,0)),"Fournisseur inconnu",IF(E840="","Article manquant",IF(ISNA(MATCH($E840,art_ref,0)),"Article inconnu",IF(N(H840)&lt;=0,"Quantité invalide",IF(J840="","Prix manquant",IF(OR(N(K840)&lt;0,N(K840)&gt;=1),"Remise invalide",IF(M840="","TVA manquante",IF(ISNA(MATCH(M840,p_tva,0)),"Taux de TVA inconnu",IF(COUNTIFS(po_num,A840,po_sup,"&lt;&gt;"&amp;C840)&gt;0,"Fournisseur différent sur ce bon",IF(COUNTIFS(po_num,A840,po_date,"&lt;&gt;"&amp;B840)&gt;0,"Date différente sur ce bon",IF(COUNTIF(po_num,A840)&gt;25,"Plus de 25 lignes sur ce bon",IF(R840="","Date de livraison manquante",IF(R840&lt;B840,"Livraison avant la commande",IF(AND(N(T840)&gt;0,N(S840)=0),"Date d'envoi manquante",IF(N(T840)&gt;N(H840),"Reçu plus que commandé",IF(AND(N(T840)&gt;0,N(U840)=0),"Date de réception manquante",IF(AND(N(U840)&gt;0,U840&lt;B840),"Réception avant la commande","OK")))))))))))))))))))))</f>
        <v/>
      </c>
      <c r="AA840" s="66" t="str">
        <f>IF(AND(X840="Reçu",ISNUMBER(R840)),IF(N(U840)&lt;=R840,1,0),"")</f>
        <v/>
      </c>
      <c r="AB840" s="76" t="str">
        <f>IF(OR(X840="Envoyé",X840="Partiel",X840="En retard"),IF(ISNUMBER(R840),R840,100000)+ROW()/100000,"")</f>
        <v/>
      </c>
      <c r="AC840" s="66" t="str">
        <f>IF(A840="","",IF(COUNTIF($A$6:A840,A840)=1,1,""))</f>
        <v/>
      </c>
      <c r="AD840" s="66" t="str">
        <f>IF(AC840=1,COUNT($AC$6:AC840),"")</f>
        <v/>
      </c>
      <c r="AE840" s="66" t="str">
        <f>IFERROR(INDEX(po_num,MATCH(835,po_seq,0))&amp;"","")</f>
        <v/>
      </c>
      <c r="AF840" s="66" t="str">
        <f>IF(OR(A840="",p_po=""),"",IF(A840&amp;""=p_po,COUNTIF($A$6:A840,A840),""))</f>
        <v/>
      </c>
      <c r="AG840" s="66" t="str">
        <f>IF(OR(AB840="",A840=""),"",IF(COUNTIFS($A$6:A840,A840,$AB$6:AB840,"&gt;0")=1,1,""))</f>
        <v/>
      </c>
      <c r="AH840" s="70" t="str">
        <f>IF(AB840="","",ROUND(N(W840)*N(J840)*(1-N(K840)),2))</f>
        <v/>
      </c>
      <c r="AI840" s="70" t="str">
        <f>IF(OR(J840="",N(T840)&lt;=0,V840="Oui"),"",ROUND(N(T840)*J840*(1-N(K840)),2))</f>
        <v/>
      </c>
    </row>
    <row r="841">
      <c r="A841" s="63" t="n"/>
      <c r="B841" s="64" t="n"/>
      <c r="C841" s="65" t="n"/>
      <c r="D841" s="66" t="str">
        <f>IF(C841="","",IFERROR(INDEX(sup_name,MATCH($C841,sup_code,0))&amp;"","Fournisseur inconnu"))</f>
        <v/>
      </c>
      <c r="E841" s="63" t="n"/>
      <c r="F841" s="66" t="str">
        <f>IF(E841="","",IFERROR(INDEX(art_des,MATCH($E841,art_ref,0))&amp;"","Article inconnu"))</f>
        <v/>
      </c>
      <c r="G841" s="67" t="str">
        <f>IF(E841="","",IFERROR(INDEX(art_unit,MATCH($E841,art_ref,0))&amp;"",""))</f>
        <v/>
      </c>
      <c r="H841" s="68" t="n"/>
      <c r="I841" s="69" t="n"/>
      <c r="J841" s="70" t="str">
        <f>IF(E841="","",IF(ISNUMBER(I841),I841,IFERROR(IF(ISNUMBER(INDEX(art_price,MATCH($E841,art_ref,0))),INDEX(art_price,MATCH($E841,art_ref,0)),""),"")))</f>
        <v/>
      </c>
      <c r="K841" s="71" t="n"/>
      <c r="L841" s="72" t="n"/>
      <c r="M841" s="72" t="str">
        <f>IF(E841="","",IF(L841&lt;&gt;"",L841,IFERROR(IF(ISNUMBER(INDEX(art_tva,MATCH($E841,art_ref,0))),INDEX(art_tva,MATCH($E841,art_ref,0)),""),"")))</f>
        <v/>
      </c>
      <c r="N841" s="70" t="str">
        <f>IF(OR(E841="",J841=""),"",ROUND(N(H841)*J841*(1-N(K841)),2))</f>
        <v/>
      </c>
      <c r="O841" s="70" t="str">
        <f>IF(OR(N841="",NOT(ISNUMBER(M841))),"",ROUND(N841*M841,2))</f>
        <v/>
      </c>
      <c r="P841" s="70" t="str">
        <f>IF(N841="","",N841+N(O841))</f>
        <v/>
      </c>
      <c r="Q841" s="64" t="n"/>
      <c r="R841" s="73" t="str">
        <f>IF(N(Q841)&gt;0,Q841,IF(OR(N(B841)=0,ISNA(MATCH($C841,sup_code,0))),"",IF(ISNUMBER(INDEX(sup_delay,MATCH($C841,sup_code,0))),B841+INDEX(sup_delay,MATCH($C841,sup_code,0)),"")))</f>
        <v/>
      </c>
      <c r="S841" s="64" t="n"/>
      <c r="T841" s="68" t="n"/>
      <c r="U841" s="64" t="n"/>
      <c r="V841" s="65" t="n"/>
      <c r="W841" s="74" t="str">
        <f>IF(AND(A841="",E841=""),"",IF(V841="Oui",0,MAX(0,ROUND(N(H841)-N(T841),6))))</f>
        <v/>
      </c>
      <c r="X841" s="67" t="str">
        <f>IF(AND(A841="",E841=""),"",IF(V841="Oui","Annulé",IF(AND(N(H841)&gt;0,N(T841)&gt;=N(H841)),"Reçu",IF(N(S841)=0,"Brouillon",IF(AND(ISNUMBER(R841),R841&lt;p_today),"En retard",IF(N(T841)&gt;0,"Partiel","Envoyé"))))))</f>
        <v/>
      </c>
      <c r="Y841" s="75" t="str">
        <f>IF(X841="En retard",p_today-R841,IF(AND(X841="Reçu",ISNUMBER(R841)),MAX(0,N(U841)-R841),""))</f>
        <v/>
      </c>
      <c r="Z841" s="67" t="str">
        <f>IF(AND(A841="",E841=""),"",IF(A841="","N° de bon manquant",IF(N(B841)=0,"Date de commande manquante",IF(C841="","Fournisseur manquant",IF(ISNA(MATCH($C841,sup_code,0)),"Fournisseur inconnu",IF(E841="","Article manquant",IF(ISNA(MATCH($E841,art_ref,0)),"Article inconnu",IF(N(H841)&lt;=0,"Quantité invalide",IF(J841="","Prix manquant",IF(OR(N(K841)&lt;0,N(K841)&gt;=1),"Remise invalide",IF(M841="","TVA manquante",IF(ISNA(MATCH(M841,p_tva,0)),"Taux de TVA inconnu",IF(COUNTIFS(po_num,A841,po_sup,"&lt;&gt;"&amp;C841)&gt;0,"Fournisseur différent sur ce bon",IF(COUNTIFS(po_num,A841,po_date,"&lt;&gt;"&amp;B841)&gt;0,"Date différente sur ce bon",IF(COUNTIF(po_num,A841)&gt;25,"Plus de 25 lignes sur ce bon",IF(R841="","Date de livraison manquante",IF(R841&lt;B841,"Livraison avant la commande",IF(AND(N(T841)&gt;0,N(S841)=0),"Date d'envoi manquante",IF(N(T841)&gt;N(H841),"Reçu plus que commandé",IF(AND(N(T841)&gt;0,N(U841)=0),"Date de réception manquante",IF(AND(N(U841)&gt;0,U841&lt;B841),"Réception avant la commande","OK")))))))))))))))))))))</f>
        <v/>
      </c>
      <c r="AA841" s="66" t="str">
        <f>IF(AND(X841="Reçu",ISNUMBER(R841)),IF(N(U841)&lt;=R841,1,0),"")</f>
        <v/>
      </c>
      <c r="AB841" s="76" t="str">
        <f>IF(OR(X841="Envoyé",X841="Partiel",X841="En retard"),IF(ISNUMBER(R841),R841,100000)+ROW()/100000,"")</f>
        <v/>
      </c>
      <c r="AC841" s="66" t="str">
        <f>IF(A841="","",IF(COUNTIF($A$6:A841,A841)=1,1,""))</f>
        <v/>
      </c>
      <c r="AD841" s="66" t="str">
        <f>IF(AC841=1,COUNT($AC$6:AC841),"")</f>
        <v/>
      </c>
      <c r="AE841" s="66" t="str">
        <f>IFERROR(INDEX(po_num,MATCH(836,po_seq,0))&amp;"","")</f>
        <v/>
      </c>
      <c r="AF841" s="66" t="str">
        <f>IF(OR(A841="",p_po=""),"",IF(A841&amp;""=p_po,COUNTIF($A$6:A841,A841),""))</f>
        <v/>
      </c>
      <c r="AG841" s="66" t="str">
        <f>IF(OR(AB841="",A841=""),"",IF(COUNTIFS($A$6:A841,A841,$AB$6:AB841,"&gt;0")=1,1,""))</f>
        <v/>
      </c>
      <c r="AH841" s="70" t="str">
        <f>IF(AB841="","",ROUND(N(W841)*N(J841)*(1-N(K841)),2))</f>
        <v/>
      </c>
      <c r="AI841" s="70" t="str">
        <f>IF(OR(J841="",N(T841)&lt;=0,V841="Oui"),"",ROUND(N(T841)*J841*(1-N(K841)),2))</f>
        <v/>
      </c>
    </row>
    <row r="842">
      <c r="A842" s="63" t="n"/>
      <c r="B842" s="64" t="n"/>
      <c r="C842" s="65" t="n"/>
      <c r="D842" s="66" t="str">
        <f>IF(C842="","",IFERROR(INDEX(sup_name,MATCH($C842,sup_code,0))&amp;"","Fournisseur inconnu"))</f>
        <v/>
      </c>
      <c r="E842" s="63" t="n"/>
      <c r="F842" s="66" t="str">
        <f>IF(E842="","",IFERROR(INDEX(art_des,MATCH($E842,art_ref,0))&amp;"","Article inconnu"))</f>
        <v/>
      </c>
      <c r="G842" s="67" t="str">
        <f>IF(E842="","",IFERROR(INDEX(art_unit,MATCH($E842,art_ref,0))&amp;"",""))</f>
        <v/>
      </c>
      <c r="H842" s="68" t="n"/>
      <c r="I842" s="69" t="n"/>
      <c r="J842" s="70" t="str">
        <f>IF(E842="","",IF(ISNUMBER(I842),I842,IFERROR(IF(ISNUMBER(INDEX(art_price,MATCH($E842,art_ref,0))),INDEX(art_price,MATCH($E842,art_ref,0)),""),"")))</f>
        <v/>
      </c>
      <c r="K842" s="71" t="n"/>
      <c r="L842" s="72" t="n"/>
      <c r="M842" s="72" t="str">
        <f>IF(E842="","",IF(L842&lt;&gt;"",L842,IFERROR(IF(ISNUMBER(INDEX(art_tva,MATCH($E842,art_ref,0))),INDEX(art_tva,MATCH($E842,art_ref,0)),""),"")))</f>
        <v/>
      </c>
      <c r="N842" s="70" t="str">
        <f>IF(OR(E842="",J842=""),"",ROUND(N(H842)*J842*(1-N(K842)),2))</f>
        <v/>
      </c>
      <c r="O842" s="70" t="str">
        <f>IF(OR(N842="",NOT(ISNUMBER(M842))),"",ROUND(N842*M842,2))</f>
        <v/>
      </c>
      <c r="P842" s="70" t="str">
        <f>IF(N842="","",N842+N(O842))</f>
        <v/>
      </c>
      <c r="Q842" s="64" t="n"/>
      <c r="R842" s="73" t="str">
        <f>IF(N(Q842)&gt;0,Q842,IF(OR(N(B842)=0,ISNA(MATCH($C842,sup_code,0))),"",IF(ISNUMBER(INDEX(sup_delay,MATCH($C842,sup_code,0))),B842+INDEX(sup_delay,MATCH($C842,sup_code,0)),"")))</f>
        <v/>
      </c>
      <c r="S842" s="64" t="n"/>
      <c r="T842" s="68" t="n"/>
      <c r="U842" s="64" t="n"/>
      <c r="V842" s="65" t="n"/>
      <c r="W842" s="74" t="str">
        <f>IF(AND(A842="",E842=""),"",IF(V842="Oui",0,MAX(0,ROUND(N(H842)-N(T842),6))))</f>
        <v/>
      </c>
      <c r="X842" s="67" t="str">
        <f>IF(AND(A842="",E842=""),"",IF(V842="Oui","Annulé",IF(AND(N(H842)&gt;0,N(T842)&gt;=N(H842)),"Reçu",IF(N(S842)=0,"Brouillon",IF(AND(ISNUMBER(R842),R842&lt;p_today),"En retard",IF(N(T842)&gt;0,"Partiel","Envoyé"))))))</f>
        <v/>
      </c>
      <c r="Y842" s="75" t="str">
        <f>IF(X842="En retard",p_today-R842,IF(AND(X842="Reçu",ISNUMBER(R842)),MAX(0,N(U842)-R842),""))</f>
        <v/>
      </c>
      <c r="Z842" s="67" t="str">
        <f>IF(AND(A842="",E842=""),"",IF(A842="","N° de bon manquant",IF(N(B842)=0,"Date de commande manquante",IF(C842="","Fournisseur manquant",IF(ISNA(MATCH($C842,sup_code,0)),"Fournisseur inconnu",IF(E842="","Article manquant",IF(ISNA(MATCH($E842,art_ref,0)),"Article inconnu",IF(N(H842)&lt;=0,"Quantité invalide",IF(J842="","Prix manquant",IF(OR(N(K842)&lt;0,N(K842)&gt;=1),"Remise invalide",IF(M842="","TVA manquante",IF(ISNA(MATCH(M842,p_tva,0)),"Taux de TVA inconnu",IF(COUNTIFS(po_num,A842,po_sup,"&lt;&gt;"&amp;C842)&gt;0,"Fournisseur différent sur ce bon",IF(COUNTIFS(po_num,A842,po_date,"&lt;&gt;"&amp;B842)&gt;0,"Date différente sur ce bon",IF(COUNTIF(po_num,A842)&gt;25,"Plus de 25 lignes sur ce bon",IF(R842="","Date de livraison manquante",IF(R842&lt;B842,"Livraison avant la commande",IF(AND(N(T842)&gt;0,N(S842)=0),"Date d'envoi manquante",IF(N(T842)&gt;N(H842),"Reçu plus que commandé",IF(AND(N(T842)&gt;0,N(U842)=0),"Date de réception manquante",IF(AND(N(U842)&gt;0,U842&lt;B842),"Réception avant la commande","OK")))))))))))))))))))))</f>
        <v/>
      </c>
      <c r="AA842" s="66" t="str">
        <f>IF(AND(X842="Reçu",ISNUMBER(R842)),IF(N(U842)&lt;=R842,1,0),"")</f>
        <v/>
      </c>
      <c r="AB842" s="76" t="str">
        <f>IF(OR(X842="Envoyé",X842="Partiel",X842="En retard"),IF(ISNUMBER(R842),R842,100000)+ROW()/100000,"")</f>
        <v/>
      </c>
      <c r="AC842" s="66" t="str">
        <f>IF(A842="","",IF(COUNTIF($A$6:A842,A842)=1,1,""))</f>
        <v/>
      </c>
      <c r="AD842" s="66" t="str">
        <f>IF(AC842=1,COUNT($AC$6:AC842),"")</f>
        <v/>
      </c>
      <c r="AE842" s="66" t="str">
        <f>IFERROR(INDEX(po_num,MATCH(837,po_seq,0))&amp;"","")</f>
        <v/>
      </c>
      <c r="AF842" s="66" t="str">
        <f>IF(OR(A842="",p_po=""),"",IF(A842&amp;""=p_po,COUNTIF($A$6:A842,A842),""))</f>
        <v/>
      </c>
      <c r="AG842" s="66" t="str">
        <f>IF(OR(AB842="",A842=""),"",IF(COUNTIFS($A$6:A842,A842,$AB$6:AB842,"&gt;0")=1,1,""))</f>
        <v/>
      </c>
      <c r="AH842" s="70" t="str">
        <f>IF(AB842="","",ROUND(N(W842)*N(J842)*(1-N(K842)),2))</f>
        <v/>
      </c>
      <c r="AI842" s="70" t="str">
        <f>IF(OR(J842="",N(T842)&lt;=0,V842="Oui"),"",ROUND(N(T842)*J842*(1-N(K842)),2))</f>
        <v/>
      </c>
    </row>
    <row r="843">
      <c r="A843" s="63" t="n"/>
      <c r="B843" s="64" t="n"/>
      <c r="C843" s="65" t="n"/>
      <c r="D843" s="66" t="str">
        <f>IF(C843="","",IFERROR(INDEX(sup_name,MATCH($C843,sup_code,0))&amp;"","Fournisseur inconnu"))</f>
        <v/>
      </c>
      <c r="E843" s="63" t="n"/>
      <c r="F843" s="66" t="str">
        <f>IF(E843="","",IFERROR(INDEX(art_des,MATCH($E843,art_ref,0))&amp;"","Article inconnu"))</f>
        <v/>
      </c>
      <c r="G843" s="67" t="str">
        <f>IF(E843="","",IFERROR(INDEX(art_unit,MATCH($E843,art_ref,0))&amp;"",""))</f>
        <v/>
      </c>
      <c r="H843" s="68" t="n"/>
      <c r="I843" s="69" t="n"/>
      <c r="J843" s="70" t="str">
        <f>IF(E843="","",IF(ISNUMBER(I843),I843,IFERROR(IF(ISNUMBER(INDEX(art_price,MATCH($E843,art_ref,0))),INDEX(art_price,MATCH($E843,art_ref,0)),""),"")))</f>
        <v/>
      </c>
      <c r="K843" s="71" t="n"/>
      <c r="L843" s="72" t="n"/>
      <c r="M843" s="72" t="str">
        <f>IF(E843="","",IF(L843&lt;&gt;"",L843,IFERROR(IF(ISNUMBER(INDEX(art_tva,MATCH($E843,art_ref,0))),INDEX(art_tva,MATCH($E843,art_ref,0)),""),"")))</f>
        <v/>
      </c>
      <c r="N843" s="70" t="str">
        <f>IF(OR(E843="",J843=""),"",ROUND(N(H843)*J843*(1-N(K843)),2))</f>
        <v/>
      </c>
      <c r="O843" s="70" t="str">
        <f>IF(OR(N843="",NOT(ISNUMBER(M843))),"",ROUND(N843*M843,2))</f>
        <v/>
      </c>
      <c r="P843" s="70" t="str">
        <f>IF(N843="","",N843+N(O843))</f>
        <v/>
      </c>
      <c r="Q843" s="64" t="n"/>
      <c r="R843" s="73" t="str">
        <f>IF(N(Q843)&gt;0,Q843,IF(OR(N(B843)=0,ISNA(MATCH($C843,sup_code,0))),"",IF(ISNUMBER(INDEX(sup_delay,MATCH($C843,sup_code,0))),B843+INDEX(sup_delay,MATCH($C843,sup_code,0)),"")))</f>
        <v/>
      </c>
      <c r="S843" s="64" t="n"/>
      <c r="T843" s="68" t="n"/>
      <c r="U843" s="64" t="n"/>
      <c r="V843" s="65" t="n"/>
      <c r="W843" s="74" t="str">
        <f>IF(AND(A843="",E843=""),"",IF(V843="Oui",0,MAX(0,ROUND(N(H843)-N(T843),6))))</f>
        <v/>
      </c>
      <c r="X843" s="67" t="str">
        <f>IF(AND(A843="",E843=""),"",IF(V843="Oui","Annulé",IF(AND(N(H843)&gt;0,N(T843)&gt;=N(H843)),"Reçu",IF(N(S843)=0,"Brouillon",IF(AND(ISNUMBER(R843),R843&lt;p_today),"En retard",IF(N(T843)&gt;0,"Partiel","Envoyé"))))))</f>
        <v/>
      </c>
      <c r="Y843" s="75" t="str">
        <f>IF(X843="En retard",p_today-R843,IF(AND(X843="Reçu",ISNUMBER(R843)),MAX(0,N(U843)-R843),""))</f>
        <v/>
      </c>
      <c r="Z843" s="67" t="str">
        <f>IF(AND(A843="",E843=""),"",IF(A843="","N° de bon manquant",IF(N(B843)=0,"Date de commande manquante",IF(C843="","Fournisseur manquant",IF(ISNA(MATCH($C843,sup_code,0)),"Fournisseur inconnu",IF(E843="","Article manquant",IF(ISNA(MATCH($E843,art_ref,0)),"Article inconnu",IF(N(H843)&lt;=0,"Quantité invalide",IF(J843="","Prix manquant",IF(OR(N(K843)&lt;0,N(K843)&gt;=1),"Remise invalide",IF(M843="","TVA manquante",IF(ISNA(MATCH(M843,p_tva,0)),"Taux de TVA inconnu",IF(COUNTIFS(po_num,A843,po_sup,"&lt;&gt;"&amp;C843)&gt;0,"Fournisseur différent sur ce bon",IF(COUNTIFS(po_num,A843,po_date,"&lt;&gt;"&amp;B843)&gt;0,"Date différente sur ce bon",IF(COUNTIF(po_num,A843)&gt;25,"Plus de 25 lignes sur ce bon",IF(R843="","Date de livraison manquante",IF(R843&lt;B843,"Livraison avant la commande",IF(AND(N(T843)&gt;0,N(S843)=0),"Date d'envoi manquante",IF(N(T843)&gt;N(H843),"Reçu plus que commandé",IF(AND(N(T843)&gt;0,N(U843)=0),"Date de réception manquante",IF(AND(N(U843)&gt;0,U843&lt;B843),"Réception avant la commande","OK")))))))))))))))))))))</f>
        <v/>
      </c>
      <c r="AA843" s="66" t="str">
        <f>IF(AND(X843="Reçu",ISNUMBER(R843)),IF(N(U843)&lt;=R843,1,0),"")</f>
        <v/>
      </c>
      <c r="AB843" s="76" t="str">
        <f>IF(OR(X843="Envoyé",X843="Partiel",X843="En retard"),IF(ISNUMBER(R843),R843,100000)+ROW()/100000,"")</f>
        <v/>
      </c>
      <c r="AC843" s="66" t="str">
        <f>IF(A843="","",IF(COUNTIF($A$6:A843,A843)=1,1,""))</f>
        <v/>
      </c>
      <c r="AD843" s="66" t="str">
        <f>IF(AC843=1,COUNT($AC$6:AC843),"")</f>
        <v/>
      </c>
      <c r="AE843" s="66" t="str">
        <f>IFERROR(INDEX(po_num,MATCH(838,po_seq,0))&amp;"","")</f>
        <v/>
      </c>
      <c r="AF843" s="66" t="str">
        <f>IF(OR(A843="",p_po=""),"",IF(A843&amp;""=p_po,COUNTIF($A$6:A843,A843),""))</f>
        <v/>
      </c>
      <c r="AG843" s="66" t="str">
        <f>IF(OR(AB843="",A843=""),"",IF(COUNTIFS($A$6:A843,A843,$AB$6:AB843,"&gt;0")=1,1,""))</f>
        <v/>
      </c>
      <c r="AH843" s="70" t="str">
        <f>IF(AB843="","",ROUND(N(W843)*N(J843)*(1-N(K843)),2))</f>
        <v/>
      </c>
      <c r="AI843" s="70" t="str">
        <f>IF(OR(J843="",N(T843)&lt;=0,V843="Oui"),"",ROUND(N(T843)*J843*(1-N(K843)),2))</f>
        <v/>
      </c>
    </row>
    <row r="844">
      <c r="A844" s="63" t="n"/>
      <c r="B844" s="64" t="n"/>
      <c r="C844" s="65" t="n"/>
      <c r="D844" s="66" t="str">
        <f>IF(C844="","",IFERROR(INDEX(sup_name,MATCH($C844,sup_code,0))&amp;"","Fournisseur inconnu"))</f>
        <v/>
      </c>
      <c r="E844" s="63" t="n"/>
      <c r="F844" s="66" t="str">
        <f>IF(E844="","",IFERROR(INDEX(art_des,MATCH($E844,art_ref,0))&amp;"","Article inconnu"))</f>
        <v/>
      </c>
      <c r="G844" s="67" t="str">
        <f>IF(E844="","",IFERROR(INDEX(art_unit,MATCH($E844,art_ref,0))&amp;"",""))</f>
        <v/>
      </c>
      <c r="H844" s="68" t="n"/>
      <c r="I844" s="69" t="n"/>
      <c r="J844" s="70" t="str">
        <f>IF(E844="","",IF(ISNUMBER(I844),I844,IFERROR(IF(ISNUMBER(INDEX(art_price,MATCH($E844,art_ref,0))),INDEX(art_price,MATCH($E844,art_ref,0)),""),"")))</f>
        <v/>
      </c>
      <c r="K844" s="71" t="n"/>
      <c r="L844" s="72" t="n"/>
      <c r="M844" s="72" t="str">
        <f>IF(E844="","",IF(L844&lt;&gt;"",L844,IFERROR(IF(ISNUMBER(INDEX(art_tva,MATCH($E844,art_ref,0))),INDEX(art_tva,MATCH($E844,art_ref,0)),""),"")))</f>
        <v/>
      </c>
      <c r="N844" s="70" t="str">
        <f>IF(OR(E844="",J844=""),"",ROUND(N(H844)*J844*(1-N(K844)),2))</f>
        <v/>
      </c>
      <c r="O844" s="70" t="str">
        <f>IF(OR(N844="",NOT(ISNUMBER(M844))),"",ROUND(N844*M844,2))</f>
        <v/>
      </c>
      <c r="P844" s="70" t="str">
        <f>IF(N844="","",N844+N(O844))</f>
        <v/>
      </c>
      <c r="Q844" s="64" t="n"/>
      <c r="R844" s="73" t="str">
        <f>IF(N(Q844)&gt;0,Q844,IF(OR(N(B844)=0,ISNA(MATCH($C844,sup_code,0))),"",IF(ISNUMBER(INDEX(sup_delay,MATCH($C844,sup_code,0))),B844+INDEX(sup_delay,MATCH($C844,sup_code,0)),"")))</f>
        <v/>
      </c>
      <c r="S844" s="64" t="n"/>
      <c r="T844" s="68" t="n"/>
      <c r="U844" s="64" t="n"/>
      <c r="V844" s="65" t="n"/>
      <c r="W844" s="74" t="str">
        <f>IF(AND(A844="",E844=""),"",IF(V844="Oui",0,MAX(0,ROUND(N(H844)-N(T844),6))))</f>
        <v/>
      </c>
      <c r="X844" s="67" t="str">
        <f>IF(AND(A844="",E844=""),"",IF(V844="Oui","Annulé",IF(AND(N(H844)&gt;0,N(T844)&gt;=N(H844)),"Reçu",IF(N(S844)=0,"Brouillon",IF(AND(ISNUMBER(R844),R844&lt;p_today),"En retard",IF(N(T844)&gt;0,"Partiel","Envoyé"))))))</f>
        <v/>
      </c>
      <c r="Y844" s="75" t="str">
        <f>IF(X844="En retard",p_today-R844,IF(AND(X844="Reçu",ISNUMBER(R844)),MAX(0,N(U844)-R844),""))</f>
        <v/>
      </c>
      <c r="Z844" s="67" t="str">
        <f>IF(AND(A844="",E844=""),"",IF(A844="","N° de bon manquant",IF(N(B844)=0,"Date de commande manquante",IF(C844="","Fournisseur manquant",IF(ISNA(MATCH($C844,sup_code,0)),"Fournisseur inconnu",IF(E844="","Article manquant",IF(ISNA(MATCH($E844,art_ref,0)),"Article inconnu",IF(N(H844)&lt;=0,"Quantité invalide",IF(J844="","Prix manquant",IF(OR(N(K844)&lt;0,N(K844)&gt;=1),"Remise invalide",IF(M844="","TVA manquante",IF(ISNA(MATCH(M844,p_tva,0)),"Taux de TVA inconnu",IF(COUNTIFS(po_num,A844,po_sup,"&lt;&gt;"&amp;C844)&gt;0,"Fournisseur différent sur ce bon",IF(COUNTIFS(po_num,A844,po_date,"&lt;&gt;"&amp;B844)&gt;0,"Date différente sur ce bon",IF(COUNTIF(po_num,A844)&gt;25,"Plus de 25 lignes sur ce bon",IF(R844="","Date de livraison manquante",IF(R844&lt;B844,"Livraison avant la commande",IF(AND(N(T844)&gt;0,N(S844)=0),"Date d'envoi manquante",IF(N(T844)&gt;N(H844),"Reçu plus que commandé",IF(AND(N(T844)&gt;0,N(U844)=0),"Date de réception manquante",IF(AND(N(U844)&gt;0,U844&lt;B844),"Réception avant la commande","OK")))))))))))))))))))))</f>
        <v/>
      </c>
      <c r="AA844" s="66" t="str">
        <f>IF(AND(X844="Reçu",ISNUMBER(R844)),IF(N(U844)&lt;=R844,1,0),"")</f>
        <v/>
      </c>
      <c r="AB844" s="76" t="str">
        <f>IF(OR(X844="Envoyé",X844="Partiel",X844="En retard"),IF(ISNUMBER(R844),R844,100000)+ROW()/100000,"")</f>
        <v/>
      </c>
      <c r="AC844" s="66" t="str">
        <f>IF(A844="","",IF(COUNTIF($A$6:A844,A844)=1,1,""))</f>
        <v/>
      </c>
      <c r="AD844" s="66" t="str">
        <f>IF(AC844=1,COUNT($AC$6:AC844),"")</f>
        <v/>
      </c>
      <c r="AE844" s="66" t="str">
        <f>IFERROR(INDEX(po_num,MATCH(839,po_seq,0))&amp;"","")</f>
        <v/>
      </c>
      <c r="AF844" s="66" t="str">
        <f>IF(OR(A844="",p_po=""),"",IF(A844&amp;""=p_po,COUNTIF($A$6:A844,A844),""))</f>
        <v/>
      </c>
      <c r="AG844" s="66" t="str">
        <f>IF(OR(AB844="",A844=""),"",IF(COUNTIFS($A$6:A844,A844,$AB$6:AB844,"&gt;0")=1,1,""))</f>
        <v/>
      </c>
      <c r="AH844" s="70" t="str">
        <f>IF(AB844="","",ROUND(N(W844)*N(J844)*(1-N(K844)),2))</f>
        <v/>
      </c>
      <c r="AI844" s="70" t="str">
        <f>IF(OR(J844="",N(T844)&lt;=0,V844="Oui"),"",ROUND(N(T844)*J844*(1-N(K844)),2))</f>
        <v/>
      </c>
    </row>
    <row r="845">
      <c r="A845" s="63" t="n"/>
      <c r="B845" s="64" t="n"/>
      <c r="C845" s="65" t="n"/>
      <c r="D845" s="66" t="str">
        <f>IF(C845="","",IFERROR(INDEX(sup_name,MATCH($C845,sup_code,0))&amp;"","Fournisseur inconnu"))</f>
        <v/>
      </c>
      <c r="E845" s="63" t="n"/>
      <c r="F845" s="66" t="str">
        <f>IF(E845="","",IFERROR(INDEX(art_des,MATCH($E845,art_ref,0))&amp;"","Article inconnu"))</f>
        <v/>
      </c>
      <c r="G845" s="67" t="str">
        <f>IF(E845="","",IFERROR(INDEX(art_unit,MATCH($E845,art_ref,0))&amp;"",""))</f>
        <v/>
      </c>
      <c r="H845" s="68" t="n"/>
      <c r="I845" s="69" t="n"/>
      <c r="J845" s="70" t="str">
        <f>IF(E845="","",IF(ISNUMBER(I845),I845,IFERROR(IF(ISNUMBER(INDEX(art_price,MATCH($E845,art_ref,0))),INDEX(art_price,MATCH($E845,art_ref,0)),""),"")))</f>
        <v/>
      </c>
      <c r="K845" s="71" t="n"/>
      <c r="L845" s="72" t="n"/>
      <c r="M845" s="72" t="str">
        <f>IF(E845="","",IF(L845&lt;&gt;"",L845,IFERROR(IF(ISNUMBER(INDEX(art_tva,MATCH($E845,art_ref,0))),INDEX(art_tva,MATCH($E845,art_ref,0)),""),"")))</f>
        <v/>
      </c>
      <c r="N845" s="70" t="str">
        <f>IF(OR(E845="",J845=""),"",ROUND(N(H845)*J845*(1-N(K845)),2))</f>
        <v/>
      </c>
      <c r="O845" s="70" t="str">
        <f>IF(OR(N845="",NOT(ISNUMBER(M845))),"",ROUND(N845*M845,2))</f>
        <v/>
      </c>
      <c r="P845" s="70" t="str">
        <f>IF(N845="","",N845+N(O845))</f>
        <v/>
      </c>
      <c r="Q845" s="64" t="n"/>
      <c r="R845" s="73" t="str">
        <f>IF(N(Q845)&gt;0,Q845,IF(OR(N(B845)=0,ISNA(MATCH($C845,sup_code,0))),"",IF(ISNUMBER(INDEX(sup_delay,MATCH($C845,sup_code,0))),B845+INDEX(sup_delay,MATCH($C845,sup_code,0)),"")))</f>
        <v/>
      </c>
      <c r="S845" s="64" t="n"/>
      <c r="T845" s="68" t="n"/>
      <c r="U845" s="64" t="n"/>
      <c r="V845" s="65" t="n"/>
      <c r="W845" s="74" t="str">
        <f>IF(AND(A845="",E845=""),"",IF(V845="Oui",0,MAX(0,ROUND(N(H845)-N(T845),6))))</f>
        <v/>
      </c>
      <c r="X845" s="67" t="str">
        <f>IF(AND(A845="",E845=""),"",IF(V845="Oui","Annulé",IF(AND(N(H845)&gt;0,N(T845)&gt;=N(H845)),"Reçu",IF(N(S845)=0,"Brouillon",IF(AND(ISNUMBER(R845),R845&lt;p_today),"En retard",IF(N(T845)&gt;0,"Partiel","Envoyé"))))))</f>
        <v/>
      </c>
      <c r="Y845" s="75" t="str">
        <f>IF(X845="En retard",p_today-R845,IF(AND(X845="Reçu",ISNUMBER(R845)),MAX(0,N(U845)-R845),""))</f>
        <v/>
      </c>
      <c r="Z845" s="67" t="str">
        <f>IF(AND(A845="",E845=""),"",IF(A845="","N° de bon manquant",IF(N(B845)=0,"Date de commande manquante",IF(C845="","Fournisseur manquant",IF(ISNA(MATCH($C845,sup_code,0)),"Fournisseur inconnu",IF(E845="","Article manquant",IF(ISNA(MATCH($E845,art_ref,0)),"Article inconnu",IF(N(H845)&lt;=0,"Quantité invalide",IF(J845="","Prix manquant",IF(OR(N(K845)&lt;0,N(K845)&gt;=1),"Remise invalide",IF(M845="","TVA manquante",IF(ISNA(MATCH(M845,p_tva,0)),"Taux de TVA inconnu",IF(COUNTIFS(po_num,A845,po_sup,"&lt;&gt;"&amp;C845)&gt;0,"Fournisseur différent sur ce bon",IF(COUNTIFS(po_num,A845,po_date,"&lt;&gt;"&amp;B845)&gt;0,"Date différente sur ce bon",IF(COUNTIF(po_num,A845)&gt;25,"Plus de 25 lignes sur ce bon",IF(R845="","Date de livraison manquante",IF(R845&lt;B845,"Livraison avant la commande",IF(AND(N(T845)&gt;0,N(S845)=0),"Date d'envoi manquante",IF(N(T845)&gt;N(H845),"Reçu plus que commandé",IF(AND(N(T845)&gt;0,N(U845)=0),"Date de réception manquante",IF(AND(N(U845)&gt;0,U845&lt;B845),"Réception avant la commande","OK")))))))))))))))))))))</f>
        <v/>
      </c>
      <c r="AA845" s="66" t="str">
        <f>IF(AND(X845="Reçu",ISNUMBER(R845)),IF(N(U845)&lt;=R845,1,0),"")</f>
        <v/>
      </c>
      <c r="AB845" s="76" t="str">
        <f>IF(OR(X845="Envoyé",X845="Partiel",X845="En retard"),IF(ISNUMBER(R845),R845,100000)+ROW()/100000,"")</f>
        <v/>
      </c>
      <c r="AC845" s="66" t="str">
        <f>IF(A845="","",IF(COUNTIF($A$6:A845,A845)=1,1,""))</f>
        <v/>
      </c>
      <c r="AD845" s="66" t="str">
        <f>IF(AC845=1,COUNT($AC$6:AC845),"")</f>
        <v/>
      </c>
      <c r="AE845" s="66" t="str">
        <f>IFERROR(INDEX(po_num,MATCH(840,po_seq,0))&amp;"","")</f>
        <v/>
      </c>
      <c r="AF845" s="66" t="str">
        <f>IF(OR(A845="",p_po=""),"",IF(A845&amp;""=p_po,COUNTIF($A$6:A845,A845),""))</f>
        <v/>
      </c>
      <c r="AG845" s="66" t="str">
        <f>IF(OR(AB845="",A845=""),"",IF(COUNTIFS($A$6:A845,A845,$AB$6:AB845,"&gt;0")=1,1,""))</f>
        <v/>
      </c>
      <c r="AH845" s="70" t="str">
        <f>IF(AB845="","",ROUND(N(W845)*N(J845)*(1-N(K845)),2))</f>
        <v/>
      </c>
      <c r="AI845" s="70" t="str">
        <f>IF(OR(J845="",N(T845)&lt;=0,V845="Oui"),"",ROUND(N(T845)*J845*(1-N(K845)),2))</f>
        <v/>
      </c>
    </row>
    <row r="846">
      <c r="A846" s="63" t="n"/>
      <c r="B846" s="64" t="n"/>
      <c r="C846" s="65" t="n"/>
      <c r="D846" s="66" t="str">
        <f>IF(C846="","",IFERROR(INDEX(sup_name,MATCH($C846,sup_code,0))&amp;"","Fournisseur inconnu"))</f>
        <v/>
      </c>
      <c r="E846" s="63" t="n"/>
      <c r="F846" s="66" t="str">
        <f>IF(E846="","",IFERROR(INDEX(art_des,MATCH($E846,art_ref,0))&amp;"","Article inconnu"))</f>
        <v/>
      </c>
      <c r="G846" s="67" t="str">
        <f>IF(E846="","",IFERROR(INDEX(art_unit,MATCH($E846,art_ref,0))&amp;"",""))</f>
        <v/>
      </c>
      <c r="H846" s="68" t="n"/>
      <c r="I846" s="69" t="n"/>
      <c r="J846" s="70" t="str">
        <f>IF(E846="","",IF(ISNUMBER(I846),I846,IFERROR(IF(ISNUMBER(INDEX(art_price,MATCH($E846,art_ref,0))),INDEX(art_price,MATCH($E846,art_ref,0)),""),"")))</f>
        <v/>
      </c>
      <c r="K846" s="71" t="n"/>
      <c r="L846" s="72" t="n"/>
      <c r="M846" s="72" t="str">
        <f>IF(E846="","",IF(L846&lt;&gt;"",L846,IFERROR(IF(ISNUMBER(INDEX(art_tva,MATCH($E846,art_ref,0))),INDEX(art_tva,MATCH($E846,art_ref,0)),""),"")))</f>
        <v/>
      </c>
      <c r="N846" s="70" t="str">
        <f>IF(OR(E846="",J846=""),"",ROUND(N(H846)*J846*(1-N(K846)),2))</f>
        <v/>
      </c>
      <c r="O846" s="70" t="str">
        <f>IF(OR(N846="",NOT(ISNUMBER(M846))),"",ROUND(N846*M846,2))</f>
        <v/>
      </c>
      <c r="P846" s="70" t="str">
        <f>IF(N846="","",N846+N(O846))</f>
        <v/>
      </c>
      <c r="Q846" s="64" t="n"/>
      <c r="R846" s="73" t="str">
        <f>IF(N(Q846)&gt;0,Q846,IF(OR(N(B846)=0,ISNA(MATCH($C846,sup_code,0))),"",IF(ISNUMBER(INDEX(sup_delay,MATCH($C846,sup_code,0))),B846+INDEX(sup_delay,MATCH($C846,sup_code,0)),"")))</f>
        <v/>
      </c>
      <c r="S846" s="64" t="n"/>
      <c r="T846" s="68" t="n"/>
      <c r="U846" s="64" t="n"/>
      <c r="V846" s="65" t="n"/>
      <c r="W846" s="74" t="str">
        <f>IF(AND(A846="",E846=""),"",IF(V846="Oui",0,MAX(0,ROUND(N(H846)-N(T846),6))))</f>
        <v/>
      </c>
      <c r="X846" s="67" t="str">
        <f>IF(AND(A846="",E846=""),"",IF(V846="Oui","Annulé",IF(AND(N(H846)&gt;0,N(T846)&gt;=N(H846)),"Reçu",IF(N(S846)=0,"Brouillon",IF(AND(ISNUMBER(R846),R846&lt;p_today),"En retard",IF(N(T846)&gt;0,"Partiel","Envoyé"))))))</f>
        <v/>
      </c>
      <c r="Y846" s="75" t="str">
        <f>IF(X846="En retard",p_today-R846,IF(AND(X846="Reçu",ISNUMBER(R846)),MAX(0,N(U846)-R846),""))</f>
        <v/>
      </c>
      <c r="Z846" s="67" t="str">
        <f>IF(AND(A846="",E846=""),"",IF(A846="","N° de bon manquant",IF(N(B846)=0,"Date de commande manquante",IF(C846="","Fournisseur manquant",IF(ISNA(MATCH($C846,sup_code,0)),"Fournisseur inconnu",IF(E846="","Article manquant",IF(ISNA(MATCH($E846,art_ref,0)),"Article inconnu",IF(N(H846)&lt;=0,"Quantité invalide",IF(J846="","Prix manquant",IF(OR(N(K846)&lt;0,N(K846)&gt;=1),"Remise invalide",IF(M846="","TVA manquante",IF(ISNA(MATCH(M846,p_tva,0)),"Taux de TVA inconnu",IF(COUNTIFS(po_num,A846,po_sup,"&lt;&gt;"&amp;C846)&gt;0,"Fournisseur différent sur ce bon",IF(COUNTIFS(po_num,A846,po_date,"&lt;&gt;"&amp;B846)&gt;0,"Date différente sur ce bon",IF(COUNTIF(po_num,A846)&gt;25,"Plus de 25 lignes sur ce bon",IF(R846="","Date de livraison manquante",IF(R846&lt;B846,"Livraison avant la commande",IF(AND(N(T846)&gt;0,N(S846)=0),"Date d'envoi manquante",IF(N(T846)&gt;N(H846),"Reçu plus que commandé",IF(AND(N(T846)&gt;0,N(U846)=0),"Date de réception manquante",IF(AND(N(U846)&gt;0,U846&lt;B846),"Réception avant la commande","OK")))))))))))))))))))))</f>
        <v/>
      </c>
      <c r="AA846" s="66" t="str">
        <f>IF(AND(X846="Reçu",ISNUMBER(R846)),IF(N(U846)&lt;=R846,1,0),"")</f>
        <v/>
      </c>
      <c r="AB846" s="76" t="str">
        <f>IF(OR(X846="Envoyé",X846="Partiel",X846="En retard"),IF(ISNUMBER(R846),R846,100000)+ROW()/100000,"")</f>
        <v/>
      </c>
      <c r="AC846" s="66" t="str">
        <f>IF(A846="","",IF(COUNTIF($A$6:A846,A846)=1,1,""))</f>
        <v/>
      </c>
      <c r="AD846" s="66" t="str">
        <f>IF(AC846=1,COUNT($AC$6:AC846),"")</f>
        <v/>
      </c>
      <c r="AE846" s="66" t="str">
        <f>IFERROR(INDEX(po_num,MATCH(841,po_seq,0))&amp;"","")</f>
        <v/>
      </c>
      <c r="AF846" s="66" t="str">
        <f>IF(OR(A846="",p_po=""),"",IF(A846&amp;""=p_po,COUNTIF($A$6:A846,A846),""))</f>
        <v/>
      </c>
      <c r="AG846" s="66" t="str">
        <f>IF(OR(AB846="",A846=""),"",IF(COUNTIFS($A$6:A846,A846,$AB$6:AB846,"&gt;0")=1,1,""))</f>
        <v/>
      </c>
      <c r="AH846" s="70" t="str">
        <f>IF(AB846="","",ROUND(N(W846)*N(J846)*(1-N(K846)),2))</f>
        <v/>
      </c>
      <c r="AI846" s="70" t="str">
        <f>IF(OR(J846="",N(T846)&lt;=0,V846="Oui"),"",ROUND(N(T846)*J846*(1-N(K846)),2))</f>
        <v/>
      </c>
    </row>
    <row r="847">
      <c r="A847" s="63" t="n"/>
      <c r="B847" s="64" t="n"/>
      <c r="C847" s="65" t="n"/>
      <c r="D847" s="66" t="str">
        <f>IF(C847="","",IFERROR(INDEX(sup_name,MATCH($C847,sup_code,0))&amp;"","Fournisseur inconnu"))</f>
        <v/>
      </c>
      <c r="E847" s="63" t="n"/>
      <c r="F847" s="66" t="str">
        <f>IF(E847="","",IFERROR(INDEX(art_des,MATCH($E847,art_ref,0))&amp;"","Article inconnu"))</f>
        <v/>
      </c>
      <c r="G847" s="67" t="str">
        <f>IF(E847="","",IFERROR(INDEX(art_unit,MATCH($E847,art_ref,0))&amp;"",""))</f>
        <v/>
      </c>
      <c r="H847" s="68" t="n"/>
      <c r="I847" s="69" t="n"/>
      <c r="J847" s="70" t="str">
        <f>IF(E847="","",IF(ISNUMBER(I847),I847,IFERROR(IF(ISNUMBER(INDEX(art_price,MATCH($E847,art_ref,0))),INDEX(art_price,MATCH($E847,art_ref,0)),""),"")))</f>
        <v/>
      </c>
      <c r="K847" s="71" t="n"/>
      <c r="L847" s="72" t="n"/>
      <c r="M847" s="72" t="str">
        <f>IF(E847="","",IF(L847&lt;&gt;"",L847,IFERROR(IF(ISNUMBER(INDEX(art_tva,MATCH($E847,art_ref,0))),INDEX(art_tva,MATCH($E847,art_ref,0)),""),"")))</f>
        <v/>
      </c>
      <c r="N847" s="70" t="str">
        <f>IF(OR(E847="",J847=""),"",ROUND(N(H847)*J847*(1-N(K847)),2))</f>
        <v/>
      </c>
      <c r="O847" s="70" t="str">
        <f>IF(OR(N847="",NOT(ISNUMBER(M847))),"",ROUND(N847*M847,2))</f>
        <v/>
      </c>
      <c r="P847" s="70" t="str">
        <f>IF(N847="","",N847+N(O847))</f>
        <v/>
      </c>
      <c r="Q847" s="64" t="n"/>
      <c r="R847" s="73" t="str">
        <f>IF(N(Q847)&gt;0,Q847,IF(OR(N(B847)=0,ISNA(MATCH($C847,sup_code,0))),"",IF(ISNUMBER(INDEX(sup_delay,MATCH($C847,sup_code,0))),B847+INDEX(sup_delay,MATCH($C847,sup_code,0)),"")))</f>
        <v/>
      </c>
      <c r="S847" s="64" t="n"/>
      <c r="T847" s="68" t="n"/>
      <c r="U847" s="64" t="n"/>
      <c r="V847" s="65" t="n"/>
      <c r="W847" s="74" t="str">
        <f>IF(AND(A847="",E847=""),"",IF(V847="Oui",0,MAX(0,ROUND(N(H847)-N(T847),6))))</f>
        <v/>
      </c>
      <c r="X847" s="67" t="str">
        <f>IF(AND(A847="",E847=""),"",IF(V847="Oui","Annulé",IF(AND(N(H847)&gt;0,N(T847)&gt;=N(H847)),"Reçu",IF(N(S847)=0,"Brouillon",IF(AND(ISNUMBER(R847),R847&lt;p_today),"En retard",IF(N(T847)&gt;0,"Partiel","Envoyé"))))))</f>
        <v/>
      </c>
      <c r="Y847" s="75" t="str">
        <f>IF(X847="En retard",p_today-R847,IF(AND(X847="Reçu",ISNUMBER(R847)),MAX(0,N(U847)-R847),""))</f>
        <v/>
      </c>
      <c r="Z847" s="67" t="str">
        <f>IF(AND(A847="",E847=""),"",IF(A847="","N° de bon manquant",IF(N(B847)=0,"Date de commande manquante",IF(C847="","Fournisseur manquant",IF(ISNA(MATCH($C847,sup_code,0)),"Fournisseur inconnu",IF(E847="","Article manquant",IF(ISNA(MATCH($E847,art_ref,0)),"Article inconnu",IF(N(H847)&lt;=0,"Quantité invalide",IF(J847="","Prix manquant",IF(OR(N(K847)&lt;0,N(K847)&gt;=1),"Remise invalide",IF(M847="","TVA manquante",IF(ISNA(MATCH(M847,p_tva,0)),"Taux de TVA inconnu",IF(COUNTIFS(po_num,A847,po_sup,"&lt;&gt;"&amp;C847)&gt;0,"Fournisseur différent sur ce bon",IF(COUNTIFS(po_num,A847,po_date,"&lt;&gt;"&amp;B847)&gt;0,"Date différente sur ce bon",IF(COUNTIF(po_num,A847)&gt;25,"Plus de 25 lignes sur ce bon",IF(R847="","Date de livraison manquante",IF(R847&lt;B847,"Livraison avant la commande",IF(AND(N(T847)&gt;0,N(S847)=0),"Date d'envoi manquante",IF(N(T847)&gt;N(H847),"Reçu plus que commandé",IF(AND(N(T847)&gt;0,N(U847)=0),"Date de réception manquante",IF(AND(N(U847)&gt;0,U847&lt;B847),"Réception avant la commande","OK")))))))))))))))))))))</f>
        <v/>
      </c>
      <c r="AA847" s="66" t="str">
        <f>IF(AND(X847="Reçu",ISNUMBER(R847)),IF(N(U847)&lt;=R847,1,0),"")</f>
        <v/>
      </c>
      <c r="AB847" s="76" t="str">
        <f>IF(OR(X847="Envoyé",X847="Partiel",X847="En retard"),IF(ISNUMBER(R847),R847,100000)+ROW()/100000,"")</f>
        <v/>
      </c>
      <c r="AC847" s="66" t="str">
        <f>IF(A847="","",IF(COUNTIF($A$6:A847,A847)=1,1,""))</f>
        <v/>
      </c>
      <c r="AD847" s="66" t="str">
        <f>IF(AC847=1,COUNT($AC$6:AC847),"")</f>
        <v/>
      </c>
      <c r="AE847" s="66" t="str">
        <f>IFERROR(INDEX(po_num,MATCH(842,po_seq,0))&amp;"","")</f>
        <v/>
      </c>
      <c r="AF847" s="66" t="str">
        <f>IF(OR(A847="",p_po=""),"",IF(A847&amp;""=p_po,COUNTIF($A$6:A847,A847),""))</f>
        <v/>
      </c>
      <c r="AG847" s="66" t="str">
        <f>IF(OR(AB847="",A847=""),"",IF(COUNTIFS($A$6:A847,A847,$AB$6:AB847,"&gt;0")=1,1,""))</f>
        <v/>
      </c>
      <c r="AH847" s="70" t="str">
        <f>IF(AB847="","",ROUND(N(W847)*N(J847)*(1-N(K847)),2))</f>
        <v/>
      </c>
      <c r="AI847" s="70" t="str">
        <f>IF(OR(J847="",N(T847)&lt;=0,V847="Oui"),"",ROUND(N(T847)*J847*(1-N(K847)),2))</f>
        <v/>
      </c>
    </row>
    <row r="848">
      <c r="A848" s="63" t="n"/>
      <c r="B848" s="64" t="n"/>
      <c r="C848" s="65" t="n"/>
      <c r="D848" s="66" t="str">
        <f>IF(C848="","",IFERROR(INDEX(sup_name,MATCH($C848,sup_code,0))&amp;"","Fournisseur inconnu"))</f>
        <v/>
      </c>
      <c r="E848" s="63" t="n"/>
      <c r="F848" s="66" t="str">
        <f>IF(E848="","",IFERROR(INDEX(art_des,MATCH($E848,art_ref,0))&amp;"","Article inconnu"))</f>
        <v/>
      </c>
      <c r="G848" s="67" t="str">
        <f>IF(E848="","",IFERROR(INDEX(art_unit,MATCH($E848,art_ref,0))&amp;"",""))</f>
        <v/>
      </c>
      <c r="H848" s="68" t="n"/>
      <c r="I848" s="69" t="n"/>
      <c r="J848" s="70" t="str">
        <f>IF(E848="","",IF(ISNUMBER(I848),I848,IFERROR(IF(ISNUMBER(INDEX(art_price,MATCH($E848,art_ref,0))),INDEX(art_price,MATCH($E848,art_ref,0)),""),"")))</f>
        <v/>
      </c>
      <c r="K848" s="71" t="n"/>
      <c r="L848" s="72" t="n"/>
      <c r="M848" s="72" t="str">
        <f>IF(E848="","",IF(L848&lt;&gt;"",L848,IFERROR(IF(ISNUMBER(INDEX(art_tva,MATCH($E848,art_ref,0))),INDEX(art_tva,MATCH($E848,art_ref,0)),""),"")))</f>
        <v/>
      </c>
      <c r="N848" s="70" t="str">
        <f>IF(OR(E848="",J848=""),"",ROUND(N(H848)*J848*(1-N(K848)),2))</f>
        <v/>
      </c>
      <c r="O848" s="70" t="str">
        <f>IF(OR(N848="",NOT(ISNUMBER(M848))),"",ROUND(N848*M848,2))</f>
        <v/>
      </c>
      <c r="P848" s="70" t="str">
        <f>IF(N848="","",N848+N(O848))</f>
        <v/>
      </c>
      <c r="Q848" s="64" t="n"/>
      <c r="R848" s="73" t="str">
        <f>IF(N(Q848)&gt;0,Q848,IF(OR(N(B848)=0,ISNA(MATCH($C848,sup_code,0))),"",IF(ISNUMBER(INDEX(sup_delay,MATCH($C848,sup_code,0))),B848+INDEX(sup_delay,MATCH($C848,sup_code,0)),"")))</f>
        <v/>
      </c>
      <c r="S848" s="64" t="n"/>
      <c r="T848" s="68" t="n"/>
      <c r="U848" s="64" t="n"/>
      <c r="V848" s="65" t="n"/>
      <c r="W848" s="74" t="str">
        <f>IF(AND(A848="",E848=""),"",IF(V848="Oui",0,MAX(0,ROUND(N(H848)-N(T848),6))))</f>
        <v/>
      </c>
      <c r="X848" s="67" t="str">
        <f>IF(AND(A848="",E848=""),"",IF(V848="Oui","Annulé",IF(AND(N(H848)&gt;0,N(T848)&gt;=N(H848)),"Reçu",IF(N(S848)=0,"Brouillon",IF(AND(ISNUMBER(R848),R848&lt;p_today),"En retard",IF(N(T848)&gt;0,"Partiel","Envoyé"))))))</f>
        <v/>
      </c>
      <c r="Y848" s="75" t="str">
        <f>IF(X848="En retard",p_today-R848,IF(AND(X848="Reçu",ISNUMBER(R848)),MAX(0,N(U848)-R848),""))</f>
        <v/>
      </c>
      <c r="Z848" s="67" t="str">
        <f>IF(AND(A848="",E848=""),"",IF(A848="","N° de bon manquant",IF(N(B848)=0,"Date de commande manquante",IF(C848="","Fournisseur manquant",IF(ISNA(MATCH($C848,sup_code,0)),"Fournisseur inconnu",IF(E848="","Article manquant",IF(ISNA(MATCH($E848,art_ref,0)),"Article inconnu",IF(N(H848)&lt;=0,"Quantité invalide",IF(J848="","Prix manquant",IF(OR(N(K848)&lt;0,N(K848)&gt;=1),"Remise invalide",IF(M848="","TVA manquante",IF(ISNA(MATCH(M848,p_tva,0)),"Taux de TVA inconnu",IF(COUNTIFS(po_num,A848,po_sup,"&lt;&gt;"&amp;C848)&gt;0,"Fournisseur différent sur ce bon",IF(COUNTIFS(po_num,A848,po_date,"&lt;&gt;"&amp;B848)&gt;0,"Date différente sur ce bon",IF(COUNTIF(po_num,A848)&gt;25,"Plus de 25 lignes sur ce bon",IF(R848="","Date de livraison manquante",IF(R848&lt;B848,"Livraison avant la commande",IF(AND(N(T848)&gt;0,N(S848)=0),"Date d'envoi manquante",IF(N(T848)&gt;N(H848),"Reçu plus que commandé",IF(AND(N(T848)&gt;0,N(U848)=0),"Date de réception manquante",IF(AND(N(U848)&gt;0,U848&lt;B848),"Réception avant la commande","OK")))))))))))))))))))))</f>
        <v/>
      </c>
      <c r="AA848" s="66" t="str">
        <f>IF(AND(X848="Reçu",ISNUMBER(R848)),IF(N(U848)&lt;=R848,1,0),"")</f>
        <v/>
      </c>
      <c r="AB848" s="76" t="str">
        <f>IF(OR(X848="Envoyé",X848="Partiel",X848="En retard"),IF(ISNUMBER(R848),R848,100000)+ROW()/100000,"")</f>
        <v/>
      </c>
      <c r="AC848" s="66" t="str">
        <f>IF(A848="","",IF(COUNTIF($A$6:A848,A848)=1,1,""))</f>
        <v/>
      </c>
      <c r="AD848" s="66" t="str">
        <f>IF(AC848=1,COUNT($AC$6:AC848),"")</f>
        <v/>
      </c>
      <c r="AE848" s="66" t="str">
        <f>IFERROR(INDEX(po_num,MATCH(843,po_seq,0))&amp;"","")</f>
        <v/>
      </c>
      <c r="AF848" s="66" t="str">
        <f>IF(OR(A848="",p_po=""),"",IF(A848&amp;""=p_po,COUNTIF($A$6:A848,A848),""))</f>
        <v/>
      </c>
      <c r="AG848" s="66" t="str">
        <f>IF(OR(AB848="",A848=""),"",IF(COUNTIFS($A$6:A848,A848,$AB$6:AB848,"&gt;0")=1,1,""))</f>
        <v/>
      </c>
      <c r="AH848" s="70" t="str">
        <f>IF(AB848="","",ROUND(N(W848)*N(J848)*(1-N(K848)),2))</f>
        <v/>
      </c>
      <c r="AI848" s="70" t="str">
        <f>IF(OR(J848="",N(T848)&lt;=0,V848="Oui"),"",ROUND(N(T848)*J848*(1-N(K848)),2))</f>
        <v/>
      </c>
    </row>
    <row r="849">
      <c r="A849" s="63" t="n"/>
      <c r="B849" s="64" t="n"/>
      <c r="C849" s="65" t="n"/>
      <c r="D849" s="66" t="str">
        <f>IF(C849="","",IFERROR(INDEX(sup_name,MATCH($C849,sup_code,0))&amp;"","Fournisseur inconnu"))</f>
        <v/>
      </c>
      <c r="E849" s="63" t="n"/>
      <c r="F849" s="66" t="str">
        <f>IF(E849="","",IFERROR(INDEX(art_des,MATCH($E849,art_ref,0))&amp;"","Article inconnu"))</f>
        <v/>
      </c>
      <c r="G849" s="67" t="str">
        <f>IF(E849="","",IFERROR(INDEX(art_unit,MATCH($E849,art_ref,0))&amp;"",""))</f>
        <v/>
      </c>
      <c r="H849" s="68" t="n"/>
      <c r="I849" s="69" t="n"/>
      <c r="J849" s="70" t="str">
        <f>IF(E849="","",IF(ISNUMBER(I849),I849,IFERROR(IF(ISNUMBER(INDEX(art_price,MATCH($E849,art_ref,0))),INDEX(art_price,MATCH($E849,art_ref,0)),""),"")))</f>
        <v/>
      </c>
      <c r="K849" s="71" t="n"/>
      <c r="L849" s="72" t="n"/>
      <c r="M849" s="72" t="str">
        <f>IF(E849="","",IF(L849&lt;&gt;"",L849,IFERROR(IF(ISNUMBER(INDEX(art_tva,MATCH($E849,art_ref,0))),INDEX(art_tva,MATCH($E849,art_ref,0)),""),"")))</f>
        <v/>
      </c>
      <c r="N849" s="70" t="str">
        <f>IF(OR(E849="",J849=""),"",ROUND(N(H849)*J849*(1-N(K849)),2))</f>
        <v/>
      </c>
      <c r="O849" s="70" t="str">
        <f>IF(OR(N849="",NOT(ISNUMBER(M849))),"",ROUND(N849*M849,2))</f>
        <v/>
      </c>
      <c r="P849" s="70" t="str">
        <f>IF(N849="","",N849+N(O849))</f>
        <v/>
      </c>
      <c r="Q849" s="64" t="n"/>
      <c r="R849" s="73" t="str">
        <f>IF(N(Q849)&gt;0,Q849,IF(OR(N(B849)=0,ISNA(MATCH($C849,sup_code,0))),"",IF(ISNUMBER(INDEX(sup_delay,MATCH($C849,sup_code,0))),B849+INDEX(sup_delay,MATCH($C849,sup_code,0)),"")))</f>
        <v/>
      </c>
      <c r="S849" s="64" t="n"/>
      <c r="T849" s="68" t="n"/>
      <c r="U849" s="64" t="n"/>
      <c r="V849" s="65" t="n"/>
      <c r="W849" s="74" t="str">
        <f>IF(AND(A849="",E849=""),"",IF(V849="Oui",0,MAX(0,ROUND(N(H849)-N(T849),6))))</f>
        <v/>
      </c>
      <c r="X849" s="67" t="str">
        <f>IF(AND(A849="",E849=""),"",IF(V849="Oui","Annulé",IF(AND(N(H849)&gt;0,N(T849)&gt;=N(H849)),"Reçu",IF(N(S849)=0,"Brouillon",IF(AND(ISNUMBER(R849),R849&lt;p_today),"En retard",IF(N(T849)&gt;0,"Partiel","Envoyé"))))))</f>
        <v/>
      </c>
      <c r="Y849" s="75" t="str">
        <f>IF(X849="En retard",p_today-R849,IF(AND(X849="Reçu",ISNUMBER(R849)),MAX(0,N(U849)-R849),""))</f>
        <v/>
      </c>
      <c r="Z849" s="67" t="str">
        <f>IF(AND(A849="",E849=""),"",IF(A849="","N° de bon manquant",IF(N(B849)=0,"Date de commande manquante",IF(C849="","Fournisseur manquant",IF(ISNA(MATCH($C849,sup_code,0)),"Fournisseur inconnu",IF(E849="","Article manquant",IF(ISNA(MATCH($E849,art_ref,0)),"Article inconnu",IF(N(H849)&lt;=0,"Quantité invalide",IF(J849="","Prix manquant",IF(OR(N(K849)&lt;0,N(K849)&gt;=1),"Remise invalide",IF(M849="","TVA manquante",IF(ISNA(MATCH(M849,p_tva,0)),"Taux de TVA inconnu",IF(COUNTIFS(po_num,A849,po_sup,"&lt;&gt;"&amp;C849)&gt;0,"Fournisseur différent sur ce bon",IF(COUNTIFS(po_num,A849,po_date,"&lt;&gt;"&amp;B849)&gt;0,"Date différente sur ce bon",IF(COUNTIF(po_num,A849)&gt;25,"Plus de 25 lignes sur ce bon",IF(R849="","Date de livraison manquante",IF(R849&lt;B849,"Livraison avant la commande",IF(AND(N(T849)&gt;0,N(S849)=0),"Date d'envoi manquante",IF(N(T849)&gt;N(H849),"Reçu plus que commandé",IF(AND(N(T849)&gt;0,N(U849)=0),"Date de réception manquante",IF(AND(N(U849)&gt;0,U849&lt;B849),"Réception avant la commande","OK")))))))))))))))))))))</f>
        <v/>
      </c>
      <c r="AA849" s="66" t="str">
        <f>IF(AND(X849="Reçu",ISNUMBER(R849)),IF(N(U849)&lt;=R849,1,0),"")</f>
        <v/>
      </c>
      <c r="AB849" s="76" t="str">
        <f>IF(OR(X849="Envoyé",X849="Partiel",X849="En retard"),IF(ISNUMBER(R849),R849,100000)+ROW()/100000,"")</f>
        <v/>
      </c>
      <c r="AC849" s="66" t="str">
        <f>IF(A849="","",IF(COUNTIF($A$6:A849,A849)=1,1,""))</f>
        <v/>
      </c>
      <c r="AD849" s="66" t="str">
        <f>IF(AC849=1,COUNT($AC$6:AC849),"")</f>
        <v/>
      </c>
      <c r="AE849" s="66" t="str">
        <f>IFERROR(INDEX(po_num,MATCH(844,po_seq,0))&amp;"","")</f>
        <v/>
      </c>
      <c r="AF849" s="66" t="str">
        <f>IF(OR(A849="",p_po=""),"",IF(A849&amp;""=p_po,COUNTIF($A$6:A849,A849),""))</f>
        <v/>
      </c>
      <c r="AG849" s="66" t="str">
        <f>IF(OR(AB849="",A849=""),"",IF(COUNTIFS($A$6:A849,A849,$AB$6:AB849,"&gt;0")=1,1,""))</f>
        <v/>
      </c>
      <c r="AH849" s="70" t="str">
        <f>IF(AB849="","",ROUND(N(W849)*N(J849)*(1-N(K849)),2))</f>
        <v/>
      </c>
      <c r="AI849" s="70" t="str">
        <f>IF(OR(J849="",N(T849)&lt;=0,V849="Oui"),"",ROUND(N(T849)*J849*(1-N(K849)),2))</f>
        <v/>
      </c>
    </row>
    <row r="850">
      <c r="A850" s="63" t="n"/>
      <c r="B850" s="64" t="n"/>
      <c r="C850" s="65" t="n"/>
      <c r="D850" s="66" t="str">
        <f>IF(C850="","",IFERROR(INDEX(sup_name,MATCH($C850,sup_code,0))&amp;"","Fournisseur inconnu"))</f>
        <v/>
      </c>
      <c r="E850" s="63" t="n"/>
      <c r="F850" s="66" t="str">
        <f>IF(E850="","",IFERROR(INDEX(art_des,MATCH($E850,art_ref,0))&amp;"","Article inconnu"))</f>
        <v/>
      </c>
      <c r="G850" s="67" t="str">
        <f>IF(E850="","",IFERROR(INDEX(art_unit,MATCH($E850,art_ref,0))&amp;"",""))</f>
        <v/>
      </c>
      <c r="H850" s="68" t="n"/>
      <c r="I850" s="69" t="n"/>
      <c r="J850" s="70" t="str">
        <f>IF(E850="","",IF(ISNUMBER(I850),I850,IFERROR(IF(ISNUMBER(INDEX(art_price,MATCH($E850,art_ref,0))),INDEX(art_price,MATCH($E850,art_ref,0)),""),"")))</f>
        <v/>
      </c>
      <c r="K850" s="71" t="n"/>
      <c r="L850" s="72" t="n"/>
      <c r="M850" s="72" t="str">
        <f>IF(E850="","",IF(L850&lt;&gt;"",L850,IFERROR(IF(ISNUMBER(INDEX(art_tva,MATCH($E850,art_ref,0))),INDEX(art_tva,MATCH($E850,art_ref,0)),""),"")))</f>
        <v/>
      </c>
      <c r="N850" s="70" t="str">
        <f>IF(OR(E850="",J850=""),"",ROUND(N(H850)*J850*(1-N(K850)),2))</f>
        <v/>
      </c>
      <c r="O850" s="70" t="str">
        <f>IF(OR(N850="",NOT(ISNUMBER(M850))),"",ROUND(N850*M850,2))</f>
        <v/>
      </c>
      <c r="P850" s="70" t="str">
        <f>IF(N850="","",N850+N(O850))</f>
        <v/>
      </c>
      <c r="Q850" s="64" t="n"/>
      <c r="R850" s="73" t="str">
        <f>IF(N(Q850)&gt;0,Q850,IF(OR(N(B850)=0,ISNA(MATCH($C850,sup_code,0))),"",IF(ISNUMBER(INDEX(sup_delay,MATCH($C850,sup_code,0))),B850+INDEX(sup_delay,MATCH($C850,sup_code,0)),"")))</f>
        <v/>
      </c>
      <c r="S850" s="64" t="n"/>
      <c r="T850" s="68" t="n"/>
      <c r="U850" s="64" t="n"/>
      <c r="V850" s="65" t="n"/>
      <c r="W850" s="74" t="str">
        <f>IF(AND(A850="",E850=""),"",IF(V850="Oui",0,MAX(0,ROUND(N(H850)-N(T850),6))))</f>
        <v/>
      </c>
      <c r="X850" s="67" t="str">
        <f>IF(AND(A850="",E850=""),"",IF(V850="Oui","Annulé",IF(AND(N(H850)&gt;0,N(T850)&gt;=N(H850)),"Reçu",IF(N(S850)=0,"Brouillon",IF(AND(ISNUMBER(R850),R850&lt;p_today),"En retard",IF(N(T850)&gt;0,"Partiel","Envoyé"))))))</f>
        <v/>
      </c>
      <c r="Y850" s="75" t="str">
        <f>IF(X850="En retard",p_today-R850,IF(AND(X850="Reçu",ISNUMBER(R850)),MAX(0,N(U850)-R850),""))</f>
        <v/>
      </c>
      <c r="Z850" s="67" t="str">
        <f>IF(AND(A850="",E850=""),"",IF(A850="","N° de bon manquant",IF(N(B850)=0,"Date de commande manquante",IF(C850="","Fournisseur manquant",IF(ISNA(MATCH($C850,sup_code,0)),"Fournisseur inconnu",IF(E850="","Article manquant",IF(ISNA(MATCH($E850,art_ref,0)),"Article inconnu",IF(N(H850)&lt;=0,"Quantité invalide",IF(J850="","Prix manquant",IF(OR(N(K850)&lt;0,N(K850)&gt;=1),"Remise invalide",IF(M850="","TVA manquante",IF(ISNA(MATCH(M850,p_tva,0)),"Taux de TVA inconnu",IF(COUNTIFS(po_num,A850,po_sup,"&lt;&gt;"&amp;C850)&gt;0,"Fournisseur différent sur ce bon",IF(COUNTIFS(po_num,A850,po_date,"&lt;&gt;"&amp;B850)&gt;0,"Date différente sur ce bon",IF(COUNTIF(po_num,A850)&gt;25,"Plus de 25 lignes sur ce bon",IF(R850="","Date de livraison manquante",IF(R850&lt;B850,"Livraison avant la commande",IF(AND(N(T850)&gt;0,N(S850)=0),"Date d'envoi manquante",IF(N(T850)&gt;N(H850),"Reçu plus que commandé",IF(AND(N(T850)&gt;0,N(U850)=0),"Date de réception manquante",IF(AND(N(U850)&gt;0,U850&lt;B850),"Réception avant la commande","OK")))))))))))))))))))))</f>
        <v/>
      </c>
      <c r="AA850" s="66" t="str">
        <f>IF(AND(X850="Reçu",ISNUMBER(R850)),IF(N(U850)&lt;=R850,1,0),"")</f>
        <v/>
      </c>
      <c r="AB850" s="76" t="str">
        <f>IF(OR(X850="Envoyé",X850="Partiel",X850="En retard"),IF(ISNUMBER(R850),R850,100000)+ROW()/100000,"")</f>
        <v/>
      </c>
      <c r="AC850" s="66" t="str">
        <f>IF(A850="","",IF(COUNTIF($A$6:A850,A850)=1,1,""))</f>
        <v/>
      </c>
      <c r="AD850" s="66" t="str">
        <f>IF(AC850=1,COUNT($AC$6:AC850),"")</f>
        <v/>
      </c>
      <c r="AE850" s="66" t="str">
        <f>IFERROR(INDEX(po_num,MATCH(845,po_seq,0))&amp;"","")</f>
        <v/>
      </c>
      <c r="AF850" s="66" t="str">
        <f>IF(OR(A850="",p_po=""),"",IF(A850&amp;""=p_po,COUNTIF($A$6:A850,A850),""))</f>
        <v/>
      </c>
      <c r="AG850" s="66" t="str">
        <f>IF(OR(AB850="",A850=""),"",IF(COUNTIFS($A$6:A850,A850,$AB$6:AB850,"&gt;0")=1,1,""))</f>
        <v/>
      </c>
      <c r="AH850" s="70" t="str">
        <f>IF(AB850="","",ROUND(N(W850)*N(J850)*(1-N(K850)),2))</f>
        <v/>
      </c>
      <c r="AI850" s="70" t="str">
        <f>IF(OR(J850="",N(T850)&lt;=0,V850="Oui"),"",ROUND(N(T850)*J850*(1-N(K850)),2))</f>
        <v/>
      </c>
    </row>
    <row r="851">
      <c r="A851" s="63" t="n"/>
      <c r="B851" s="64" t="n"/>
      <c r="C851" s="65" t="n"/>
      <c r="D851" s="66" t="str">
        <f>IF(C851="","",IFERROR(INDEX(sup_name,MATCH($C851,sup_code,0))&amp;"","Fournisseur inconnu"))</f>
        <v/>
      </c>
      <c r="E851" s="63" t="n"/>
      <c r="F851" s="66" t="str">
        <f>IF(E851="","",IFERROR(INDEX(art_des,MATCH($E851,art_ref,0))&amp;"","Article inconnu"))</f>
        <v/>
      </c>
      <c r="G851" s="67" t="str">
        <f>IF(E851="","",IFERROR(INDEX(art_unit,MATCH($E851,art_ref,0))&amp;"",""))</f>
        <v/>
      </c>
      <c r="H851" s="68" t="n"/>
      <c r="I851" s="69" t="n"/>
      <c r="J851" s="70" t="str">
        <f>IF(E851="","",IF(ISNUMBER(I851),I851,IFERROR(IF(ISNUMBER(INDEX(art_price,MATCH($E851,art_ref,0))),INDEX(art_price,MATCH($E851,art_ref,0)),""),"")))</f>
        <v/>
      </c>
      <c r="K851" s="71" t="n"/>
      <c r="L851" s="72" t="n"/>
      <c r="M851" s="72" t="str">
        <f>IF(E851="","",IF(L851&lt;&gt;"",L851,IFERROR(IF(ISNUMBER(INDEX(art_tva,MATCH($E851,art_ref,0))),INDEX(art_tva,MATCH($E851,art_ref,0)),""),"")))</f>
        <v/>
      </c>
      <c r="N851" s="70" t="str">
        <f>IF(OR(E851="",J851=""),"",ROUND(N(H851)*J851*(1-N(K851)),2))</f>
        <v/>
      </c>
      <c r="O851" s="70" t="str">
        <f>IF(OR(N851="",NOT(ISNUMBER(M851))),"",ROUND(N851*M851,2))</f>
        <v/>
      </c>
      <c r="P851" s="70" t="str">
        <f>IF(N851="","",N851+N(O851))</f>
        <v/>
      </c>
      <c r="Q851" s="64" t="n"/>
      <c r="R851" s="73" t="str">
        <f>IF(N(Q851)&gt;0,Q851,IF(OR(N(B851)=0,ISNA(MATCH($C851,sup_code,0))),"",IF(ISNUMBER(INDEX(sup_delay,MATCH($C851,sup_code,0))),B851+INDEX(sup_delay,MATCH($C851,sup_code,0)),"")))</f>
        <v/>
      </c>
      <c r="S851" s="64" t="n"/>
      <c r="T851" s="68" t="n"/>
      <c r="U851" s="64" t="n"/>
      <c r="V851" s="65" t="n"/>
      <c r="W851" s="74" t="str">
        <f>IF(AND(A851="",E851=""),"",IF(V851="Oui",0,MAX(0,ROUND(N(H851)-N(T851),6))))</f>
        <v/>
      </c>
      <c r="X851" s="67" t="str">
        <f>IF(AND(A851="",E851=""),"",IF(V851="Oui","Annulé",IF(AND(N(H851)&gt;0,N(T851)&gt;=N(H851)),"Reçu",IF(N(S851)=0,"Brouillon",IF(AND(ISNUMBER(R851),R851&lt;p_today),"En retard",IF(N(T851)&gt;0,"Partiel","Envoyé"))))))</f>
        <v/>
      </c>
      <c r="Y851" s="75" t="str">
        <f>IF(X851="En retard",p_today-R851,IF(AND(X851="Reçu",ISNUMBER(R851)),MAX(0,N(U851)-R851),""))</f>
        <v/>
      </c>
      <c r="Z851" s="67" t="str">
        <f>IF(AND(A851="",E851=""),"",IF(A851="","N° de bon manquant",IF(N(B851)=0,"Date de commande manquante",IF(C851="","Fournisseur manquant",IF(ISNA(MATCH($C851,sup_code,0)),"Fournisseur inconnu",IF(E851="","Article manquant",IF(ISNA(MATCH($E851,art_ref,0)),"Article inconnu",IF(N(H851)&lt;=0,"Quantité invalide",IF(J851="","Prix manquant",IF(OR(N(K851)&lt;0,N(K851)&gt;=1),"Remise invalide",IF(M851="","TVA manquante",IF(ISNA(MATCH(M851,p_tva,0)),"Taux de TVA inconnu",IF(COUNTIFS(po_num,A851,po_sup,"&lt;&gt;"&amp;C851)&gt;0,"Fournisseur différent sur ce bon",IF(COUNTIFS(po_num,A851,po_date,"&lt;&gt;"&amp;B851)&gt;0,"Date différente sur ce bon",IF(COUNTIF(po_num,A851)&gt;25,"Plus de 25 lignes sur ce bon",IF(R851="","Date de livraison manquante",IF(R851&lt;B851,"Livraison avant la commande",IF(AND(N(T851)&gt;0,N(S851)=0),"Date d'envoi manquante",IF(N(T851)&gt;N(H851),"Reçu plus que commandé",IF(AND(N(T851)&gt;0,N(U851)=0),"Date de réception manquante",IF(AND(N(U851)&gt;0,U851&lt;B851),"Réception avant la commande","OK")))))))))))))))))))))</f>
        <v/>
      </c>
      <c r="AA851" s="66" t="str">
        <f>IF(AND(X851="Reçu",ISNUMBER(R851)),IF(N(U851)&lt;=R851,1,0),"")</f>
        <v/>
      </c>
      <c r="AB851" s="76" t="str">
        <f>IF(OR(X851="Envoyé",X851="Partiel",X851="En retard"),IF(ISNUMBER(R851),R851,100000)+ROW()/100000,"")</f>
        <v/>
      </c>
      <c r="AC851" s="66" t="str">
        <f>IF(A851="","",IF(COUNTIF($A$6:A851,A851)=1,1,""))</f>
        <v/>
      </c>
      <c r="AD851" s="66" t="str">
        <f>IF(AC851=1,COUNT($AC$6:AC851),"")</f>
        <v/>
      </c>
      <c r="AE851" s="66" t="str">
        <f>IFERROR(INDEX(po_num,MATCH(846,po_seq,0))&amp;"","")</f>
        <v/>
      </c>
      <c r="AF851" s="66" t="str">
        <f>IF(OR(A851="",p_po=""),"",IF(A851&amp;""=p_po,COUNTIF($A$6:A851,A851),""))</f>
        <v/>
      </c>
      <c r="AG851" s="66" t="str">
        <f>IF(OR(AB851="",A851=""),"",IF(COUNTIFS($A$6:A851,A851,$AB$6:AB851,"&gt;0")=1,1,""))</f>
        <v/>
      </c>
      <c r="AH851" s="70" t="str">
        <f>IF(AB851="","",ROUND(N(W851)*N(J851)*(1-N(K851)),2))</f>
        <v/>
      </c>
      <c r="AI851" s="70" t="str">
        <f>IF(OR(J851="",N(T851)&lt;=0,V851="Oui"),"",ROUND(N(T851)*J851*(1-N(K851)),2))</f>
        <v/>
      </c>
    </row>
    <row r="852">
      <c r="A852" s="63" t="n"/>
      <c r="B852" s="64" t="n"/>
      <c r="C852" s="65" t="n"/>
      <c r="D852" s="66" t="str">
        <f>IF(C852="","",IFERROR(INDEX(sup_name,MATCH($C852,sup_code,0))&amp;"","Fournisseur inconnu"))</f>
        <v/>
      </c>
      <c r="E852" s="63" t="n"/>
      <c r="F852" s="66" t="str">
        <f>IF(E852="","",IFERROR(INDEX(art_des,MATCH($E852,art_ref,0))&amp;"","Article inconnu"))</f>
        <v/>
      </c>
      <c r="G852" s="67" t="str">
        <f>IF(E852="","",IFERROR(INDEX(art_unit,MATCH($E852,art_ref,0))&amp;"",""))</f>
        <v/>
      </c>
      <c r="H852" s="68" t="n"/>
      <c r="I852" s="69" t="n"/>
      <c r="J852" s="70" t="str">
        <f>IF(E852="","",IF(ISNUMBER(I852),I852,IFERROR(IF(ISNUMBER(INDEX(art_price,MATCH($E852,art_ref,0))),INDEX(art_price,MATCH($E852,art_ref,0)),""),"")))</f>
        <v/>
      </c>
      <c r="K852" s="71" t="n"/>
      <c r="L852" s="72" t="n"/>
      <c r="M852" s="72" t="str">
        <f>IF(E852="","",IF(L852&lt;&gt;"",L852,IFERROR(IF(ISNUMBER(INDEX(art_tva,MATCH($E852,art_ref,0))),INDEX(art_tva,MATCH($E852,art_ref,0)),""),"")))</f>
        <v/>
      </c>
      <c r="N852" s="70" t="str">
        <f>IF(OR(E852="",J852=""),"",ROUND(N(H852)*J852*(1-N(K852)),2))</f>
        <v/>
      </c>
      <c r="O852" s="70" t="str">
        <f>IF(OR(N852="",NOT(ISNUMBER(M852))),"",ROUND(N852*M852,2))</f>
        <v/>
      </c>
      <c r="P852" s="70" t="str">
        <f>IF(N852="","",N852+N(O852))</f>
        <v/>
      </c>
      <c r="Q852" s="64" t="n"/>
      <c r="R852" s="73" t="str">
        <f>IF(N(Q852)&gt;0,Q852,IF(OR(N(B852)=0,ISNA(MATCH($C852,sup_code,0))),"",IF(ISNUMBER(INDEX(sup_delay,MATCH($C852,sup_code,0))),B852+INDEX(sup_delay,MATCH($C852,sup_code,0)),"")))</f>
        <v/>
      </c>
      <c r="S852" s="64" t="n"/>
      <c r="T852" s="68" t="n"/>
      <c r="U852" s="64" t="n"/>
      <c r="V852" s="65" t="n"/>
      <c r="W852" s="74" t="str">
        <f>IF(AND(A852="",E852=""),"",IF(V852="Oui",0,MAX(0,ROUND(N(H852)-N(T852),6))))</f>
        <v/>
      </c>
      <c r="X852" s="67" t="str">
        <f>IF(AND(A852="",E852=""),"",IF(V852="Oui","Annulé",IF(AND(N(H852)&gt;0,N(T852)&gt;=N(H852)),"Reçu",IF(N(S852)=0,"Brouillon",IF(AND(ISNUMBER(R852),R852&lt;p_today),"En retard",IF(N(T852)&gt;0,"Partiel","Envoyé"))))))</f>
        <v/>
      </c>
      <c r="Y852" s="75" t="str">
        <f>IF(X852="En retard",p_today-R852,IF(AND(X852="Reçu",ISNUMBER(R852)),MAX(0,N(U852)-R852),""))</f>
        <v/>
      </c>
      <c r="Z852" s="67" t="str">
        <f>IF(AND(A852="",E852=""),"",IF(A852="","N° de bon manquant",IF(N(B852)=0,"Date de commande manquante",IF(C852="","Fournisseur manquant",IF(ISNA(MATCH($C852,sup_code,0)),"Fournisseur inconnu",IF(E852="","Article manquant",IF(ISNA(MATCH($E852,art_ref,0)),"Article inconnu",IF(N(H852)&lt;=0,"Quantité invalide",IF(J852="","Prix manquant",IF(OR(N(K852)&lt;0,N(K852)&gt;=1),"Remise invalide",IF(M852="","TVA manquante",IF(ISNA(MATCH(M852,p_tva,0)),"Taux de TVA inconnu",IF(COUNTIFS(po_num,A852,po_sup,"&lt;&gt;"&amp;C852)&gt;0,"Fournisseur différent sur ce bon",IF(COUNTIFS(po_num,A852,po_date,"&lt;&gt;"&amp;B852)&gt;0,"Date différente sur ce bon",IF(COUNTIF(po_num,A852)&gt;25,"Plus de 25 lignes sur ce bon",IF(R852="","Date de livraison manquante",IF(R852&lt;B852,"Livraison avant la commande",IF(AND(N(T852)&gt;0,N(S852)=0),"Date d'envoi manquante",IF(N(T852)&gt;N(H852),"Reçu plus que commandé",IF(AND(N(T852)&gt;0,N(U852)=0),"Date de réception manquante",IF(AND(N(U852)&gt;0,U852&lt;B852),"Réception avant la commande","OK")))))))))))))))))))))</f>
        <v/>
      </c>
      <c r="AA852" s="66" t="str">
        <f>IF(AND(X852="Reçu",ISNUMBER(R852)),IF(N(U852)&lt;=R852,1,0),"")</f>
        <v/>
      </c>
      <c r="AB852" s="76" t="str">
        <f>IF(OR(X852="Envoyé",X852="Partiel",X852="En retard"),IF(ISNUMBER(R852),R852,100000)+ROW()/100000,"")</f>
        <v/>
      </c>
      <c r="AC852" s="66" t="str">
        <f>IF(A852="","",IF(COUNTIF($A$6:A852,A852)=1,1,""))</f>
        <v/>
      </c>
      <c r="AD852" s="66" t="str">
        <f>IF(AC852=1,COUNT($AC$6:AC852),"")</f>
        <v/>
      </c>
      <c r="AE852" s="66" t="str">
        <f>IFERROR(INDEX(po_num,MATCH(847,po_seq,0))&amp;"","")</f>
        <v/>
      </c>
      <c r="AF852" s="66" t="str">
        <f>IF(OR(A852="",p_po=""),"",IF(A852&amp;""=p_po,COUNTIF($A$6:A852,A852),""))</f>
        <v/>
      </c>
      <c r="AG852" s="66" t="str">
        <f>IF(OR(AB852="",A852=""),"",IF(COUNTIFS($A$6:A852,A852,$AB$6:AB852,"&gt;0")=1,1,""))</f>
        <v/>
      </c>
      <c r="AH852" s="70" t="str">
        <f>IF(AB852="","",ROUND(N(W852)*N(J852)*(1-N(K852)),2))</f>
        <v/>
      </c>
      <c r="AI852" s="70" t="str">
        <f>IF(OR(J852="",N(T852)&lt;=0,V852="Oui"),"",ROUND(N(T852)*J852*(1-N(K852)),2))</f>
        <v/>
      </c>
    </row>
    <row r="853">
      <c r="A853" s="63" t="n"/>
      <c r="B853" s="64" t="n"/>
      <c r="C853" s="65" t="n"/>
      <c r="D853" s="66" t="str">
        <f>IF(C853="","",IFERROR(INDEX(sup_name,MATCH($C853,sup_code,0))&amp;"","Fournisseur inconnu"))</f>
        <v/>
      </c>
      <c r="E853" s="63" t="n"/>
      <c r="F853" s="66" t="str">
        <f>IF(E853="","",IFERROR(INDEX(art_des,MATCH($E853,art_ref,0))&amp;"","Article inconnu"))</f>
        <v/>
      </c>
      <c r="G853" s="67" t="str">
        <f>IF(E853="","",IFERROR(INDEX(art_unit,MATCH($E853,art_ref,0))&amp;"",""))</f>
        <v/>
      </c>
      <c r="H853" s="68" t="n"/>
      <c r="I853" s="69" t="n"/>
      <c r="J853" s="70" t="str">
        <f>IF(E853="","",IF(ISNUMBER(I853),I853,IFERROR(IF(ISNUMBER(INDEX(art_price,MATCH($E853,art_ref,0))),INDEX(art_price,MATCH($E853,art_ref,0)),""),"")))</f>
        <v/>
      </c>
      <c r="K853" s="71" t="n"/>
      <c r="L853" s="72" t="n"/>
      <c r="M853" s="72" t="str">
        <f>IF(E853="","",IF(L853&lt;&gt;"",L853,IFERROR(IF(ISNUMBER(INDEX(art_tva,MATCH($E853,art_ref,0))),INDEX(art_tva,MATCH($E853,art_ref,0)),""),"")))</f>
        <v/>
      </c>
      <c r="N853" s="70" t="str">
        <f>IF(OR(E853="",J853=""),"",ROUND(N(H853)*J853*(1-N(K853)),2))</f>
        <v/>
      </c>
      <c r="O853" s="70" t="str">
        <f>IF(OR(N853="",NOT(ISNUMBER(M853))),"",ROUND(N853*M853,2))</f>
        <v/>
      </c>
      <c r="P853" s="70" t="str">
        <f>IF(N853="","",N853+N(O853))</f>
        <v/>
      </c>
      <c r="Q853" s="64" t="n"/>
      <c r="R853" s="73" t="str">
        <f>IF(N(Q853)&gt;0,Q853,IF(OR(N(B853)=0,ISNA(MATCH($C853,sup_code,0))),"",IF(ISNUMBER(INDEX(sup_delay,MATCH($C853,sup_code,0))),B853+INDEX(sup_delay,MATCH($C853,sup_code,0)),"")))</f>
        <v/>
      </c>
      <c r="S853" s="64" t="n"/>
      <c r="T853" s="68" t="n"/>
      <c r="U853" s="64" t="n"/>
      <c r="V853" s="65" t="n"/>
      <c r="W853" s="74" t="str">
        <f>IF(AND(A853="",E853=""),"",IF(V853="Oui",0,MAX(0,ROUND(N(H853)-N(T853),6))))</f>
        <v/>
      </c>
      <c r="X853" s="67" t="str">
        <f>IF(AND(A853="",E853=""),"",IF(V853="Oui","Annulé",IF(AND(N(H853)&gt;0,N(T853)&gt;=N(H853)),"Reçu",IF(N(S853)=0,"Brouillon",IF(AND(ISNUMBER(R853),R853&lt;p_today),"En retard",IF(N(T853)&gt;0,"Partiel","Envoyé"))))))</f>
        <v/>
      </c>
      <c r="Y853" s="75" t="str">
        <f>IF(X853="En retard",p_today-R853,IF(AND(X853="Reçu",ISNUMBER(R853)),MAX(0,N(U853)-R853),""))</f>
        <v/>
      </c>
      <c r="Z853" s="67" t="str">
        <f>IF(AND(A853="",E853=""),"",IF(A853="","N° de bon manquant",IF(N(B853)=0,"Date de commande manquante",IF(C853="","Fournisseur manquant",IF(ISNA(MATCH($C853,sup_code,0)),"Fournisseur inconnu",IF(E853="","Article manquant",IF(ISNA(MATCH($E853,art_ref,0)),"Article inconnu",IF(N(H853)&lt;=0,"Quantité invalide",IF(J853="","Prix manquant",IF(OR(N(K853)&lt;0,N(K853)&gt;=1),"Remise invalide",IF(M853="","TVA manquante",IF(ISNA(MATCH(M853,p_tva,0)),"Taux de TVA inconnu",IF(COUNTIFS(po_num,A853,po_sup,"&lt;&gt;"&amp;C853)&gt;0,"Fournisseur différent sur ce bon",IF(COUNTIFS(po_num,A853,po_date,"&lt;&gt;"&amp;B853)&gt;0,"Date différente sur ce bon",IF(COUNTIF(po_num,A853)&gt;25,"Plus de 25 lignes sur ce bon",IF(R853="","Date de livraison manquante",IF(R853&lt;B853,"Livraison avant la commande",IF(AND(N(T853)&gt;0,N(S853)=0),"Date d'envoi manquante",IF(N(T853)&gt;N(H853),"Reçu plus que commandé",IF(AND(N(T853)&gt;0,N(U853)=0),"Date de réception manquante",IF(AND(N(U853)&gt;0,U853&lt;B853),"Réception avant la commande","OK")))))))))))))))))))))</f>
        <v/>
      </c>
      <c r="AA853" s="66" t="str">
        <f>IF(AND(X853="Reçu",ISNUMBER(R853)),IF(N(U853)&lt;=R853,1,0),"")</f>
        <v/>
      </c>
      <c r="AB853" s="76" t="str">
        <f>IF(OR(X853="Envoyé",X853="Partiel",X853="En retard"),IF(ISNUMBER(R853),R853,100000)+ROW()/100000,"")</f>
        <v/>
      </c>
      <c r="AC853" s="66" t="str">
        <f>IF(A853="","",IF(COUNTIF($A$6:A853,A853)=1,1,""))</f>
        <v/>
      </c>
      <c r="AD853" s="66" t="str">
        <f>IF(AC853=1,COUNT($AC$6:AC853),"")</f>
        <v/>
      </c>
      <c r="AE853" s="66" t="str">
        <f>IFERROR(INDEX(po_num,MATCH(848,po_seq,0))&amp;"","")</f>
        <v/>
      </c>
      <c r="AF853" s="66" t="str">
        <f>IF(OR(A853="",p_po=""),"",IF(A853&amp;""=p_po,COUNTIF($A$6:A853,A853),""))</f>
        <v/>
      </c>
      <c r="AG853" s="66" t="str">
        <f>IF(OR(AB853="",A853=""),"",IF(COUNTIFS($A$6:A853,A853,$AB$6:AB853,"&gt;0")=1,1,""))</f>
        <v/>
      </c>
      <c r="AH853" s="70" t="str">
        <f>IF(AB853="","",ROUND(N(W853)*N(J853)*(1-N(K853)),2))</f>
        <v/>
      </c>
      <c r="AI853" s="70" t="str">
        <f>IF(OR(J853="",N(T853)&lt;=0,V853="Oui"),"",ROUND(N(T853)*J853*(1-N(K853)),2))</f>
        <v/>
      </c>
    </row>
    <row r="854">
      <c r="A854" s="63" t="n"/>
      <c r="B854" s="64" t="n"/>
      <c r="C854" s="65" t="n"/>
      <c r="D854" s="66" t="str">
        <f>IF(C854="","",IFERROR(INDEX(sup_name,MATCH($C854,sup_code,0))&amp;"","Fournisseur inconnu"))</f>
        <v/>
      </c>
      <c r="E854" s="63" t="n"/>
      <c r="F854" s="66" t="str">
        <f>IF(E854="","",IFERROR(INDEX(art_des,MATCH($E854,art_ref,0))&amp;"","Article inconnu"))</f>
        <v/>
      </c>
      <c r="G854" s="67" t="str">
        <f>IF(E854="","",IFERROR(INDEX(art_unit,MATCH($E854,art_ref,0))&amp;"",""))</f>
        <v/>
      </c>
      <c r="H854" s="68" t="n"/>
      <c r="I854" s="69" t="n"/>
      <c r="J854" s="70" t="str">
        <f>IF(E854="","",IF(ISNUMBER(I854),I854,IFERROR(IF(ISNUMBER(INDEX(art_price,MATCH($E854,art_ref,0))),INDEX(art_price,MATCH($E854,art_ref,0)),""),"")))</f>
        <v/>
      </c>
      <c r="K854" s="71" t="n"/>
      <c r="L854" s="72" t="n"/>
      <c r="M854" s="72" t="str">
        <f>IF(E854="","",IF(L854&lt;&gt;"",L854,IFERROR(IF(ISNUMBER(INDEX(art_tva,MATCH($E854,art_ref,0))),INDEX(art_tva,MATCH($E854,art_ref,0)),""),"")))</f>
        <v/>
      </c>
      <c r="N854" s="70" t="str">
        <f>IF(OR(E854="",J854=""),"",ROUND(N(H854)*J854*(1-N(K854)),2))</f>
        <v/>
      </c>
      <c r="O854" s="70" t="str">
        <f>IF(OR(N854="",NOT(ISNUMBER(M854))),"",ROUND(N854*M854,2))</f>
        <v/>
      </c>
      <c r="P854" s="70" t="str">
        <f>IF(N854="","",N854+N(O854))</f>
        <v/>
      </c>
      <c r="Q854" s="64" t="n"/>
      <c r="R854" s="73" t="str">
        <f>IF(N(Q854)&gt;0,Q854,IF(OR(N(B854)=0,ISNA(MATCH($C854,sup_code,0))),"",IF(ISNUMBER(INDEX(sup_delay,MATCH($C854,sup_code,0))),B854+INDEX(sup_delay,MATCH($C854,sup_code,0)),"")))</f>
        <v/>
      </c>
      <c r="S854" s="64" t="n"/>
      <c r="T854" s="68" t="n"/>
      <c r="U854" s="64" t="n"/>
      <c r="V854" s="65" t="n"/>
      <c r="W854" s="74" t="str">
        <f>IF(AND(A854="",E854=""),"",IF(V854="Oui",0,MAX(0,ROUND(N(H854)-N(T854),6))))</f>
        <v/>
      </c>
      <c r="X854" s="67" t="str">
        <f>IF(AND(A854="",E854=""),"",IF(V854="Oui","Annulé",IF(AND(N(H854)&gt;0,N(T854)&gt;=N(H854)),"Reçu",IF(N(S854)=0,"Brouillon",IF(AND(ISNUMBER(R854),R854&lt;p_today),"En retard",IF(N(T854)&gt;0,"Partiel","Envoyé"))))))</f>
        <v/>
      </c>
      <c r="Y854" s="75" t="str">
        <f>IF(X854="En retard",p_today-R854,IF(AND(X854="Reçu",ISNUMBER(R854)),MAX(0,N(U854)-R854),""))</f>
        <v/>
      </c>
      <c r="Z854" s="67" t="str">
        <f>IF(AND(A854="",E854=""),"",IF(A854="","N° de bon manquant",IF(N(B854)=0,"Date de commande manquante",IF(C854="","Fournisseur manquant",IF(ISNA(MATCH($C854,sup_code,0)),"Fournisseur inconnu",IF(E854="","Article manquant",IF(ISNA(MATCH($E854,art_ref,0)),"Article inconnu",IF(N(H854)&lt;=0,"Quantité invalide",IF(J854="","Prix manquant",IF(OR(N(K854)&lt;0,N(K854)&gt;=1),"Remise invalide",IF(M854="","TVA manquante",IF(ISNA(MATCH(M854,p_tva,0)),"Taux de TVA inconnu",IF(COUNTIFS(po_num,A854,po_sup,"&lt;&gt;"&amp;C854)&gt;0,"Fournisseur différent sur ce bon",IF(COUNTIFS(po_num,A854,po_date,"&lt;&gt;"&amp;B854)&gt;0,"Date différente sur ce bon",IF(COUNTIF(po_num,A854)&gt;25,"Plus de 25 lignes sur ce bon",IF(R854="","Date de livraison manquante",IF(R854&lt;B854,"Livraison avant la commande",IF(AND(N(T854)&gt;0,N(S854)=0),"Date d'envoi manquante",IF(N(T854)&gt;N(H854),"Reçu plus que commandé",IF(AND(N(T854)&gt;0,N(U854)=0),"Date de réception manquante",IF(AND(N(U854)&gt;0,U854&lt;B854),"Réception avant la commande","OK")))))))))))))))))))))</f>
        <v/>
      </c>
      <c r="AA854" s="66" t="str">
        <f>IF(AND(X854="Reçu",ISNUMBER(R854)),IF(N(U854)&lt;=R854,1,0),"")</f>
        <v/>
      </c>
      <c r="AB854" s="76" t="str">
        <f>IF(OR(X854="Envoyé",X854="Partiel",X854="En retard"),IF(ISNUMBER(R854),R854,100000)+ROW()/100000,"")</f>
        <v/>
      </c>
      <c r="AC854" s="66" t="str">
        <f>IF(A854="","",IF(COUNTIF($A$6:A854,A854)=1,1,""))</f>
        <v/>
      </c>
      <c r="AD854" s="66" t="str">
        <f>IF(AC854=1,COUNT($AC$6:AC854),"")</f>
        <v/>
      </c>
      <c r="AE854" s="66" t="str">
        <f>IFERROR(INDEX(po_num,MATCH(849,po_seq,0))&amp;"","")</f>
        <v/>
      </c>
      <c r="AF854" s="66" t="str">
        <f>IF(OR(A854="",p_po=""),"",IF(A854&amp;""=p_po,COUNTIF($A$6:A854,A854),""))</f>
        <v/>
      </c>
      <c r="AG854" s="66" t="str">
        <f>IF(OR(AB854="",A854=""),"",IF(COUNTIFS($A$6:A854,A854,$AB$6:AB854,"&gt;0")=1,1,""))</f>
        <v/>
      </c>
      <c r="AH854" s="70" t="str">
        <f>IF(AB854="","",ROUND(N(W854)*N(J854)*(1-N(K854)),2))</f>
        <v/>
      </c>
      <c r="AI854" s="70" t="str">
        <f>IF(OR(J854="",N(T854)&lt;=0,V854="Oui"),"",ROUND(N(T854)*J854*(1-N(K854)),2))</f>
        <v/>
      </c>
    </row>
    <row r="855">
      <c r="A855" s="63" t="n"/>
      <c r="B855" s="64" t="n"/>
      <c r="C855" s="65" t="n"/>
      <c r="D855" s="66" t="str">
        <f>IF(C855="","",IFERROR(INDEX(sup_name,MATCH($C855,sup_code,0))&amp;"","Fournisseur inconnu"))</f>
        <v/>
      </c>
      <c r="E855" s="63" t="n"/>
      <c r="F855" s="66" t="str">
        <f>IF(E855="","",IFERROR(INDEX(art_des,MATCH($E855,art_ref,0))&amp;"","Article inconnu"))</f>
        <v/>
      </c>
      <c r="G855" s="67" t="str">
        <f>IF(E855="","",IFERROR(INDEX(art_unit,MATCH($E855,art_ref,0))&amp;"",""))</f>
        <v/>
      </c>
      <c r="H855" s="68" t="n"/>
      <c r="I855" s="69" t="n"/>
      <c r="J855" s="70" t="str">
        <f>IF(E855="","",IF(ISNUMBER(I855),I855,IFERROR(IF(ISNUMBER(INDEX(art_price,MATCH($E855,art_ref,0))),INDEX(art_price,MATCH($E855,art_ref,0)),""),"")))</f>
        <v/>
      </c>
      <c r="K855" s="71" t="n"/>
      <c r="L855" s="72" t="n"/>
      <c r="M855" s="72" t="str">
        <f>IF(E855="","",IF(L855&lt;&gt;"",L855,IFERROR(IF(ISNUMBER(INDEX(art_tva,MATCH($E855,art_ref,0))),INDEX(art_tva,MATCH($E855,art_ref,0)),""),"")))</f>
        <v/>
      </c>
      <c r="N855" s="70" t="str">
        <f>IF(OR(E855="",J855=""),"",ROUND(N(H855)*J855*(1-N(K855)),2))</f>
        <v/>
      </c>
      <c r="O855" s="70" t="str">
        <f>IF(OR(N855="",NOT(ISNUMBER(M855))),"",ROUND(N855*M855,2))</f>
        <v/>
      </c>
      <c r="P855" s="70" t="str">
        <f>IF(N855="","",N855+N(O855))</f>
        <v/>
      </c>
      <c r="Q855" s="64" t="n"/>
      <c r="R855" s="73" t="str">
        <f>IF(N(Q855)&gt;0,Q855,IF(OR(N(B855)=0,ISNA(MATCH($C855,sup_code,0))),"",IF(ISNUMBER(INDEX(sup_delay,MATCH($C855,sup_code,0))),B855+INDEX(sup_delay,MATCH($C855,sup_code,0)),"")))</f>
        <v/>
      </c>
      <c r="S855" s="64" t="n"/>
      <c r="T855" s="68" t="n"/>
      <c r="U855" s="64" t="n"/>
      <c r="V855" s="65" t="n"/>
      <c r="W855" s="74" t="str">
        <f>IF(AND(A855="",E855=""),"",IF(V855="Oui",0,MAX(0,ROUND(N(H855)-N(T855),6))))</f>
        <v/>
      </c>
      <c r="X855" s="67" t="str">
        <f>IF(AND(A855="",E855=""),"",IF(V855="Oui","Annulé",IF(AND(N(H855)&gt;0,N(T855)&gt;=N(H855)),"Reçu",IF(N(S855)=0,"Brouillon",IF(AND(ISNUMBER(R855),R855&lt;p_today),"En retard",IF(N(T855)&gt;0,"Partiel","Envoyé"))))))</f>
        <v/>
      </c>
      <c r="Y855" s="75" t="str">
        <f>IF(X855="En retard",p_today-R855,IF(AND(X855="Reçu",ISNUMBER(R855)),MAX(0,N(U855)-R855),""))</f>
        <v/>
      </c>
      <c r="Z855" s="67" t="str">
        <f>IF(AND(A855="",E855=""),"",IF(A855="","N° de bon manquant",IF(N(B855)=0,"Date de commande manquante",IF(C855="","Fournisseur manquant",IF(ISNA(MATCH($C855,sup_code,0)),"Fournisseur inconnu",IF(E855="","Article manquant",IF(ISNA(MATCH($E855,art_ref,0)),"Article inconnu",IF(N(H855)&lt;=0,"Quantité invalide",IF(J855="","Prix manquant",IF(OR(N(K855)&lt;0,N(K855)&gt;=1),"Remise invalide",IF(M855="","TVA manquante",IF(ISNA(MATCH(M855,p_tva,0)),"Taux de TVA inconnu",IF(COUNTIFS(po_num,A855,po_sup,"&lt;&gt;"&amp;C855)&gt;0,"Fournisseur différent sur ce bon",IF(COUNTIFS(po_num,A855,po_date,"&lt;&gt;"&amp;B855)&gt;0,"Date différente sur ce bon",IF(COUNTIF(po_num,A855)&gt;25,"Plus de 25 lignes sur ce bon",IF(R855="","Date de livraison manquante",IF(R855&lt;B855,"Livraison avant la commande",IF(AND(N(T855)&gt;0,N(S855)=0),"Date d'envoi manquante",IF(N(T855)&gt;N(H855),"Reçu plus que commandé",IF(AND(N(T855)&gt;0,N(U855)=0),"Date de réception manquante",IF(AND(N(U855)&gt;0,U855&lt;B855),"Réception avant la commande","OK")))))))))))))))))))))</f>
        <v/>
      </c>
      <c r="AA855" s="66" t="str">
        <f>IF(AND(X855="Reçu",ISNUMBER(R855)),IF(N(U855)&lt;=R855,1,0),"")</f>
        <v/>
      </c>
      <c r="AB855" s="76" t="str">
        <f>IF(OR(X855="Envoyé",X855="Partiel",X855="En retard"),IF(ISNUMBER(R855),R855,100000)+ROW()/100000,"")</f>
        <v/>
      </c>
      <c r="AC855" s="66" t="str">
        <f>IF(A855="","",IF(COUNTIF($A$6:A855,A855)=1,1,""))</f>
        <v/>
      </c>
      <c r="AD855" s="66" t="str">
        <f>IF(AC855=1,COUNT($AC$6:AC855),"")</f>
        <v/>
      </c>
      <c r="AE855" s="66" t="str">
        <f>IFERROR(INDEX(po_num,MATCH(850,po_seq,0))&amp;"","")</f>
        <v/>
      </c>
      <c r="AF855" s="66" t="str">
        <f>IF(OR(A855="",p_po=""),"",IF(A855&amp;""=p_po,COUNTIF($A$6:A855,A855),""))</f>
        <v/>
      </c>
      <c r="AG855" s="66" t="str">
        <f>IF(OR(AB855="",A855=""),"",IF(COUNTIFS($A$6:A855,A855,$AB$6:AB855,"&gt;0")=1,1,""))</f>
        <v/>
      </c>
      <c r="AH855" s="70" t="str">
        <f>IF(AB855="","",ROUND(N(W855)*N(J855)*(1-N(K855)),2))</f>
        <v/>
      </c>
      <c r="AI855" s="70" t="str">
        <f>IF(OR(J855="",N(T855)&lt;=0,V855="Oui"),"",ROUND(N(T855)*J855*(1-N(K855)),2))</f>
        <v/>
      </c>
    </row>
    <row r="856">
      <c r="A856" s="63" t="n"/>
      <c r="B856" s="64" t="n"/>
      <c r="C856" s="65" t="n"/>
      <c r="D856" s="66" t="str">
        <f>IF(C856="","",IFERROR(INDEX(sup_name,MATCH($C856,sup_code,0))&amp;"","Fournisseur inconnu"))</f>
        <v/>
      </c>
      <c r="E856" s="63" t="n"/>
      <c r="F856" s="66" t="str">
        <f>IF(E856="","",IFERROR(INDEX(art_des,MATCH($E856,art_ref,0))&amp;"","Article inconnu"))</f>
        <v/>
      </c>
      <c r="G856" s="67" t="str">
        <f>IF(E856="","",IFERROR(INDEX(art_unit,MATCH($E856,art_ref,0))&amp;"",""))</f>
        <v/>
      </c>
      <c r="H856" s="68" t="n"/>
      <c r="I856" s="69" t="n"/>
      <c r="J856" s="70" t="str">
        <f>IF(E856="","",IF(ISNUMBER(I856),I856,IFERROR(IF(ISNUMBER(INDEX(art_price,MATCH($E856,art_ref,0))),INDEX(art_price,MATCH($E856,art_ref,0)),""),"")))</f>
        <v/>
      </c>
      <c r="K856" s="71" t="n"/>
      <c r="L856" s="72" t="n"/>
      <c r="M856" s="72" t="str">
        <f>IF(E856="","",IF(L856&lt;&gt;"",L856,IFERROR(IF(ISNUMBER(INDEX(art_tva,MATCH($E856,art_ref,0))),INDEX(art_tva,MATCH($E856,art_ref,0)),""),"")))</f>
        <v/>
      </c>
      <c r="N856" s="70" t="str">
        <f>IF(OR(E856="",J856=""),"",ROUND(N(H856)*J856*(1-N(K856)),2))</f>
        <v/>
      </c>
      <c r="O856" s="70" t="str">
        <f>IF(OR(N856="",NOT(ISNUMBER(M856))),"",ROUND(N856*M856,2))</f>
        <v/>
      </c>
      <c r="P856" s="70" t="str">
        <f>IF(N856="","",N856+N(O856))</f>
        <v/>
      </c>
      <c r="Q856" s="64" t="n"/>
      <c r="R856" s="73" t="str">
        <f>IF(N(Q856)&gt;0,Q856,IF(OR(N(B856)=0,ISNA(MATCH($C856,sup_code,0))),"",IF(ISNUMBER(INDEX(sup_delay,MATCH($C856,sup_code,0))),B856+INDEX(sup_delay,MATCH($C856,sup_code,0)),"")))</f>
        <v/>
      </c>
      <c r="S856" s="64" t="n"/>
      <c r="T856" s="68" t="n"/>
      <c r="U856" s="64" t="n"/>
      <c r="V856" s="65" t="n"/>
      <c r="W856" s="74" t="str">
        <f>IF(AND(A856="",E856=""),"",IF(V856="Oui",0,MAX(0,ROUND(N(H856)-N(T856),6))))</f>
        <v/>
      </c>
      <c r="X856" s="67" t="str">
        <f>IF(AND(A856="",E856=""),"",IF(V856="Oui","Annulé",IF(AND(N(H856)&gt;0,N(T856)&gt;=N(H856)),"Reçu",IF(N(S856)=0,"Brouillon",IF(AND(ISNUMBER(R856),R856&lt;p_today),"En retard",IF(N(T856)&gt;0,"Partiel","Envoyé"))))))</f>
        <v/>
      </c>
      <c r="Y856" s="75" t="str">
        <f>IF(X856="En retard",p_today-R856,IF(AND(X856="Reçu",ISNUMBER(R856)),MAX(0,N(U856)-R856),""))</f>
        <v/>
      </c>
      <c r="Z856" s="67" t="str">
        <f>IF(AND(A856="",E856=""),"",IF(A856="","N° de bon manquant",IF(N(B856)=0,"Date de commande manquante",IF(C856="","Fournisseur manquant",IF(ISNA(MATCH($C856,sup_code,0)),"Fournisseur inconnu",IF(E856="","Article manquant",IF(ISNA(MATCH($E856,art_ref,0)),"Article inconnu",IF(N(H856)&lt;=0,"Quantité invalide",IF(J856="","Prix manquant",IF(OR(N(K856)&lt;0,N(K856)&gt;=1),"Remise invalide",IF(M856="","TVA manquante",IF(ISNA(MATCH(M856,p_tva,0)),"Taux de TVA inconnu",IF(COUNTIFS(po_num,A856,po_sup,"&lt;&gt;"&amp;C856)&gt;0,"Fournisseur différent sur ce bon",IF(COUNTIFS(po_num,A856,po_date,"&lt;&gt;"&amp;B856)&gt;0,"Date différente sur ce bon",IF(COUNTIF(po_num,A856)&gt;25,"Plus de 25 lignes sur ce bon",IF(R856="","Date de livraison manquante",IF(R856&lt;B856,"Livraison avant la commande",IF(AND(N(T856)&gt;0,N(S856)=0),"Date d'envoi manquante",IF(N(T856)&gt;N(H856),"Reçu plus que commandé",IF(AND(N(T856)&gt;0,N(U856)=0),"Date de réception manquante",IF(AND(N(U856)&gt;0,U856&lt;B856),"Réception avant la commande","OK")))))))))))))))))))))</f>
        <v/>
      </c>
      <c r="AA856" s="66" t="str">
        <f>IF(AND(X856="Reçu",ISNUMBER(R856)),IF(N(U856)&lt;=R856,1,0),"")</f>
        <v/>
      </c>
      <c r="AB856" s="76" t="str">
        <f>IF(OR(X856="Envoyé",X856="Partiel",X856="En retard"),IF(ISNUMBER(R856),R856,100000)+ROW()/100000,"")</f>
        <v/>
      </c>
      <c r="AC856" s="66" t="str">
        <f>IF(A856="","",IF(COUNTIF($A$6:A856,A856)=1,1,""))</f>
        <v/>
      </c>
      <c r="AD856" s="66" t="str">
        <f>IF(AC856=1,COUNT($AC$6:AC856),"")</f>
        <v/>
      </c>
      <c r="AE856" s="66" t="str">
        <f>IFERROR(INDEX(po_num,MATCH(851,po_seq,0))&amp;"","")</f>
        <v/>
      </c>
      <c r="AF856" s="66" t="str">
        <f>IF(OR(A856="",p_po=""),"",IF(A856&amp;""=p_po,COUNTIF($A$6:A856,A856),""))</f>
        <v/>
      </c>
      <c r="AG856" s="66" t="str">
        <f>IF(OR(AB856="",A856=""),"",IF(COUNTIFS($A$6:A856,A856,$AB$6:AB856,"&gt;0")=1,1,""))</f>
        <v/>
      </c>
      <c r="AH856" s="70" t="str">
        <f>IF(AB856="","",ROUND(N(W856)*N(J856)*(1-N(K856)),2))</f>
        <v/>
      </c>
      <c r="AI856" s="70" t="str">
        <f>IF(OR(J856="",N(T856)&lt;=0,V856="Oui"),"",ROUND(N(T856)*J856*(1-N(K856)),2))</f>
        <v/>
      </c>
    </row>
    <row r="857">
      <c r="A857" s="63" t="n"/>
      <c r="B857" s="64" t="n"/>
      <c r="C857" s="65" t="n"/>
      <c r="D857" s="66" t="str">
        <f>IF(C857="","",IFERROR(INDEX(sup_name,MATCH($C857,sup_code,0))&amp;"","Fournisseur inconnu"))</f>
        <v/>
      </c>
      <c r="E857" s="63" t="n"/>
      <c r="F857" s="66" t="str">
        <f>IF(E857="","",IFERROR(INDEX(art_des,MATCH($E857,art_ref,0))&amp;"","Article inconnu"))</f>
        <v/>
      </c>
      <c r="G857" s="67" t="str">
        <f>IF(E857="","",IFERROR(INDEX(art_unit,MATCH($E857,art_ref,0))&amp;"",""))</f>
        <v/>
      </c>
      <c r="H857" s="68" t="n"/>
      <c r="I857" s="69" t="n"/>
      <c r="J857" s="70" t="str">
        <f>IF(E857="","",IF(ISNUMBER(I857),I857,IFERROR(IF(ISNUMBER(INDEX(art_price,MATCH($E857,art_ref,0))),INDEX(art_price,MATCH($E857,art_ref,0)),""),"")))</f>
        <v/>
      </c>
      <c r="K857" s="71" t="n"/>
      <c r="L857" s="72" t="n"/>
      <c r="M857" s="72" t="str">
        <f>IF(E857="","",IF(L857&lt;&gt;"",L857,IFERROR(IF(ISNUMBER(INDEX(art_tva,MATCH($E857,art_ref,0))),INDEX(art_tva,MATCH($E857,art_ref,0)),""),"")))</f>
        <v/>
      </c>
      <c r="N857" s="70" t="str">
        <f>IF(OR(E857="",J857=""),"",ROUND(N(H857)*J857*(1-N(K857)),2))</f>
        <v/>
      </c>
      <c r="O857" s="70" t="str">
        <f>IF(OR(N857="",NOT(ISNUMBER(M857))),"",ROUND(N857*M857,2))</f>
        <v/>
      </c>
      <c r="P857" s="70" t="str">
        <f>IF(N857="","",N857+N(O857))</f>
        <v/>
      </c>
      <c r="Q857" s="64" t="n"/>
      <c r="R857" s="73" t="str">
        <f>IF(N(Q857)&gt;0,Q857,IF(OR(N(B857)=0,ISNA(MATCH($C857,sup_code,0))),"",IF(ISNUMBER(INDEX(sup_delay,MATCH($C857,sup_code,0))),B857+INDEX(sup_delay,MATCH($C857,sup_code,0)),"")))</f>
        <v/>
      </c>
      <c r="S857" s="64" t="n"/>
      <c r="T857" s="68" t="n"/>
      <c r="U857" s="64" t="n"/>
      <c r="V857" s="65" t="n"/>
      <c r="W857" s="74" t="str">
        <f>IF(AND(A857="",E857=""),"",IF(V857="Oui",0,MAX(0,ROUND(N(H857)-N(T857),6))))</f>
        <v/>
      </c>
      <c r="X857" s="67" t="str">
        <f>IF(AND(A857="",E857=""),"",IF(V857="Oui","Annulé",IF(AND(N(H857)&gt;0,N(T857)&gt;=N(H857)),"Reçu",IF(N(S857)=0,"Brouillon",IF(AND(ISNUMBER(R857),R857&lt;p_today),"En retard",IF(N(T857)&gt;0,"Partiel","Envoyé"))))))</f>
        <v/>
      </c>
      <c r="Y857" s="75" t="str">
        <f>IF(X857="En retard",p_today-R857,IF(AND(X857="Reçu",ISNUMBER(R857)),MAX(0,N(U857)-R857),""))</f>
        <v/>
      </c>
      <c r="Z857" s="67" t="str">
        <f>IF(AND(A857="",E857=""),"",IF(A857="","N° de bon manquant",IF(N(B857)=0,"Date de commande manquante",IF(C857="","Fournisseur manquant",IF(ISNA(MATCH($C857,sup_code,0)),"Fournisseur inconnu",IF(E857="","Article manquant",IF(ISNA(MATCH($E857,art_ref,0)),"Article inconnu",IF(N(H857)&lt;=0,"Quantité invalide",IF(J857="","Prix manquant",IF(OR(N(K857)&lt;0,N(K857)&gt;=1),"Remise invalide",IF(M857="","TVA manquante",IF(ISNA(MATCH(M857,p_tva,0)),"Taux de TVA inconnu",IF(COUNTIFS(po_num,A857,po_sup,"&lt;&gt;"&amp;C857)&gt;0,"Fournisseur différent sur ce bon",IF(COUNTIFS(po_num,A857,po_date,"&lt;&gt;"&amp;B857)&gt;0,"Date différente sur ce bon",IF(COUNTIF(po_num,A857)&gt;25,"Plus de 25 lignes sur ce bon",IF(R857="","Date de livraison manquante",IF(R857&lt;B857,"Livraison avant la commande",IF(AND(N(T857)&gt;0,N(S857)=0),"Date d'envoi manquante",IF(N(T857)&gt;N(H857),"Reçu plus que commandé",IF(AND(N(T857)&gt;0,N(U857)=0),"Date de réception manquante",IF(AND(N(U857)&gt;0,U857&lt;B857),"Réception avant la commande","OK")))))))))))))))))))))</f>
        <v/>
      </c>
      <c r="AA857" s="66" t="str">
        <f>IF(AND(X857="Reçu",ISNUMBER(R857)),IF(N(U857)&lt;=R857,1,0),"")</f>
        <v/>
      </c>
      <c r="AB857" s="76" t="str">
        <f>IF(OR(X857="Envoyé",X857="Partiel",X857="En retard"),IF(ISNUMBER(R857),R857,100000)+ROW()/100000,"")</f>
        <v/>
      </c>
      <c r="AC857" s="66" t="str">
        <f>IF(A857="","",IF(COUNTIF($A$6:A857,A857)=1,1,""))</f>
        <v/>
      </c>
      <c r="AD857" s="66" t="str">
        <f>IF(AC857=1,COUNT($AC$6:AC857),"")</f>
        <v/>
      </c>
      <c r="AE857" s="66" t="str">
        <f>IFERROR(INDEX(po_num,MATCH(852,po_seq,0))&amp;"","")</f>
        <v/>
      </c>
      <c r="AF857" s="66" t="str">
        <f>IF(OR(A857="",p_po=""),"",IF(A857&amp;""=p_po,COUNTIF($A$6:A857,A857),""))</f>
        <v/>
      </c>
      <c r="AG857" s="66" t="str">
        <f>IF(OR(AB857="",A857=""),"",IF(COUNTIFS($A$6:A857,A857,$AB$6:AB857,"&gt;0")=1,1,""))</f>
        <v/>
      </c>
      <c r="AH857" s="70" t="str">
        <f>IF(AB857="","",ROUND(N(W857)*N(J857)*(1-N(K857)),2))</f>
        <v/>
      </c>
      <c r="AI857" s="70" t="str">
        <f>IF(OR(J857="",N(T857)&lt;=0,V857="Oui"),"",ROUND(N(T857)*J857*(1-N(K857)),2))</f>
        <v/>
      </c>
    </row>
    <row r="858">
      <c r="A858" s="63" t="n"/>
      <c r="B858" s="64" t="n"/>
      <c r="C858" s="65" t="n"/>
      <c r="D858" s="66" t="str">
        <f>IF(C858="","",IFERROR(INDEX(sup_name,MATCH($C858,sup_code,0))&amp;"","Fournisseur inconnu"))</f>
        <v/>
      </c>
      <c r="E858" s="63" t="n"/>
      <c r="F858" s="66" t="str">
        <f>IF(E858="","",IFERROR(INDEX(art_des,MATCH($E858,art_ref,0))&amp;"","Article inconnu"))</f>
        <v/>
      </c>
      <c r="G858" s="67" t="str">
        <f>IF(E858="","",IFERROR(INDEX(art_unit,MATCH($E858,art_ref,0))&amp;"",""))</f>
        <v/>
      </c>
      <c r="H858" s="68" t="n"/>
      <c r="I858" s="69" t="n"/>
      <c r="J858" s="70" t="str">
        <f>IF(E858="","",IF(ISNUMBER(I858),I858,IFERROR(IF(ISNUMBER(INDEX(art_price,MATCH($E858,art_ref,0))),INDEX(art_price,MATCH($E858,art_ref,0)),""),"")))</f>
        <v/>
      </c>
      <c r="K858" s="71" t="n"/>
      <c r="L858" s="72" t="n"/>
      <c r="M858" s="72" t="str">
        <f>IF(E858="","",IF(L858&lt;&gt;"",L858,IFERROR(IF(ISNUMBER(INDEX(art_tva,MATCH($E858,art_ref,0))),INDEX(art_tva,MATCH($E858,art_ref,0)),""),"")))</f>
        <v/>
      </c>
      <c r="N858" s="70" t="str">
        <f>IF(OR(E858="",J858=""),"",ROUND(N(H858)*J858*(1-N(K858)),2))</f>
        <v/>
      </c>
      <c r="O858" s="70" t="str">
        <f>IF(OR(N858="",NOT(ISNUMBER(M858))),"",ROUND(N858*M858,2))</f>
        <v/>
      </c>
      <c r="P858" s="70" t="str">
        <f>IF(N858="","",N858+N(O858))</f>
        <v/>
      </c>
      <c r="Q858" s="64" t="n"/>
      <c r="R858" s="73" t="str">
        <f>IF(N(Q858)&gt;0,Q858,IF(OR(N(B858)=0,ISNA(MATCH($C858,sup_code,0))),"",IF(ISNUMBER(INDEX(sup_delay,MATCH($C858,sup_code,0))),B858+INDEX(sup_delay,MATCH($C858,sup_code,0)),"")))</f>
        <v/>
      </c>
      <c r="S858" s="64" t="n"/>
      <c r="T858" s="68" t="n"/>
      <c r="U858" s="64" t="n"/>
      <c r="V858" s="65" t="n"/>
      <c r="W858" s="74" t="str">
        <f>IF(AND(A858="",E858=""),"",IF(V858="Oui",0,MAX(0,ROUND(N(H858)-N(T858),6))))</f>
        <v/>
      </c>
      <c r="X858" s="67" t="str">
        <f>IF(AND(A858="",E858=""),"",IF(V858="Oui","Annulé",IF(AND(N(H858)&gt;0,N(T858)&gt;=N(H858)),"Reçu",IF(N(S858)=0,"Brouillon",IF(AND(ISNUMBER(R858),R858&lt;p_today),"En retard",IF(N(T858)&gt;0,"Partiel","Envoyé"))))))</f>
        <v/>
      </c>
      <c r="Y858" s="75" t="str">
        <f>IF(X858="En retard",p_today-R858,IF(AND(X858="Reçu",ISNUMBER(R858)),MAX(0,N(U858)-R858),""))</f>
        <v/>
      </c>
      <c r="Z858" s="67" t="str">
        <f>IF(AND(A858="",E858=""),"",IF(A858="","N° de bon manquant",IF(N(B858)=0,"Date de commande manquante",IF(C858="","Fournisseur manquant",IF(ISNA(MATCH($C858,sup_code,0)),"Fournisseur inconnu",IF(E858="","Article manquant",IF(ISNA(MATCH($E858,art_ref,0)),"Article inconnu",IF(N(H858)&lt;=0,"Quantité invalide",IF(J858="","Prix manquant",IF(OR(N(K858)&lt;0,N(K858)&gt;=1),"Remise invalide",IF(M858="","TVA manquante",IF(ISNA(MATCH(M858,p_tva,0)),"Taux de TVA inconnu",IF(COUNTIFS(po_num,A858,po_sup,"&lt;&gt;"&amp;C858)&gt;0,"Fournisseur différent sur ce bon",IF(COUNTIFS(po_num,A858,po_date,"&lt;&gt;"&amp;B858)&gt;0,"Date différente sur ce bon",IF(COUNTIF(po_num,A858)&gt;25,"Plus de 25 lignes sur ce bon",IF(R858="","Date de livraison manquante",IF(R858&lt;B858,"Livraison avant la commande",IF(AND(N(T858)&gt;0,N(S858)=0),"Date d'envoi manquante",IF(N(T858)&gt;N(H858),"Reçu plus que commandé",IF(AND(N(T858)&gt;0,N(U858)=0),"Date de réception manquante",IF(AND(N(U858)&gt;0,U858&lt;B858),"Réception avant la commande","OK")))))))))))))))))))))</f>
        <v/>
      </c>
      <c r="AA858" s="66" t="str">
        <f>IF(AND(X858="Reçu",ISNUMBER(R858)),IF(N(U858)&lt;=R858,1,0),"")</f>
        <v/>
      </c>
      <c r="AB858" s="76" t="str">
        <f>IF(OR(X858="Envoyé",X858="Partiel",X858="En retard"),IF(ISNUMBER(R858),R858,100000)+ROW()/100000,"")</f>
        <v/>
      </c>
      <c r="AC858" s="66" t="str">
        <f>IF(A858="","",IF(COUNTIF($A$6:A858,A858)=1,1,""))</f>
        <v/>
      </c>
      <c r="AD858" s="66" t="str">
        <f>IF(AC858=1,COUNT($AC$6:AC858),"")</f>
        <v/>
      </c>
      <c r="AE858" s="66" t="str">
        <f>IFERROR(INDEX(po_num,MATCH(853,po_seq,0))&amp;"","")</f>
        <v/>
      </c>
      <c r="AF858" s="66" t="str">
        <f>IF(OR(A858="",p_po=""),"",IF(A858&amp;""=p_po,COUNTIF($A$6:A858,A858),""))</f>
        <v/>
      </c>
      <c r="AG858" s="66" t="str">
        <f>IF(OR(AB858="",A858=""),"",IF(COUNTIFS($A$6:A858,A858,$AB$6:AB858,"&gt;0")=1,1,""))</f>
        <v/>
      </c>
      <c r="AH858" s="70" t="str">
        <f>IF(AB858="","",ROUND(N(W858)*N(J858)*(1-N(K858)),2))</f>
        <v/>
      </c>
      <c r="AI858" s="70" t="str">
        <f>IF(OR(J858="",N(T858)&lt;=0,V858="Oui"),"",ROUND(N(T858)*J858*(1-N(K858)),2))</f>
        <v/>
      </c>
    </row>
    <row r="859">
      <c r="A859" s="63" t="n"/>
      <c r="B859" s="64" t="n"/>
      <c r="C859" s="65" t="n"/>
      <c r="D859" s="66" t="str">
        <f>IF(C859="","",IFERROR(INDEX(sup_name,MATCH($C859,sup_code,0))&amp;"","Fournisseur inconnu"))</f>
        <v/>
      </c>
      <c r="E859" s="63" t="n"/>
      <c r="F859" s="66" t="str">
        <f>IF(E859="","",IFERROR(INDEX(art_des,MATCH($E859,art_ref,0))&amp;"","Article inconnu"))</f>
        <v/>
      </c>
      <c r="G859" s="67" t="str">
        <f>IF(E859="","",IFERROR(INDEX(art_unit,MATCH($E859,art_ref,0))&amp;"",""))</f>
        <v/>
      </c>
      <c r="H859" s="68" t="n"/>
      <c r="I859" s="69" t="n"/>
      <c r="J859" s="70" t="str">
        <f>IF(E859="","",IF(ISNUMBER(I859),I859,IFERROR(IF(ISNUMBER(INDEX(art_price,MATCH($E859,art_ref,0))),INDEX(art_price,MATCH($E859,art_ref,0)),""),"")))</f>
        <v/>
      </c>
      <c r="K859" s="71" t="n"/>
      <c r="L859" s="72" t="n"/>
      <c r="M859" s="72" t="str">
        <f>IF(E859="","",IF(L859&lt;&gt;"",L859,IFERROR(IF(ISNUMBER(INDEX(art_tva,MATCH($E859,art_ref,0))),INDEX(art_tva,MATCH($E859,art_ref,0)),""),"")))</f>
        <v/>
      </c>
      <c r="N859" s="70" t="str">
        <f>IF(OR(E859="",J859=""),"",ROUND(N(H859)*J859*(1-N(K859)),2))</f>
        <v/>
      </c>
      <c r="O859" s="70" t="str">
        <f>IF(OR(N859="",NOT(ISNUMBER(M859))),"",ROUND(N859*M859,2))</f>
        <v/>
      </c>
      <c r="P859" s="70" t="str">
        <f>IF(N859="","",N859+N(O859))</f>
        <v/>
      </c>
      <c r="Q859" s="64" t="n"/>
      <c r="R859" s="73" t="str">
        <f>IF(N(Q859)&gt;0,Q859,IF(OR(N(B859)=0,ISNA(MATCH($C859,sup_code,0))),"",IF(ISNUMBER(INDEX(sup_delay,MATCH($C859,sup_code,0))),B859+INDEX(sup_delay,MATCH($C859,sup_code,0)),"")))</f>
        <v/>
      </c>
      <c r="S859" s="64" t="n"/>
      <c r="T859" s="68" t="n"/>
      <c r="U859" s="64" t="n"/>
      <c r="V859" s="65" t="n"/>
      <c r="W859" s="74" t="str">
        <f>IF(AND(A859="",E859=""),"",IF(V859="Oui",0,MAX(0,ROUND(N(H859)-N(T859),6))))</f>
        <v/>
      </c>
      <c r="X859" s="67" t="str">
        <f>IF(AND(A859="",E859=""),"",IF(V859="Oui","Annulé",IF(AND(N(H859)&gt;0,N(T859)&gt;=N(H859)),"Reçu",IF(N(S859)=0,"Brouillon",IF(AND(ISNUMBER(R859),R859&lt;p_today),"En retard",IF(N(T859)&gt;0,"Partiel","Envoyé"))))))</f>
        <v/>
      </c>
      <c r="Y859" s="75" t="str">
        <f>IF(X859="En retard",p_today-R859,IF(AND(X859="Reçu",ISNUMBER(R859)),MAX(0,N(U859)-R859),""))</f>
        <v/>
      </c>
      <c r="Z859" s="67" t="str">
        <f>IF(AND(A859="",E859=""),"",IF(A859="","N° de bon manquant",IF(N(B859)=0,"Date de commande manquante",IF(C859="","Fournisseur manquant",IF(ISNA(MATCH($C859,sup_code,0)),"Fournisseur inconnu",IF(E859="","Article manquant",IF(ISNA(MATCH($E859,art_ref,0)),"Article inconnu",IF(N(H859)&lt;=0,"Quantité invalide",IF(J859="","Prix manquant",IF(OR(N(K859)&lt;0,N(K859)&gt;=1),"Remise invalide",IF(M859="","TVA manquante",IF(ISNA(MATCH(M859,p_tva,0)),"Taux de TVA inconnu",IF(COUNTIFS(po_num,A859,po_sup,"&lt;&gt;"&amp;C859)&gt;0,"Fournisseur différent sur ce bon",IF(COUNTIFS(po_num,A859,po_date,"&lt;&gt;"&amp;B859)&gt;0,"Date différente sur ce bon",IF(COUNTIF(po_num,A859)&gt;25,"Plus de 25 lignes sur ce bon",IF(R859="","Date de livraison manquante",IF(R859&lt;B859,"Livraison avant la commande",IF(AND(N(T859)&gt;0,N(S859)=0),"Date d'envoi manquante",IF(N(T859)&gt;N(H859),"Reçu plus que commandé",IF(AND(N(T859)&gt;0,N(U859)=0),"Date de réception manquante",IF(AND(N(U859)&gt;0,U859&lt;B859),"Réception avant la commande","OK")))))))))))))))))))))</f>
        <v/>
      </c>
      <c r="AA859" s="66" t="str">
        <f>IF(AND(X859="Reçu",ISNUMBER(R859)),IF(N(U859)&lt;=R859,1,0),"")</f>
        <v/>
      </c>
      <c r="AB859" s="76" t="str">
        <f>IF(OR(X859="Envoyé",X859="Partiel",X859="En retard"),IF(ISNUMBER(R859),R859,100000)+ROW()/100000,"")</f>
        <v/>
      </c>
      <c r="AC859" s="66" t="str">
        <f>IF(A859="","",IF(COUNTIF($A$6:A859,A859)=1,1,""))</f>
        <v/>
      </c>
      <c r="AD859" s="66" t="str">
        <f>IF(AC859=1,COUNT($AC$6:AC859),"")</f>
        <v/>
      </c>
      <c r="AE859" s="66" t="str">
        <f>IFERROR(INDEX(po_num,MATCH(854,po_seq,0))&amp;"","")</f>
        <v/>
      </c>
      <c r="AF859" s="66" t="str">
        <f>IF(OR(A859="",p_po=""),"",IF(A859&amp;""=p_po,COUNTIF($A$6:A859,A859),""))</f>
        <v/>
      </c>
      <c r="AG859" s="66" t="str">
        <f>IF(OR(AB859="",A859=""),"",IF(COUNTIFS($A$6:A859,A859,$AB$6:AB859,"&gt;0")=1,1,""))</f>
        <v/>
      </c>
      <c r="AH859" s="70" t="str">
        <f>IF(AB859="","",ROUND(N(W859)*N(J859)*(1-N(K859)),2))</f>
        <v/>
      </c>
      <c r="AI859" s="70" t="str">
        <f>IF(OR(J859="",N(T859)&lt;=0,V859="Oui"),"",ROUND(N(T859)*J859*(1-N(K859)),2))</f>
        <v/>
      </c>
    </row>
    <row r="860">
      <c r="A860" s="63" t="n"/>
      <c r="B860" s="64" t="n"/>
      <c r="C860" s="65" t="n"/>
      <c r="D860" s="66" t="str">
        <f>IF(C860="","",IFERROR(INDEX(sup_name,MATCH($C860,sup_code,0))&amp;"","Fournisseur inconnu"))</f>
        <v/>
      </c>
      <c r="E860" s="63" t="n"/>
      <c r="F860" s="66" t="str">
        <f>IF(E860="","",IFERROR(INDEX(art_des,MATCH($E860,art_ref,0))&amp;"","Article inconnu"))</f>
        <v/>
      </c>
      <c r="G860" s="67" t="str">
        <f>IF(E860="","",IFERROR(INDEX(art_unit,MATCH($E860,art_ref,0))&amp;"",""))</f>
        <v/>
      </c>
      <c r="H860" s="68" t="n"/>
      <c r="I860" s="69" t="n"/>
      <c r="J860" s="70" t="str">
        <f>IF(E860="","",IF(ISNUMBER(I860),I860,IFERROR(IF(ISNUMBER(INDEX(art_price,MATCH($E860,art_ref,0))),INDEX(art_price,MATCH($E860,art_ref,0)),""),"")))</f>
        <v/>
      </c>
      <c r="K860" s="71" t="n"/>
      <c r="L860" s="72" t="n"/>
      <c r="M860" s="72" t="str">
        <f>IF(E860="","",IF(L860&lt;&gt;"",L860,IFERROR(IF(ISNUMBER(INDEX(art_tva,MATCH($E860,art_ref,0))),INDEX(art_tva,MATCH($E860,art_ref,0)),""),"")))</f>
        <v/>
      </c>
      <c r="N860" s="70" t="str">
        <f>IF(OR(E860="",J860=""),"",ROUND(N(H860)*J860*(1-N(K860)),2))</f>
        <v/>
      </c>
      <c r="O860" s="70" t="str">
        <f>IF(OR(N860="",NOT(ISNUMBER(M860))),"",ROUND(N860*M860,2))</f>
        <v/>
      </c>
      <c r="P860" s="70" t="str">
        <f>IF(N860="","",N860+N(O860))</f>
        <v/>
      </c>
      <c r="Q860" s="64" t="n"/>
      <c r="R860" s="73" t="str">
        <f>IF(N(Q860)&gt;0,Q860,IF(OR(N(B860)=0,ISNA(MATCH($C860,sup_code,0))),"",IF(ISNUMBER(INDEX(sup_delay,MATCH($C860,sup_code,0))),B860+INDEX(sup_delay,MATCH($C860,sup_code,0)),"")))</f>
        <v/>
      </c>
      <c r="S860" s="64" t="n"/>
      <c r="T860" s="68" t="n"/>
      <c r="U860" s="64" t="n"/>
      <c r="V860" s="65" t="n"/>
      <c r="W860" s="74" t="str">
        <f>IF(AND(A860="",E860=""),"",IF(V860="Oui",0,MAX(0,ROUND(N(H860)-N(T860),6))))</f>
        <v/>
      </c>
      <c r="X860" s="67" t="str">
        <f>IF(AND(A860="",E860=""),"",IF(V860="Oui","Annulé",IF(AND(N(H860)&gt;0,N(T860)&gt;=N(H860)),"Reçu",IF(N(S860)=0,"Brouillon",IF(AND(ISNUMBER(R860),R860&lt;p_today),"En retard",IF(N(T860)&gt;0,"Partiel","Envoyé"))))))</f>
        <v/>
      </c>
      <c r="Y860" s="75" t="str">
        <f>IF(X860="En retard",p_today-R860,IF(AND(X860="Reçu",ISNUMBER(R860)),MAX(0,N(U860)-R860),""))</f>
        <v/>
      </c>
      <c r="Z860" s="67" t="str">
        <f>IF(AND(A860="",E860=""),"",IF(A860="","N° de bon manquant",IF(N(B860)=0,"Date de commande manquante",IF(C860="","Fournisseur manquant",IF(ISNA(MATCH($C860,sup_code,0)),"Fournisseur inconnu",IF(E860="","Article manquant",IF(ISNA(MATCH($E860,art_ref,0)),"Article inconnu",IF(N(H860)&lt;=0,"Quantité invalide",IF(J860="","Prix manquant",IF(OR(N(K860)&lt;0,N(K860)&gt;=1),"Remise invalide",IF(M860="","TVA manquante",IF(ISNA(MATCH(M860,p_tva,0)),"Taux de TVA inconnu",IF(COUNTIFS(po_num,A860,po_sup,"&lt;&gt;"&amp;C860)&gt;0,"Fournisseur différent sur ce bon",IF(COUNTIFS(po_num,A860,po_date,"&lt;&gt;"&amp;B860)&gt;0,"Date différente sur ce bon",IF(COUNTIF(po_num,A860)&gt;25,"Plus de 25 lignes sur ce bon",IF(R860="","Date de livraison manquante",IF(R860&lt;B860,"Livraison avant la commande",IF(AND(N(T860)&gt;0,N(S860)=0),"Date d'envoi manquante",IF(N(T860)&gt;N(H860),"Reçu plus que commandé",IF(AND(N(T860)&gt;0,N(U860)=0),"Date de réception manquante",IF(AND(N(U860)&gt;0,U860&lt;B860),"Réception avant la commande","OK")))))))))))))))))))))</f>
        <v/>
      </c>
      <c r="AA860" s="66" t="str">
        <f>IF(AND(X860="Reçu",ISNUMBER(R860)),IF(N(U860)&lt;=R860,1,0),"")</f>
        <v/>
      </c>
      <c r="AB860" s="76" t="str">
        <f>IF(OR(X860="Envoyé",X860="Partiel",X860="En retard"),IF(ISNUMBER(R860),R860,100000)+ROW()/100000,"")</f>
        <v/>
      </c>
      <c r="AC860" s="66" t="str">
        <f>IF(A860="","",IF(COUNTIF($A$6:A860,A860)=1,1,""))</f>
        <v/>
      </c>
      <c r="AD860" s="66" t="str">
        <f>IF(AC860=1,COUNT($AC$6:AC860),"")</f>
        <v/>
      </c>
      <c r="AE860" s="66" t="str">
        <f>IFERROR(INDEX(po_num,MATCH(855,po_seq,0))&amp;"","")</f>
        <v/>
      </c>
      <c r="AF860" s="66" t="str">
        <f>IF(OR(A860="",p_po=""),"",IF(A860&amp;""=p_po,COUNTIF($A$6:A860,A860),""))</f>
        <v/>
      </c>
      <c r="AG860" s="66" t="str">
        <f>IF(OR(AB860="",A860=""),"",IF(COUNTIFS($A$6:A860,A860,$AB$6:AB860,"&gt;0")=1,1,""))</f>
        <v/>
      </c>
      <c r="AH860" s="70" t="str">
        <f>IF(AB860="","",ROUND(N(W860)*N(J860)*(1-N(K860)),2))</f>
        <v/>
      </c>
      <c r="AI860" s="70" t="str">
        <f>IF(OR(J860="",N(T860)&lt;=0,V860="Oui"),"",ROUND(N(T860)*J860*(1-N(K860)),2))</f>
        <v/>
      </c>
    </row>
    <row r="861">
      <c r="A861" s="63" t="n"/>
      <c r="B861" s="64" t="n"/>
      <c r="C861" s="65" t="n"/>
      <c r="D861" s="66" t="str">
        <f>IF(C861="","",IFERROR(INDEX(sup_name,MATCH($C861,sup_code,0))&amp;"","Fournisseur inconnu"))</f>
        <v/>
      </c>
      <c r="E861" s="63" t="n"/>
      <c r="F861" s="66" t="str">
        <f>IF(E861="","",IFERROR(INDEX(art_des,MATCH($E861,art_ref,0))&amp;"","Article inconnu"))</f>
        <v/>
      </c>
      <c r="G861" s="67" t="str">
        <f>IF(E861="","",IFERROR(INDEX(art_unit,MATCH($E861,art_ref,0))&amp;"",""))</f>
        <v/>
      </c>
      <c r="H861" s="68" t="n"/>
      <c r="I861" s="69" t="n"/>
      <c r="J861" s="70" t="str">
        <f>IF(E861="","",IF(ISNUMBER(I861),I861,IFERROR(IF(ISNUMBER(INDEX(art_price,MATCH($E861,art_ref,0))),INDEX(art_price,MATCH($E861,art_ref,0)),""),"")))</f>
        <v/>
      </c>
      <c r="K861" s="71" t="n"/>
      <c r="L861" s="72" t="n"/>
      <c r="M861" s="72" t="str">
        <f>IF(E861="","",IF(L861&lt;&gt;"",L861,IFERROR(IF(ISNUMBER(INDEX(art_tva,MATCH($E861,art_ref,0))),INDEX(art_tva,MATCH($E861,art_ref,0)),""),"")))</f>
        <v/>
      </c>
      <c r="N861" s="70" t="str">
        <f>IF(OR(E861="",J861=""),"",ROUND(N(H861)*J861*(1-N(K861)),2))</f>
        <v/>
      </c>
      <c r="O861" s="70" t="str">
        <f>IF(OR(N861="",NOT(ISNUMBER(M861))),"",ROUND(N861*M861,2))</f>
        <v/>
      </c>
      <c r="P861" s="70" t="str">
        <f>IF(N861="","",N861+N(O861))</f>
        <v/>
      </c>
      <c r="Q861" s="64" t="n"/>
      <c r="R861" s="73" t="str">
        <f>IF(N(Q861)&gt;0,Q861,IF(OR(N(B861)=0,ISNA(MATCH($C861,sup_code,0))),"",IF(ISNUMBER(INDEX(sup_delay,MATCH($C861,sup_code,0))),B861+INDEX(sup_delay,MATCH($C861,sup_code,0)),"")))</f>
        <v/>
      </c>
      <c r="S861" s="64" t="n"/>
      <c r="T861" s="68" t="n"/>
      <c r="U861" s="64" t="n"/>
      <c r="V861" s="65" t="n"/>
      <c r="W861" s="74" t="str">
        <f>IF(AND(A861="",E861=""),"",IF(V861="Oui",0,MAX(0,ROUND(N(H861)-N(T861),6))))</f>
        <v/>
      </c>
      <c r="X861" s="67" t="str">
        <f>IF(AND(A861="",E861=""),"",IF(V861="Oui","Annulé",IF(AND(N(H861)&gt;0,N(T861)&gt;=N(H861)),"Reçu",IF(N(S861)=0,"Brouillon",IF(AND(ISNUMBER(R861),R861&lt;p_today),"En retard",IF(N(T861)&gt;0,"Partiel","Envoyé"))))))</f>
        <v/>
      </c>
      <c r="Y861" s="75" t="str">
        <f>IF(X861="En retard",p_today-R861,IF(AND(X861="Reçu",ISNUMBER(R861)),MAX(0,N(U861)-R861),""))</f>
        <v/>
      </c>
      <c r="Z861" s="67" t="str">
        <f>IF(AND(A861="",E861=""),"",IF(A861="","N° de bon manquant",IF(N(B861)=0,"Date de commande manquante",IF(C861="","Fournisseur manquant",IF(ISNA(MATCH($C861,sup_code,0)),"Fournisseur inconnu",IF(E861="","Article manquant",IF(ISNA(MATCH($E861,art_ref,0)),"Article inconnu",IF(N(H861)&lt;=0,"Quantité invalide",IF(J861="","Prix manquant",IF(OR(N(K861)&lt;0,N(K861)&gt;=1),"Remise invalide",IF(M861="","TVA manquante",IF(ISNA(MATCH(M861,p_tva,0)),"Taux de TVA inconnu",IF(COUNTIFS(po_num,A861,po_sup,"&lt;&gt;"&amp;C861)&gt;0,"Fournisseur différent sur ce bon",IF(COUNTIFS(po_num,A861,po_date,"&lt;&gt;"&amp;B861)&gt;0,"Date différente sur ce bon",IF(COUNTIF(po_num,A861)&gt;25,"Plus de 25 lignes sur ce bon",IF(R861="","Date de livraison manquante",IF(R861&lt;B861,"Livraison avant la commande",IF(AND(N(T861)&gt;0,N(S861)=0),"Date d'envoi manquante",IF(N(T861)&gt;N(H861),"Reçu plus que commandé",IF(AND(N(T861)&gt;0,N(U861)=0),"Date de réception manquante",IF(AND(N(U861)&gt;0,U861&lt;B861),"Réception avant la commande","OK")))))))))))))))))))))</f>
        <v/>
      </c>
      <c r="AA861" s="66" t="str">
        <f>IF(AND(X861="Reçu",ISNUMBER(R861)),IF(N(U861)&lt;=R861,1,0),"")</f>
        <v/>
      </c>
      <c r="AB861" s="76" t="str">
        <f>IF(OR(X861="Envoyé",X861="Partiel",X861="En retard"),IF(ISNUMBER(R861),R861,100000)+ROW()/100000,"")</f>
        <v/>
      </c>
      <c r="AC861" s="66" t="str">
        <f>IF(A861="","",IF(COUNTIF($A$6:A861,A861)=1,1,""))</f>
        <v/>
      </c>
      <c r="AD861" s="66" t="str">
        <f>IF(AC861=1,COUNT($AC$6:AC861),"")</f>
        <v/>
      </c>
      <c r="AE861" s="66" t="str">
        <f>IFERROR(INDEX(po_num,MATCH(856,po_seq,0))&amp;"","")</f>
        <v/>
      </c>
      <c r="AF861" s="66" t="str">
        <f>IF(OR(A861="",p_po=""),"",IF(A861&amp;""=p_po,COUNTIF($A$6:A861,A861),""))</f>
        <v/>
      </c>
      <c r="AG861" s="66" t="str">
        <f>IF(OR(AB861="",A861=""),"",IF(COUNTIFS($A$6:A861,A861,$AB$6:AB861,"&gt;0")=1,1,""))</f>
        <v/>
      </c>
      <c r="AH861" s="70" t="str">
        <f>IF(AB861="","",ROUND(N(W861)*N(J861)*(1-N(K861)),2))</f>
        <v/>
      </c>
      <c r="AI861" s="70" t="str">
        <f>IF(OR(J861="",N(T861)&lt;=0,V861="Oui"),"",ROUND(N(T861)*J861*(1-N(K861)),2))</f>
        <v/>
      </c>
    </row>
    <row r="862">
      <c r="A862" s="63" t="n"/>
      <c r="B862" s="64" t="n"/>
      <c r="C862" s="65" t="n"/>
      <c r="D862" s="66" t="str">
        <f>IF(C862="","",IFERROR(INDEX(sup_name,MATCH($C862,sup_code,0))&amp;"","Fournisseur inconnu"))</f>
        <v/>
      </c>
      <c r="E862" s="63" t="n"/>
      <c r="F862" s="66" t="str">
        <f>IF(E862="","",IFERROR(INDEX(art_des,MATCH($E862,art_ref,0))&amp;"","Article inconnu"))</f>
        <v/>
      </c>
      <c r="G862" s="67" t="str">
        <f>IF(E862="","",IFERROR(INDEX(art_unit,MATCH($E862,art_ref,0))&amp;"",""))</f>
        <v/>
      </c>
      <c r="H862" s="68" t="n"/>
      <c r="I862" s="69" t="n"/>
      <c r="J862" s="70" t="str">
        <f>IF(E862="","",IF(ISNUMBER(I862),I862,IFERROR(IF(ISNUMBER(INDEX(art_price,MATCH($E862,art_ref,0))),INDEX(art_price,MATCH($E862,art_ref,0)),""),"")))</f>
        <v/>
      </c>
      <c r="K862" s="71" t="n"/>
      <c r="L862" s="72" t="n"/>
      <c r="M862" s="72" t="str">
        <f>IF(E862="","",IF(L862&lt;&gt;"",L862,IFERROR(IF(ISNUMBER(INDEX(art_tva,MATCH($E862,art_ref,0))),INDEX(art_tva,MATCH($E862,art_ref,0)),""),"")))</f>
        <v/>
      </c>
      <c r="N862" s="70" t="str">
        <f>IF(OR(E862="",J862=""),"",ROUND(N(H862)*J862*(1-N(K862)),2))</f>
        <v/>
      </c>
      <c r="O862" s="70" t="str">
        <f>IF(OR(N862="",NOT(ISNUMBER(M862))),"",ROUND(N862*M862,2))</f>
        <v/>
      </c>
      <c r="P862" s="70" t="str">
        <f>IF(N862="","",N862+N(O862))</f>
        <v/>
      </c>
      <c r="Q862" s="64" t="n"/>
      <c r="R862" s="73" t="str">
        <f>IF(N(Q862)&gt;0,Q862,IF(OR(N(B862)=0,ISNA(MATCH($C862,sup_code,0))),"",IF(ISNUMBER(INDEX(sup_delay,MATCH($C862,sup_code,0))),B862+INDEX(sup_delay,MATCH($C862,sup_code,0)),"")))</f>
        <v/>
      </c>
      <c r="S862" s="64" t="n"/>
      <c r="T862" s="68" t="n"/>
      <c r="U862" s="64" t="n"/>
      <c r="V862" s="65" t="n"/>
      <c r="W862" s="74" t="str">
        <f>IF(AND(A862="",E862=""),"",IF(V862="Oui",0,MAX(0,ROUND(N(H862)-N(T862),6))))</f>
        <v/>
      </c>
      <c r="X862" s="67" t="str">
        <f>IF(AND(A862="",E862=""),"",IF(V862="Oui","Annulé",IF(AND(N(H862)&gt;0,N(T862)&gt;=N(H862)),"Reçu",IF(N(S862)=0,"Brouillon",IF(AND(ISNUMBER(R862),R862&lt;p_today),"En retard",IF(N(T862)&gt;0,"Partiel","Envoyé"))))))</f>
        <v/>
      </c>
      <c r="Y862" s="75" t="str">
        <f>IF(X862="En retard",p_today-R862,IF(AND(X862="Reçu",ISNUMBER(R862)),MAX(0,N(U862)-R862),""))</f>
        <v/>
      </c>
      <c r="Z862" s="67" t="str">
        <f>IF(AND(A862="",E862=""),"",IF(A862="","N° de bon manquant",IF(N(B862)=0,"Date de commande manquante",IF(C862="","Fournisseur manquant",IF(ISNA(MATCH($C862,sup_code,0)),"Fournisseur inconnu",IF(E862="","Article manquant",IF(ISNA(MATCH($E862,art_ref,0)),"Article inconnu",IF(N(H862)&lt;=0,"Quantité invalide",IF(J862="","Prix manquant",IF(OR(N(K862)&lt;0,N(K862)&gt;=1),"Remise invalide",IF(M862="","TVA manquante",IF(ISNA(MATCH(M862,p_tva,0)),"Taux de TVA inconnu",IF(COUNTIFS(po_num,A862,po_sup,"&lt;&gt;"&amp;C862)&gt;0,"Fournisseur différent sur ce bon",IF(COUNTIFS(po_num,A862,po_date,"&lt;&gt;"&amp;B862)&gt;0,"Date différente sur ce bon",IF(COUNTIF(po_num,A862)&gt;25,"Plus de 25 lignes sur ce bon",IF(R862="","Date de livraison manquante",IF(R862&lt;B862,"Livraison avant la commande",IF(AND(N(T862)&gt;0,N(S862)=0),"Date d'envoi manquante",IF(N(T862)&gt;N(H862),"Reçu plus que commandé",IF(AND(N(T862)&gt;0,N(U862)=0),"Date de réception manquante",IF(AND(N(U862)&gt;0,U862&lt;B862),"Réception avant la commande","OK")))))))))))))))))))))</f>
        <v/>
      </c>
      <c r="AA862" s="66" t="str">
        <f>IF(AND(X862="Reçu",ISNUMBER(R862)),IF(N(U862)&lt;=R862,1,0),"")</f>
        <v/>
      </c>
      <c r="AB862" s="76" t="str">
        <f>IF(OR(X862="Envoyé",X862="Partiel",X862="En retard"),IF(ISNUMBER(R862),R862,100000)+ROW()/100000,"")</f>
        <v/>
      </c>
      <c r="AC862" s="66" t="str">
        <f>IF(A862="","",IF(COUNTIF($A$6:A862,A862)=1,1,""))</f>
        <v/>
      </c>
      <c r="AD862" s="66" t="str">
        <f>IF(AC862=1,COUNT($AC$6:AC862),"")</f>
        <v/>
      </c>
      <c r="AE862" s="66" t="str">
        <f>IFERROR(INDEX(po_num,MATCH(857,po_seq,0))&amp;"","")</f>
        <v/>
      </c>
      <c r="AF862" s="66" t="str">
        <f>IF(OR(A862="",p_po=""),"",IF(A862&amp;""=p_po,COUNTIF($A$6:A862,A862),""))</f>
        <v/>
      </c>
      <c r="AG862" s="66" t="str">
        <f>IF(OR(AB862="",A862=""),"",IF(COUNTIFS($A$6:A862,A862,$AB$6:AB862,"&gt;0")=1,1,""))</f>
        <v/>
      </c>
      <c r="AH862" s="70" t="str">
        <f>IF(AB862="","",ROUND(N(W862)*N(J862)*(1-N(K862)),2))</f>
        <v/>
      </c>
      <c r="AI862" s="70" t="str">
        <f>IF(OR(J862="",N(T862)&lt;=0,V862="Oui"),"",ROUND(N(T862)*J862*(1-N(K862)),2))</f>
        <v/>
      </c>
    </row>
    <row r="863">
      <c r="A863" s="63" t="n"/>
      <c r="B863" s="64" t="n"/>
      <c r="C863" s="65" t="n"/>
      <c r="D863" s="66" t="str">
        <f>IF(C863="","",IFERROR(INDEX(sup_name,MATCH($C863,sup_code,0))&amp;"","Fournisseur inconnu"))</f>
        <v/>
      </c>
      <c r="E863" s="63" t="n"/>
      <c r="F863" s="66" t="str">
        <f>IF(E863="","",IFERROR(INDEX(art_des,MATCH($E863,art_ref,0))&amp;"","Article inconnu"))</f>
        <v/>
      </c>
      <c r="G863" s="67" t="str">
        <f>IF(E863="","",IFERROR(INDEX(art_unit,MATCH($E863,art_ref,0))&amp;"",""))</f>
        <v/>
      </c>
      <c r="H863" s="68" t="n"/>
      <c r="I863" s="69" t="n"/>
      <c r="J863" s="70" t="str">
        <f>IF(E863="","",IF(ISNUMBER(I863),I863,IFERROR(IF(ISNUMBER(INDEX(art_price,MATCH($E863,art_ref,0))),INDEX(art_price,MATCH($E863,art_ref,0)),""),"")))</f>
        <v/>
      </c>
      <c r="K863" s="71" t="n"/>
      <c r="L863" s="72" t="n"/>
      <c r="M863" s="72" t="str">
        <f>IF(E863="","",IF(L863&lt;&gt;"",L863,IFERROR(IF(ISNUMBER(INDEX(art_tva,MATCH($E863,art_ref,0))),INDEX(art_tva,MATCH($E863,art_ref,0)),""),"")))</f>
        <v/>
      </c>
      <c r="N863" s="70" t="str">
        <f>IF(OR(E863="",J863=""),"",ROUND(N(H863)*J863*(1-N(K863)),2))</f>
        <v/>
      </c>
      <c r="O863" s="70" t="str">
        <f>IF(OR(N863="",NOT(ISNUMBER(M863))),"",ROUND(N863*M863,2))</f>
        <v/>
      </c>
      <c r="P863" s="70" t="str">
        <f>IF(N863="","",N863+N(O863))</f>
        <v/>
      </c>
      <c r="Q863" s="64" t="n"/>
      <c r="R863" s="73" t="str">
        <f>IF(N(Q863)&gt;0,Q863,IF(OR(N(B863)=0,ISNA(MATCH($C863,sup_code,0))),"",IF(ISNUMBER(INDEX(sup_delay,MATCH($C863,sup_code,0))),B863+INDEX(sup_delay,MATCH($C863,sup_code,0)),"")))</f>
        <v/>
      </c>
      <c r="S863" s="64" t="n"/>
      <c r="T863" s="68" t="n"/>
      <c r="U863" s="64" t="n"/>
      <c r="V863" s="65" t="n"/>
      <c r="W863" s="74" t="str">
        <f>IF(AND(A863="",E863=""),"",IF(V863="Oui",0,MAX(0,ROUND(N(H863)-N(T863),6))))</f>
        <v/>
      </c>
      <c r="X863" s="67" t="str">
        <f>IF(AND(A863="",E863=""),"",IF(V863="Oui","Annulé",IF(AND(N(H863)&gt;0,N(T863)&gt;=N(H863)),"Reçu",IF(N(S863)=0,"Brouillon",IF(AND(ISNUMBER(R863),R863&lt;p_today),"En retard",IF(N(T863)&gt;0,"Partiel","Envoyé"))))))</f>
        <v/>
      </c>
      <c r="Y863" s="75" t="str">
        <f>IF(X863="En retard",p_today-R863,IF(AND(X863="Reçu",ISNUMBER(R863)),MAX(0,N(U863)-R863),""))</f>
        <v/>
      </c>
      <c r="Z863" s="67" t="str">
        <f>IF(AND(A863="",E863=""),"",IF(A863="","N° de bon manquant",IF(N(B863)=0,"Date de commande manquante",IF(C863="","Fournisseur manquant",IF(ISNA(MATCH($C863,sup_code,0)),"Fournisseur inconnu",IF(E863="","Article manquant",IF(ISNA(MATCH($E863,art_ref,0)),"Article inconnu",IF(N(H863)&lt;=0,"Quantité invalide",IF(J863="","Prix manquant",IF(OR(N(K863)&lt;0,N(K863)&gt;=1),"Remise invalide",IF(M863="","TVA manquante",IF(ISNA(MATCH(M863,p_tva,0)),"Taux de TVA inconnu",IF(COUNTIFS(po_num,A863,po_sup,"&lt;&gt;"&amp;C863)&gt;0,"Fournisseur différent sur ce bon",IF(COUNTIFS(po_num,A863,po_date,"&lt;&gt;"&amp;B863)&gt;0,"Date différente sur ce bon",IF(COUNTIF(po_num,A863)&gt;25,"Plus de 25 lignes sur ce bon",IF(R863="","Date de livraison manquante",IF(R863&lt;B863,"Livraison avant la commande",IF(AND(N(T863)&gt;0,N(S863)=0),"Date d'envoi manquante",IF(N(T863)&gt;N(H863),"Reçu plus que commandé",IF(AND(N(T863)&gt;0,N(U863)=0),"Date de réception manquante",IF(AND(N(U863)&gt;0,U863&lt;B863),"Réception avant la commande","OK")))))))))))))))))))))</f>
        <v/>
      </c>
      <c r="AA863" s="66" t="str">
        <f>IF(AND(X863="Reçu",ISNUMBER(R863)),IF(N(U863)&lt;=R863,1,0),"")</f>
        <v/>
      </c>
      <c r="AB863" s="76" t="str">
        <f>IF(OR(X863="Envoyé",X863="Partiel",X863="En retard"),IF(ISNUMBER(R863),R863,100000)+ROW()/100000,"")</f>
        <v/>
      </c>
      <c r="AC863" s="66" t="str">
        <f>IF(A863="","",IF(COUNTIF($A$6:A863,A863)=1,1,""))</f>
        <v/>
      </c>
      <c r="AD863" s="66" t="str">
        <f>IF(AC863=1,COUNT($AC$6:AC863),"")</f>
        <v/>
      </c>
      <c r="AE863" s="66" t="str">
        <f>IFERROR(INDEX(po_num,MATCH(858,po_seq,0))&amp;"","")</f>
        <v/>
      </c>
      <c r="AF863" s="66" t="str">
        <f>IF(OR(A863="",p_po=""),"",IF(A863&amp;""=p_po,COUNTIF($A$6:A863,A863),""))</f>
        <v/>
      </c>
      <c r="AG863" s="66" t="str">
        <f>IF(OR(AB863="",A863=""),"",IF(COUNTIFS($A$6:A863,A863,$AB$6:AB863,"&gt;0")=1,1,""))</f>
        <v/>
      </c>
      <c r="AH863" s="70" t="str">
        <f>IF(AB863="","",ROUND(N(W863)*N(J863)*(1-N(K863)),2))</f>
        <v/>
      </c>
      <c r="AI863" s="70" t="str">
        <f>IF(OR(J863="",N(T863)&lt;=0,V863="Oui"),"",ROUND(N(T863)*J863*(1-N(K863)),2))</f>
        <v/>
      </c>
    </row>
    <row r="864">
      <c r="A864" s="63" t="n"/>
      <c r="B864" s="64" t="n"/>
      <c r="C864" s="65" t="n"/>
      <c r="D864" s="66" t="str">
        <f>IF(C864="","",IFERROR(INDEX(sup_name,MATCH($C864,sup_code,0))&amp;"","Fournisseur inconnu"))</f>
        <v/>
      </c>
      <c r="E864" s="63" t="n"/>
      <c r="F864" s="66" t="str">
        <f>IF(E864="","",IFERROR(INDEX(art_des,MATCH($E864,art_ref,0))&amp;"","Article inconnu"))</f>
        <v/>
      </c>
      <c r="G864" s="67" t="str">
        <f>IF(E864="","",IFERROR(INDEX(art_unit,MATCH($E864,art_ref,0))&amp;"",""))</f>
        <v/>
      </c>
      <c r="H864" s="68" t="n"/>
      <c r="I864" s="69" t="n"/>
      <c r="J864" s="70" t="str">
        <f>IF(E864="","",IF(ISNUMBER(I864),I864,IFERROR(IF(ISNUMBER(INDEX(art_price,MATCH($E864,art_ref,0))),INDEX(art_price,MATCH($E864,art_ref,0)),""),"")))</f>
        <v/>
      </c>
      <c r="K864" s="71" t="n"/>
      <c r="L864" s="72" t="n"/>
      <c r="M864" s="72" t="str">
        <f>IF(E864="","",IF(L864&lt;&gt;"",L864,IFERROR(IF(ISNUMBER(INDEX(art_tva,MATCH($E864,art_ref,0))),INDEX(art_tva,MATCH($E864,art_ref,0)),""),"")))</f>
        <v/>
      </c>
      <c r="N864" s="70" t="str">
        <f>IF(OR(E864="",J864=""),"",ROUND(N(H864)*J864*(1-N(K864)),2))</f>
        <v/>
      </c>
      <c r="O864" s="70" t="str">
        <f>IF(OR(N864="",NOT(ISNUMBER(M864))),"",ROUND(N864*M864,2))</f>
        <v/>
      </c>
      <c r="P864" s="70" t="str">
        <f>IF(N864="","",N864+N(O864))</f>
        <v/>
      </c>
      <c r="Q864" s="64" t="n"/>
      <c r="R864" s="73" t="str">
        <f>IF(N(Q864)&gt;0,Q864,IF(OR(N(B864)=0,ISNA(MATCH($C864,sup_code,0))),"",IF(ISNUMBER(INDEX(sup_delay,MATCH($C864,sup_code,0))),B864+INDEX(sup_delay,MATCH($C864,sup_code,0)),"")))</f>
        <v/>
      </c>
      <c r="S864" s="64" t="n"/>
      <c r="T864" s="68" t="n"/>
      <c r="U864" s="64" t="n"/>
      <c r="V864" s="65" t="n"/>
      <c r="W864" s="74" t="str">
        <f>IF(AND(A864="",E864=""),"",IF(V864="Oui",0,MAX(0,ROUND(N(H864)-N(T864),6))))</f>
        <v/>
      </c>
      <c r="X864" s="67" t="str">
        <f>IF(AND(A864="",E864=""),"",IF(V864="Oui","Annulé",IF(AND(N(H864)&gt;0,N(T864)&gt;=N(H864)),"Reçu",IF(N(S864)=0,"Brouillon",IF(AND(ISNUMBER(R864),R864&lt;p_today),"En retard",IF(N(T864)&gt;0,"Partiel","Envoyé"))))))</f>
        <v/>
      </c>
      <c r="Y864" s="75" t="str">
        <f>IF(X864="En retard",p_today-R864,IF(AND(X864="Reçu",ISNUMBER(R864)),MAX(0,N(U864)-R864),""))</f>
        <v/>
      </c>
      <c r="Z864" s="67" t="str">
        <f>IF(AND(A864="",E864=""),"",IF(A864="","N° de bon manquant",IF(N(B864)=0,"Date de commande manquante",IF(C864="","Fournisseur manquant",IF(ISNA(MATCH($C864,sup_code,0)),"Fournisseur inconnu",IF(E864="","Article manquant",IF(ISNA(MATCH($E864,art_ref,0)),"Article inconnu",IF(N(H864)&lt;=0,"Quantité invalide",IF(J864="","Prix manquant",IF(OR(N(K864)&lt;0,N(K864)&gt;=1),"Remise invalide",IF(M864="","TVA manquante",IF(ISNA(MATCH(M864,p_tva,0)),"Taux de TVA inconnu",IF(COUNTIFS(po_num,A864,po_sup,"&lt;&gt;"&amp;C864)&gt;0,"Fournisseur différent sur ce bon",IF(COUNTIFS(po_num,A864,po_date,"&lt;&gt;"&amp;B864)&gt;0,"Date différente sur ce bon",IF(COUNTIF(po_num,A864)&gt;25,"Plus de 25 lignes sur ce bon",IF(R864="","Date de livraison manquante",IF(R864&lt;B864,"Livraison avant la commande",IF(AND(N(T864)&gt;0,N(S864)=0),"Date d'envoi manquante",IF(N(T864)&gt;N(H864),"Reçu plus que commandé",IF(AND(N(T864)&gt;0,N(U864)=0),"Date de réception manquante",IF(AND(N(U864)&gt;0,U864&lt;B864),"Réception avant la commande","OK")))))))))))))))))))))</f>
        <v/>
      </c>
      <c r="AA864" s="66" t="str">
        <f>IF(AND(X864="Reçu",ISNUMBER(R864)),IF(N(U864)&lt;=R864,1,0),"")</f>
        <v/>
      </c>
      <c r="AB864" s="76" t="str">
        <f>IF(OR(X864="Envoyé",X864="Partiel",X864="En retard"),IF(ISNUMBER(R864),R864,100000)+ROW()/100000,"")</f>
        <v/>
      </c>
      <c r="AC864" s="66" t="str">
        <f>IF(A864="","",IF(COUNTIF($A$6:A864,A864)=1,1,""))</f>
        <v/>
      </c>
      <c r="AD864" s="66" t="str">
        <f>IF(AC864=1,COUNT($AC$6:AC864),"")</f>
        <v/>
      </c>
      <c r="AE864" s="66" t="str">
        <f>IFERROR(INDEX(po_num,MATCH(859,po_seq,0))&amp;"","")</f>
        <v/>
      </c>
      <c r="AF864" s="66" t="str">
        <f>IF(OR(A864="",p_po=""),"",IF(A864&amp;""=p_po,COUNTIF($A$6:A864,A864),""))</f>
        <v/>
      </c>
      <c r="AG864" s="66" t="str">
        <f>IF(OR(AB864="",A864=""),"",IF(COUNTIFS($A$6:A864,A864,$AB$6:AB864,"&gt;0")=1,1,""))</f>
        <v/>
      </c>
      <c r="AH864" s="70" t="str">
        <f>IF(AB864="","",ROUND(N(W864)*N(J864)*(1-N(K864)),2))</f>
        <v/>
      </c>
      <c r="AI864" s="70" t="str">
        <f>IF(OR(J864="",N(T864)&lt;=0,V864="Oui"),"",ROUND(N(T864)*J864*(1-N(K864)),2))</f>
        <v/>
      </c>
    </row>
    <row r="865">
      <c r="A865" s="63" t="n"/>
      <c r="B865" s="64" t="n"/>
      <c r="C865" s="65" t="n"/>
      <c r="D865" s="66" t="str">
        <f>IF(C865="","",IFERROR(INDEX(sup_name,MATCH($C865,sup_code,0))&amp;"","Fournisseur inconnu"))</f>
        <v/>
      </c>
      <c r="E865" s="63" t="n"/>
      <c r="F865" s="66" t="str">
        <f>IF(E865="","",IFERROR(INDEX(art_des,MATCH($E865,art_ref,0))&amp;"","Article inconnu"))</f>
        <v/>
      </c>
      <c r="G865" s="67" t="str">
        <f>IF(E865="","",IFERROR(INDEX(art_unit,MATCH($E865,art_ref,0))&amp;"",""))</f>
        <v/>
      </c>
      <c r="H865" s="68" t="n"/>
      <c r="I865" s="69" t="n"/>
      <c r="J865" s="70" t="str">
        <f>IF(E865="","",IF(ISNUMBER(I865),I865,IFERROR(IF(ISNUMBER(INDEX(art_price,MATCH($E865,art_ref,0))),INDEX(art_price,MATCH($E865,art_ref,0)),""),"")))</f>
        <v/>
      </c>
      <c r="K865" s="71" t="n"/>
      <c r="L865" s="72" t="n"/>
      <c r="M865" s="72" t="str">
        <f>IF(E865="","",IF(L865&lt;&gt;"",L865,IFERROR(IF(ISNUMBER(INDEX(art_tva,MATCH($E865,art_ref,0))),INDEX(art_tva,MATCH($E865,art_ref,0)),""),"")))</f>
        <v/>
      </c>
      <c r="N865" s="70" t="str">
        <f>IF(OR(E865="",J865=""),"",ROUND(N(H865)*J865*(1-N(K865)),2))</f>
        <v/>
      </c>
      <c r="O865" s="70" t="str">
        <f>IF(OR(N865="",NOT(ISNUMBER(M865))),"",ROUND(N865*M865,2))</f>
        <v/>
      </c>
      <c r="P865" s="70" t="str">
        <f>IF(N865="","",N865+N(O865))</f>
        <v/>
      </c>
      <c r="Q865" s="64" t="n"/>
      <c r="R865" s="73" t="str">
        <f>IF(N(Q865)&gt;0,Q865,IF(OR(N(B865)=0,ISNA(MATCH($C865,sup_code,0))),"",IF(ISNUMBER(INDEX(sup_delay,MATCH($C865,sup_code,0))),B865+INDEX(sup_delay,MATCH($C865,sup_code,0)),"")))</f>
        <v/>
      </c>
      <c r="S865" s="64" t="n"/>
      <c r="T865" s="68" t="n"/>
      <c r="U865" s="64" t="n"/>
      <c r="V865" s="65" t="n"/>
      <c r="W865" s="74" t="str">
        <f>IF(AND(A865="",E865=""),"",IF(V865="Oui",0,MAX(0,ROUND(N(H865)-N(T865),6))))</f>
        <v/>
      </c>
      <c r="X865" s="67" t="str">
        <f>IF(AND(A865="",E865=""),"",IF(V865="Oui","Annulé",IF(AND(N(H865)&gt;0,N(T865)&gt;=N(H865)),"Reçu",IF(N(S865)=0,"Brouillon",IF(AND(ISNUMBER(R865),R865&lt;p_today),"En retard",IF(N(T865)&gt;0,"Partiel","Envoyé"))))))</f>
        <v/>
      </c>
      <c r="Y865" s="75" t="str">
        <f>IF(X865="En retard",p_today-R865,IF(AND(X865="Reçu",ISNUMBER(R865)),MAX(0,N(U865)-R865),""))</f>
        <v/>
      </c>
      <c r="Z865" s="67" t="str">
        <f>IF(AND(A865="",E865=""),"",IF(A865="","N° de bon manquant",IF(N(B865)=0,"Date de commande manquante",IF(C865="","Fournisseur manquant",IF(ISNA(MATCH($C865,sup_code,0)),"Fournisseur inconnu",IF(E865="","Article manquant",IF(ISNA(MATCH($E865,art_ref,0)),"Article inconnu",IF(N(H865)&lt;=0,"Quantité invalide",IF(J865="","Prix manquant",IF(OR(N(K865)&lt;0,N(K865)&gt;=1),"Remise invalide",IF(M865="","TVA manquante",IF(ISNA(MATCH(M865,p_tva,0)),"Taux de TVA inconnu",IF(COUNTIFS(po_num,A865,po_sup,"&lt;&gt;"&amp;C865)&gt;0,"Fournisseur différent sur ce bon",IF(COUNTIFS(po_num,A865,po_date,"&lt;&gt;"&amp;B865)&gt;0,"Date différente sur ce bon",IF(COUNTIF(po_num,A865)&gt;25,"Plus de 25 lignes sur ce bon",IF(R865="","Date de livraison manquante",IF(R865&lt;B865,"Livraison avant la commande",IF(AND(N(T865)&gt;0,N(S865)=0),"Date d'envoi manquante",IF(N(T865)&gt;N(H865),"Reçu plus que commandé",IF(AND(N(T865)&gt;0,N(U865)=0),"Date de réception manquante",IF(AND(N(U865)&gt;0,U865&lt;B865),"Réception avant la commande","OK")))))))))))))))))))))</f>
        <v/>
      </c>
      <c r="AA865" s="66" t="str">
        <f>IF(AND(X865="Reçu",ISNUMBER(R865)),IF(N(U865)&lt;=R865,1,0),"")</f>
        <v/>
      </c>
      <c r="AB865" s="76" t="str">
        <f>IF(OR(X865="Envoyé",X865="Partiel",X865="En retard"),IF(ISNUMBER(R865),R865,100000)+ROW()/100000,"")</f>
        <v/>
      </c>
      <c r="AC865" s="66" t="str">
        <f>IF(A865="","",IF(COUNTIF($A$6:A865,A865)=1,1,""))</f>
        <v/>
      </c>
      <c r="AD865" s="66" t="str">
        <f>IF(AC865=1,COUNT($AC$6:AC865),"")</f>
        <v/>
      </c>
      <c r="AE865" s="66" t="str">
        <f>IFERROR(INDEX(po_num,MATCH(860,po_seq,0))&amp;"","")</f>
        <v/>
      </c>
      <c r="AF865" s="66" t="str">
        <f>IF(OR(A865="",p_po=""),"",IF(A865&amp;""=p_po,COUNTIF($A$6:A865,A865),""))</f>
        <v/>
      </c>
      <c r="AG865" s="66" t="str">
        <f>IF(OR(AB865="",A865=""),"",IF(COUNTIFS($A$6:A865,A865,$AB$6:AB865,"&gt;0")=1,1,""))</f>
        <v/>
      </c>
      <c r="AH865" s="70" t="str">
        <f>IF(AB865="","",ROUND(N(W865)*N(J865)*(1-N(K865)),2))</f>
        <v/>
      </c>
      <c r="AI865" s="70" t="str">
        <f>IF(OR(J865="",N(T865)&lt;=0,V865="Oui"),"",ROUND(N(T865)*J865*(1-N(K865)),2))</f>
        <v/>
      </c>
    </row>
    <row r="866">
      <c r="A866" s="63" t="n"/>
      <c r="B866" s="64" t="n"/>
      <c r="C866" s="65" t="n"/>
      <c r="D866" s="66" t="str">
        <f>IF(C866="","",IFERROR(INDEX(sup_name,MATCH($C866,sup_code,0))&amp;"","Fournisseur inconnu"))</f>
        <v/>
      </c>
      <c r="E866" s="63" t="n"/>
      <c r="F866" s="66" t="str">
        <f>IF(E866="","",IFERROR(INDEX(art_des,MATCH($E866,art_ref,0))&amp;"","Article inconnu"))</f>
        <v/>
      </c>
      <c r="G866" s="67" t="str">
        <f>IF(E866="","",IFERROR(INDEX(art_unit,MATCH($E866,art_ref,0))&amp;"",""))</f>
        <v/>
      </c>
      <c r="H866" s="68" t="n"/>
      <c r="I866" s="69" t="n"/>
      <c r="J866" s="70" t="str">
        <f>IF(E866="","",IF(ISNUMBER(I866),I866,IFERROR(IF(ISNUMBER(INDEX(art_price,MATCH($E866,art_ref,0))),INDEX(art_price,MATCH($E866,art_ref,0)),""),"")))</f>
        <v/>
      </c>
      <c r="K866" s="71" t="n"/>
      <c r="L866" s="72" t="n"/>
      <c r="M866" s="72" t="str">
        <f>IF(E866="","",IF(L866&lt;&gt;"",L866,IFERROR(IF(ISNUMBER(INDEX(art_tva,MATCH($E866,art_ref,0))),INDEX(art_tva,MATCH($E866,art_ref,0)),""),"")))</f>
        <v/>
      </c>
      <c r="N866" s="70" t="str">
        <f>IF(OR(E866="",J866=""),"",ROUND(N(H866)*J866*(1-N(K866)),2))</f>
        <v/>
      </c>
      <c r="O866" s="70" t="str">
        <f>IF(OR(N866="",NOT(ISNUMBER(M866))),"",ROUND(N866*M866,2))</f>
        <v/>
      </c>
      <c r="P866" s="70" t="str">
        <f>IF(N866="","",N866+N(O866))</f>
        <v/>
      </c>
      <c r="Q866" s="64" t="n"/>
      <c r="R866" s="73" t="str">
        <f>IF(N(Q866)&gt;0,Q866,IF(OR(N(B866)=0,ISNA(MATCH($C866,sup_code,0))),"",IF(ISNUMBER(INDEX(sup_delay,MATCH($C866,sup_code,0))),B866+INDEX(sup_delay,MATCH($C866,sup_code,0)),"")))</f>
        <v/>
      </c>
      <c r="S866" s="64" t="n"/>
      <c r="T866" s="68" t="n"/>
      <c r="U866" s="64" t="n"/>
      <c r="V866" s="65" t="n"/>
      <c r="W866" s="74" t="str">
        <f>IF(AND(A866="",E866=""),"",IF(V866="Oui",0,MAX(0,ROUND(N(H866)-N(T866),6))))</f>
        <v/>
      </c>
      <c r="X866" s="67" t="str">
        <f>IF(AND(A866="",E866=""),"",IF(V866="Oui","Annulé",IF(AND(N(H866)&gt;0,N(T866)&gt;=N(H866)),"Reçu",IF(N(S866)=0,"Brouillon",IF(AND(ISNUMBER(R866),R866&lt;p_today),"En retard",IF(N(T866)&gt;0,"Partiel","Envoyé"))))))</f>
        <v/>
      </c>
      <c r="Y866" s="75" t="str">
        <f>IF(X866="En retard",p_today-R866,IF(AND(X866="Reçu",ISNUMBER(R866)),MAX(0,N(U866)-R866),""))</f>
        <v/>
      </c>
      <c r="Z866" s="67" t="str">
        <f>IF(AND(A866="",E866=""),"",IF(A866="","N° de bon manquant",IF(N(B866)=0,"Date de commande manquante",IF(C866="","Fournisseur manquant",IF(ISNA(MATCH($C866,sup_code,0)),"Fournisseur inconnu",IF(E866="","Article manquant",IF(ISNA(MATCH($E866,art_ref,0)),"Article inconnu",IF(N(H866)&lt;=0,"Quantité invalide",IF(J866="","Prix manquant",IF(OR(N(K866)&lt;0,N(K866)&gt;=1),"Remise invalide",IF(M866="","TVA manquante",IF(ISNA(MATCH(M866,p_tva,0)),"Taux de TVA inconnu",IF(COUNTIFS(po_num,A866,po_sup,"&lt;&gt;"&amp;C866)&gt;0,"Fournisseur différent sur ce bon",IF(COUNTIFS(po_num,A866,po_date,"&lt;&gt;"&amp;B866)&gt;0,"Date différente sur ce bon",IF(COUNTIF(po_num,A866)&gt;25,"Plus de 25 lignes sur ce bon",IF(R866="","Date de livraison manquante",IF(R866&lt;B866,"Livraison avant la commande",IF(AND(N(T866)&gt;0,N(S866)=0),"Date d'envoi manquante",IF(N(T866)&gt;N(H866),"Reçu plus que commandé",IF(AND(N(T866)&gt;0,N(U866)=0),"Date de réception manquante",IF(AND(N(U866)&gt;0,U866&lt;B866),"Réception avant la commande","OK")))))))))))))))))))))</f>
        <v/>
      </c>
      <c r="AA866" s="66" t="str">
        <f>IF(AND(X866="Reçu",ISNUMBER(R866)),IF(N(U866)&lt;=R866,1,0),"")</f>
        <v/>
      </c>
      <c r="AB866" s="76" t="str">
        <f>IF(OR(X866="Envoyé",X866="Partiel",X866="En retard"),IF(ISNUMBER(R866),R866,100000)+ROW()/100000,"")</f>
        <v/>
      </c>
      <c r="AC866" s="66" t="str">
        <f>IF(A866="","",IF(COUNTIF($A$6:A866,A866)=1,1,""))</f>
        <v/>
      </c>
      <c r="AD866" s="66" t="str">
        <f>IF(AC866=1,COUNT($AC$6:AC866),"")</f>
        <v/>
      </c>
      <c r="AE866" s="66" t="str">
        <f>IFERROR(INDEX(po_num,MATCH(861,po_seq,0))&amp;"","")</f>
        <v/>
      </c>
      <c r="AF866" s="66" t="str">
        <f>IF(OR(A866="",p_po=""),"",IF(A866&amp;""=p_po,COUNTIF($A$6:A866,A866),""))</f>
        <v/>
      </c>
      <c r="AG866" s="66" t="str">
        <f>IF(OR(AB866="",A866=""),"",IF(COUNTIFS($A$6:A866,A866,$AB$6:AB866,"&gt;0")=1,1,""))</f>
        <v/>
      </c>
      <c r="AH866" s="70" t="str">
        <f>IF(AB866="","",ROUND(N(W866)*N(J866)*(1-N(K866)),2))</f>
        <v/>
      </c>
      <c r="AI866" s="70" t="str">
        <f>IF(OR(J866="",N(T866)&lt;=0,V866="Oui"),"",ROUND(N(T866)*J866*(1-N(K866)),2))</f>
        <v/>
      </c>
    </row>
    <row r="867">
      <c r="A867" s="63" t="n"/>
      <c r="B867" s="64" t="n"/>
      <c r="C867" s="65" t="n"/>
      <c r="D867" s="66" t="str">
        <f>IF(C867="","",IFERROR(INDEX(sup_name,MATCH($C867,sup_code,0))&amp;"","Fournisseur inconnu"))</f>
        <v/>
      </c>
      <c r="E867" s="63" t="n"/>
      <c r="F867" s="66" t="str">
        <f>IF(E867="","",IFERROR(INDEX(art_des,MATCH($E867,art_ref,0))&amp;"","Article inconnu"))</f>
        <v/>
      </c>
      <c r="G867" s="67" t="str">
        <f>IF(E867="","",IFERROR(INDEX(art_unit,MATCH($E867,art_ref,0))&amp;"",""))</f>
        <v/>
      </c>
      <c r="H867" s="68" t="n"/>
      <c r="I867" s="69" t="n"/>
      <c r="J867" s="70" t="str">
        <f>IF(E867="","",IF(ISNUMBER(I867),I867,IFERROR(IF(ISNUMBER(INDEX(art_price,MATCH($E867,art_ref,0))),INDEX(art_price,MATCH($E867,art_ref,0)),""),"")))</f>
        <v/>
      </c>
      <c r="K867" s="71" t="n"/>
      <c r="L867" s="72" t="n"/>
      <c r="M867" s="72" t="str">
        <f>IF(E867="","",IF(L867&lt;&gt;"",L867,IFERROR(IF(ISNUMBER(INDEX(art_tva,MATCH($E867,art_ref,0))),INDEX(art_tva,MATCH($E867,art_ref,0)),""),"")))</f>
        <v/>
      </c>
      <c r="N867" s="70" t="str">
        <f>IF(OR(E867="",J867=""),"",ROUND(N(H867)*J867*(1-N(K867)),2))</f>
        <v/>
      </c>
      <c r="O867" s="70" t="str">
        <f>IF(OR(N867="",NOT(ISNUMBER(M867))),"",ROUND(N867*M867,2))</f>
        <v/>
      </c>
      <c r="P867" s="70" t="str">
        <f>IF(N867="","",N867+N(O867))</f>
        <v/>
      </c>
      <c r="Q867" s="64" t="n"/>
      <c r="R867" s="73" t="str">
        <f>IF(N(Q867)&gt;0,Q867,IF(OR(N(B867)=0,ISNA(MATCH($C867,sup_code,0))),"",IF(ISNUMBER(INDEX(sup_delay,MATCH($C867,sup_code,0))),B867+INDEX(sup_delay,MATCH($C867,sup_code,0)),"")))</f>
        <v/>
      </c>
      <c r="S867" s="64" t="n"/>
      <c r="T867" s="68" t="n"/>
      <c r="U867" s="64" t="n"/>
      <c r="V867" s="65" t="n"/>
      <c r="W867" s="74" t="str">
        <f>IF(AND(A867="",E867=""),"",IF(V867="Oui",0,MAX(0,ROUND(N(H867)-N(T867),6))))</f>
        <v/>
      </c>
      <c r="X867" s="67" t="str">
        <f>IF(AND(A867="",E867=""),"",IF(V867="Oui","Annulé",IF(AND(N(H867)&gt;0,N(T867)&gt;=N(H867)),"Reçu",IF(N(S867)=0,"Brouillon",IF(AND(ISNUMBER(R867),R867&lt;p_today),"En retard",IF(N(T867)&gt;0,"Partiel","Envoyé"))))))</f>
        <v/>
      </c>
      <c r="Y867" s="75" t="str">
        <f>IF(X867="En retard",p_today-R867,IF(AND(X867="Reçu",ISNUMBER(R867)),MAX(0,N(U867)-R867),""))</f>
        <v/>
      </c>
      <c r="Z867" s="67" t="str">
        <f>IF(AND(A867="",E867=""),"",IF(A867="","N° de bon manquant",IF(N(B867)=0,"Date de commande manquante",IF(C867="","Fournisseur manquant",IF(ISNA(MATCH($C867,sup_code,0)),"Fournisseur inconnu",IF(E867="","Article manquant",IF(ISNA(MATCH($E867,art_ref,0)),"Article inconnu",IF(N(H867)&lt;=0,"Quantité invalide",IF(J867="","Prix manquant",IF(OR(N(K867)&lt;0,N(K867)&gt;=1),"Remise invalide",IF(M867="","TVA manquante",IF(ISNA(MATCH(M867,p_tva,0)),"Taux de TVA inconnu",IF(COUNTIFS(po_num,A867,po_sup,"&lt;&gt;"&amp;C867)&gt;0,"Fournisseur différent sur ce bon",IF(COUNTIFS(po_num,A867,po_date,"&lt;&gt;"&amp;B867)&gt;0,"Date différente sur ce bon",IF(COUNTIF(po_num,A867)&gt;25,"Plus de 25 lignes sur ce bon",IF(R867="","Date de livraison manquante",IF(R867&lt;B867,"Livraison avant la commande",IF(AND(N(T867)&gt;0,N(S867)=0),"Date d'envoi manquante",IF(N(T867)&gt;N(H867),"Reçu plus que commandé",IF(AND(N(T867)&gt;0,N(U867)=0),"Date de réception manquante",IF(AND(N(U867)&gt;0,U867&lt;B867),"Réception avant la commande","OK")))))))))))))))))))))</f>
        <v/>
      </c>
      <c r="AA867" s="66" t="str">
        <f>IF(AND(X867="Reçu",ISNUMBER(R867)),IF(N(U867)&lt;=R867,1,0),"")</f>
        <v/>
      </c>
      <c r="AB867" s="76" t="str">
        <f>IF(OR(X867="Envoyé",X867="Partiel",X867="En retard"),IF(ISNUMBER(R867),R867,100000)+ROW()/100000,"")</f>
        <v/>
      </c>
      <c r="AC867" s="66" t="str">
        <f>IF(A867="","",IF(COUNTIF($A$6:A867,A867)=1,1,""))</f>
        <v/>
      </c>
      <c r="AD867" s="66" t="str">
        <f>IF(AC867=1,COUNT($AC$6:AC867),"")</f>
        <v/>
      </c>
      <c r="AE867" s="66" t="str">
        <f>IFERROR(INDEX(po_num,MATCH(862,po_seq,0))&amp;"","")</f>
        <v/>
      </c>
      <c r="AF867" s="66" t="str">
        <f>IF(OR(A867="",p_po=""),"",IF(A867&amp;""=p_po,COUNTIF($A$6:A867,A867),""))</f>
        <v/>
      </c>
      <c r="AG867" s="66" t="str">
        <f>IF(OR(AB867="",A867=""),"",IF(COUNTIFS($A$6:A867,A867,$AB$6:AB867,"&gt;0")=1,1,""))</f>
        <v/>
      </c>
      <c r="AH867" s="70" t="str">
        <f>IF(AB867="","",ROUND(N(W867)*N(J867)*(1-N(K867)),2))</f>
        <v/>
      </c>
      <c r="AI867" s="70" t="str">
        <f>IF(OR(J867="",N(T867)&lt;=0,V867="Oui"),"",ROUND(N(T867)*J867*(1-N(K867)),2))</f>
        <v/>
      </c>
    </row>
    <row r="868">
      <c r="A868" s="63" t="n"/>
      <c r="B868" s="64" t="n"/>
      <c r="C868" s="65" t="n"/>
      <c r="D868" s="66" t="str">
        <f>IF(C868="","",IFERROR(INDEX(sup_name,MATCH($C868,sup_code,0))&amp;"","Fournisseur inconnu"))</f>
        <v/>
      </c>
      <c r="E868" s="63" t="n"/>
      <c r="F868" s="66" t="str">
        <f>IF(E868="","",IFERROR(INDEX(art_des,MATCH($E868,art_ref,0))&amp;"","Article inconnu"))</f>
        <v/>
      </c>
      <c r="G868" s="67" t="str">
        <f>IF(E868="","",IFERROR(INDEX(art_unit,MATCH($E868,art_ref,0))&amp;"",""))</f>
        <v/>
      </c>
      <c r="H868" s="68" t="n"/>
      <c r="I868" s="69" t="n"/>
      <c r="J868" s="70" t="str">
        <f>IF(E868="","",IF(ISNUMBER(I868),I868,IFERROR(IF(ISNUMBER(INDEX(art_price,MATCH($E868,art_ref,0))),INDEX(art_price,MATCH($E868,art_ref,0)),""),"")))</f>
        <v/>
      </c>
      <c r="K868" s="71" t="n"/>
      <c r="L868" s="72" t="n"/>
      <c r="M868" s="72" t="str">
        <f>IF(E868="","",IF(L868&lt;&gt;"",L868,IFERROR(IF(ISNUMBER(INDEX(art_tva,MATCH($E868,art_ref,0))),INDEX(art_tva,MATCH($E868,art_ref,0)),""),"")))</f>
        <v/>
      </c>
      <c r="N868" s="70" t="str">
        <f>IF(OR(E868="",J868=""),"",ROUND(N(H868)*J868*(1-N(K868)),2))</f>
        <v/>
      </c>
      <c r="O868" s="70" t="str">
        <f>IF(OR(N868="",NOT(ISNUMBER(M868))),"",ROUND(N868*M868,2))</f>
        <v/>
      </c>
      <c r="P868" s="70" t="str">
        <f>IF(N868="","",N868+N(O868))</f>
        <v/>
      </c>
      <c r="Q868" s="64" t="n"/>
      <c r="R868" s="73" t="str">
        <f>IF(N(Q868)&gt;0,Q868,IF(OR(N(B868)=0,ISNA(MATCH($C868,sup_code,0))),"",IF(ISNUMBER(INDEX(sup_delay,MATCH($C868,sup_code,0))),B868+INDEX(sup_delay,MATCH($C868,sup_code,0)),"")))</f>
        <v/>
      </c>
      <c r="S868" s="64" t="n"/>
      <c r="T868" s="68" t="n"/>
      <c r="U868" s="64" t="n"/>
      <c r="V868" s="65" t="n"/>
      <c r="W868" s="74" t="str">
        <f>IF(AND(A868="",E868=""),"",IF(V868="Oui",0,MAX(0,ROUND(N(H868)-N(T868),6))))</f>
        <v/>
      </c>
      <c r="X868" s="67" t="str">
        <f>IF(AND(A868="",E868=""),"",IF(V868="Oui","Annulé",IF(AND(N(H868)&gt;0,N(T868)&gt;=N(H868)),"Reçu",IF(N(S868)=0,"Brouillon",IF(AND(ISNUMBER(R868),R868&lt;p_today),"En retard",IF(N(T868)&gt;0,"Partiel","Envoyé"))))))</f>
        <v/>
      </c>
      <c r="Y868" s="75" t="str">
        <f>IF(X868="En retard",p_today-R868,IF(AND(X868="Reçu",ISNUMBER(R868)),MAX(0,N(U868)-R868),""))</f>
        <v/>
      </c>
      <c r="Z868" s="67" t="str">
        <f>IF(AND(A868="",E868=""),"",IF(A868="","N° de bon manquant",IF(N(B868)=0,"Date de commande manquante",IF(C868="","Fournisseur manquant",IF(ISNA(MATCH($C868,sup_code,0)),"Fournisseur inconnu",IF(E868="","Article manquant",IF(ISNA(MATCH($E868,art_ref,0)),"Article inconnu",IF(N(H868)&lt;=0,"Quantité invalide",IF(J868="","Prix manquant",IF(OR(N(K868)&lt;0,N(K868)&gt;=1),"Remise invalide",IF(M868="","TVA manquante",IF(ISNA(MATCH(M868,p_tva,0)),"Taux de TVA inconnu",IF(COUNTIFS(po_num,A868,po_sup,"&lt;&gt;"&amp;C868)&gt;0,"Fournisseur différent sur ce bon",IF(COUNTIFS(po_num,A868,po_date,"&lt;&gt;"&amp;B868)&gt;0,"Date différente sur ce bon",IF(COUNTIF(po_num,A868)&gt;25,"Plus de 25 lignes sur ce bon",IF(R868="","Date de livraison manquante",IF(R868&lt;B868,"Livraison avant la commande",IF(AND(N(T868)&gt;0,N(S868)=0),"Date d'envoi manquante",IF(N(T868)&gt;N(H868),"Reçu plus que commandé",IF(AND(N(T868)&gt;0,N(U868)=0),"Date de réception manquante",IF(AND(N(U868)&gt;0,U868&lt;B868),"Réception avant la commande","OK")))))))))))))))))))))</f>
        <v/>
      </c>
      <c r="AA868" s="66" t="str">
        <f>IF(AND(X868="Reçu",ISNUMBER(R868)),IF(N(U868)&lt;=R868,1,0),"")</f>
        <v/>
      </c>
      <c r="AB868" s="76" t="str">
        <f>IF(OR(X868="Envoyé",X868="Partiel",X868="En retard"),IF(ISNUMBER(R868),R868,100000)+ROW()/100000,"")</f>
        <v/>
      </c>
      <c r="AC868" s="66" t="str">
        <f>IF(A868="","",IF(COUNTIF($A$6:A868,A868)=1,1,""))</f>
        <v/>
      </c>
      <c r="AD868" s="66" t="str">
        <f>IF(AC868=1,COUNT($AC$6:AC868),"")</f>
        <v/>
      </c>
      <c r="AE868" s="66" t="str">
        <f>IFERROR(INDEX(po_num,MATCH(863,po_seq,0))&amp;"","")</f>
        <v/>
      </c>
      <c r="AF868" s="66" t="str">
        <f>IF(OR(A868="",p_po=""),"",IF(A868&amp;""=p_po,COUNTIF($A$6:A868,A868),""))</f>
        <v/>
      </c>
      <c r="AG868" s="66" t="str">
        <f>IF(OR(AB868="",A868=""),"",IF(COUNTIFS($A$6:A868,A868,$AB$6:AB868,"&gt;0")=1,1,""))</f>
        <v/>
      </c>
      <c r="AH868" s="70" t="str">
        <f>IF(AB868="","",ROUND(N(W868)*N(J868)*(1-N(K868)),2))</f>
        <v/>
      </c>
      <c r="AI868" s="70" t="str">
        <f>IF(OR(J868="",N(T868)&lt;=0,V868="Oui"),"",ROUND(N(T868)*J868*(1-N(K868)),2))</f>
        <v/>
      </c>
    </row>
    <row r="869">
      <c r="A869" s="63" t="n"/>
      <c r="B869" s="64" t="n"/>
      <c r="C869" s="65" t="n"/>
      <c r="D869" s="66" t="str">
        <f>IF(C869="","",IFERROR(INDEX(sup_name,MATCH($C869,sup_code,0))&amp;"","Fournisseur inconnu"))</f>
        <v/>
      </c>
      <c r="E869" s="63" t="n"/>
      <c r="F869" s="66" t="str">
        <f>IF(E869="","",IFERROR(INDEX(art_des,MATCH($E869,art_ref,0))&amp;"","Article inconnu"))</f>
        <v/>
      </c>
      <c r="G869" s="67" t="str">
        <f>IF(E869="","",IFERROR(INDEX(art_unit,MATCH($E869,art_ref,0))&amp;"",""))</f>
        <v/>
      </c>
      <c r="H869" s="68" t="n"/>
      <c r="I869" s="69" t="n"/>
      <c r="J869" s="70" t="str">
        <f>IF(E869="","",IF(ISNUMBER(I869),I869,IFERROR(IF(ISNUMBER(INDEX(art_price,MATCH($E869,art_ref,0))),INDEX(art_price,MATCH($E869,art_ref,0)),""),"")))</f>
        <v/>
      </c>
      <c r="K869" s="71" t="n"/>
      <c r="L869" s="72" t="n"/>
      <c r="M869" s="72" t="str">
        <f>IF(E869="","",IF(L869&lt;&gt;"",L869,IFERROR(IF(ISNUMBER(INDEX(art_tva,MATCH($E869,art_ref,0))),INDEX(art_tva,MATCH($E869,art_ref,0)),""),"")))</f>
        <v/>
      </c>
      <c r="N869" s="70" t="str">
        <f>IF(OR(E869="",J869=""),"",ROUND(N(H869)*J869*(1-N(K869)),2))</f>
        <v/>
      </c>
      <c r="O869" s="70" t="str">
        <f>IF(OR(N869="",NOT(ISNUMBER(M869))),"",ROUND(N869*M869,2))</f>
        <v/>
      </c>
      <c r="P869" s="70" t="str">
        <f>IF(N869="","",N869+N(O869))</f>
        <v/>
      </c>
      <c r="Q869" s="64" t="n"/>
      <c r="R869" s="73" t="str">
        <f>IF(N(Q869)&gt;0,Q869,IF(OR(N(B869)=0,ISNA(MATCH($C869,sup_code,0))),"",IF(ISNUMBER(INDEX(sup_delay,MATCH($C869,sup_code,0))),B869+INDEX(sup_delay,MATCH($C869,sup_code,0)),"")))</f>
        <v/>
      </c>
      <c r="S869" s="64" t="n"/>
      <c r="T869" s="68" t="n"/>
      <c r="U869" s="64" t="n"/>
      <c r="V869" s="65" t="n"/>
      <c r="W869" s="74" t="str">
        <f>IF(AND(A869="",E869=""),"",IF(V869="Oui",0,MAX(0,ROUND(N(H869)-N(T869),6))))</f>
        <v/>
      </c>
      <c r="X869" s="67" t="str">
        <f>IF(AND(A869="",E869=""),"",IF(V869="Oui","Annulé",IF(AND(N(H869)&gt;0,N(T869)&gt;=N(H869)),"Reçu",IF(N(S869)=0,"Brouillon",IF(AND(ISNUMBER(R869),R869&lt;p_today),"En retard",IF(N(T869)&gt;0,"Partiel","Envoyé"))))))</f>
        <v/>
      </c>
      <c r="Y869" s="75" t="str">
        <f>IF(X869="En retard",p_today-R869,IF(AND(X869="Reçu",ISNUMBER(R869)),MAX(0,N(U869)-R869),""))</f>
        <v/>
      </c>
      <c r="Z869" s="67" t="str">
        <f>IF(AND(A869="",E869=""),"",IF(A869="","N° de bon manquant",IF(N(B869)=0,"Date de commande manquante",IF(C869="","Fournisseur manquant",IF(ISNA(MATCH($C869,sup_code,0)),"Fournisseur inconnu",IF(E869="","Article manquant",IF(ISNA(MATCH($E869,art_ref,0)),"Article inconnu",IF(N(H869)&lt;=0,"Quantité invalide",IF(J869="","Prix manquant",IF(OR(N(K869)&lt;0,N(K869)&gt;=1),"Remise invalide",IF(M869="","TVA manquante",IF(ISNA(MATCH(M869,p_tva,0)),"Taux de TVA inconnu",IF(COUNTIFS(po_num,A869,po_sup,"&lt;&gt;"&amp;C869)&gt;0,"Fournisseur différent sur ce bon",IF(COUNTIFS(po_num,A869,po_date,"&lt;&gt;"&amp;B869)&gt;0,"Date différente sur ce bon",IF(COUNTIF(po_num,A869)&gt;25,"Plus de 25 lignes sur ce bon",IF(R869="","Date de livraison manquante",IF(R869&lt;B869,"Livraison avant la commande",IF(AND(N(T869)&gt;0,N(S869)=0),"Date d'envoi manquante",IF(N(T869)&gt;N(H869),"Reçu plus que commandé",IF(AND(N(T869)&gt;0,N(U869)=0),"Date de réception manquante",IF(AND(N(U869)&gt;0,U869&lt;B869),"Réception avant la commande","OK")))))))))))))))))))))</f>
        <v/>
      </c>
      <c r="AA869" s="66" t="str">
        <f>IF(AND(X869="Reçu",ISNUMBER(R869)),IF(N(U869)&lt;=R869,1,0),"")</f>
        <v/>
      </c>
      <c r="AB869" s="76" t="str">
        <f>IF(OR(X869="Envoyé",X869="Partiel",X869="En retard"),IF(ISNUMBER(R869),R869,100000)+ROW()/100000,"")</f>
        <v/>
      </c>
      <c r="AC869" s="66" t="str">
        <f>IF(A869="","",IF(COUNTIF($A$6:A869,A869)=1,1,""))</f>
        <v/>
      </c>
      <c r="AD869" s="66" t="str">
        <f>IF(AC869=1,COUNT($AC$6:AC869),"")</f>
        <v/>
      </c>
      <c r="AE869" s="66" t="str">
        <f>IFERROR(INDEX(po_num,MATCH(864,po_seq,0))&amp;"","")</f>
        <v/>
      </c>
      <c r="AF869" s="66" t="str">
        <f>IF(OR(A869="",p_po=""),"",IF(A869&amp;""=p_po,COUNTIF($A$6:A869,A869),""))</f>
        <v/>
      </c>
      <c r="AG869" s="66" t="str">
        <f>IF(OR(AB869="",A869=""),"",IF(COUNTIFS($A$6:A869,A869,$AB$6:AB869,"&gt;0")=1,1,""))</f>
        <v/>
      </c>
      <c r="AH869" s="70" t="str">
        <f>IF(AB869="","",ROUND(N(W869)*N(J869)*(1-N(K869)),2))</f>
        <v/>
      </c>
      <c r="AI869" s="70" t="str">
        <f>IF(OR(J869="",N(T869)&lt;=0,V869="Oui"),"",ROUND(N(T869)*J869*(1-N(K869)),2))</f>
        <v/>
      </c>
    </row>
    <row r="870">
      <c r="A870" s="63" t="n"/>
      <c r="B870" s="64" t="n"/>
      <c r="C870" s="65" t="n"/>
      <c r="D870" s="66" t="str">
        <f>IF(C870="","",IFERROR(INDEX(sup_name,MATCH($C870,sup_code,0))&amp;"","Fournisseur inconnu"))</f>
        <v/>
      </c>
      <c r="E870" s="63" t="n"/>
      <c r="F870" s="66" t="str">
        <f>IF(E870="","",IFERROR(INDEX(art_des,MATCH($E870,art_ref,0))&amp;"","Article inconnu"))</f>
        <v/>
      </c>
      <c r="G870" s="67" t="str">
        <f>IF(E870="","",IFERROR(INDEX(art_unit,MATCH($E870,art_ref,0))&amp;"",""))</f>
        <v/>
      </c>
      <c r="H870" s="68" t="n"/>
      <c r="I870" s="69" t="n"/>
      <c r="J870" s="70" t="str">
        <f>IF(E870="","",IF(ISNUMBER(I870),I870,IFERROR(IF(ISNUMBER(INDEX(art_price,MATCH($E870,art_ref,0))),INDEX(art_price,MATCH($E870,art_ref,0)),""),"")))</f>
        <v/>
      </c>
      <c r="K870" s="71" t="n"/>
      <c r="L870" s="72" t="n"/>
      <c r="M870" s="72" t="str">
        <f>IF(E870="","",IF(L870&lt;&gt;"",L870,IFERROR(IF(ISNUMBER(INDEX(art_tva,MATCH($E870,art_ref,0))),INDEX(art_tva,MATCH($E870,art_ref,0)),""),"")))</f>
        <v/>
      </c>
      <c r="N870" s="70" t="str">
        <f>IF(OR(E870="",J870=""),"",ROUND(N(H870)*J870*(1-N(K870)),2))</f>
        <v/>
      </c>
      <c r="O870" s="70" t="str">
        <f>IF(OR(N870="",NOT(ISNUMBER(M870))),"",ROUND(N870*M870,2))</f>
        <v/>
      </c>
      <c r="P870" s="70" t="str">
        <f>IF(N870="","",N870+N(O870))</f>
        <v/>
      </c>
      <c r="Q870" s="64" t="n"/>
      <c r="R870" s="73" t="str">
        <f>IF(N(Q870)&gt;0,Q870,IF(OR(N(B870)=0,ISNA(MATCH($C870,sup_code,0))),"",IF(ISNUMBER(INDEX(sup_delay,MATCH($C870,sup_code,0))),B870+INDEX(sup_delay,MATCH($C870,sup_code,0)),"")))</f>
        <v/>
      </c>
      <c r="S870" s="64" t="n"/>
      <c r="T870" s="68" t="n"/>
      <c r="U870" s="64" t="n"/>
      <c r="V870" s="65" t="n"/>
      <c r="W870" s="74" t="str">
        <f>IF(AND(A870="",E870=""),"",IF(V870="Oui",0,MAX(0,ROUND(N(H870)-N(T870),6))))</f>
        <v/>
      </c>
      <c r="X870" s="67" t="str">
        <f>IF(AND(A870="",E870=""),"",IF(V870="Oui","Annulé",IF(AND(N(H870)&gt;0,N(T870)&gt;=N(H870)),"Reçu",IF(N(S870)=0,"Brouillon",IF(AND(ISNUMBER(R870),R870&lt;p_today),"En retard",IF(N(T870)&gt;0,"Partiel","Envoyé"))))))</f>
        <v/>
      </c>
      <c r="Y870" s="75" t="str">
        <f>IF(X870="En retard",p_today-R870,IF(AND(X870="Reçu",ISNUMBER(R870)),MAX(0,N(U870)-R870),""))</f>
        <v/>
      </c>
      <c r="Z870" s="67" t="str">
        <f>IF(AND(A870="",E870=""),"",IF(A870="","N° de bon manquant",IF(N(B870)=0,"Date de commande manquante",IF(C870="","Fournisseur manquant",IF(ISNA(MATCH($C870,sup_code,0)),"Fournisseur inconnu",IF(E870="","Article manquant",IF(ISNA(MATCH($E870,art_ref,0)),"Article inconnu",IF(N(H870)&lt;=0,"Quantité invalide",IF(J870="","Prix manquant",IF(OR(N(K870)&lt;0,N(K870)&gt;=1),"Remise invalide",IF(M870="","TVA manquante",IF(ISNA(MATCH(M870,p_tva,0)),"Taux de TVA inconnu",IF(COUNTIFS(po_num,A870,po_sup,"&lt;&gt;"&amp;C870)&gt;0,"Fournisseur différent sur ce bon",IF(COUNTIFS(po_num,A870,po_date,"&lt;&gt;"&amp;B870)&gt;0,"Date différente sur ce bon",IF(COUNTIF(po_num,A870)&gt;25,"Plus de 25 lignes sur ce bon",IF(R870="","Date de livraison manquante",IF(R870&lt;B870,"Livraison avant la commande",IF(AND(N(T870)&gt;0,N(S870)=0),"Date d'envoi manquante",IF(N(T870)&gt;N(H870),"Reçu plus que commandé",IF(AND(N(T870)&gt;0,N(U870)=0),"Date de réception manquante",IF(AND(N(U870)&gt;0,U870&lt;B870),"Réception avant la commande","OK")))))))))))))))))))))</f>
        <v/>
      </c>
      <c r="AA870" s="66" t="str">
        <f>IF(AND(X870="Reçu",ISNUMBER(R870)),IF(N(U870)&lt;=R870,1,0),"")</f>
        <v/>
      </c>
      <c r="AB870" s="76" t="str">
        <f>IF(OR(X870="Envoyé",X870="Partiel",X870="En retard"),IF(ISNUMBER(R870),R870,100000)+ROW()/100000,"")</f>
        <v/>
      </c>
      <c r="AC870" s="66" t="str">
        <f>IF(A870="","",IF(COUNTIF($A$6:A870,A870)=1,1,""))</f>
        <v/>
      </c>
      <c r="AD870" s="66" t="str">
        <f>IF(AC870=1,COUNT($AC$6:AC870),"")</f>
        <v/>
      </c>
      <c r="AE870" s="66" t="str">
        <f>IFERROR(INDEX(po_num,MATCH(865,po_seq,0))&amp;"","")</f>
        <v/>
      </c>
      <c r="AF870" s="66" t="str">
        <f>IF(OR(A870="",p_po=""),"",IF(A870&amp;""=p_po,COUNTIF($A$6:A870,A870),""))</f>
        <v/>
      </c>
      <c r="AG870" s="66" t="str">
        <f>IF(OR(AB870="",A870=""),"",IF(COUNTIFS($A$6:A870,A870,$AB$6:AB870,"&gt;0")=1,1,""))</f>
        <v/>
      </c>
      <c r="AH870" s="70" t="str">
        <f>IF(AB870="","",ROUND(N(W870)*N(J870)*(1-N(K870)),2))</f>
        <v/>
      </c>
      <c r="AI870" s="70" t="str">
        <f>IF(OR(J870="",N(T870)&lt;=0,V870="Oui"),"",ROUND(N(T870)*J870*(1-N(K870)),2))</f>
        <v/>
      </c>
    </row>
    <row r="871">
      <c r="A871" s="63" t="n"/>
      <c r="B871" s="64" t="n"/>
      <c r="C871" s="65" t="n"/>
      <c r="D871" s="66" t="str">
        <f>IF(C871="","",IFERROR(INDEX(sup_name,MATCH($C871,sup_code,0))&amp;"","Fournisseur inconnu"))</f>
        <v/>
      </c>
      <c r="E871" s="63" t="n"/>
      <c r="F871" s="66" t="str">
        <f>IF(E871="","",IFERROR(INDEX(art_des,MATCH($E871,art_ref,0))&amp;"","Article inconnu"))</f>
        <v/>
      </c>
      <c r="G871" s="67" t="str">
        <f>IF(E871="","",IFERROR(INDEX(art_unit,MATCH($E871,art_ref,0))&amp;"",""))</f>
        <v/>
      </c>
      <c r="H871" s="68" t="n"/>
      <c r="I871" s="69" t="n"/>
      <c r="J871" s="70" t="str">
        <f>IF(E871="","",IF(ISNUMBER(I871),I871,IFERROR(IF(ISNUMBER(INDEX(art_price,MATCH($E871,art_ref,0))),INDEX(art_price,MATCH($E871,art_ref,0)),""),"")))</f>
        <v/>
      </c>
      <c r="K871" s="71" t="n"/>
      <c r="L871" s="72" t="n"/>
      <c r="M871" s="72" t="str">
        <f>IF(E871="","",IF(L871&lt;&gt;"",L871,IFERROR(IF(ISNUMBER(INDEX(art_tva,MATCH($E871,art_ref,0))),INDEX(art_tva,MATCH($E871,art_ref,0)),""),"")))</f>
        <v/>
      </c>
      <c r="N871" s="70" t="str">
        <f>IF(OR(E871="",J871=""),"",ROUND(N(H871)*J871*(1-N(K871)),2))</f>
        <v/>
      </c>
      <c r="O871" s="70" t="str">
        <f>IF(OR(N871="",NOT(ISNUMBER(M871))),"",ROUND(N871*M871,2))</f>
        <v/>
      </c>
      <c r="P871" s="70" t="str">
        <f>IF(N871="","",N871+N(O871))</f>
        <v/>
      </c>
      <c r="Q871" s="64" t="n"/>
      <c r="R871" s="73" t="str">
        <f>IF(N(Q871)&gt;0,Q871,IF(OR(N(B871)=0,ISNA(MATCH($C871,sup_code,0))),"",IF(ISNUMBER(INDEX(sup_delay,MATCH($C871,sup_code,0))),B871+INDEX(sup_delay,MATCH($C871,sup_code,0)),"")))</f>
        <v/>
      </c>
      <c r="S871" s="64" t="n"/>
      <c r="T871" s="68" t="n"/>
      <c r="U871" s="64" t="n"/>
      <c r="V871" s="65" t="n"/>
      <c r="W871" s="74" t="str">
        <f>IF(AND(A871="",E871=""),"",IF(V871="Oui",0,MAX(0,ROUND(N(H871)-N(T871),6))))</f>
        <v/>
      </c>
      <c r="X871" s="67" t="str">
        <f>IF(AND(A871="",E871=""),"",IF(V871="Oui","Annulé",IF(AND(N(H871)&gt;0,N(T871)&gt;=N(H871)),"Reçu",IF(N(S871)=0,"Brouillon",IF(AND(ISNUMBER(R871),R871&lt;p_today),"En retard",IF(N(T871)&gt;0,"Partiel","Envoyé"))))))</f>
        <v/>
      </c>
      <c r="Y871" s="75" t="str">
        <f>IF(X871="En retard",p_today-R871,IF(AND(X871="Reçu",ISNUMBER(R871)),MAX(0,N(U871)-R871),""))</f>
        <v/>
      </c>
      <c r="Z871" s="67" t="str">
        <f>IF(AND(A871="",E871=""),"",IF(A871="","N° de bon manquant",IF(N(B871)=0,"Date de commande manquante",IF(C871="","Fournisseur manquant",IF(ISNA(MATCH($C871,sup_code,0)),"Fournisseur inconnu",IF(E871="","Article manquant",IF(ISNA(MATCH($E871,art_ref,0)),"Article inconnu",IF(N(H871)&lt;=0,"Quantité invalide",IF(J871="","Prix manquant",IF(OR(N(K871)&lt;0,N(K871)&gt;=1),"Remise invalide",IF(M871="","TVA manquante",IF(ISNA(MATCH(M871,p_tva,0)),"Taux de TVA inconnu",IF(COUNTIFS(po_num,A871,po_sup,"&lt;&gt;"&amp;C871)&gt;0,"Fournisseur différent sur ce bon",IF(COUNTIFS(po_num,A871,po_date,"&lt;&gt;"&amp;B871)&gt;0,"Date différente sur ce bon",IF(COUNTIF(po_num,A871)&gt;25,"Plus de 25 lignes sur ce bon",IF(R871="","Date de livraison manquante",IF(R871&lt;B871,"Livraison avant la commande",IF(AND(N(T871)&gt;0,N(S871)=0),"Date d'envoi manquante",IF(N(T871)&gt;N(H871),"Reçu plus que commandé",IF(AND(N(T871)&gt;0,N(U871)=0),"Date de réception manquante",IF(AND(N(U871)&gt;0,U871&lt;B871),"Réception avant la commande","OK")))))))))))))))))))))</f>
        <v/>
      </c>
      <c r="AA871" s="66" t="str">
        <f>IF(AND(X871="Reçu",ISNUMBER(R871)),IF(N(U871)&lt;=R871,1,0),"")</f>
        <v/>
      </c>
      <c r="AB871" s="76" t="str">
        <f>IF(OR(X871="Envoyé",X871="Partiel",X871="En retard"),IF(ISNUMBER(R871),R871,100000)+ROW()/100000,"")</f>
        <v/>
      </c>
      <c r="AC871" s="66" t="str">
        <f>IF(A871="","",IF(COUNTIF($A$6:A871,A871)=1,1,""))</f>
        <v/>
      </c>
      <c r="AD871" s="66" t="str">
        <f>IF(AC871=1,COUNT($AC$6:AC871),"")</f>
        <v/>
      </c>
      <c r="AE871" s="66" t="str">
        <f>IFERROR(INDEX(po_num,MATCH(866,po_seq,0))&amp;"","")</f>
        <v/>
      </c>
      <c r="AF871" s="66" t="str">
        <f>IF(OR(A871="",p_po=""),"",IF(A871&amp;""=p_po,COUNTIF($A$6:A871,A871),""))</f>
        <v/>
      </c>
      <c r="AG871" s="66" t="str">
        <f>IF(OR(AB871="",A871=""),"",IF(COUNTIFS($A$6:A871,A871,$AB$6:AB871,"&gt;0")=1,1,""))</f>
        <v/>
      </c>
      <c r="AH871" s="70" t="str">
        <f>IF(AB871="","",ROUND(N(W871)*N(J871)*(1-N(K871)),2))</f>
        <v/>
      </c>
      <c r="AI871" s="70" t="str">
        <f>IF(OR(J871="",N(T871)&lt;=0,V871="Oui"),"",ROUND(N(T871)*J871*(1-N(K871)),2))</f>
        <v/>
      </c>
    </row>
    <row r="872">
      <c r="A872" s="63" t="n"/>
      <c r="B872" s="64" t="n"/>
      <c r="C872" s="65" t="n"/>
      <c r="D872" s="66" t="str">
        <f>IF(C872="","",IFERROR(INDEX(sup_name,MATCH($C872,sup_code,0))&amp;"","Fournisseur inconnu"))</f>
        <v/>
      </c>
      <c r="E872" s="63" t="n"/>
      <c r="F872" s="66" t="str">
        <f>IF(E872="","",IFERROR(INDEX(art_des,MATCH($E872,art_ref,0))&amp;"","Article inconnu"))</f>
        <v/>
      </c>
      <c r="G872" s="67" t="str">
        <f>IF(E872="","",IFERROR(INDEX(art_unit,MATCH($E872,art_ref,0))&amp;"",""))</f>
        <v/>
      </c>
      <c r="H872" s="68" t="n"/>
      <c r="I872" s="69" t="n"/>
      <c r="J872" s="70" t="str">
        <f>IF(E872="","",IF(ISNUMBER(I872),I872,IFERROR(IF(ISNUMBER(INDEX(art_price,MATCH($E872,art_ref,0))),INDEX(art_price,MATCH($E872,art_ref,0)),""),"")))</f>
        <v/>
      </c>
      <c r="K872" s="71" t="n"/>
      <c r="L872" s="72" t="n"/>
      <c r="M872" s="72" t="str">
        <f>IF(E872="","",IF(L872&lt;&gt;"",L872,IFERROR(IF(ISNUMBER(INDEX(art_tva,MATCH($E872,art_ref,0))),INDEX(art_tva,MATCH($E872,art_ref,0)),""),"")))</f>
        <v/>
      </c>
      <c r="N872" s="70" t="str">
        <f>IF(OR(E872="",J872=""),"",ROUND(N(H872)*J872*(1-N(K872)),2))</f>
        <v/>
      </c>
      <c r="O872" s="70" t="str">
        <f>IF(OR(N872="",NOT(ISNUMBER(M872))),"",ROUND(N872*M872,2))</f>
        <v/>
      </c>
      <c r="P872" s="70" t="str">
        <f>IF(N872="","",N872+N(O872))</f>
        <v/>
      </c>
      <c r="Q872" s="64" t="n"/>
      <c r="R872" s="73" t="str">
        <f>IF(N(Q872)&gt;0,Q872,IF(OR(N(B872)=0,ISNA(MATCH($C872,sup_code,0))),"",IF(ISNUMBER(INDEX(sup_delay,MATCH($C872,sup_code,0))),B872+INDEX(sup_delay,MATCH($C872,sup_code,0)),"")))</f>
        <v/>
      </c>
      <c r="S872" s="64" t="n"/>
      <c r="T872" s="68" t="n"/>
      <c r="U872" s="64" t="n"/>
      <c r="V872" s="65" t="n"/>
      <c r="W872" s="74" t="str">
        <f>IF(AND(A872="",E872=""),"",IF(V872="Oui",0,MAX(0,ROUND(N(H872)-N(T872),6))))</f>
        <v/>
      </c>
      <c r="X872" s="67" t="str">
        <f>IF(AND(A872="",E872=""),"",IF(V872="Oui","Annulé",IF(AND(N(H872)&gt;0,N(T872)&gt;=N(H872)),"Reçu",IF(N(S872)=0,"Brouillon",IF(AND(ISNUMBER(R872),R872&lt;p_today),"En retard",IF(N(T872)&gt;0,"Partiel","Envoyé"))))))</f>
        <v/>
      </c>
      <c r="Y872" s="75" t="str">
        <f>IF(X872="En retard",p_today-R872,IF(AND(X872="Reçu",ISNUMBER(R872)),MAX(0,N(U872)-R872),""))</f>
        <v/>
      </c>
      <c r="Z872" s="67" t="str">
        <f>IF(AND(A872="",E872=""),"",IF(A872="","N° de bon manquant",IF(N(B872)=0,"Date de commande manquante",IF(C872="","Fournisseur manquant",IF(ISNA(MATCH($C872,sup_code,0)),"Fournisseur inconnu",IF(E872="","Article manquant",IF(ISNA(MATCH($E872,art_ref,0)),"Article inconnu",IF(N(H872)&lt;=0,"Quantité invalide",IF(J872="","Prix manquant",IF(OR(N(K872)&lt;0,N(K872)&gt;=1),"Remise invalide",IF(M872="","TVA manquante",IF(ISNA(MATCH(M872,p_tva,0)),"Taux de TVA inconnu",IF(COUNTIFS(po_num,A872,po_sup,"&lt;&gt;"&amp;C872)&gt;0,"Fournisseur différent sur ce bon",IF(COUNTIFS(po_num,A872,po_date,"&lt;&gt;"&amp;B872)&gt;0,"Date différente sur ce bon",IF(COUNTIF(po_num,A872)&gt;25,"Plus de 25 lignes sur ce bon",IF(R872="","Date de livraison manquante",IF(R872&lt;B872,"Livraison avant la commande",IF(AND(N(T872)&gt;0,N(S872)=0),"Date d'envoi manquante",IF(N(T872)&gt;N(H872),"Reçu plus que commandé",IF(AND(N(T872)&gt;0,N(U872)=0),"Date de réception manquante",IF(AND(N(U872)&gt;0,U872&lt;B872),"Réception avant la commande","OK")))))))))))))))))))))</f>
        <v/>
      </c>
      <c r="AA872" s="66" t="str">
        <f>IF(AND(X872="Reçu",ISNUMBER(R872)),IF(N(U872)&lt;=R872,1,0),"")</f>
        <v/>
      </c>
      <c r="AB872" s="76" t="str">
        <f>IF(OR(X872="Envoyé",X872="Partiel",X872="En retard"),IF(ISNUMBER(R872),R872,100000)+ROW()/100000,"")</f>
        <v/>
      </c>
      <c r="AC872" s="66" t="str">
        <f>IF(A872="","",IF(COUNTIF($A$6:A872,A872)=1,1,""))</f>
        <v/>
      </c>
      <c r="AD872" s="66" t="str">
        <f>IF(AC872=1,COUNT($AC$6:AC872),"")</f>
        <v/>
      </c>
      <c r="AE872" s="66" t="str">
        <f>IFERROR(INDEX(po_num,MATCH(867,po_seq,0))&amp;"","")</f>
        <v/>
      </c>
      <c r="AF872" s="66" t="str">
        <f>IF(OR(A872="",p_po=""),"",IF(A872&amp;""=p_po,COUNTIF($A$6:A872,A872),""))</f>
        <v/>
      </c>
      <c r="AG872" s="66" t="str">
        <f>IF(OR(AB872="",A872=""),"",IF(COUNTIFS($A$6:A872,A872,$AB$6:AB872,"&gt;0")=1,1,""))</f>
        <v/>
      </c>
      <c r="AH872" s="70" t="str">
        <f>IF(AB872="","",ROUND(N(W872)*N(J872)*(1-N(K872)),2))</f>
        <v/>
      </c>
      <c r="AI872" s="70" t="str">
        <f>IF(OR(J872="",N(T872)&lt;=0,V872="Oui"),"",ROUND(N(T872)*J872*(1-N(K872)),2))</f>
        <v/>
      </c>
    </row>
    <row r="873">
      <c r="A873" s="63" t="n"/>
      <c r="B873" s="64" t="n"/>
      <c r="C873" s="65" t="n"/>
      <c r="D873" s="66" t="str">
        <f>IF(C873="","",IFERROR(INDEX(sup_name,MATCH($C873,sup_code,0))&amp;"","Fournisseur inconnu"))</f>
        <v/>
      </c>
      <c r="E873" s="63" t="n"/>
      <c r="F873" s="66" t="str">
        <f>IF(E873="","",IFERROR(INDEX(art_des,MATCH($E873,art_ref,0))&amp;"","Article inconnu"))</f>
        <v/>
      </c>
      <c r="G873" s="67" t="str">
        <f>IF(E873="","",IFERROR(INDEX(art_unit,MATCH($E873,art_ref,0))&amp;"",""))</f>
        <v/>
      </c>
      <c r="H873" s="68" t="n"/>
      <c r="I873" s="69" t="n"/>
      <c r="J873" s="70" t="str">
        <f>IF(E873="","",IF(ISNUMBER(I873),I873,IFERROR(IF(ISNUMBER(INDEX(art_price,MATCH($E873,art_ref,0))),INDEX(art_price,MATCH($E873,art_ref,0)),""),"")))</f>
        <v/>
      </c>
      <c r="K873" s="71" t="n"/>
      <c r="L873" s="72" t="n"/>
      <c r="M873" s="72" t="str">
        <f>IF(E873="","",IF(L873&lt;&gt;"",L873,IFERROR(IF(ISNUMBER(INDEX(art_tva,MATCH($E873,art_ref,0))),INDEX(art_tva,MATCH($E873,art_ref,0)),""),"")))</f>
        <v/>
      </c>
      <c r="N873" s="70" t="str">
        <f>IF(OR(E873="",J873=""),"",ROUND(N(H873)*J873*(1-N(K873)),2))</f>
        <v/>
      </c>
      <c r="O873" s="70" t="str">
        <f>IF(OR(N873="",NOT(ISNUMBER(M873))),"",ROUND(N873*M873,2))</f>
        <v/>
      </c>
      <c r="P873" s="70" t="str">
        <f>IF(N873="","",N873+N(O873))</f>
        <v/>
      </c>
      <c r="Q873" s="64" t="n"/>
      <c r="R873" s="73" t="str">
        <f>IF(N(Q873)&gt;0,Q873,IF(OR(N(B873)=0,ISNA(MATCH($C873,sup_code,0))),"",IF(ISNUMBER(INDEX(sup_delay,MATCH($C873,sup_code,0))),B873+INDEX(sup_delay,MATCH($C873,sup_code,0)),"")))</f>
        <v/>
      </c>
      <c r="S873" s="64" t="n"/>
      <c r="T873" s="68" t="n"/>
      <c r="U873" s="64" t="n"/>
      <c r="V873" s="65" t="n"/>
      <c r="W873" s="74" t="str">
        <f>IF(AND(A873="",E873=""),"",IF(V873="Oui",0,MAX(0,ROUND(N(H873)-N(T873),6))))</f>
        <v/>
      </c>
      <c r="X873" s="67" t="str">
        <f>IF(AND(A873="",E873=""),"",IF(V873="Oui","Annulé",IF(AND(N(H873)&gt;0,N(T873)&gt;=N(H873)),"Reçu",IF(N(S873)=0,"Brouillon",IF(AND(ISNUMBER(R873),R873&lt;p_today),"En retard",IF(N(T873)&gt;0,"Partiel","Envoyé"))))))</f>
        <v/>
      </c>
      <c r="Y873" s="75" t="str">
        <f>IF(X873="En retard",p_today-R873,IF(AND(X873="Reçu",ISNUMBER(R873)),MAX(0,N(U873)-R873),""))</f>
        <v/>
      </c>
      <c r="Z873" s="67" t="str">
        <f>IF(AND(A873="",E873=""),"",IF(A873="","N° de bon manquant",IF(N(B873)=0,"Date de commande manquante",IF(C873="","Fournisseur manquant",IF(ISNA(MATCH($C873,sup_code,0)),"Fournisseur inconnu",IF(E873="","Article manquant",IF(ISNA(MATCH($E873,art_ref,0)),"Article inconnu",IF(N(H873)&lt;=0,"Quantité invalide",IF(J873="","Prix manquant",IF(OR(N(K873)&lt;0,N(K873)&gt;=1),"Remise invalide",IF(M873="","TVA manquante",IF(ISNA(MATCH(M873,p_tva,0)),"Taux de TVA inconnu",IF(COUNTIFS(po_num,A873,po_sup,"&lt;&gt;"&amp;C873)&gt;0,"Fournisseur différent sur ce bon",IF(COUNTIFS(po_num,A873,po_date,"&lt;&gt;"&amp;B873)&gt;0,"Date différente sur ce bon",IF(COUNTIF(po_num,A873)&gt;25,"Plus de 25 lignes sur ce bon",IF(R873="","Date de livraison manquante",IF(R873&lt;B873,"Livraison avant la commande",IF(AND(N(T873)&gt;0,N(S873)=0),"Date d'envoi manquante",IF(N(T873)&gt;N(H873),"Reçu plus que commandé",IF(AND(N(T873)&gt;0,N(U873)=0),"Date de réception manquante",IF(AND(N(U873)&gt;0,U873&lt;B873),"Réception avant la commande","OK")))))))))))))))))))))</f>
        <v/>
      </c>
      <c r="AA873" s="66" t="str">
        <f>IF(AND(X873="Reçu",ISNUMBER(R873)),IF(N(U873)&lt;=R873,1,0),"")</f>
        <v/>
      </c>
      <c r="AB873" s="76" t="str">
        <f>IF(OR(X873="Envoyé",X873="Partiel",X873="En retard"),IF(ISNUMBER(R873),R873,100000)+ROW()/100000,"")</f>
        <v/>
      </c>
      <c r="AC873" s="66" t="str">
        <f>IF(A873="","",IF(COUNTIF($A$6:A873,A873)=1,1,""))</f>
        <v/>
      </c>
      <c r="AD873" s="66" t="str">
        <f>IF(AC873=1,COUNT($AC$6:AC873),"")</f>
        <v/>
      </c>
      <c r="AE873" s="66" t="str">
        <f>IFERROR(INDEX(po_num,MATCH(868,po_seq,0))&amp;"","")</f>
        <v/>
      </c>
      <c r="AF873" s="66" t="str">
        <f>IF(OR(A873="",p_po=""),"",IF(A873&amp;""=p_po,COUNTIF($A$6:A873,A873),""))</f>
        <v/>
      </c>
      <c r="AG873" s="66" t="str">
        <f>IF(OR(AB873="",A873=""),"",IF(COUNTIFS($A$6:A873,A873,$AB$6:AB873,"&gt;0")=1,1,""))</f>
        <v/>
      </c>
      <c r="AH873" s="70" t="str">
        <f>IF(AB873="","",ROUND(N(W873)*N(J873)*(1-N(K873)),2))</f>
        <v/>
      </c>
      <c r="AI873" s="70" t="str">
        <f>IF(OR(J873="",N(T873)&lt;=0,V873="Oui"),"",ROUND(N(T873)*J873*(1-N(K873)),2))</f>
        <v/>
      </c>
    </row>
    <row r="874">
      <c r="A874" s="63" t="n"/>
      <c r="B874" s="64" t="n"/>
      <c r="C874" s="65" t="n"/>
      <c r="D874" s="66" t="str">
        <f>IF(C874="","",IFERROR(INDEX(sup_name,MATCH($C874,sup_code,0))&amp;"","Fournisseur inconnu"))</f>
        <v/>
      </c>
      <c r="E874" s="63" t="n"/>
      <c r="F874" s="66" t="str">
        <f>IF(E874="","",IFERROR(INDEX(art_des,MATCH($E874,art_ref,0))&amp;"","Article inconnu"))</f>
        <v/>
      </c>
      <c r="G874" s="67" t="str">
        <f>IF(E874="","",IFERROR(INDEX(art_unit,MATCH($E874,art_ref,0))&amp;"",""))</f>
        <v/>
      </c>
      <c r="H874" s="68" t="n"/>
      <c r="I874" s="69" t="n"/>
      <c r="J874" s="70" t="str">
        <f>IF(E874="","",IF(ISNUMBER(I874),I874,IFERROR(IF(ISNUMBER(INDEX(art_price,MATCH($E874,art_ref,0))),INDEX(art_price,MATCH($E874,art_ref,0)),""),"")))</f>
        <v/>
      </c>
      <c r="K874" s="71" t="n"/>
      <c r="L874" s="72" t="n"/>
      <c r="M874" s="72" t="str">
        <f>IF(E874="","",IF(L874&lt;&gt;"",L874,IFERROR(IF(ISNUMBER(INDEX(art_tva,MATCH($E874,art_ref,0))),INDEX(art_tva,MATCH($E874,art_ref,0)),""),"")))</f>
        <v/>
      </c>
      <c r="N874" s="70" t="str">
        <f>IF(OR(E874="",J874=""),"",ROUND(N(H874)*J874*(1-N(K874)),2))</f>
        <v/>
      </c>
      <c r="O874" s="70" t="str">
        <f>IF(OR(N874="",NOT(ISNUMBER(M874))),"",ROUND(N874*M874,2))</f>
        <v/>
      </c>
      <c r="P874" s="70" t="str">
        <f>IF(N874="","",N874+N(O874))</f>
        <v/>
      </c>
      <c r="Q874" s="64" t="n"/>
      <c r="R874" s="73" t="str">
        <f>IF(N(Q874)&gt;0,Q874,IF(OR(N(B874)=0,ISNA(MATCH($C874,sup_code,0))),"",IF(ISNUMBER(INDEX(sup_delay,MATCH($C874,sup_code,0))),B874+INDEX(sup_delay,MATCH($C874,sup_code,0)),"")))</f>
        <v/>
      </c>
      <c r="S874" s="64" t="n"/>
      <c r="T874" s="68" t="n"/>
      <c r="U874" s="64" t="n"/>
      <c r="V874" s="65" t="n"/>
      <c r="W874" s="74" t="str">
        <f>IF(AND(A874="",E874=""),"",IF(V874="Oui",0,MAX(0,ROUND(N(H874)-N(T874),6))))</f>
        <v/>
      </c>
      <c r="X874" s="67" t="str">
        <f>IF(AND(A874="",E874=""),"",IF(V874="Oui","Annulé",IF(AND(N(H874)&gt;0,N(T874)&gt;=N(H874)),"Reçu",IF(N(S874)=0,"Brouillon",IF(AND(ISNUMBER(R874),R874&lt;p_today),"En retard",IF(N(T874)&gt;0,"Partiel","Envoyé"))))))</f>
        <v/>
      </c>
      <c r="Y874" s="75" t="str">
        <f>IF(X874="En retard",p_today-R874,IF(AND(X874="Reçu",ISNUMBER(R874)),MAX(0,N(U874)-R874),""))</f>
        <v/>
      </c>
      <c r="Z874" s="67" t="str">
        <f>IF(AND(A874="",E874=""),"",IF(A874="","N° de bon manquant",IF(N(B874)=0,"Date de commande manquante",IF(C874="","Fournisseur manquant",IF(ISNA(MATCH($C874,sup_code,0)),"Fournisseur inconnu",IF(E874="","Article manquant",IF(ISNA(MATCH($E874,art_ref,0)),"Article inconnu",IF(N(H874)&lt;=0,"Quantité invalide",IF(J874="","Prix manquant",IF(OR(N(K874)&lt;0,N(K874)&gt;=1),"Remise invalide",IF(M874="","TVA manquante",IF(ISNA(MATCH(M874,p_tva,0)),"Taux de TVA inconnu",IF(COUNTIFS(po_num,A874,po_sup,"&lt;&gt;"&amp;C874)&gt;0,"Fournisseur différent sur ce bon",IF(COUNTIFS(po_num,A874,po_date,"&lt;&gt;"&amp;B874)&gt;0,"Date différente sur ce bon",IF(COUNTIF(po_num,A874)&gt;25,"Plus de 25 lignes sur ce bon",IF(R874="","Date de livraison manquante",IF(R874&lt;B874,"Livraison avant la commande",IF(AND(N(T874)&gt;0,N(S874)=0),"Date d'envoi manquante",IF(N(T874)&gt;N(H874),"Reçu plus que commandé",IF(AND(N(T874)&gt;0,N(U874)=0),"Date de réception manquante",IF(AND(N(U874)&gt;0,U874&lt;B874),"Réception avant la commande","OK")))))))))))))))))))))</f>
        <v/>
      </c>
      <c r="AA874" s="66" t="str">
        <f>IF(AND(X874="Reçu",ISNUMBER(R874)),IF(N(U874)&lt;=R874,1,0),"")</f>
        <v/>
      </c>
      <c r="AB874" s="76" t="str">
        <f>IF(OR(X874="Envoyé",X874="Partiel",X874="En retard"),IF(ISNUMBER(R874),R874,100000)+ROW()/100000,"")</f>
        <v/>
      </c>
      <c r="AC874" s="66" t="str">
        <f>IF(A874="","",IF(COUNTIF($A$6:A874,A874)=1,1,""))</f>
        <v/>
      </c>
      <c r="AD874" s="66" t="str">
        <f>IF(AC874=1,COUNT($AC$6:AC874),"")</f>
        <v/>
      </c>
      <c r="AE874" s="66" t="str">
        <f>IFERROR(INDEX(po_num,MATCH(869,po_seq,0))&amp;"","")</f>
        <v/>
      </c>
      <c r="AF874" s="66" t="str">
        <f>IF(OR(A874="",p_po=""),"",IF(A874&amp;""=p_po,COUNTIF($A$6:A874,A874),""))</f>
        <v/>
      </c>
      <c r="AG874" s="66" t="str">
        <f>IF(OR(AB874="",A874=""),"",IF(COUNTIFS($A$6:A874,A874,$AB$6:AB874,"&gt;0")=1,1,""))</f>
        <v/>
      </c>
      <c r="AH874" s="70" t="str">
        <f>IF(AB874="","",ROUND(N(W874)*N(J874)*(1-N(K874)),2))</f>
        <v/>
      </c>
      <c r="AI874" s="70" t="str">
        <f>IF(OR(J874="",N(T874)&lt;=0,V874="Oui"),"",ROUND(N(T874)*J874*(1-N(K874)),2))</f>
        <v/>
      </c>
    </row>
    <row r="875">
      <c r="A875" s="63" t="n"/>
      <c r="B875" s="64" t="n"/>
      <c r="C875" s="65" t="n"/>
      <c r="D875" s="66" t="str">
        <f>IF(C875="","",IFERROR(INDEX(sup_name,MATCH($C875,sup_code,0))&amp;"","Fournisseur inconnu"))</f>
        <v/>
      </c>
      <c r="E875" s="63" t="n"/>
      <c r="F875" s="66" t="str">
        <f>IF(E875="","",IFERROR(INDEX(art_des,MATCH($E875,art_ref,0))&amp;"","Article inconnu"))</f>
        <v/>
      </c>
      <c r="G875" s="67" t="str">
        <f>IF(E875="","",IFERROR(INDEX(art_unit,MATCH($E875,art_ref,0))&amp;"",""))</f>
        <v/>
      </c>
      <c r="H875" s="68" t="n"/>
      <c r="I875" s="69" t="n"/>
      <c r="J875" s="70" t="str">
        <f>IF(E875="","",IF(ISNUMBER(I875),I875,IFERROR(IF(ISNUMBER(INDEX(art_price,MATCH($E875,art_ref,0))),INDEX(art_price,MATCH($E875,art_ref,0)),""),"")))</f>
        <v/>
      </c>
      <c r="K875" s="71" t="n"/>
      <c r="L875" s="72" t="n"/>
      <c r="M875" s="72" t="str">
        <f>IF(E875="","",IF(L875&lt;&gt;"",L875,IFERROR(IF(ISNUMBER(INDEX(art_tva,MATCH($E875,art_ref,0))),INDEX(art_tva,MATCH($E875,art_ref,0)),""),"")))</f>
        <v/>
      </c>
      <c r="N875" s="70" t="str">
        <f>IF(OR(E875="",J875=""),"",ROUND(N(H875)*J875*(1-N(K875)),2))</f>
        <v/>
      </c>
      <c r="O875" s="70" t="str">
        <f>IF(OR(N875="",NOT(ISNUMBER(M875))),"",ROUND(N875*M875,2))</f>
        <v/>
      </c>
      <c r="P875" s="70" t="str">
        <f>IF(N875="","",N875+N(O875))</f>
        <v/>
      </c>
      <c r="Q875" s="64" t="n"/>
      <c r="R875" s="73" t="str">
        <f>IF(N(Q875)&gt;0,Q875,IF(OR(N(B875)=0,ISNA(MATCH($C875,sup_code,0))),"",IF(ISNUMBER(INDEX(sup_delay,MATCH($C875,sup_code,0))),B875+INDEX(sup_delay,MATCH($C875,sup_code,0)),"")))</f>
        <v/>
      </c>
      <c r="S875" s="64" t="n"/>
      <c r="T875" s="68" t="n"/>
      <c r="U875" s="64" t="n"/>
      <c r="V875" s="65" t="n"/>
      <c r="W875" s="74" t="str">
        <f>IF(AND(A875="",E875=""),"",IF(V875="Oui",0,MAX(0,ROUND(N(H875)-N(T875),6))))</f>
        <v/>
      </c>
      <c r="X875" s="67" t="str">
        <f>IF(AND(A875="",E875=""),"",IF(V875="Oui","Annulé",IF(AND(N(H875)&gt;0,N(T875)&gt;=N(H875)),"Reçu",IF(N(S875)=0,"Brouillon",IF(AND(ISNUMBER(R875),R875&lt;p_today),"En retard",IF(N(T875)&gt;0,"Partiel","Envoyé"))))))</f>
        <v/>
      </c>
      <c r="Y875" s="75" t="str">
        <f>IF(X875="En retard",p_today-R875,IF(AND(X875="Reçu",ISNUMBER(R875)),MAX(0,N(U875)-R875),""))</f>
        <v/>
      </c>
      <c r="Z875" s="67" t="str">
        <f>IF(AND(A875="",E875=""),"",IF(A875="","N° de bon manquant",IF(N(B875)=0,"Date de commande manquante",IF(C875="","Fournisseur manquant",IF(ISNA(MATCH($C875,sup_code,0)),"Fournisseur inconnu",IF(E875="","Article manquant",IF(ISNA(MATCH($E875,art_ref,0)),"Article inconnu",IF(N(H875)&lt;=0,"Quantité invalide",IF(J875="","Prix manquant",IF(OR(N(K875)&lt;0,N(K875)&gt;=1),"Remise invalide",IF(M875="","TVA manquante",IF(ISNA(MATCH(M875,p_tva,0)),"Taux de TVA inconnu",IF(COUNTIFS(po_num,A875,po_sup,"&lt;&gt;"&amp;C875)&gt;0,"Fournisseur différent sur ce bon",IF(COUNTIFS(po_num,A875,po_date,"&lt;&gt;"&amp;B875)&gt;0,"Date différente sur ce bon",IF(COUNTIF(po_num,A875)&gt;25,"Plus de 25 lignes sur ce bon",IF(R875="","Date de livraison manquante",IF(R875&lt;B875,"Livraison avant la commande",IF(AND(N(T875)&gt;0,N(S875)=0),"Date d'envoi manquante",IF(N(T875)&gt;N(H875),"Reçu plus que commandé",IF(AND(N(T875)&gt;0,N(U875)=0),"Date de réception manquante",IF(AND(N(U875)&gt;0,U875&lt;B875),"Réception avant la commande","OK")))))))))))))))))))))</f>
        <v/>
      </c>
      <c r="AA875" s="66" t="str">
        <f>IF(AND(X875="Reçu",ISNUMBER(R875)),IF(N(U875)&lt;=R875,1,0),"")</f>
        <v/>
      </c>
      <c r="AB875" s="76" t="str">
        <f>IF(OR(X875="Envoyé",X875="Partiel",X875="En retard"),IF(ISNUMBER(R875),R875,100000)+ROW()/100000,"")</f>
        <v/>
      </c>
      <c r="AC875" s="66" t="str">
        <f>IF(A875="","",IF(COUNTIF($A$6:A875,A875)=1,1,""))</f>
        <v/>
      </c>
      <c r="AD875" s="66" t="str">
        <f>IF(AC875=1,COUNT($AC$6:AC875),"")</f>
        <v/>
      </c>
      <c r="AE875" s="66" t="str">
        <f>IFERROR(INDEX(po_num,MATCH(870,po_seq,0))&amp;"","")</f>
        <v/>
      </c>
      <c r="AF875" s="66" t="str">
        <f>IF(OR(A875="",p_po=""),"",IF(A875&amp;""=p_po,COUNTIF($A$6:A875,A875),""))</f>
        <v/>
      </c>
      <c r="AG875" s="66" t="str">
        <f>IF(OR(AB875="",A875=""),"",IF(COUNTIFS($A$6:A875,A875,$AB$6:AB875,"&gt;0")=1,1,""))</f>
        <v/>
      </c>
      <c r="AH875" s="70" t="str">
        <f>IF(AB875="","",ROUND(N(W875)*N(J875)*(1-N(K875)),2))</f>
        <v/>
      </c>
      <c r="AI875" s="70" t="str">
        <f>IF(OR(J875="",N(T875)&lt;=0,V875="Oui"),"",ROUND(N(T875)*J875*(1-N(K875)),2))</f>
        <v/>
      </c>
    </row>
    <row r="876">
      <c r="A876" s="63" t="n"/>
      <c r="B876" s="64" t="n"/>
      <c r="C876" s="65" t="n"/>
      <c r="D876" s="66" t="str">
        <f>IF(C876="","",IFERROR(INDEX(sup_name,MATCH($C876,sup_code,0))&amp;"","Fournisseur inconnu"))</f>
        <v/>
      </c>
      <c r="E876" s="63" t="n"/>
      <c r="F876" s="66" t="str">
        <f>IF(E876="","",IFERROR(INDEX(art_des,MATCH($E876,art_ref,0))&amp;"","Article inconnu"))</f>
        <v/>
      </c>
      <c r="G876" s="67" t="str">
        <f>IF(E876="","",IFERROR(INDEX(art_unit,MATCH($E876,art_ref,0))&amp;"",""))</f>
        <v/>
      </c>
      <c r="H876" s="68" t="n"/>
      <c r="I876" s="69" t="n"/>
      <c r="J876" s="70" t="str">
        <f>IF(E876="","",IF(ISNUMBER(I876),I876,IFERROR(IF(ISNUMBER(INDEX(art_price,MATCH($E876,art_ref,0))),INDEX(art_price,MATCH($E876,art_ref,0)),""),"")))</f>
        <v/>
      </c>
      <c r="K876" s="71" t="n"/>
      <c r="L876" s="72" t="n"/>
      <c r="M876" s="72" t="str">
        <f>IF(E876="","",IF(L876&lt;&gt;"",L876,IFERROR(IF(ISNUMBER(INDEX(art_tva,MATCH($E876,art_ref,0))),INDEX(art_tva,MATCH($E876,art_ref,0)),""),"")))</f>
        <v/>
      </c>
      <c r="N876" s="70" t="str">
        <f>IF(OR(E876="",J876=""),"",ROUND(N(H876)*J876*(1-N(K876)),2))</f>
        <v/>
      </c>
      <c r="O876" s="70" t="str">
        <f>IF(OR(N876="",NOT(ISNUMBER(M876))),"",ROUND(N876*M876,2))</f>
        <v/>
      </c>
      <c r="P876" s="70" t="str">
        <f>IF(N876="","",N876+N(O876))</f>
        <v/>
      </c>
      <c r="Q876" s="64" t="n"/>
      <c r="R876" s="73" t="str">
        <f>IF(N(Q876)&gt;0,Q876,IF(OR(N(B876)=0,ISNA(MATCH($C876,sup_code,0))),"",IF(ISNUMBER(INDEX(sup_delay,MATCH($C876,sup_code,0))),B876+INDEX(sup_delay,MATCH($C876,sup_code,0)),"")))</f>
        <v/>
      </c>
      <c r="S876" s="64" t="n"/>
      <c r="T876" s="68" t="n"/>
      <c r="U876" s="64" t="n"/>
      <c r="V876" s="65" t="n"/>
      <c r="W876" s="74" t="str">
        <f>IF(AND(A876="",E876=""),"",IF(V876="Oui",0,MAX(0,ROUND(N(H876)-N(T876),6))))</f>
        <v/>
      </c>
      <c r="X876" s="67" t="str">
        <f>IF(AND(A876="",E876=""),"",IF(V876="Oui","Annulé",IF(AND(N(H876)&gt;0,N(T876)&gt;=N(H876)),"Reçu",IF(N(S876)=0,"Brouillon",IF(AND(ISNUMBER(R876),R876&lt;p_today),"En retard",IF(N(T876)&gt;0,"Partiel","Envoyé"))))))</f>
        <v/>
      </c>
      <c r="Y876" s="75" t="str">
        <f>IF(X876="En retard",p_today-R876,IF(AND(X876="Reçu",ISNUMBER(R876)),MAX(0,N(U876)-R876),""))</f>
        <v/>
      </c>
      <c r="Z876" s="67" t="str">
        <f>IF(AND(A876="",E876=""),"",IF(A876="","N° de bon manquant",IF(N(B876)=0,"Date de commande manquante",IF(C876="","Fournisseur manquant",IF(ISNA(MATCH($C876,sup_code,0)),"Fournisseur inconnu",IF(E876="","Article manquant",IF(ISNA(MATCH($E876,art_ref,0)),"Article inconnu",IF(N(H876)&lt;=0,"Quantité invalide",IF(J876="","Prix manquant",IF(OR(N(K876)&lt;0,N(K876)&gt;=1),"Remise invalide",IF(M876="","TVA manquante",IF(ISNA(MATCH(M876,p_tva,0)),"Taux de TVA inconnu",IF(COUNTIFS(po_num,A876,po_sup,"&lt;&gt;"&amp;C876)&gt;0,"Fournisseur différent sur ce bon",IF(COUNTIFS(po_num,A876,po_date,"&lt;&gt;"&amp;B876)&gt;0,"Date différente sur ce bon",IF(COUNTIF(po_num,A876)&gt;25,"Plus de 25 lignes sur ce bon",IF(R876="","Date de livraison manquante",IF(R876&lt;B876,"Livraison avant la commande",IF(AND(N(T876)&gt;0,N(S876)=0),"Date d'envoi manquante",IF(N(T876)&gt;N(H876),"Reçu plus que commandé",IF(AND(N(T876)&gt;0,N(U876)=0),"Date de réception manquante",IF(AND(N(U876)&gt;0,U876&lt;B876),"Réception avant la commande","OK")))))))))))))))))))))</f>
        <v/>
      </c>
      <c r="AA876" s="66" t="str">
        <f>IF(AND(X876="Reçu",ISNUMBER(R876)),IF(N(U876)&lt;=R876,1,0),"")</f>
        <v/>
      </c>
      <c r="AB876" s="76" t="str">
        <f>IF(OR(X876="Envoyé",X876="Partiel",X876="En retard"),IF(ISNUMBER(R876),R876,100000)+ROW()/100000,"")</f>
        <v/>
      </c>
      <c r="AC876" s="66" t="str">
        <f>IF(A876="","",IF(COUNTIF($A$6:A876,A876)=1,1,""))</f>
        <v/>
      </c>
      <c r="AD876" s="66" t="str">
        <f>IF(AC876=1,COUNT($AC$6:AC876),"")</f>
        <v/>
      </c>
      <c r="AE876" s="66" t="str">
        <f>IFERROR(INDEX(po_num,MATCH(871,po_seq,0))&amp;"","")</f>
        <v/>
      </c>
      <c r="AF876" s="66" t="str">
        <f>IF(OR(A876="",p_po=""),"",IF(A876&amp;""=p_po,COUNTIF($A$6:A876,A876),""))</f>
        <v/>
      </c>
      <c r="AG876" s="66" t="str">
        <f>IF(OR(AB876="",A876=""),"",IF(COUNTIFS($A$6:A876,A876,$AB$6:AB876,"&gt;0")=1,1,""))</f>
        <v/>
      </c>
      <c r="AH876" s="70" t="str">
        <f>IF(AB876="","",ROUND(N(W876)*N(J876)*(1-N(K876)),2))</f>
        <v/>
      </c>
      <c r="AI876" s="70" t="str">
        <f>IF(OR(J876="",N(T876)&lt;=0,V876="Oui"),"",ROUND(N(T876)*J876*(1-N(K876)),2))</f>
        <v/>
      </c>
    </row>
    <row r="877">
      <c r="A877" s="63" t="n"/>
      <c r="B877" s="64" t="n"/>
      <c r="C877" s="65" t="n"/>
      <c r="D877" s="66" t="str">
        <f>IF(C877="","",IFERROR(INDEX(sup_name,MATCH($C877,sup_code,0))&amp;"","Fournisseur inconnu"))</f>
        <v/>
      </c>
      <c r="E877" s="63" t="n"/>
      <c r="F877" s="66" t="str">
        <f>IF(E877="","",IFERROR(INDEX(art_des,MATCH($E877,art_ref,0))&amp;"","Article inconnu"))</f>
        <v/>
      </c>
      <c r="G877" s="67" t="str">
        <f>IF(E877="","",IFERROR(INDEX(art_unit,MATCH($E877,art_ref,0))&amp;"",""))</f>
        <v/>
      </c>
      <c r="H877" s="68" t="n"/>
      <c r="I877" s="69" t="n"/>
      <c r="J877" s="70" t="str">
        <f>IF(E877="","",IF(ISNUMBER(I877),I877,IFERROR(IF(ISNUMBER(INDEX(art_price,MATCH($E877,art_ref,0))),INDEX(art_price,MATCH($E877,art_ref,0)),""),"")))</f>
        <v/>
      </c>
      <c r="K877" s="71" t="n"/>
      <c r="L877" s="72" t="n"/>
      <c r="M877" s="72" t="str">
        <f>IF(E877="","",IF(L877&lt;&gt;"",L877,IFERROR(IF(ISNUMBER(INDEX(art_tva,MATCH($E877,art_ref,0))),INDEX(art_tva,MATCH($E877,art_ref,0)),""),"")))</f>
        <v/>
      </c>
      <c r="N877" s="70" t="str">
        <f>IF(OR(E877="",J877=""),"",ROUND(N(H877)*J877*(1-N(K877)),2))</f>
        <v/>
      </c>
      <c r="O877" s="70" t="str">
        <f>IF(OR(N877="",NOT(ISNUMBER(M877))),"",ROUND(N877*M877,2))</f>
        <v/>
      </c>
      <c r="P877" s="70" t="str">
        <f>IF(N877="","",N877+N(O877))</f>
        <v/>
      </c>
      <c r="Q877" s="64" t="n"/>
      <c r="R877" s="73" t="str">
        <f>IF(N(Q877)&gt;0,Q877,IF(OR(N(B877)=0,ISNA(MATCH($C877,sup_code,0))),"",IF(ISNUMBER(INDEX(sup_delay,MATCH($C877,sup_code,0))),B877+INDEX(sup_delay,MATCH($C877,sup_code,0)),"")))</f>
        <v/>
      </c>
      <c r="S877" s="64" t="n"/>
      <c r="T877" s="68" t="n"/>
      <c r="U877" s="64" t="n"/>
      <c r="V877" s="65" t="n"/>
      <c r="W877" s="74" t="str">
        <f>IF(AND(A877="",E877=""),"",IF(V877="Oui",0,MAX(0,ROUND(N(H877)-N(T877),6))))</f>
        <v/>
      </c>
      <c r="X877" s="67" t="str">
        <f>IF(AND(A877="",E877=""),"",IF(V877="Oui","Annulé",IF(AND(N(H877)&gt;0,N(T877)&gt;=N(H877)),"Reçu",IF(N(S877)=0,"Brouillon",IF(AND(ISNUMBER(R877),R877&lt;p_today),"En retard",IF(N(T877)&gt;0,"Partiel","Envoyé"))))))</f>
        <v/>
      </c>
      <c r="Y877" s="75" t="str">
        <f>IF(X877="En retard",p_today-R877,IF(AND(X877="Reçu",ISNUMBER(R877)),MAX(0,N(U877)-R877),""))</f>
        <v/>
      </c>
      <c r="Z877" s="67" t="str">
        <f>IF(AND(A877="",E877=""),"",IF(A877="","N° de bon manquant",IF(N(B877)=0,"Date de commande manquante",IF(C877="","Fournisseur manquant",IF(ISNA(MATCH($C877,sup_code,0)),"Fournisseur inconnu",IF(E877="","Article manquant",IF(ISNA(MATCH($E877,art_ref,0)),"Article inconnu",IF(N(H877)&lt;=0,"Quantité invalide",IF(J877="","Prix manquant",IF(OR(N(K877)&lt;0,N(K877)&gt;=1),"Remise invalide",IF(M877="","TVA manquante",IF(ISNA(MATCH(M877,p_tva,0)),"Taux de TVA inconnu",IF(COUNTIFS(po_num,A877,po_sup,"&lt;&gt;"&amp;C877)&gt;0,"Fournisseur différent sur ce bon",IF(COUNTIFS(po_num,A877,po_date,"&lt;&gt;"&amp;B877)&gt;0,"Date différente sur ce bon",IF(COUNTIF(po_num,A877)&gt;25,"Plus de 25 lignes sur ce bon",IF(R877="","Date de livraison manquante",IF(R877&lt;B877,"Livraison avant la commande",IF(AND(N(T877)&gt;0,N(S877)=0),"Date d'envoi manquante",IF(N(T877)&gt;N(H877),"Reçu plus que commandé",IF(AND(N(T877)&gt;0,N(U877)=0),"Date de réception manquante",IF(AND(N(U877)&gt;0,U877&lt;B877),"Réception avant la commande","OK")))))))))))))))))))))</f>
        <v/>
      </c>
      <c r="AA877" s="66" t="str">
        <f>IF(AND(X877="Reçu",ISNUMBER(R877)),IF(N(U877)&lt;=R877,1,0),"")</f>
        <v/>
      </c>
      <c r="AB877" s="76" t="str">
        <f>IF(OR(X877="Envoyé",X877="Partiel",X877="En retard"),IF(ISNUMBER(R877),R877,100000)+ROW()/100000,"")</f>
        <v/>
      </c>
      <c r="AC877" s="66" t="str">
        <f>IF(A877="","",IF(COUNTIF($A$6:A877,A877)=1,1,""))</f>
        <v/>
      </c>
      <c r="AD877" s="66" t="str">
        <f>IF(AC877=1,COUNT($AC$6:AC877),"")</f>
        <v/>
      </c>
      <c r="AE877" s="66" t="str">
        <f>IFERROR(INDEX(po_num,MATCH(872,po_seq,0))&amp;"","")</f>
        <v/>
      </c>
      <c r="AF877" s="66" t="str">
        <f>IF(OR(A877="",p_po=""),"",IF(A877&amp;""=p_po,COUNTIF($A$6:A877,A877),""))</f>
        <v/>
      </c>
      <c r="AG877" s="66" t="str">
        <f>IF(OR(AB877="",A877=""),"",IF(COUNTIFS($A$6:A877,A877,$AB$6:AB877,"&gt;0")=1,1,""))</f>
        <v/>
      </c>
      <c r="AH877" s="70" t="str">
        <f>IF(AB877="","",ROUND(N(W877)*N(J877)*(1-N(K877)),2))</f>
        <v/>
      </c>
      <c r="AI877" s="70" t="str">
        <f>IF(OR(J877="",N(T877)&lt;=0,V877="Oui"),"",ROUND(N(T877)*J877*(1-N(K877)),2))</f>
        <v/>
      </c>
    </row>
    <row r="878">
      <c r="A878" s="63" t="n"/>
      <c r="B878" s="64" t="n"/>
      <c r="C878" s="65" t="n"/>
      <c r="D878" s="66" t="str">
        <f>IF(C878="","",IFERROR(INDEX(sup_name,MATCH($C878,sup_code,0))&amp;"","Fournisseur inconnu"))</f>
        <v/>
      </c>
      <c r="E878" s="63" t="n"/>
      <c r="F878" s="66" t="str">
        <f>IF(E878="","",IFERROR(INDEX(art_des,MATCH($E878,art_ref,0))&amp;"","Article inconnu"))</f>
        <v/>
      </c>
      <c r="G878" s="67" t="str">
        <f>IF(E878="","",IFERROR(INDEX(art_unit,MATCH($E878,art_ref,0))&amp;"",""))</f>
        <v/>
      </c>
      <c r="H878" s="68" t="n"/>
      <c r="I878" s="69" t="n"/>
      <c r="J878" s="70" t="str">
        <f>IF(E878="","",IF(ISNUMBER(I878),I878,IFERROR(IF(ISNUMBER(INDEX(art_price,MATCH($E878,art_ref,0))),INDEX(art_price,MATCH($E878,art_ref,0)),""),"")))</f>
        <v/>
      </c>
      <c r="K878" s="71" t="n"/>
      <c r="L878" s="72" t="n"/>
      <c r="M878" s="72" t="str">
        <f>IF(E878="","",IF(L878&lt;&gt;"",L878,IFERROR(IF(ISNUMBER(INDEX(art_tva,MATCH($E878,art_ref,0))),INDEX(art_tva,MATCH($E878,art_ref,0)),""),"")))</f>
        <v/>
      </c>
      <c r="N878" s="70" t="str">
        <f>IF(OR(E878="",J878=""),"",ROUND(N(H878)*J878*(1-N(K878)),2))</f>
        <v/>
      </c>
      <c r="O878" s="70" t="str">
        <f>IF(OR(N878="",NOT(ISNUMBER(M878))),"",ROUND(N878*M878,2))</f>
        <v/>
      </c>
      <c r="P878" s="70" t="str">
        <f>IF(N878="","",N878+N(O878))</f>
        <v/>
      </c>
      <c r="Q878" s="64" t="n"/>
      <c r="R878" s="73" t="str">
        <f>IF(N(Q878)&gt;0,Q878,IF(OR(N(B878)=0,ISNA(MATCH($C878,sup_code,0))),"",IF(ISNUMBER(INDEX(sup_delay,MATCH($C878,sup_code,0))),B878+INDEX(sup_delay,MATCH($C878,sup_code,0)),"")))</f>
        <v/>
      </c>
      <c r="S878" s="64" t="n"/>
      <c r="T878" s="68" t="n"/>
      <c r="U878" s="64" t="n"/>
      <c r="V878" s="65" t="n"/>
      <c r="W878" s="74" t="str">
        <f>IF(AND(A878="",E878=""),"",IF(V878="Oui",0,MAX(0,ROUND(N(H878)-N(T878),6))))</f>
        <v/>
      </c>
      <c r="X878" s="67" t="str">
        <f>IF(AND(A878="",E878=""),"",IF(V878="Oui","Annulé",IF(AND(N(H878)&gt;0,N(T878)&gt;=N(H878)),"Reçu",IF(N(S878)=0,"Brouillon",IF(AND(ISNUMBER(R878),R878&lt;p_today),"En retard",IF(N(T878)&gt;0,"Partiel","Envoyé"))))))</f>
        <v/>
      </c>
      <c r="Y878" s="75" t="str">
        <f>IF(X878="En retard",p_today-R878,IF(AND(X878="Reçu",ISNUMBER(R878)),MAX(0,N(U878)-R878),""))</f>
        <v/>
      </c>
      <c r="Z878" s="67" t="str">
        <f>IF(AND(A878="",E878=""),"",IF(A878="","N° de bon manquant",IF(N(B878)=0,"Date de commande manquante",IF(C878="","Fournisseur manquant",IF(ISNA(MATCH($C878,sup_code,0)),"Fournisseur inconnu",IF(E878="","Article manquant",IF(ISNA(MATCH($E878,art_ref,0)),"Article inconnu",IF(N(H878)&lt;=0,"Quantité invalide",IF(J878="","Prix manquant",IF(OR(N(K878)&lt;0,N(K878)&gt;=1),"Remise invalide",IF(M878="","TVA manquante",IF(ISNA(MATCH(M878,p_tva,0)),"Taux de TVA inconnu",IF(COUNTIFS(po_num,A878,po_sup,"&lt;&gt;"&amp;C878)&gt;0,"Fournisseur différent sur ce bon",IF(COUNTIFS(po_num,A878,po_date,"&lt;&gt;"&amp;B878)&gt;0,"Date différente sur ce bon",IF(COUNTIF(po_num,A878)&gt;25,"Plus de 25 lignes sur ce bon",IF(R878="","Date de livraison manquante",IF(R878&lt;B878,"Livraison avant la commande",IF(AND(N(T878)&gt;0,N(S878)=0),"Date d'envoi manquante",IF(N(T878)&gt;N(H878),"Reçu plus que commandé",IF(AND(N(T878)&gt;0,N(U878)=0),"Date de réception manquante",IF(AND(N(U878)&gt;0,U878&lt;B878),"Réception avant la commande","OK")))))))))))))))))))))</f>
        <v/>
      </c>
      <c r="AA878" s="66" t="str">
        <f>IF(AND(X878="Reçu",ISNUMBER(R878)),IF(N(U878)&lt;=R878,1,0),"")</f>
        <v/>
      </c>
      <c r="AB878" s="76" t="str">
        <f>IF(OR(X878="Envoyé",X878="Partiel",X878="En retard"),IF(ISNUMBER(R878),R878,100000)+ROW()/100000,"")</f>
        <v/>
      </c>
      <c r="AC878" s="66" t="str">
        <f>IF(A878="","",IF(COUNTIF($A$6:A878,A878)=1,1,""))</f>
        <v/>
      </c>
      <c r="AD878" s="66" t="str">
        <f>IF(AC878=1,COUNT($AC$6:AC878),"")</f>
        <v/>
      </c>
      <c r="AE878" s="66" t="str">
        <f>IFERROR(INDEX(po_num,MATCH(873,po_seq,0))&amp;"","")</f>
        <v/>
      </c>
      <c r="AF878" s="66" t="str">
        <f>IF(OR(A878="",p_po=""),"",IF(A878&amp;""=p_po,COUNTIF($A$6:A878,A878),""))</f>
        <v/>
      </c>
      <c r="AG878" s="66" t="str">
        <f>IF(OR(AB878="",A878=""),"",IF(COUNTIFS($A$6:A878,A878,$AB$6:AB878,"&gt;0")=1,1,""))</f>
        <v/>
      </c>
      <c r="AH878" s="70" t="str">
        <f>IF(AB878="","",ROUND(N(W878)*N(J878)*(1-N(K878)),2))</f>
        <v/>
      </c>
      <c r="AI878" s="70" t="str">
        <f>IF(OR(J878="",N(T878)&lt;=0,V878="Oui"),"",ROUND(N(T878)*J878*(1-N(K878)),2))</f>
        <v/>
      </c>
    </row>
    <row r="879">
      <c r="A879" s="63" t="n"/>
      <c r="B879" s="64" t="n"/>
      <c r="C879" s="65" t="n"/>
      <c r="D879" s="66" t="str">
        <f>IF(C879="","",IFERROR(INDEX(sup_name,MATCH($C879,sup_code,0))&amp;"","Fournisseur inconnu"))</f>
        <v/>
      </c>
      <c r="E879" s="63" t="n"/>
      <c r="F879" s="66" t="str">
        <f>IF(E879="","",IFERROR(INDEX(art_des,MATCH($E879,art_ref,0))&amp;"","Article inconnu"))</f>
        <v/>
      </c>
      <c r="G879" s="67" t="str">
        <f>IF(E879="","",IFERROR(INDEX(art_unit,MATCH($E879,art_ref,0))&amp;"",""))</f>
        <v/>
      </c>
      <c r="H879" s="68" t="n"/>
      <c r="I879" s="69" t="n"/>
      <c r="J879" s="70" t="str">
        <f>IF(E879="","",IF(ISNUMBER(I879),I879,IFERROR(IF(ISNUMBER(INDEX(art_price,MATCH($E879,art_ref,0))),INDEX(art_price,MATCH($E879,art_ref,0)),""),"")))</f>
        <v/>
      </c>
      <c r="K879" s="71" t="n"/>
      <c r="L879" s="72" t="n"/>
      <c r="M879" s="72" t="str">
        <f>IF(E879="","",IF(L879&lt;&gt;"",L879,IFERROR(IF(ISNUMBER(INDEX(art_tva,MATCH($E879,art_ref,0))),INDEX(art_tva,MATCH($E879,art_ref,0)),""),"")))</f>
        <v/>
      </c>
      <c r="N879" s="70" t="str">
        <f>IF(OR(E879="",J879=""),"",ROUND(N(H879)*J879*(1-N(K879)),2))</f>
        <v/>
      </c>
      <c r="O879" s="70" t="str">
        <f>IF(OR(N879="",NOT(ISNUMBER(M879))),"",ROUND(N879*M879,2))</f>
        <v/>
      </c>
      <c r="P879" s="70" t="str">
        <f>IF(N879="","",N879+N(O879))</f>
        <v/>
      </c>
      <c r="Q879" s="64" t="n"/>
      <c r="R879" s="73" t="str">
        <f>IF(N(Q879)&gt;0,Q879,IF(OR(N(B879)=0,ISNA(MATCH($C879,sup_code,0))),"",IF(ISNUMBER(INDEX(sup_delay,MATCH($C879,sup_code,0))),B879+INDEX(sup_delay,MATCH($C879,sup_code,0)),"")))</f>
        <v/>
      </c>
      <c r="S879" s="64" t="n"/>
      <c r="T879" s="68" t="n"/>
      <c r="U879" s="64" t="n"/>
      <c r="V879" s="65" t="n"/>
      <c r="W879" s="74" t="str">
        <f>IF(AND(A879="",E879=""),"",IF(V879="Oui",0,MAX(0,ROUND(N(H879)-N(T879),6))))</f>
        <v/>
      </c>
      <c r="X879" s="67" t="str">
        <f>IF(AND(A879="",E879=""),"",IF(V879="Oui","Annulé",IF(AND(N(H879)&gt;0,N(T879)&gt;=N(H879)),"Reçu",IF(N(S879)=0,"Brouillon",IF(AND(ISNUMBER(R879),R879&lt;p_today),"En retard",IF(N(T879)&gt;0,"Partiel","Envoyé"))))))</f>
        <v/>
      </c>
      <c r="Y879" s="75" t="str">
        <f>IF(X879="En retard",p_today-R879,IF(AND(X879="Reçu",ISNUMBER(R879)),MAX(0,N(U879)-R879),""))</f>
        <v/>
      </c>
      <c r="Z879" s="67" t="str">
        <f>IF(AND(A879="",E879=""),"",IF(A879="","N° de bon manquant",IF(N(B879)=0,"Date de commande manquante",IF(C879="","Fournisseur manquant",IF(ISNA(MATCH($C879,sup_code,0)),"Fournisseur inconnu",IF(E879="","Article manquant",IF(ISNA(MATCH($E879,art_ref,0)),"Article inconnu",IF(N(H879)&lt;=0,"Quantité invalide",IF(J879="","Prix manquant",IF(OR(N(K879)&lt;0,N(K879)&gt;=1),"Remise invalide",IF(M879="","TVA manquante",IF(ISNA(MATCH(M879,p_tva,0)),"Taux de TVA inconnu",IF(COUNTIFS(po_num,A879,po_sup,"&lt;&gt;"&amp;C879)&gt;0,"Fournisseur différent sur ce bon",IF(COUNTIFS(po_num,A879,po_date,"&lt;&gt;"&amp;B879)&gt;0,"Date différente sur ce bon",IF(COUNTIF(po_num,A879)&gt;25,"Plus de 25 lignes sur ce bon",IF(R879="","Date de livraison manquante",IF(R879&lt;B879,"Livraison avant la commande",IF(AND(N(T879)&gt;0,N(S879)=0),"Date d'envoi manquante",IF(N(T879)&gt;N(H879),"Reçu plus que commandé",IF(AND(N(T879)&gt;0,N(U879)=0),"Date de réception manquante",IF(AND(N(U879)&gt;0,U879&lt;B879),"Réception avant la commande","OK")))))))))))))))))))))</f>
        <v/>
      </c>
      <c r="AA879" s="66" t="str">
        <f>IF(AND(X879="Reçu",ISNUMBER(R879)),IF(N(U879)&lt;=R879,1,0),"")</f>
        <v/>
      </c>
      <c r="AB879" s="76" t="str">
        <f>IF(OR(X879="Envoyé",X879="Partiel",X879="En retard"),IF(ISNUMBER(R879),R879,100000)+ROW()/100000,"")</f>
        <v/>
      </c>
      <c r="AC879" s="66" t="str">
        <f>IF(A879="","",IF(COUNTIF($A$6:A879,A879)=1,1,""))</f>
        <v/>
      </c>
      <c r="AD879" s="66" t="str">
        <f>IF(AC879=1,COUNT($AC$6:AC879),"")</f>
        <v/>
      </c>
      <c r="AE879" s="66" t="str">
        <f>IFERROR(INDEX(po_num,MATCH(874,po_seq,0))&amp;"","")</f>
        <v/>
      </c>
      <c r="AF879" s="66" t="str">
        <f>IF(OR(A879="",p_po=""),"",IF(A879&amp;""=p_po,COUNTIF($A$6:A879,A879),""))</f>
        <v/>
      </c>
      <c r="AG879" s="66" t="str">
        <f>IF(OR(AB879="",A879=""),"",IF(COUNTIFS($A$6:A879,A879,$AB$6:AB879,"&gt;0")=1,1,""))</f>
        <v/>
      </c>
      <c r="AH879" s="70" t="str">
        <f>IF(AB879="","",ROUND(N(W879)*N(J879)*(1-N(K879)),2))</f>
        <v/>
      </c>
      <c r="AI879" s="70" t="str">
        <f>IF(OR(J879="",N(T879)&lt;=0,V879="Oui"),"",ROUND(N(T879)*J879*(1-N(K879)),2))</f>
        <v/>
      </c>
    </row>
    <row r="880">
      <c r="A880" s="63" t="n"/>
      <c r="B880" s="64" t="n"/>
      <c r="C880" s="65" t="n"/>
      <c r="D880" s="66" t="str">
        <f>IF(C880="","",IFERROR(INDEX(sup_name,MATCH($C880,sup_code,0))&amp;"","Fournisseur inconnu"))</f>
        <v/>
      </c>
      <c r="E880" s="63" t="n"/>
      <c r="F880" s="66" t="str">
        <f>IF(E880="","",IFERROR(INDEX(art_des,MATCH($E880,art_ref,0))&amp;"","Article inconnu"))</f>
        <v/>
      </c>
      <c r="G880" s="67" t="str">
        <f>IF(E880="","",IFERROR(INDEX(art_unit,MATCH($E880,art_ref,0))&amp;"",""))</f>
        <v/>
      </c>
      <c r="H880" s="68" t="n"/>
      <c r="I880" s="69" t="n"/>
      <c r="J880" s="70" t="str">
        <f>IF(E880="","",IF(ISNUMBER(I880),I880,IFERROR(IF(ISNUMBER(INDEX(art_price,MATCH($E880,art_ref,0))),INDEX(art_price,MATCH($E880,art_ref,0)),""),"")))</f>
        <v/>
      </c>
      <c r="K880" s="71" t="n"/>
      <c r="L880" s="72" t="n"/>
      <c r="M880" s="72" t="str">
        <f>IF(E880="","",IF(L880&lt;&gt;"",L880,IFERROR(IF(ISNUMBER(INDEX(art_tva,MATCH($E880,art_ref,0))),INDEX(art_tva,MATCH($E880,art_ref,0)),""),"")))</f>
        <v/>
      </c>
      <c r="N880" s="70" t="str">
        <f>IF(OR(E880="",J880=""),"",ROUND(N(H880)*J880*(1-N(K880)),2))</f>
        <v/>
      </c>
      <c r="O880" s="70" t="str">
        <f>IF(OR(N880="",NOT(ISNUMBER(M880))),"",ROUND(N880*M880,2))</f>
        <v/>
      </c>
      <c r="P880" s="70" t="str">
        <f>IF(N880="","",N880+N(O880))</f>
        <v/>
      </c>
      <c r="Q880" s="64" t="n"/>
      <c r="R880" s="73" t="str">
        <f>IF(N(Q880)&gt;0,Q880,IF(OR(N(B880)=0,ISNA(MATCH($C880,sup_code,0))),"",IF(ISNUMBER(INDEX(sup_delay,MATCH($C880,sup_code,0))),B880+INDEX(sup_delay,MATCH($C880,sup_code,0)),"")))</f>
        <v/>
      </c>
      <c r="S880" s="64" t="n"/>
      <c r="T880" s="68" t="n"/>
      <c r="U880" s="64" t="n"/>
      <c r="V880" s="65" t="n"/>
      <c r="W880" s="74" t="str">
        <f>IF(AND(A880="",E880=""),"",IF(V880="Oui",0,MAX(0,ROUND(N(H880)-N(T880),6))))</f>
        <v/>
      </c>
      <c r="X880" s="67" t="str">
        <f>IF(AND(A880="",E880=""),"",IF(V880="Oui","Annulé",IF(AND(N(H880)&gt;0,N(T880)&gt;=N(H880)),"Reçu",IF(N(S880)=0,"Brouillon",IF(AND(ISNUMBER(R880),R880&lt;p_today),"En retard",IF(N(T880)&gt;0,"Partiel","Envoyé"))))))</f>
        <v/>
      </c>
      <c r="Y880" s="75" t="str">
        <f>IF(X880="En retard",p_today-R880,IF(AND(X880="Reçu",ISNUMBER(R880)),MAX(0,N(U880)-R880),""))</f>
        <v/>
      </c>
      <c r="Z880" s="67" t="str">
        <f>IF(AND(A880="",E880=""),"",IF(A880="","N° de bon manquant",IF(N(B880)=0,"Date de commande manquante",IF(C880="","Fournisseur manquant",IF(ISNA(MATCH($C880,sup_code,0)),"Fournisseur inconnu",IF(E880="","Article manquant",IF(ISNA(MATCH($E880,art_ref,0)),"Article inconnu",IF(N(H880)&lt;=0,"Quantité invalide",IF(J880="","Prix manquant",IF(OR(N(K880)&lt;0,N(K880)&gt;=1),"Remise invalide",IF(M880="","TVA manquante",IF(ISNA(MATCH(M880,p_tva,0)),"Taux de TVA inconnu",IF(COUNTIFS(po_num,A880,po_sup,"&lt;&gt;"&amp;C880)&gt;0,"Fournisseur différent sur ce bon",IF(COUNTIFS(po_num,A880,po_date,"&lt;&gt;"&amp;B880)&gt;0,"Date différente sur ce bon",IF(COUNTIF(po_num,A880)&gt;25,"Plus de 25 lignes sur ce bon",IF(R880="","Date de livraison manquante",IF(R880&lt;B880,"Livraison avant la commande",IF(AND(N(T880)&gt;0,N(S880)=0),"Date d'envoi manquante",IF(N(T880)&gt;N(H880),"Reçu plus que commandé",IF(AND(N(T880)&gt;0,N(U880)=0),"Date de réception manquante",IF(AND(N(U880)&gt;0,U880&lt;B880),"Réception avant la commande","OK")))))))))))))))))))))</f>
        <v/>
      </c>
      <c r="AA880" s="66" t="str">
        <f>IF(AND(X880="Reçu",ISNUMBER(R880)),IF(N(U880)&lt;=R880,1,0),"")</f>
        <v/>
      </c>
      <c r="AB880" s="76" t="str">
        <f>IF(OR(X880="Envoyé",X880="Partiel",X880="En retard"),IF(ISNUMBER(R880),R880,100000)+ROW()/100000,"")</f>
        <v/>
      </c>
      <c r="AC880" s="66" t="str">
        <f>IF(A880="","",IF(COUNTIF($A$6:A880,A880)=1,1,""))</f>
        <v/>
      </c>
      <c r="AD880" s="66" t="str">
        <f>IF(AC880=1,COUNT($AC$6:AC880),"")</f>
        <v/>
      </c>
      <c r="AE880" s="66" t="str">
        <f>IFERROR(INDEX(po_num,MATCH(875,po_seq,0))&amp;"","")</f>
        <v/>
      </c>
      <c r="AF880" s="66" t="str">
        <f>IF(OR(A880="",p_po=""),"",IF(A880&amp;""=p_po,COUNTIF($A$6:A880,A880),""))</f>
        <v/>
      </c>
      <c r="AG880" s="66" t="str">
        <f>IF(OR(AB880="",A880=""),"",IF(COUNTIFS($A$6:A880,A880,$AB$6:AB880,"&gt;0")=1,1,""))</f>
        <v/>
      </c>
      <c r="AH880" s="70" t="str">
        <f>IF(AB880="","",ROUND(N(W880)*N(J880)*(1-N(K880)),2))</f>
        <v/>
      </c>
      <c r="AI880" s="70" t="str">
        <f>IF(OR(J880="",N(T880)&lt;=0,V880="Oui"),"",ROUND(N(T880)*J880*(1-N(K880)),2))</f>
        <v/>
      </c>
    </row>
    <row r="881">
      <c r="A881" s="63" t="n"/>
      <c r="B881" s="64" t="n"/>
      <c r="C881" s="65" t="n"/>
      <c r="D881" s="66" t="str">
        <f>IF(C881="","",IFERROR(INDEX(sup_name,MATCH($C881,sup_code,0))&amp;"","Fournisseur inconnu"))</f>
        <v/>
      </c>
      <c r="E881" s="63" t="n"/>
      <c r="F881" s="66" t="str">
        <f>IF(E881="","",IFERROR(INDEX(art_des,MATCH($E881,art_ref,0))&amp;"","Article inconnu"))</f>
        <v/>
      </c>
      <c r="G881" s="67" t="str">
        <f>IF(E881="","",IFERROR(INDEX(art_unit,MATCH($E881,art_ref,0))&amp;"",""))</f>
        <v/>
      </c>
      <c r="H881" s="68" t="n"/>
      <c r="I881" s="69" t="n"/>
      <c r="J881" s="70" t="str">
        <f>IF(E881="","",IF(ISNUMBER(I881),I881,IFERROR(IF(ISNUMBER(INDEX(art_price,MATCH($E881,art_ref,0))),INDEX(art_price,MATCH($E881,art_ref,0)),""),"")))</f>
        <v/>
      </c>
      <c r="K881" s="71" t="n"/>
      <c r="L881" s="72" t="n"/>
      <c r="M881" s="72" t="str">
        <f>IF(E881="","",IF(L881&lt;&gt;"",L881,IFERROR(IF(ISNUMBER(INDEX(art_tva,MATCH($E881,art_ref,0))),INDEX(art_tva,MATCH($E881,art_ref,0)),""),"")))</f>
        <v/>
      </c>
      <c r="N881" s="70" t="str">
        <f>IF(OR(E881="",J881=""),"",ROUND(N(H881)*J881*(1-N(K881)),2))</f>
        <v/>
      </c>
      <c r="O881" s="70" t="str">
        <f>IF(OR(N881="",NOT(ISNUMBER(M881))),"",ROUND(N881*M881,2))</f>
        <v/>
      </c>
      <c r="P881" s="70" t="str">
        <f>IF(N881="","",N881+N(O881))</f>
        <v/>
      </c>
      <c r="Q881" s="64" t="n"/>
      <c r="R881" s="73" t="str">
        <f>IF(N(Q881)&gt;0,Q881,IF(OR(N(B881)=0,ISNA(MATCH($C881,sup_code,0))),"",IF(ISNUMBER(INDEX(sup_delay,MATCH($C881,sup_code,0))),B881+INDEX(sup_delay,MATCH($C881,sup_code,0)),"")))</f>
        <v/>
      </c>
      <c r="S881" s="64" t="n"/>
      <c r="T881" s="68" t="n"/>
      <c r="U881" s="64" t="n"/>
      <c r="V881" s="65" t="n"/>
      <c r="W881" s="74" t="str">
        <f>IF(AND(A881="",E881=""),"",IF(V881="Oui",0,MAX(0,ROUND(N(H881)-N(T881),6))))</f>
        <v/>
      </c>
      <c r="X881" s="67" t="str">
        <f>IF(AND(A881="",E881=""),"",IF(V881="Oui","Annulé",IF(AND(N(H881)&gt;0,N(T881)&gt;=N(H881)),"Reçu",IF(N(S881)=0,"Brouillon",IF(AND(ISNUMBER(R881),R881&lt;p_today),"En retard",IF(N(T881)&gt;0,"Partiel","Envoyé"))))))</f>
        <v/>
      </c>
      <c r="Y881" s="75" t="str">
        <f>IF(X881="En retard",p_today-R881,IF(AND(X881="Reçu",ISNUMBER(R881)),MAX(0,N(U881)-R881),""))</f>
        <v/>
      </c>
      <c r="Z881" s="67" t="str">
        <f>IF(AND(A881="",E881=""),"",IF(A881="","N° de bon manquant",IF(N(B881)=0,"Date de commande manquante",IF(C881="","Fournisseur manquant",IF(ISNA(MATCH($C881,sup_code,0)),"Fournisseur inconnu",IF(E881="","Article manquant",IF(ISNA(MATCH($E881,art_ref,0)),"Article inconnu",IF(N(H881)&lt;=0,"Quantité invalide",IF(J881="","Prix manquant",IF(OR(N(K881)&lt;0,N(K881)&gt;=1),"Remise invalide",IF(M881="","TVA manquante",IF(ISNA(MATCH(M881,p_tva,0)),"Taux de TVA inconnu",IF(COUNTIFS(po_num,A881,po_sup,"&lt;&gt;"&amp;C881)&gt;0,"Fournisseur différent sur ce bon",IF(COUNTIFS(po_num,A881,po_date,"&lt;&gt;"&amp;B881)&gt;0,"Date différente sur ce bon",IF(COUNTIF(po_num,A881)&gt;25,"Plus de 25 lignes sur ce bon",IF(R881="","Date de livraison manquante",IF(R881&lt;B881,"Livraison avant la commande",IF(AND(N(T881)&gt;0,N(S881)=0),"Date d'envoi manquante",IF(N(T881)&gt;N(H881),"Reçu plus que commandé",IF(AND(N(T881)&gt;0,N(U881)=0),"Date de réception manquante",IF(AND(N(U881)&gt;0,U881&lt;B881),"Réception avant la commande","OK")))))))))))))))))))))</f>
        <v/>
      </c>
      <c r="AA881" s="66" t="str">
        <f>IF(AND(X881="Reçu",ISNUMBER(R881)),IF(N(U881)&lt;=R881,1,0),"")</f>
        <v/>
      </c>
      <c r="AB881" s="76" t="str">
        <f>IF(OR(X881="Envoyé",X881="Partiel",X881="En retard"),IF(ISNUMBER(R881),R881,100000)+ROW()/100000,"")</f>
        <v/>
      </c>
      <c r="AC881" s="66" t="str">
        <f>IF(A881="","",IF(COUNTIF($A$6:A881,A881)=1,1,""))</f>
        <v/>
      </c>
      <c r="AD881" s="66" t="str">
        <f>IF(AC881=1,COUNT($AC$6:AC881),"")</f>
        <v/>
      </c>
      <c r="AE881" s="66" t="str">
        <f>IFERROR(INDEX(po_num,MATCH(876,po_seq,0))&amp;"","")</f>
        <v/>
      </c>
      <c r="AF881" s="66" t="str">
        <f>IF(OR(A881="",p_po=""),"",IF(A881&amp;""=p_po,COUNTIF($A$6:A881,A881),""))</f>
        <v/>
      </c>
      <c r="AG881" s="66" t="str">
        <f>IF(OR(AB881="",A881=""),"",IF(COUNTIFS($A$6:A881,A881,$AB$6:AB881,"&gt;0")=1,1,""))</f>
        <v/>
      </c>
      <c r="AH881" s="70" t="str">
        <f>IF(AB881="","",ROUND(N(W881)*N(J881)*(1-N(K881)),2))</f>
        <v/>
      </c>
      <c r="AI881" s="70" t="str">
        <f>IF(OR(J881="",N(T881)&lt;=0,V881="Oui"),"",ROUND(N(T881)*J881*(1-N(K881)),2))</f>
        <v/>
      </c>
    </row>
    <row r="882">
      <c r="A882" s="63" t="n"/>
      <c r="B882" s="64" t="n"/>
      <c r="C882" s="65" t="n"/>
      <c r="D882" s="66" t="str">
        <f>IF(C882="","",IFERROR(INDEX(sup_name,MATCH($C882,sup_code,0))&amp;"","Fournisseur inconnu"))</f>
        <v/>
      </c>
      <c r="E882" s="63" t="n"/>
      <c r="F882" s="66" t="str">
        <f>IF(E882="","",IFERROR(INDEX(art_des,MATCH($E882,art_ref,0))&amp;"","Article inconnu"))</f>
        <v/>
      </c>
      <c r="G882" s="67" t="str">
        <f>IF(E882="","",IFERROR(INDEX(art_unit,MATCH($E882,art_ref,0))&amp;"",""))</f>
        <v/>
      </c>
      <c r="H882" s="68" t="n"/>
      <c r="I882" s="69" t="n"/>
      <c r="J882" s="70" t="str">
        <f>IF(E882="","",IF(ISNUMBER(I882),I882,IFERROR(IF(ISNUMBER(INDEX(art_price,MATCH($E882,art_ref,0))),INDEX(art_price,MATCH($E882,art_ref,0)),""),"")))</f>
        <v/>
      </c>
      <c r="K882" s="71" t="n"/>
      <c r="L882" s="72" t="n"/>
      <c r="M882" s="72" t="str">
        <f>IF(E882="","",IF(L882&lt;&gt;"",L882,IFERROR(IF(ISNUMBER(INDEX(art_tva,MATCH($E882,art_ref,0))),INDEX(art_tva,MATCH($E882,art_ref,0)),""),"")))</f>
        <v/>
      </c>
      <c r="N882" s="70" t="str">
        <f>IF(OR(E882="",J882=""),"",ROUND(N(H882)*J882*(1-N(K882)),2))</f>
        <v/>
      </c>
      <c r="O882" s="70" t="str">
        <f>IF(OR(N882="",NOT(ISNUMBER(M882))),"",ROUND(N882*M882,2))</f>
        <v/>
      </c>
      <c r="P882" s="70" t="str">
        <f>IF(N882="","",N882+N(O882))</f>
        <v/>
      </c>
      <c r="Q882" s="64" t="n"/>
      <c r="R882" s="73" t="str">
        <f>IF(N(Q882)&gt;0,Q882,IF(OR(N(B882)=0,ISNA(MATCH($C882,sup_code,0))),"",IF(ISNUMBER(INDEX(sup_delay,MATCH($C882,sup_code,0))),B882+INDEX(sup_delay,MATCH($C882,sup_code,0)),"")))</f>
        <v/>
      </c>
      <c r="S882" s="64" t="n"/>
      <c r="T882" s="68" t="n"/>
      <c r="U882" s="64" t="n"/>
      <c r="V882" s="65" t="n"/>
      <c r="W882" s="74" t="str">
        <f>IF(AND(A882="",E882=""),"",IF(V882="Oui",0,MAX(0,ROUND(N(H882)-N(T882),6))))</f>
        <v/>
      </c>
      <c r="X882" s="67" t="str">
        <f>IF(AND(A882="",E882=""),"",IF(V882="Oui","Annulé",IF(AND(N(H882)&gt;0,N(T882)&gt;=N(H882)),"Reçu",IF(N(S882)=0,"Brouillon",IF(AND(ISNUMBER(R882),R882&lt;p_today),"En retard",IF(N(T882)&gt;0,"Partiel","Envoyé"))))))</f>
        <v/>
      </c>
      <c r="Y882" s="75" t="str">
        <f>IF(X882="En retard",p_today-R882,IF(AND(X882="Reçu",ISNUMBER(R882)),MAX(0,N(U882)-R882),""))</f>
        <v/>
      </c>
      <c r="Z882" s="67" t="str">
        <f>IF(AND(A882="",E882=""),"",IF(A882="","N° de bon manquant",IF(N(B882)=0,"Date de commande manquante",IF(C882="","Fournisseur manquant",IF(ISNA(MATCH($C882,sup_code,0)),"Fournisseur inconnu",IF(E882="","Article manquant",IF(ISNA(MATCH($E882,art_ref,0)),"Article inconnu",IF(N(H882)&lt;=0,"Quantité invalide",IF(J882="","Prix manquant",IF(OR(N(K882)&lt;0,N(K882)&gt;=1),"Remise invalide",IF(M882="","TVA manquante",IF(ISNA(MATCH(M882,p_tva,0)),"Taux de TVA inconnu",IF(COUNTIFS(po_num,A882,po_sup,"&lt;&gt;"&amp;C882)&gt;0,"Fournisseur différent sur ce bon",IF(COUNTIFS(po_num,A882,po_date,"&lt;&gt;"&amp;B882)&gt;0,"Date différente sur ce bon",IF(COUNTIF(po_num,A882)&gt;25,"Plus de 25 lignes sur ce bon",IF(R882="","Date de livraison manquante",IF(R882&lt;B882,"Livraison avant la commande",IF(AND(N(T882)&gt;0,N(S882)=0),"Date d'envoi manquante",IF(N(T882)&gt;N(H882),"Reçu plus que commandé",IF(AND(N(T882)&gt;0,N(U882)=0),"Date de réception manquante",IF(AND(N(U882)&gt;0,U882&lt;B882),"Réception avant la commande","OK")))))))))))))))))))))</f>
        <v/>
      </c>
      <c r="AA882" s="66" t="str">
        <f>IF(AND(X882="Reçu",ISNUMBER(R882)),IF(N(U882)&lt;=R882,1,0),"")</f>
        <v/>
      </c>
      <c r="AB882" s="76" t="str">
        <f>IF(OR(X882="Envoyé",X882="Partiel",X882="En retard"),IF(ISNUMBER(R882),R882,100000)+ROW()/100000,"")</f>
        <v/>
      </c>
      <c r="AC882" s="66" t="str">
        <f>IF(A882="","",IF(COUNTIF($A$6:A882,A882)=1,1,""))</f>
        <v/>
      </c>
      <c r="AD882" s="66" t="str">
        <f>IF(AC882=1,COUNT($AC$6:AC882),"")</f>
        <v/>
      </c>
      <c r="AE882" s="66" t="str">
        <f>IFERROR(INDEX(po_num,MATCH(877,po_seq,0))&amp;"","")</f>
        <v/>
      </c>
      <c r="AF882" s="66" t="str">
        <f>IF(OR(A882="",p_po=""),"",IF(A882&amp;""=p_po,COUNTIF($A$6:A882,A882),""))</f>
        <v/>
      </c>
      <c r="AG882" s="66" t="str">
        <f>IF(OR(AB882="",A882=""),"",IF(COUNTIFS($A$6:A882,A882,$AB$6:AB882,"&gt;0")=1,1,""))</f>
        <v/>
      </c>
      <c r="AH882" s="70" t="str">
        <f>IF(AB882="","",ROUND(N(W882)*N(J882)*(1-N(K882)),2))</f>
        <v/>
      </c>
      <c r="AI882" s="70" t="str">
        <f>IF(OR(J882="",N(T882)&lt;=0,V882="Oui"),"",ROUND(N(T882)*J882*(1-N(K882)),2))</f>
        <v/>
      </c>
    </row>
    <row r="883">
      <c r="A883" s="63" t="n"/>
      <c r="B883" s="64" t="n"/>
      <c r="C883" s="65" t="n"/>
      <c r="D883" s="66" t="str">
        <f>IF(C883="","",IFERROR(INDEX(sup_name,MATCH($C883,sup_code,0))&amp;"","Fournisseur inconnu"))</f>
        <v/>
      </c>
      <c r="E883" s="63" t="n"/>
      <c r="F883" s="66" t="str">
        <f>IF(E883="","",IFERROR(INDEX(art_des,MATCH($E883,art_ref,0))&amp;"","Article inconnu"))</f>
        <v/>
      </c>
      <c r="G883" s="67" t="str">
        <f>IF(E883="","",IFERROR(INDEX(art_unit,MATCH($E883,art_ref,0))&amp;"",""))</f>
        <v/>
      </c>
      <c r="H883" s="68" t="n"/>
      <c r="I883" s="69" t="n"/>
      <c r="J883" s="70" t="str">
        <f>IF(E883="","",IF(ISNUMBER(I883),I883,IFERROR(IF(ISNUMBER(INDEX(art_price,MATCH($E883,art_ref,0))),INDEX(art_price,MATCH($E883,art_ref,0)),""),"")))</f>
        <v/>
      </c>
      <c r="K883" s="71" t="n"/>
      <c r="L883" s="72" t="n"/>
      <c r="M883" s="72" t="str">
        <f>IF(E883="","",IF(L883&lt;&gt;"",L883,IFERROR(IF(ISNUMBER(INDEX(art_tva,MATCH($E883,art_ref,0))),INDEX(art_tva,MATCH($E883,art_ref,0)),""),"")))</f>
        <v/>
      </c>
      <c r="N883" s="70" t="str">
        <f>IF(OR(E883="",J883=""),"",ROUND(N(H883)*J883*(1-N(K883)),2))</f>
        <v/>
      </c>
      <c r="O883" s="70" t="str">
        <f>IF(OR(N883="",NOT(ISNUMBER(M883))),"",ROUND(N883*M883,2))</f>
        <v/>
      </c>
      <c r="P883" s="70" t="str">
        <f>IF(N883="","",N883+N(O883))</f>
        <v/>
      </c>
      <c r="Q883" s="64" t="n"/>
      <c r="R883" s="73" t="str">
        <f>IF(N(Q883)&gt;0,Q883,IF(OR(N(B883)=0,ISNA(MATCH($C883,sup_code,0))),"",IF(ISNUMBER(INDEX(sup_delay,MATCH($C883,sup_code,0))),B883+INDEX(sup_delay,MATCH($C883,sup_code,0)),"")))</f>
        <v/>
      </c>
      <c r="S883" s="64" t="n"/>
      <c r="T883" s="68" t="n"/>
      <c r="U883" s="64" t="n"/>
      <c r="V883" s="65" t="n"/>
      <c r="W883" s="74" t="str">
        <f>IF(AND(A883="",E883=""),"",IF(V883="Oui",0,MAX(0,ROUND(N(H883)-N(T883),6))))</f>
        <v/>
      </c>
      <c r="X883" s="67" t="str">
        <f>IF(AND(A883="",E883=""),"",IF(V883="Oui","Annulé",IF(AND(N(H883)&gt;0,N(T883)&gt;=N(H883)),"Reçu",IF(N(S883)=0,"Brouillon",IF(AND(ISNUMBER(R883),R883&lt;p_today),"En retard",IF(N(T883)&gt;0,"Partiel","Envoyé"))))))</f>
        <v/>
      </c>
      <c r="Y883" s="75" t="str">
        <f>IF(X883="En retard",p_today-R883,IF(AND(X883="Reçu",ISNUMBER(R883)),MAX(0,N(U883)-R883),""))</f>
        <v/>
      </c>
      <c r="Z883" s="67" t="str">
        <f>IF(AND(A883="",E883=""),"",IF(A883="","N° de bon manquant",IF(N(B883)=0,"Date de commande manquante",IF(C883="","Fournisseur manquant",IF(ISNA(MATCH($C883,sup_code,0)),"Fournisseur inconnu",IF(E883="","Article manquant",IF(ISNA(MATCH($E883,art_ref,0)),"Article inconnu",IF(N(H883)&lt;=0,"Quantité invalide",IF(J883="","Prix manquant",IF(OR(N(K883)&lt;0,N(K883)&gt;=1),"Remise invalide",IF(M883="","TVA manquante",IF(ISNA(MATCH(M883,p_tva,0)),"Taux de TVA inconnu",IF(COUNTIFS(po_num,A883,po_sup,"&lt;&gt;"&amp;C883)&gt;0,"Fournisseur différent sur ce bon",IF(COUNTIFS(po_num,A883,po_date,"&lt;&gt;"&amp;B883)&gt;0,"Date différente sur ce bon",IF(COUNTIF(po_num,A883)&gt;25,"Plus de 25 lignes sur ce bon",IF(R883="","Date de livraison manquante",IF(R883&lt;B883,"Livraison avant la commande",IF(AND(N(T883)&gt;0,N(S883)=0),"Date d'envoi manquante",IF(N(T883)&gt;N(H883),"Reçu plus que commandé",IF(AND(N(T883)&gt;0,N(U883)=0),"Date de réception manquante",IF(AND(N(U883)&gt;0,U883&lt;B883),"Réception avant la commande","OK")))))))))))))))))))))</f>
        <v/>
      </c>
      <c r="AA883" s="66" t="str">
        <f>IF(AND(X883="Reçu",ISNUMBER(R883)),IF(N(U883)&lt;=R883,1,0),"")</f>
        <v/>
      </c>
      <c r="AB883" s="76" t="str">
        <f>IF(OR(X883="Envoyé",X883="Partiel",X883="En retard"),IF(ISNUMBER(R883),R883,100000)+ROW()/100000,"")</f>
        <v/>
      </c>
      <c r="AC883" s="66" t="str">
        <f>IF(A883="","",IF(COUNTIF($A$6:A883,A883)=1,1,""))</f>
        <v/>
      </c>
      <c r="AD883" s="66" t="str">
        <f>IF(AC883=1,COUNT($AC$6:AC883),"")</f>
        <v/>
      </c>
      <c r="AE883" s="66" t="str">
        <f>IFERROR(INDEX(po_num,MATCH(878,po_seq,0))&amp;"","")</f>
        <v/>
      </c>
      <c r="AF883" s="66" t="str">
        <f>IF(OR(A883="",p_po=""),"",IF(A883&amp;""=p_po,COUNTIF($A$6:A883,A883),""))</f>
        <v/>
      </c>
      <c r="AG883" s="66" t="str">
        <f>IF(OR(AB883="",A883=""),"",IF(COUNTIFS($A$6:A883,A883,$AB$6:AB883,"&gt;0")=1,1,""))</f>
        <v/>
      </c>
      <c r="AH883" s="70" t="str">
        <f>IF(AB883="","",ROUND(N(W883)*N(J883)*(1-N(K883)),2))</f>
        <v/>
      </c>
      <c r="AI883" s="70" t="str">
        <f>IF(OR(J883="",N(T883)&lt;=0,V883="Oui"),"",ROUND(N(T883)*J883*(1-N(K883)),2))</f>
        <v/>
      </c>
    </row>
    <row r="884">
      <c r="A884" s="63" t="n"/>
      <c r="B884" s="64" t="n"/>
      <c r="C884" s="65" t="n"/>
      <c r="D884" s="66" t="str">
        <f>IF(C884="","",IFERROR(INDEX(sup_name,MATCH($C884,sup_code,0))&amp;"","Fournisseur inconnu"))</f>
        <v/>
      </c>
      <c r="E884" s="63" t="n"/>
      <c r="F884" s="66" t="str">
        <f>IF(E884="","",IFERROR(INDEX(art_des,MATCH($E884,art_ref,0))&amp;"","Article inconnu"))</f>
        <v/>
      </c>
      <c r="G884" s="67" t="str">
        <f>IF(E884="","",IFERROR(INDEX(art_unit,MATCH($E884,art_ref,0))&amp;"",""))</f>
        <v/>
      </c>
      <c r="H884" s="68" t="n"/>
      <c r="I884" s="69" t="n"/>
      <c r="J884" s="70" t="str">
        <f>IF(E884="","",IF(ISNUMBER(I884),I884,IFERROR(IF(ISNUMBER(INDEX(art_price,MATCH($E884,art_ref,0))),INDEX(art_price,MATCH($E884,art_ref,0)),""),"")))</f>
        <v/>
      </c>
      <c r="K884" s="71" t="n"/>
      <c r="L884" s="72" t="n"/>
      <c r="M884" s="72" t="str">
        <f>IF(E884="","",IF(L884&lt;&gt;"",L884,IFERROR(IF(ISNUMBER(INDEX(art_tva,MATCH($E884,art_ref,0))),INDEX(art_tva,MATCH($E884,art_ref,0)),""),"")))</f>
        <v/>
      </c>
      <c r="N884" s="70" t="str">
        <f>IF(OR(E884="",J884=""),"",ROUND(N(H884)*J884*(1-N(K884)),2))</f>
        <v/>
      </c>
      <c r="O884" s="70" t="str">
        <f>IF(OR(N884="",NOT(ISNUMBER(M884))),"",ROUND(N884*M884,2))</f>
        <v/>
      </c>
      <c r="P884" s="70" t="str">
        <f>IF(N884="","",N884+N(O884))</f>
        <v/>
      </c>
      <c r="Q884" s="64" t="n"/>
      <c r="R884" s="73" t="str">
        <f>IF(N(Q884)&gt;0,Q884,IF(OR(N(B884)=0,ISNA(MATCH($C884,sup_code,0))),"",IF(ISNUMBER(INDEX(sup_delay,MATCH($C884,sup_code,0))),B884+INDEX(sup_delay,MATCH($C884,sup_code,0)),"")))</f>
        <v/>
      </c>
      <c r="S884" s="64" t="n"/>
      <c r="T884" s="68" t="n"/>
      <c r="U884" s="64" t="n"/>
      <c r="V884" s="65" t="n"/>
      <c r="W884" s="74" t="str">
        <f>IF(AND(A884="",E884=""),"",IF(V884="Oui",0,MAX(0,ROUND(N(H884)-N(T884),6))))</f>
        <v/>
      </c>
      <c r="X884" s="67" t="str">
        <f>IF(AND(A884="",E884=""),"",IF(V884="Oui","Annulé",IF(AND(N(H884)&gt;0,N(T884)&gt;=N(H884)),"Reçu",IF(N(S884)=0,"Brouillon",IF(AND(ISNUMBER(R884),R884&lt;p_today),"En retard",IF(N(T884)&gt;0,"Partiel","Envoyé"))))))</f>
        <v/>
      </c>
      <c r="Y884" s="75" t="str">
        <f>IF(X884="En retard",p_today-R884,IF(AND(X884="Reçu",ISNUMBER(R884)),MAX(0,N(U884)-R884),""))</f>
        <v/>
      </c>
      <c r="Z884" s="67" t="str">
        <f>IF(AND(A884="",E884=""),"",IF(A884="","N° de bon manquant",IF(N(B884)=0,"Date de commande manquante",IF(C884="","Fournisseur manquant",IF(ISNA(MATCH($C884,sup_code,0)),"Fournisseur inconnu",IF(E884="","Article manquant",IF(ISNA(MATCH($E884,art_ref,0)),"Article inconnu",IF(N(H884)&lt;=0,"Quantité invalide",IF(J884="","Prix manquant",IF(OR(N(K884)&lt;0,N(K884)&gt;=1),"Remise invalide",IF(M884="","TVA manquante",IF(ISNA(MATCH(M884,p_tva,0)),"Taux de TVA inconnu",IF(COUNTIFS(po_num,A884,po_sup,"&lt;&gt;"&amp;C884)&gt;0,"Fournisseur différent sur ce bon",IF(COUNTIFS(po_num,A884,po_date,"&lt;&gt;"&amp;B884)&gt;0,"Date différente sur ce bon",IF(COUNTIF(po_num,A884)&gt;25,"Plus de 25 lignes sur ce bon",IF(R884="","Date de livraison manquante",IF(R884&lt;B884,"Livraison avant la commande",IF(AND(N(T884)&gt;0,N(S884)=0),"Date d'envoi manquante",IF(N(T884)&gt;N(H884),"Reçu plus que commandé",IF(AND(N(T884)&gt;0,N(U884)=0),"Date de réception manquante",IF(AND(N(U884)&gt;0,U884&lt;B884),"Réception avant la commande","OK")))))))))))))))))))))</f>
        <v/>
      </c>
      <c r="AA884" s="66" t="str">
        <f>IF(AND(X884="Reçu",ISNUMBER(R884)),IF(N(U884)&lt;=R884,1,0),"")</f>
        <v/>
      </c>
      <c r="AB884" s="76" t="str">
        <f>IF(OR(X884="Envoyé",X884="Partiel",X884="En retard"),IF(ISNUMBER(R884),R884,100000)+ROW()/100000,"")</f>
        <v/>
      </c>
      <c r="AC884" s="66" t="str">
        <f>IF(A884="","",IF(COUNTIF($A$6:A884,A884)=1,1,""))</f>
        <v/>
      </c>
      <c r="AD884" s="66" t="str">
        <f>IF(AC884=1,COUNT($AC$6:AC884),"")</f>
        <v/>
      </c>
      <c r="AE884" s="66" t="str">
        <f>IFERROR(INDEX(po_num,MATCH(879,po_seq,0))&amp;"","")</f>
        <v/>
      </c>
      <c r="AF884" s="66" t="str">
        <f>IF(OR(A884="",p_po=""),"",IF(A884&amp;""=p_po,COUNTIF($A$6:A884,A884),""))</f>
        <v/>
      </c>
      <c r="AG884" s="66" t="str">
        <f>IF(OR(AB884="",A884=""),"",IF(COUNTIFS($A$6:A884,A884,$AB$6:AB884,"&gt;0")=1,1,""))</f>
        <v/>
      </c>
      <c r="AH884" s="70" t="str">
        <f>IF(AB884="","",ROUND(N(W884)*N(J884)*(1-N(K884)),2))</f>
        <v/>
      </c>
      <c r="AI884" s="70" t="str">
        <f>IF(OR(J884="",N(T884)&lt;=0,V884="Oui"),"",ROUND(N(T884)*J884*(1-N(K884)),2))</f>
        <v/>
      </c>
    </row>
    <row r="885">
      <c r="A885" s="63" t="n"/>
      <c r="B885" s="64" t="n"/>
      <c r="C885" s="65" t="n"/>
      <c r="D885" s="66" t="str">
        <f>IF(C885="","",IFERROR(INDEX(sup_name,MATCH($C885,sup_code,0))&amp;"","Fournisseur inconnu"))</f>
        <v/>
      </c>
      <c r="E885" s="63" t="n"/>
      <c r="F885" s="66" t="str">
        <f>IF(E885="","",IFERROR(INDEX(art_des,MATCH($E885,art_ref,0))&amp;"","Article inconnu"))</f>
        <v/>
      </c>
      <c r="G885" s="67" t="str">
        <f>IF(E885="","",IFERROR(INDEX(art_unit,MATCH($E885,art_ref,0))&amp;"",""))</f>
        <v/>
      </c>
      <c r="H885" s="68" t="n"/>
      <c r="I885" s="69" t="n"/>
      <c r="J885" s="70" t="str">
        <f>IF(E885="","",IF(ISNUMBER(I885),I885,IFERROR(IF(ISNUMBER(INDEX(art_price,MATCH($E885,art_ref,0))),INDEX(art_price,MATCH($E885,art_ref,0)),""),"")))</f>
        <v/>
      </c>
      <c r="K885" s="71" t="n"/>
      <c r="L885" s="72" t="n"/>
      <c r="M885" s="72" t="str">
        <f>IF(E885="","",IF(L885&lt;&gt;"",L885,IFERROR(IF(ISNUMBER(INDEX(art_tva,MATCH($E885,art_ref,0))),INDEX(art_tva,MATCH($E885,art_ref,0)),""),"")))</f>
        <v/>
      </c>
      <c r="N885" s="70" t="str">
        <f>IF(OR(E885="",J885=""),"",ROUND(N(H885)*J885*(1-N(K885)),2))</f>
        <v/>
      </c>
      <c r="O885" s="70" t="str">
        <f>IF(OR(N885="",NOT(ISNUMBER(M885))),"",ROUND(N885*M885,2))</f>
        <v/>
      </c>
      <c r="P885" s="70" t="str">
        <f>IF(N885="","",N885+N(O885))</f>
        <v/>
      </c>
      <c r="Q885" s="64" t="n"/>
      <c r="R885" s="73" t="str">
        <f>IF(N(Q885)&gt;0,Q885,IF(OR(N(B885)=0,ISNA(MATCH($C885,sup_code,0))),"",IF(ISNUMBER(INDEX(sup_delay,MATCH($C885,sup_code,0))),B885+INDEX(sup_delay,MATCH($C885,sup_code,0)),"")))</f>
        <v/>
      </c>
      <c r="S885" s="64" t="n"/>
      <c r="T885" s="68" t="n"/>
      <c r="U885" s="64" t="n"/>
      <c r="V885" s="65" t="n"/>
      <c r="W885" s="74" t="str">
        <f>IF(AND(A885="",E885=""),"",IF(V885="Oui",0,MAX(0,ROUND(N(H885)-N(T885),6))))</f>
        <v/>
      </c>
      <c r="X885" s="67" t="str">
        <f>IF(AND(A885="",E885=""),"",IF(V885="Oui","Annulé",IF(AND(N(H885)&gt;0,N(T885)&gt;=N(H885)),"Reçu",IF(N(S885)=0,"Brouillon",IF(AND(ISNUMBER(R885),R885&lt;p_today),"En retard",IF(N(T885)&gt;0,"Partiel","Envoyé"))))))</f>
        <v/>
      </c>
      <c r="Y885" s="75" t="str">
        <f>IF(X885="En retard",p_today-R885,IF(AND(X885="Reçu",ISNUMBER(R885)),MAX(0,N(U885)-R885),""))</f>
        <v/>
      </c>
      <c r="Z885" s="67" t="str">
        <f>IF(AND(A885="",E885=""),"",IF(A885="","N° de bon manquant",IF(N(B885)=0,"Date de commande manquante",IF(C885="","Fournisseur manquant",IF(ISNA(MATCH($C885,sup_code,0)),"Fournisseur inconnu",IF(E885="","Article manquant",IF(ISNA(MATCH($E885,art_ref,0)),"Article inconnu",IF(N(H885)&lt;=0,"Quantité invalide",IF(J885="","Prix manquant",IF(OR(N(K885)&lt;0,N(K885)&gt;=1),"Remise invalide",IF(M885="","TVA manquante",IF(ISNA(MATCH(M885,p_tva,0)),"Taux de TVA inconnu",IF(COUNTIFS(po_num,A885,po_sup,"&lt;&gt;"&amp;C885)&gt;0,"Fournisseur différent sur ce bon",IF(COUNTIFS(po_num,A885,po_date,"&lt;&gt;"&amp;B885)&gt;0,"Date différente sur ce bon",IF(COUNTIF(po_num,A885)&gt;25,"Plus de 25 lignes sur ce bon",IF(R885="","Date de livraison manquante",IF(R885&lt;B885,"Livraison avant la commande",IF(AND(N(T885)&gt;0,N(S885)=0),"Date d'envoi manquante",IF(N(T885)&gt;N(H885),"Reçu plus que commandé",IF(AND(N(T885)&gt;0,N(U885)=0),"Date de réception manquante",IF(AND(N(U885)&gt;0,U885&lt;B885),"Réception avant la commande","OK")))))))))))))))))))))</f>
        <v/>
      </c>
      <c r="AA885" s="66" t="str">
        <f>IF(AND(X885="Reçu",ISNUMBER(R885)),IF(N(U885)&lt;=R885,1,0),"")</f>
        <v/>
      </c>
      <c r="AB885" s="76" t="str">
        <f>IF(OR(X885="Envoyé",X885="Partiel",X885="En retard"),IF(ISNUMBER(R885),R885,100000)+ROW()/100000,"")</f>
        <v/>
      </c>
      <c r="AC885" s="66" t="str">
        <f>IF(A885="","",IF(COUNTIF($A$6:A885,A885)=1,1,""))</f>
        <v/>
      </c>
      <c r="AD885" s="66" t="str">
        <f>IF(AC885=1,COUNT($AC$6:AC885),"")</f>
        <v/>
      </c>
      <c r="AE885" s="66" t="str">
        <f>IFERROR(INDEX(po_num,MATCH(880,po_seq,0))&amp;"","")</f>
        <v/>
      </c>
      <c r="AF885" s="66" t="str">
        <f>IF(OR(A885="",p_po=""),"",IF(A885&amp;""=p_po,COUNTIF($A$6:A885,A885),""))</f>
        <v/>
      </c>
      <c r="AG885" s="66" t="str">
        <f>IF(OR(AB885="",A885=""),"",IF(COUNTIFS($A$6:A885,A885,$AB$6:AB885,"&gt;0")=1,1,""))</f>
        <v/>
      </c>
      <c r="AH885" s="70" t="str">
        <f>IF(AB885="","",ROUND(N(W885)*N(J885)*(1-N(K885)),2))</f>
        <v/>
      </c>
      <c r="AI885" s="70" t="str">
        <f>IF(OR(J885="",N(T885)&lt;=0,V885="Oui"),"",ROUND(N(T885)*J885*(1-N(K885)),2))</f>
        <v/>
      </c>
    </row>
    <row r="886">
      <c r="A886" s="63" t="n"/>
      <c r="B886" s="64" t="n"/>
      <c r="C886" s="65" t="n"/>
      <c r="D886" s="66" t="str">
        <f>IF(C886="","",IFERROR(INDEX(sup_name,MATCH($C886,sup_code,0))&amp;"","Fournisseur inconnu"))</f>
        <v/>
      </c>
      <c r="E886" s="63" t="n"/>
      <c r="F886" s="66" t="str">
        <f>IF(E886="","",IFERROR(INDEX(art_des,MATCH($E886,art_ref,0))&amp;"","Article inconnu"))</f>
        <v/>
      </c>
      <c r="G886" s="67" t="str">
        <f>IF(E886="","",IFERROR(INDEX(art_unit,MATCH($E886,art_ref,0))&amp;"",""))</f>
        <v/>
      </c>
      <c r="H886" s="68" t="n"/>
      <c r="I886" s="69" t="n"/>
      <c r="J886" s="70" t="str">
        <f>IF(E886="","",IF(ISNUMBER(I886),I886,IFERROR(IF(ISNUMBER(INDEX(art_price,MATCH($E886,art_ref,0))),INDEX(art_price,MATCH($E886,art_ref,0)),""),"")))</f>
        <v/>
      </c>
      <c r="K886" s="71" t="n"/>
      <c r="L886" s="72" t="n"/>
      <c r="M886" s="72" t="str">
        <f>IF(E886="","",IF(L886&lt;&gt;"",L886,IFERROR(IF(ISNUMBER(INDEX(art_tva,MATCH($E886,art_ref,0))),INDEX(art_tva,MATCH($E886,art_ref,0)),""),"")))</f>
        <v/>
      </c>
      <c r="N886" s="70" t="str">
        <f>IF(OR(E886="",J886=""),"",ROUND(N(H886)*J886*(1-N(K886)),2))</f>
        <v/>
      </c>
      <c r="O886" s="70" t="str">
        <f>IF(OR(N886="",NOT(ISNUMBER(M886))),"",ROUND(N886*M886,2))</f>
        <v/>
      </c>
      <c r="P886" s="70" t="str">
        <f>IF(N886="","",N886+N(O886))</f>
        <v/>
      </c>
      <c r="Q886" s="64" t="n"/>
      <c r="R886" s="73" t="str">
        <f>IF(N(Q886)&gt;0,Q886,IF(OR(N(B886)=0,ISNA(MATCH($C886,sup_code,0))),"",IF(ISNUMBER(INDEX(sup_delay,MATCH($C886,sup_code,0))),B886+INDEX(sup_delay,MATCH($C886,sup_code,0)),"")))</f>
        <v/>
      </c>
      <c r="S886" s="64" t="n"/>
      <c r="T886" s="68" t="n"/>
      <c r="U886" s="64" t="n"/>
      <c r="V886" s="65" t="n"/>
      <c r="W886" s="74" t="str">
        <f>IF(AND(A886="",E886=""),"",IF(V886="Oui",0,MAX(0,ROUND(N(H886)-N(T886),6))))</f>
        <v/>
      </c>
      <c r="X886" s="67" t="str">
        <f>IF(AND(A886="",E886=""),"",IF(V886="Oui","Annulé",IF(AND(N(H886)&gt;0,N(T886)&gt;=N(H886)),"Reçu",IF(N(S886)=0,"Brouillon",IF(AND(ISNUMBER(R886),R886&lt;p_today),"En retard",IF(N(T886)&gt;0,"Partiel","Envoyé"))))))</f>
        <v/>
      </c>
      <c r="Y886" s="75" t="str">
        <f>IF(X886="En retard",p_today-R886,IF(AND(X886="Reçu",ISNUMBER(R886)),MAX(0,N(U886)-R886),""))</f>
        <v/>
      </c>
      <c r="Z886" s="67" t="str">
        <f>IF(AND(A886="",E886=""),"",IF(A886="","N° de bon manquant",IF(N(B886)=0,"Date de commande manquante",IF(C886="","Fournisseur manquant",IF(ISNA(MATCH($C886,sup_code,0)),"Fournisseur inconnu",IF(E886="","Article manquant",IF(ISNA(MATCH($E886,art_ref,0)),"Article inconnu",IF(N(H886)&lt;=0,"Quantité invalide",IF(J886="","Prix manquant",IF(OR(N(K886)&lt;0,N(K886)&gt;=1),"Remise invalide",IF(M886="","TVA manquante",IF(ISNA(MATCH(M886,p_tva,0)),"Taux de TVA inconnu",IF(COUNTIFS(po_num,A886,po_sup,"&lt;&gt;"&amp;C886)&gt;0,"Fournisseur différent sur ce bon",IF(COUNTIFS(po_num,A886,po_date,"&lt;&gt;"&amp;B886)&gt;0,"Date différente sur ce bon",IF(COUNTIF(po_num,A886)&gt;25,"Plus de 25 lignes sur ce bon",IF(R886="","Date de livraison manquante",IF(R886&lt;B886,"Livraison avant la commande",IF(AND(N(T886)&gt;0,N(S886)=0),"Date d'envoi manquante",IF(N(T886)&gt;N(H886),"Reçu plus que commandé",IF(AND(N(T886)&gt;0,N(U886)=0),"Date de réception manquante",IF(AND(N(U886)&gt;0,U886&lt;B886),"Réception avant la commande","OK")))))))))))))))))))))</f>
        <v/>
      </c>
      <c r="AA886" s="66" t="str">
        <f>IF(AND(X886="Reçu",ISNUMBER(R886)),IF(N(U886)&lt;=R886,1,0),"")</f>
        <v/>
      </c>
      <c r="AB886" s="76" t="str">
        <f>IF(OR(X886="Envoyé",X886="Partiel",X886="En retard"),IF(ISNUMBER(R886),R886,100000)+ROW()/100000,"")</f>
        <v/>
      </c>
      <c r="AC886" s="66" t="str">
        <f>IF(A886="","",IF(COUNTIF($A$6:A886,A886)=1,1,""))</f>
        <v/>
      </c>
      <c r="AD886" s="66" t="str">
        <f>IF(AC886=1,COUNT($AC$6:AC886),"")</f>
        <v/>
      </c>
      <c r="AE886" s="66" t="str">
        <f>IFERROR(INDEX(po_num,MATCH(881,po_seq,0))&amp;"","")</f>
        <v/>
      </c>
      <c r="AF886" s="66" t="str">
        <f>IF(OR(A886="",p_po=""),"",IF(A886&amp;""=p_po,COUNTIF($A$6:A886,A886),""))</f>
        <v/>
      </c>
      <c r="AG886" s="66" t="str">
        <f>IF(OR(AB886="",A886=""),"",IF(COUNTIFS($A$6:A886,A886,$AB$6:AB886,"&gt;0")=1,1,""))</f>
        <v/>
      </c>
      <c r="AH886" s="70" t="str">
        <f>IF(AB886="","",ROUND(N(W886)*N(J886)*(1-N(K886)),2))</f>
        <v/>
      </c>
      <c r="AI886" s="70" t="str">
        <f>IF(OR(J886="",N(T886)&lt;=0,V886="Oui"),"",ROUND(N(T886)*J886*(1-N(K886)),2))</f>
        <v/>
      </c>
    </row>
    <row r="887">
      <c r="A887" s="63" t="n"/>
      <c r="B887" s="64" t="n"/>
      <c r="C887" s="65" t="n"/>
      <c r="D887" s="66" t="str">
        <f>IF(C887="","",IFERROR(INDEX(sup_name,MATCH($C887,sup_code,0))&amp;"","Fournisseur inconnu"))</f>
        <v/>
      </c>
      <c r="E887" s="63" t="n"/>
      <c r="F887" s="66" t="str">
        <f>IF(E887="","",IFERROR(INDEX(art_des,MATCH($E887,art_ref,0))&amp;"","Article inconnu"))</f>
        <v/>
      </c>
      <c r="G887" s="67" t="str">
        <f>IF(E887="","",IFERROR(INDEX(art_unit,MATCH($E887,art_ref,0))&amp;"",""))</f>
        <v/>
      </c>
      <c r="H887" s="68" t="n"/>
      <c r="I887" s="69" t="n"/>
      <c r="J887" s="70" t="str">
        <f>IF(E887="","",IF(ISNUMBER(I887),I887,IFERROR(IF(ISNUMBER(INDEX(art_price,MATCH($E887,art_ref,0))),INDEX(art_price,MATCH($E887,art_ref,0)),""),"")))</f>
        <v/>
      </c>
      <c r="K887" s="71" t="n"/>
      <c r="L887" s="72" t="n"/>
      <c r="M887" s="72" t="str">
        <f>IF(E887="","",IF(L887&lt;&gt;"",L887,IFERROR(IF(ISNUMBER(INDEX(art_tva,MATCH($E887,art_ref,0))),INDEX(art_tva,MATCH($E887,art_ref,0)),""),"")))</f>
        <v/>
      </c>
      <c r="N887" s="70" t="str">
        <f>IF(OR(E887="",J887=""),"",ROUND(N(H887)*J887*(1-N(K887)),2))</f>
        <v/>
      </c>
      <c r="O887" s="70" t="str">
        <f>IF(OR(N887="",NOT(ISNUMBER(M887))),"",ROUND(N887*M887,2))</f>
        <v/>
      </c>
      <c r="P887" s="70" t="str">
        <f>IF(N887="","",N887+N(O887))</f>
        <v/>
      </c>
      <c r="Q887" s="64" t="n"/>
      <c r="R887" s="73" t="str">
        <f>IF(N(Q887)&gt;0,Q887,IF(OR(N(B887)=0,ISNA(MATCH($C887,sup_code,0))),"",IF(ISNUMBER(INDEX(sup_delay,MATCH($C887,sup_code,0))),B887+INDEX(sup_delay,MATCH($C887,sup_code,0)),"")))</f>
        <v/>
      </c>
      <c r="S887" s="64" t="n"/>
      <c r="T887" s="68" t="n"/>
      <c r="U887" s="64" t="n"/>
      <c r="V887" s="65" t="n"/>
      <c r="W887" s="74" t="str">
        <f>IF(AND(A887="",E887=""),"",IF(V887="Oui",0,MAX(0,ROUND(N(H887)-N(T887),6))))</f>
        <v/>
      </c>
      <c r="X887" s="67" t="str">
        <f>IF(AND(A887="",E887=""),"",IF(V887="Oui","Annulé",IF(AND(N(H887)&gt;0,N(T887)&gt;=N(H887)),"Reçu",IF(N(S887)=0,"Brouillon",IF(AND(ISNUMBER(R887),R887&lt;p_today),"En retard",IF(N(T887)&gt;0,"Partiel","Envoyé"))))))</f>
        <v/>
      </c>
      <c r="Y887" s="75" t="str">
        <f>IF(X887="En retard",p_today-R887,IF(AND(X887="Reçu",ISNUMBER(R887)),MAX(0,N(U887)-R887),""))</f>
        <v/>
      </c>
      <c r="Z887" s="67" t="str">
        <f>IF(AND(A887="",E887=""),"",IF(A887="","N° de bon manquant",IF(N(B887)=0,"Date de commande manquante",IF(C887="","Fournisseur manquant",IF(ISNA(MATCH($C887,sup_code,0)),"Fournisseur inconnu",IF(E887="","Article manquant",IF(ISNA(MATCH($E887,art_ref,0)),"Article inconnu",IF(N(H887)&lt;=0,"Quantité invalide",IF(J887="","Prix manquant",IF(OR(N(K887)&lt;0,N(K887)&gt;=1),"Remise invalide",IF(M887="","TVA manquante",IF(ISNA(MATCH(M887,p_tva,0)),"Taux de TVA inconnu",IF(COUNTIFS(po_num,A887,po_sup,"&lt;&gt;"&amp;C887)&gt;0,"Fournisseur différent sur ce bon",IF(COUNTIFS(po_num,A887,po_date,"&lt;&gt;"&amp;B887)&gt;0,"Date différente sur ce bon",IF(COUNTIF(po_num,A887)&gt;25,"Plus de 25 lignes sur ce bon",IF(R887="","Date de livraison manquante",IF(R887&lt;B887,"Livraison avant la commande",IF(AND(N(T887)&gt;0,N(S887)=0),"Date d'envoi manquante",IF(N(T887)&gt;N(H887),"Reçu plus que commandé",IF(AND(N(T887)&gt;0,N(U887)=0),"Date de réception manquante",IF(AND(N(U887)&gt;0,U887&lt;B887),"Réception avant la commande","OK")))))))))))))))))))))</f>
        <v/>
      </c>
      <c r="AA887" s="66" t="str">
        <f>IF(AND(X887="Reçu",ISNUMBER(R887)),IF(N(U887)&lt;=R887,1,0),"")</f>
        <v/>
      </c>
      <c r="AB887" s="76" t="str">
        <f>IF(OR(X887="Envoyé",X887="Partiel",X887="En retard"),IF(ISNUMBER(R887),R887,100000)+ROW()/100000,"")</f>
        <v/>
      </c>
      <c r="AC887" s="66" t="str">
        <f>IF(A887="","",IF(COUNTIF($A$6:A887,A887)=1,1,""))</f>
        <v/>
      </c>
      <c r="AD887" s="66" t="str">
        <f>IF(AC887=1,COUNT($AC$6:AC887),"")</f>
        <v/>
      </c>
      <c r="AE887" s="66" t="str">
        <f>IFERROR(INDEX(po_num,MATCH(882,po_seq,0))&amp;"","")</f>
        <v/>
      </c>
      <c r="AF887" s="66" t="str">
        <f>IF(OR(A887="",p_po=""),"",IF(A887&amp;""=p_po,COUNTIF($A$6:A887,A887),""))</f>
        <v/>
      </c>
      <c r="AG887" s="66" t="str">
        <f>IF(OR(AB887="",A887=""),"",IF(COUNTIFS($A$6:A887,A887,$AB$6:AB887,"&gt;0")=1,1,""))</f>
        <v/>
      </c>
      <c r="AH887" s="70" t="str">
        <f>IF(AB887="","",ROUND(N(W887)*N(J887)*(1-N(K887)),2))</f>
        <v/>
      </c>
      <c r="AI887" s="70" t="str">
        <f>IF(OR(J887="",N(T887)&lt;=0,V887="Oui"),"",ROUND(N(T887)*J887*(1-N(K887)),2))</f>
        <v/>
      </c>
    </row>
    <row r="888">
      <c r="A888" s="63" t="n"/>
      <c r="B888" s="64" t="n"/>
      <c r="C888" s="65" t="n"/>
      <c r="D888" s="66" t="str">
        <f>IF(C888="","",IFERROR(INDEX(sup_name,MATCH($C888,sup_code,0))&amp;"","Fournisseur inconnu"))</f>
        <v/>
      </c>
      <c r="E888" s="63" t="n"/>
      <c r="F888" s="66" t="str">
        <f>IF(E888="","",IFERROR(INDEX(art_des,MATCH($E888,art_ref,0))&amp;"","Article inconnu"))</f>
        <v/>
      </c>
      <c r="G888" s="67" t="str">
        <f>IF(E888="","",IFERROR(INDEX(art_unit,MATCH($E888,art_ref,0))&amp;"",""))</f>
        <v/>
      </c>
      <c r="H888" s="68" t="n"/>
      <c r="I888" s="69" t="n"/>
      <c r="J888" s="70" t="str">
        <f>IF(E888="","",IF(ISNUMBER(I888),I888,IFERROR(IF(ISNUMBER(INDEX(art_price,MATCH($E888,art_ref,0))),INDEX(art_price,MATCH($E888,art_ref,0)),""),"")))</f>
        <v/>
      </c>
      <c r="K888" s="71" t="n"/>
      <c r="L888" s="72" t="n"/>
      <c r="M888" s="72" t="str">
        <f>IF(E888="","",IF(L888&lt;&gt;"",L888,IFERROR(IF(ISNUMBER(INDEX(art_tva,MATCH($E888,art_ref,0))),INDEX(art_tva,MATCH($E888,art_ref,0)),""),"")))</f>
        <v/>
      </c>
      <c r="N888" s="70" t="str">
        <f>IF(OR(E888="",J888=""),"",ROUND(N(H888)*J888*(1-N(K888)),2))</f>
        <v/>
      </c>
      <c r="O888" s="70" t="str">
        <f>IF(OR(N888="",NOT(ISNUMBER(M888))),"",ROUND(N888*M888,2))</f>
        <v/>
      </c>
      <c r="P888" s="70" t="str">
        <f>IF(N888="","",N888+N(O888))</f>
        <v/>
      </c>
      <c r="Q888" s="64" t="n"/>
      <c r="R888" s="73" t="str">
        <f>IF(N(Q888)&gt;0,Q888,IF(OR(N(B888)=0,ISNA(MATCH($C888,sup_code,0))),"",IF(ISNUMBER(INDEX(sup_delay,MATCH($C888,sup_code,0))),B888+INDEX(sup_delay,MATCH($C888,sup_code,0)),"")))</f>
        <v/>
      </c>
      <c r="S888" s="64" t="n"/>
      <c r="T888" s="68" t="n"/>
      <c r="U888" s="64" t="n"/>
      <c r="V888" s="65" t="n"/>
      <c r="W888" s="74" t="str">
        <f>IF(AND(A888="",E888=""),"",IF(V888="Oui",0,MAX(0,ROUND(N(H888)-N(T888),6))))</f>
        <v/>
      </c>
      <c r="X888" s="67" t="str">
        <f>IF(AND(A888="",E888=""),"",IF(V888="Oui","Annulé",IF(AND(N(H888)&gt;0,N(T888)&gt;=N(H888)),"Reçu",IF(N(S888)=0,"Brouillon",IF(AND(ISNUMBER(R888),R888&lt;p_today),"En retard",IF(N(T888)&gt;0,"Partiel","Envoyé"))))))</f>
        <v/>
      </c>
      <c r="Y888" s="75" t="str">
        <f>IF(X888="En retard",p_today-R888,IF(AND(X888="Reçu",ISNUMBER(R888)),MAX(0,N(U888)-R888),""))</f>
        <v/>
      </c>
      <c r="Z888" s="67" t="str">
        <f>IF(AND(A888="",E888=""),"",IF(A888="","N° de bon manquant",IF(N(B888)=0,"Date de commande manquante",IF(C888="","Fournisseur manquant",IF(ISNA(MATCH($C888,sup_code,0)),"Fournisseur inconnu",IF(E888="","Article manquant",IF(ISNA(MATCH($E888,art_ref,0)),"Article inconnu",IF(N(H888)&lt;=0,"Quantité invalide",IF(J888="","Prix manquant",IF(OR(N(K888)&lt;0,N(K888)&gt;=1),"Remise invalide",IF(M888="","TVA manquante",IF(ISNA(MATCH(M888,p_tva,0)),"Taux de TVA inconnu",IF(COUNTIFS(po_num,A888,po_sup,"&lt;&gt;"&amp;C888)&gt;0,"Fournisseur différent sur ce bon",IF(COUNTIFS(po_num,A888,po_date,"&lt;&gt;"&amp;B888)&gt;0,"Date différente sur ce bon",IF(COUNTIF(po_num,A888)&gt;25,"Plus de 25 lignes sur ce bon",IF(R888="","Date de livraison manquante",IF(R888&lt;B888,"Livraison avant la commande",IF(AND(N(T888)&gt;0,N(S888)=0),"Date d'envoi manquante",IF(N(T888)&gt;N(H888),"Reçu plus que commandé",IF(AND(N(T888)&gt;0,N(U888)=0),"Date de réception manquante",IF(AND(N(U888)&gt;0,U888&lt;B888),"Réception avant la commande","OK")))))))))))))))))))))</f>
        <v/>
      </c>
      <c r="AA888" s="66" t="str">
        <f>IF(AND(X888="Reçu",ISNUMBER(R888)),IF(N(U888)&lt;=R888,1,0),"")</f>
        <v/>
      </c>
      <c r="AB888" s="76" t="str">
        <f>IF(OR(X888="Envoyé",X888="Partiel",X888="En retard"),IF(ISNUMBER(R888),R888,100000)+ROW()/100000,"")</f>
        <v/>
      </c>
      <c r="AC888" s="66" t="str">
        <f>IF(A888="","",IF(COUNTIF($A$6:A888,A888)=1,1,""))</f>
        <v/>
      </c>
      <c r="AD888" s="66" t="str">
        <f>IF(AC888=1,COUNT($AC$6:AC888),"")</f>
        <v/>
      </c>
      <c r="AE888" s="66" t="str">
        <f>IFERROR(INDEX(po_num,MATCH(883,po_seq,0))&amp;"","")</f>
        <v/>
      </c>
      <c r="AF888" s="66" t="str">
        <f>IF(OR(A888="",p_po=""),"",IF(A888&amp;""=p_po,COUNTIF($A$6:A888,A888),""))</f>
        <v/>
      </c>
      <c r="AG888" s="66" t="str">
        <f>IF(OR(AB888="",A888=""),"",IF(COUNTIFS($A$6:A888,A888,$AB$6:AB888,"&gt;0")=1,1,""))</f>
        <v/>
      </c>
      <c r="AH888" s="70" t="str">
        <f>IF(AB888="","",ROUND(N(W888)*N(J888)*(1-N(K888)),2))</f>
        <v/>
      </c>
      <c r="AI888" s="70" t="str">
        <f>IF(OR(J888="",N(T888)&lt;=0,V888="Oui"),"",ROUND(N(T888)*J888*(1-N(K888)),2))</f>
        <v/>
      </c>
    </row>
    <row r="889">
      <c r="A889" s="63" t="n"/>
      <c r="B889" s="64" t="n"/>
      <c r="C889" s="65" t="n"/>
      <c r="D889" s="66" t="str">
        <f>IF(C889="","",IFERROR(INDEX(sup_name,MATCH($C889,sup_code,0))&amp;"","Fournisseur inconnu"))</f>
        <v/>
      </c>
      <c r="E889" s="63" t="n"/>
      <c r="F889" s="66" t="str">
        <f>IF(E889="","",IFERROR(INDEX(art_des,MATCH($E889,art_ref,0))&amp;"","Article inconnu"))</f>
        <v/>
      </c>
      <c r="G889" s="67" t="str">
        <f>IF(E889="","",IFERROR(INDEX(art_unit,MATCH($E889,art_ref,0))&amp;"",""))</f>
        <v/>
      </c>
      <c r="H889" s="68" t="n"/>
      <c r="I889" s="69" t="n"/>
      <c r="J889" s="70" t="str">
        <f>IF(E889="","",IF(ISNUMBER(I889),I889,IFERROR(IF(ISNUMBER(INDEX(art_price,MATCH($E889,art_ref,0))),INDEX(art_price,MATCH($E889,art_ref,0)),""),"")))</f>
        <v/>
      </c>
      <c r="K889" s="71" t="n"/>
      <c r="L889" s="72" t="n"/>
      <c r="M889" s="72" t="str">
        <f>IF(E889="","",IF(L889&lt;&gt;"",L889,IFERROR(IF(ISNUMBER(INDEX(art_tva,MATCH($E889,art_ref,0))),INDEX(art_tva,MATCH($E889,art_ref,0)),""),"")))</f>
        <v/>
      </c>
      <c r="N889" s="70" t="str">
        <f>IF(OR(E889="",J889=""),"",ROUND(N(H889)*J889*(1-N(K889)),2))</f>
        <v/>
      </c>
      <c r="O889" s="70" t="str">
        <f>IF(OR(N889="",NOT(ISNUMBER(M889))),"",ROUND(N889*M889,2))</f>
        <v/>
      </c>
      <c r="P889" s="70" t="str">
        <f>IF(N889="","",N889+N(O889))</f>
        <v/>
      </c>
      <c r="Q889" s="64" t="n"/>
      <c r="R889" s="73" t="str">
        <f>IF(N(Q889)&gt;0,Q889,IF(OR(N(B889)=0,ISNA(MATCH($C889,sup_code,0))),"",IF(ISNUMBER(INDEX(sup_delay,MATCH($C889,sup_code,0))),B889+INDEX(sup_delay,MATCH($C889,sup_code,0)),"")))</f>
        <v/>
      </c>
      <c r="S889" s="64" t="n"/>
      <c r="T889" s="68" t="n"/>
      <c r="U889" s="64" t="n"/>
      <c r="V889" s="65" t="n"/>
      <c r="W889" s="74" t="str">
        <f>IF(AND(A889="",E889=""),"",IF(V889="Oui",0,MAX(0,ROUND(N(H889)-N(T889),6))))</f>
        <v/>
      </c>
      <c r="X889" s="67" t="str">
        <f>IF(AND(A889="",E889=""),"",IF(V889="Oui","Annulé",IF(AND(N(H889)&gt;0,N(T889)&gt;=N(H889)),"Reçu",IF(N(S889)=0,"Brouillon",IF(AND(ISNUMBER(R889),R889&lt;p_today),"En retard",IF(N(T889)&gt;0,"Partiel","Envoyé"))))))</f>
        <v/>
      </c>
      <c r="Y889" s="75" t="str">
        <f>IF(X889="En retard",p_today-R889,IF(AND(X889="Reçu",ISNUMBER(R889)),MAX(0,N(U889)-R889),""))</f>
        <v/>
      </c>
      <c r="Z889" s="67" t="str">
        <f>IF(AND(A889="",E889=""),"",IF(A889="","N° de bon manquant",IF(N(B889)=0,"Date de commande manquante",IF(C889="","Fournisseur manquant",IF(ISNA(MATCH($C889,sup_code,0)),"Fournisseur inconnu",IF(E889="","Article manquant",IF(ISNA(MATCH($E889,art_ref,0)),"Article inconnu",IF(N(H889)&lt;=0,"Quantité invalide",IF(J889="","Prix manquant",IF(OR(N(K889)&lt;0,N(K889)&gt;=1),"Remise invalide",IF(M889="","TVA manquante",IF(ISNA(MATCH(M889,p_tva,0)),"Taux de TVA inconnu",IF(COUNTIFS(po_num,A889,po_sup,"&lt;&gt;"&amp;C889)&gt;0,"Fournisseur différent sur ce bon",IF(COUNTIFS(po_num,A889,po_date,"&lt;&gt;"&amp;B889)&gt;0,"Date différente sur ce bon",IF(COUNTIF(po_num,A889)&gt;25,"Plus de 25 lignes sur ce bon",IF(R889="","Date de livraison manquante",IF(R889&lt;B889,"Livraison avant la commande",IF(AND(N(T889)&gt;0,N(S889)=0),"Date d'envoi manquante",IF(N(T889)&gt;N(H889),"Reçu plus que commandé",IF(AND(N(T889)&gt;0,N(U889)=0),"Date de réception manquante",IF(AND(N(U889)&gt;0,U889&lt;B889),"Réception avant la commande","OK")))))))))))))))))))))</f>
        <v/>
      </c>
      <c r="AA889" s="66" t="str">
        <f>IF(AND(X889="Reçu",ISNUMBER(R889)),IF(N(U889)&lt;=R889,1,0),"")</f>
        <v/>
      </c>
      <c r="AB889" s="76" t="str">
        <f>IF(OR(X889="Envoyé",X889="Partiel",X889="En retard"),IF(ISNUMBER(R889),R889,100000)+ROW()/100000,"")</f>
        <v/>
      </c>
      <c r="AC889" s="66" t="str">
        <f>IF(A889="","",IF(COUNTIF($A$6:A889,A889)=1,1,""))</f>
        <v/>
      </c>
      <c r="AD889" s="66" t="str">
        <f>IF(AC889=1,COUNT($AC$6:AC889),"")</f>
        <v/>
      </c>
      <c r="AE889" s="66" t="str">
        <f>IFERROR(INDEX(po_num,MATCH(884,po_seq,0))&amp;"","")</f>
        <v/>
      </c>
      <c r="AF889" s="66" t="str">
        <f>IF(OR(A889="",p_po=""),"",IF(A889&amp;""=p_po,COUNTIF($A$6:A889,A889),""))</f>
        <v/>
      </c>
      <c r="AG889" s="66" t="str">
        <f>IF(OR(AB889="",A889=""),"",IF(COUNTIFS($A$6:A889,A889,$AB$6:AB889,"&gt;0")=1,1,""))</f>
        <v/>
      </c>
      <c r="AH889" s="70" t="str">
        <f>IF(AB889="","",ROUND(N(W889)*N(J889)*(1-N(K889)),2))</f>
        <v/>
      </c>
      <c r="AI889" s="70" t="str">
        <f>IF(OR(J889="",N(T889)&lt;=0,V889="Oui"),"",ROUND(N(T889)*J889*(1-N(K889)),2))</f>
        <v/>
      </c>
    </row>
    <row r="890">
      <c r="A890" s="63" t="n"/>
      <c r="B890" s="64" t="n"/>
      <c r="C890" s="65" t="n"/>
      <c r="D890" s="66" t="str">
        <f>IF(C890="","",IFERROR(INDEX(sup_name,MATCH($C890,sup_code,0))&amp;"","Fournisseur inconnu"))</f>
        <v/>
      </c>
      <c r="E890" s="63" t="n"/>
      <c r="F890" s="66" t="str">
        <f>IF(E890="","",IFERROR(INDEX(art_des,MATCH($E890,art_ref,0))&amp;"","Article inconnu"))</f>
        <v/>
      </c>
      <c r="G890" s="67" t="str">
        <f>IF(E890="","",IFERROR(INDEX(art_unit,MATCH($E890,art_ref,0))&amp;"",""))</f>
        <v/>
      </c>
      <c r="H890" s="68" t="n"/>
      <c r="I890" s="69" t="n"/>
      <c r="J890" s="70" t="str">
        <f>IF(E890="","",IF(ISNUMBER(I890),I890,IFERROR(IF(ISNUMBER(INDEX(art_price,MATCH($E890,art_ref,0))),INDEX(art_price,MATCH($E890,art_ref,0)),""),"")))</f>
        <v/>
      </c>
      <c r="K890" s="71" t="n"/>
      <c r="L890" s="72" t="n"/>
      <c r="M890" s="72" t="str">
        <f>IF(E890="","",IF(L890&lt;&gt;"",L890,IFERROR(IF(ISNUMBER(INDEX(art_tva,MATCH($E890,art_ref,0))),INDEX(art_tva,MATCH($E890,art_ref,0)),""),"")))</f>
        <v/>
      </c>
      <c r="N890" s="70" t="str">
        <f>IF(OR(E890="",J890=""),"",ROUND(N(H890)*J890*(1-N(K890)),2))</f>
        <v/>
      </c>
      <c r="O890" s="70" t="str">
        <f>IF(OR(N890="",NOT(ISNUMBER(M890))),"",ROUND(N890*M890,2))</f>
        <v/>
      </c>
      <c r="P890" s="70" t="str">
        <f>IF(N890="","",N890+N(O890))</f>
        <v/>
      </c>
      <c r="Q890" s="64" t="n"/>
      <c r="R890" s="73" t="str">
        <f>IF(N(Q890)&gt;0,Q890,IF(OR(N(B890)=0,ISNA(MATCH($C890,sup_code,0))),"",IF(ISNUMBER(INDEX(sup_delay,MATCH($C890,sup_code,0))),B890+INDEX(sup_delay,MATCH($C890,sup_code,0)),"")))</f>
        <v/>
      </c>
      <c r="S890" s="64" t="n"/>
      <c r="T890" s="68" t="n"/>
      <c r="U890" s="64" t="n"/>
      <c r="V890" s="65" t="n"/>
      <c r="W890" s="74" t="str">
        <f>IF(AND(A890="",E890=""),"",IF(V890="Oui",0,MAX(0,ROUND(N(H890)-N(T890),6))))</f>
        <v/>
      </c>
      <c r="X890" s="67" t="str">
        <f>IF(AND(A890="",E890=""),"",IF(V890="Oui","Annulé",IF(AND(N(H890)&gt;0,N(T890)&gt;=N(H890)),"Reçu",IF(N(S890)=0,"Brouillon",IF(AND(ISNUMBER(R890),R890&lt;p_today),"En retard",IF(N(T890)&gt;0,"Partiel","Envoyé"))))))</f>
        <v/>
      </c>
      <c r="Y890" s="75" t="str">
        <f>IF(X890="En retard",p_today-R890,IF(AND(X890="Reçu",ISNUMBER(R890)),MAX(0,N(U890)-R890),""))</f>
        <v/>
      </c>
      <c r="Z890" s="67" t="str">
        <f>IF(AND(A890="",E890=""),"",IF(A890="","N° de bon manquant",IF(N(B890)=0,"Date de commande manquante",IF(C890="","Fournisseur manquant",IF(ISNA(MATCH($C890,sup_code,0)),"Fournisseur inconnu",IF(E890="","Article manquant",IF(ISNA(MATCH($E890,art_ref,0)),"Article inconnu",IF(N(H890)&lt;=0,"Quantité invalide",IF(J890="","Prix manquant",IF(OR(N(K890)&lt;0,N(K890)&gt;=1),"Remise invalide",IF(M890="","TVA manquante",IF(ISNA(MATCH(M890,p_tva,0)),"Taux de TVA inconnu",IF(COUNTIFS(po_num,A890,po_sup,"&lt;&gt;"&amp;C890)&gt;0,"Fournisseur différent sur ce bon",IF(COUNTIFS(po_num,A890,po_date,"&lt;&gt;"&amp;B890)&gt;0,"Date différente sur ce bon",IF(COUNTIF(po_num,A890)&gt;25,"Plus de 25 lignes sur ce bon",IF(R890="","Date de livraison manquante",IF(R890&lt;B890,"Livraison avant la commande",IF(AND(N(T890)&gt;0,N(S890)=0),"Date d'envoi manquante",IF(N(T890)&gt;N(H890),"Reçu plus que commandé",IF(AND(N(T890)&gt;0,N(U890)=0),"Date de réception manquante",IF(AND(N(U890)&gt;0,U890&lt;B890),"Réception avant la commande","OK")))))))))))))))))))))</f>
        <v/>
      </c>
      <c r="AA890" s="66" t="str">
        <f>IF(AND(X890="Reçu",ISNUMBER(R890)),IF(N(U890)&lt;=R890,1,0),"")</f>
        <v/>
      </c>
      <c r="AB890" s="76" t="str">
        <f>IF(OR(X890="Envoyé",X890="Partiel",X890="En retard"),IF(ISNUMBER(R890),R890,100000)+ROW()/100000,"")</f>
        <v/>
      </c>
      <c r="AC890" s="66" t="str">
        <f>IF(A890="","",IF(COUNTIF($A$6:A890,A890)=1,1,""))</f>
        <v/>
      </c>
      <c r="AD890" s="66" t="str">
        <f>IF(AC890=1,COUNT($AC$6:AC890),"")</f>
        <v/>
      </c>
      <c r="AE890" s="66" t="str">
        <f>IFERROR(INDEX(po_num,MATCH(885,po_seq,0))&amp;"","")</f>
        <v/>
      </c>
      <c r="AF890" s="66" t="str">
        <f>IF(OR(A890="",p_po=""),"",IF(A890&amp;""=p_po,COUNTIF($A$6:A890,A890),""))</f>
        <v/>
      </c>
      <c r="AG890" s="66" t="str">
        <f>IF(OR(AB890="",A890=""),"",IF(COUNTIFS($A$6:A890,A890,$AB$6:AB890,"&gt;0")=1,1,""))</f>
        <v/>
      </c>
      <c r="AH890" s="70" t="str">
        <f>IF(AB890="","",ROUND(N(W890)*N(J890)*(1-N(K890)),2))</f>
        <v/>
      </c>
      <c r="AI890" s="70" t="str">
        <f>IF(OR(J890="",N(T890)&lt;=0,V890="Oui"),"",ROUND(N(T890)*J890*(1-N(K890)),2))</f>
        <v/>
      </c>
    </row>
    <row r="891">
      <c r="A891" s="63" t="n"/>
      <c r="B891" s="64" t="n"/>
      <c r="C891" s="65" t="n"/>
      <c r="D891" s="66" t="str">
        <f>IF(C891="","",IFERROR(INDEX(sup_name,MATCH($C891,sup_code,0))&amp;"","Fournisseur inconnu"))</f>
        <v/>
      </c>
      <c r="E891" s="63" t="n"/>
      <c r="F891" s="66" t="str">
        <f>IF(E891="","",IFERROR(INDEX(art_des,MATCH($E891,art_ref,0))&amp;"","Article inconnu"))</f>
        <v/>
      </c>
      <c r="G891" s="67" t="str">
        <f>IF(E891="","",IFERROR(INDEX(art_unit,MATCH($E891,art_ref,0))&amp;"",""))</f>
        <v/>
      </c>
      <c r="H891" s="68" t="n"/>
      <c r="I891" s="69" t="n"/>
      <c r="J891" s="70" t="str">
        <f>IF(E891="","",IF(ISNUMBER(I891),I891,IFERROR(IF(ISNUMBER(INDEX(art_price,MATCH($E891,art_ref,0))),INDEX(art_price,MATCH($E891,art_ref,0)),""),"")))</f>
        <v/>
      </c>
      <c r="K891" s="71" t="n"/>
      <c r="L891" s="72" t="n"/>
      <c r="M891" s="72" t="str">
        <f>IF(E891="","",IF(L891&lt;&gt;"",L891,IFERROR(IF(ISNUMBER(INDEX(art_tva,MATCH($E891,art_ref,0))),INDEX(art_tva,MATCH($E891,art_ref,0)),""),"")))</f>
        <v/>
      </c>
      <c r="N891" s="70" t="str">
        <f>IF(OR(E891="",J891=""),"",ROUND(N(H891)*J891*(1-N(K891)),2))</f>
        <v/>
      </c>
      <c r="O891" s="70" t="str">
        <f>IF(OR(N891="",NOT(ISNUMBER(M891))),"",ROUND(N891*M891,2))</f>
        <v/>
      </c>
      <c r="P891" s="70" t="str">
        <f>IF(N891="","",N891+N(O891))</f>
        <v/>
      </c>
      <c r="Q891" s="64" t="n"/>
      <c r="R891" s="73" t="str">
        <f>IF(N(Q891)&gt;0,Q891,IF(OR(N(B891)=0,ISNA(MATCH($C891,sup_code,0))),"",IF(ISNUMBER(INDEX(sup_delay,MATCH($C891,sup_code,0))),B891+INDEX(sup_delay,MATCH($C891,sup_code,0)),"")))</f>
        <v/>
      </c>
      <c r="S891" s="64" t="n"/>
      <c r="T891" s="68" t="n"/>
      <c r="U891" s="64" t="n"/>
      <c r="V891" s="65" t="n"/>
      <c r="W891" s="74" t="str">
        <f>IF(AND(A891="",E891=""),"",IF(V891="Oui",0,MAX(0,ROUND(N(H891)-N(T891),6))))</f>
        <v/>
      </c>
      <c r="X891" s="67" t="str">
        <f>IF(AND(A891="",E891=""),"",IF(V891="Oui","Annulé",IF(AND(N(H891)&gt;0,N(T891)&gt;=N(H891)),"Reçu",IF(N(S891)=0,"Brouillon",IF(AND(ISNUMBER(R891),R891&lt;p_today),"En retard",IF(N(T891)&gt;0,"Partiel","Envoyé"))))))</f>
        <v/>
      </c>
      <c r="Y891" s="75" t="str">
        <f>IF(X891="En retard",p_today-R891,IF(AND(X891="Reçu",ISNUMBER(R891)),MAX(0,N(U891)-R891),""))</f>
        <v/>
      </c>
      <c r="Z891" s="67" t="str">
        <f>IF(AND(A891="",E891=""),"",IF(A891="","N° de bon manquant",IF(N(B891)=0,"Date de commande manquante",IF(C891="","Fournisseur manquant",IF(ISNA(MATCH($C891,sup_code,0)),"Fournisseur inconnu",IF(E891="","Article manquant",IF(ISNA(MATCH($E891,art_ref,0)),"Article inconnu",IF(N(H891)&lt;=0,"Quantité invalide",IF(J891="","Prix manquant",IF(OR(N(K891)&lt;0,N(K891)&gt;=1),"Remise invalide",IF(M891="","TVA manquante",IF(ISNA(MATCH(M891,p_tva,0)),"Taux de TVA inconnu",IF(COUNTIFS(po_num,A891,po_sup,"&lt;&gt;"&amp;C891)&gt;0,"Fournisseur différent sur ce bon",IF(COUNTIFS(po_num,A891,po_date,"&lt;&gt;"&amp;B891)&gt;0,"Date différente sur ce bon",IF(COUNTIF(po_num,A891)&gt;25,"Plus de 25 lignes sur ce bon",IF(R891="","Date de livraison manquante",IF(R891&lt;B891,"Livraison avant la commande",IF(AND(N(T891)&gt;0,N(S891)=0),"Date d'envoi manquante",IF(N(T891)&gt;N(H891),"Reçu plus que commandé",IF(AND(N(T891)&gt;0,N(U891)=0),"Date de réception manquante",IF(AND(N(U891)&gt;0,U891&lt;B891),"Réception avant la commande","OK")))))))))))))))))))))</f>
        <v/>
      </c>
      <c r="AA891" s="66" t="str">
        <f>IF(AND(X891="Reçu",ISNUMBER(R891)),IF(N(U891)&lt;=R891,1,0),"")</f>
        <v/>
      </c>
      <c r="AB891" s="76" t="str">
        <f>IF(OR(X891="Envoyé",X891="Partiel",X891="En retard"),IF(ISNUMBER(R891),R891,100000)+ROW()/100000,"")</f>
        <v/>
      </c>
      <c r="AC891" s="66" t="str">
        <f>IF(A891="","",IF(COUNTIF($A$6:A891,A891)=1,1,""))</f>
        <v/>
      </c>
      <c r="AD891" s="66" t="str">
        <f>IF(AC891=1,COUNT($AC$6:AC891),"")</f>
        <v/>
      </c>
      <c r="AE891" s="66" t="str">
        <f>IFERROR(INDEX(po_num,MATCH(886,po_seq,0))&amp;"","")</f>
        <v/>
      </c>
      <c r="AF891" s="66" t="str">
        <f>IF(OR(A891="",p_po=""),"",IF(A891&amp;""=p_po,COUNTIF($A$6:A891,A891),""))</f>
        <v/>
      </c>
      <c r="AG891" s="66" t="str">
        <f>IF(OR(AB891="",A891=""),"",IF(COUNTIFS($A$6:A891,A891,$AB$6:AB891,"&gt;0")=1,1,""))</f>
        <v/>
      </c>
      <c r="AH891" s="70" t="str">
        <f>IF(AB891="","",ROUND(N(W891)*N(J891)*(1-N(K891)),2))</f>
        <v/>
      </c>
      <c r="AI891" s="70" t="str">
        <f>IF(OR(J891="",N(T891)&lt;=0,V891="Oui"),"",ROUND(N(T891)*J891*(1-N(K891)),2))</f>
        <v/>
      </c>
    </row>
    <row r="892">
      <c r="A892" s="63" t="n"/>
      <c r="B892" s="64" t="n"/>
      <c r="C892" s="65" t="n"/>
      <c r="D892" s="66" t="str">
        <f>IF(C892="","",IFERROR(INDEX(sup_name,MATCH($C892,sup_code,0))&amp;"","Fournisseur inconnu"))</f>
        <v/>
      </c>
      <c r="E892" s="63" t="n"/>
      <c r="F892" s="66" t="str">
        <f>IF(E892="","",IFERROR(INDEX(art_des,MATCH($E892,art_ref,0))&amp;"","Article inconnu"))</f>
        <v/>
      </c>
      <c r="G892" s="67" t="str">
        <f>IF(E892="","",IFERROR(INDEX(art_unit,MATCH($E892,art_ref,0))&amp;"",""))</f>
        <v/>
      </c>
      <c r="H892" s="68" t="n"/>
      <c r="I892" s="69" t="n"/>
      <c r="J892" s="70" t="str">
        <f>IF(E892="","",IF(ISNUMBER(I892),I892,IFERROR(IF(ISNUMBER(INDEX(art_price,MATCH($E892,art_ref,0))),INDEX(art_price,MATCH($E892,art_ref,0)),""),"")))</f>
        <v/>
      </c>
      <c r="K892" s="71" t="n"/>
      <c r="L892" s="72" t="n"/>
      <c r="M892" s="72" t="str">
        <f>IF(E892="","",IF(L892&lt;&gt;"",L892,IFERROR(IF(ISNUMBER(INDEX(art_tva,MATCH($E892,art_ref,0))),INDEX(art_tva,MATCH($E892,art_ref,0)),""),"")))</f>
        <v/>
      </c>
      <c r="N892" s="70" t="str">
        <f>IF(OR(E892="",J892=""),"",ROUND(N(H892)*J892*(1-N(K892)),2))</f>
        <v/>
      </c>
      <c r="O892" s="70" t="str">
        <f>IF(OR(N892="",NOT(ISNUMBER(M892))),"",ROUND(N892*M892,2))</f>
        <v/>
      </c>
      <c r="P892" s="70" t="str">
        <f>IF(N892="","",N892+N(O892))</f>
        <v/>
      </c>
      <c r="Q892" s="64" t="n"/>
      <c r="R892" s="73" t="str">
        <f>IF(N(Q892)&gt;0,Q892,IF(OR(N(B892)=0,ISNA(MATCH($C892,sup_code,0))),"",IF(ISNUMBER(INDEX(sup_delay,MATCH($C892,sup_code,0))),B892+INDEX(sup_delay,MATCH($C892,sup_code,0)),"")))</f>
        <v/>
      </c>
      <c r="S892" s="64" t="n"/>
      <c r="T892" s="68" t="n"/>
      <c r="U892" s="64" t="n"/>
      <c r="V892" s="65" t="n"/>
      <c r="W892" s="74" t="str">
        <f>IF(AND(A892="",E892=""),"",IF(V892="Oui",0,MAX(0,ROUND(N(H892)-N(T892),6))))</f>
        <v/>
      </c>
      <c r="X892" s="67" t="str">
        <f>IF(AND(A892="",E892=""),"",IF(V892="Oui","Annulé",IF(AND(N(H892)&gt;0,N(T892)&gt;=N(H892)),"Reçu",IF(N(S892)=0,"Brouillon",IF(AND(ISNUMBER(R892),R892&lt;p_today),"En retard",IF(N(T892)&gt;0,"Partiel","Envoyé"))))))</f>
        <v/>
      </c>
      <c r="Y892" s="75" t="str">
        <f>IF(X892="En retard",p_today-R892,IF(AND(X892="Reçu",ISNUMBER(R892)),MAX(0,N(U892)-R892),""))</f>
        <v/>
      </c>
      <c r="Z892" s="67" t="str">
        <f>IF(AND(A892="",E892=""),"",IF(A892="","N° de bon manquant",IF(N(B892)=0,"Date de commande manquante",IF(C892="","Fournisseur manquant",IF(ISNA(MATCH($C892,sup_code,0)),"Fournisseur inconnu",IF(E892="","Article manquant",IF(ISNA(MATCH($E892,art_ref,0)),"Article inconnu",IF(N(H892)&lt;=0,"Quantité invalide",IF(J892="","Prix manquant",IF(OR(N(K892)&lt;0,N(K892)&gt;=1),"Remise invalide",IF(M892="","TVA manquante",IF(ISNA(MATCH(M892,p_tva,0)),"Taux de TVA inconnu",IF(COUNTIFS(po_num,A892,po_sup,"&lt;&gt;"&amp;C892)&gt;0,"Fournisseur différent sur ce bon",IF(COUNTIFS(po_num,A892,po_date,"&lt;&gt;"&amp;B892)&gt;0,"Date différente sur ce bon",IF(COUNTIF(po_num,A892)&gt;25,"Plus de 25 lignes sur ce bon",IF(R892="","Date de livraison manquante",IF(R892&lt;B892,"Livraison avant la commande",IF(AND(N(T892)&gt;0,N(S892)=0),"Date d'envoi manquante",IF(N(T892)&gt;N(H892),"Reçu plus que commandé",IF(AND(N(T892)&gt;0,N(U892)=0),"Date de réception manquante",IF(AND(N(U892)&gt;0,U892&lt;B892),"Réception avant la commande","OK")))))))))))))))))))))</f>
        <v/>
      </c>
      <c r="AA892" s="66" t="str">
        <f>IF(AND(X892="Reçu",ISNUMBER(R892)),IF(N(U892)&lt;=R892,1,0),"")</f>
        <v/>
      </c>
      <c r="AB892" s="76" t="str">
        <f>IF(OR(X892="Envoyé",X892="Partiel",X892="En retard"),IF(ISNUMBER(R892),R892,100000)+ROW()/100000,"")</f>
        <v/>
      </c>
      <c r="AC892" s="66" t="str">
        <f>IF(A892="","",IF(COUNTIF($A$6:A892,A892)=1,1,""))</f>
        <v/>
      </c>
      <c r="AD892" s="66" t="str">
        <f>IF(AC892=1,COUNT($AC$6:AC892),"")</f>
        <v/>
      </c>
      <c r="AE892" s="66" t="str">
        <f>IFERROR(INDEX(po_num,MATCH(887,po_seq,0))&amp;"","")</f>
        <v/>
      </c>
      <c r="AF892" s="66" t="str">
        <f>IF(OR(A892="",p_po=""),"",IF(A892&amp;""=p_po,COUNTIF($A$6:A892,A892),""))</f>
        <v/>
      </c>
      <c r="AG892" s="66" t="str">
        <f>IF(OR(AB892="",A892=""),"",IF(COUNTIFS($A$6:A892,A892,$AB$6:AB892,"&gt;0")=1,1,""))</f>
        <v/>
      </c>
      <c r="AH892" s="70" t="str">
        <f>IF(AB892="","",ROUND(N(W892)*N(J892)*(1-N(K892)),2))</f>
        <v/>
      </c>
      <c r="AI892" s="70" t="str">
        <f>IF(OR(J892="",N(T892)&lt;=0,V892="Oui"),"",ROUND(N(T892)*J892*(1-N(K892)),2))</f>
        <v/>
      </c>
    </row>
    <row r="893">
      <c r="A893" s="63" t="n"/>
      <c r="B893" s="64" t="n"/>
      <c r="C893" s="65" t="n"/>
      <c r="D893" s="66" t="str">
        <f>IF(C893="","",IFERROR(INDEX(sup_name,MATCH($C893,sup_code,0))&amp;"","Fournisseur inconnu"))</f>
        <v/>
      </c>
      <c r="E893" s="63" t="n"/>
      <c r="F893" s="66" t="str">
        <f>IF(E893="","",IFERROR(INDEX(art_des,MATCH($E893,art_ref,0))&amp;"","Article inconnu"))</f>
        <v/>
      </c>
      <c r="G893" s="67" t="str">
        <f>IF(E893="","",IFERROR(INDEX(art_unit,MATCH($E893,art_ref,0))&amp;"",""))</f>
        <v/>
      </c>
      <c r="H893" s="68" t="n"/>
      <c r="I893" s="69" t="n"/>
      <c r="J893" s="70" t="str">
        <f>IF(E893="","",IF(ISNUMBER(I893),I893,IFERROR(IF(ISNUMBER(INDEX(art_price,MATCH($E893,art_ref,0))),INDEX(art_price,MATCH($E893,art_ref,0)),""),"")))</f>
        <v/>
      </c>
      <c r="K893" s="71" t="n"/>
      <c r="L893" s="72" t="n"/>
      <c r="M893" s="72" t="str">
        <f>IF(E893="","",IF(L893&lt;&gt;"",L893,IFERROR(IF(ISNUMBER(INDEX(art_tva,MATCH($E893,art_ref,0))),INDEX(art_tva,MATCH($E893,art_ref,0)),""),"")))</f>
        <v/>
      </c>
      <c r="N893" s="70" t="str">
        <f>IF(OR(E893="",J893=""),"",ROUND(N(H893)*J893*(1-N(K893)),2))</f>
        <v/>
      </c>
      <c r="O893" s="70" t="str">
        <f>IF(OR(N893="",NOT(ISNUMBER(M893))),"",ROUND(N893*M893,2))</f>
        <v/>
      </c>
      <c r="P893" s="70" t="str">
        <f>IF(N893="","",N893+N(O893))</f>
        <v/>
      </c>
      <c r="Q893" s="64" t="n"/>
      <c r="R893" s="73" t="str">
        <f>IF(N(Q893)&gt;0,Q893,IF(OR(N(B893)=0,ISNA(MATCH($C893,sup_code,0))),"",IF(ISNUMBER(INDEX(sup_delay,MATCH($C893,sup_code,0))),B893+INDEX(sup_delay,MATCH($C893,sup_code,0)),"")))</f>
        <v/>
      </c>
      <c r="S893" s="64" t="n"/>
      <c r="T893" s="68" t="n"/>
      <c r="U893" s="64" t="n"/>
      <c r="V893" s="65" t="n"/>
      <c r="W893" s="74" t="str">
        <f>IF(AND(A893="",E893=""),"",IF(V893="Oui",0,MAX(0,ROUND(N(H893)-N(T893),6))))</f>
        <v/>
      </c>
      <c r="X893" s="67" t="str">
        <f>IF(AND(A893="",E893=""),"",IF(V893="Oui","Annulé",IF(AND(N(H893)&gt;0,N(T893)&gt;=N(H893)),"Reçu",IF(N(S893)=0,"Brouillon",IF(AND(ISNUMBER(R893),R893&lt;p_today),"En retard",IF(N(T893)&gt;0,"Partiel","Envoyé"))))))</f>
        <v/>
      </c>
      <c r="Y893" s="75" t="str">
        <f>IF(X893="En retard",p_today-R893,IF(AND(X893="Reçu",ISNUMBER(R893)),MAX(0,N(U893)-R893),""))</f>
        <v/>
      </c>
      <c r="Z893" s="67" t="str">
        <f>IF(AND(A893="",E893=""),"",IF(A893="","N° de bon manquant",IF(N(B893)=0,"Date de commande manquante",IF(C893="","Fournisseur manquant",IF(ISNA(MATCH($C893,sup_code,0)),"Fournisseur inconnu",IF(E893="","Article manquant",IF(ISNA(MATCH($E893,art_ref,0)),"Article inconnu",IF(N(H893)&lt;=0,"Quantité invalide",IF(J893="","Prix manquant",IF(OR(N(K893)&lt;0,N(K893)&gt;=1),"Remise invalide",IF(M893="","TVA manquante",IF(ISNA(MATCH(M893,p_tva,0)),"Taux de TVA inconnu",IF(COUNTIFS(po_num,A893,po_sup,"&lt;&gt;"&amp;C893)&gt;0,"Fournisseur différent sur ce bon",IF(COUNTIFS(po_num,A893,po_date,"&lt;&gt;"&amp;B893)&gt;0,"Date différente sur ce bon",IF(COUNTIF(po_num,A893)&gt;25,"Plus de 25 lignes sur ce bon",IF(R893="","Date de livraison manquante",IF(R893&lt;B893,"Livraison avant la commande",IF(AND(N(T893)&gt;0,N(S893)=0),"Date d'envoi manquante",IF(N(T893)&gt;N(H893),"Reçu plus que commandé",IF(AND(N(T893)&gt;0,N(U893)=0),"Date de réception manquante",IF(AND(N(U893)&gt;0,U893&lt;B893),"Réception avant la commande","OK")))))))))))))))))))))</f>
        <v/>
      </c>
      <c r="AA893" s="66" t="str">
        <f>IF(AND(X893="Reçu",ISNUMBER(R893)),IF(N(U893)&lt;=R893,1,0),"")</f>
        <v/>
      </c>
      <c r="AB893" s="76" t="str">
        <f>IF(OR(X893="Envoyé",X893="Partiel",X893="En retard"),IF(ISNUMBER(R893),R893,100000)+ROW()/100000,"")</f>
        <v/>
      </c>
      <c r="AC893" s="66" t="str">
        <f>IF(A893="","",IF(COUNTIF($A$6:A893,A893)=1,1,""))</f>
        <v/>
      </c>
      <c r="AD893" s="66" t="str">
        <f>IF(AC893=1,COUNT($AC$6:AC893),"")</f>
        <v/>
      </c>
      <c r="AE893" s="66" t="str">
        <f>IFERROR(INDEX(po_num,MATCH(888,po_seq,0))&amp;"","")</f>
        <v/>
      </c>
      <c r="AF893" s="66" t="str">
        <f>IF(OR(A893="",p_po=""),"",IF(A893&amp;""=p_po,COUNTIF($A$6:A893,A893),""))</f>
        <v/>
      </c>
      <c r="AG893" s="66" t="str">
        <f>IF(OR(AB893="",A893=""),"",IF(COUNTIFS($A$6:A893,A893,$AB$6:AB893,"&gt;0")=1,1,""))</f>
        <v/>
      </c>
      <c r="AH893" s="70" t="str">
        <f>IF(AB893="","",ROUND(N(W893)*N(J893)*(1-N(K893)),2))</f>
        <v/>
      </c>
      <c r="AI893" s="70" t="str">
        <f>IF(OR(J893="",N(T893)&lt;=0,V893="Oui"),"",ROUND(N(T893)*J893*(1-N(K893)),2))</f>
        <v/>
      </c>
    </row>
    <row r="894">
      <c r="A894" s="63" t="n"/>
      <c r="B894" s="64" t="n"/>
      <c r="C894" s="65" t="n"/>
      <c r="D894" s="66" t="str">
        <f>IF(C894="","",IFERROR(INDEX(sup_name,MATCH($C894,sup_code,0))&amp;"","Fournisseur inconnu"))</f>
        <v/>
      </c>
      <c r="E894" s="63" t="n"/>
      <c r="F894" s="66" t="str">
        <f>IF(E894="","",IFERROR(INDEX(art_des,MATCH($E894,art_ref,0))&amp;"","Article inconnu"))</f>
        <v/>
      </c>
      <c r="G894" s="67" t="str">
        <f>IF(E894="","",IFERROR(INDEX(art_unit,MATCH($E894,art_ref,0))&amp;"",""))</f>
        <v/>
      </c>
      <c r="H894" s="68" t="n"/>
      <c r="I894" s="69" t="n"/>
      <c r="J894" s="70" t="str">
        <f>IF(E894="","",IF(ISNUMBER(I894),I894,IFERROR(IF(ISNUMBER(INDEX(art_price,MATCH($E894,art_ref,0))),INDEX(art_price,MATCH($E894,art_ref,0)),""),"")))</f>
        <v/>
      </c>
      <c r="K894" s="71" t="n"/>
      <c r="L894" s="72" t="n"/>
      <c r="M894" s="72" t="str">
        <f>IF(E894="","",IF(L894&lt;&gt;"",L894,IFERROR(IF(ISNUMBER(INDEX(art_tva,MATCH($E894,art_ref,0))),INDEX(art_tva,MATCH($E894,art_ref,0)),""),"")))</f>
        <v/>
      </c>
      <c r="N894" s="70" t="str">
        <f>IF(OR(E894="",J894=""),"",ROUND(N(H894)*J894*(1-N(K894)),2))</f>
        <v/>
      </c>
      <c r="O894" s="70" t="str">
        <f>IF(OR(N894="",NOT(ISNUMBER(M894))),"",ROUND(N894*M894,2))</f>
        <v/>
      </c>
      <c r="P894" s="70" t="str">
        <f>IF(N894="","",N894+N(O894))</f>
        <v/>
      </c>
      <c r="Q894" s="64" t="n"/>
      <c r="R894" s="73" t="str">
        <f>IF(N(Q894)&gt;0,Q894,IF(OR(N(B894)=0,ISNA(MATCH($C894,sup_code,0))),"",IF(ISNUMBER(INDEX(sup_delay,MATCH($C894,sup_code,0))),B894+INDEX(sup_delay,MATCH($C894,sup_code,0)),"")))</f>
        <v/>
      </c>
      <c r="S894" s="64" t="n"/>
      <c r="T894" s="68" t="n"/>
      <c r="U894" s="64" t="n"/>
      <c r="V894" s="65" t="n"/>
      <c r="W894" s="74" t="str">
        <f>IF(AND(A894="",E894=""),"",IF(V894="Oui",0,MAX(0,ROUND(N(H894)-N(T894),6))))</f>
        <v/>
      </c>
      <c r="X894" s="67" t="str">
        <f>IF(AND(A894="",E894=""),"",IF(V894="Oui","Annulé",IF(AND(N(H894)&gt;0,N(T894)&gt;=N(H894)),"Reçu",IF(N(S894)=0,"Brouillon",IF(AND(ISNUMBER(R894),R894&lt;p_today),"En retard",IF(N(T894)&gt;0,"Partiel","Envoyé"))))))</f>
        <v/>
      </c>
      <c r="Y894" s="75" t="str">
        <f>IF(X894="En retard",p_today-R894,IF(AND(X894="Reçu",ISNUMBER(R894)),MAX(0,N(U894)-R894),""))</f>
        <v/>
      </c>
      <c r="Z894" s="67" t="str">
        <f>IF(AND(A894="",E894=""),"",IF(A894="","N° de bon manquant",IF(N(B894)=0,"Date de commande manquante",IF(C894="","Fournisseur manquant",IF(ISNA(MATCH($C894,sup_code,0)),"Fournisseur inconnu",IF(E894="","Article manquant",IF(ISNA(MATCH($E894,art_ref,0)),"Article inconnu",IF(N(H894)&lt;=0,"Quantité invalide",IF(J894="","Prix manquant",IF(OR(N(K894)&lt;0,N(K894)&gt;=1),"Remise invalide",IF(M894="","TVA manquante",IF(ISNA(MATCH(M894,p_tva,0)),"Taux de TVA inconnu",IF(COUNTIFS(po_num,A894,po_sup,"&lt;&gt;"&amp;C894)&gt;0,"Fournisseur différent sur ce bon",IF(COUNTIFS(po_num,A894,po_date,"&lt;&gt;"&amp;B894)&gt;0,"Date différente sur ce bon",IF(COUNTIF(po_num,A894)&gt;25,"Plus de 25 lignes sur ce bon",IF(R894="","Date de livraison manquante",IF(R894&lt;B894,"Livraison avant la commande",IF(AND(N(T894)&gt;0,N(S894)=0),"Date d'envoi manquante",IF(N(T894)&gt;N(H894),"Reçu plus que commandé",IF(AND(N(T894)&gt;0,N(U894)=0),"Date de réception manquante",IF(AND(N(U894)&gt;0,U894&lt;B894),"Réception avant la commande","OK")))))))))))))))))))))</f>
        <v/>
      </c>
      <c r="AA894" s="66" t="str">
        <f>IF(AND(X894="Reçu",ISNUMBER(R894)),IF(N(U894)&lt;=R894,1,0),"")</f>
        <v/>
      </c>
      <c r="AB894" s="76" t="str">
        <f>IF(OR(X894="Envoyé",X894="Partiel",X894="En retard"),IF(ISNUMBER(R894),R894,100000)+ROW()/100000,"")</f>
        <v/>
      </c>
      <c r="AC894" s="66" t="str">
        <f>IF(A894="","",IF(COUNTIF($A$6:A894,A894)=1,1,""))</f>
        <v/>
      </c>
      <c r="AD894" s="66" t="str">
        <f>IF(AC894=1,COUNT($AC$6:AC894),"")</f>
        <v/>
      </c>
      <c r="AE894" s="66" t="str">
        <f>IFERROR(INDEX(po_num,MATCH(889,po_seq,0))&amp;"","")</f>
        <v/>
      </c>
      <c r="AF894" s="66" t="str">
        <f>IF(OR(A894="",p_po=""),"",IF(A894&amp;""=p_po,COUNTIF($A$6:A894,A894),""))</f>
        <v/>
      </c>
      <c r="AG894" s="66" t="str">
        <f>IF(OR(AB894="",A894=""),"",IF(COUNTIFS($A$6:A894,A894,$AB$6:AB894,"&gt;0")=1,1,""))</f>
        <v/>
      </c>
      <c r="AH894" s="70" t="str">
        <f>IF(AB894="","",ROUND(N(W894)*N(J894)*(1-N(K894)),2))</f>
        <v/>
      </c>
      <c r="AI894" s="70" t="str">
        <f>IF(OR(J894="",N(T894)&lt;=0,V894="Oui"),"",ROUND(N(T894)*J894*(1-N(K894)),2))</f>
        <v/>
      </c>
    </row>
    <row r="895">
      <c r="A895" s="63" t="n"/>
      <c r="B895" s="64" t="n"/>
      <c r="C895" s="65" t="n"/>
      <c r="D895" s="66" t="str">
        <f>IF(C895="","",IFERROR(INDEX(sup_name,MATCH($C895,sup_code,0))&amp;"","Fournisseur inconnu"))</f>
        <v/>
      </c>
      <c r="E895" s="63" t="n"/>
      <c r="F895" s="66" t="str">
        <f>IF(E895="","",IFERROR(INDEX(art_des,MATCH($E895,art_ref,0))&amp;"","Article inconnu"))</f>
        <v/>
      </c>
      <c r="G895" s="67" t="str">
        <f>IF(E895="","",IFERROR(INDEX(art_unit,MATCH($E895,art_ref,0))&amp;"",""))</f>
        <v/>
      </c>
      <c r="H895" s="68" t="n"/>
      <c r="I895" s="69" t="n"/>
      <c r="J895" s="70" t="str">
        <f>IF(E895="","",IF(ISNUMBER(I895),I895,IFERROR(IF(ISNUMBER(INDEX(art_price,MATCH($E895,art_ref,0))),INDEX(art_price,MATCH($E895,art_ref,0)),""),"")))</f>
        <v/>
      </c>
      <c r="K895" s="71" t="n"/>
      <c r="L895" s="72" t="n"/>
      <c r="M895" s="72" t="str">
        <f>IF(E895="","",IF(L895&lt;&gt;"",L895,IFERROR(IF(ISNUMBER(INDEX(art_tva,MATCH($E895,art_ref,0))),INDEX(art_tva,MATCH($E895,art_ref,0)),""),"")))</f>
        <v/>
      </c>
      <c r="N895" s="70" t="str">
        <f>IF(OR(E895="",J895=""),"",ROUND(N(H895)*J895*(1-N(K895)),2))</f>
        <v/>
      </c>
      <c r="O895" s="70" t="str">
        <f>IF(OR(N895="",NOT(ISNUMBER(M895))),"",ROUND(N895*M895,2))</f>
        <v/>
      </c>
      <c r="P895" s="70" t="str">
        <f>IF(N895="","",N895+N(O895))</f>
        <v/>
      </c>
      <c r="Q895" s="64" t="n"/>
      <c r="R895" s="73" t="str">
        <f>IF(N(Q895)&gt;0,Q895,IF(OR(N(B895)=0,ISNA(MATCH($C895,sup_code,0))),"",IF(ISNUMBER(INDEX(sup_delay,MATCH($C895,sup_code,0))),B895+INDEX(sup_delay,MATCH($C895,sup_code,0)),"")))</f>
        <v/>
      </c>
      <c r="S895" s="64" t="n"/>
      <c r="T895" s="68" t="n"/>
      <c r="U895" s="64" t="n"/>
      <c r="V895" s="65" t="n"/>
      <c r="W895" s="74" t="str">
        <f>IF(AND(A895="",E895=""),"",IF(V895="Oui",0,MAX(0,ROUND(N(H895)-N(T895),6))))</f>
        <v/>
      </c>
      <c r="X895" s="67" t="str">
        <f>IF(AND(A895="",E895=""),"",IF(V895="Oui","Annulé",IF(AND(N(H895)&gt;0,N(T895)&gt;=N(H895)),"Reçu",IF(N(S895)=0,"Brouillon",IF(AND(ISNUMBER(R895),R895&lt;p_today),"En retard",IF(N(T895)&gt;0,"Partiel","Envoyé"))))))</f>
        <v/>
      </c>
      <c r="Y895" s="75" t="str">
        <f>IF(X895="En retard",p_today-R895,IF(AND(X895="Reçu",ISNUMBER(R895)),MAX(0,N(U895)-R895),""))</f>
        <v/>
      </c>
      <c r="Z895" s="67" t="str">
        <f>IF(AND(A895="",E895=""),"",IF(A895="","N° de bon manquant",IF(N(B895)=0,"Date de commande manquante",IF(C895="","Fournisseur manquant",IF(ISNA(MATCH($C895,sup_code,0)),"Fournisseur inconnu",IF(E895="","Article manquant",IF(ISNA(MATCH($E895,art_ref,0)),"Article inconnu",IF(N(H895)&lt;=0,"Quantité invalide",IF(J895="","Prix manquant",IF(OR(N(K895)&lt;0,N(K895)&gt;=1),"Remise invalide",IF(M895="","TVA manquante",IF(ISNA(MATCH(M895,p_tva,0)),"Taux de TVA inconnu",IF(COUNTIFS(po_num,A895,po_sup,"&lt;&gt;"&amp;C895)&gt;0,"Fournisseur différent sur ce bon",IF(COUNTIFS(po_num,A895,po_date,"&lt;&gt;"&amp;B895)&gt;0,"Date différente sur ce bon",IF(COUNTIF(po_num,A895)&gt;25,"Plus de 25 lignes sur ce bon",IF(R895="","Date de livraison manquante",IF(R895&lt;B895,"Livraison avant la commande",IF(AND(N(T895)&gt;0,N(S895)=0),"Date d'envoi manquante",IF(N(T895)&gt;N(H895),"Reçu plus que commandé",IF(AND(N(T895)&gt;0,N(U895)=0),"Date de réception manquante",IF(AND(N(U895)&gt;0,U895&lt;B895),"Réception avant la commande","OK")))))))))))))))))))))</f>
        <v/>
      </c>
      <c r="AA895" s="66" t="str">
        <f>IF(AND(X895="Reçu",ISNUMBER(R895)),IF(N(U895)&lt;=R895,1,0),"")</f>
        <v/>
      </c>
      <c r="AB895" s="76" t="str">
        <f>IF(OR(X895="Envoyé",X895="Partiel",X895="En retard"),IF(ISNUMBER(R895),R895,100000)+ROW()/100000,"")</f>
        <v/>
      </c>
      <c r="AC895" s="66" t="str">
        <f>IF(A895="","",IF(COUNTIF($A$6:A895,A895)=1,1,""))</f>
        <v/>
      </c>
      <c r="AD895" s="66" t="str">
        <f>IF(AC895=1,COUNT($AC$6:AC895),"")</f>
        <v/>
      </c>
      <c r="AE895" s="66" t="str">
        <f>IFERROR(INDEX(po_num,MATCH(890,po_seq,0))&amp;"","")</f>
        <v/>
      </c>
      <c r="AF895" s="66" t="str">
        <f>IF(OR(A895="",p_po=""),"",IF(A895&amp;""=p_po,COUNTIF($A$6:A895,A895),""))</f>
        <v/>
      </c>
      <c r="AG895" s="66" t="str">
        <f>IF(OR(AB895="",A895=""),"",IF(COUNTIFS($A$6:A895,A895,$AB$6:AB895,"&gt;0")=1,1,""))</f>
        <v/>
      </c>
      <c r="AH895" s="70" t="str">
        <f>IF(AB895="","",ROUND(N(W895)*N(J895)*(1-N(K895)),2))</f>
        <v/>
      </c>
      <c r="AI895" s="70" t="str">
        <f>IF(OR(J895="",N(T895)&lt;=0,V895="Oui"),"",ROUND(N(T895)*J895*(1-N(K895)),2))</f>
        <v/>
      </c>
    </row>
    <row r="896">
      <c r="A896" s="63" t="n"/>
      <c r="B896" s="64" t="n"/>
      <c r="C896" s="65" t="n"/>
      <c r="D896" s="66" t="str">
        <f>IF(C896="","",IFERROR(INDEX(sup_name,MATCH($C896,sup_code,0))&amp;"","Fournisseur inconnu"))</f>
        <v/>
      </c>
      <c r="E896" s="63" t="n"/>
      <c r="F896" s="66" t="str">
        <f>IF(E896="","",IFERROR(INDEX(art_des,MATCH($E896,art_ref,0))&amp;"","Article inconnu"))</f>
        <v/>
      </c>
      <c r="G896" s="67" t="str">
        <f>IF(E896="","",IFERROR(INDEX(art_unit,MATCH($E896,art_ref,0))&amp;"",""))</f>
        <v/>
      </c>
      <c r="H896" s="68" t="n"/>
      <c r="I896" s="69" t="n"/>
      <c r="J896" s="70" t="str">
        <f>IF(E896="","",IF(ISNUMBER(I896),I896,IFERROR(IF(ISNUMBER(INDEX(art_price,MATCH($E896,art_ref,0))),INDEX(art_price,MATCH($E896,art_ref,0)),""),"")))</f>
        <v/>
      </c>
      <c r="K896" s="71" t="n"/>
      <c r="L896" s="72" t="n"/>
      <c r="M896" s="72" t="str">
        <f>IF(E896="","",IF(L896&lt;&gt;"",L896,IFERROR(IF(ISNUMBER(INDEX(art_tva,MATCH($E896,art_ref,0))),INDEX(art_tva,MATCH($E896,art_ref,0)),""),"")))</f>
        <v/>
      </c>
      <c r="N896" s="70" t="str">
        <f>IF(OR(E896="",J896=""),"",ROUND(N(H896)*J896*(1-N(K896)),2))</f>
        <v/>
      </c>
      <c r="O896" s="70" t="str">
        <f>IF(OR(N896="",NOT(ISNUMBER(M896))),"",ROUND(N896*M896,2))</f>
        <v/>
      </c>
      <c r="P896" s="70" t="str">
        <f>IF(N896="","",N896+N(O896))</f>
        <v/>
      </c>
      <c r="Q896" s="64" t="n"/>
      <c r="R896" s="73" t="str">
        <f>IF(N(Q896)&gt;0,Q896,IF(OR(N(B896)=0,ISNA(MATCH($C896,sup_code,0))),"",IF(ISNUMBER(INDEX(sup_delay,MATCH($C896,sup_code,0))),B896+INDEX(sup_delay,MATCH($C896,sup_code,0)),"")))</f>
        <v/>
      </c>
      <c r="S896" s="64" t="n"/>
      <c r="T896" s="68" t="n"/>
      <c r="U896" s="64" t="n"/>
      <c r="V896" s="65" t="n"/>
      <c r="W896" s="74" t="str">
        <f>IF(AND(A896="",E896=""),"",IF(V896="Oui",0,MAX(0,ROUND(N(H896)-N(T896),6))))</f>
        <v/>
      </c>
      <c r="X896" s="67" t="str">
        <f>IF(AND(A896="",E896=""),"",IF(V896="Oui","Annulé",IF(AND(N(H896)&gt;0,N(T896)&gt;=N(H896)),"Reçu",IF(N(S896)=0,"Brouillon",IF(AND(ISNUMBER(R896),R896&lt;p_today),"En retard",IF(N(T896)&gt;0,"Partiel","Envoyé"))))))</f>
        <v/>
      </c>
      <c r="Y896" s="75" t="str">
        <f>IF(X896="En retard",p_today-R896,IF(AND(X896="Reçu",ISNUMBER(R896)),MAX(0,N(U896)-R896),""))</f>
        <v/>
      </c>
      <c r="Z896" s="67" t="str">
        <f>IF(AND(A896="",E896=""),"",IF(A896="","N° de bon manquant",IF(N(B896)=0,"Date de commande manquante",IF(C896="","Fournisseur manquant",IF(ISNA(MATCH($C896,sup_code,0)),"Fournisseur inconnu",IF(E896="","Article manquant",IF(ISNA(MATCH($E896,art_ref,0)),"Article inconnu",IF(N(H896)&lt;=0,"Quantité invalide",IF(J896="","Prix manquant",IF(OR(N(K896)&lt;0,N(K896)&gt;=1),"Remise invalide",IF(M896="","TVA manquante",IF(ISNA(MATCH(M896,p_tva,0)),"Taux de TVA inconnu",IF(COUNTIFS(po_num,A896,po_sup,"&lt;&gt;"&amp;C896)&gt;0,"Fournisseur différent sur ce bon",IF(COUNTIFS(po_num,A896,po_date,"&lt;&gt;"&amp;B896)&gt;0,"Date différente sur ce bon",IF(COUNTIF(po_num,A896)&gt;25,"Plus de 25 lignes sur ce bon",IF(R896="","Date de livraison manquante",IF(R896&lt;B896,"Livraison avant la commande",IF(AND(N(T896)&gt;0,N(S896)=0),"Date d'envoi manquante",IF(N(T896)&gt;N(H896),"Reçu plus que commandé",IF(AND(N(T896)&gt;0,N(U896)=0),"Date de réception manquante",IF(AND(N(U896)&gt;0,U896&lt;B896),"Réception avant la commande","OK")))))))))))))))))))))</f>
        <v/>
      </c>
      <c r="AA896" s="66" t="str">
        <f>IF(AND(X896="Reçu",ISNUMBER(R896)),IF(N(U896)&lt;=R896,1,0),"")</f>
        <v/>
      </c>
      <c r="AB896" s="76" t="str">
        <f>IF(OR(X896="Envoyé",X896="Partiel",X896="En retard"),IF(ISNUMBER(R896),R896,100000)+ROW()/100000,"")</f>
        <v/>
      </c>
      <c r="AC896" s="66" t="str">
        <f>IF(A896="","",IF(COUNTIF($A$6:A896,A896)=1,1,""))</f>
        <v/>
      </c>
      <c r="AD896" s="66" t="str">
        <f>IF(AC896=1,COUNT($AC$6:AC896),"")</f>
        <v/>
      </c>
      <c r="AE896" s="66" t="str">
        <f>IFERROR(INDEX(po_num,MATCH(891,po_seq,0))&amp;"","")</f>
        <v/>
      </c>
      <c r="AF896" s="66" t="str">
        <f>IF(OR(A896="",p_po=""),"",IF(A896&amp;""=p_po,COUNTIF($A$6:A896,A896),""))</f>
        <v/>
      </c>
      <c r="AG896" s="66" t="str">
        <f>IF(OR(AB896="",A896=""),"",IF(COUNTIFS($A$6:A896,A896,$AB$6:AB896,"&gt;0")=1,1,""))</f>
        <v/>
      </c>
      <c r="AH896" s="70" t="str">
        <f>IF(AB896="","",ROUND(N(W896)*N(J896)*(1-N(K896)),2))</f>
        <v/>
      </c>
      <c r="AI896" s="70" t="str">
        <f>IF(OR(J896="",N(T896)&lt;=0,V896="Oui"),"",ROUND(N(T896)*J896*(1-N(K896)),2))</f>
        <v/>
      </c>
    </row>
    <row r="897">
      <c r="A897" s="63" t="n"/>
      <c r="B897" s="64" t="n"/>
      <c r="C897" s="65" t="n"/>
      <c r="D897" s="66" t="str">
        <f>IF(C897="","",IFERROR(INDEX(sup_name,MATCH($C897,sup_code,0))&amp;"","Fournisseur inconnu"))</f>
        <v/>
      </c>
      <c r="E897" s="63" t="n"/>
      <c r="F897" s="66" t="str">
        <f>IF(E897="","",IFERROR(INDEX(art_des,MATCH($E897,art_ref,0))&amp;"","Article inconnu"))</f>
        <v/>
      </c>
      <c r="G897" s="67" t="str">
        <f>IF(E897="","",IFERROR(INDEX(art_unit,MATCH($E897,art_ref,0))&amp;"",""))</f>
        <v/>
      </c>
      <c r="H897" s="68" t="n"/>
      <c r="I897" s="69" t="n"/>
      <c r="J897" s="70" t="str">
        <f>IF(E897="","",IF(ISNUMBER(I897),I897,IFERROR(IF(ISNUMBER(INDEX(art_price,MATCH($E897,art_ref,0))),INDEX(art_price,MATCH($E897,art_ref,0)),""),"")))</f>
        <v/>
      </c>
      <c r="K897" s="71" t="n"/>
      <c r="L897" s="72" t="n"/>
      <c r="M897" s="72" t="str">
        <f>IF(E897="","",IF(L897&lt;&gt;"",L897,IFERROR(IF(ISNUMBER(INDEX(art_tva,MATCH($E897,art_ref,0))),INDEX(art_tva,MATCH($E897,art_ref,0)),""),"")))</f>
        <v/>
      </c>
      <c r="N897" s="70" t="str">
        <f>IF(OR(E897="",J897=""),"",ROUND(N(H897)*J897*(1-N(K897)),2))</f>
        <v/>
      </c>
      <c r="O897" s="70" t="str">
        <f>IF(OR(N897="",NOT(ISNUMBER(M897))),"",ROUND(N897*M897,2))</f>
        <v/>
      </c>
      <c r="P897" s="70" t="str">
        <f>IF(N897="","",N897+N(O897))</f>
        <v/>
      </c>
      <c r="Q897" s="64" t="n"/>
      <c r="R897" s="73" t="str">
        <f>IF(N(Q897)&gt;0,Q897,IF(OR(N(B897)=0,ISNA(MATCH($C897,sup_code,0))),"",IF(ISNUMBER(INDEX(sup_delay,MATCH($C897,sup_code,0))),B897+INDEX(sup_delay,MATCH($C897,sup_code,0)),"")))</f>
        <v/>
      </c>
      <c r="S897" s="64" t="n"/>
      <c r="T897" s="68" t="n"/>
      <c r="U897" s="64" t="n"/>
      <c r="V897" s="65" t="n"/>
      <c r="W897" s="74" t="str">
        <f>IF(AND(A897="",E897=""),"",IF(V897="Oui",0,MAX(0,ROUND(N(H897)-N(T897),6))))</f>
        <v/>
      </c>
      <c r="X897" s="67" t="str">
        <f>IF(AND(A897="",E897=""),"",IF(V897="Oui","Annulé",IF(AND(N(H897)&gt;0,N(T897)&gt;=N(H897)),"Reçu",IF(N(S897)=0,"Brouillon",IF(AND(ISNUMBER(R897),R897&lt;p_today),"En retard",IF(N(T897)&gt;0,"Partiel","Envoyé"))))))</f>
        <v/>
      </c>
      <c r="Y897" s="75" t="str">
        <f>IF(X897="En retard",p_today-R897,IF(AND(X897="Reçu",ISNUMBER(R897)),MAX(0,N(U897)-R897),""))</f>
        <v/>
      </c>
      <c r="Z897" s="67" t="str">
        <f>IF(AND(A897="",E897=""),"",IF(A897="","N° de bon manquant",IF(N(B897)=0,"Date de commande manquante",IF(C897="","Fournisseur manquant",IF(ISNA(MATCH($C897,sup_code,0)),"Fournisseur inconnu",IF(E897="","Article manquant",IF(ISNA(MATCH($E897,art_ref,0)),"Article inconnu",IF(N(H897)&lt;=0,"Quantité invalide",IF(J897="","Prix manquant",IF(OR(N(K897)&lt;0,N(K897)&gt;=1),"Remise invalide",IF(M897="","TVA manquante",IF(ISNA(MATCH(M897,p_tva,0)),"Taux de TVA inconnu",IF(COUNTIFS(po_num,A897,po_sup,"&lt;&gt;"&amp;C897)&gt;0,"Fournisseur différent sur ce bon",IF(COUNTIFS(po_num,A897,po_date,"&lt;&gt;"&amp;B897)&gt;0,"Date différente sur ce bon",IF(COUNTIF(po_num,A897)&gt;25,"Plus de 25 lignes sur ce bon",IF(R897="","Date de livraison manquante",IF(R897&lt;B897,"Livraison avant la commande",IF(AND(N(T897)&gt;0,N(S897)=0),"Date d'envoi manquante",IF(N(T897)&gt;N(H897),"Reçu plus que commandé",IF(AND(N(T897)&gt;0,N(U897)=0),"Date de réception manquante",IF(AND(N(U897)&gt;0,U897&lt;B897),"Réception avant la commande","OK")))))))))))))))))))))</f>
        <v/>
      </c>
      <c r="AA897" s="66" t="str">
        <f>IF(AND(X897="Reçu",ISNUMBER(R897)),IF(N(U897)&lt;=R897,1,0),"")</f>
        <v/>
      </c>
      <c r="AB897" s="76" t="str">
        <f>IF(OR(X897="Envoyé",X897="Partiel",X897="En retard"),IF(ISNUMBER(R897),R897,100000)+ROW()/100000,"")</f>
        <v/>
      </c>
      <c r="AC897" s="66" t="str">
        <f>IF(A897="","",IF(COUNTIF($A$6:A897,A897)=1,1,""))</f>
        <v/>
      </c>
      <c r="AD897" s="66" t="str">
        <f>IF(AC897=1,COUNT($AC$6:AC897),"")</f>
        <v/>
      </c>
      <c r="AE897" s="66" t="str">
        <f>IFERROR(INDEX(po_num,MATCH(892,po_seq,0))&amp;"","")</f>
        <v/>
      </c>
      <c r="AF897" s="66" t="str">
        <f>IF(OR(A897="",p_po=""),"",IF(A897&amp;""=p_po,COUNTIF($A$6:A897,A897),""))</f>
        <v/>
      </c>
      <c r="AG897" s="66" t="str">
        <f>IF(OR(AB897="",A897=""),"",IF(COUNTIFS($A$6:A897,A897,$AB$6:AB897,"&gt;0")=1,1,""))</f>
        <v/>
      </c>
      <c r="AH897" s="70" t="str">
        <f>IF(AB897="","",ROUND(N(W897)*N(J897)*(1-N(K897)),2))</f>
        <v/>
      </c>
      <c r="AI897" s="70" t="str">
        <f>IF(OR(J897="",N(T897)&lt;=0,V897="Oui"),"",ROUND(N(T897)*J897*(1-N(K897)),2))</f>
        <v/>
      </c>
    </row>
    <row r="898">
      <c r="A898" s="63" t="n"/>
      <c r="B898" s="64" t="n"/>
      <c r="C898" s="65" t="n"/>
      <c r="D898" s="66" t="str">
        <f>IF(C898="","",IFERROR(INDEX(sup_name,MATCH($C898,sup_code,0))&amp;"","Fournisseur inconnu"))</f>
        <v/>
      </c>
      <c r="E898" s="63" t="n"/>
      <c r="F898" s="66" t="str">
        <f>IF(E898="","",IFERROR(INDEX(art_des,MATCH($E898,art_ref,0))&amp;"","Article inconnu"))</f>
        <v/>
      </c>
      <c r="G898" s="67" t="str">
        <f>IF(E898="","",IFERROR(INDEX(art_unit,MATCH($E898,art_ref,0))&amp;"",""))</f>
        <v/>
      </c>
      <c r="H898" s="68" t="n"/>
      <c r="I898" s="69" t="n"/>
      <c r="J898" s="70" t="str">
        <f>IF(E898="","",IF(ISNUMBER(I898),I898,IFERROR(IF(ISNUMBER(INDEX(art_price,MATCH($E898,art_ref,0))),INDEX(art_price,MATCH($E898,art_ref,0)),""),"")))</f>
        <v/>
      </c>
      <c r="K898" s="71" t="n"/>
      <c r="L898" s="72" t="n"/>
      <c r="M898" s="72" t="str">
        <f>IF(E898="","",IF(L898&lt;&gt;"",L898,IFERROR(IF(ISNUMBER(INDEX(art_tva,MATCH($E898,art_ref,0))),INDEX(art_tva,MATCH($E898,art_ref,0)),""),"")))</f>
        <v/>
      </c>
      <c r="N898" s="70" t="str">
        <f>IF(OR(E898="",J898=""),"",ROUND(N(H898)*J898*(1-N(K898)),2))</f>
        <v/>
      </c>
      <c r="O898" s="70" t="str">
        <f>IF(OR(N898="",NOT(ISNUMBER(M898))),"",ROUND(N898*M898,2))</f>
        <v/>
      </c>
      <c r="P898" s="70" t="str">
        <f>IF(N898="","",N898+N(O898))</f>
        <v/>
      </c>
      <c r="Q898" s="64" t="n"/>
      <c r="R898" s="73" t="str">
        <f>IF(N(Q898)&gt;0,Q898,IF(OR(N(B898)=0,ISNA(MATCH($C898,sup_code,0))),"",IF(ISNUMBER(INDEX(sup_delay,MATCH($C898,sup_code,0))),B898+INDEX(sup_delay,MATCH($C898,sup_code,0)),"")))</f>
        <v/>
      </c>
      <c r="S898" s="64" t="n"/>
      <c r="T898" s="68" t="n"/>
      <c r="U898" s="64" t="n"/>
      <c r="V898" s="65" t="n"/>
      <c r="W898" s="74" t="str">
        <f>IF(AND(A898="",E898=""),"",IF(V898="Oui",0,MAX(0,ROUND(N(H898)-N(T898),6))))</f>
        <v/>
      </c>
      <c r="X898" s="67" t="str">
        <f>IF(AND(A898="",E898=""),"",IF(V898="Oui","Annulé",IF(AND(N(H898)&gt;0,N(T898)&gt;=N(H898)),"Reçu",IF(N(S898)=0,"Brouillon",IF(AND(ISNUMBER(R898),R898&lt;p_today),"En retard",IF(N(T898)&gt;0,"Partiel","Envoyé"))))))</f>
        <v/>
      </c>
      <c r="Y898" s="75" t="str">
        <f>IF(X898="En retard",p_today-R898,IF(AND(X898="Reçu",ISNUMBER(R898)),MAX(0,N(U898)-R898),""))</f>
        <v/>
      </c>
      <c r="Z898" s="67" t="str">
        <f>IF(AND(A898="",E898=""),"",IF(A898="","N° de bon manquant",IF(N(B898)=0,"Date de commande manquante",IF(C898="","Fournisseur manquant",IF(ISNA(MATCH($C898,sup_code,0)),"Fournisseur inconnu",IF(E898="","Article manquant",IF(ISNA(MATCH($E898,art_ref,0)),"Article inconnu",IF(N(H898)&lt;=0,"Quantité invalide",IF(J898="","Prix manquant",IF(OR(N(K898)&lt;0,N(K898)&gt;=1),"Remise invalide",IF(M898="","TVA manquante",IF(ISNA(MATCH(M898,p_tva,0)),"Taux de TVA inconnu",IF(COUNTIFS(po_num,A898,po_sup,"&lt;&gt;"&amp;C898)&gt;0,"Fournisseur différent sur ce bon",IF(COUNTIFS(po_num,A898,po_date,"&lt;&gt;"&amp;B898)&gt;0,"Date différente sur ce bon",IF(COUNTIF(po_num,A898)&gt;25,"Plus de 25 lignes sur ce bon",IF(R898="","Date de livraison manquante",IF(R898&lt;B898,"Livraison avant la commande",IF(AND(N(T898)&gt;0,N(S898)=0),"Date d'envoi manquante",IF(N(T898)&gt;N(H898),"Reçu plus que commandé",IF(AND(N(T898)&gt;0,N(U898)=0),"Date de réception manquante",IF(AND(N(U898)&gt;0,U898&lt;B898),"Réception avant la commande","OK")))))))))))))))))))))</f>
        <v/>
      </c>
      <c r="AA898" s="66" t="str">
        <f>IF(AND(X898="Reçu",ISNUMBER(R898)),IF(N(U898)&lt;=R898,1,0),"")</f>
        <v/>
      </c>
      <c r="AB898" s="76" t="str">
        <f>IF(OR(X898="Envoyé",X898="Partiel",X898="En retard"),IF(ISNUMBER(R898),R898,100000)+ROW()/100000,"")</f>
        <v/>
      </c>
      <c r="AC898" s="66" t="str">
        <f>IF(A898="","",IF(COUNTIF($A$6:A898,A898)=1,1,""))</f>
        <v/>
      </c>
      <c r="AD898" s="66" t="str">
        <f>IF(AC898=1,COUNT($AC$6:AC898),"")</f>
        <v/>
      </c>
      <c r="AE898" s="66" t="str">
        <f>IFERROR(INDEX(po_num,MATCH(893,po_seq,0))&amp;"","")</f>
        <v/>
      </c>
      <c r="AF898" s="66" t="str">
        <f>IF(OR(A898="",p_po=""),"",IF(A898&amp;""=p_po,COUNTIF($A$6:A898,A898),""))</f>
        <v/>
      </c>
      <c r="AG898" s="66" t="str">
        <f>IF(OR(AB898="",A898=""),"",IF(COUNTIFS($A$6:A898,A898,$AB$6:AB898,"&gt;0")=1,1,""))</f>
        <v/>
      </c>
      <c r="AH898" s="70" t="str">
        <f>IF(AB898="","",ROUND(N(W898)*N(J898)*(1-N(K898)),2))</f>
        <v/>
      </c>
      <c r="AI898" s="70" t="str">
        <f>IF(OR(J898="",N(T898)&lt;=0,V898="Oui"),"",ROUND(N(T898)*J898*(1-N(K898)),2))</f>
        <v/>
      </c>
    </row>
    <row r="899">
      <c r="A899" s="63" t="n"/>
      <c r="B899" s="64" t="n"/>
      <c r="C899" s="65" t="n"/>
      <c r="D899" s="66" t="str">
        <f>IF(C899="","",IFERROR(INDEX(sup_name,MATCH($C899,sup_code,0))&amp;"","Fournisseur inconnu"))</f>
        <v/>
      </c>
      <c r="E899" s="63" t="n"/>
      <c r="F899" s="66" t="str">
        <f>IF(E899="","",IFERROR(INDEX(art_des,MATCH($E899,art_ref,0))&amp;"","Article inconnu"))</f>
        <v/>
      </c>
      <c r="G899" s="67" t="str">
        <f>IF(E899="","",IFERROR(INDEX(art_unit,MATCH($E899,art_ref,0))&amp;"",""))</f>
        <v/>
      </c>
      <c r="H899" s="68" t="n"/>
      <c r="I899" s="69" t="n"/>
      <c r="J899" s="70" t="str">
        <f>IF(E899="","",IF(ISNUMBER(I899),I899,IFERROR(IF(ISNUMBER(INDEX(art_price,MATCH($E899,art_ref,0))),INDEX(art_price,MATCH($E899,art_ref,0)),""),"")))</f>
        <v/>
      </c>
      <c r="K899" s="71" t="n"/>
      <c r="L899" s="72" t="n"/>
      <c r="M899" s="72" t="str">
        <f>IF(E899="","",IF(L899&lt;&gt;"",L899,IFERROR(IF(ISNUMBER(INDEX(art_tva,MATCH($E899,art_ref,0))),INDEX(art_tva,MATCH($E899,art_ref,0)),""),"")))</f>
        <v/>
      </c>
      <c r="N899" s="70" t="str">
        <f>IF(OR(E899="",J899=""),"",ROUND(N(H899)*J899*(1-N(K899)),2))</f>
        <v/>
      </c>
      <c r="O899" s="70" t="str">
        <f>IF(OR(N899="",NOT(ISNUMBER(M899))),"",ROUND(N899*M899,2))</f>
        <v/>
      </c>
      <c r="P899" s="70" t="str">
        <f>IF(N899="","",N899+N(O899))</f>
        <v/>
      </c>
      <c r="Q899" s="64" t="n"/>
      <c r="R899" s="73" t="str">
        <f>IF(N(Q899)&gt;0,Q899,IF(OR(N(B899)=0,ISNA(MATCH($C899,sup_code,0))),"",IF(ISNUMBER(INDEX(sup_delay,MATCH($C899,sup_code,0))),B899+INDEX(sup_delay,MATCH($C899,sup_code,0)),"")))</f>
        <v/>
      </c>
      <c r="S899" s="64" t="n"/>
      <c r="T899" s="68" t="n"/>
      <c r="U899" s="64" t="n"/>
      <c r="V899" s="65" t="n"/>
      <c r="W899" s="74" t="str">
        <f>IF(AND(A899="",E899=""),"",IF(V899="Oui",0,MAX(0,ROUND(N(H899)-N(T899),6))))</f>
        <v/>
      </c>
      <c r="X899" s="67" t="str">
        <f>IF(AND(A899="",E899=""),"",IF(V899="Oui","Annulé",IF(AND(N(H899)&gt;0,N(T899)&gt;=N(H899)),"Reçu",IF(N(S899)=0,"Brouillon",IF(AND(ISNUMBER(R899),R899&lt;p_today),"En retard",IF(N(T899)&gt;0,"Partiel","Envoyé"))))))</f>
        <v/>
      </c>
      <c r="Y899" s="75" t="str">
        <f>IF(X899="En retard",p_today-R899,IF(AND(X899="Reçu",ISNUMBER(R899)),MAX(0,N(U899)-R899),""))</f>
        <v/>
      </c>
      <c r="Z899" s="67" t="str">
        <f>IF(AND(A899="",E899=""),"",IF(A899="","N° de bon manquant",IF(N(B899)=0,"Date de commande manquante",IF(C899="","Fournisseur manquant",IF(ISNA(MATCH($C899,sup_code,0)),"Fournisseur inconnu",IF(E899="","Article manquant",IF(ISNA(MATCH($E899,art_ref,0)),"Article inconnu",IF(N(H899)&lt;=0,"Quantité invalide",IF(J899="","Prix manquant",IF(OR(N(K899)&lt;0,N(K899)&gt;=1),"Remise invalide",IF(M899="","TVA manquante",IF(ISNA(MATCH(M899,p_tva,0)),"Taux de TVA inconnu",IF(COUNTIFS(po_num,A899,po_sup,"&lt;&gt;"&amp;C899)&gt;0,"Fournisseur différent sur ce bon",IF(COUNTIFS(po_num,A899,po_date,"&lt;&gt;"&amp;B899)&gt;0,"Date différente sur ce bon",IF(COUNTIF(po_num,A899)&gt;25,"Plus de 25 lignes sur ce bon",IF(R899="","Date de livraison manquante",IF(R899&lt;B899,"Livraison avant la commande",IF(AND(N(T899)&gt;0,N(S899)=0),"Date d'envoi manquante",IF(N(T899)&gt;N(H899),"Reçu plus que commandé",IF(AND(N(T899)&gt;0,N(U899)=0),"Date de réception manquante",IF(AND(N(U899)&gt;0,U899&lt;B899),"Réception avant la commande","OK")))))))))))))))))))))</f>
        <v/>
      </c>
      <c r="AA899" s="66" t="str">
        <f>IF(AND(X899="Reçu",ISNUMBER(R899)),IF(N(U899)&lt;=R899,1,0),"")</f>
        <v/>
      </c>
      <c r="AB899" s="76" t="str">
        <f>IF(OR(X899="Envoyé",X899="Partiel",X899="En retard"),IF(ISNUMBER(R899),R899,100000)+ROW()/100000,"")</f>
        <v/>
      </c>
      <c r="AC899" s="66" t="str">
        <f>IF(A899="","",IF(COUNTIF($A$6:A899,A899)=1,1,""))</f>
        <v/>
      </c>
      <c r="AD899" s="66" t="str">
        <f>IF(AC899=1,COUNT($AC$6:AC899),"")</f>
        <v/>
      </c>
      <c r="AE899" s="66" t="str">
        <f>IFERROR(INDEX(po_num,MATCH(894,po_seq,0))&amp;"","")</f>
        <v/>
      </c>
      <c r="AF899" s="66" t="str">
        <f>IF(OR(A899="",p_po=""),"",IF(A899&amp;""=p_po,COUNTIF($A$6:A899,A899),""))</f>
        <v/>
      </c>
      <c r="AG899" s="66" t="str">
        <f>IF(OR(AB899="",A899=""),"",IF(COUNTIFS($A$6:A899,A899,$AB$6:AB899,"&gt;0")=1,1,""))</f>
        <v/>
      </c>
      <c r="AH899" s="70" t="str">
        <f>IF(AB899="","",ROUND(N(W899)*N(J899)*(1-N(K899)),2))</f>
        <v/>
      </c>
      <c r="AI899" s="70" t="str">
        <f>IF(OR(J899="",N(T899)&lt;=0,V899="Oui"),"",ROUND(N(T899)*J899*(1-N(K899)),2))</f>
        <v/>
      </c>
    </row>
    <row r="900">
      <c r="A900" s="63" t="n"/>
      <c r="B900" s="64" t="n"/>
      <c r="C900" s="65" t="n"/>
      <c r="D900" s="66" t="str">
        <f>IF(C900="","",IFERROR(INDEX(sup_name,MATCH($C900,sup_code,0))&amp;"","Fournisseur inconnu"))</f>
        <v/>
      </c>
      <c r="E900" s="63" t="n"/>
      <c r="F900" s="66" t="str">
        <f>IF(E900="","",IFERROR(INDEX(art_des,MATCH($E900,art_ref,0))&amp;"","Article inconnu"))</f>
        <v/>
      </c>
      <c r="G900" s="67" t="str">
        <f>IF(E900="","",IFERROR(INDEX(art_unit,MATCH($E900,art_ref,0))&amp;"",""))</f>
        <v/>
      </c>
      <c r="H900" s="68" t="n"/>
      <c r="I900" s="69" t="n"/>
      <c r="J900" s="70" t="str">
        <f>IF(E900="","",IF(ISNUMBER(I900),I900,IFERROR(IF(ISNUMBER(INDEX(art_price,MATCH($E900,art_ref,0))),INDEX(art_price,MATCH($E900,art_ref,0)),""),"")))</f>
        <v/>
      </c>
      <c r="K900" s="71" t="n"/>
      <c r="L900" s="72" t="n"/>
      <c r="M900" s="72" t="str">
        <f>IF(E900="","",IF(L900&lt;&gt;"",L900,IFERROR(IF(ISNUMBER(INDEX(art_tva,MATCH($E900,art_ref,0))),INDEX(art_tva,MATCH($E900,art_ref,0)),""),"")))</f>
        <v/>
      </c>
      <c r="N900" s="70" t="str">
        <f>IF(OR(E900="",J900=""),"",ROUND(N(H900)*J900*(1-N(K900)),2))</f>
        <v/>
      </c>
      <c r="O900" s="70" t="str">
        <f>IF(OR(N900="",NOT(ISNUMBER(M900))),"",ROUND(N900*M900,2))</f>
        <v/>
      </c>
      <c r="P900" s="70" t="str">
        <f>IF(N900="","",N900+N(O900))</f>
        <v/>
      </c>
      <c r="Q900" s="64" t="n"/>
      <c r="R900" s="73" t="str">
        <f>IF(N(Q900)&gt;0,Q900,IF(OR(N(B900)=0,ISNA(MATCH($C900,sup_code,0))),"",IF(ISNUMBER(INDEX(sup_delay,MATCH($C900,sup_code,0))),B900+INDEX(sup_delay,MATCH($C900,sup_code,0)),"")))</f>
        <v/>
      </c>
      <c r="S900" s="64" t="n"/>
      <c r="T900" s="68" t="n"/>
      <c r="U900" s="64" t="n"/>
      <c r="V900" s="65" t="n"/>
      <c r="W900" s="74" t="str">
        <f>IF(AND(A900="",E900=""),"",IF(V900="Oui",0,MAX(0,ROUND(N(H900)-N(T900),6))))</f>
        <v/>
      </c>
      <c r="X900" s="67" t="str">
        <f>IF(AND(A900="",E900=""),"",IF(V900="Oui","Annulé",IF(AND(N(H900)&gt;0,N(T900)&gt;=N(H900)),"Reçu",IF(N(S900)=0,"Brouillon",IF(AND(ISNUMBER(R900),R900&lt;p_today),"En retard",IF(N(T900)&gt;0,"Partiel","Envoyé"))))))</f>
        <v/>
      </c>
      <c r="Y900" s="75" t="str">
        <f>IF(X900="En retard",p_today-R900,IF(AND(X900="Reçu",ISNUMBER(R900)),MAX(0,N(U900)-R900),""))</f>
        <v/>
      </c>
      <c r="Z900" s="67" t="str">
        <f>IF(AND(A900="",E900=""),"",IF(A900="","N° de bon manquant",IF(N(B900)=0,"Date de commande manquante",IF(C900="","Fournisseur manquant",IF(ISNA(MATCH($C900,sup_code,0)),"Fournisseur inconnu",IF(E900="","Article manquant",IF(ISNA(MATCH($E900,art_ref,0)),"Article inconnu",IF(N(H900)&lt;=0,"Quantité invalide",IF(J900="","Prix manquant",IF(OR(N(K900)&lt;0,N(K900)&gt;=1),"Remise invalide",IF(M900="","TVA manquante",IF(ISNA(MATCH(M900,p_tva,0)),"Taux de TVA inconnu",IF(COUNTIFS(po_num,A900,po_sup,"&lt;&gt;"&amp;C900)&gt;0,"Fournisseur différent sur ce bon",IF(COUNTIFS(po_num,A900,po_date,"&lt;&gt;"&amp;B900)&gt;0,"Date différente sur ce bon",IF(COUNTIF(po_num,A900)&gt;25,"Plus de 25 lignes sur ce bon",IF(R900="","Date de livraison manquante",IF(R900&lt;B900,"Livraison avant la commande",IF(AND(N(T900)&gt;0,N(S900)=0),"Date d'envoi manquante",IF(N(T900)&gt;N(H900),"Reçu plus que commandé",IF(AND(N(T900)&gt;0,N(U900)=0),"Date de réception manquante",IF(AND(N(U900)&gt;0,U900&lt;B900),"Réception avant la commande","OK")))))))))))))))))))))</f>
        <v/>
      </c>
      <c r="AA900" s="66" t="str">
        <f>IF(AND(X900="Reçu",ISNUMBER(R900)),IF(N(U900)&lt;=R900,1,0),"")</f>
        <v/>
      </c>
      <c r="AB900" s="76" t="str">
        <f>IF(OR(X900="Envoyé",X900="Partiel",X900="En retard"),IF(ISNUMBER(R900),R900,100000)+ROW()/100000,"")</f>
        <v/>
      </c>
      <c r="AC900" s="66" t="str">
        <f>IF(A900="","",IF(COUNTIF($A$6:A900,A900)=1,1,""))</f>
        <v/>
      </c>
      <c r="AD900" s="66" t="str">
        <f>IF(AC900=1,COUNT($AC$6:AC900),"")</f>
        <v/>
      </c>
      <c r="AE900" s="66" t="str">
        <f>IFERROR(INDEX(po_num,MATCH(895,po_seq,0))&amp;"","")</f>
        <v/>
      </c>
      <c r="AF900" s="66" t="str">
        <f>IF(OR(A900="",p_po=""),"",IF(A900&amp;""=p_po,COUNTIF($A$6:A900,A900),""))</f>
        <v/>
      </c>
      <c r="AG900" s="66" t="str">
        <f>IF(OR(AB900="",A900=""),"",IF(COUNTIFS($A$6:A900,A900,$AB$6:AB900,"&gt;0")=1,1,""))</f>
        <v/>
      </c>
      <c r="AH900" s="70" t="str">
        <f>IF(AB900="","",ROUND(N(W900)*N(J900)*(1-N(K900)),2))</f>
        <v/>
      </c>
      <c r="AI900" s="70" t="str">
        <f>IF(OR(J900="",N(T900)&lt;=0,V900="Oui"),"",ROUND(N(T900)*J900*(1-N(K900)),2))</f>
        <v/>
      </c>
    </row>
    <row r="901">
      <c r="A901" s="63" t="n"/>
      <c r="B901" s="64" t="n"/>
      <c r="C901" s="65" t="n"/>
      <c r="D901" s="66" t="str">
        <f>IF(C901="","",IFERROR(INDEX(sup_name,MATCH($C901,sup_code,0))&amp;"","Fournisseur inconnu"))</f>
        <v/>
      </c>
      <c r="E901" s="63" t="n"/>
      <c r="F901" s="66" t="str">
        <f>IF(E901="","",IFERROR(INDEX(art_des,MATCH($E901,art_ref,0))&amp;"","Article inconnu"))</f>
        <v/>
      </c>
      <c r="G901" s="67" t="str">
        <f>IF(E901="","",IFERROR(INDEX(art_unit,MATCH($E901,art_ref,0))&amp;"",""))</f>
        <v/>
      </c>
      <c r="H901" s="68" t="n"/>
      <c r="I901" s="69" t="n"/>
      <c r="J901" s="70" t="str">
        <f>IF(E901="","",IF(ISNUMBER(I901),I901,IFERROR(IF(ISNUMBER(INDEX(art_price,MATCH($E901,art_ref,0))),INDEX(art_price,MATCH($E901,art_ref,0)),""),"")))</f>
        <v/>
      </c>
      <c r="K901" s="71" t="n"/>
      <c r="L901" s="72" t="n"/>
      <c r="M901" s="72" t="str">
        <f>IF(E901="","",IF(L901&lt;&gt;"",L901,IFERROR(IF(ISNUMBER(INDEX(art_tva,MATCH($E901,art_ref,0))),INDEX(art_tva,MATCH($E901,art_ref,0)),""),"")))</f>
        <v/>
      </c>
      <c r="N901" s="70" t="str">
        <f>IF(OR(E901="",J901=""),"",ROUND(N(H901)*J901*(1-N(K901)),2))</f>
        <v/>
      </c>
      <c r="O901" s="70" t="str">
        <f>IF(OR(N901="",NOT(ISNUMBER(M901))),"",ROUND(N901*M901,2))</f>
        <v/>
      </c>
      <c r="P901" s="70" t="str">
        <f>IF(N901="","",N901+N(O901))</f>
        <v/>
      </c>
      <c r="Q901" s="64" t="n"/>
      <c r="R901" s="73" t="str">
        <f>IF(N(Q901)&gt;0,Q901,IF(OR(N(B901)=0,ISNA(MATCH($C901,sup_code,0))),"",IF(ISNUMBER(INDEX(sup_delay,MATCH($C901,sup_code,0))),B901+INDEX(sup_delay,MATCH($C901,sup_code,0)),"")))</f>
        <v/>
      </c>
      <c r="S901" s="64" t="n"/>
      <c r="T901" s="68" t="n"/>
      <c r="U901" s="64" t="n"/>
      <c r="V901" s="65" t="n"/>
      <c r="W901" s="74" t="str">
        <f>IF(AND(A901="",E901=""),"",IF(V901="Oui",0,MAX(0,ROUND(N(H901)-N(T901),6))))</f>
        <v/>
      </c>
      <c r="X901" s="67" t="str">
        <f>IF(AND(A901="",E901=""),"",IF(V901="Oui","Annulé",IF(AND(N(H901)&gt;0,N(T901)&gt;=N(H901)),"Reçu",IF(N(S901)=0,"Brouillon",IF(AND(ISNUMBER(R901),R901&lt;p_today),"En retard",IF(N(T901)&gt;0,"Partiel","Envoyé"))))))</f>
        <v/>
      </c>
      <c r="Y901" s="75" t="str">
        <f>IF(X901="En retard",p_today-R901,IF(AND(X901="Reçu",ISNUMBER(R901)),MAX(0,N(U901)-R901),""))</f>
        <v/>
      </c>
      <c r="Z901" s="67" t="str">
        <f>IF(AND(A901="",E901=""),"",IF(A901="","N° de bon manquant",IF(N(B901)=0,"Date de commande manquante",IF(C901="","Fournisseur manquant",IF(ISNA(MATCH($C901,sup_code,0)),"Fournisseur inconnu",IF(E901="","Article manquant",IF(ISNA(MATCH($E901,art_ref,0)),"Article inconnu",IF(N(H901)&lt;=0,"Quantité invalide",IF(J901="","Prix manquant",IF(OR(N(K901)&lt;0,N(K901)&gt;=1),"Remise invalide",IF(M901="","TVA manquante",IF(ISNA(MATCH(M901,p_tva,0)),"Taux de TVA inconnu",IF(COUNTIFS(po_num,A901,po_sup,"&lt;&gt;"&amp;C901)&gt;0,"Fournisseur différent sur ce bon",IF(COUNTIFS(po_num,A901,po_date,"&lt;&gt;"&amp;B901)&gt;0,"Date différente sur ce bon",IF(COUNTIF(po_num,A901)&gt;25,"Plus de 25 lignes sur ce bon",IF(R901="","Date de livraison manquante",IF(R901&lt;B901,"Livraison avant la commande",IF(AND(N(T901)&gt;0,N(S901)=0),"Date d'envoi manquante",IF(N(T901)&gt;N(H901),"Reçu plus que commandé",IF(AND(N(T901)&gt;0,N(U901)=0),"Date de réception manquante",IF(AND(N(U901)&gt;0,U901&lt;B901),"Réception avant la commande","OK")))))))))))))))))))))</f>
        <v/>
      </c>
      <c r="AA901" s="66" t="str">
        <f>IF(AND(X901="Reçu",ISNUMBER(R901)),IF(N(U901)&lt;=R901,1,0),"")</f>
        <v/>
      </c>
      <c r="AB901" s="76" t="str">
        <f>IF(OR(X901="Envoyé",X901="Partiel",X901="En retard"),IF(ISNUMBER(R901),R901,100000)+ROW()/100000,"")</f>
        <v/>
      </c>
      <c r="AC901" s="66" t="str">
        <f>IF(A901="","",IF(COUNTIF($A$6:A901,A901)=1,1,""))</f>
        <v/>
      </c>
      <c r="AD901" s="66" t="str">
        <f>IF(AC901=1,COUNT($AC$6:AC901),"")</f>
        <v/>
      </c>
      <c r="AE901" s="66" t="str">
        <f>IFERROR(INDEX(po_num,MATCH(896,po_seq,0))&amp;"","")</f>
        <v/>
      </c>
      <c r="AF901" s="66" t="str">
        <f>IF(OR(A901="",p_po=""),"",IF(A901&amp;""=p_po,COUNTIF($A$6:A901,A901),""))</f>
        <v/>
      </c>
      <c r="AG901" s="66" t="str">
        <f>IF(OR(AB901="",A901=""),"",IF(COUNTIFS($A$6:A901,A901,$AB$6:AB901,"&gt;0")=1,1,""))</f>
        <v/>
      </c>
      <c r="AH901" s="70" t="str">
        <f>IF(AB901="","",ROUND(N(W901)*N(J901)*(1-N(K901)),2))</f>
        <v/>
      </c>
      <c r="AI901" s="70" t="str">
        <f>IF(OR(J901="",N(T901)&lt;=0,V901="Oui"),"",ROUND(N(T901)*J901*(1-N(K901)),2))</f>
        <v/>
      </c>
    </row>
    <row r="902">
      <c r="A902" s="63" t="n"/>
      <c r="B902" s="64" t="n"/>
      <c r="C902" s="65" t="n"/>
      <c r="D902" s="66" t="str">
        <f>IF(C902="","",IFERROR(INDEX(sup_name,MATCH($C902,sup_code,0))&amp;"","Fournisseur inconnu"))</f>
        <v/>
      </c>
      <c r="E902" s="63" t="n"/>
      <c r="F902" s="66" t="str">
        <f>IF(E902="","",IFERROR(INDEX(art_des,MATCH($E902,art_ref,0))&amp;"","Article inconnu"))</f>
        <v/>
      </c>
      <c r="G902" s="67" t="str">
        <f>IF(E902="","",IFERROR(INDEX(art_unit,MATCH($E902,art_ref,0))&amp;"",""))</f>
        <v/>
      </c>
      <c r="H902" s="68" t="n"/>
      <c r="I902" s="69" t="n"/>
      <c r="J902" s="70" t="str">
        <f>IF(E902="","",IF(ISNUMBER(I902),I902,IFERROR(IF(ISNUMBER(INDEX(art_price,MATCH($E902,art_ref,0))),INDEX(art_price,MATCH($E902,art_ref,0)),""),"")))</f>
        <v/>
      </c>
      <c r="K902" s="71" t="n"/>
      <c r="L902" s="72" t="n"/>
      <c r="M902" s="72" t="str">
        <f>IF(E902="","",IF(L902&lt;&gt;"",L902,IFERROR(IF(ISNUMBER(INDEX(art_tva,MATCH($E902,art_ref,0))),INDEX(art_tva,MATCH($E902,art_ref,0)),""),"")))</f>
        <v/>
      </c>
      <c r="N902" s="70" t="str">
        <f>IF(OR(E902="",J902=""),"",ROUND(N(H902)*J902*(1-N(K902)),2))</f>
        <v/>
      </c>
      <c r="O902" s="70" t="str">
        <f>IF(OR(N902="",NOT(ISNUMBER(M902))),"",ROUND(N902*M902,2))</f>
        <v/>
      </c>
      <c r="P902" s="70" t="str">
        <f>IF(N902="","",N902+N(O902))</f>
        <v/>
      </c>
      <c r="Q902" s="64" t="n"/>
      <c r="R902" s="73" t="str">
        <f>IF(N(Q902)&gt;0,Q902,IF(OR(N(B902)=0,ISNA(MATCH($C902,sup_code,0))),"",IF(ISNUMBER(INDEX(sup_delay,MATCH($C902,sup_code,0))),B902+INDEX(sup_delay,MATCH($C902,sup_code,0)),"")))</f>
        <v/>
      </c>
      <c r="S902" s="64" t="n"/>
      <c r="T902" s="68" t="n"/>
      <c r="U902" s="64" t="n"/>
      <c r="V902" s="65" t="n"/>
      <c r="W902" s="74" t="str">
        <f>IF(AND(A902="",E902=""),"",IF(V902="Oui",0,MAX(0,ROUND(N(H902)-N(T902),6))))</f>
        <v/>
      </c>
      <c r="X902" s="67" t="str">
        <f>IF(AND(A902="",E902=""),"",IF(V902="Oui","Annulé",IF(AND(N(H902)&gt;0,N(T902)&gt;=N(H902)),"Reçu",IF(N(S902)=0,"Brouillon",IF(AND(ISNUMBER(R902),R902&lt;p_today),"En retard",IF(N(T902)&gt;0,"Partiel","Envoyé"))))))</f>
        <v/>
      </c>
      <c r="Y902" s="75" t="str">
        <f>IF(X902="En retard",p_today-R902,IF(AND(X902="Reçu",ISNUMBER(R902)),MAX(0,N(U902)-R902),""))</f>
        <v/>
      </c>
      <c r="Z902" s="67" t="str">
        <f>IF(AND(A902="",E902=""),"",IF(A902="","N° de bon manquant",IF(N(B902)=0,"Date de commande manquante",IF(C902="","Fournisseur manquant",IF(ISNA(MATCH($C902,sup_code,0)),"Fournisseur inconnu",IF(E902="","Article manquant",IF(ISNA(MATCH($E902,art_ref,0)),"Article inconnu",IF(N(H902)&lt;=0,"Quantité invalide",IF(J902="","Prix manquant",IF(OR(N(K902)&lt;0,N(K902)&gt;=1),"Remise invalide",IF(M902="","TVA manquante",IF(ISNA(MATCH(M902,p_tva,0)),"Taux de TVA inconnu",IF(COUNTIFS(po_num,A902,po_sup,"&lt;&gt;"&amp;C902)&gt;0,"Fournisseur différent sur ce bon",IF(COUNTIFS(po_num,A902,po_date,"&lt;&gt;"&amp;B902)&gt;0,"Date différente sur ce bon",IF(COUNTIF(po_num,A902)&gt;25,"Plus de 25 lignes sur ce bon",IF(R902="","Date de livraison manquante",IF(R902&lt;B902,"Livraison avant la commande",IF(AND(N(T902)&gt;0,N(S902)=0),"Date d'envoi manquante",IF(N(T902)&gt;N(H902),"Reçu plus que commandé",IF(AND(N(T902)&gt;0,N(U902)=0),"Date de réception manquante",IF(AND(N(U902)&gt;0,U902&lt;B902),"Réception avant la commande","OK")))))))))))))))))))))</f>
        <v/>
      </c>
      <c r="AA902" s="66" t="str">
        <f>IF(AND(X902="Reçu",ISNUMBER(R902)),IF(N(U902)&lt;=R902,1,0),"")</f>
        <v/>
      </c>
      <c r="AB902" s="76" t="str">
        <f>IF(OR(X902="Envoyé",X902="Partiel",X902="En retard"),IF(ISNUMBER(R902),R902,100000)+ROW()/100000,"")</f>
        <v/>
      </c>
      <c r="AC902" s="66" t="str">
        <f>IF(A902="","",IF(COUNTIF($A$6:A902,A902)=1,1,""))</f>
        <v/>
      </c>
      <c r="AD902" s="66" t="str">
        <f>IF(AC902=1,COUNT($AC$6:AC902),"")</f>
        <v/>
      </c>
      <c r="AE902" s="66" t="str">
        <f>IFERROR(INDEX(po_num,MATCH(897,po_seq,0))&amp;"","")</f>
        <v/>
      </c>
      <c r="AF902" s="66" t="str">
        <f>IF(OR(A902="",p_po=""),"",IF(A902&amp;""=p_po,COUNTIF($A$6:A902,A902),""))</f>
        <v/>
      </c>
      <c r="AG902" s="66" t="str">
        <f>IF(OR(AB902="",A902=""),"",IF(COUNTIFS($A$6:A902,A902,$AB$6:AB902,"&gt;0")=1,1,""))</f>
        <v/>
      </c>
      <c r="AH902" s="70" t="str">
        <f>IF(AB902="","",ROUND(N(W902)*N(J902)*(1-N(K902)),2))</f>
        <v/>
      </c>
      <c r="AI902" s="70" t="str">
        <f>IF(OR(J902="",N(T902)&lt;=0,V902="Oui"),"",ROUND(N(T902)*J902*(1-N(K902)),2))</f>
        <v/>
      </c>
    </row>
    <row r="903">
      <c r="A903" s="63" t="n"/>
      <c r="B903" s="64" t="n"/>
      <c r="C903" s="65" t="n"/>
      <c r="D903" s="66" t="str">
        <f>IF(C903="","",IFERROR(INDEX(sup_name,MATCH($C903,sup_code,0))&amp;"","Fournisseur inconnu"))</f>
        <v/>
      </c>
      <c r="E903" s="63" t="n"/>
      <c r="F903" s="66" t="str">
        <f>IF(E903="","",IFERROR(INDEX(art_des,MATCH($E903,art_ref,0))&amp;"","Article inconnu"))</f>
        <v/>
      </c>
      <c r="G903" s="67" t="str">
        <f>IF(E903="","",IFERROR(INDEX(art_unit,MATCH($E903,art_ref,0))&amp;"",""))</f>
        <v/>
      </c>
      <c r="H903" s="68" t="n"/>
      <c r="I903" s="69" t="n"/>
      <c r="J903" s="70" t="str">
        <f>IF(E903="","",IF(ISNUMBER(I903),I903,IFERROR(IF(ISNUMBER(INDEX(art_price,MATCH($E903,art_ref,0))),INDEX(art_price,MATCH($E903,art_ref,0)),""),"")))</f>
        <v/>
      </c>
      <c r="K903" s="71" t="n"/>
      <c r="L903" s="72" t="n"/>
      <c r="M903" s="72" t="str">
        <f>IF(E903="","",IF(L903&lt;&gt;"",L903,IFERROR(IF(ISNUMBER(INDEX(art_tva,MATCH($E903,art_ref,0))),INDEX(art_tva,MATCH($E903,art_ref,0)),""),"")))</f>
        <v/>
      </c>
      <c r="N903" s="70" t="str">
        <f>IF(OR(E903="",J903=""),"",ROUND(N(H903)*J903*(1-N(K903)),2))</f>
        <v/>
      </c>
      <c r="O903" s="70" t="str">
        <f>IF(OR(N903="",NOT(ISNUMBER(M903))),"",ROUND(N903*M903,2))</f>
        <v/>
      </c>
      <c r="P903" s="70" t="str">
        <f>IF(N903="","",N903+N(O903))</f>
        <v/>
      </c>
      <c r="Q903" s="64" t="n"/>
      <c r="R903" s="73" t="str">
        <f>IF(N(Q903)&gt;0,Q903,IF(OR(N(B903)=0,ISNA(MATCH($C903,sup_code,0))),"",IF(ISNUMBER(INDEX(sup_delay,MATCH($C903,sup_code,0))),B903+INDEX(sup_delay,MATCH($C903,sup_code,0)),"")))</f>
        <v/>
      </c>
      <c r="S903" s="64" t="n"/>
      <c r="T903" s="68" t="n"/>
      <c r="U903" s="64" t="n"/>
      <c r="V903" s="65" t="n"/>
      <c r="W903" s="74" t="str">
        <f>IF(AND(A903="",E903=""),"",IF(V903="Oui",0,MAX(0,ROUND(N(H903)-N(T903),6))))</f>
        <v/>
      </c>
      <c r="X903" s="67" t="str">
        <f>IF(AND(A903="",E903=""),"",IF(V903="Oui","Annulé",IF(AND(N(H903)&gt;0,N(T903)&gt;=N(H903)),"Reçu",IF(N(S903)=0,"Brouillon",IF(AND(ISNUMBER(R903),R903&lt;p_today),"En retard",IF(N(T903)&gt;0,"Partiel","Envoyé"))))))</f>
        <v/>
      </c>
      <c r="Y903" s="75" t="str">
        <f>IF(X903="En retard",p_today-R903,IF(AND(X903="Reçu",ISNUMBER(R903)),MAX(0,N(U903)-R903),""))</f>
        <v/>
      </c>
      <c r="Z903" s="67" t="str">
        <f>IF(AND(A903="",E903=""),"",IF(A903="","N° de bon manquant",IF(N(B903)=0,"Date de commande manquante",IF(C903="","Fournisseur manquant",IF(ISNA(MATCH($C903,sup_code,0)),"Fournisseur inconnu",IF(E903="","Article manquant",IF(ISNA(MATCH($E903,art_ref,0)),"Article inconnu",IF(N(H903)&lt;=0,"Quantité invalide",IF(J903="","Prix manquant",IF(OR(N(K903)&lt;0,N(K903)&gt;=1),"Remise invalide",IF(M903="","TVA manquante",IF(ISNA(MATCH(M903,p_tva,0)),"Taux de TVA inconnu",IF(COUNTIFS(po_num,A903,po_sup,"&lt;&gt;"&amp;C903)&gt;0,"Fournisseur différent sur ce bon",IF(COUNTIFS(po_num,A903,po_date,"&lt;&gt;"&amp;B903)&gt;0,"Date différente sur ce bon",IF(COUNTIF(po_num,A903)&gt;25,"Plus de 25 lignes sur ce bon",IF(R903="","Date de livraison manquante",IF(R903&lt;B903,"Livraison avant la commande",IF(AND(N(T903)&gt;0,N(S903)=0),"Date d'envoi manquante",IF(N(T903)&gt;N(H903),"Reçu plus que commandé",IF(AND(N(T903)&gt;0,N(U903)=0),"Date de réception manquante",IF(AND(N(U903)&gt;0,U903&lt;B903),"Réception avant la commande","OK")))))))))))))))))))))</f>
        <v/>
      </c>
      <c r="AA903" s="66" t="str">
        <f>IF(AND(X903="Reçu",ISNUMBER(R903)),IF(N(U903)&lt;=R903,1,0),"")</f>
        <v/>
      </c>
      <c r="AB903" s="76" t="str">
        <f>IF(OR(X903="Envoyé",X903="Partiel",X903="En retard"),IF(ISNUMBER(R903),R903,100000)+ROW()/100000,"")</f>
        <v/>
      </c>
      <c r="AC903" s="66" t="str">
        <f>IF(A903="","",IF(COUNTIF($A$6:A903,A903)=1,1,""))</f>
        <v/>
      </c>
      <c r="AD903" s="66" t="str">
        <f>IF(AC903=1,COUNT($AC$6:AC903),"")</f>
        <v/>
      </c>
      <c r="AE903" s="66" t="str">
        <f>IFERROR(INDEX(po_num,MATCH(898,po_seq,0))&amp;"","")</f>
        <v/>
      </c>
      <c r="AF903" s="66" t="str">
        <f>IF(OR(A903="",p_po=""),"",IF(A903&amp;""=p_po,COUNTIF($A$6:A903,A903),""))</f>
        <v/>
      </c>
      <c r="AG903" s="66" t="str">
        <f>IF(OR(AB903="",A903=""),"",IF(COUNTIFS($A$6:A903,A903,$AB$6:AB903,"&gt;0")=1,1,""))</f>
        <v/>
      </c>
      <c r="AH903" s="70" t="str">
        <f>IF(AB903="","",ROUND(N(W903)*N(J903)*(1-N(K903)),2))</f>
        <v/>
      </c>
      <c r="AI903" s="70" t="str">
        <f>IF(OR(J903="",N(T903)&lt;=0,V903="Oui"),"",ROUND(N(T903)*J903*(1-N(K903)),2))</f>
        <v/>
      </c>
    </row>
    <row r="904">
      <c r="A904" s="63" t="n"/>
      <c r="B904" s="64" t="n"/>
      <c r="C904" s="65" t="n"/>
      <c r="D904" s="66" t="str">
        <f>IF(C904="","",IFERROR(INDEX(sup_name,MATCH($C904,sup_code,0))&amp;"","Fournisseur inconnu"))</f>
        <v/>
      </c>
      <c r="E904" s="63" t="n"/>
      <c r="F904" s="66" t="str">
        <f>IF(E904="","",IFERROR(INDEX(art_des,MATCH($E904,art_ref,0))&amp;"","Article inconnu"))</f>
        <v/>
      </c>
      <c r="G904" s="67" t="str">
        <f>IF(E904="","",IFERROR(INDEX(art_unit,MATCH($E904,art_ref,0))&amp;"",""))</f>
        <v/>
      </c>
      <c r="H904" s="68" t="n"/>
      <c r="I904" s="69" t="n"/>
      <c r="J904" s="70" t="str">
        <f>IF(E904="","",IF(ISNUMBER(I904),I904,IFERROR(IF(ISNUMBER(INDEX(art_price,MATCH($E904,art_ref,0))),INDEX(art_price,MATCH($E904,art_ref,0)),""),"")))</f>
        <v/>
      </c>
      <c r="K904" s="71" t="n"/>
      <c r="L904" s="72" t="n"/>
      <c r="M904" s="72" t="str">
        <f>IF(E904="","",IF(L904&lt;&gt;"",L904,IFERROR(IF(ISNUMBER(INDEX(art_tva,MATCH($E904,art_ref,0))),INDEX(art_tva,MATCH($E904,art_ref,0)),""),"")))</f>
        <v/>
      </c>
      <c r="N904" s="70" t="str">
        <f>IF(OR(E904="",J904=""),"",ROUND(N(H904)*J904*(1-N(K904)),2))</f>
        <v/>
      </c>
      <c r="O904" s="70" t="str">
        <f>IF(OR(N904="",NOT(ISNUMBER(M904))),"",ROUND(N904*M904,2))</f>
        <v/>
      </c>
      <c r="P904" s="70" t="str">
        <f>IF(N904="","",N904+N(O904))</f>
        <v/>
      </c>
      <c r="Q904" s="64" t="n"/>
      <c r="R904" s="73" t="str">
        <f>IF(N(Q904)&gt;0,Q904,IF(OR(N(B904)=0,ISNA(MATCH($C904,sup_code,0))),"",IF(ISNUMBER(INDEX(sup_delay,MATCH($C904,sup_code,0))),B904+INDEX(sup_delay,MATCH($C904,sup_code,0)),"")))</f>
        <v/>
      </c>
      <c r="S904" s="64" t="n"/>
      <c r="T904" s="68" t="n"/>
      <c r="U904" s="64" t="n"/>
      <c r="V904" s="65" t="n"/>
      <c r="W904" s="74" t="str">
        <f>IF(AND(A904="",E904=""),"",IF(V904="Oui",0,MAX(0,ROUND(N(H904)-N(T904),6))))</f>
        <v/>
      </c>
      <c r="X904" s="67" t="str">
        <f>IF(AND(A904="",E904=""),"",IF(V904="Oui","Annulé",IF(AND(N(H904)&gt;0,N(T904)&gt;=N(H904)),"Reçu",IF(N(S904)=0,"Brouillon",IF(AND(ISNUMBER(R904),R904&lt;p_today),"En retard",IF(N(T904)&gt;0,"Partiel","Envoyé"))))))</f>
        <v/>
      </c>
      <c r="Y904" s="75" t="str">
        <f>IF(X904="En retard",p_today-R904,IF(AND(X904="Reçu",ISNUMBER(R904)),MAX(0,N(U904)-R904),""))</f>
        <v/>
      </c>
      <c r="Z904" s="67" t="str">
        <f>IF(AND(A904="",E904=""),"",IF(A904="","N° de bon manquant",IF(N(B904)=0,"Date de commande manquante",IF(C904="","Fournisseur manquant",IF(ISNA(MATCH($C904,sup_code,0)),"Fournisseur inconnu",IF(E904="","Article manquant",IF(ISNA(MATCH($E904,art_ref,0)),"Article inconnu",IF(N(H904)&lt;=0,"Quantité invalide",IF(J904="","Prix manquant",IF(OR(N(K904)&lt;0,N(K904)&gt;=1),"Remise invalide",IF(M904="","TVA manquante",IF(ISNA(MATCH(M904,p_tva,0)),"Taux de TVA inconnu",IF(COUNTIFS(po_num,A904,po_sup,"&lt;&gt;"&amp;C904)&gt;0,"Fournisseur différent sur ce bon",IF(COUNTIFS(po_num,A904,po_date,"&lt;&gt;"&amp;B904)&gt;0,"Date différente sur ce bon",IF(COUNTIF(po_num,A904)&gt;25,"Plus de 25 lignes sur ce bon",IF(R904="","Date de livraison manquante",IF(R904&lt;B904,"Livraison avant la commande",IF(AND(N(T904)&gt;0,N(S904)=0),"Date d'envoi manquante",IF(N(T904)&gt;N(H904),"Reçu plus que commandé",IF(AND(N(T904)&gt;0,N(U904)=0),"Date de réception manquante",IF(AND(N(U904)&gt;0,U904&lt;B904),"Réception avant la commande","OK")))))))))))))))))))))</f>
        <v/>
      </c>
      <c r="AA904" s="66" t="str">
        <f>IF(AND(X904="Reçu",ISNUMBER(R904)),IF(N(U904)&lt;=R904,1,0),"")</f>
        <v/>
      </c>
      <c r="AB904" s="76" t="str">
        <f>IF(OR(X904="Envoyé",X904="Partiel",X904="En retard"),IF(ISNUMBER(R904),R904,100000)+ROW()/100000,"")</f>
        <v/>
      </c>
      <c r="AC904" s="66" t="str">
        <f>IF(A904="","",IF(COUNTIF($A$6:A904,A904)=1,1,""))</f>
        <v/>
      </c>
      <c r="AD904" s="66" t="str">
        <f>IF(AC904=1,COUNT($AC$6:AC904),"")</f>
        <v/>
      </c>
      <c r="AE904" s="66" t="str">
        <f>IFERROR(INDEX(po_num,MATCH(899,po_seq,0))&amp;"","")</f>
        <v/>
      </c>
      <c r="AF904" s="66" t="str">
        <f>IF(OR(A904="",p_po=""),"",IF(A904&amp;""=p_po,COUNTIF($A$6:A904,A904),""))</f>
        <v/>
      </c>
      <c r="AG904" s="66" t="str">
        <f>IF(OR(AB904="",A904=""),"",IF(COUNTIFS($A$6:A904,A904,$AB$6:AB904,"&gt;0")=1,1,""))</f>
        <v/>
      </c>
      <c r="AH904" s="70" t="str">
        <f>IF(AB904="","",ROUND(N(W904)*N(J904)*(1-N(K904)),2))</f>
        <v/>
      </c>
      <c r="AI904" s="70" t="str">
        <f>IF(OR(J904="",N(T904)&lt;=0,V904="Oui"),"",ROUND(N(T904)*J904*(1-N(K904)),2))</f>
        <v/>
      </c>
    </row>
    <row r="905">
      <c r="A905" s="63" t="n"/>
      <c r="B905" s="64" t="n"/>
      <c r="C905" s="65" t="n"/>
      <c r="D905" s="66" t="str">
        <f>IF(C905="","",IFERROR(INDEX(sup_name,MATCH($C905,sup_code,0))&amp;"","Fournisseur inconnu"))</f>
        <v/>
      </c>
      <c r="E905" s="63" t="n"/>
      <c r="F905" s="66" t="str">
        <f>IF(E905="","",IFERROR(INDEX(art_des,MATCH($E905,art_ref,0))&amp;"","Article inconnu"))</f>
        <v/>
      </c>
      <c r="G905" s="67" t="str">
        <f>IF(E905="","",IFERROR(INDEX(art_unit,MATCH($E905,art_ref,0))&amp;"",""))</f>
        <v/>
      </c>
      <c r="H905" s="68" t="n"/>
      <c r="I905" s="69" t="n"/>
      <c r="J905" s="70" t="str">
        <f>IF(E905="","",IF(ISNUMBER(I905),I905,IFERROR(IF(ISNUMBER(INDEX(art_price,MATCH($E905,art_ref,0))),INDEX(art_price,MATCH($E905,art_ref,0)),""),"")))</f>
        <v/>
      </c>
      <c r="K905" s="71" t="n"/>
      <c r="L905" s="72" t="n"/>
      <c r="M905" s="72" t="str">
        <f>IF(E905="","",IF(L905&lt;&gt;"",L905,IFERROR(IF(ISNUMBER(INDEX(art_tva,MATCH($E905,art_ref,0))),INDEX(art_tva,MATCH($E905,art_ref,0)),""),"")))</f>
        <v/>
      </c>
      <c r="N905" s="70" t="str">
        <f>IF(OR(E905="",J905=""),"",ROUND(N(H905)*J905*(1-N(K905)),2))</f>
        <v/>
      </c>
      <c r="O905" s="70" t="str">
        <f>IF(OR(N905="",NOT(ISNUMBER(M905))),"",ROUND(N905*M905,2))</f>
        <v/>
      </c>
      <c r="P905" s="70" t="str">
        <f>IF(N905="","",N905+N(O905))</f>
        <v/>
      </c>
      <c r="Q905" s="64" t="n"/>
      <c r="R905" s="73" t="str">
        <f>IF(N(Q905)&gt;0,Q905,IF(OR(N(B905)=0,ISNA(MATCH($C905,sup_code,0))),"",IF(ISNUMBER(INDEX(sup_delay,MATCH($C905,sup_code,0))),B905+INDEX(sup_delay,MATCH($C905,sup_code,0)),"")))</f>
        <v/>
      </c>
      <c r="S905" s="64" t="n"/>
      <c r="T905" s="68" t="n"/>
      <c r="U905" s="64" t="n"/>
      <c r="V905" s="65" t="n"/>
      <c r="W905" s="74" t="str">
        <f>IF(AND(A905="",E905=""),"",IF(V905="Oui",0,MAX(0,ROUND(N(H905)-N(T905),6))))</f>
        <v/>
      </c>
      <c r="X905" s="67" t="str">
        <f>IF(AND(A905="",E905=""),"",IF(V905="Oui","Annulé",IF(AND(N(H905)&gt;0,N(T905)&gt;=N(H905)),"Reçu",IF(N(S905)=0,"Brouillon",IF(AND(ISNUMBER(R905),R905&lt;p_today),"En retard",IF(N(T905)&gt;0,"Partiel","Envoyé"))))))</f>
        <v/>
      </c>
      <c r="Y905" s="75" t="str">
        <f>IF(X905="En retard",p_today-R905,IF(AND(X905="Reçu",ISNUMBER(R905)),MAX(0,N(U905)-R905),""))</f>
        <v/>
      </c>
      <c r="Z905" s="67" t="str">
        <f>IF(AND(A905="",E905=""),"",IF(A905="","N° de bon manquant",IF(N(B905)=0,"Date de commande manquante",IF(C905="","Fournisseur manquant",IF(ISNA(MATCH($C905,sup_code,0)),"Fournisseur inconnu",IF(E905="","Article manquant",IF(ISNA(MATCH($E905,art_ref,0)),"Article inconnu",IF(N(H905)&lt;=0,"Quantité invalide",IF(J905="","Prix manquant",IF(OR(N(K905)&lt;0,N(K905)&gt;=1),"Remise invalide",IF(M905="","TVA manquante",IF(ISNA(MATCH(M905,p_tva,0)),"Taux de TVA inconnu",IF(COUNTIFS(po_num,A905,po_sup,"&lt;&gt;"&amp;C905)&gt;0,"Fournisseur différent sur ce bon",IF(COUNTIFS(po_num,A905,po_date,"&lt;&gt;"&amp;B905)&gt;0,"Date différente sur ce bon",IF(COUNTIF(po_num,A905)&gt;25,"Plus de 25 lignes sur ce bon",IF(R905="","Date de livraison manquante",IF(R905&lt;B905,"Livraison avant la commande",IF(AND(N(T905)&gt;0,N(S905)=0),"Date d'envoi manquante",IF(N(T905)&gt;N(H905),"Reçu plus que commandé",IF(AND(N(T905)&gt;0,N(U905)=0),"Date de réception manquante",IF(AND(N(U905)&gt;0,U905&lt;B905),"Réception avant la commande","OK")))))))))))))))))))))</f>
        <v/>
      </c>
      <c r="AA905" s="66" t="str">
        <f>IF(AND(X905="Reçu",ISNUMBER(R905)),IF(N(U905)&lt;=R905,1,0),"")</f>
        <v/>
      </c>
      <c r="AB905" s="76" t="str">
        <f>IF(OR(X905="Envoyé",X905="Partiel",X905="En retard"),IF(ISNUMBER(R905),R905,100000)+ROW()/100000,"")</f>
        <v/>
      </c>
      <c r="AC905" s="66" t="str">
        <f>IF(A905="","",IF(COUNTIF($A$6:A905,A905)=1,1,""))</f>
        <v/>
      </c>
      <c r="AD905" s="66" t="str">
        <f>IF(AC905=1,COUNT($AC$6:AC905),"")</f>
        <v/>
      </c>
      <c r="AE905" s="66" t="str">
        <f>IFERROR(INDEX(po_num,MATCH(900,po_seq,0))&amp;"","")</f>
        <v/>
      </c>
      <c r="AF905" s="66" t="str">
        <f>IF(OR(A905="",p_po=""),"",IF(A905&amp;""=p_po,COUNTIF($A$6:A905,A905),""))</f>
        <v/>
      </c>
      <c r="AG905" s="66" t="str">
        <f>IF(OR(AB905="",A905=""),"",IF(COUNTIFS($A$6:A905,A905,$AB$6:AB905,"&gt;0")=1,1,""))</f>
        <v/>
      </c>
      <c r="AH905" s="70" t="str">
        <f>IF(AB905="","",ROUND(N(W905)*N(J905)*(1-N(K905)),2))</f>
        <v/>
      </c>
      <c r="AI905" s="70" t="str">
        <f>IF(OR(J905="",N(T905)&lt;=0,V905="Oui"),"",ROUND(N(T905)*J905*(1-N(K905)),2))</f>
        <v/>
      </c>
    </row>
    <row r="906">
      <c r="A906" s="63" t="n"/>
      <c r="B906" s="64" t="n"/>
      <c r="C906" s="65" t="n"/>
      <c r="D906" s="66" t="str">
        <f>IF(C906="","",IFERROR(INDEX(sup_name,MATCH($C906,sup_code,0))&amp;"","Fournisseur inconnu"))</f>
        <v/>
      </c>
      <c r="E906" s="63" t="n"/>
      <c r="F906" s="66" t="str">
        <f>IF(E906="","",IFERROR(INDEX(art_des,MATCH($E906,art_ref,0))&amp;"","Article inconnu"))</f>
        <v/>
      </c>
      <c r="G906" s="67" t="str">
        <f>IF(E906="","",IFERROR(INDEX(art_unit,MATCH($E906,art_ref,0))&amp;"",""))</f>
        <v/>
      </c>
      <c r="H906" s="68" t="n"/>
      <c r="I906" s="69" t="n"/>
      <c r="J906" s="70" t="str">
        <f>IF(E906="","",IF(ISNUMBER(I906),I906,IFERROR(IF(ISNUMBER(INDEX(art_price,MATCH($E906,art_ref,0))),INDEX(art_price,MATCH($E906,art_ref,0)),""),"")))</f>
        <v/>
      </c>
      <c r="K906" s="71" t="n"/>
      <c r="L906" s="72" t="n"/>
      <c r="M906" s="72" t="str">
        <f>IF(E906="","",IF(L906&lt;&gt;"",L906,IFERROR(IF(ISNUMBER(INDEX(art_tva,MATCH($E906,art_ref,0))),INDEX(art_tva,MATCH($E906,art_ref,0)),""),"")))</f>
        <v/>
      </c>
      <c r="N906" s="70" t="str">
        <f>IF(OR(E906="",J906=""),"",ROUND(N(H906)*J906*(1-N(K906)),2))</f>
        <v/>
      </c>
      <c r="O906" s="70" t="str">
        <f>IF(OR(N906="",NOT(ISNUMBER(M906))),"",ROUND(N906*M906,2))</f>
        <v/>
      </c>
      <c r="P906" s="70" t="str">
        <f>IF(N906="","",N906+N(O906))</f>
        <v/>
      </c>
      <c r="Q906" s="64" t="n"/>
      <c r="R906" s="73" t="str">
        <f>IF(N(Q906)&gt;0,Q906,IF(OR(N(B906)=0,ISNA(MATCH($C906,sup_code,0))),"",IF(ISNUMBER(INDEX(sup_delay,MATCH($C906,sup_code,0))),B906+INDEX(sup_delay,MATCH($C906,sup_code,0)),"")))</f>
        <v/>
      </c>
      <c r="S906" s="64" t="n"/>
      <c r="T906" s="68" t="n"/>
      <c r="U906" s="64" t="n"/>
      <c r="V906" s="65" t="n"/>
      <c r="W906" s="74" t="str">
        <f>IF(AND(A906="",E906=""),"",IF(V906="Oui",0,MAX(0,ROUND(N(H906)-N(T906),6))))</f>
        <v/>
      </c>
      <c r="X906" s="67" t="str">
        <f>IF(AND(A906="",E906=""),"",IF(V906="Oui","Annulé",IF(AND(N(H906)&gt;0,N(T906)&gt;=N(H906)),"Reçu",IF(N(S906)=0,"Brouillon",IF(AND(ISNUMBER(R906),R906&lt;p_today),"En retard",IF(N(T906)&gt;0,"Partiel","Envoyé"))))))</f>
        <v/>
      </c>
      <c r="Y906" s="75" t="str">
        <f>IF(X906="En retard",p_today-R906,IF(AND(X906="Reçu",ISNUMBER(R906)),MAX(0,N(U906)-R906),""))</f>
        <v/>
      </c>
      <c r="Z906" s="67" t="str">
        <f>IF(AND(A906="",E906=""),"",IF(A906="","N° de bon manquant",IF(N(B906)=0,"Date de commande manquante",IF(C906="","Fournisseur manquant",IF(ISNA(MATCH($C906,sup_code,0)),"Fournisseur inconnu",IF(E906="","Article manquant",IF(ISNA(MATCH($E906,art_ref,0)),"Article inconnu",IF(N(H906)&lt;=0,"Quantité invalide",IF(J906="","Prix manquant",IF(OR(N(K906)&lt;0,N(K906)&gt;=1),"Remise invalide",IF(M906="","TVA manquante",IF(ISNA(MATCH(M906,p_tva,0)),"Taux de TVA inconnu",IF(COUNTIFS(po_num,A906,po_sup,"&lt;&gt;"&amp;C906)&gt;0,"Fournisseur différent sur ce bon",IF(COUNTIFS(po_num,A906,po_date,"&lt;&gt;"&amp;B906)&gt;0,"Date différente sur ce bon",IF(COUNTIF(po_num,A906)&gt;25,"Plus de 25 lignes sur ce bon",IF(R906="","Date de livraison manquante",IF(R906&lt;B906,"Livraison avant la commande",IF(AND(N(T906)&gt;0,N(S906)=0),"Date d'envoi manquante",IF(N(T906)&gt;N(H906),"Reçu plus que commandé",IF(AND(N(T906)&gt;0,N(U906)=0),"Date de réception manquante",IF(AND(N(U906)&gt;0,U906&lt;B906),"Réception avant la commande","OK")))))))))))))))))))))</f>
        <v/>
      </c>
      <c r="AA906" s="66" t="str">
        <f>IF(AND(X906="Reçu",ISNUMBER(R906)),IF(N(U906)&lt;=R906,1,0),"")</f>
        <v/>
      </c>
      <c r="AB906" s="76" t="str">
        <f>IF(OR(X906="Envoyé",X906="Partiel",X906="En retard"),IF(ISNUMBER(R906),R906,100000)+ROW()/100000,"")</f>
        <v/>
      </c>
      <c r="AC906" s="66" t="str">
        <f>IF(A906="","",IF(COUNTIF($A$6:A906,A906)=1,1,""))</f>
        <v/>
      </c>
      <c r="AD906" s="66" t="str">
        <f>IF(AC906=1,COUNT($AC$6:AC906),"")</f>
        <v/>
      </c>
      <c r="AE906" s="66" t="str">
        <f>IFERROR(INDEX(po_num,MATCH(901,po_seq,0))&amp;"","")</f>
        <v/>
      </c>
      <c r="AF906" s="66" t="str">
        <f>IF(OR(A906="",p_po=""),"",IF(A906&amp;""=p_po,COUNTIF($A$6:A906,A906),""))</f>
        <v/>
      </c>
      <c r="AG906" s="66" t="str">
        <f>IF(OR(AB906="",A906=""),"",IF(COUNTIFS($A$6:A906,A906,$AB$6:AB906,"&gt;0")=1,1,""))</f>
        <v/>
      </c>
      <c r="AH906" s="70" t="str">
        <f>IF(AB906="","",ROUND(N(W906)*N(J906)*(1-N(K906)),2))</f>
        <v/>
      </c>
      <c r="AI906" s="70" t="str">
        <f>IF(OR(J906="",N(T906)&lt;=0,V906="Oui"),"",ROUND(N(T906)*J906*(1-N(K906)),2))</f>
        <v/>
      </c>
    </row>
    <row r="907">
      <c r="A907" s="63" t="n"/>
      <c r="B907" s="64" t="n"/>
      <c r="C907" s="65" t="n"/>
      <c r="D907" s="66" t="str">
        <f>IF(C907="","",IFERROR(INDEX(sup_name,MATCH($C907,sup_code,0))&amp;"","Fournisseur inconnu"))</f>
        <v/>
      </c>
      <c r="E907" s="63" t="n"/>
      <c r="F907" s="66" t="str">
        <f>IF(E907="","",IFERROR(INDEX(art_des,MATCH($E907,art_ref,0))&amp;"","Article inconnu"))</f>
        <v/>
      </c>
      <c r="G907" s="67" t="str">
        <f>IF(E907="","",IFERROR(INDEX(art_unit,MATCH($E907,art_ref,0))&amp;"",""))</f>
        <v/>
      </c>
      <c r="H907" s="68" t="n"/>
      <c r="I907" s="69" t="n"/>
      <c r="J907" s="70" t="str">
        <f>IF(E907="","",IF(ISNUMBER(I907),I907,IFERROR(IF(ISNUMBER(INDEX(art_price,MATCH($E907,art_ref,0))),INDEX(art_price,MATCH($E907,art_ref,0)),""),"")))</f>
        <v/>
      </c>
      <c r="K907" s="71" t="n"/>
      <c r="L907" s="72" t="n"/>
      <c r="M907" s="72" t="str">
        <f>IF(E907="","",IF(L907&lt;&gt;"",L907,IFERROR(IF(ISNUMBER(INDEX(art_tva,MATCH($E907,art_ref,0))),INDEX(art_tva,MATCH($E907,art_ref,0)),""),"")))</f>
        <v/>
      </c>
      <c r="N907" s="70" t="str">
        <f>IF(OR(E907="",J907=""),"",ROUND(N(H907)*J907*(1-N(K907)),2))</f>
        <v/>
      </c>
      <c r="O907" s="70" t="str">
        <f>IF(OR(N907="",NOT(ISNUMBER(M907))),"",ROUND(N907*M907,2))</f>
        <v/>
      </c>
      <c r="P907" s="70" t="str">
        <f>IF(N907="","",N907+N(O907))</f>
        <v/>
      </c>
      <c r="Q907" s="64" t="n"/>
      <c r="R907" s="73" t="str">
        <f>IF(N(Q907)&gt;0,Q907,IF(OR(N(B907)=0,ISNA(MATCH($C907,sup_code,0))),"",IF(ISNUMBER(INDEX(sup_delay,MATCH($C907,sup_code,0))),B907+INDEX(sup_delay,MATCH($C907,sup_code,0)),"")))</f>
        <v/>
      </c>
      <c r="S907" s="64" t="n"/>
      <c r="T907" s="68" t="n"/>
      <c r="U907" s="64" t="n"/>
      <c r="V907" s="65" t="n"/>
      <c r="W907" s="74" t="str">
        <f>IF(AND(A907="",E907=""),"",IF(V907="Oui",0,MAX(0,ROUND(N(H907)-N(T907),6))))</f>
        <v/>
      </c>
      <c r="X907" s="67" t="str">
        <f>IF(AND(A907="",E907=""),"",IF(V907="Oui","Annulé",IF(AND(N(H907)&gt;0,N(T907)&gt;=N(H907)),"Reçu",IF(N(S907)=0,"Brouillon",IF(AND(ISNUMBER(R907),R907&lt;p_today),"En retard",IF(N(T907)&gt;0,"Partiel","Envoyé"))))))</f>
        <v/>
      </c>
      <c r="Y907" s="75" t="str">
        <f>IF(X907="En retard",p_today-R907,IF(AND(X907="Reçu",ISNUMBER(R907)),MAX(0,N(U907)-R907),""))</f>
        <v/>
      </c>
      <c r="Z907" s="67" t="str">
        <f>IF(AND(A907="",E907=""),"",IF(A907="","N° de bon manquant",IF(N(B907)=0,"Date de commande manquante",IF(C907="","Fournisseur manquant",IF(ISNA(MATCH($C907,sup_code,0)),"Fournisseur inconnu",IF(E907="","Article manquant",IF(ISNA(MATCH($E907,art_ref,0)),"Article inconnu",IF(N(H907)&lt;=0,"Quantité invalide",IF(J907="","Prix manquant",IF(OR(N(K907)&lt;0,N(K907)&gt;=1),"Remise invalide",IF(M907="","TVA manquante",IF(ISNA(MATCH(M907,p_tva,0)),"Taux de TVA inconnu",IF(COUNTIFS(po_num,A907,po_sup,"&lt;&gt;"&amp;C907)&gt;0,"Fournisseur différent sur ce bon",IF(COUNTIFS(po_num,A907,po_date,"&lt;&gt;"&amp;B907)&gt;0,"Date différente sur ce bon",IF(COUNTIF(po_num,A907)&gt;25,"Plus de 25 lignes sur ce bon",IF(R907="","Date de livraison manquante",IF(R907&lt;B907,"Livraison avant la commande",IF(AND(N(T907)&gt;0,N(S907)=0),"Date d'envoi manquante",IF(N(T907)&gt;N(H907),"Reçu plus que commandé",IF(AND(N(T907)&gt;0,N(U907)=0),"Date de réception manquante",IF(AND(N(U907)&gt;0,U907&lt;B907),"Réception avant la commande","OK")))))))))))))))))))))</f>
        <v/>
      </c>
      <c r="AA907" s="66" t="str">
        <f>IF(AND(X907="Reçu",ISNUMBER(R907)),IF(N(U907)&lt;=R907,1,0),"")</f>
        <v/>
      </c>
      <c r="AB907" s="76" t="str">
        <f>IF(OR(X907="Envoyé",X907="Partiel",X907="En retard"),IF(ISNUMBER(R907),R907,100000)+ROW()/100000,"")</f>
        <v/>
      </c>
      <c r="AC907" s="66" t="str">
        <f>IF(A907="","",IF(COUNTIF($A$6:A907,A907)=1,1,""))</f>
        <v/>
      </c>
      <c r="AD907" s="66" t="str">
        <f>IF(AC907=1,COUNT($AC$6:AC907),"")</f>
        <v/>
      </c>
      <c r="AE907" s="66" t="str">
        <f>IFERROR(INDEX(po_num,MATCH(902,po_seq,0))&amp;"","")</f>
        <v/>
      </c>
      <c r="AF907" s="66" t="str">
        <f>IF(OR(A907="",p_po=""),"",IF(A907&amp;""=p_po,COUNTIF($A$6:A907,A907),""))</f>
        <v/>
      </c>
      <c r="AG907" s="66" t="str">
        <f>IF(OR(AB907="",A907=""),"",IF(COUNTIFS($A$6:A907,A907,$AB$6:AB907,"&gt;0")=1,1,""))</f>
        <v/>
      </c>
      <c r="AH907" s="70" t="str">
        <f>IF(AB907="","",ROUND(N(W907)*N(J907)*(1-N(K907)),2))</f>
        <v/>
      </c>
      <c r="AI907" s="70" t="str">
        <f>IF(OR(J907="",N(T907)&lt;=0,V907="Oui"),"",ROUND(N(T907)*J907*(1-N(K907)),2))</f>
        <v/>
      </c>
    </row>
    <row r="908">
      <c r="A908" s="63" t="n"/>
      <c r="B908" s="64" t="n"/>
      <c r="C908" s="65" t="n"/>
      <c r="D908" s="66" t="str">
        <f>IF(C908="","",IFERROR(INDEX(sup_name,MATCH($C908,sup_code,0))&amp;"","Fournisseur inconnu"))</f>
        <v/>
      </c>
      <c r="E908" s="63" t="n"/>
      <c r="F908" s="66" t="str">
        <f>IF(E908="","",IFERROR(INDEX(art_des,MATCH($E908,art_ref,0))&amp;"","Article inconnu"))</f>
        <v/>
      </c>
      <c r="G908" s="67" t="str">
        <f>IF(E908="","",IFERROR(INDEX(art_unit,MATCH($E908,art_ref,0))&amp;"",""))</f>
        <v/>
      </c>
      <c r="H908" s="68" t="n"/>
      <c r="I908" s="69" t="n"/>
      <c r="J908" s="70" t="str">
        <f>IF(E908="","",IF(ISNUMBER(I908),I908,IFERROR(IF(ISNUMBER(INDEX(art_price,MATCH($E908,art_ref,0))),INDEX(art_price,MATCH($E908,art_ref,0)),""),"")))</f>
        <v/>
      </c>
      <c r="K908" s="71" t="n"/>
      <c r="L908" s="72" t="n"/>
      <c r="M908" s="72" t="str">
        <f>IF(E908="","",IF(L908&lt;&gt;"",L908,IFERROR(IF(ISNUMBER(INDEX(art_tva,MATCH($E908,art_ref,0))),INDEX(art_tva,MATCH($E908,art_ref,0)),""),"")))</f>
        <v/>
      </c>
      <c r="N908" s="70" t="str">
        <f>IF(OR(E908="",J908=""),"",ROUND(N(H908)*J908*(1-N(K908)),2))</f>
        <v/>
      </c>
      <c r="O908" s="70" t="str">
        <f>IF(OR(N908="",NOT(ISNUMBER(M908))),"",ROUND(N908*M908,2))</f>
        <v/>
      </c>
      <c r="P908" s="70" t="str">
        <f>IF(N908="","",N908+N(O908))</f>
        <v/>
      </c>
      <c r="Q908" s="64" t="n"/>
      <c r="R908" s="73" t="str">
        <f>IF(N(Q908)&gt;0,Q908,IF(OR(N(B908)=0,ISNA(MATCH($C908,sup_code,0))),"",IF(ISNUMBER(INDEX(sup_delay,MATCH($C908,sup_code,0))),B908+INDEX(sup_delay,MATCH($C908,sup_code,0)),"")))</f>
        <v/>
      </c>
      <c r="S908" s="64" t="n"/>
      <c r="T908" s="68" t="n"/>
      <c r="U908" s="64" t="n"/>
      <c r="V908" s="65" t="n"/>
      <c r="W908" s="74" t="str">
        <f>IF(AND(A908="",E908=""),"",IF(V908="Oui",0,MAX(0,ROUND(N(H908)-N(T908),6))))</f>
        <v/>
      </c>
      <c r="X908" s="67" t="str">
        <f>IF(AND(A908="",E908=""),"",IF(V908="Oui","Annulé",IF(AND(N(H908)&gt;0,N(T908)&gt;=N(H908)),"Reçu",IF(N(S908)=0,"Brouillon",IF(AND(ISNUMBER(R908),R908&lt;p_today),"En retard",IF(N(T908)&gt;0,"Partiel","Envoyé"))))))</f>
        <v/>
      </c>
      <c r="Y908" s="75" t="str">
        <f>IF(X908="En retard",p_today-R908,IF(AND(X908="Reçu",ISNUMBER(R908)),MAX(0,N(U908)-R908),""))</f>
        <v/>
      </c>
      <c r="Z908" s="67" t="str">
        <f>IF(AND(A908="",E908=""),"",IF(A908="","N° de bon manquant",IF(N(B908)=0,"Date de commande manquante",IF(C908="","Fournisseur manquant",IF(ISNA(MATCH($C908,sup_code,0)),"Fournisseur inconnu",IF(E908="","Article manquant",IF(ISNA(MATCH($E908,art_ref,0)),"Article inconnu",IF(N(H908)&lt;=0,"Quantité invalide",IF(J908="","Prix manquant",IF(OR(N(K908)&lt;0,N(K908)&gt;=1),"Remise invalide",IF(M908="","TVA manquante",IF(ISNA(MATCH(M908,p_tva,0)),"Taux de TVA inconnu",IF(COUNTIFS(po_num,A908,po_sup,"&lt;&gt;"&amp;C908)&gt;0,"Fournisseur différent sur ce bon",IF(COUNTIFS(po_num,A908,po_date,"&lt;&gt;"&amp;B908)&gt;0,"Date différente sur ce bon",IF(COUNTIF(po_num,A908)&gt;25,"Plus de 25 lignes sur ce bon",IF(R908="","Date de livraison manquante",IF(R908&lt;B908,"Livraison avant la commande",IF(AND(N(T908)&gt;0,N(S908)=0),"Date d'envoi manquante",IF(N(T908)&gt;N(H908),"Reçu plus que commandé",IF(AND(N(T908)&gt;0,N(U908)=0),"Date de réception manquante",IF(AND(N(U908)&gt;0,U908&lt;B908),"Réception avant la commande","OK")))))))))))))))))))))</f>
        <v/>
      </c>
      <c r="AA908" s="66" t="str">
        <f>IF(AND(X908="Reçu",ISNUMBER(R908)),IF(N(U908)&lt;=R908,1,0),"")</f>
        <v/>
      </c>
      <c r="AB908" s="76" t="str">
        <f>IF(OR(X908="Envoyé",X908="Partiel",X908="En retard"),IF(ISNUMBER(R908),R908,100000)+ROW()/100000,"")</f>
        <v/>
      </c>
      <c r="AC908" s="66" t="str">
        <f>IF(A908="","",IF(COUNTIF($A$6:A908,A908)=1,1,""))</f>
        <v/>
      </c>
      <c r="AD908" s="66" t="str">
        <f>IF(AC908=1,COUNT($AC$6:AC908),"")</f>
        <v/>
      </c>
      <c r="AE908" s="66" t="str">
        <f>IFERROR(INDEX(po_num,MATCH(903,po_seq,0))&amp;"","")</f>
        <v/>
      </c>
      <c r="AF908" s="66" t="str">
        <f>IF(OR(A908="",p_po=""),"",IF(A908&amp;""=p_po,COUNTIF($A$6:A908,A908),""))</f>
        <v/>
      </c>
      <c r="AG908" s="66" t="str">
        <f>IF(OR(AB908="",A908=""),"",IF(COUNTIFS($A$6:A908,A908,$AB$6:AB908,"&gt;0")=1,1,""))</f>
        <v/>
      </c>
      <c r="AH908" s="70" t="str">
        <f>IF(AB908="","",ROUND(N(W908)*N(J908)*(1-N(K908)),2))</f>
        <v/>
      </c>
      <c r="AI908" s="70" t="str">
        <f>IF(OR(J908="",N(T908)&lt;=0,V908="Oui"),"",ROUND(N(T908)*J908*(1-N(K908)),2))</f>
        <v/>
      </c>
    </row>
    <row r="909">
      <c r="A909" s="63" t="n"/>
      <c r="B909" s="64" t="n"/>
      <c r="C909" s="65" t="n"/>
      <c r="D909" s="66" t="str">
        <f>IF(C909="","",IFERROR(INDEX(sup_name,MATCH($C909,sup_code,0))&amp;"","Fournisseur inconnu"))</f>
        <v/>
      </c>
      <c r="E909" s="63" t="n"/>
      <c r="F909" s="66" t="str">
        <f>IF(E909="","",IFERROR(INDEX(art_des,MATCH($E909,art_ref,0))&amp;"","Article inconnu"))</f>
        <v/>
      </c>
      <c r="G909" s="67" t="str">
        <f>IF(E909="","",IFERROR(INDEX(art_unit,MATCH($E909,art_ref,0))&amp;"",""))</f>
        <v/>
      </c>
      <c r="H909" s="68" t="n"/>
      <c r="I909" s="69" t="n"/>
      <c r="J909" s="70" t="str">
        <f>IF(E909="","",IF(ISNUMBER(I909),I909,IFERROR(IF(ISNUMBER(INDEX(art_price,MATCH($E909,art_ref,0))),INDEX(art_price,MATCH($E909,art_ref,0)),""),"")))</f>
        <v/>
      </c>
      <c r="K909" s="71" t="n"/>
      <c r="L909" s="72" t="n"/>
      <c r="M909" s="72" t="str">
        <f>IF(E909="","",IF(L909&lt;&gt;"",L909,IFERROR(IF(ISNUMBER(INDEX(art_tva,MATCH($E909,art_ref,0))),INDEX(art_tva,MATCH($E909,art_ref,0)),""),"")))</f>
        <v/>
      </c>
      <c r="N909" s="70" t="str">
        <f>IF(OR(E909="",J909=""),"",ROUND(N(H909)*J909*(1-N(K909)),2))</f>
        <v/>
      </c>
      <c r="O909" s="70" t="str">
        <f>IF(OR(N909="",NOT(ISNUMBER(M909))),"",ROUND(N909*M909,2))</f>
        <v/>
      </c>
      <c r="P909" s="70" t="str">
        <f>IF(N909="","",N909+N(O909))</f>
        <v/>
      </c>
      <c r="Q909" s="64" t="n"/>
      <c r="R909" s="73" t="str">
        <f>IF(N(Q909)&gt;0,Q909,IF(OR(N(B909)=0,ISNA(MATCH($C909,sup_code,0))),"",IF(ISNUMBER(INDEX(sup_delay,MATCH($C909,sup_code,0))),B909+INDEX(sup_delay,MATCH($C909,sup_code,0)),"")))</f>
        <v/>
      </c>
      <c r="S909" s="64" t="n"/>
      <c r="T909" s="68" t="n"/>
      <c r="U909" s="64" t="n"/>
      <c r="V909" s="65" t="n"/>
      <c r="W909" s="74" t="str">
        <f>IF(AND(A909="",E909=""),"",IF(V909="Oui",0,MAX(0,ROUND(N(H909)-N(T909),6))))</f>
        <v/>
      </c>
      <c r="X909" s="67" t="str">
        <f>IF(AND(A909="",E909=""),"",IF(V909="Oui","Annulé",IF(AND(N(H909)&gt;0,N(T909)&gt;=N(H909)),"Reçu",IF(N(S909)=0,"Brouillon",IF(AND(ISNUMBER(R909),R909&lt;p_today),"En retard",IF(N(T909)&gt;0,"Partiel","Envoyé"))))))</f>
        <v/>
      </c>
      <c r="Y909" s="75" t="str">
        <f>IF(X909="En retard",p_today-R909,IF(AND(X909="Reçu",ISNUMBER(R909)),MAX(0,N(U909)-R909),""))</f>
        <v/>
      </c>
      <c r="Z909" s="67" t="str">
        <f>IF(AND(A909="",E909=""),"",IF(A909="","N° de bon manquant",IF(N(B909)=0,"Date de commande manquante",IF(C909="","Fournisseur manquant",IF(ISNA(MATCH($C909,sup_code,0)),"Fournisseur inconnu",IF(E909="","Article manquant",IF(ISNA(MATCH($E909,art_ref,0)),"Article inconnu",IF(N(H909)&lt;=0,"Quantité invalide",IF(J909="","Prix manquant",IF(OR(N(K909)&lt;0,N(K909)&gt;=1),"Remise invalide",IF(M909="","TVA manquante",IF(ISNA(MATCH(M909,p_tva,0)),"Taux de TVA inconnu",IF(COUNTIFS(po_num,A909,po_sup,"&lt;&gt;"&amp;C909)&gt;0,"Fournisseur différent sur ce bon",IF(COUNTIFS(po_num,A909,po_date,"&lt;&gt;"&amp;B909)&gt;0,"Date différente sur ce bon",IF(COUNTIF(po_num,A909)&gt;25,"Plus de 25 lignes sur ce bon",IF(R909="","Date de livraison manquante",IF(R909&lt;B909,"Livraison avant la commande",IF(AND(N(T909)&gt;0,N(S909)=0),"Date d'envoi manquante",IF(N(T909)&gt;N(H909),"Reçu plus que commandé",IF(AND(N(T909)&gt;0,N(U909)=0),"Date de réception manquante",IF(AND(N(U909)&gt;0,U909&lt;B909),"Réception avant la commande","OK")))))))))))))))))))))</f>
        <v/>
      </c>
      <c r="AA909" s="66" t="str">
        <f>IF(AND(X909="Reçu",ISNUMBER(R909)),IF(N(U909)&lt;=R909,1,0),"")</f>
        <v/>
      </c>
      <c r="AB909" s="76" t="str">
        <f>IF(OR(X909="Envoyé",X909="Partiel",X909="En retard"),IF(ISNUMBER(R909),R909,100000)+ROW()/100000,"")</f>
        <v/>
      </c>
      <c r="AC909" s="66" t="str">
        <f>IF(A909="","",IF(COUNTIF($A$6:A909,A909)=1,1,""))</f>
        <v/>
      </c>
      <c r="AD909" s="66" t="str">
        <f>IF(AC909=1,COUNT($AC$6:AC909),"")</f>
        <v/>
      </c>
      <c r="AE909" s="66" t="str">
        <f>IFERROR(INDEX(po_num,MATCH(904,po_seq,0))&amp;"","")</f>
        <v/>
      </c>
      <c r="AF909" s="66" t="str">
        <f>IF(OR(A909="",p_po=""),"",IF(A909&amp;""=p_po,COUNTIF($A$6:A909,A909),""))</f>
        <v/>
      </c>
      <c r="AG909" s="66" t="str">
        <f>IF(OR(AB909="",A909=""),"",IF(COUNTIFS($A$6:A909,A909,$AB$6:AB909,"&gt;0")=1,1,""))</f>
        <v/>
      </c>
      <c r="AH909" s="70" t="str">
        <f>IF(AB909="","",ROUND(N(W909)*N(J909)*(1-N(K909)),2))</f>
        <v/>
      </c>
      <c r="AI909" s="70" t="str">
        <f>IF(OR(J909="",N(T909)&lt;=0,V909="Oui"),"",ROUND(N(T909)*J909*(1-N(K909)),2))</f>
        <v/>
      </c>
    </row>
    <row r="910">
      <c r="A910" s="63" t="n"/>
      <c r="B910" s="64" t="n"/>
      <c r="C910" s="65" t="n"/>
      <c r="D910" s="66" t="str">
        <f>IF(C910="","",IFERROR(INDEX(sup_name,MATCH($C910,sup_code,0))&amp;"","Fournisseur inconnu"))</f>
        <v/>
      </c>
      <c r="E910" s="63" t="n"/>
      <c r="F910" s="66" t="str">
        <f>IF(E910="","",IFERROR(INDEX(art_des,MATCH($E910,art_ref,0))&amp;"","Article inconnu"))</f>
        <v/>
      </c>
      <c r="G910" s="67" t="str">
        <f>IF(E910="","",IFERROR(INDEX(art_unit,MATCH($E910,art_ref,0))&amp;"",""))</f>
        <v/>
      </c>
      <c r="H910" s="68" t="n"/>
      <c r="I910" s="69" t="n"/>
      <c r="J910" s="70" t="str">
        <f>IF(E910="","",IF(ISNUMBER(I910),I910,IFERROR(IF(ISNUMBER(INDEX(art_price,MATCH($E910,art_ref,0))),INDEX(art_price,MATCH($E910,art_ref,0)),""),"")))</f>
        <v/>
      </c>
      <c r="K910" s="71" t="n"/>
      <c r="L910" s="72" t="n"/>
      <c r="M910" s="72" t="str">
        <f>IF(E910="","",IF(L910&lt;&gt;"",L910,IFERROR(IF(ISNUMBER(INDEX(art_tva,MATCH($E910,art_ref,0))),INDEX(art_tva,MATCH($E910,art_ref,0)),""),"")))</f>
        <v/>
      </c>
      <c r="N910" s="70" t="str">
        <f>IF(OR(E910="",J910=""),"",ROUND(N(H910)*J910*(1-N(K910)),2))</f>
        <v/>
      </c>
      <c r="O910" s="70" t="str">
        <f>IF(OR(N910="",NOT(ISNUMBER(M910))),"",ROUND(N910*M910,2))</f>
        <v/>
      </c>
      <c r="P910" s="70" t="str">
        <f>IF(N910="","",N910+N(O910))</f>
        <v/>
      </c>
      <c r="Q910" s="64" t="n"/>
      <c r="R910" s="73" t="str">
        <f>IF(N(Q910)&gt;0,Q910,IF(OR(N(B910)=0,ISNA(MATCH($C910,sup_code,0))),"",IF(ISNUMBER(INDEX(sup_delay,MATCH($C910,sup_code,0))),B910+INDEX(sup_delay,MATCH($C910,sup_code,0)),"")))</f>
        <v/>
      </c>
      <c r="S910" s="64" t="n"/>
      <c r="T910" s="68" t="n"/>
      <c r="U910" s="64" t="n"/>
      <c r="V910" s="65" t="n"/>
      <c r="W910" s="74" t="str">
        <f>IF(AND(A910="",E910=""),"",IF(V910="Oui",0,MAX(0,ROUND(N(H910)-N(T910),6))))</f>
        <v/>
      </c>
      <c r="X910" s="67" t="str">
        <f>IF(AND(A910="",E910=""),"",IF(V910="Oui","Annulé",IF(AND(N(H910)&gt;0,N(T910)&gt;=N(H910)),"Reçu",IF(N(S910)=0,"Brouillon",IF(AND(ISNUMBER(R910),R910&lt;p_today),"En retard",IF(N(T910)&gt;0,"Partiel","Envoyé"))))))</f>
        <v/>
      </c>
      <c r="Y910" s="75" t="str">
        <f>IF(X910="En retard",p_today-R910,IF(AND(X910="Reçu",ISNUMBER(R910)),MAX(0,N(U910)-R910),""))</f>
        <v/>
      </c>
      <c r="Z910" s="67" t="str">
        <f>IF(AND(A910="",E910=""),"",IF(A910="","N° de bon manquant",IF(N(B910)=0,"Date de commande manquante",IF(C910="","Fournisseur manquant",IF(ISNA(MATCH($C910,sup_code,0)),"Fournisseur inconnu",IF(E910="","Article manquant",IF(ISNA(MATCH($E910,art_ref,0)),"Article inconnu",IF(N(H910)&lt;=0,"Quantité invalide",IF(J910="","Prix manquant",IF(OR(N(K910)&lt;0,N(K910)&gt;=1),"Remise invalide",IF(M910="","TVA manquante",IF(ISNA(MATCH(M910,p_tva,0)),"Taux de TVA inconnu",IF(COUNTIFS(po_num,A910,po_sup,"&lt;&gt;"&amp;C910)&gt;0,"Fournisseur différent sur ce bon",IF(COUNTIFS(po_num,A910,po_date,"&lt;&gt;"&amp;B910)&gt;0,"Date différente sur ce bon",IF(COUNTIF(po_num,A910)&gt;25,"Plus de 25 lignes sur ce bon",IF(R910="","Date de livraison manquante",IF(R910&lt;B910,"Livraison avant la commande",IF(AND(N(T910)&gt;0,N(S910)=0),"Date d'envoi manquante",IF(N(T910)&gt;N(H910),"Reçu plus que commandé",IF(AND(N(T910)&gt;0,N(U910)=0),"Date de réception manquante",IF(AND(N(U910)&gt;0,U910&lt;B910),"Réception avant la commande","OK")))))))))))))))))))))</f>
        <v/>
      </c>
      <c r="AA910" s="66" t="str">
        <f>IF(AND(X910="Reçu",ISNUMBER(R910)),IF(N(U910)&lt;=R910,1,0),"")</f>
        <v/>
      </c>
      <c r="AB910" s="76" t="str">
        <f>IF(OR(X910="Envoyé",X910="Partiel",X910="En retard"),IF(ISNUMBER(R910),R910,100000)+ROW()/100000,"")</f>
        <v/>
      </c>
      <c r="AC910" s="66" t="str">
        <f>IF(A910="","",IF(COUNTIF($A$6:A910,A910)=1,1,""))</f>
        <v/>
      </c>
      <c r="AD910" s="66" t="str">
        <f>IF(AC910=1,COUNT($AC$6:AC910),"")</f>
        <v/>
      </c>
      <c r="AE910" s="66" t="str">
        <f>IFERROR(INDEX(po_num,MATCH(905,po_seq,0))&amp;"","")</f>
        <v/>
      </c>
      <c r="AF910" s="66" t="str">
        <f>IF(OR(A910="",p_po=""),"",IF(A910&amp;""=p_po,COUNTIF($A$6:A910,A910),""))</f>
        <v/>
      </c>
      <c r="AG910" s="66" t="str">
        <f>IF(OR(AB910="",A910=""),"",IF(COUNTIFS($A$6:A910,A910,$AB$6:AB910,"&gt;0")=1,1,""))</f>
        <v/>
      </c>
      <c r="AH910" s="70" t="str">
        <f>IF(AB910="","",ROUND(N(W910)*N(J910)*(1-N(K910)),2))</f>
        <v/>
      </c>
      <c r="AI910" s="70" t="str">
        <f>IF(OR(J910="",N(T910)&lt;=0,V910="Oui"),"",ROUND(N(T910)*J910*(1-N(K910)),2))</f>
        <v/>
      </c>
    </row>
    <row r="911">
      <c r="A911" s="63" t="n"/>
      <c r="B911" s="64" t="n"/>
      <c r="C911" s="65" t="n"/>
      <c r="D911" s="66" t="str">
        <f>IF(C911="","",IFERROR(INDEX(sup_name,MATCH($C911,sup_code,0))&amp;"","Fournisseur inconnu"))</f>
        <v/>
      </c>
      <c r="E911" s="63" t="n"/>
      <c r="F911" s="66" t="str">
        <f>IF(E911="","",IFERROR(INDEX(art_des,MATCH($E911,art_ref,0))&amp;"","Article inconnu"))</f>
        <v/>
      </c>
      <c r="G911" s="67" t="str">
        <f>IF(E911="","",IFERROR(INDEX(art_unit,MATCH($E911,art_ref,0))&amp;"",""))</f>
        <v/>
      </c>
      <c r="H911" s="68" t="n"/>
      <c r="I911" s="69" t="n"/>
      <c r="J911" s="70" t="str">
        <f>IF(E911="","",IF(ISNUMBER(I911),I911,IFERROR(IF(ISNUMBER(INDEX(art_price,MATCH($E911,art_ref,0))),INDEX(art_price,MATCH($E911,art_ref,0)),""),"")))</f>
        <v/>
      </c>
      <c r="K911" s="71" t="n"/>
      <c r="L911" s="72" t="n"/>
      <c r="M911" s="72" t="str">
        <f>IF(E911="","",IF(L911&lt;&gt;"",L911,IFERROR(IF(ISNUMBER(INDEX(art_tva,MATCH($E911,art_ref,0))),INDEX(art_tva,MATCH($E911,art_ref,0)),""),"")))</f>
        <v/>
      </c>
      <c r="N911" s="70" t="str">
        <f>IF(OR(E911="",J911=""),"",ROUND(N(H911)*J911*(1-N(K911)),2))</f>
        <v/>
      </c>
      <c r="O911" s="70" t="str">
        <f>IF(OR(N911="",NOT(ISNUMBER(M911))),"",ROUND(N911*M911,2))</f>
        <v/>
      </c>
      <c r="P911" s="70" t="str">
        <f>IF(N911="","",N911+N(O911))</f>
        <v/>
      </c>
      <c r="Q911" s="64" t="n"/>
      <c r="R911" s="73" t="str">
        <f>IF(N(Q911)&gt;0,Q911,IF(OR(N(B911)=0,ISNA(MATCH($C911,sup_code,0))),"",IF(ISNUMBER(INDEX(sup_delay,MATCH($C911,sup_code,0))),B911+INDEX(sup_delay,MATCH($C911,sup_code,0)),"")))</f>
        <v/>
      </c>
      <c r="S911" s="64" t="n"/>
      <c r="T911" s="68" t="n"/>
      <c r="U911" s="64" t="n"/>
      <c r="V911" s="65" t="n"/>
      <c r="W911" s="74" t="str">
        <f>IF(AND(A911="",E911=""),"",IF(V911="Oui",0,MAX(0,ROUND(N(H911)-N(T911),6))))</f>
        <v/>
      </c>
      <c r="X911" s="67" t="str">
        <f>IF(AND(A911="",E911=""),"",IF(V911="Oui","Annulé",IF(AND(N(H911)&gt;0,N(T911)&gt;=N(H911)),"Reçu",IF(N(S911)=0,"Brouillon",IF(AND(ISNUMBER(R911),R911&lt;p_today),"En retard",IF(N(T911)&gt;0,"Partiel","Envoyé"))))))</f>
        <v/>
      </c>
      <c r="Y911" s="75" t="str">
        <f>IF(X911="En retard",p_today-R911,IF(AND(X911="Reçu",ISNUMBER(R911)),MAX(0,N(U911)-R911),""))</f>
        <v/>
      </c>
      <c r="Z911" s="67" t="str">
        <f>IF(AND(A911="",E911=""),"",IF(A911="","N° de bon manquant",IF(N(B911)=0,"Date de commande manquante",IF(C911="","Fournisseur manquant",IF(ISNA(MATCH($C911,sup_code,0)),"Fournisseur inconnu",IF(E911="","Article manquant",IF(ISNA(MATCH($E911,art_ref,0)),"Article inconnu",IF(N(H911)&lt;=0,"Quantité invalide",IF(J911="","Prix manquant",IF(OR(N(K911)&lt;0,N(K911)&gt;=1),"Remise invalide",IF(M911="","TVA manquante",IF(ISNA(MATCH(M911,p_tva,0)),"Taux de TVA inconnu",IF(COUNTIFS(po_num,A911,po_sup,"&lt;&gt;"&amp;C911)&gt;0,"Fournisseur différent sur ce bon",IF(COUNTIFS(po_num,A911,po_date,"&lt;&gt;"&amp;B911)&gt;0,"Date différente sur ce bon",IF(COUNTIF(po_num,A911)&gt;25,"Plus de 25 lignes sur ce bon",IF(R911="","Date de livraison manquante",IF(R911&lt;B911,"Livraison avant la commande",IF(AND(N(T911)&gt;0,N(S911)=0),"Date d'envoi manquante",IF(N(T911)&gt;N(H911),"Reçu plus que commandé",IF(AND(N(T911)&gt;0,N(U911)=0),"Date de réception manquante",IF(AND(N(U911)&gt;0,U911&lt;B911),"Réception avant la commande","OK")))))))))))))))))))))</f>
        <v/>
      </c>
      <c r="AA911" s="66" t="str">
        <f>IF(AND(X911="Reçu",ISNUMBER(R911)),IF(N(U911)&lt;=R911,1,0),"")</f>
        <v/>
      </c>
      <c r="AB911" s="76" t="str">
        <f>IF(OR(X911="Envoyé",X911="Partiel",X911="En retard"),IF(ISNUMBER(R911),R911,100000)+ROW()/100000,"")</f>
        <v/>
      </c>
      <c r="AC911" s="66" t="str">
        <f>IF(A911="","",IF(COUNTIF($A$6:A911,A911)=1,1,""))</f>
        <v/>
      </c>
      <c r="AD911" s="66" t="str">
        <f>IF(AC911=1,COUNT($AC$6:AC911),"")</f>
        <v/>
      </c>
      <c r="AE911" s="66" t="str">
        <f>IFERROR(INDEX(po_num,MATCH(906,po_seq,0))&amp;"","")</f>
        <v/>
      </c>
      <c r="AF911" s="66" t="str">
        <f>IF(OR(A911="",p_po=""),"",IF(A911&amp;""=p_po,COUNTIF($A$6:A911,A911),""))</f>
        <v/>
      </c>
      <c r="AG911" s="66" t="str">
        <f>IF(OR(AB911="",A911=""),"",IF(COUNTIFS($A$6:A911,A911,$AB$6:AB911,"&gt;0")=1,1,""))</f>
        <v/>
      </c>
      <c r="AH911" s="70" t="str">
        <f>IF(AB911="","",ROUND(N(W911)*N(J911)*(1-N(K911)),2))</f>
        <v/>
      </c>
      <c r="AI911" s="70" t="str">
        <f>IF(OR(J911="",N(T911)&lt;=0,V911="Oui"),"",ROUND(N(T911)*J911*(1-N(K911)),2))</f>
        <v/>
      </c>
    </row>
    <row r="912">
      <c r="A912" s="63" t="n"/>
      <c r="B912" s="64" t="n"/>
      <c r="C912" s="65" t="n"/>
      <c r="D912" s="66" t="str">
        <f>IF(C912="","",IFERROR(INDEX(sup_name,MATCH($C912,sup_code,0))&amp;"","Fournisseur inconnu"))</f>
        <v/>
      </c>
      <c r="E912" s="63" t="n"/>
      <c r="F912" s="66" t="str">
        <f>IF(E912="","",IFERROR(INDEX(art_des,MATCH($E912,art_ref,0))&amp;"","Article inconnu"))</f>
        <v/>
      </c>
      <c r="G912" s="67" t="str">
        <f>IF(E912="","",IFERROR(INDEX(art_unit,MATCH($E912,art_ref,0))&amp;"",""))</f>
        <v/>
      </c>
      <c r="H912" s="68" t="n"/>
      <c r="I912" s="69" t="n"/>
      <c r="J912" s="70" t="str">
        <f>IF(E912="","",IF(ISNUMBER(I912),I912,IFERROR(IF(ISNUMBER(INDEX(art_price,MATCH($E912,art_ref,0))),INDEX(art_price,MATCH($E912,art_ref,0)),""),"")))</f>
        <v/>
      </c>
      <c r="K912" s="71" t="n"/>
      <c r="L912" s="72" t="n"/>
      <c r="M912" s="72" t="str">
        <f>IF(E912="","",IF(L912&lt;&gt;"",L912,IFERROR(IF(ISNUMBER(INDEX(art_tva,MATCH($E912,art_ref,0))),INDEX(art_tva,MATCH($E912,art_ref,0)),""),"")))</f>
        <v/>
      </c>
      <c r="N912" s="70" t="str">
        <f>IF(OR(E912="",J912=""),"",ROUND(N(H912)*J912*(1-N(K912)),2))</f>
        <v/>
      </c>
      <c r="O912" s="70" t="str">
        <f>IF(OR(N912="",NOT(ISNUMBER(M912))),"",ROUND(N912*M912,2))</f>
        <v/>
      </c>
      <c r="P912" s="70" t="str">
        <f>IF(N912="","",N912+N(O912))</f>
        <v/>
      </c>
      <c r="Q912" s="64" t="n"/>
      <c r="R912" s="73" t="str">
        <f>IF(N(Q912)&gt;0,Q912,IF(OR(N(B912)=0,ISNA(MATCH($C912,sup_code,0))),"",IF(ISNUMBER(INDEX(sup_delay,MATCH($C912,sup_code,0))),B912+INDEX(sup_delay,MATCH($C912,sup_code,0)),"")))</f>
        <v/>
      </c>
      <c r="S912" s="64" t="n"/>
      <c r="T912" s="68" t="n"/>
      <c r="U912" s="64" t="n"/>
      <c r="V912" s="65" t="n"/>
      <c r="W912" s="74" t="str">
        <f>IF(AND(A912="",E912=""),"",IF(V912="Oui",0,MAX(0,ROUND(N(H912)-N(T912),6))))</f>
        <v/>
      </c>
      <c r="X912" s="67" t="str">
        <f>IF(AND(A912="",E912=""),"",IF(V912="Oui","Annulé",IF(AND(N(H912)&gt;0,N(T912)&gt;=N(H912)),"Reçu",IF(N(S912)=0,"Brouillon",IF(AND(ISNUMBER(R912),R912&lt;p_today),"En retard",IF(N(T912)&gt;0,"Partiel","Envoyé"))))))</f>
        <v/>
      </c>
      <c r="Y912" s="75" t="str">
        <f>IF(X912="En retard",p_today-R912,IF(AND(X912="Reçu",ISNUMBER(R912)),MAX(0,N(U912)-R912),""))</f>
        <v/>
      </c>
      <c r="Z912" s="67" t="str">
        <f>IF(AND(A912="",E912=""),"",IF(A912="","N° de bon manquant",IF(N(B912)=0,"Date de commande manquante",IF(C912="","Fournisseur manquant",IF(ISNA(MATCH($C912,sup_code,0)),"Fournisseur inconnu",IF(E912="","Article manquant",IF(ISNA(MATCH($E912,art_ref,0)),"Article inconnu",IF(N(H912)&lt;=0,"Quantité invalide",IF(J912="","Prix manquant",IF(OR(N(K912)&lt;0,N(K912)&gt;=1),"Remise invalide",IF(M912="","TVA manquante",IF(ISNA(MATCH(M912,p_tva,0)),"Taux de TVA inconnu",IF(COUNTIFS(po_num,A912,po_sup,"&lt;&gt;"&amp;C912)&gt;0,"Fournisseur différent sur ce bon",IF(COUNTIFS(po_num,A912,po_date,"&lt;&gt;"&amp;B912)&gt;0,"Date différente sur ce bon",IF(COUNTIF(po_num,A912)&gt;25,"Plus de 25 lignes sur ce bon",IF(R912="","Date de livraison manquante",IF(R912&lt;B912,"Livraison avant la commande",IF(AND(N(T912)&gt;0,N(S912)=0),"Date d'envoi manquante",IF(N(T912)&gt;N(H912),"Reçu plus que commandé",IF(AND(N(T912)&gt;0,N(U912)=0),"Date de réception manquante",IF(AND(N(U912)&gt;0,U912&lt;B912),"Réception avant la commande","OK")))))))))))))))))))))</f>
        <v/>
      </c>
      <c r="AA912" s="66" t="str">
        <f>IF(AND(X912="Reçu",ISNUMBER(R912)),IF(N(U912)&lt;=R912,1,0),"")</f>
        <v/>
      </c>
      <c r="AB912" s="76" t="str">
        <f>IF(OR(X912="Envoyé",X912="Partiel",X912="En retard"),IF(ISNUMBER(R912),R912,100000)+ROW()/100000,"")</f>
        <v/>
      </c>
      <c r="AC912" s="66" t="str">
        <f>IF(A912="","",IF(COUNTIF($A$6:A912,A912)=1,1,""))</f>
        <v/>
      </c>
      <c r="AD912" s="66" t="str">
        <f>IF(AC912=1,COUNT($AC$6:AC912),"")</f>
        <v/>
      </c>
      <c r="AE912" s="66" t="str">
        <f>IFERROR(INDEX(po_num,MATCH(907,po_seq,0))&amp;"","")</f>
        <v/>
      </c>
      <c r="AF912" s="66" t="str">
        <f>IF(OR(A912="",p_po=""),"",IF(A912&amp;""=p_po,COUNTIF($A$6:A912,A912),""))</f>
        <v/>
      </c>
      <c r="AG912" s="66" t="str">
        <f>IF(OR(AB912="",A912=""),"",IF(COUNTIFS($A$6:A912,A912,$AB$6:AB912,"&gt;0")=1,1,""))</f>
        <v/>
      </c>
      <c r="AH912" s="70" t="str">
        <f>IF(AB912="","",ROUND(N(W912)*N(J912)*(1-N(K912)),2))</f>
        <v/>
      </c>
      <c r="AI912" s="70" t="str">
        <f>IF(OR(J912="",N(T912)&lt;=0,V912="Oui"),"",ROUND(N(T912)*J912*(1-N(K912)),2))</f>
        <v/>
      </c>
    </row>
    <row r="913">
      <c r="A913" s="63" t="n"/>
      <c r="B913" s="64" t="n"/>
      <c r="C913" s="65" t="n"/>
      <c r="D913" s="66" t="str">
        <f>IF(C913="","",IFERROR(INDEX(sup_name,MATCH($C913,sup_code,0))&amp;"","Fournisseur inconnu"))</f>
        <v/>
      </c>
      <c r="E913" s="63" t="n"/>
      <c r="F913" s="66" t="str">
        <f>IF(E913="","",IFERROR(INDEX(art_des,MATCH($E913,art_ref,0))&amp;"","Article inconnu"))</f>
        <v/>
      </c>
      <c r="G913" s="67" t="str">
        <f>IF(E913="","",IFERROR(INDEX(art_unit,MATCH($E913,art_ref,0))&amp;"",""))</f>
        <v/>
      </c>
      <c r="H913" s="68" t="n"/>
      <c r="I913" s="69" t="n"/>
      <c r="J913" s="70" t="str">
        <f>IF(E913="","",IF(ISNUMBER(I913),I913,IFERROR(IF(ISNUMBER(INDEX(art_price,MATCH($E913,art_ref,0))),INDEX(art_price,MATCH($E913,art_ref,0)),""),"")))</f>
        <v/>
      </c>
      <c r="K913" s="71" t="n"/>
      <c r="L913" s="72" t="n"/>
      <c r="M913" s="72" t="str">
        <f>IF(E913="","",IF(L913&lt;&gt;"",L913,IFERROR(IF(ISNUMBER(INDEX(art_tva,MATCH($E913,art_ref,0))),INDEX(art_tva,MATCH($E913,art_ref,0)),""),"")))</f>
        <v/>
      </c>
      <c r="N913" s="70" t="str">
        <f>IF(OR(E913="",J913=""),"",ROUND(N(H913)*J913*(1-N(K913)),2))</f>
        <v/>
      </c>
      <c r="O913" s="70" t="str">
        <f>IF(OR(N913="",NOT(ISNUMBER(M913))),"",ROUND(N913*M913,2))</f>
        <v/>
      </c>
      <c r="P913" s="70" t="str">
        <f>IF(N913="","",N913+N(O913))</f>
        <v/>
      </c>
      <c r="Q913" s="64" t="n"/>
      <c r="R913" s="73" t="str">
        <f>IF(N(Q913)&gt;0,Q913,IF(OR(N(B913)=0,ISNA(MATCH($C913,sup_code,0))),"",IF(ISNUMBER(INDEX(sup_delay,MATCH($C913,sup_code,0))),B913+INDEX(sup_delay,MATCH($C913,sup_code,0)),"")))</f>
        <v/>
      </c>
      <c r="S913" s="64" t="n"/>
      <c r="T913" s="68" t="n"/>
      <c r="U913" s="64" t="n"/>
      <c r="V913" s="65" t="n"/>
      <c r="W913" s="74" t="str">
        <f>IF(AND(A913="",E913=""),"",IF(V913="Oui",0,MAX(0,ROUND(N(H913)-N(T913),6))))</f>
        <v/>
      </c>
      <c r="X913" s="67" t="str">
        <f>IF(AND(A913="",E913=""),"",IF(V913="Oui","Annulé",IF(AND(N(H913)&gt;0,N(T913)&gt;=N(H913)),"Reçu",IF(N(S913)=0,"Brouillon",IF(AND(ISNUMBER(R913),R913&lt;p_today),"En retard",IF(N(T913)&gt;0,"Partiel","Envoyé"))))))</f>
        <v/>
      </c>
      <c r="Y913" s="75" t="str">
        <f>IF(X913="En retard",p_today-R913,IF(AND(X913="Reçu",ISNUMBER(R913)),MAX(0,N(U913)-R913),""))</f>
        <v/>
      </c>
      <c r="Z913" s="67" t="str">
        <f>IF(AND(A913="",E913=""),"",IF(A913="","N° de bon manquant",IF(N(B913)=0,"Date de commande manquante",IF(C913="","Fournisseur manquant",IF(ISNA(MATCH($C913,sup_code,0)),"Fournisseur inconnu",IF(E913="","Article manquant",IF(ISNA(MATCH($E913,art_ref,0)),"Article inconnu",IF(N(H913)&lt;=0,"Quantité invalide",IF(J913="","Prix manquant",IF(OR(N(K913)&lt;0,N(K913)&gt;=1),"Remise invalide",IF(M913="","TVA manquante",IF(ISNA(MATCH(M913,p_tva,0)),"Taux de TVA inconnu",IF(COUNTIFS(po_num,A913,po_sup,"&lt;&gt;"&amp;C913)&gt;0,"Fournisseur différent sur ce bon",IF(COUNTIFS(po_num,A913,po_date,"&lt;&gt;"&amp;B913)&gt;0,"Date différente sur ce bon",IF(COUNTIF(po_num,A913)&gt;25,"Plus de 25 lignes sur ce bon",IF(R913="","Date de livraison manquante",IF(R913&lt;B913,"Livraison avant la commande",IF(AND(N(T913)&gt;0,N(S913)=0),"Date d'envoi manquante",IF(N(T913)&gt;N(H913),"Reçu plus que commandé",IF(AND(N(T913)&gt;0,N(U913)=0),"Date de réception manquante",IF(AND(N(U913)&gt;0,U913&lt;B913),"Réception avant la commande","OK")))))))))))))))))))))</f>
        <v/>
      </c>
      <c r="AA913" s="66" t="str">
        <f>IF(AND(X913="Reçu",ISNUMBER(R913)),IF(N(U913)&lt;=R913,1,0),"")</f>
        <v/>
      </c>
      <c r="AB913" s="76" t="str">
        <f>IF(OR(X913="Envoyé",X913="Partiel",X913="En retard"),IF(ISNUMBER(R913),R913,100000)+ROW()/100000,"")</f>
        <v/>
      </c>
      <c r="AC913" s="66" t="str">
        <f>IF(A913="","",IF(COUNTIF($A$6:A913,A913)=1,1,""))</f>
        <v/>
      </c>
      <c r="AD913" s="66" t="str">
        <f>IF(AC913=1,COUNT($AC$6:AC913),"")</f>
        <v/>
      </c>
      <c r="AE913" s="66" t="str">
        <f>IFERROR(INDEX(po_num,MATCH(908,po_seq,0))&amp;"","")</f>
        <v/>
      </c>
      <c r="AF913" s="66" t="str">
        <f>IF(OR(A913="",p_po=""),"",IF(A913&amp;""=p_po,COUNTIF($A$6:A913,A913),""))</f>
        <v/>
      </c>
      <c r="AG913" s="66" t="str">
        <f>IF(OR(AB913="",A913=""),"",IF(COUNTIFS($A$6:A913,A913,$AB$6:AB913,"&gt;0")=1,1,""))</f>
        <v/>
      </c>
      <c r="AH913" s="70" t="str">
        <f>IF(AB913="","",ROUND(N(W913)*N(J913)*(1-N(K913)),2))</f>
        <v/>
      </c>
      <c r="AI913" s="70" t="str">
        <f>IF(OR(J913="",N(T913)&lt;=0,V913="Oui"),"",ROUND(N(T913)*J913*(1-N(K913)),2))</f>
        <v/>
      </c>
    </row>
    <row r="914">
      <c r="A914" s="63" t="n"/>
      <c r="B914" s="64" t="n"/>
      <c r="C914" s="65" t="n"/>
      <c r="D914" s="66" t="str">
        <f>IF(C914="","",IFERROR(INDEX(sup_name,MATCH($C914,sup_code,0))&amp;"","Fournisseur inconnu"))</f>
        <v/>
      </c>
      <c r="E914" s="63" t="n"/>
      <c r="F914" s="66" t="str">
        <f>IF(E914="","",IFERROR(INDEX(art_des,MATCH($E914,art_ref,0))&amp;"","Article inconnu"))</f>
        <v/>
      </c>
      <c r="G914" s="67" t="str">
        <f>IF(E914="","",IFERROR(INDEX(art_unit,MATCH($E914,art_ref,0))&amp;"",""))</f>
        <v/>
      </c>
      <c r="H914" s="68" t="n"/>
      <c r="I914" s="69" t="n"/>
      <c r="J914" s="70" t="str">
        <f>IF(E914="","",IF(ISNUMBER(I914),I914,IFERROR(IF(ISNUMBER(INDEX(art_price,MATCH($E914,art_ref,0))),INDEX(art_price,MATCH($E914,art_ref,0)),""),"")))</f>
        <v/>
      </c>
      <c r="K914" s="71" t="n"/>
      <c r="L914" s="72" t="n"/>
      <c r="M914" s="72" t="str">
        <f>IF(E914="","",IF(L914&lt;&gt;"",L914,IFERROR(IF(ISNUMBER(INDEX(art_tva,MATCH($E914,art_ref,0))),INDEX(art_tva,MATCH($E914,art_ref,0)),""),"")))</f>
        <v/>
      </c>
      <c r="N914" s="70" t="str">
        <f>IF(OR(E914="",J914=""),"",ROUND(N(H914)*J914*(1-N(K914)),2))</f>
        <v/>
      </c>
      <c r="O914" s="70" t="str">
        <f>IF(OR(N914="",NOT(ISNUMBER(M914))),"",ROUND(N914*M914,2))</f>
        <v/>
      </c>
      <c r="P914" s="70" t="str">
        <f>IF(N914="","",N914+N(O914))</f>
        <v/>
      </c>
      <c r="Q914" s="64" t="n"/>
      <c r="R914" s="73" t="str">
        <f>IF(N(Q914)&gt;0,Q914,IF(OR(N(B914)=0,ISNA(MATCH($C914,sup_code,0))),"",IF(ISNUMBER(INDEX(sup_delay,MATCH($C914,sup_code,0))),B914+INDEX(sup_delay,MATCH($C914,sup_code,0)),"")))</f>
        <v/>
      </c>
      <c r="S914" s="64" t="n"/>
      <c r="T914" s="68" t="n"/>
      <c r="U914" s="64" t="n"/>
      <c r="V914" s="65" t="n"/>
      <c r="W914" s="74" t="str">
        <f>IF(AND(A914="",E914=""),"",IF(V914="Oui",0,MAX(0,ROUND(N(H914)-N(T914),6))))</f>
        <v/>
      </c>
      <c r="X914" s="67" t="str">
        <f>IF(AND(A914="",E914=""),"",IF(V914="Oui","Annulé",IF(AND(N(H914)&gt;0,N(T914)&gt;=N(H914)),"Reçu",IF(N(S914)=0,"Brouillon",IF(AND(ISNUMBER(R914),R914&lt;p_today),"En retard",IF(N(T914)&gt;0,"Partiel","Envoyé"))))))</f>
        <v/>
      </c>
      <c r="Y914" s="75" t="str">
        <f>IF(X914="En retard",p_today-R914,IF(AND(X914="Reçu",ISNUMBER(R914)),MAX(0,N(U914)-R914),""))</f>
        <v/>
      </c>
      <c r="Z914" s="67" t="str">
        <f>IF(AND(A914="",E914=""),"",IF(A914="","N° de bon manquant",IF(N(B914)=0,"Date de commande manquante",IF(C914="","Fournisseur manquant",IF(ISNA(MATCH($C914,sup_code,0)),"Fournisseur inconnu",IF(E914="","Article manquant",IF(ISNA(MATCH($E914,art_ref,0)),"Article inconnu",IF(N(H914)&lt;=0,"Quantité invalide",IF(J914="","Prix manquant",IF(OR(N(K914)&lt;0,N(K914)&gt;=1),"Remise invalide",IF(M914="","TVA manquante",IF(ISNA(MATCH(M914,p_tva,0)),"Taux de TVA inconnu",IF(COUNTIFS(po_num,A914,po_sup,"&lt;&gt;"&amp;C914)&gt;0,"Fournisseur différent sur ce bon",IF(COUNTIFS(po_num,A914,po_date,"&lt;&gt;"&amp;B914)&gt;0,"Date différente sur ce bon",IF(COUNTIF(po_num,A914)&gt;25,"Plus de 25 lignes sur ce bon",IF(R914="","Date de livraison manquante",IF(R914&lt;B914,"Livraison avant la commande",IF(AND(N(T914)&gt;0,N(S914)=0),"Date d'envoi manquante",IF(N(T914)&gt;N(H914),"Reçu plus que commandé",IF(AND(N(T914)&gt;0,N(U914)=0),"Date de réception manquante",IF(AND(N(U914)&gt;0,U914&lt;B914),"Réception avant la commande","OK")))))))))))))))))))))</f>
        <v/>
      </c>
      <c r="AA914" s="66" t="str">
        <f>IF(AND(X914="Reçu",ISNUMBER(R914)),IF(N(U914)&lt;=R914,1,0),"")</f>
        <v/>
      </c>
      <c r="AB914" s="76" t="str">
        <f>IF(OR(X914="Envoyé",X914="Partiel",X914="En retard"),IF(ISNUMBER(R914),R914,100000)+ROW()/100000,"")</f>
        <v/>
      </c>
      <c r="AC914" s="66" t="str">
        <f>IF(A914="","",IF(COUNTIF($A$6:A914,A914)=1,1,""))</f>
        <v/>
      </c>
      <c r="AD914" s="66" t="str">
        <f>IF(AC914=1,COUNT($AC$6:AC914),"")</f>
        <v/>
      </c>
      <c r="AE914" s="66" t="str">
        <f>IFERROR(INDEX(po_num,MATCH(909,po_seq,0))&amp;"","")</f>
        <v/>
      </c>
      <c r="AF914" s="66" t="str">
        <f>IF(OR(A914="",p_po=""),"",IF(A914&amp;""=p_po,COUNTIF($A$6:A914,A914),""))</f>
        <v/>
      </c>
      <c r="AG914" s="66" t="str">
        <f>IF(OR(AB914="",A914=""),"",IF(COUNTIFS($A$6:A914,A914,$AB$6:AB914,"&gt;0")=1,1,""))</f>
        <v/>
      </c>
      <c r="AH914" s="70" t="str">
        <f>IF(AB914="","",ROUND(N(W914)*N(J914)*(1-N(K914)),2))</f>
        <v/>
      </c>
      <c r="AI914" s="70" t="str">
        <f>IF(OR(J914="",N(T914)&lt;=0,V914="Oui"),"",ROUND(N(T914)*J914*(1-N(K914)),2))</f>
        <v/>
      </c>
    </row>
    <row r="915">
      <c r="A915" s="63" t="n"/>
      <c r="B915" s="64" t="n"/>
      <c r="C915" s="65" t="n"/>
      <c r="D915" s="66" t="str">
        <f>IF(C915="","",IFERROR(INDEX(sup_name,MATCH($C915,sup_code,0))&amp;"","Fournisseur inconnu"))</f>
        <v/>
      </c>
      <c r="E915" s="63" t="n"/>
      <c r="F915" s="66" t="str">
        <f>IF(E915="","",IFERROR(INDEX(art_des,MATCH($E915,art_ref,0))&amp;"","Article inconnu"))</f>
        <v/>
      </c>
      <c r="G915" s="67" t="str">
        <f>IF(E915="","",IFERROR(INDEX(art_unit,MATCH($E915,art_ref,0))&amp;"",""))</f>
        <v/>
      </c>
      <c r="H915" s="68" t="n"/>
      <c r="I915" s="69" t="n"/>
      <c r="J915" s="70" t="str">
        <f>IF(E915="","",IF(ISNUMBER(I915),I915,IFERROR(IF(ISNUMBER(INDEX(art_price,MATCH($E915,art_ref,0))),INDEX(art_price,MATCH($E915,art_ref,0)),""),"")))</f>
        <v/>
      </c>
      <c r="K915" s="71" t="n"/>
      <c r="L915" s="72" t="n"/>
      <c r="M915" s="72" t="str">
        <f>IF(E915="","",IF(L915&lt;&gt;"",L915,IFERROR(IF(ISNUMBER(INDEX(art_tva,MATCH($E915,art_ref,0))),INDEX(art_tva,MATCH($E915,art_ref,0)),""),"")))</f>
        <v/>
      </c>
      <c r="N915" s="70" t="str">
        <f>IF(OR(E915="",J915=""),"",ROUND(N(H915)*J915*(1-N(K915)),2))</f>
        <v/>
      </c>
      <c r="O915" s="70" t="str">
        <f>IF(OR(N915="",NOT(ISNUMBER(M915))),"",ROUND(N915*M915,2))</f>
        <v/>
      </c>
      <c r="P915" s="70" t="str">
        <f>IF(N915="","",N915+N(O915))</f>
        <v/>
      </c>
      <c r="Q915" s="64" t="n"/>
      <c r="R915" s="73" t="str">
        <f>IF(N(Q915)&gt;0,Q915,IF(OR(N(B915)=0,ISNA(MATCH($C915,sup_code,0))),"",IF(ISNUMBER(INDEX(sup_delay,MATCH($C915,sup_code,0))),B915+INDEX(sup_delay,MATCH($C915,sup_code,0)),"")))</f>
        <v/>
      </c>
      <c r="S915" s="64" t="n"/>
      <c r="T915" s="68" t="n"/>
      <c r="U915" s="64" t="n"/>
      <c r="V915" s="65" t="n"/>
      <c r="W915" s="74" t="str">
        <f>IF(AND(A915="",E915=""),"",IF(V915="Oui",0,MAX(0,ROUND(N(H915)-N(T915),6))))</f>
        <v/>
      </c>
      <c r="X915" s="67" t="str">
        <f>IF(AND(A915="",E915=""),"",IF(V915="Oui","Annulé",IF(AND(N(H915)&gt;0,N(T915)&gt;=N(H915)),"Reçu",IF(N(S915)=0,"Brouillon",IF(AND(ISNUMBER(R915),R915&lt;p_today),"En retard",IF(N(T915)&gt;0,"Partiel","Envoyé"))))))</f>
        <v/>
      </c>
      <c r="Y915" s="75" t="str">
        <f>IF(X915="En retard",p_today-R915,IF(AND(X915="Reçu",ISNUMBER(R915)),MAX(0,N(U915)-R915),""))</f>
        <v/>
      </c>
      <c r="Z915" s="67" t="str">
        <f>IF(AND(A915="",E915=""),"",IF(A915="","N° de bon manquant",IF(N(B915)=0,"Date de commande manquante",IF(C915="","Fournisseur manquant",IF(ISNA(MATCH($C915,sup_code,0)),"Fournisseur inconnu",IF(E915="","Article manquant",IF(ISNA(MATCH($E915,art_ref,0)),"Article inconnu",IF(N(H915)&lt;=0,"Quantité invalide",IF(J915="","Prix manquant",IF(OR(N(K915)&lt;0,N(K915)&gt;=1),"Remise invalide",IF(M915="","TVA manquante",IF(ISNA(MATCH(M915,p_tva,0)),"Taux de TVA inconnu",IF(COUNTIFS(po_num,A915,po_sup,"&lt;&gt;"&amp;C915)&gt;0,"Fournisseur différent sur ce bon",IF(COUNTIFS(po_num,A915,po_date,"&lt;&gt;"&amp;B915)&gt;0,"Date différente sur ce bon",IF(COUNTIF(po_num,A915)&gt;25,"Plus de 25 lignes sur ce bon",IF(R915="","Date de livraison manquante",IF(R915&lt;B915,"Livraison avant la commande",IF(AND(N(T915)&gt;0,N(S915)=0),"Date d'envoi manquante",IF(N(T915)&gt;N(H915),"Reçu plus que commandé",IF(AND(N(T915)&gt;0,N(U915)=0),"Date de réception manquante",IF(AND(N(U915)&gt;0,U915&lt;B915),"Réception avant la commande","OK")))))))))))))))))))))</f>
        <v/>
      </c>
      <c r="AA915" s="66" t="str">
        <f>IF(AND(X915="Reçu",ISNUMBER(R915)),IF(N(U915)&lt;=R915,1,0),"")</f>
        <v/>
      </c>
      <c r="AB915" s="76" t="str">
        <f>IF(OR(X915="Envoyé",X915="Partiel",X915="En retard"),IF(ISNUMBER(R915),R915,100000)+ROW()/100000,"")</f>
        <v/>
      </c>
      <c r="AC915" s="66" t="str">
        <f>IF(A915="","",IF(COUNTIF($A$6:A915,A915)=1,1,""))</f>
        <v/>
      </c>
      <c r="AD915" s="66" t="str">
        <f>IF(AC915=1,COUNT($AC$6:AC915),"")</f>
        <v/>
      </c>
      <c r="AE915" s="66" t="str">
        <f>IFERROR(INDEX(po_num,MATCH(910,po_seq,0))&amp;"","")</f>
        <v/>
      </c>
      <c r="AF915" s="66" t="str">
        <f>IF(OR(A915="",p_po=""),"",IF(A915&amp;""=p_po,COUNTIF($A$6:A915,A915),""))</f>
        <v/>
      </c>
      <c r="AG915" s="66" t="str">
        <f>IF(OR(AB915="",A915=""),"",IF(COUNTIFS($A$6:A915,A915,$AB$6:AB915,"&gt;0")=1,1,""))</f>
        <v/>
      </c>
      <c r="AH915" s="70" t="str">
        <f>IF(AB915="","",ROUND(N(W915)*N(J915)*(1-N(K915)),2))</f>
        <v/>
      </c>
      <c r="AI915" s="70" t="str">
        <f>IF(OR(J915="",N(T915)&lt;=0,V915="Oui"),"",ROUND(N(T915)*J915*(1-N(K915)),2))</f>
        <v/>
      </c>
    </row>
    <row r="916">
      <c r="A916" s="63" t="n"/>
      <c r="B916" s="64" t="n"/>
      <c r="C916" s="65" t="n"/>
      <c r="D916" s="66" t="str">
        <f>IF(C916="","",IFERROR(INDEX(sup_name,MATCH($C916,sup_code,0))&amp;"","Fournisseur inconnu"))</f>
        <v/>
      </c>
      <c r="E916" s="63" t="n"/>
      <c r="F916" s="66" t="str">
        <f>IF(E916="","",IFERROR(INDEX(art_des,MATCH($E916,art_ref,0))&amp;"","Article inconnu"))</f>
        <v/>
      </c>
      <c r="G916" s="67" t="str">
        <f>IF(E916="","",IFERROR(INDEX(art_unit,MATCH($E916,art_ref,0))&amp;"",""))</f>
        <v/>
      </c>
      <c r="H916" s="68" t="n"/>
      <c r="I916" s="69" t="n"/>
      <c r="J916" s="70" t="str">
        <f>IF(E916="","",IF(ISNUMBER(I916),I916,IFERROR(IF(ISNUMBER(INDEX(art_price,MATCH($E916,art_ref,0))),INDEX(art_price,MATCH($E916,art_ref,0)),""),"")))</f>
        <v/>
      </c>
      <c r="K916" s="71" t="n"/>
      <c r="L916" s="72" t="n"/>
      <c r="M916" s="72" t="str">
        <f>IF(E916="","",IF(L916&lt;&gt;"",L916,IFERROR(IF(ISNUMBER(INDEX(art_tva,MATCH($E916,art_ref,0))),INDEX(art_tva,MATCH($E916,art_ref,0)),""),"")))</f>
        <v/>
      </c>
      <c r="N916" s="70" t="str">
        <f>IF(OR(E916="",J916=""),"",ROUND(N(H916)*J916*(1-N(K916)),2))</f>
        <v/>
      </c>
      <c r="O916" s="70" t="str">
        <f>IF(OR(N916="",NOT(ISNUMBER(M916))),"",ROUND(N916*M916,2))</f>
        <v/>
      </c>
      <c r="P916" s="70" t="str">
        <f>IF(N916="","",N916+N(O916))</f>
        <v/>
      </c>
      <c r="Q916" s="64" t="n"/>
      <c r="R916" s="73" t="str">
        <f>IF(N(Q916)&gt;0,Q916,IF(OR(N(B916)=0,ISNA(MATCH($C916,sup_code,0))),"",IF(ISNUMBER(INDEX(sup_delay,MATCH($C916,sup_code,0))),B916+INDEX(sup_delay,MATCH($C916,sup_code,0)),"")))</f>
        <v/>
      </c>
      <c r="S916" s="64" t="n"/>
      <c r="T916" s="68" t="n"/>
      <c r="U916" s="64" t="n"/>
      <c r="V916" s="65" t="n"/>
      <c r="W916" s="74" t="str">
        <f>IF(AND(A916="",E916=""),"",IF(V916="Oui",0,MAX(0,ROUND(N(H916)-N(T916),6))))</f>
        <v/>
      </c>
      <c r="X916" s="67" t="str">
        <f>IF(AND(A916="",E916=""),"",IF(V916="Oui","Annulé",IF(AND(N(H916)&gt;0,N(T916)&gt;=N(H916)),"Reçu",IF(N(S916)=0,"Brouillon",IF(AND(ISNUMBER(R916),R916&lt;p_today),"En retard",IF(N(T916)&gt;0,"Partiel","Envoyé"))))))</f>
        <v/>
      </c>
      <c r="Y916" s="75" t="str">
        <f>IF(X916="En retard",p_today-R916,IF(AND(X916="Reçu",ISNUMBER(R916)),MAX(0,N(U916)-R916),""))</f>
        <v/>
      </c>
      <c r="Z916" s="67" t="str">
        <f>IF(AND(A916="",E916=""),"",IF(A916="","N° de bon manquant",IF(N(B916)=0,"Date de commande manquante",IF(C916="","Fournisseur manquant",IF(ISNA(MATCH($C916,sup_code,0)),"Fournisseur inconnu",IF(E916="","Article manquant",IF(ISNA(MATCH($E916,art_ref,0)),"Article inconnu",IF(N(H916)&lt;=0,"Quantité invalide",IF(J916="","Prix manquant",IF(OR(N(K916)&lt;0,N(K916)&gt;=1),"Remise invalide",IF(M916="","TVA manquante",IF(ISNA(MATCH(M916,p_tva,0)),"Taux de TVA inconnu",IF(COUNTIFS(po_num,A916,po_sup,"&lt;&gt;"&amp;C916)&gt;0,"Fournisseur différent sur ce bon",IF(COUNTIFS(po_num,A916,po_date,"&lt;&gt;"&amp;B916)&gt;0,"Date différente sur ce bon",IF(COUNTIF(po_num,A916)&gt;25,"Plus de 25 lignes sur ce bon",IF(R916="","Date de livraison manquante",IF(R916&lt;B916,"Livraison avant la commande",IF(AND(N(T916)&gt;0,N(S916)=0),"Date d'envoi manquante",IF(N(T916)&gt;N(H916),"Reçu plus que commandé",IF(AND(N(T916)&gt;0,N(U916)=0),"Date de réception manquante",IF(AND(N(U916)&gt;0,U916&lt;B916),"Réception avant la commande","OK")))))))))))))))))))))</f>
        <v/>
      </c>
      <c r="AA916" s="66" t="str">
        <f>IF(AND(X916="Reçu",ISNUMBER(R916)),IF(N(U916)&lt;=R916,1,0),"")</f>
        <v/>
      </c>
      <c r="AB916" s="76" t="str">
        <f>IF(OR(X916="Envoyé",X916="Partiel",X916="En retard"),IF(ISNUMBER(R916),R916,100000)+ROW()/100000,"")</f>
        <v/>
      </c>
      <c r="AC916" s="66" t="str">
        <f>IF(A916="","",IF(COUNTIF($A$6:A916,A916)=1,1,""))</f>
        <v/>
      </c>
      <c r="AD916" s="66" t="str">
        <f>IF(AC916=1,COUNT($AC$6:AC916),"")</f>
        <v/>
      </c>
      <c r="AE916" s="66" t="str">
        <f>IFERROR(INDEX(po_num,MATCH(911,po_seq,0))&amp;"","")</f>
        <v/>
      </c>
      <c r="AF916" s="66" t="str">
        <f>IF(OR(A916="",p_po=""),"",IF(A916&amp;""=p_po,COUNTIF($A$6:A916,A916),""))</f>
        <v/>
      </c>
      <c r="AG916" s="66" t="str">
        <f>IF(OR(AB916="",A916=""),"",IF(COUNTIFS($A$6:A916,A916,$AB$6:AB916,"&gt;0")=1,1,""))</f>
        <v/>
      </c>
      <c r="AH916" s="70" t="str">
        <f>IF(AB916="","",ROUND(N(W916)*N(J916)*(1-N(K916)),2))</f>
        <v/>
      </c>
      <c r="AI916" s="70" t="str">
        <f>IF(OR(J916="",N(T916)&lt;=0,V916="Oui"),"",ROUND(N(T916)*J916*(1-N(K916)),2))</f>
        <v/>
      </c>
    </row>
    <row r="917">
      <c r="A917" s="63" t="n"/>
      <c r="B917" s="64" t="n"/>
      <c r="C917" s="65" t="n"/>
      <c r="D917" s="66" t="str">
        <f>IF(C917="","",IFERROR(INDEX(sup_name,MATCH($C917,sup_code,0))&amp;"","Fournisseur inconnu"))</f>
        <v/>
      </c>
      <c r="E917" s="63" t="n"/>
      <c r="F917" s="66" t="str">
        <f>IF(E917="","",IFERROR(INDEX(art_des,MATCH($E917,art_ref,0))&amp;"","Article inconnu"))</f>
        <v/>
      </c>
      <c r="G917" s="67" t="str">
        <f>IF(E917="","",IFERROR(INDEX(art_unit,MATCH($E917,art_ref,0))&amp;"",""))</f>
        <v/>
      </c>
      <c r="H917" s="68" t="n"/>
      <c r="I917" s="69" t="n"/>
      <c r="J917" s="70" t="str">
        <f>IF(E917="","",IF(ISNUMBER(I917),I917,IFERROR(IF(ISNUMBER(INDEX(art_price,MATCH($E917,art_ref,0))),INDEX(art_price,MATCH($E917,art_ref,0)),""),"")))</f>
        <v/>
      </c>
      <c r="K917" s="71" t="n"/>
      <c r="L917" s="72" t="n"/>
      <c r="M917" s="72" t="str">
        <f>IF(E917="","",IF(L917&lt;&gt;"",L917,IFERROR(IF(ISNUMBER(INDEX(art_tva,MATCH($E917,art_ref,0))),INDEX(art_tva,MATCH($E917,art_ref,0)),""),"")))</f>
        <v/>
      </c>
      <c r="N917" s="70" t="str">
        <f>IF(OR(E917="",J917=""),"",ROUND(N(H917)*J917*(1-N(K917)),2))</f>
        <v/>
      </c>
      <c r="O917" s="70" t="str">
        <f>IF(OR(N917="",NOT(ISNUMBER(M917))),"",ROUND(N917*M917,2))</f>
        <v/>
      </c>
      <c r="P917" s="70" t="str">
        <f>IF(N917="","",N917+N(O917))</f>
        <v/>
      </c>
      <c r="Q917" s="64" t="n"/>
      <c r="R917" s="73" t="str">
        <f>IF(N(Q917)&gt;0,Q917,IF(OR(N(B917)=0,ISNA(MATCH($C917,sup_code,0))),"",IF(ISNUMBER(INDEX(sup_delay,MATCH($C917,sup_code,0))),B917+INDEX(sup_delay,MATCH($C917,sup_code,0)),"")))</f>
        <v/>
      </c>
      <c r="S917" s="64" t="n"/>
      <c r="T917" s="68" t="n"/>
      <c r="U917" s="64" t="n"/>
      <c r="V917" s="65" t="n"/>
      <c r="W917" s="74" t="str">
        <f>IF(AND(A917="",E917=""),"",IF(V917="Oui",0,MAX(0,ROUND(N(H917)-N(T917),6))))</f>
        <v/>
      </c>
      <c r="X917" s="67" t="str">
        <f>IF(AND(A917="",E917=""),"",IF(V917="Oui","Annulé",IF(AND(N(H917)&gt;0,N(T917)&gt;=N(H917)),"Reçu",IF(N(S917)=0,"Brouillon",IF(AND(ISNUMBER(R917),R917&lt;p_today),"En retard",IF(N(T917)&gt;0,"Partiel","Envoyé"))))))</f>
        <v/>
      </c>
      <c r="Y917" s="75" t="str">
        <f>IF(X917="En retard",p_today-R917,IF(AND(X917="Reçu",ISNUMBER(R917)),MAX(0,N(U917)-R917),""))</f>
        <v/>
      </c>
      <c r="Z917" s="67" t="str">
        <f>IF(AND(A917="",E917=""),"",IF(A917="","N° de bon manquant",IF(N(B917)=0,"Date de commande manquante",IF(C917="","Fournisseur manquant",IF(ISNA(MATCH($C917,sup_code,0)),"Fournisseur inconnu",IF(E917="","Article manquant",IF(ISNA(MATCH($E917,art_ref,0)),"Article inconnu",IF(N(H917)&lt;=0,"Quantité invalide",IF(J917="","Prix manquant",IF(OR(N(K917)&lt;0,N(K917)&gt;=1),"Remise invalide",IF(M917="","TVA manquante",IF(ISNA(MATCH(M917,p_tva,0)),"Taux de TVA inconnu",IF(COUNTIFS(po_num,A917,po_sup,"&lt;&gt;"&amp;C917)&gt;0,"Fournisseur différent sur ce bon",IF(COUNTIFS(po_num,A917,po_date,"&lt;&gt;"&amp;B917)&gt;0,"Date différente sur ce bon",IF(COUNTIF(po_num,A917)&gt;25,"Plus de 25 lignes sur ce bon",IF(R917="","Date de livraison manquante",IF(R917&lt;B917,"Livraison avant la commande",IF(AND(N(T917)&gt;0,N(S917)=0),"Date d'envoi manquante",IF(N(T917)&gt;N(H917),"Reçu plus que commandé",IF(AND(N(T917)&gt;0,N(U917)=0),"Date de réception manquante",IF(AND(N(U917)&gt;0,U917&lt;B917),"Réception avant la commande","OK")))))))))))))))))))))</f>
        <v/>
      </c>
      <c r="AA917" s="66" t="str">
        <f>IF(AND(X917="Reçu",ISNUMBER(R917)),IF(N(U917)&lt;=R917,1,0),"")</f>
        <v/>
      </c>
      <c r="AB917" s="76" t="str">
        <f>IF(OR(X917="Envoyé",X917="Partiel",X917="En retard"),IF(ISNUMBER(R917),R917,100000)+ROW()/100000,"")</f>
        <v/>
      </c>
      <c r="AC917" s="66" t="str">
        <f>IF(A917="","",IF(COUNTIF($A$6:A917,A917)=1,1,""))</f>
        <v/>
      </c>
      <c r="AD917" s="66" t="str">
        <f>IF(AC917=1,COUNT($AC$6:AC917),"")</f>
        <v/>
      </c>
      <c r="AE917" s="66" t="str">
        <f>IFERROR(INDEX(po_num,MATCH(912,po_seq,0))&amp;"","")</f>
        <v/>
      </c>
      <c r="AF917" s="66" t="str">
        <f>IF(OR(A917="",p_po=""),"",IF(A917&amp;""=p_po,COUNTIF($A$6:A917,A917),""))</f>
        <v/>
      </c>
      <c r="AG917" s="66" t="str">
        <f>IF(OR(AB917="",A917=""),"",IF(COUNTIFS($A$6:A917,A917,$AB$6:AB917,"&gt;0")=1,1,""))</f>
        <v/>
      </c>
      <c r="AH917" s="70" t="str">
        <f>IF(AB917="","",ROUND(N(W917)*N(J917)*(1-N(K917)),2))</f>
        <v/>
      </c>
      <c r="AI917" s="70" t="str">
        <f>IF(OR(J917="",N(T917)&lt;=0,V917="Oui"),"",ROUND(N(T917)*J917*(1-N(K917)),2))</f>
        <v/>
      </c>
    </row>
    <row r="918">
      <c r="A918" s="63" t="n"/>
      <c r="B918" s="64" t="n"/>
      <c r="C918" s="65" t="n"/>
      <c r="D918" s="66" t="str">
        <f>IF(C918="","",IFERROR(INDEX(sup_name,MATCH($C918,sup_code,0))&amp;"","Fournisseur inconnu"))</f>
        <v/>
      </c>
      <c r="E918" s="63" t="n"/>
      <c r="F918" s="66" t="str">
        <f>IF(E918="","",IFERROR(INDEX(art_des,MATCH($E918,art_ref,0))&amp;"","Article inconnu"))</f>
        <v/>
      </c>
      <c r="G918" s="67" t="str">
        <f>IF(E918="","",IFERROR(INDEX(art_unit,MATCH($E918,art_ref,0))&amp;"",""))</f>
        <v/>
      </c>
      <c r="H918" s="68" t="n"/>
      <c r="I918" s="69" t="n"/>
      <c r="J918" s="70" t="str">
        <f>IF(E918="","",IF(ISNUMBER(I918),I918,IFERROR(IF(ISNUMBER(INDEX(art_price,MATCH($E918,art_ref,0))),INDEX(art_price,MATCH($E918,art_ref,0)),""),"")))</f>
        <v/>
      </c>
      <c r="K918" s="71" t="n"/>
      <c r="L918" s="72" t="n"/>
      <c r="M918" s="72" t="str">
        <f>IF(E918="","",IF(L918&lt;&gt;"",L918,IFERROR(IF(ISNUMBER(INDEX(art_tva,MATCH($E918,art_ref,0))),INDEX(art_tva,MATCH($E918,art_ref,0)),""),"")))</f>
        <v/>
      </c>
      <c r="N918" s="70" t="str">
        <f>IF(OR(E918="",J918=""),"",ROUND(N(H918)*J918*(1-N(K918)),2))</f>
        <v/>
      </c>
      <c r="O918" s="70" t="str">
        <f>IF(OR(N918="",NOT(ISNUMBER(M918))),"",ROUND(N918*M918,2))</f>
        <v/>
      </c>
      <c r="P918" s="70" t="str">
        <f>IF(N918="","",N918+N(O918))</f>
        <v/>
      </c>
      <c r="Q918" s="64" t="n"/>
      <c r="R918" s="73" t="str">
        <f>IF(N(Q918)&gt;0,Q918,IF(OR(N(B918)=0,ISNA(MATCH($C918,sup_code,0))),"",IF(ISNUMBER(INDEX(sup_delay,MATCH($C918,sup_code,0))),B918+INDEX(sup_delay,MATCH($C918,sup_code,0)),"")))</f>
        <v/>
      </c>
      <c r="S918" s="64" t="n"/>
      <c r="T918" s="68" t="n"/>
      <c r="U918" s="64" t="n"/>
      <c r="V918" s="65" t="n"/>
      <c r="W918" s="74" t="str">
        <f>IF(AND(A918="",E918=""),"",IF(V918="Oui",0,MAX(0,ROUND(N(H918)-N(T918),6))))</f>
        <v/>
      </c>
      <c r="X918" s="67" t="str">
        <f>IF(AND(A918="",E918=""),"",IF(V918="Oui","Annulé",IF(AND(N(H918)&gt;0,N(T918)&gt;=N(H918)),"Reçu",IF(N(S918)=0,"Brouillon",IF(AND(ISNUMBER(R918),R918&lt;p_today),"En retard",IF(N(T918)&gt;0,"Partiel","Envoyé"))))))</f>
        <v/>
      </c>
      <c r="Y918" s="75" t="str">
        <f>IF(X918="En retard",p_today-R918,IF(AND(X918="Reçu",ISNUMBER(R918)),MAX(0,N(U918)-R918),""))</f>
        <v/>
      </c>
      <c r="Z918" s="67" t="str">
        <f>IF(AND(A918="",E918=""),"",IF(A918="","N° de bon manquant",IF(N(B918)=0,"Date de commande manquante",IF(C918="","Fournisseur manquant",IF(ISNA(MATCH($C918,sup_code,0)),"Fournisseur inconnu",IF(E918="","Article manquant",IF(ISNA(MATCH($E918,art_ref,0)),"Article inconnu",IF(N(H918)&lt;=0,"Quantité invalide",IF(J918="","Prix manquant",IF(OR(N(K918)&lt;0,N(K918)&gt;=1),"Remise invalide",IF(M918="","TVA manquante",IF(ISNA(MATCH(M918,p_tva,0)),"Taux de TVA inconnu",IF(COUNTIFS(po_num,A918,po_sup,"&lt;&gt;"&amp;C918)&gt;0,"Fournisseur différent sur ce bon",IF(COUNTIFS(po_num,A918,po_date,"&lt;&gt;"&amp;B918)&gt;0,"Date différente sur ce bon",IF(COUNTIF(po_num,A918)&gt;25,"Plus de 25 lignes sur ce bon",IF(R918="","Date de livraison manquante",IF(R918&lt;B918,"Livraison avant la commande",IF(AND(N(T918)&gt;0,N(S918)=0),"Date d'envoi manquante",IF(N(T918)&gt;N(H918),"Reçu plus que commandé",IF(AND(N(T918)&gt;0,N(U918)=0),"Date de réception manquante",IF(AND(N(U918)&gt;0,U918&lt;B918),"Réception avant la commande","OK")))))))))))))))))))))</f>
        <v/>
      </c>
      <c r="AA918" s="66" t="str">
        <f>IF(AND(X918="Reçu",ISNUMBER(R918)),IF(N(U918)&lt;=R918,1,0),"")</f>
        <v/>
      </c>
      <c r="AB918" s="76" t="str">
        <f>IF(OR(X918="Envoyé",X918="Partiel",X918="En retard"),IF(ISNUMBER(R918),R918,100000)+ROW()/100000,"")</f>
        <v/>
      </c>
      <c r="AC918" s="66" t="str">
        <f>IF(A918="","",IF(COUNTIF($A$6:A918,A918)=1,1,""))</f>
        <v/>
      </c>
      <c r="AD918" s="66" t="str">
        <f>IF(AC918=1,COUNT($AC$6:AC918),"")</f>
        <v/>
      </c>
      <c r="AE918" s="66" t="str">
        <f>IFERROR(INDEX(po_num,MATCH(913,po_seq,0))&amp;"","")</f>
        <v/>
      </c>
      <c r="AF918" s="66" t="str">
        <f>IF(OR(A918="",p_po=""),"",IF(A918&amp;""=p_po,COUNTIF($A$6:A918,A918),""))</f>
        <v/>
      </c>
      <c r="AG918" s="66" t="str">
        <f>IF(OR(AB918="",A918=""),"",IF(COUNTIFS($A$6:A918,A918,$AB$6:AB918,"&gt;0")=1,1,""))</f>
        <v/>
      </c>
      <c r="AH918" s="70" t="str">
        <f>IF(AB918="","",ROUND(N(W918)*N(J918)*(1-N(K918)),2))</f>
        <v/>
      </c>
      <c r="AI918" s="70" t="str">
        <f>IF(OR(J918="",N(T918)&lt;=0,V918="Oui"),"",ROUND(N(T918)*J918*(1-N(K918)),2))</f>
        <v/>
      </c>
    </row>
    <row r="919">
      <c r="A919" s="63" t="n"/>
      <c r="B919" s="64" t="n"/>
      <c r="C919" s="65" t="n"/>
      <c r="D919" s="66" t="str">
        <f>IF(C919="","",IFERROR(INDEX(sup_name,MATCH($C919,sup_code,0))&amp;"","Fournisseur inconnu"))</f>
        <v/>
      </c>
      <c r="E919" s="63" t="n"/>
      <c r="F919" s="66" t="str">
        <f>IF(E919="","",IFERROR(INDEX(art_des,MATCH($E919,art_ref,0))&amp;"","Article inconnu"))</f>
        <v/>
      </c>
      <c r="G919" s="67" t="str">
        <f>IF(E919="","",IFERROR(INDEX(art_unit,MATCH($E919,art_ref,0))&amp;"",""))</f>
        <v/>
      </c>
      <c r="H919" s="68" t="n"/>
      <c r="I919" s="69" t="n"/>
      <c r="J919" s="70" t="str">
        <f>IF(E919="","",IF(ISNUMBER(I919),I919,IFERROR(IF(ISNUMBER(INDEX(art_price,MATCH($E919,art_ref,0))),INDEX(art_price,MATCH($E919,art_ref,0)),""),"")))</f>
        <v/>
      </c>
      <c r="K919" s="71" t="n"/>
      <c r="L919" s="72" t="n"/>
      <c r="M919" s="72" t="str">
        <f>IF(E919="","",IF(L919&lt;&gt;"",L919,IFERROR(IF(ISNUMBER(INDEX(art_tva,MATCH($E919,art_ref,0))),INDEX(art_tva,MATCH($E919,art_ref,0)),""),"")))</f>
        <v/>
      </c>
      <c r="N919" s="70" t="str">
        <f>IF(OR(E919="",J919=""),"",ROUND(N(H919)*J919*(1-N(K919)),2))</f>
        <v/>
      </c>
      <c r="O919" s="70" t="str">
        <f>IF(OR(N919="",NOT(ISNUMBER(M919))),"",ROUND(N919*M919,2))</f>
        <v/>
      </c>
      <c r="P919" s="70" t="str">
        <f>IF(N919="","",N919+N(O919))</f>
        <v/>
      </c>
      <c r="Q919" s="64" t="n"/>
      <c r="R919" s="73" t="str">
        <f>IF(N(Q919)&gt;0,Q919,IF(OR(N(B919)=0,ISNA(MATCH($C919,sup_code,0))),"",IF(ISNUMBER(INDEX(sup_delay,MATCH($C919,sup_code,0))),B919+INDEX(sup_delay,MATCH($C919,sup_code,0)),"")))</f>
        <v/>
      </c>
      <c r="S919" s="64" t="n"/>
      <c r="T919" s="68" t="n"/>
      <c r="U919" s="64" t="n"/>
      <c r="V919" s="65" t="n"/>
      <c r="W919" s="74" t="str">
        <f>IF(AND(A919="",E919=""),"",IF(V919="Oui",0,MAX(0,ROUND(N(H919)-N(T919),6))))</f>
        <v/>
      </c>
      <c r="X919" s="67" t="str">
        <f>IF(AND(A919="",E919=""),"",IF(V919="Oui","Annulé",IF(AND(N(H919)&gt;0,N(T919)&gt;=N(H919)),"Reçu",IF(N(S919)=0,"Brouillon",IF(AND(ISNUMBER(R919),R919&lt;p_today),"En retard",IF(N(T919)&gt;0,"Partiel","Envoyé"))))))</f>
        <v/>
      </c>
      <c r="Y919" s="75" t="str">
        <f>IF(X919="En retard",p_today-R919,IF(AND(X919="Reçu",ISNUMBER(R919)),MAX(0,N(U919)-R919),""))</f>
        <v/>
      </c>
      <c r="Z919" s="67" t="str">
        <f>IF(AND(A919="",E919=""),"",IF(A919="","N° de bon manquant",IF(N(B919)=0,"Date de commande manquante",IF(C919="","Fournisseur manquant",IF(ISNA(MATCH($C919,sup_code,0)),"Fournisseur inconnu",IF(E919="","Article manquant",IF(ISNA(MATCH($E919,art_ref,0)),"Article inconnu",IF(N(H919)&lt;=0,"Quantité invalide",IF(J919="","Prix manquant",IF(OR(N(K919)&lt;0,N(K919)&gt;=1),"Remise invalide",IF(M919="","TVA manquante",IF(ISNA(MATCH(M919,p_tva,0)),"Taux de TVA inconnu",IF(COUNTIFS(po_num,A919,po_sup,"&lt;&gt;"&amp;C919)&gt;0,"Fournisseur différent sur ce bon",IF(COUNTIFS(po_num,A919,po_date,"&lt;&gt;"&amp;B919)&gt;0,"Date différente sur ce bon",IF(COUNTIF(po_num,A919)&gt;25,"Plus de 25 lignes sur ce bon",IF(R919="","Date de livraison manquante",IF(R919&lt;B919,"Livraison avant la commande",IF(AND(N(T919)&gt;0,N(S919)=0),"Date d'envoi manquante",IF(N(T919)&gt;N(H919),"Reçu plus que commandé",IF(AND(N(T919)&gt;0,N(U919)=0),"Date de réception manquante",IF(AND(N(U919)&gt;0,U919&lt;B919),"Réception avant la commande","OK")))))))))))))))))))))</f>
        <v/>
      </c>
      <c r="AA919" s="66" t="str">
        <f>IF(AND(X919="Reçu",ISNUMBER(R919)),IF(N(U919)&lt;=R919,1,0),"")</f>
        <v/>
      </c>
      <c r="AB919" s="76" t="str">
        <f>IF(OR(X919="Envoyé",X919="Partiel",X919="En retard"),IF(ISNUMBER(R919),R919,100000)+ROW()/100000,"")</f>
        <v/>
      </c>
      <c r="AC919" s="66" t="str">
        <f>IF(A919="","",IF(COUNTIF($A$6:A919,A919)=1,1,""))</f>
        <v/>
      </c>
      <c r="AD919" s="66" t="str">
        <f>IF(AC919=1,COUNT($AC$6:AC919),"")</f>
        <v/>
      </c>
      <c r="AE919" s="66" t="str">
        <f>IFERROR(INDEX(po_num,MATCH(914,po_seq,0))&amp;"","")</f>
        <v/>
      </c>
      <c r="AF919" s="66" t="str">
        <f>IF(OR(A919="",p_po=""),"",IF(A919&amp;""=p_po,COUNTIF($A$6:A919,A919),""))</f>
        <v/>
      </c>
      <c r="AG919" s="66" t="str">
        <f>IF(OR(AB919="",A919=""),"",IF(COUNTIFS($A$6:A919,A919,$AB$6:AB919,"&gt;0")=1,1,""))</f>
        <v/>
      </c>
      <c r="AH919" s="70" t="str">
        <f>IF(AB919="","",ROUND(N(W919)*N(J919)*(1-N(K919)),2))</f>
        <v/>
      </c>
      <c r="AI919" s="70" t="str">
        <f>IF(OR(J919="",N(T919)&lt;=0,V919="Oui"),"",ROUND(N(T919)*J919*(1-N(K919)),2))</f>
        <v/>
      </c>
    </row>
    <row r="920">
      <c r="A920" s="63" t="n"/>
      <c r="B920" s="64" t="n"/>
      <c r="C920" s="65" t="n"/>
      <c r="D920" s="66" t="str">
        <f>IF(C920="","",IFERROR(INDEX(sup_name,MATCH($C920,sup_code,0))&amp;"","Fournisseur inconnu"))</f>
        <v/>
      </c>
      <c r="E920" s="63" t="n"/>
      <c r="F920" s="66" t="str">
        <f>IF(E920="","",IFERROR(INDEX(art_des,MATCH($E920,art_ref,0))&amp;"","Article inconnu"))</f>
        <v/>
      </c>
      <c r="G920" s="67" t="str">
        <f>IF(E920="","",IFERROR(INDEX(art_unit,MATCH($E920,art_ref,0))&amp;"",""))</f>
        <v/>
      </c>
      <c r="H920" s="68" t="n"/>
      <c r="I920" s="69" t="n"/>
      <c r="J920" s="70" t="str">
        <f>IF(E920="","",IF(ISNUMBER(I920),I920,IFERROR(IF(ISNUMBER(INDEX(art_price,MATCH($E920,art_ref,0))),INDEX(art_price,MATCH($E920,art_ref,0)),""),"")))</f>
        <v/>
      </c>
      <c r="K920" s="71" t="n"/>
      <c r="L920" s="72" t="n"/>
      <c r="M920" s="72" t="str">
        <f>IF(E920="","",IF(L920&lt;&gt;"",L920,IFERROR(IF(ISNUMBER(INDEX(art_tva,MATCH($E920,art_ref,0))),INDEX(art_tva,MATCH($E920,art_ref,0)),""),"")))</f>
        <v/>
      </c>
      <c r="N920" s="70" t="str">
        <f>IF(OR(E920="",J920=""),"",ROUND(N(H920)*J920*(1-N(K920)),2))</f>
        <v/>
      </c>
      <c r="O920" s="70" t="str">
        <f>IF(OR(N920="",NOT(ISNUMBER(M920))),"",ROUND(N920*M920,2))</f>
        <v/>
      </c>
      <c r="P920" s="70" t="str">
        <f>IF(N920="","",N920+N(O920))</f>
        <v/>
      </c>
      <c r="Q920" s="64" t="n"/>
      <c r="R920" s="73" t="str">
        <f>IF(N(Q920)&gt;0,Q920,IF(OR(N(B920)=0,ISNA(MATCH($C920,sup_code,0))),"",IF(ISNUMBER(INDEX(sup_delay,MATCH($C920,sup_code,0))),B920+INDEX(sup_delay,MATCH($C920,sup_code,0)),"")))</f>
        <v/>
      </c>
      <c r="S920" s="64" t="n"/>
      <c r="T920" s="68" t="n"/>
      <c r="U920" s="64" t="n"/>
      <c r="V920" s="65" t="n"/>
      <c r="W920" s="74" t="str">
        <f>IF(AND(A920="",E920=""),"",IF(V920="Oui",0,MAX(0,ROUND(N(H920)-N(T920),6))))</f>
        <v/>
      </c>
      <c r="X920" s="67" t="str">
        <f>IF(AND(A920="",E920=""),"",IF(V920="Oui","Annulé",IF(AND(N(H920)&gt;0,N(T920)&gt;=N(H920)),"Reçu",IF(N(S920)=0,"Brouillon",IF(AND(ISNUMBER(R920),R920&lt;p_today),"En retard",IF(N(T920)&gt;0,"Partiel","Envoyé"))))))</f>
        <v/>
      </c>
      <c r="Y920" s="75" t="str">
        <f>IF(X920="En retard",p_today-R920,IF(AND(X920="Reçu",ISNUMBER(R920)),MAX(0,N(U920)-R920),""))</f>
        <v/>
      </c>
      <c r="Z920" s="67" t="str">
        <f>IF(AND(A920="",E920=""),"",IF(A920="","N° de bon manquant",IF(N(B920)=0,"Date de commande manquante",IF(C920="","Fournisseur manquant",IF(ISNA(MATCH($C920,sup_code,0)),"Fournisseur inconnu",IF(E920="","Article manquant",IF(ISNA(MATCH($E920,art_ref,0)),"Article inconnu",IF(N(H920)&lt;=0,"Quantité invalide",IF(J920="","Prix manquant",IF(OR(N(K920)&lt;0,N(K920)&gt;=1),"Remise invalide",IF(M920="","TVA manquante",IF(ISNA(MATCH(M920,p_tva,0)),"Taux de TVA inconnu",IF(COUNTIFS(po_num,A920,po_sup,"&lt;&gt;"&amp;C920)&gt;0,"Fournisseur différent sur ce bon",IF(COUNTIFS(po_num,A920,po_date,"&lt;&gt;"&amp;B920)&gt;0,"Date différente sur ce bon",IF(COUNTIF(po_num,A920)&gt;25,"Plus de 25 lignes sur ce bon",IF(R920="","Date de livraison manquante",IF(R920&lt;B920,"Livraison avant la commande",IF(AND(N(T920)&gt;0,N(S920)=0),"Date d'envoi manquante",IF(N(T920)&gt;N(H920),"Reçu plus que commandé",IF(AND(N(T920)&gt;0,N(U920)=0),"Date de réception manquante",IF(AND(N(U920)&gt;0,U920&lt;B920),"Réception avant la commande","OK")))))))))))))))))))))</f>
        <v/>
      </c>
      <c r="AA920" s="66" t="str">
        <f>IF(AND(X920="Reçu",ISNUMBER(R920)),IF(N(U920)&lt;=R920,1,0),"")</f>
        <v/>
      </c>
      <c r="AB920" s="76" t="str">
        <f>IF(OR(X920="Envoyé",X920="Partiel",X920="En retard"),IF(ISNUMBER(R920),R920,100000)+ROW()/100000,"")</f>
        <v/>
      </c>
      <c r="AC920" s="66" t="str">
        <f>IF(A920="","",IF(COUNTIF($A$6:A920,A920)=1,1,""))</f>
        <v/>
      </c>
      <c r="AD920" s="66" t="str">
        <f>IF(AC920=1,COUNT($AC$6:AC920),"")</f>
        <v/>
      </c>
      <c r="AE920" s="66" t="str">
        <f>IFERROR(INDEX(po_num,MATCH(915,po_seq,0))&amp;"","")</f>
        <v/>
      </c>
      <c r="AF920" s="66" t="str">
        <f>IF(OR(A920="",p_po=""),"",IF(A920&amp;""=p_po,COUNTIF($A$6:A920,A920),""))</f>
        <v/>
      </c>
      <c r="AG920" s="66" t="str">
        <f>IF(OR(AB920="",A920=""),"",IF(COUNTIFS($A$6:A920,A920,$AB$6:AB920,"&gt;0")=1,1,""))</f>
        <v/>
      </c>
      <c r="AH920" s="70" t="str">
        <f>IF(AB920="","",ROUND(N(W920)*N(J920)*(1-N(K920)),2))</f>
        <v/>
      </c>
      <c r="AI920" s="70" t="str">
        <f>IF(OR(J920="",N(T920)&lt;=0,V920="Oui"),"",ROUND(N(T920)*J920*(1-N(K920)),2))</f>
        <v/>
      </c>
    </row>
    <row r="921">
      <c r="A921" s="63" t="n"/>
      <c r="B921" s="64" t="n"/>
      <c r="C921" s="65" t="n"/>
      <c r="D921" s="66" t="str">
        <f>IF(C921="","",IFERROR(INDEX(sup_name,MATCH($C921,sup_code,0))&amp;"","Fournisseur inconnu"))</f>
        <v/>
      </c>
      <c r="E921" s="63" t="n"/>
      <c r="F921" s="66" t="str">
        <f>IF(E921="","",IFERROR(INDEX(art_des,MATCH($E921,art_ref,0))&amp;"","Article inconnu"))</f>
        <v/>
      </c>
      <c r="G921" s="67" t="str">
        <f>IF(E921="","",IFERROR(INDEX(art_unit,MATCH($E921,art_ref,0))&amp;"",""))</f>
        <v/>
      </c>
      <c r="H921" s="68" t="n"/>
      <c r="I921" s="69" t="n"/>
      <c r="J921" s="70" t="str">
        <f>IF(E921="","",IF(ISNUMBER(I921),I921,IFERROR(IF(ISNUMBER(INDEX(art_price,MATCH($E921,art_ref,0))),INDEX(art_price,MATCH($E921,art_ref,0)),""),"")))</f>
        <v/>
      </c>
      <c r="K921" s="71" t="n"/>
      <c r="L921" s="72" t="n"/>
      <c r="M921" s="72" t="str">
        <f>IF(E921="","",IF(L921&lt;&gt;"",L921,IFERROR(IF(ISNUMBER(INDEX(art_tva,MATCH($E921,art_ref,0))),INDEX(art_tva,MATCH($E921,art_ref,0)),""),"")))</f>
        <v/>
      </c>
      <c r="N921" s="70" t="str">
        <f>IF(OR(E921="",J921=""),"",ROUND(N(H921)*J921*(1-N(K921)),2))</f>
        <v/>
      </c>
      <c r="O921" s="70" t="str">
        <f>IF(OR(N921="",NOT(ISNUMBER(M921))),"",ROUND(N921*M921,2))</f>
        <v/>
      </c>
      <c r="P921" s="70" t="str">
        <f>IF(N921="","",N921+N(O921))</f>
        <v/>
      </c>
      <c r="Q921" s="64" t="n"/>
      <c r="R921" s="73" t="str">
        <f>IF(N(Q921)&gt;0,Q921,IF(OR(N(B921)=0,ISNA(MATCH($C921,sup_code,0))),"",IF(ISNUMBER(INDEX(sup_delay,MATCH($C921,sup_code,0))),B921+INDEX(sup_delay,MATCH($C921,sup_code,0)),"")))</f>
        <v/>
      </c>
      <c r="S921" s="64" t="n"/>
      <c r="T921" s="68" t="n"/>
      <c r="U921" s="64" t="n"/>
      <c r="V921" s="65" t="n"/>
      <c r="W921" s="74" t="str">
        <f>IF(AND(A921="",E921=""),"",IF(V921="Oui",0,MAX(0,ROUND(N(H921)-N(T921),6))))</f>
        <v/>
      </c>
      <c r="X921" s="67" t="str">
        <f>IF(AND(A921="",E921=""),"",IF(V921="Oui","Annulé",IF(AND(N(H921)&gt;0,N(T921)&gt;=N(H921)),"Reçu",IF(N(S921)=0,"Brouillon",IF(AND(ISNUMBER(R921),R921&lt;p_today),"En retard",IF(N(T921)&gt;0,"Partiel","Envoyé"))))))</f>
        <v/>
      </c>
      <c r="Y921" s="75" t="str">
        <f>IF(X921="En retard",p_today-R921,IF(AND(X921="Reçu",ISNUMBER(R921)),MAX(0,N(U921)-R921),""))</f>
        <v/>
      </c>
      <c r="Z921" s="67" t="str">
        <f>IF(AND(A921="",E921=""),"",IF(A921="","N° de bon manquant",IF(N(B921)=0,"Date de commande manquante",IF(C921="","Fournisseur manquant",IF(ISNA(MATCH($C921,sup_code,0)),"Fournisseur inconnu",IF(E921="","Article manquant",IF(ISNA(MATCH($E921,art_ref,0)),"Article inconnu",IF(N(H921)&lt;=0,"Quantité invalide",IF(J921="","Prix manquant",IF(OR(N(K921)&lt;0,N(K921)&gt;=1),"Remise invalide",IF(M921="","TVA manquante",IF(ISNA(MATCH(M921,p_tva,0)),"Taux de TVA inconnu",IF(COUNTIFS(po_num,A921,po_sup,"&lt;&gt;"&amp;C921)&gt;0,"Fournisseur différent sur ce bon",IF(COUNTIFS(po_num,A921,po_date,"&lt;&gt;"&amp;B921)&gt;0,"Date différente sur ce bon",IF(COUNTIF(po_num,A921)&gt;25,"Plus de 25 lignes sur ce bon",IF(R921="","Date de livraison manquante",IF(R921&lt;B921,"Livraison avant la commande",IF(AND(N(T921)&gt;0,N(S921)=0),"Date d'envoi manquante",IF(N(T921)&gt;N(H921),"Reçu plus que commandé",IF(AND(N(T921)&gt;0,N(U921)=0),"Date de réception manquante",IF(AND(N(U921)&gt;0,U921&lt;B921),"Réception avant la commande","OK")))))))))))))))))))))</f>
        <v/>
      </c>
      <c r="AA921" s="66" t="str">
        <f>IF(AND(X921="Reçu",ISNUMBER(R921)),IF(N(U921)&lt;=R921,1,0),"")</f>
        <v/>
      </c>
      <c r="AB921" s="76" t="str">
        <f>IF(OR(X921="Envoyé",X921="Partiel",X921="En retard"),IF(ISNUMBER(R921),R921,100000)+ROW()/100000,"")</f>
        <v/>
      </c>
      <c r="AC921" s="66" t="str">
        <f>IF(A921="","",IF(COUNTIF($A$6:A921,A921)=1,1,""))</f>
        <v/>
      </c>
      <c r="AD921" s="66" t="str">
        <f>IF(AC921=1,COUNT($AC$6:AC921),"")</f>
        <v/>
      </c>
      <c r="AE921" s="66" t="str">
        <f>IFERROR(INDEX(po_num,MATCH(916,po_seq,0))&amp;"","")</f>
        <v/>
      </c>
      <c r="AF921" s="66" t="str">
        <f>IF(OR(A921="",p_po=""),"",IF(A921&amp;""=p_po,COUNTIF($A$6:A921,A921),""))</f>
        <v/>
      </c>
      <c r="AG921" s="66" t="str">
        <f>IF(OR(AB921="",A921=""),"",IF(COUNTIFS($A$6:A921,A921,$AB$6:AB921,"&gt;0")=1,1,""))</f>
        <v/>
      </c>
      <c r="AH921" s="70" t="str">
        <f>IF(AB921="","",ROUND(N(W921)*N(J921)*(1-N(K921)),2))</f>
        <v/>
      </c>
      <c r="AI921" s="70" t="str">
        <f>IF(OR(J921="",N(T921)&lt;=0,V921="Oui"),"",ROUND(N(T921)*J921*(1-N(K921)),2))</f>
        <v/>
      </c>
    </row>
    <row r="922">
      <c r="A922" s="63" t="n"/>
      <c r="B922" s="64" t="n"/>
      <c r="C922" s="65" t="n"/>
      <c r="D922" s="66" t="str">
        <f>IF(C922="","",IFERROR(INDEX(sup_name,MATCH($C922,sup_code,0))&amp;"","Fournisseur inconnu"))</f>
        <v/>
      </c>
      <c r="E922" s="63" t="n"/>
      <c r="F922" s="66" t="str">
        <f>IF(E922="","",IFERROR(INDEX(art_des,MATCH($E922,art_ref,0))&amp;"","Article inconnu"))</f>
        <v/>
      </c>
      <c r="G922" s="67" t="str">
        <f>IF(E922="","",IFERROR(INDEX(art_unit,MATCH($E922,art_ref,0))&amp;"",""))</f>
        <v/>
      </c>
      <c r="H922" s="68" t="n"/>
      <c r="I922" s="69" t="n"/>
      <c r="J922" s="70" t="str">
        <f>IF(E922="","",IF(ISNUMBER(I922),I922,IFERROR(IF(ISNUMBER(INDEX(art_price,MATCH($E922,art_ref,0))),INDEX(art_price,MATCH($E922,art_ref,0)),""),"")))</f>
        <v/>
      </c>
      <c r="K922" s="71" t="n"/>
      <c r="L922" s="72" t="n"/>
      <c r="M922" s="72" t="str">
        <f>IF(E922="","",IF(L922&lt;&gt;"",L922,IFERROR(IF(ISNUMBER(INDEX(art_tva,MATCH($E922,art_ref,0))),INDEX(art_tva,MATCH($E922,art_ref,0)),""),"")))</f>
        <v/>
      </c>
      <c r="N922" s="70" t="str">
        <f>IF(OR(E922="",J922=""),"",ROUND(N(H922)*J922*(1-N(K922)),2))</f>
        <v/>
      </c>
      <c r="O922" s="70" t="str">
        <f>IF(OR(N922="",NOT(ISNUMBER(M922))),"",ROUND(N922*M922,2))</f>
        <v/>
      </c>
      <c r="P922" s="70" t="str">
        <f>IF(N922="","",N922+N(O922))</f>
        <v/>
      </c>
      <c r="Q922" s="64" t="n"/>
      <c r="R922" s="73" t="str">
        <f>IF(N(Q922)&gt;0,Q922,IF(OR(N(B922)=0,ISNA(MATCH($C922,sup_code,0))),"",IF(ISNUMBER(INDEX(sup_delay,MATCH($C922,sup_code,0))),B922+INDEX(sup_delay,MATCH($C922,sup_code,0)),"")))</f>
        <v/>
      </c>
      <c r="S922" s="64" t="n"/>
      <c r="T922" s="68" t="n"/>
      <c r="U922" s="64" t="n"/>
      <c r="V922" s="65" t="n"/>
      <c r="W922" s="74" t="str">
        <f>IF(AND(A922="",E922=""),"",IF(V922="Oui",0,MAX(0,ROUND(N(H922)-N(T922),6))))</f>
        <v/>
      </c>
      <c r="X922" s="67" t="str">
        <f>IF(AND(A922="",E922=""),"",IF(V922="Oui","Annulé",IF(AND(N(H922)&gt;0,N(T922)&gt;=N(H922)),"Reçu",IF(N(S922)=0,"Brouillon",IF(AND(ISNUMBER(R922),R922&lt;p_today),"En retard",IF(N(T922)&gt;0,"Partiel","Envoyé"))))))</f>
        <v/>
      </c>
      <c r="Y922" s="75" t="str">
        <f>IF(X922="En retard",p_today-R922,IF(AND(X922="Reçu",ISNUMBER(R922)),MAX(0,N(U922)-R922),""))</f>
        <v/>
      </c>
      <c r="Z922" s="67" t="str">
        <f>IF(AND(A922="",E922=""),"",IF(A922="","N° de bon manquant",IF(N(B922)=0,"Date de commande manquante",IF(C922="","Fournisseur manquant",IF(ISNA(MATCH($C922,sup_code,0)),"Fournisseur inconnu",IF(E922="","Article manquant",IF(ISNA(MATCH($E922,art_ref,0)),"Article inconnu",IF(N(H922)&lt;=0,"Quantité invalide",IF(J922="","Prix manquant",IF(OR(N(K922)&lt;0,N(K922)&gt;=1),"Remise invalide",IF(M922="","TVA manquante",IF(ISNA(MATCH(M922,p_tva,0)),"Taux de TVA inconnu",IF(COUNTIFS(po_num,A922,po_sup,"&lt;&gt;"&amp;C922)&gt;0,"Fournisseur différent sur ce bon",IF(COUNTIFS(po_num,A922,po_date,"&lt;&gt;"&amp;B922)&gt;0,"Date différente sur ce bon",IF(COUNTIF(po_num,A922)&gt;25,"Plus de 25 lignes sur ce bon",IF(R922="","Date de livraison manquante",IF(R922&lt;B922,"Livraison avant la commande",IF(AND(N(T922)&gt;0,N(S922)=0),"Date d'envoi manquante",IF(N(T922)&gt;N(H922),"Reçu plus que commandé",IF(AND(N(T922)&gt;0,N(U922)=0),"Date de réception manquante",IF(AND(N(U922)&gt;0,U922&lt;B922),"Réception avant la commande","OK")))))))))))))))))))))</f>
        <v/>
      </c>
      <c r="AA922" s="66" t="str">
        <f>IF(AND(X922="Reçu",ISNUMBER(R922)),IF(N(U922)&lt;=R922,1,0),"")</f>
        <v/>
      </c>
      <c r="AB922" s="76" t="str">
        <f>IF(OR(X922="Envoyé",X922="Partiel",X922="En retard"),IF(ISNUMBER(R922),R922,100000)+ROW()/100000,"")</f>
        <v/>
      </c>
      <c r="AC922" s="66" t="str">
        <f>IF(A922="","",IF(COUNTIF($A$6:A922,A922)=1,1,""))</f>
        <v/>
      </c>
      <c r="AD922" s="66" t="str">
        <f>IF(AC922=1,COUNT($AC$6:AC922),"")</f>
        <v/>
      </c>
      <c r="AE922" s="66" t="str">
        <f>IFERROR(INDEX(po_num,MATCH(917,po_seq,0))&amp;"","")</f>
        <v/>
      </c>
      <c r="AF922" s="66" t="str">
        <f>IF(OR(A922="",p_po=""),"",IF(A922&amp;""=p_po,COUNTIF($A$6:A922,A922),""))</f>
        <v/>
      </c>
      <c r="AG922" s="66" t="str">
        <f>IF(OR(AB922="",A922=""),"",IF(COUNTIFS($A$6:A922,A922,$AB$6:AB922,"&gt;0")=1,1,""))</f>
        <v/>
      </c>
      <c r="AH922" s="70" t="str">
        <f>IF(AB922="","",ROUND(N(W922)*N(J922)*(1-N(K922)),2))</f>
        <v/>
      </c>
      <c r="AI922" s="70" t="str">
        <f>IF(OR(J922="",N(T922)&lt;=0,V922="Oui"),"",ROUND(N(T922)*J922*(1-N(K922)),2))</f>
        <v/>
      </c>
    </row>
    <row r="923">
      <c r="A923" s="63" t="n"/>
      <c r="B923" s="64" t="n"/>
      <c r="C923" s="65" t="n"/>
      <c r="D923" s="66" t="str">
        <f>IF(C923="","",IFERROR(INDEX(sup_name,MATCH($C923,sup_code,0))&amp;"","Fournisseur inconnu"))</f>
        <v/>
      </c>
      <c r="E923" s="63" t="n"/>
      <c r="F923" s="66" t="str">
        <f>IF(E923="","",IFERROR(INDEX(art_des,MATCH($E923,art_ref,0))&amp;"","Article inconnu"))</f>
        <v/>
      </c>
      <c r="G923" s="67" t="str">
        <f>IF(E923="","",IFERROR(INDEX(art_unit,MATCH($E923,art_ref,0))&amp;"",""))</f>
        <v/>
      </c>
      <c r="H923" s="68" t="n"/>
      <c r="I923" s="69" t="n"/>
      <c r="J923" s="70" t="str">
        <f>IF(E923="","",IF(ISNUMBER(I923),I923,IFERROR(IF(ISNUMBER(INDEX(art_price,MATCH($E923,art_ref,0))),INDEX(art_price,MATCH($E923,art_ref,0)),""),"")))</f>
        <v/>
      </c>
      <c r="K923" s="71" t="n"/>
      <c r="L923" s="72" t="n"/>
      <c r="M923" s="72" t="str">
        <f>IF(E923="","",IF(L923&lt;&gt;"",L923,IFERROR(IF(ISNUMBER(INDEX(art_tva,MATCH($E923,art_ref,0))),INDEX(art_tva,MATCH($E923,art_ref,0)),""),"")))</f>
        <v/>
      </c>
      <c r="N923" s="70" t="str">
        <f>IF(OR(E923="",J923=""),"",ROUND(N(H923)*J923*(1-N(K923)),2))</f>
        <v/>
      </c>
      <c r="O923" s="70" t="str">
        <f>IF(OR(N923="",NOT(ISNUMBER(M923))),"",ROUND(N923*M923,2))</f>
        <v/>
      </c>
      <c r="P923" s="70" t="str">
        <f>IF(N923="","",N923+N(O923))</f>
        <v/>
      </c>
      <c r="Q923" s="64" t="n"/>
      <c r="R923" s="73" t="str">
        <f>IF(N(Q923)&gt;0,Q923,IF(OR(N(B923)=0,ISNA(MATCH($C923,sup_code,0))),"",IF(ISNUMBER(INDEX(sup_delay,MATCH($C923,sup_code,0))),B923+INDEX(sup_delay,MATCH($C923,sup_code,0)),"")))</f>
        <v/>
      </c>
      <c r="S923" s="64" t="n"/>
      <c r="T923" s="68" t="n"/>
      <c r="U923" s="64" t="n"/>
      <c r="V923" s="65" t="n"/>
      <c r="W923" s="74" t="str">
        <f>IF(AND(A923="",E923=""),"",IF(V923="Oui",0,MAX(0,ROUND(N(H923)-N(T923),6))))</f>
        <v/>
      </c>
      <c r="X923" s="67" t="str">
        <f>IF(AND(A923="",E923=""),"",IF(V923="Oui","Annulé",IF(AND(N(H923)&gt;0,N(T923)&gt;=N(H923)),"Reçu",IF(N(S923)=0,"Brouillon",IF(AND(ISNUMBER(R923),R923&lt;p_today),"En retard",IF(N(T923)&gt;0,"Partiel","Envoyé"))))))</f>
        <v/>
      </c>
      <c r="Y923" s="75" t="str">
        <f>IF(X923="En retard",p_today-R923,IF(AND(X923="Reçu",ISNUMBER(R923)),MAX(0,N(U923)-R923),""))</f>
        <v/>
      </c>
      <c r="Z923" s="67" t="str">
        <f>IF(AND(A923="",E923=""),"",IF(A923="","N° de bon manquant",IF(N(B923)=0,"Date de commande manquante",IF(C923="","Fournisseur manquant",IF(ISNA(MATCH($C923,sup_code,0)),"Fournisseur inconnu",IF(E923="","Article manquant",IF(ISNA(MATCH($E923,art_ref,0)),"Article inconnu",IF(N(H923)&lt;=0,"Quantité invalide",IF(J923="","Prix manquant",IF(OR(N(K923)&lt;0,N(K923)&gt;=1),"Remise invalide",IF(M923="","TVA manquante",IF(ISNA(MATCH(M923,p_tva,0)),"Taux de TVA inconnu",IF(COUNTIFS(po_num,A923,po_sup,"&lt;&gt;"&amp;C923)&gt;0,"Fournisseur différent sur ce bon",IF(COUNTIFS(po_num,A923,po_date,"&lt;&gt;"&amp;B923)&gt;0,"Date différente sur ce bon",IF(COUNTIF(po_num,A923)&gt;25,"Plus de 25 lignes sur ce bon",IF(R923="","Date de livraison manquante",IF(R923&lt;B923,"Livraison avant la commande",IF(AND(N(T923)&gt;0,N(S923)=0),"Date d'envoi manquante",IF(N(T923)&gt;N(H923),"Reçu plus que commandé",IF(AND(N(T923)&gt;0,N(U923)=0),"Date de réception manquante",IF(AND(N(U923)&gt;0,U923&lt;B923),"Réception avant la commande","OK")))))))))))))))))))))</f>
        <v/>
      </c>
      <c r="AA923" s="66" t="str">
        <f>IF(AND(X923="Reçu",ISNUMBER(R923)),IF(N(U923)&lt;=R923,1,0),"")</f>
        <v/>
      </c>
      <c r="AB923" s="76" t="str">
        <f>IF(OR(X923="Envoyé",X923="Partiel",X923="En retard"),IF(ISNUMBER(R923),R923,100000)+ROW()/100000,"")</f>
        <v/>
      </c>
      <c r="AC923" s="66" t="str">
        <f>IF(A923="","",IF(COUNTIF($A$6:A923,A923)=1,1,""))</f>
        <v/>
      </c>
      <c r="AD923" s="66" t="str">
        <f>IF(AC923=1,COUNT($AC$6:AC923),"")</f>
        <v/>
      </c>
      <c r="AE923" s="66" t="str">
        <f>IFERROR(INDEX(po_num,MATCH(918,po_seq,0))&amp;"","")</f>
        <v/>
      </c>
      <c r="AF923" s="66" t="str">
        <f>IF(OR(A923="",p_po=""),"",IF(A923&amp;""=p_po,COUNTIF($A$6:A923,A923),""))</f>
        <v/>
      </c>
      <c r="AG923" s="66" t="str">
        <f>IF(OR(AB923="",A923=""),"",IF(COUNTIFS($A$6:A923,A923,$AB$6:AB923,"&gt;0")=1,1,""))</f>
        <v/>
      </c>
      <c r="AH923" s="70" t="str">
        <f>IF(AB923="","",ROUND(N(W923)*N(J923)*(1-N(K923)),2))</f>
        <v/>
      </c>
      <c r="AI923" s="70" t="str">
        <f>IF(OR(J923="",N(T923)&lt;=0,V923="Oui"),"",ROUND(N(T923)*J923*(1-N(K923)),2))</f>
        <v/>
      </c>
    </row>
    <row r="924">
      <c r="A924" s="63" t="n"/>
      <c r="B924" s="64" t="n"/>
      <c r="C924" s="65" t="n"/>
      <c r="D924" s="66" t="str">
        <f>IF(C924="","",IFERROR(INDEX(sup_name,MATCH($C924,sup_code,0))&amp;"","Fournisseur inconnu"))</f>
        <v/>
      </c>
      <c r="E924" s="63" t="n"/>
      <c r="F924" s="66" t="str">
        <f>IF(E924="","",IFERROR(INDEX(art_des,MATCH($E924,art_ref,0))&amp;"","Article inconnu"))</f>
        <v/>
      </c>
      <c r="G924" s="67" t="str">
        <f>IF(E924="","",IFERROR(INDEX(art_unit,MATCH($E924,art_ref,0))&amp;"",""))</f>
        <v/>
      </c>
      <c r="H924" s="68" t="n"/>
      <c r="I924" s="69" t="n"/>
      <c r="J924" s="70" t="str">
        <f>IF(E924="","",IF(ISNUMBER(I924),I924,IFERROR(IF(ISNUMBER(INDEX(art_price,MATCH($E924,art_ref,0))),INDEX(art_price,MATCH($E924,art_ref,0)),""),"")))</f>
        <v/>
      </c>
      <c r="K924" s="71" t="n"/>
      <c r="L924" s="72" t="n"/>
      <c r="M924" s="72" t="str">
        <f>IF(E924="","",IF(L924&lt;&gt;"",L924,IFERROR(IF(ISNUMBER(INDEX(art_tva,MATCH($E924,art_ref,0))),INDEX(art_tva,MATCH($E924,art_ref,0)),""),"")))</f>
        <v/>
      </c>
      <c r="N924" s="70" t="str">
        <f>IF(OR(E924="",J924=""),"",ROUND(N(H924)*J924*(1-N(K924)),2))</f>
        <v/>
      </c>
      <c r="O924" s="70" t="str">
        <f>IF(OR(N924="",NOT(ISNUMBER(M924))),"",ROUND(N924*M924,2))</f>
        <v/>
      </c>
      <c r="P924" s="70" t="str">
        <f>IF(N924="","",N924+N(O924))</f>
        <v/>
      </c>
      <c r="Q924" s="64" t="n"/>
      <c r="R924" s="73" t="str">
        <f>IF(N(Q924)&gt;0,Q924,IF(OR(N(B924)=0,ISNA(MATCH($C924,sup_code,0))),"",IF(ISNUMBER(INDEX(sup_delay,MATCH($C924,sup_code,0))),B924+INDEX(sup_delay,MATCH($C924,sup_code,0)),"")))</f>
        <v/>
      </c>
      <c r="S924" s="64" t="n"/>
      <c r="T924" s="68" t="n"/>
      <c r="U924" s="64" t="n"/>
      <c r="V924" s="65" t="n"/>
      <c r="W924" s="74" t="str">
        <f>IF(AND(A924="",E924=""),"",IF(V924="Oui",0,MAX(0,ROUND(N(H924)-N(T924),6))))</f>
        <v/>
      </c>
      <c r="X924" s="67" t="str">
        <f>IF(AND(A924="",E924=""),"",IF(V924="Oui","Annulé",IF(AND(N(H924)&gt;0,N(T924)&gt;=N(H924)),"Reçu",IF(N(S924)=0,"Brouillon",IF(AND(ISNUMBER(R924),R924&lt;p_today),"En retard",IF(N(T924)&gt;0,"Partiel","Envoyé"))))))</f>
        <v/>
      </c>
      <c r="Y924" s="75" t="str">
        <f>IF(X924="En retard",p_today-R924,IF(AND(X924="Reçu",ISNUMBER(R924)),MAX(0,N(U924)-R924),""))</f>
        <v/>
      </c>
      <c r="Z924" s="67" t="str">
        <f>IF(AND(A924="",E924=""),"",IF(A924="","N° de bon manquant",IF(N(B924)=0,"Date de commande manquante",IF(C924="","Fournisseur manquant",IF(ISNA(MATCH($C924,sup_code,0)),"Fournisseur inconnu",IF(E924="","Article manquant",IF(ISNA(MATCH($E924,art_ref,0)),"Article inconnu",IF(N(H924)&lt;=0,"Quantité invalide",IF(J924="","Prix manquant",IF(OR(N(K924)&lt;0,N(K924)&gt;=1),"Remise invalide",IF(M924="","TVA manquante",IF(ISNA(MATCH(M924,p_tva,0)),"Taux de TVA inconnu",IF(COUNTIFS(po_num,A924,po_sup,"&lt;&gt;"&amp;C924)&gt;0,"Fournisseur différent sur ce bon",IF(COUNTIFS(po_num,A924,po_date,"&lt;&gt;"&amp;B924)&gt;0,"Date différente sur ce bon",IF(COUNTIF(po_num,A924)&gt;25,"Plus de 25 lignes sur ce bon",IF(R924="","Date de livraison manquante",IF(R924&lt;B924,"Livraison avant la commande",IF(AND(N(T924)&gt;0,N(S924)=0),"Date d'envoi manquante",IF(N(T924)&gt;N(H924),"Reçu plus que commandé",IF(AND(N(T924)&gt;0,N(U924)=0),"Date de réception manquante",IF(AND(N(U924)&gt;0,U924&lt;B924),"Réception avant la commande","OK")))))))))))))))))))))</f>
        <v/>
      </c>
      <c r="AA924" s="66" t="str">
        <f>IF(AND(X924="Reçu",ISNUMBER(R924)),IF(N(U924)&lt;=R924,1,0),"")</f>
        <v/>
      </c>
      <c r="AB924" s="76" t="str">
        <f>IF(OR(X924="Envoyé",X924="Partiel",X924="En retard"),IF(ISNUMBER(R924),R924,100000)+ROW()/100000,"")</f>
        <v/>
      </c>
      <c r="AC924" s="66" t="str">
        <f>IF(A924="","",IF(COUNTIF($A$6:A924,A924)=1,1,""))</f>
        <v/>
      </c>
      <c r="AD924" s="66" t="str">
        <f>IF(AC924=1,COUNT($AC$6:AC924),"")</f>
        <v/>
      </c>
      <c r="AE924" s="66" t="str">
        <f>IFERROR(INDEX(po_num,MATCH(919,po_seq,0))&amp;"","")</f>
        <v/>
      </c>
      <c r="AF924" s="66" t="str">
        <f>IF(OR(A924="",p_po=""),"",IF(A924&amp;""=p_po,COUNTIF($A$6:A924,A924),""))</f>
        <v/>
      </c>
      <c r="AG924" s="66" t="str">
        <f>IF(OR(AB924="",A924=""),"",IF(COUNTIFS($A$6:A924,A924,$AB$6:AB924,"&gt;0")=1,1,""))</f>
        <v/>
      </c>
      <c r="AH924" s="70" t="str">
        <f>IF(AB924="","",ROUND(N(W924)*N(J924)*(1-N(K924)),2))</f>
        <v/>
      </c>
      <c r="AI924" s="70" t="str">
        <f>IF(OR(J924="",N(T924)&lt;=0,V924="Oui"),"",ROUND(N(T924)*J924*(1-N(K924)),2))</f>
        <v/>
      </c>
    </row>
    <row r="925">
      <c r="A925" s="63" t="n"/>
      <c r="B925" s="64" t="n"/>
      <c r="C925" s="65" t="n"/>
      <c r="D925" s="66" t="str">
        <f>IF(C925="","",IFERROR(INDEX(sup_name,MATCH($C925,sup_code,0))&amp;"","Fournisseur inconnu"))</f>
        <v/>
      </c>
      <c r="E925" s="63" t="n"/>
      <c r="F925" s="66" t="str">
        <f>IF(E925="","",IFERROR(INDEX(art_des,MATCH($E925,art_ref,0))&amp;"","Article inconnu"))</f>
        <v/>
      </c>
      <c r="G925" s="67" t="str">
        <f>IF(E925="","",IFERROR(INDEX(art_unit,MATCH($E925,art_ref,0))&amp;"",""))</f>
        <v/>
      </c>
      <c r="H925" s="68" t="n"/>
      <c r="I925" s="69" t="n"/>
      <c r="J925" s="70" t="str">
        <f>IF(E925="","",IF(ISNUMBER(I925),I925,IFERROR(IF(ISNUMBER(INDEX(art_price,MATCH($E925,art_ref,0))),INDEX(art_price,MATCH($E925,art_ref,0)),""),"")))</f>
        <v/>
      </c>
      <c r="K925" s="71" t="n"/>
      <c r="L925" s="72" t="n"/>
      <c r="M925" s="72" t="str">
        <f>IF(E925="","",IF(L925&lt;&gt;"",L925,IFERROR(IF(ISNUMBER(INDEX(art_tva,MATCH($E925,art_ref,0))),INDEX(art_tva,MATCH($E925,art_ref,0)),""),"")))</f>
        <v/>
      </c>
      <c r="N925" s="70" t="str">
        <f>IF(OR(E925="",J925=""),"",ROUND(N(H925)*J925*(1-N(K925)),2))</f>
        <v/>
      </c>
      <c r="O925" s="70" t="str">
        <f>IF(OR(N925="",NOT(ISNUMBER(M925))),"",ROUND(N925*M925,2))</f>
        <v/>
      </c>
      <c r="P925" s="70" t="str">
        <f>IF(N925="","",N925+N(O925))</f>
        <v/>
      </c>
      <c r="Q925" s="64" t="n"/>
      <c r="R925" s="73" t="str">
        <f>IF(N(Q925)&gt;0,Q925,IF(OR(N(B925)=0,ISNA(MATCH($C925,sup_code,0))),"",IF(ISNUMBER(INDEX(sup_delay,MATCH($C925,sup_code,0))),B925+INDEX(sup_delay,MATCH($C925,sup_code,0)),"")))</f>
        <v/>
      </c>
      <c r="S925" s="64" t="n"/>
      <c r="T925" s="68" t="n"/>
      <c r="U925" s="64" t="n"/>
      <c r="V925" s="65" t="n"/>
      <c r="W925" s="74" t="str">
        <f>IF(AND(A925="",E925=""),"",IF(V925="Oui",0,MAX(0,ROUND(N(H925)-N(T925),6))))</f>
        <v/>
      </c>
      <c r="X925" s="67" t="str">
        <f>IF(AND(A925="",E925=""),"",IF(V925="Oui","Annulé",IF(AND(N(H925)&gt;0,N(T925)&gt;=N(H925)),"Reçu",IF(N(S925)=0,"Brouillon",IF(AND(ISNUMBER(R925),R925&lt;p_today),"En retard",IF(N(T925)&gt;0,"Partiel","Envoyé"))))))</f>
        <v/>
      </c>
      <c r="Y925" s="75" t="str">
        <f>IF(X925="En retard",p_today-R925,IF(AND(X925="Reçu",ISNUMBER(R925)),MAX(0,N(U925)-R925),""))</f>
        <v/>
      </c>
      <c r="Z925" s="67" t="str">
        <f>IF(AND(A925="",E925=""),"",IF(A925="","N° de bon manquant",IF(N(B925)=0,"Date de commande manquante",IF(C925="","Fournisseur manquant",IF(ISNA(MATCH($C925,sup_code,0)),"Fournisseur inconnu",IF(E925="","Article manquant",IF(ISNA(MATCH($E925,art_ref,0)),"Article inconnu",IF(N(H925)&lt;=0,"Quantité invalide",IF(J925="","Prix manquant",IF(OR(N(K925)&lt;0,N(K925)&gt;=1),"Remise invalide",IF(M925="","TVA manquante",IF(ISNA(MATCH(M925,p_tva,0)),"Taux de TVA inconnu",IF(COUNTIFS(po_num,A925,po_sup,"&lt;&gt;"&amp;C925)&gt;0,"Fournisseur différent sur ce bon",IF(COUNTIFS(po_num,A925,po_date,"&lt;&gt;"&amp;B925)&gt;0,"Date différente sur ce bon",IF(COUNTIF(po_num,A925)&gt;25,"Plus de 25 lignes sur ce bon",IF(R925="","Date de livraison manquante",IF(R925&lt;B925,"Livraison avant la commande",IF(AND(N(T925)&gt;0,N(S925)=0),"Date d'envoi manquante",IF(N(T925)&gt;N(H925),"Reçu plus que commandé",IF(AND(N(T925)&gt;0,N(U925)=0),"Date de réception manquante",IF(AND(N(U925)&gt;0,U925&lt;B925),"Réception avant la commande","OK")))))))))))))))))))))</f>
        <v/>
      </c>
      <c r="AA925" s="66" t="str">
        <f>IF(AND(X925="Reçu",ISNUMBER(R925)),IF(N(U925)&lt;=R925,1,0),"")</f>
        <v/>
      </c>
      <c r="AB925" s="76" t="str">
        <f>IF(OR(X925="Envoyé",X925="Partiel",X925="En retard"),IF(ISNUMBER(R925),R925,100000)+ROW()/100000,"")</f>
        <v/>
      </c>
      <c r="AC925" s="66" t="str">
        <f>IF(A925="","",IF(COUNTIF($A$6:A925,A925)=1,1,""))</f>
        <v/>
      </c>
      <c r="AD925" s="66" t="str">
        <f>IF(AC925=1,COUNT($AC$6:AC925),"")</f>
        <v/>
      </c>
      <c r="AE925" s="66" t="str">
        <f>IFERROR(INDEX(po_num,MATCH(920,po_seq,0))&amp;"","")</f>
        <v/>
      </c>
      <c r="AF925" s="66" t="str">
        <f>IF(OR(A925="",p_po=""),"",IF(A925&amp;""=p_po,COUNTIF($A$6:A925,A925),""))</f>
        <v/>
      </c>
      <c r="AG925" s="66" t="str">
        <f>IF(OR(AB925="",A925=""),"",IF(COUNTIFS($A$6:A925,A925,$AB$6:AB925,"&gt;0")=1,1,""))</f>
        <v/>
      </c>
      <c r="AH925" s="70" t="str">
        <f>IF(AB925="","",ROUND(N(W925)*N(J925)*(1-N(K925)),2))</f>
        <v/>
      </c>
      <c r="AI925" s="70" t="str">
        <f>IF(OR(J925="",N(T925)&lt;=0,V925="Oui"),"",ROUND(N(T925)*J925*(1-N(K925)),2))</f>
        <v/>
      </c>
    </row>
    <row r="926">
      <c r="A926" s="63" t="n"/>
      <c r="B926" s="64" t="n"/>
      <c r="C926" s="65" t="n"/>
      <c r="D926" s="66" t="str">
        <f>IF(C926="","",IFERROR(INDEX(sup_name,MATCH($C926,sup_code,0))&amp;"","Fournisseur inconnu"))</f>
        <v/>
      </c>
      <c r="E926" s="63" t="n"/>
      <c r="F926" s="66" t="str">
        <f>IF(E926="","",IFERROR(INDEX(art_des,MATCH($E926,art_ref,0))&amp;"","Article inconnu"))</f>
        <v/>
      </c>
      <c r="G926" s="67" t="str">
        <f>IF(E926="","",IFERROR(INDEX(art_unit,MATCH($E926,art_ref,0))&amp;"",""))</f>
        <v/>
      </c>
      <c r="H926" s="68" t="n"/>
      <c r="I926" s="69" t="n"/>
      <c r="J926" s="70" t="str">
        <f>IF(E926="","",IF(ISNUMBER(I926),I926,IFERROR(IF(ISNUMBER(INDEX(art_price,MATCH($E926,art_ref,0))),INDEX(art_price,MATCH($E926,art_ref,0)),""),"")))</f>
        <v/>
      </c>
      <c r="K926" s="71" t="n"/>
      <c r="L926" s="72" t="n"/>
      <c r="M926" s="72" t="str">
        <f>IF(E926="","",IF(L926&lt;&gt;"",L926,IFERROR(IF(ISNUMBER(INDEX(art_tva,MATCH($E926,art_ref,0))),INDEX(art_tva,MATCH($E926,art_ref,0)),""),"")))</f>
        <v/>
      </c>
      <c r="N926" s="70" t="str">
        <f>IF(OR(E926="",J926=""),"",ROUND(N(H926)*J926*(1-N(K926)),2))</f>
        <v/>
      </c>
      <c r="O926" s="70" t="str">
        <f>IF(OR(N926="",NOT(ISNUMBER(M926))),"",ROUND(N926*M926,2))</f>
        <v/>
      </c>
      <c r="P926" s="70" t="str">
        <f>IF(N926="","",N926+N(O926))</f>
        <v/>
      </c>
      <c r="Q926" s="64" t="n"/>
      <c r="R926" s="73" t="str">
        <f>IF(N(Q926)&gt;0,Q926,IF(OR(N(B926)=0,ISNA(MATCH($C926,sup_code,0))),"",IF(ISNUMBER(INDEX(sup_delay,MATCH($C926,sup_code,0))),B926+INDEX(sup_delay,MATCH($C926,sup_code,0)),"")))</f>
        <v/>
      </c>
      <c r="S926" s="64" t="n"/>
      <c r="T926" s="68" t="n"/>
      <c r="U926" s="64" t="n"/>
      <c r="V926" s="65" t="n"/>
      <c r="W926" s="74" t="str">
        <f>IF(AND(A926="",E926=""),"",IF(V926="Oui",0,MAX(0,ROUND(N(H926)-N(T926),6))))</f>
        <v/>
      </c>
      <c r="X926" s="67" t="str">
        <f>IF(AND(A926="",E926=""),"",IF(V926="Oui","Annulé",IF(AND(N(H926)&gt;0,N(T926)&gt;=N(H926)),"Reçu",IF(N(S926)=0,"Brouillon",IF(AND(ISNUMBER(R926),R926&lt;p_today),"En retard",IF(N(T926)&gt;0,"Partiel","Envoyé"))))))</f>
        <v/>
      </c>
      <c r="Y926" s="75" t="str">
        <f>IF(X926="En retard",p_today-R926,IF(AND(X926="Reçu",ISNUMBER(R926)),MAX(0,N(U926)-R926),""))</f>
        <v/>
      </c>
      <c r="Z926" s="67" t="str">
        <f>IF(AND(A926="",E926=""),"",IF(A926="","N° de bon manquant",IF(N(B926)=0,"Date de commande manquante",IF(C926="","Fournisseur manquant",IF(ISNA(MATCH($C926,sup_code,0)),"Fournisseur inconnu",IF(E926="","Article manquant",IF(ISNA(MATCH($E926,art_ref,0)),"Article inconnu",IF(N(H926)&lt;=0,"Quantité invalide",IF(J926="","Prix manquant",IF(OR(N(K926)&lt;0,N(K926)&gt;=1),"Remise invalide",IF(M926="","TVA manquante",IF(ISNA(MATCH(M926,p_tva,0)),"Taux de TVA inconnu",IF(COUNTIFS(po_num,A926,po_sup,"&lt;&gt;"&amp;C926)&gt;0,"Fournisseur différent sur ce bon",IF(COUNTIFS(po_num,A926,po_date,"&lt;&gt;"&amp;B926)&gt;0,"Date différente sur ce bon",IF(COUNTIF(po_num,A926)&gt;25,"Plus de 25 lignes sur ce bon",IF(R926="","Date de livraison manquante",IF(R926&lt;B926,"Livraison avant la commande",IF(AND(N(T926)&gt;0,N(S926)=0),"Date d'envoi manquante",IF(N(T926)&gt;N(H926),"Reçu plus que commandé",IF(AND(N(T926)&gt;0,N(U926)=0),"Date de réception manquante",IF(AND(N(U926)&gt;0,U926&lt;B926),"Réception avant la commande","OK")))))))))))))))))))))</f>
        <v/>
      </c>
      <c r="AA926" s="66" t="str">
        <f>IF(AND(X926="Reçu",ISNUMBER(R926)),IF(N(U926)&lt;=R926,1,0),"")</f>
        <v/>
      </c>
      <c r="AB926" s="76" t="str">
        <f>IF(OR(X926="Envoyé",X926="Partiel",X926="En retard"),IF(ISNUMBER(R926),R926,100000)+ROW()/100000,"")</f>
        <v/>
      </c>
      <c r="AC926" s="66" t="str">
        <f>IF(A926="","",IF(COUNTIF($A$6:A926,A926)=1,1,""))</f>
        <v/>
      </c>
      <c r="AD926" s="66" t="str">
        <f>IF(AC926=1,COUNT($AC$6:AC926),"")</f>
        <v/>
      </c>
      <c r="AE926" s="66" t="str">
        <f>IFERROR(INDEX(po_num,MATCH(921,po_seq,0))&amp;"","")</f>
        <v/>
      </c>
      <c r="AF926" s="66" t="str">
        <f>IF(OR(A926="",p_po=""),"",IF(A926&amp;""=p_po,COUNTIF($A$6:A926,A926),""))</f>
        <v/>
      </c>
      <c r="AG926" s="66" t="str">
        <f>IF(OR(AB926="",A926=""),"",IF(COUNTIFS($A$6:A926,A926,$AB$6:AB926,"&gt;0")=1,1,""))</f>
        <v/>
      </c>
      <c r="AH926" s="70" t="str">
        <f>IF(AB926="","",ROUND(N(W926)*N(J926)*(1-N(K926)),2))</f>
        <v/>
      </c>
      <c r="AI926" s="70" t="str">
        <f>IF(OR(J926="",N(T926)&lt;=0,V926="Oui"),"",ROUND(N(T926)*J926*(1-N(K926)),2))</f>
        <v/>
      </c>
    </row>
    <row r="927">
      <c r="A927" s="63" t="n"/>
      <c r="B927" s="64" t="n"/>
      <c r="C927" s="65" t="n"/>
      <c r="D927" s="66" t="str">
        <f>IF(C927="","",IFERROR(INDEX(sup_name,MATCH($C927,sup_code,0))&amp;"","Fournisseur inconnu"))</f>
        <v/>
      </c>
      <c r="E927" s="63" t="n"/>
      <c r="F927" s="66" t="str">
        <f>IF(E927="","",IFERROR(INDEX(art_des,MATCH($E927,art_ref,0))&amp;"","Article inconnu"))</f>
        <v/>
      </c>
      <c r="G927" s="67" t="str">
        <f>IF(E927="","",IFERROR(INDEX(art_unit,MATCH($E927,art_ref,0))&amp;"",""))</f>
        <v/>
      </c>
      <c r="H927" s="68" t="n"/>
      <c r="I927" s="69" t="n"/>
      <c r="J927" s="70" t="str">
        <f>IF(E927="","",IF(ISNUMBER(I927),I927,IFERROR(IF(ISNUMBER(INDEX(art_price,MATCH($E927,art_ref,0))),INDEX(art_price,MATCH($E927,art_ref,0)),""),"")))</f>
        <v/>
      </c>
      <c r="K927" s="71" t="n"/>
      <c r="L927" s="72" t="n"/>
      <c r="M927" s="72" t="str">
        <f>IF(E927="","",IF(L927&lt;&gt;"",L927,IFERROR(IF(ISNUMBER(INDEX(art_tva,MATCH($E927,art_ref,0))),INDEX(art_tva,MATCH($E927,art_ref,0)),""),"")))</f>
        <v/>
      </c>
      <c r="N927" s="70" t="str">
        <f>IF(OR(E927="",J927=""),"",ROUND(N(H927)*J927*(1-N(K927)),2))</f>
        <v/>
      </c>
      <c r="O927" s="70" t="str">
        <f>IF(OR(N927="",NOT(ISNUMBER(M927))),"",ROUND(N927*M927,2))</f>
        <v/>
      </c>
      <c r="P927" s="70" t="str">
        <f>IF(N927="","",N927+N(O927))</f>
        <v/>
      </c>
      <c r="Q927" s="64" t="n"/>
      <c r="R927" s="73" t="str">
        <f>IF(N(Q927)&gt;0,Q927,IF(OR(N(B927)=0,ISNA(MATCH($C927,sup_code,0))),"",IF(ISNUMBER(INDEX(sup_delay,MATCH($C927,sup_code,0))),B927+INDEX(sup_delay,MATCH($C927,sup_code,0)),"")))</f>
        <v/>
      </c>
      <c r="S927" s="64" t="n"/>
      <c r="T927" s="68" t="n"/>
      <c r="U927" s="64" t="n"/>
      <c r="V927" s="65" t="n"/>
      <c r="W927" s="74" t="str">
        <f>IF(AND(A927="",E927=""),"",IF(V927="Oui",0,MAX(0,ROUND(N(H927)-N(T927),6))))</f>
        <v/>
      </c>
      <c r="X927" s="67" t="str">
        <f>IF(AND(A927="",E927=""),"",IF(V927="Oui","Annulé",IF(AND(N(H927)&gt;0,N(T927)&gt;=N(H927)),"Reçu",IF(N(S927)=0,"Brouillon",IF(AND(ISNUMBER(R927),R927&lt;p_today),"En retard",IF(N(T927)&gt;0,"Partiel","Envoyé"))))))</f>
        <v/>
      </c>
      <c r="Y927" s="75" t="str">
        <f>IF(X927="En retard",p_today-R927,IF(AND(X927="Reçu",ISNUMBER(R927)),MAX(0,N(U927)-R927),""))</f>
        <v/>
      </c>
      <c r="Z927" s="67" t="str">
        <f>IF(AND(A927="",E927=""),"",IF(A927="","N° de bon manquant",IF(N(B927)=0,"Date de commande manquante",IF(C927="","Fournisseur manquant",IF(ISNA(MATCH($C927,sup_code,0)),"Fournisseur inconnu",IF(E927="","Article manquant",IF(ISNA(MATCH($E927,art_ref,0)),"Article inconnu",IF(N(H927)&lt;=0,"Quantité invalide",IF(J927="","Prix manquant",IF(OR(N(K927)&lt;0,N(K927)&gt;=1),"Remise invalide",IF(M927="","TVA manquante",IF(ISNA(MATCH(M927,p_tva,0)),"Taux de TVA inconnu",IF(COUNTIFS(po_num,A927,po_sup,"&lt;&gt;"&amp;C927)&gt;0,"Fournisseur différent sur ce bon",IF(COUNTIFS(po_num,A927,po_date,"&lt;&gt;"&amp;B927)&gt;0,"Date différente sur ce bon",IF(COUNTIF(po_num,A927)&gt;25,"Plus de 25 lignes sur ce bon",IF(R927="","Date de livraison manquante",IF(R927&lt;B927,"Livraison avant la commande",IF(AND(N(T927)&gt;0,N(S927)=0),"Date d'envoi manquante",IF(N(T927)&gt;N(H927),"Reçu plus que commandé",IF(AND(N(T927)&gt;0,N(U927)=0),"Date de réception manquante",IF(AND(N(U927)&gt;0,U927&lt;B927),"Réception avant la commande","OK")))))))))))))))))))))</f>
        <v/>
      </c>
      <c r="AA927" s="66" t="str">
        <f>IF(AND(X927="Reçu",ISNUMBER(R927)),IF(N(U927)&lt;=R927,1,0),"")</f>
        <v/>
      </c>
      <c r="AB927" s="76" t="str">
        <f>IF(OR(X927="Envoyé",X927="Partiel",X927="En retard"),IF(ISNUMBER(R927),R927,100000)+ROW()/100000,"")</f>
        <v/>
      </c>
      <c r="AC927" s="66" t="str">
        <f>IF(A927="","",IF(COUNTIF($A$6:A927,A927)=1,1,""))</f>
        <v/>
      </c>
      <c r="AD927" s="66" t="str">
        <f>IF(AC927=1,COUNT($AC$6:AC927),"")</f>
        <v/>
      </c>
      <c r="AE927" s="66" t="str">
        <f>IFERROR(INDEX(po_num,MATCH(922,po_seq,0))&amp;"","")</f>
        <v/>
      </c>
      <c r="AF927" s="66" t="str">
        <f>IF(OR(A927="",p_po=""),"",IF(A927&amp;""=p_po,COUNTIF($A$6:A927,A927),""))</f>
        <v/>
      </c>
      <c r="AG927" s="66" t="str">
        <f>IF(OR(AB927="",A927=""),"",IF(COUNTIFS($A$6:A927,A927,$AB$6:AB927,"&gt;0")=1,1,""))</f>
        <v/>
      </c>
      <c r="AH927" s="70" t="str">
        <f>IF(AB927="","",ROUND(N(W927)*N(J927)*(1-N(K927)),2))</f>
        <v/>
      </c>
      <c r="AI927" s="70" t="str">
        <f>IF(OR(J927="",N(T927)&lt;=0,V927="Oui"),"",ROUND(N(T927)*J927*(1-N(K927)),2))</f>
        <v/>
      </c>
    </row>
    <row r="928">
      <c r="A928" s="63" t="n"/>
      <c r="B928" s="64" t="n"/>
      <c r="C928" s="65" t="n"/>
      <c r="D928" s="66" t="str">
        <f>IF(C928="","",IFERROR(INDEX(sup_name,MATCH($C928,sup_code,0))&amp;"","Fournisseur inconnu"))</f>
        <v/>
      </c>
      <c r="E928" s="63" t="n"/>
      <c r="F928" s="66" t="str">
        <f>IF(E928="","",IFERROR(INDEX(art_des,MATCH($E928,art_ref,0))&amp;"","Article inconnu"))</f>
        <v/>
      </c>
      <c r="G928" s="67" t="str">
        <f>IF(E928="","",IFERROR(INDEX(art_unit,MATCH($E928,art_ref,0))&amp;"",""))</f>
        <v/>
      </c>
      <c r="H928" s="68" t="n"/>
      <c r="I928" s="69" t="n"/>
      <c r="J928" s="70" t="str">
        <f>IF(E928="","",IF(ISNUMBER(I928),I928,IFERROR(IF(ISNUMBER(INDEX(art_price,MATCH($E928,art_ref,0))),INDEX(art_price,MATCH($E928,art_ref,0)),""),"")))</f>
        <v/>
      </c>
      <c r="K928" s="71" t="n"/>
      <c r="L928" s="72" t="n"/>
      <c r="M928" s="72" t="str">
        <f>IF(E928="","",IF(L928&lt;&gt;"",L928,IFERROR(IF(ISNUMBER(INDEX(art_tva,MATCH($E928,art_ref,0))),INDEX(art_tva,MATCH($E928,art_ref,0)),""),"")))</f>
        <v/>
      </c>
      <c r="N928" s="70" t="str">
        <f>IF(OR(E928="",J928=""),"",ROUND(N(H928)*J928*(1-N(K928)),2))</f>
        <v/>
      </c>
      <c r="O928" s="70" t="str">
        <f>IF(OR(N928="",NOT(ISNUMBER(M928))),"",ROUND(N928*M928,2))</f>
        <v/>
      </c>
      <c r="P928" s="70" t="str">
        <f>IF(N928="","",N928+N(O928))</f>
        <v/>
      </c>
      <c r="Q928" s="64" t="n"/>
      <c r="R928" s="73" t="str">
        <f>IF(N(Q928)&gt;0,Q928,IF(OR(N(B928)=0,ISNA(MATCH($C928,sup_code,0))),"",IF(ISNUMBER(INDEX(sup_delay,MATCH($C928,sup_code,0))),B928+INDEX(sup_delay,MATCH($C928,sup_code,0)),"")))</f>
        <v/>
      </c>
      <c r="S928" s="64" t="n"/>
      <c r="T928" s="68" t="n"/>
      <c r="U928" s="64" t="n"/>
      <c r="V928" s="65" t="n"/>
      <c r="W928" s="74" t="str">
        <f>IF(AND(A928="",E928=""),"",IF(V928="Oui",0,MAX(0,ROUND(N(H928)-N(T928),6))))</f>
        <v/>
      </c>
      <c r="X928" s="67" t="str">
        <f>IF(AND(A928="",E928=""),"",IF(V928="Oui","Annulé",IF(AND(N(H928)&gt;0,N(T928)&gt;=N(H928)),"Reçu",IF(N(S928)=0,"Brouillon",IF(AND(ISNUMBER(R928),R928&lt;p_today),"En retard",IF(N(T928)&gt;0,"Partiel","Envoyé"))))))</f>
        <v/>
      </c>
      <c r="Y928" s="75" t="str">
        <f>IF(X928="En retard",p_today-R928,IF(AND(X928="Reçu",ISNUMBER(R928)),MAX(0,N(U928)-R928),""))</f>
        <v/>
      </c>
      <c r="Z928" s="67" t="str">
        <f>IF(AND(A928="",E928=""),"",IF(A928="","N° de bon manquant",IF(N(B928)=0,"Date de commande manquante",IF(C928="","Fournisseur manquant",IF(ISNA(MATCH($C928,sup_code,0)),"Fournisseur inconnu",IF(E928="","Article manquant",IF(ISNA(MATCH($E928,art_ref,0)),"Article inconnu",IF(N(H928)&lt;=0,"Quantité invalide",IF(J928="","Prix manquant",IF(OR(N(K928)&lt;0,N(K928)&gt;=1),"Remise invalide",IF(M928="","TVA manquante",IF(ISNA(MATCH(M928,p_tva,0)),"Taux de TVA inconnu",IF(COUNTIFS(po_num,A928,po_sup,"&lt;&gt;"&amp;C928)&gt;0,"Fournisseur différent sur ce bon",IF(COUNTIFS(po_num,A928,po_date,"&lt;&gt;"&amp;B928)&gt;0,"Date différente sur ce bon",IF(COUNTIF(po_num,A928)&gt;25,"Plus de 25 lignes sur ce bon",IF(R928="","Date de livraison manquante",IF(R928&lt;B928,"Livraison avant la commande",IF(AND(N(T928)&gt;0,N(S928)=0),"Date d'envoi manquante",IF(N(T928)&gt;N(H928),"Reçu plus que commandé",IF(AND(N(T928)&gt;0,N(U928)=0),"Date de réception manquante",IF(AND(N(U928)&gt;0,U928&lt;B928),"Réception avant la commande","OK")))))))))))))))))))))</f>
        <v/>
      </c>
      <c r="AA928" s="66" t="str">
        <f>IF(AND(X928="Reçu",ISNUMBER(R928)),IF(N(U928)&lt;=R928,1,0),"")</f>
        <v/>
      </c>
      <c r="AB928" s="76" t="str">
        <f>IF(OR(X928="Envoyé",X928="Partiel",X928="En retard"),IF(ISNUMBER(R928),R928,100000)+ROW()/100000,"")</f>
        <v/>
      </c>
      <c r="AC928" s="66" t="str">
        <f>IF(A928="","",IF(COUNTIF($A$6:A928,A928)=1,1,""))</f>
        <v/>
      </c>
      <c r="AD928" s="66" t="str">
        <f>IF(AC928=1,COUNT($AC$6:AC928),"")</f>
        <v/>
      </c>
      <c r="AE928" s="66" t="str">
        <f>IFERROR(INDEX(po_num,MATCH(923,po_seq,0))&amp;"","")</f>
        <v/>
      </c>
      <c r="AF928" s="66" t="str">
        <f>IF(OR(A928="",p_po=""),"",IF(A928&amp;""=p_po,COUNTIF($A$6:A928,A928),""))</f>
        <v/>
      </c>
      <c r="AG928" s="66" t="str">
        <f>IF(OR(AB928="",A928=""),"",IF(COUNTIFS($A$6:A928,A928,$AB$6:AB928,"&gt;0")=1,1,""))</f>
        <v/>
      </c>
      <c r="AH928" s="70" t="str">
        <f>IF(AB928="","",ROUND(N(W928)*N(J928)*(1-N(K928)),2))</f>
        <v/>
      </c>
      <c r="AI928" s="70" t="str">
        <f>IF(OR(J928="",N(T928)&lt;=0,V928="Oui"),"",ROUND(N(T928)*J928*(1-N(K928)),2))</f>
        <v/>
      </c>
    </row>
    <row r="929">
      <c r="A929" s="63" t="n"/>
      <c r="B929" s="64" t="n"/>
      <c r="C929" s="65" t="n"/>
      <c r="D929" s="66" t="str">
        <f>IF(C929="","",IFERROR(INDEX(sup_name,MATCH($C929,sup_code,0))&amp;"","Fournisseur inconnu"))</f>
        <v/>
      </c>
      <c r="E929" s="63" t="n"/>
      <c r="F929" s="66" t="str">
        <f>IF(E929="","",IFERROR(INDEX(art_des,MATCH($E929,art_ref,0))&amp;"","Article inconnu"))</f>
        <v/>
      </c>
      <c r="G929" s="67" t="str">
        <f>IF(E929="","",IFERROR(INDEX(art_unit,MATCH($E929,art_ref,0))&amp;"",""))</f>
        <v/>
      </c>
      <c r="H929" s="68" t="n"/>
      <c r="I929" s="69" t="n"/>
      <c r="J929" s="70" t="str">
        <f>IF(E929="","",IF(ISNUMBER(I929),I929,IFERROR(IF(ISNUMBER(INDEX(art_price,MATCH($E929,art_ref,0))),INDEX(art_price,MATCH($E929,art_ref,0)),""),"")))</f>
        <v/>
      </c>
      <c r="K929" s="71" t="n"/>
      <c r="L929" s="72" t="n"/>
      <c r="M929" s="72" t="str">
        <f>IF(E929="","",IF(L929&lt;&gt;"",L929,IFERROR(IF(ISNUMBER(INDEX(art_tva,MATCH($E929,art_ref,0))),INDEX(art_tva,MATCH($E929,art_ref,0)),""),"")))</f>
        <v/>
      </c>
      <c r="N929" s="70" t="str">
        <f>IF(OR(E929="",J929=""),"",ROUND(N(H929)*J929*(1-N(K929)),2))</f>
        <v/>
      </c>
      <c r="O929" s="70" t="str">
        <f>IF(OR(N929="",NOT(ISNUMBER(M929))),"",ROUND(N929*M929,2))</f>
        <v/>
      </c>
      <c r="P929" s="70" t="str">
        <f>IF(N929="","",N929+N(O929))</f>
        <v/>
      </c>
      <c r="Q929" s="64" t="n"/>
      <c r="R929" s="73" t="str">
        <f>IF(N(Q929)&gt;0,Q929,IF(OR(N(B929)=0,ISNA(MATCH($C929,sup_code,0))),"",IF(ISNUMBER(INDEX(sup_delay,MATCH($C929,sup_code,0))),B929+INDEX(sup_delay,MATCH($C929,sup_code,0)),"")))</f>
        <v/>
      </c>
      <c r="S929" s="64" t="n"/>
      <c r="T929" s="68" t="n"/>
      <c r="U929" s="64" t="n"/>
      <c r="V929" s="65" t="n"/>
      <c r="W929" s="74" t="str">
        <f>IF(AND(A929="",E929=""),"",IF(V929="Oui",0,MAX(0,ROUND(N(H929)-N(T929),6))))</f>
        <v/>
      </c>
      <c r="X929" s="67" t="str">
        <f>IF(AND(A929="",E929=""),"",IF(V929="Oui","Annulé",IF(AND(N(H929)&gt;0,N(T929)&gt;=N(H929)),"Reçu",IF(N(S929)=0,"Brouillon",IF(AND(ISNUMBER(R929),R929&lt;p_today),"En retard",IF(N(T929)&gt;0,"Partiel","Envoyé"))))))</f>
        <v/>
      </c>
      <c r="Y929" s="75" t="str">
        <f>IF(X929="En retard",p_today-R929,IF(AND(X929="Reçu",ISNUMBER(R929)),MAX(0,N(U929)-R929),""))</f>
        <v/>
      </c>
      <c r="Z929" s="67" t="str">
        <f>IF(AND(A929="",E929=""),"",IF(A929="","N° de bon manquant",IF(N(B929)=0,"Date de commande manquante",IF(C929="","Fournisseur manquant",IF(ISNA(MATCH($C929,sup_code,0)),"Fournisseur inconnu",IF(E929="","Article manquant",IF(ISNA(MATCH($E929,art_ref,0)),"Article inconnu",IF(N(H929)&lt;=0,"Quantité invalide",IF(J929="","Prix manquant",IF(OR(N(K929)&lt;0,N(K929)&gt;=1),"Remise invalide",IF(M929="","TVA manquante",IF(ISNA(MATCH(M929,p_tva,0)),"Taux de TVA inconnu",IF(COUNTIFS(po_num,A929,po_sup,"&lt;&gt;"&amp;C929)&gt;0,"Fournisseur différent sur ce bon",IF(COUNTIFS(po_num,A929,po_date,"&lt;&gt;"&amp;B929)&gt;0,"Date différente sur ce bon",IF(COUNTIF(po_num,A929)&gt;25,"Plus de 25 lignes sur ce bon",IF(R929="","Date de livraison manquante",IF(R929&lt;B929,"Livraison avant la commande",IF(AND(N(T929)&gt;0,N(S929)=0),"Date d'envoi manquante",IF(N(T929)&gt;N(H929),"Reçu plus que commandé",IF(AND(N(T929)&gt;0,N(U929)=0),"Date de réception manquante",IF(AND(N(U929)&gt;0,U929&lt;B929),"Réception avant la commande","OK")))))))))))))))))))))</f>
        <v/>
      </c>
      <c r="AA929" s="66" t="str">
        <f>IF(AND(X929="Reçu",ISNUMBER(R929)),IF(N(U929)&lt;=R929,1,0),"")</f>
        <v/>
      </c>
      <c r="AB929" s="76" t="str">
        <f>IF(OR(X929="Envoyé",X929="Partiel",X929="En retard"),IF(ISNUMBER(R929),R929,100000)+ROW()/100000,"")</f>
        <v/>
      </c>
      <c r="AC929" s="66" t="str">
        <f>IF(A929="","",IF(COUNTIF($A$6:A929,A929)=1,1,""))</f>
        <v/>
      </c>
      <c r="AD929" s="66" t="str">
        <f>IF(AC929=1,COUNT($AC$6:AC929),"")</f>
        <v/>
      </c>
      <c r="AE929" s="66" t="str">
        <f>IFERROR(INDEX(po_num,MATCH(924,po_seq,0))&amp;"","")</f>
        <v/>
      </c>
      <c r="AF929" s="66" t="str">
        <f>IF(OR(A929="",p_po=""),"",IF(A929&amp;""=p_po,COUNTIF($A$6:A929,A929),""))</f>
        <v/>
      </c>
      <c r="AG929" s="66" t="str">
        <f>IF(OR(AB929="",A929=""),"",IF(COUNTIFS($A$6:A929,A929,$AB$6:AB929,"&gt;0")=1,1,""))</f>
        <v/>
      </c>
      <c r="AH929" s="70" t="str">
        <f>IF(AB929="","",ROUND(N(W929)*N(J929)*(1-N(K929)),2))</f>
        <v/>
      </c>
      <c r="AI929" s="70" t="str">
        <f>IF(OR(J929="",N(T929)&lt;=0,V929="Oui"),"",ROUND(N(T929)*J929*(1-N(K929)),2))</f>
        <v/>
      </c>
    </row>
    <row r="930">
      <c r="A930" s="63" t="n"/>
      <c r="B930" s="64" t="n"/>
      <c r="C930" s="65" t="n"/>
      <c r="D930" s="66" t="str">
        <f>IF(C930="","",IFERROR(INDEX(sup_name,MATCH($C930,sup_code,0))&amp;"","Fournisseur inconnu"))</f>
        <v/>
      </c>
      <c r="E930" s="63" t="n"/>
      <c r="F930" s="66" t="str">
        <f>IF(E930="","",IFERROR(INDEX(art_des,MATCH($E930,art_ref,0))&amp;"","Article inconnu"))</f>
        <v/>
      </c>
      <c r="G930" s="67" t="str">
        <f>IF(E930="","",IFERROR(INDEX(art_unit,MATCH($E930,art_ref,0))&amp;"",""))</f>
        <v/>
      </c>
      <c r="H930" s="68" t="n"/>
      <c r="I930" s="69" t="n"/>
      <c r="J930" s="70" t="str">
        <f>IF(E930="","",IF(ISNUMBER(I930),I930,IFERROR(IF(ISNUMBER(INDEX(art_price,MATCH($E930,art_ref,0))),INDEX(art_price,MATCH($E930,art_ref,0)),""),"")))</f>
        <v/>
      </c>
      <c r="K930" s="71" t="n"/>
      <c r="L930" s="72" t="n"/>
      <c r="M930" s="72" t="str">
        <f>IF(E930="","",IF(L930&lt;&gt;"",L930,IFERROR(IF(ISNUMBER(INDEX(art_tva,MATCH($E930,art_ref,0))),INDEX(art_tva,MATCH($E930,art_ref,0)),""),"")))</f>
        <v/>
      </c>
      <c r="N930" s="70" t="str">
        <f>IF(OR(E930="",J930=""),"",ROUND(N(H930)*J930*(1-N(K930)),2))</f>
        <v/>
      </c>
      <c r="O930" s="70" t="str">
        <f>IF(OR(N930="",NOT(ISNUMBER(M930))),"",ROUND(N930*M930,2))</f>
        <v/>
      </c>
      <c r="P930" s="70" t="str">
        <f>IF(N930="","",N930+N(O930))</f>
        <v/>
      </c>
      <c r="Q930" s="64" t="n"/>
      <c r="R930" s="73" t="str">
        <f>IF(N(Q930)&gt;0,Q930,IF(OR(N(B930)=0,ISNA(MATCH($C930,sup_code,0))),"",IF(ISNUMBER(INDEX(sup_delay,MATCH($C930,sup_code,0))),B930+INDEX(sup_delay,MATCH($C930,sup_code,0)),"")))</f>
        <v/>
      </c>
      <c r="S930" s="64" t="n"/>
      <c r="T930" s="68" t="n"/>
      <c r="U930" s="64" t="n"/>
      <c r="V930" s="65" t="n"/>
      <c r="W930" s="74" t="str">
        <f>IF(AND(A930="",E930=""),"",IF(V930="Oui",0,MAX(0,ROUND(N(H930)-N(T930),6))))</f>
        <v/>
      </c>
      <c r="X930" s="67" t="str">
        <f>IF(AND(A930="",E930=""),"",IF(V930="Oui","Annulé",IF(AND(N(H930)&gt;0,N(T930)&gt;=N(H930)),"Reçu",IF(N(S930)=0,"Brouillon",IF(AND(ISNUMBER(R930),R930&lt;p_today),"En retard",IF(N(T930)&gt;0,"Partiel","Envoyé"))))))</f>
        <v/>
      </c>
      <c r="Y930" s="75" t="str">
        <f>IF(X930="En retard",p_today-R930,IF(AND(X930="Reçu",ISNUMBER(R930)),MAX(0,N(U930)-R930),""))</f>
        <v/>
      </c>
      <c r="Z930" s="67" t="str">
        <f>IF(AND(A930="",E930=""),"",IF(A930="","N° de bon manquant",IF(N(B930)=0,"Date de commande manquante",IF(C930="","Fournisseur manquant",IF(ISNA(MATCH($C930,sup_code,0)),"Fournisseur inconnu",IF(E930="","Article manquant",IF(ISNA(MATCH($E930,art_ref,0)),"Article inconnu",IF(N(H930)&lt;=0,"Quantité invalide",IF(J930="","Prix manquant",IF(OR(N(K930)&lt;0,N(K930)&gt;=1),"Remise invalide",IF(M930="","TVA manquante",IF(ISNA(MATCH(M930,p_tva,0)),"Taux de TVA inconnu",IF(COUNTIFS(po_num,A930,po_sup,"&lt;&gt;"&amp;C930)&gt;0,"Fournisseur différent sur ce bon",IF(COUNTIFS(po_num,A930,po_date,"&lt;&gt;"&amp;B930)&gt;0,"Date différente sur ce bon",IF(COUNTIF(po_num,A930)&gt;25,"Plus de 25 lignes sur ce bon",IF(R930="","Date de livraison manquante",IF(R930&lt;B930,"Livraison avant la commande",IF(AND(N(T930)&gt;0,N(S930)=0),"Date d'envoi manquante",IF(N(T930)&gt;N(H930),"Reçu plus que commandé",IF(AND(N(T930)&gt;0,N(U930)=0),"Date de réception manquante",IF(AND(N(U930)&gt;0,U930&lt;B930),"Réception avant la commande","OK")))))))))))))))))))))</f>
        <v/>
      </c>
      <c r="AA930" s="66" t="str">
        <f>IF(AND(X930="Reçu",ISNUMBER(R930)),IF(N(U930)&lt;=R930,1,0),"")</f>
        <v/>
      </c>
      <c r="AB930" s="76" t="str">
        <f>IF(OR(X930="Envoyé",X930="Partiel",X930="En retard"),IF(ISNUMBER(R930),R930,100000)+ROW()/100000,"")</f>
        <v/>
      </c>
      <c r="AC930" s="66" t="str">
        <f>IF(A930="","",IF(COUNTIF($A$6:A930,A930)=1,1,""))</f>
        <v/>
      </c>
      <c r="AD930" s="66" t="str">
        <f>IF(AC930=1,COUNT($AC$6:AC930),"")</f>
        <v/>
      </c>
      <c r="AE930" s="66" t="str">
        <f>IFERROR(INDEX(po_num,MATCH(925,po_seq,0))&amp;"","")</f>
        <v/>
      </c>
      <c r="AF930" s="66" t="str">
        <f>IF(OR(A930="",p_po=""),"",IF(A930&amp;""=p_po,COUNTIF($A$6:A930,A930),""))</f>
        <v/>
      </c>
      <c r="AG930" s="66" t="str">
        <f>IF(OR(AB930="",A930=""),"",IF(COUNTIFS($A$6:A930,A930,$AB$6:AB930,"&gt;0")=1,1,""))</f>
        <v/>
      </c>
      <c r="AH930" s="70" t="str">
        <f>IF(AB930="","",ROUND(N(W930)*N(J930)*(1-N(K930)),2))</f>
        <v/>
      </c>
      <c r="AI930" s="70" t="str">
        <f>IF(OR(J930="",N(T930)&lt;=0,V930="Oui"),"",ROUND(N(T930)*J930*(1-N(K930)),2))</f>
        <v/>
      </c>
    </row>
    <row r="931">
      <c r="A931" s="63" t="n"/>
      <c r="B931" s="64" t="n"/>
      <c r="C931" s="65" t="n"/>
      <c r="D931" s="66" t="str">
        <f>IF(C931="","",IFERROR(INDEX(sup_name,MATCH($C931,sup_code,0))&amp;"","Fournisseur inconnu"))</f>
        <v/>
      </c>
      <c r="E931" s="63" t="n"/>
      <c r="F931" s="66" t="str">
        <f>IF(E931="","",IFERROR(INDEX(art_des,MATCH($E931,art_ref,0))&amp;"","Article inconnu"))</f>
        <v/>
      </c>
      <c r="G931" s="67" t="str">
        <f>IF(E931="","",IFERROR(INDEX(art_unit,MATCH($E931,art_ref,0))&amp;"",""))</f>
        <v/>
      </c>
      <c r="H931" s="68" t="n"/>
      <c r="I931" s="69" t="n"/>
      <c r="J931" s="70" t="str">
        <f>IF(E931="","",IF(ISNUMBER(I931),I931,IFERROR(IF(ISNUMBER(INDEX(art_price,MATCH($E931,art_ref,0))),INDEX(art_price,MATCH($E931,art_ref,0)),""),"")))</f>
        <v/>
      </c>
      <c r="K931" s="71" t="n"/>
      <c r="L931" s="72" t="n"/>
      <c r="M931" s="72" t="str">
        <f>IF(E931="","",IF(L931&lt;&gt;"",L931,IFERROR(IF(ISNUMBER(INDEX(art_tva,MATCH($E931,art_ref,0))),INDEX(art_tva,MATCH($E931,art_ref,0)),""),"")))</f>
        <v/>
      </c>
      <c r="N931" s="70" t="str">
        <f>IF(OR(E931="",J931=""),"",ROUND(N(H931)*J931*(1-N(K931)),2))</f>
        <v/>
      </c>
      <c r="O931" s="70" t="str">
        <f>IF(OR(N931="",NOT(ISNUMBER(M931))),"",ROUND(N931*M931,2))</f>
        <v/>
      </c>
      <c r="P931" s="70" t="str">
        <f>IF(N931="","",N931+N(O931))</f>
        <v/>
      </c>
      <c r="Q931" s="64" t="n"/>
      <c r="R931" s="73" t="str">
        <f>IF(N(Q931)&gt;0,Q931,IF(OR(N(B931)=0,ISNA(MATCH($C931,sup_code,0))),"",IF(ISNUMBER(INDEX(sup_delay,MATCH($C931,sup_code,0))),B931+INDEX(sup_delay,MATCH($C931,sup_code,0)),"")))</f>
        <v/>
      </c>
      <c r="S931" s="64" t="n"/>
      <c r="T931" s="68" t="n"/>
      <c r="U931" s="64" t="n"/>
      <c r="V931" s="65" t="n"/>
      <c r="W931" s="74" t="str">
        <f>IF(AND(A931="",E931=""),"",IF(V931="Oui",0,MAX(0,ROUND(N(H931)-N(T931),6))))</f>
        <v/>
      </c>
      <c r="X931" s="67" t="str">
        <f>IF(AND(A931="",E931=""),"",IF(V931="Oui","Annulé",IF(AND(N(H931)&gt;0,N(T931)&gt;=N(H931)),"Reçu",IF(N(S931)=0,"Brouillon",IF(AND(ISNUMBER(R931),R931&lt;p_today),"En retard",IF(N(T931)&gt;0,"Partiel","Envoyé"))))))</f>
        <v/>
      </c>
      <c r="Y931" s="75" t="str">
        <f>IF(X931="En retard",p_today-R931,IF(AND(X931="Reçu",ISNUMBER(R931)),MAX(0,N(U931)-R931),""))</f>
        <v/>
      </c>
      <c r="Z931" s="67" t="str">
        <f>IF(AND(A931="",E931=""),"",IF(A931="","N° de bon manquant",IF(N(B931)=0,"Date de commande manquante",IF(C931="","Fournisseur manquant",IF(ISNA(MATCH($C931,sup_code,0)),"Fournisseur inconnu",IF(E931="","Article manquant",IF(ISNA(MATCH($E931,art_ref,0)),"Article inconnu",IF(N(H931)&lt;=0,"Quantité invalide",IF(J931="","Prix manquant",IF(OR(N(K931)&lt;0,N(K931)&gt;=1),"Remise invalide",IF(M931="","TVA manquante",IF(ISNA(MATCH(M931,p_tva,0)),"Taux de TVA inconnu",IF(COUNTIFS(po_num,A931,po_sup,"&lt;&gt;"&amp;C931)&gt;0,"Fournisseur différent sur ce bon",IF(COUNTIFS(po_num,A931,po_date,"&lt;&gt;"&amp;B931)&gt;0,"Date différente sur ce bon",IF(COUNTIF(po_num,A931)&gt;25,"Plus de 25 lignes sur ce bon",IF(R931="","Date de livraison manquante",IF(R931&lt;B931,"Livraison avant la commande",IF(AND(N(T931)&gt;0,N(S931)=0),"Date d'envoi manquante",IF(N(T931)&gt;N(H931),"Reçu plus que commandé",IF(AND(N(T931)&gt;0,N(U931)=0),"Date de réception manquante",IF(AND(N(U931)&gt;0,U931&lt;B931),"Réception avant la commande","OK")))))))))))))))))))))</f>
        <v/>
      </c>
      <c r="AA931" s="66" t="str">
        <f>IF(AND(X931="Reçu",ISNUMBER(R931)),IF(N(U931)&lt;=R931,1,0),"")</f>
        <v/>
      </c>
      <c r="AB931" s="76" t="str">
        <f>IF(OR(X931="Envoyé",X931="Partiel",X931="En retard"),IF(ISNUMBER(R931),R931,100000)+ROW()/100000,"")</f>
        <v/>
      </c>
      <c r="AC931" s="66" t="str">
        <f>IF(A931="","",IF(COUNTIF($A$6:A931,A931)=1,1,""))</f>
        <v/>
      </c>
      <c r="AD931" s="66" t="str">
        <f>IF(AC931=1,COUNT($AC$6:AC931),"")</f>
        <v/>
      </c>
      <c r="AE931" s="66" t="str">
        <f>IFERROR(INDEX(po_num,MATCH(926,po_seq,0))&amp;"","")</f>
        <v/>
      </c>
      <c r="AF931" s="66" t="str">
        <f>IF(OR(A931="",p_po=""),"",IF(A931&amp;""=p_po,COUNTIF($A$6:A931,A931),""))</f>
        <v/>
      </c>
      <c r="AG931" s="66" t="str">
        <f>IF(OR(AB931="",A931=""),"",IF(COUNTIFS($A$6:A931,A931,$AB$6:AB931,"&gt;0")=1,1,""))</f>
        <v/>
      </c>
      <c r="AH931" s="70" t="str">
        <f>IF(AB931="","",ROUND(N(W931)*N(J931)*(1-N(K931)),2))</f>
        <v/>
      </c>
      <c r="AI931" s="70" t="str">
        <f>IF(OR(J931="",N(T931)&lt;=0,V931="Oui"),"",ROUND(N(T931)*J931*(1-N(K931)),2))</f>
        <v/>
      </c>
    </row>
    <row r="932">
      <c r="A932" s="63" t="n"/>
      <c r="B932" s="64" t="n"/>
      <c r="C932" s="65" t="n"/>
      <c r="D932" s="66" t="str">
        <f>IF(C932="","",IFERROR(INDEX(sup_name,MATCH($C932,sup_code,0))&amp;"","Fournisseur inconnu"))</f>
        <v/>
      </c>
      <c r="E932" s="63" t="n"/>
      <c r="F932" s="66" t="str">
        <f>IF(E932="","",IFERROR(INDEX(art_des,MATCH($E932,art_ref,0))&amp;"","Article inconnu"))</f>
        <v/>
      </c>
      <c r="G932" s="67" t="str">
        <f>IF(E932="","",IFERROR(INDEX(art_unit,MATCH($E932,art_ref,0))&amp;"",""))</f>
        <v/>
      </c>
      <c r="H932" s="68" t="n"/>
      <c r="I932" s="69" t="n"/>
      <c r="J932" s="70" t="str">
        <f>IF(E932="","",IF(ISNUMBER(I932),I932,IFERROR(IF(ISNUMBER(INDEX(art_price,MATCH($E932,art_ref,0))),INDEX(art_price,MATCH($E932,art_ref,0)),""),"")))</f>
        <v/>
      </c>
      <c r="K932" s="71" t="n"/>
      <c r="L932" s="72" t="n"/>
      <c r="M932" s="72" t="str">
        <f>IF(E932="","",IF(L932&lt;&gt;"",L932,IFERROR(IF(ISNUMBER(INDEX(art_tva,MATCH($E932,art_ref,0))),INDEX(art_tva,MATCH($E932,art_ref,0)),""),"")))</f>
        <v/>
      </c>
      <c r="N932" s="70" t="str">
        <f>IF(OR(E932="",J932=""),"",ROUND(N(H932)*J932*(1-N(K932)),2))</f>
        <v/>
      </c>
      <c r="O932" s="70" t="str">
        <f>IF(OR(N932="",NOT(ISNUMBER(M932))),"",ROUND(N932*M932,2))</f>
        <v/>
      </c>
      <c r="P932" s="70" t="str">
        <f>IF(N932="","",N932+N(O932))</f>
        <v/>
      </c>
      <c r="Q932" s="64" t="n"/>
      <c r="R932" s="73" t="str">
        <f>IF(N(Q932)&gt;0,Q932,IF(OR(N(B932)=0,ISNA(MATCH($C932,sup_code,0))),"",IF(ISNUMBER(INDEX(sup_delay,MATCH($C932,sup_code,0))),B932+INDEX(sup_delay,MATCH($C932,sup_code,0)),"")))</f>
        <v/>
      </c>
      <c r="S932" s="64" t="n"/>
      <c r="T932" s="68" t="n"/>
      <c r="U932" s="64" t="n"/>
      <c r="V932" s="65" t="n"/>
      <c r="W932" s="74" t="str">
        <f>IF(AND(A932="",E932=""),"",IF(V932="Oui",0,MAX(0,ROUND(N(H932)-N(T932),6))))</f>
        <v/>
      </c>
      <c r="X932" s="67" t="str">
        <f>IF(AND(A932="",E932=""),"",IF(V932="Oui","Annulé",IF(AND(N(H932)&gt;0,N(T932)&gt;=N(H932)),"Reçu",IF(N(S932)=0,"Brouillon",IF(AND(ISNUMBER(R932),R932&lt;p_today),"En retard",IF(N(T932)&gt;0,"Partiel","Envoyé"))))))</f>
        <v/>
      </c>
      <c r="Y932" s="75" t="str">
        <f>IF(X932="En retard",p_today-R932,IF(AND(X932="Reçu",ISNUMBER(R932)),MAX(0,N(U932)-R932),""))</f>
        <v/>
      </c>
      <c r="Z932" s="67" t="str">
        <f>IF(AND(A932="",E932=""),"",IF(A932="","N° de bon manquant",IF(N(B932)=0,"Date de commande manquante",IF(C932="","Fournisseur manquant",IF(ISNA(MATCH($C932,sup_code,0)),"Fournisseur inconnu",IF(E932="","Article manquant",IF(ISNA(MATCH($E932,art_ref,0)),"Article inconnu",IF(N(H932)&lt;=0,"Quantité invalide",IF(J932="","Prix manquant",IF(OR(N(K932)&lt;0,N(K932)&gt;=1),"Remise invalide",IF(M932="","TVA manquante",IF(ISNA(MATCH(M932,p_tva,0)),"Taux de TVA inconnu",IF(COUNTIFS(po_num,A932,po_sup,"&lt;&gt;"&amp;C932)&gt;0,"Fournisseur différent sur ce bon",IF(COUNTIFS(po_num,A932,po_date,"&lt;&gt;"&amp;B932)&gt;0,"Date différente sur ce bon",IF(COUNTIF(po_num,A932)&gt;25,"Plus de 25 lignes sur ce bon",IF(R932="","Date de livraison manquante",IF(R932&lt;B932,"Livraison avant la commande",IF(AND(N(T932)&gt;0,N(S932)=0),"Date d'envoi manquante",IF(N(T932)&gt;N(H932),"Reçu plus que commandé",IF(AND(N(T932)&gt;0,N(U932)=0),"Date de réception manquante",IF(AND(N(U932)&gt;0,U932&lt;B932),"Réception avant la commande","OK")))))))))))))))))))))</f>
        <v/>
      </c>
      <c r="AA932" s="66" t="str">
        <f>IF(AND(X932="Reçu",ISNUMBER(R932)),IF(N(U932)&lt;=R932,1,0),"")</f>
        <v/>
      </c>
      <c r="AB932" s="76" t="str">
        <f>IF(OR(X932="Envoyé",X932="Partiel",X932="En retard"),IF(ISNUMBER(R932),R932,100000)+ROW()/100000,"")</f>
        <v/>
      </c>
      <c r="AC932" s="66" t="str">
        <f>IF(A932="","",IF(COUNTIF($A$6:A932,A932)=1,1,""))</f>
        <v/>
      </c>
      <c r="AD932" s="66" t="str">
        <f>IF(AC932=1,COUNT($AC$6:AC932),"")</f>
        <v/>
      </c>
      <c r="AE932" s="66" t="str">
        <f>IFERROR(INDEX(po_num,MATCH(927,po_seq,0))&amp;"","")</f>
        <v/>
      </c>
      <c r="AF932" s="66" t="str">
        <f>IF(OR(A932="",p_po=""),"",IF(A932&amp;""=p_po,COUNTIF($A$6:A932,A932),""))</f>
        <v/>
      </c>
      <c r="AG932" s="66" t="str">
        <f>IF(OR(AB932="",A932=""),"",IF(COUNTIFS($A$6:A932,A932,$AB$6:AB932,"&gt;0")=1,1,""))</f>
        <v/>
      </c>
      <c r="AH932" s="70" t="str">
        <f>IF(AB932="","",ROUND(N(W932)*N(J932)*(1-N(K932)),2))</f>
        <v/>
      </c>
      <c r="AI932" s="70" t="str">
        <f>IF(OR(J932="",N(T932)&lt;=0,V932="Oui"),"",ROUND(N(T932)*J932*(1-N(K932)),2))</f>
        <v/>
      </c>
    </row>
    <row r="933">
      <c r="A933" s="63" t="n"/>
      <c r="B933" s="64" t="n"/>
      <c r="C933" s="65" t="n"/>
      <c r="D933" s="66" t="str">
        <f>IF(C933="","",IFERROR(INDEX(sup_name,MATCH($C933,sup_code,0))&amp;"","Fournisseur inconnu"))</f>
        <v/>
      </c>
      <c r="E933" s="63" t="n"/>
      <c r="F933" s="66" t="str">
        <f>IF(E933="","",IFERROR(INDEX(art_des,MATCH($E933,art_ref,0))&amp;"","Article inconnu"))</f>
        <v/>
      </c>
      <c r="G933" s="67" t="str">
        <f>IF(E933="","",IFERROR(INDEX(art_unit,MATCH($E933,art_ref,0))&amp;"",""))</f>
        <v/>
      </c>
      <c r="H933" s="68" t="n"/>
      <c r="I933" s="69" t="n"/>
      <c r="J933" s="70" t="str">
        <f>IF(E933="","",IF(ISNUMBER(I933),I933,IFERROR(IF(ISNUMBER(INDEX(art_price,MATCH($E933,art_ref,0))),INDEX(art_price,MATCH($E933,art_ref,0)),""),"")))</f>
        <v/>
      </c>
      <c r="K933" s="71" t="n"/>
      <c r="L933" s="72" t="n"/>
      <c r="M933" s="72" t="str">
        <f>IF(E933="","",IF(L933&lt;&gt;"",L933,IFERROR(IF(ISNUMBER(INDEX(art_tva,MATCH($E933,art_ref,0))),INDEX(art_tva,MATCH($E933,art_ref,0)),""),"")))</f>
        <v/>
      </c>
      <c r="N933" s="70" t="str">
        <f>IF(OR(E933="",J933=""),"",ROUND(N(H933)*J933*(1-N(K933)),2))</f>
        <v/>
      </c>
      <c r="O933" s="70" t="str">
        <f>IF(OR(N933="",NOT(ISNUMBER(M933))),"",ROUND(N933*M933,2))</f>
        <v/>
      </c>
      <c r="P933" s="70" t="str">
        <f>IF(N933="","",N933+N(O933))</f>
        <v/>
      </c>
      <c r="Q933" s="64" t="n"/>
      <c r="R933" s="73" t="str">
        <f>IF(N(Q933)&gt;0,Q933,IF(OR(N(B933)=0,ISNA(MATCH($C933,sup_code,0))),"",IF(ISNUMBER(INDEX(sup_delay,MATCH($C933,sup_code,0))),B933+INDEX(sup_delay,MATCH($C933,sup_code,0)),"")))</f>
        <v/>
      </c>
      <c r="S933" s="64" t="n"/>
      <c r="T933" s="68" t="n"/>
      <c r="U933" s="64" t="n"/>
      <c r="V933" s="65" t="n"/>
      <c r="W933" s="74" t="str">
        <f>IF(AND(A933="",E933=""),"",IF(V933="Oui",0,MAX(0,ROUND(N(H933)-N(T933),6))))</f>
        <v/>
      </c>
      <c r="X933" s="67" t="str">
        <f>IF(AND(A933="",E933=""),"",IF(V933="Oui","Annulé",IF(AND(N(H933)&gt;0,N(T933)&gt;=N(H933)),"Reçu",IF(N(S933)=0,"Brouillon",IF(AND(ISNUMBER(R933),R933&lt;p_today),"En retard",IF(N(T933)&gt;0,"Partiel","Envoyé"))))))</f>
        <v/>
      </c>
      <c r="Y933" s="75" t="str">
        <f>IF(X933="En retard",p_today-R933,IF(AND(X933="Reçu",ISNUMBER(R933)),MAX(0,N(U933)-R933),""))</f>
        <v/>
      </c>
      <c r="Z933" s="67" t="str">
        <f>IF(AND(A933="",E933=""),"",IF(A933="","N° de bon manquant",IF(N(B933)=0,"Date de commande manquante",IF(C933="","Fournisseur manquant",IF(ISNA(MATCH($C933,sup_code,0)),"Fournisseur inconnu",IF(E933="","Article manquant",IF(ISNA(MATCH($E933,art_ref,0)),"Article inconnu",IF(N(H933)&lt;=0,"Quantité invalide",IF(J933="","Prix manquant",IF(OR(N(K933)&lt;0,N(K933)&gt;=1),"Remise invalide",IF(M933="","TVA manquante",IF(ISNA(MATCH(M933,p_tva,0)),"Taux de TVA inconnu",IF(COUNTIFS(po_num,A933,po_sup,"&lt;&gt;"&amp;C933)&gt;0,"Fournisseur différent sur ce bon",IF(COUNTIFS(po_num,A933,po_date,"&lt;&gt;"&amp;B933)&gt;0,"Date différente sur ce bon",IF(COUNTIF(po_num,A933)&gt;25,"Plus de 25 lignes sur ce bon",IF(R933="","Date de livraison manquante",IF(R933&lt;B933,"Livraison avant la commande",IF(AND(N(T933)&gt;0,N(S933)=0),"Date d'envoi manquante",IF(N(T933)&gt;N(H933),"Reçu plus que commandé",IF(AND(N(T933)&gt;0,N(U933)=0),"Date de réception manquante",IF(AND(N(U933)&gt;0,U933&lt;B933),"Réception avant la commande","OK")))))))))))))))))))))</f>
        <v/>
      </c>
      <c r="AA933" s="66" t="str">
        <f>IF(AND(X933="Reçu",ISNUMBER(R933)),IF(N(U933)&lt;=R933,1,0),"")</f>
        <v/>
      </c>
      <c r="AB933" s="76" t="str">
        <f>IF(OR(X933="Envoyé",X933="Partiel",X933="En retard"),IF(ISNUMBER(R933),R933,100000)+ROW()/100000,"")</f>
        <v/>
      </c>
      <c r="AC933" s="66" t="str">
        <f>IF(A933="","",IF(COUNTIF($A$6:A933,A933)=1,1,""))</f>
        <v/>
      </c>
      <c r="AD933" s="66" t="str">
        <f>IF(AC933=1,COUNT($AC$6:AC933),"")</f>
        <v/>
      </c>
      <c r="AE933" s="66" t="str">
        <f>IFERROR(INDEX(po_num,MATCH(928,po_seq,0))&amp;"","")</f>
        <v/>
      </c>
      <c r="AF933" s="66" t="str">
        <f>IF(OR(A933="",p_po=""),"",IF(A933&amp;""=p_po,COUNTIF($A$6:A933,A933),""))</f>
        <v/>
      </c>
      <c r="AG933" s="66" t="str">
        <f>IF(OR(AB933="",A933=""),"",IF(COUNTIFS($A$6:A933,A933,$AB$6:AB933,"&gt;0")=1,1,""))</f>
        <v/>
      </c>
      <c r="AH933" s="70" t="str">
        <f>IF(AB933="","",ROUND(N(W933)*N(J933)*(1-N(K933)),2))</f>
        <v/>
      </c>
      <c r="AI933" s="70" t="str">
        <f>IF(OR(J933="",N(T933)&lt;=0,V933="Oui"),"",ROUND(N(T933)*J933*(1-N(K933)),2))</f>
        <v/>
      </c>
    </row>
    <row r="934">
      <c r="A934" s="63" t="n"/>
      <c r="B934" s="64" t="n"/>
      <c r="C934" s="65" t="n"/>
      <c r="D934" s="66" t="str">
        <f>IF(C934="","",IFERROR(INDEX(sup_name,MATCH($C934,sup_code,0))&amp;"","Fournisseur inconnu"))</f>
        <v/>
      </c>
      <c r="E934" s="63" t="n"/>
      <c r="F934" s="66" t="str">
        <f>IF(E934="","",IFERROR(INDEX(art_des,MATCH($E934,art_ref,0))&amp;"","Article inconnu"))</f>
        <v/>
      </c>
      <c r="G934" s="67" t="str">
        <f>IF(E934="","",IFERROR(INDEX(art_unit,MATCH($E934,art_ref,0))&amp;"",""))</f>
        <v/>
      </c>
      <c r="H934" s="68" t="n"/>
      <c r="I934" s="69" t="n"/>
      <c r="J934" s="70" t="str">
        <f>IF(E934="","",IF(ISNUMBER(I934),I934,IFERROR(IF(ISNUMBER(INDEX(art_price,MATCH($E934,art_ref,0))),INDEX(art_price,MATCH($E934,art_ref,0)),""),"")))</f>
        <v/>
      </c>
      <c r="K934" s="71" t="n"/>
      <c r="L934" s="72" t="n"/>
      <c r="M934" s="72" t="str">
        <f>IF(E934="","",IF(L934&lt;&gt;"",L934,IFERROR(IF(ISNUMBER(INDEX(art_tva,MATCH($E934,art_ref,0))),INDEX(art_tva,MATCH($E934,art_ref,0)),""),"")))</f>
        <v/>
      </c>
      <c r="N934" s="70" t="str">
        <f>IF(OR(E934="",J934=""),"",ROUND(N(H934)*J934*(1-N(K934)),2))</f>
        <v/>
      </c>
      <c r="O934" s="70" t="str">
        <f>IF(OR(N934="",NOT(ISNUMBER(M934))),"",ROUND(N934*M934,2))</f>
        <v/>
      </c>
      <c r="P934" s="70" t="str">
        <f>IF(N934="","",N934+N(O934))</f>
        <v/>
      </c>
      <c r="Q934" s="64" t="n"/>
      <c r="R934" s="73" t="str">
        <f>IF(N(Q934)&gt;0,Q934,IF(OR(N(B934)=0,ISNA(MATCH($C934,sup_code,0))),"",IF(ISNUMBER(INDEX(sup_delay,MATCH($C934,sup_code,0))),B934+INDEX(sup_delay,MATCH($C934,sup_code,0)),"")))</f>
        <v/>
      </c>
      <c r="S934" s="64" t="n"/>
      <c r="T934" s="68" t="n"/>
      <c r="U934" s="64" t="n"/>
      <c r="V934" s="65" t="n"/>
      <c r="W934" s="74" t="str">
        <f>IF(AND(A934="",E934=""),"",IF(V934="Oui",0,MAX(0,ROUND(N(H934)-N(T934),6))))</f>
        <v/>
      </c>
      <c r="X934" s="67" t="str">
        <f>IF(AND(A934="",E934=""),"",IF(V934="Oui","Annulé",IF(AND(N(H934)&gt;0,N(T934)&gt;=N(H934)),"Reçu",IF(N(S934)=0,"Brouillon",IF(AND(ISNUMBER(R934),R934&lt;p_today),"En retard",IF(N(T934)&gt;0,"Partiel","Envoyé"))))))</f>
        <v/>
      </c>
      <c r="Y934" s="75" t="str">
        <f>IF(X934="En retard",p_today-R934,IF(AND(X934="Reçu",ISNUMBER(R934)),MAX(0,N(U934)-R934),""))</f>
        <v/>
      </c>
      <c r="Z934" s="67" t="str">
        <f>IF(AND(A934="",E934=""),"",IF(A934="","N° de bon manquant",IF(N(B934)=0,"Date de commande manquante",IF(C934="","Fournisseur manquant",IF(ISNA(MATCH($C934,sup_code,0)),"Fournisseur inconnu",IF(E934="","Article manquant",IF(ISNA(MATCH($E934,art_ref,0)),"Article inconnu",IF(N(H934)&lt;=0,"Quantité invalide",IF(J934="","Prix manquant",IF(OR(N(K934)&lt;0,N(K934)&gt;=1),"Remise invalide",IF(M934="","TVA manquante",IF(ISNA(MATCH(M934,p_tva,0)),"Taux de TVA inconnu",IF(COUNTIFS(po_num,A934,po_sup,"&lt;&gt;"&amp;C934)&gt;0,"Fournisseur différent sur ce bon",IF(COUNTIFS(po_num,A934,po_date,"&lt;&gt;"&amp;B934)&gt;0,"Date différente sur ce bon",IF(COUNTIF(po_num,A934)&gt;25,"Plus de 25 lignes sur ce bon",IF(R934="","Date de livraison manquante",IF(R934&lt;B934,"Livraison avant la commande",IF(AND(N(T934)&gt;0,N(S934)=0),"Date d'envoi manquante",IF(N(T934)&gt;N(H934),"Reçu plus que commandé",IF(AND(N(T934)&gt;0,N(U934)=0),"Date de réception manquante",IF(AND(N(U934)&gt;0,U934&lt;B934),"Réception avant la commande","OK")))))))))))))))))))))</f>
        <v/>
      </c>
      <c r="AA934" s="66" t="str">
        <f>IF(AND(X934="Reçu",ISNUMBER(R934)),IF(N(U934)&lt;=R934,1,0),"")</f>
        <v/>
      </c>
      <c r="AB934" s="76" t="str">
        <f>IF(OR(X934="Envoyé",X934="Partiel",X934="En retard"),IF(ISNUMBER(R934),R934,100000)+ROW()/100000,"")</f>
        <v/>
      </c>
      <c r="AC934" s="66" t="str">
        <f>IF(A934="","",IF(COUNTIF($A$6:A934,A934)=1,1,""))</f>
        <v/>
      </c>
      <c r="AD934" s="66" t="str">
        <f>IF(AC934=1,COUNT($AC$6:AC934),"")</f>
        <v/>
      </c>
      <c r="AE934" s="66" t="str">
        <f>IFERROR(INDEX(po_num,MATCH(929,po_seq,0))&amp;"","")</f>
        <v/>
      </c>
      <c r="AF934" s="66" t="str">
        <f>IF(OR(A934="",p_po=""),"",IF(A934&amp;""=p_po,COUNTIF($A$6:A934,A934),""))</f>
        <v/>
      </c>
      <c r="AG934" s="66" t="str">
        <f>IF(OR(AB934="",A934=""),"",IF(COUNTIFS($A$6:A934,A934,$AB$6:AB934,"&gt;0")=1,1,""))</f>
        <v/>
      </c>
      <c r="AH934" s="70" t="str">
        <f>IF(AB934="","",ROUND(N(W934)*N(J934)*(1-N(K934)),2))</f>
        <v/>
      </c>
      <c r="AI934" s="70" t="str">
        <f>IF(OR(J934="",N(T934)&lt;=0,V934="Oui"),"",ROUND(N(T934)*J934*(1-N(K934)),2))</f>
        <v/>
      </c>
    </row>
    <row r="935">
      <c r="A935" s="63" t="n"/>
      <c r="B935" s="64" t="n"/>
      <c r="C935" s="65" t="n"/>
      <c r="D935" s="66" t="str">
        <f>IF(C935="","",IFERROR(INDEX(sup_name,MATCH($C935,sup_code,0))&amp;"","Fournisseur inconnu"))</f>
        <v/>
      </c>
      <c r="E935" s="63" t="n"/>
      <c r="F935" s="66" t="str">
        <f>IF(E935="","",IFERROR(INDEX(art_des,MATCH($E935,art_ref,0))&amp;"","Article inconnu"))</f>
        <v/>
      </c>
      <c r="G935" s="67" t="str">
        <f>IF(E935="","",IFERROR(INDEX(art_unit,MATCH($E935,art_ref,0))&amp;"",""))</f>
        <v/>
      </c>
      <c r="H935" s="68" t="n"/>
      <c r="I935" s="69" t="n"/>
      <c r="J935" s="70" t="str">
        <f>IF(E935="","",IF(ISNUMBER(I935),I935,IFERROR(IF(ISNUMBER(INDEX(art_price,MATCH($E935,art_ref,0))),INDEX(art_price,MATCH($E935,art_ref,0)),""),"")))</f>
        <v/>
      </c>
      <c r="K935" s="71" t="n"/>
      <c r="L935" s="72" t="n"/>
      <c r="M935" s="72" t="str">
        <f>IF(E935="","",IF(L935&lt;&gt;"",L935,IFERROR(IF(ISNUMBER(INDEX(art_tva,MATCH($E935,art_ref,0))),INDEX(art_tva,MATCH($E935,art_ref,0)),""),"")))</f>
        <v/>
      </c>
      <c r="N935" s="70" t="str">
        <f>IF(OR(E935="",J935=""),"",ROUND(N(H935)*J935*(1-N(K935)),2))</f>
        <v/>
      </c>
      <c r="O935" s="70" t="str">
        <f>IF(OR(N935="",NOT(ISNUMBER(M935))),"",ROUND(N935*M935,2))</f>
        <v/>
      </c>
      <c r="P935" s="70" t="str">
        <f>IF(N935="","",N935+N(O935))</f>
        <v/>
      </c>
      <c r="Q935" s="64" t="n"/>
      <c r="R935" s="73" t="str">
        <f>IF(N(Q935)&gt;0,Q935,IF(OR(N(B935)=0,ISNA(MATCH($C935,sup_code,0))),"",IF(ISNUMBER(INDEX(sup_delay,MATCH($C935,sup_code,0))),B935+INDEX(sup_delay,MATCH($C935,sup_code,0)),"")))</f>
        <v/>
      </c>
      <c r="S935" s="64" t="n"/>
      <c r="T935" s="68" t="n"/>
      <c r="U935" s="64" t="n"/>
      <c r="V935" s="65" t="n"/>
      <c r="W935" s="74" t="str">
        <f>IF(AND(A935="",E935=""),"",IF(V935="Oui",0,MAX(0,ROUND(N(H935)-N(T935),6))))</f>
        <v/>
      </c>
      <c r="X935" s="67" t="str">
        <f>IF(AND(A935="",E935=""),"",IF(V935="Oui","Annulé",IF(AND(N(H935)&gt;0,N(T935)&gt;=N(H935)),"Reçu",IF(N(S935)=0,"Brouillon",IF(AND(ISNUMBER(R935),R935&lt;p_today),"En retard",IF(N(T935)&gt;0,"Partiel","Envoyé"))))))</f>
        <v/>
      </c>
      <c r="Y935" s="75" t="str">
        <f>IF(X935="En retard",p_today-R935,IF(AND(X935="Reçu",ISNUMBER(R935)),MAX(0,N(U935)-R935),""))</f>
        <v/>
      </c>
      <c r="Z935" s="67" t="str">
        <f>IF(AND(A935="",E935=""),"",IF(A935="","N° de bon manquant",IF(N(B935)=0,"Date de commande manquante",IF(C935="","Fournisseur manquant",IF(ISNA(MATCH($C935,sup_code,0)),"Fournisseur inconnu",IF(E935="","Article manquant",IF(ISNA(MATCH($E935,art_ref,0)),"Article inconnu",IF(N(H935)&lt;=0,"Quantité invalide",IF(J935="","Prix manquant",IF(OR(N(K935)&lt;0,N(K935)&gt;=1),"Remise invalide",IF(M935="","TVA manquante",IF(ISNA(MATCH(M935,p_tva,0)),"Taux de TVA inconnu",IF(COUNTIFS(po_num,A935,po_sup,"&lt;&gt;"&amp;C935)&gt;0,"Fournisseur différent sur ce bon",IF(COUNTIFS(po_num,A935,po_date,"&lt;&gt;"&amp;B935)&gt;0,"Date différente sur ce bon",IF(COUNTIF(po_num,A935)&gt;25,"Plus de 25 lignes sur ce bon",IF(R935="","Date de livraison manquante",IF(R935&lt;B935,"Livraison avant la commande",IF(AND(N(T935)&gt;0,N(S935)=0),"Date d'envoi manquante",IF(N(T935)&gt;N(H935),"Reçu plus que commandé",IF(AND(N(T935)&gt;0,N(U935)=0),"Date de réception manquante",IF(AND(N(U935)&gt;0,U935&lt;B935),"Réception avant la commande","OK")))))))))))))))))))))</f>
        <v/>
      </c>
      <c r="AA935" s="66" t="str">
        <f>IF(AND(X935="Reçu",ISNUMBER(R935)),IF(N(U935)&lt;=R935,1,0),"")</f>
        <v/>
      </c>
      <c r="AB935" s="76" t="str">
        <f>IF(OR(X935="Envoyé",X935="Partiel",X935="En retard"),IF(ISNUMBER(R935),R935,100000)+ROW()/100000,"")</f>
        <v/>
      </c>
      <c r="AC935" s="66" t="str">
        <f>IF(A935="","",IF(COUNTIF($A$6:A935,A935)=1,1,""))</f>
        <v/>
      </c>
      <c r="AD935" s="66" t="str">
        <f>IF(AC935=1,COUNT($AC$6:AC935),"")</f>
        <v/>
      </c>
      <c r="AE935" s="66" t="str">
        <f>IFERROR(INDEX(po_num,MATCH(930,po_seq,0))&amp;"","")</f>
        <v/>
      </c>
      <c r="AF935" s="66" t="str">
        <f>IF(OR(A935="",p_po=""),"",IF(A935&amp;""=p_po,COUNTIF($A$6:A935,A935),""))</f>
        <v/>
      </c>
      <c r="AG935" s="66" t="str">
        <f>IF(OR(AB935="",A935=""),"",IF(COUNTIFS($A$6:A935,A935,$AB$6:AB935,"&gt;0")=1,1,""))</f>
        <v/>
      </c>
      <c r="AH935" s="70" t="str">
        <f>IF(AB935="","",ROUND(N(W935)*N(J935)*(1-N(K935)),2))</f>
        <v/>
      </c>
      <c r="AI935" s="70" t="str">
        <f>IF(OR(J935="",N(T935)&lt;=0,V935="Oui"),"",ROUND(N(T935)*J935*(1-N(K935)),2))</f>
        <v/>
      </c>
    </row>
    <row r="936">
      <c r="A936" s="63" t="n"/>
      <c r="B936" s="64" t="n"/>
      <c r="C936" s="65" t="n"/>
      <c r="D936" s="66" t="str">
        <f>IF(C936="","",IFERROR(INDEX(sup_name,MATCH($C936,sup_code,0))&amp;"","Fournisseur inconnu"))</f>
        <v/>
      </c>
      <c r="E936" s="63" t="n"/>
      <c r="F936" s="66" t="str">
        <f>IF(E936="","",IFERROR(INDEX(art_des,MATCH($E936,art_ref,0))&amp;"","Article inconnu"))</f>
        <v/>
      </c>
      <c r="G936" s="67" t="str">
        <f>IF(E936="","",IFERROR(INDEX(art_unit,MATCH($E936,art_ref,0))&amp;"",""))</f>
        <v/>
      </c>
      <c r="H936" s="68" t="n"/>
      <c r="I936" s="69" t="n"/>
      <c r="J936" s="70" t="str">
        <f>IF(E936="","",IF(ISNUMBER(I936),I936,IFERROR(IF(ISNUMBER(INDEX(art_price,MATCH($E936,art_ref,0))),INDEX(art_price,MATCH($E936,art_ref,0)),""),"")))</f>
        <v/>
      </c>
      <c r="K936" s="71" t="n"/>
      <c r="L936" s="72" t="n"/>
      <c r="M936" s="72" t="str">
        <f>IF(E936="","",IF(L936&lt;&gt;"",L936,IFERROR(IF(ISNUMBER(INDEX(art_tva,MATCH($E936,art_ref,0))),INDEX(art_tva,MATCH($E936,art_ref,0)),""),"")))</f>
        <v/>
      </c>
      <c r="N936" s="70" t="str">
        <f>IF(OR(E936="",J936=""),"",ROUND(N(H936)*J936*(1-N(K936)),2))</f>
        <v/>
      </c>
      <c r="O936" s="70" t="str">
        <f>IF(OR(N936="",NOT(ISNUMBER(M936))),"",ROUND(N936*M936,2))</f>
        <v/>
      </c>
      <c r="P936" s="70" t="str">
        <f>IF(N936="","",N936+N(O936))</f>
        <v/>
      </c>
      <c r="Q936" s="64" t="n"/>
      <c r="R936" s="73" t="str">
        <f>IF(N(Q936)&gt;0,Q936,IF(OR(N(B936)=0,ISNA(MATCH($C936,sup_code,0))),"",IF(ISNUMBER(INDEX(sup_delay,MATCH($C936,sup_code,0))),B936+INDEX(sup_delay,MATCH($C936,sup_code,0)),"")))</f>
        <v/>
      </c>
      <c r="S936" s="64" t="n"/>
      <c r="T936" s="68" t="n"/>
      <c r="U936" s="64" t="n"/>
      <c r="V936" s="65" t="n"/>
      <c r="W936" s="74" t="str">
        <f>IF(AND(A936="",E936=""),"",IF(V936="Oui",0,MAX(0,ROUND(N(H936)-N(T936),6))))</f>
        <v/>
      </c>
      <c r="X936" s="67" t="str">
        <f>IF(AND(A936="",E936=""),"",IF(V936="Oui","Annulé",IF(AND(N(H936)&gt;0,N(T936)&gt;=N(H936)),"Reçu",IF(N(S936)=0,"Brouillon",IF(AND(ISNUMBER(R936),R936&lt;p_today),"En retard",IF(N(T936)&gt;0,"Partiel","Envoyé"))))))</f>
        <v/>
      </c>
      <c r="Y936" s="75" t="str">
        <f>IF(X936="En retard",p_today-R936,IF(AND(X936="Reçu",ISNUMBER(R936)),MAX(0,N(U936)-R936),""))</f>
        <v/>
      </c>
      <c r="Z936" s="67" t="str">
        <f>IF(AND(A936="",E936=""),"",IF(A936="","N° de bon manquant",IF(N(B936)=0,"Date de commande manquante",IF(C936="","Fournisseur manquant",IF(ISNA(MATCH($C936,sup_code,0)),"Fournisseur inconnu",IF(E936="","Article manquant",IF(ISNA(MATCH($E936,art_ref,0)),"Article inconnu",IF(N(H936)&lt;=0,"Quantité invalide",IF(J936="","Prix manquant",IF(OR(N(K936)&lt;0,N(K936)&gt;=1),"Remise invalide",IF(M936="","TVA manquante",IF(ISNA(MATCH(M936,p_tva,0)),"Taux de TVA inconnu",IF(COUNTIFS(po_num,A936,po_sup,"&lt;&gt;"&amp;C936)&gt;0,"Fournisseur différent sur ce bon",IF(COUNTIFS(po_num,A936,po_date,"&lt;&gt;"&amp;B936)&gt;0,"Date différente sur ce bon",IF(COUNTIF(po_num,A936)&gt;25,"Plus de 25 lignes sur ce bon",IF(R936="","Date de livraison manquante",IF(R936&lt;B936,"Livraison avant la commande",IF(AND(N(T936)&gt;0,N(S936)=0),"Date d'envoi manquante",IF(N(T936)&gt;N(H936),"Reçu plus que commandé",IF(AND(N(T936)&gt;0,N(U936)=0),"Date de réception manquante",IF(AND(N(U936)&gt;0,U936&lt;B936),"Réception avant la commande","OK")))))))))))))))))))))</f>
        <v/>
      </c>
      <c r="AA936" s="66" t="str">
        <f>IF(AND(X936="Reçu",ISNUMBER(R936)),IF(N(U936)&lt;=R936,1,0),"")</f>
        <v/>
      </c>
      <c r="AB936" s="76" t="str">
        <f>IF(OR(X936="Envoyé",X936="Partiel",X936="En retard"),IF(ISNUMBER(R936),R936,100000)+ROW()/100000,"")</f>
        <v/>
      </c>
      <c r="AC936" s="66" t="str">
        <f>IF(A936="","",IF(COUNTIF($A$6:A936,A936)=1,1,""))</f>
        <v/>
      </c>
      <c r="AD936" s="66" t="str">
        <f>IF(AC936=1,COUNT($AC$6:AC936),"")</f>
        <v/>
      </c>
      <c r="AE936" s="66" t="str">
        <f>IFERROR(INDEX(po_num,MATCH(931,po_seq,0))&amp;"","")</f>
        <v/>
      </c>
      <c r="AF936" s="66" t="str">
        <f>IF(OR(A936="",p_po=""),"",IF(A936&amp;""=p_po,COUNTIF($A$6:A936,A936),""))</f>
        <v/>
      </c>
      <c r="AG936" s="66" t="str">
        <f>IF(OR(AB936="",A936=""),"",IF(COUNTIFS($A$6:A936,A936,$AB$6:AB936,"&gt;0")=1,1,""))</f>
        <v/>
      </c>
      <c r="AH936" s="70" t="str">
        <f>IF(AB936="","",ROUND(N(W936)*N(J936)*(1-N(K936)),2))</f>
        <v/>
      </c>
      <c r="AI936" s="70" t="str">
        <f>IF(OR(J936="",N(T936)&lt;=0,V936="Oui"),"",ROUND(N(T936)*J936*(1-N(K936)),2))</f>
        <v/>
      </c>
    </row>
    <row r="937">
      <c r="A937" s="63" t="n"/>
      <c r="B937" s="64" t="n"/>
      <c r="C937" s="65" t="n"/>
      <c r="D937" s="66" t="str">
        <f>IF(C937="","",IFERROR(INDEX(sup_name,MATCH($C937,sup_code,0))&amp;"","Fournisseur inconnu"))</f>
        <v/>
      </c>
      <c r="E937" s="63" t="n"/>
      <c r="F937" s="66" t="str">
        <f>IF(E937="","",IFERROR(INDEX(art_des,MATCH($E937,art_ref,0))&amp;"","Article inconnu"))</f>
        <v/>
      </c>
      <c r="G937" s="67" t="str">
        <f>IF(E937="","",IFERROR(INDEX(art_unit,MATCH($E937,art_ref,0))&amp;"",""))</f>
        <v/>
      </c>
      <c r="H937" s="68" t="n"/>
      <c r="I937" s="69" t="n"/>
      <c r="J937" s="70" t="str">
        <f>IF(E937="","",IF(ISNUMBER(I937),I937,IFERROR(IF(ISNUMBER(INDEX(art_price,MATCH($E937,art_ref,0))),INDEX(art_price,MATCH($E937,art_ref,0)),""),"")))</f>
        <v/>
      </c>
      <c r="K937" s="71" t="n"/>
      <c r="L937" s="72" t="n"/>
      <c r="M937" s="72" t="str">
        <f>IF(E937="","",IF(L937&lt;&gt;"",L937,IFERROR(IF(ISNUMBER(INDEX(art_tva,MATCH($E937,art_ref,0))),INDEX(art_tva,MATCH($E937,art_ref,0)),""),"")))</f>
        <v/>
      </c>
      <c r="N937" s="70" t="str">
        <f>IF(OR(E937="",J937=""),"",ROUND(N(H937)*J937*(1-N(K937)),2))</f>
        <v/>
      </c>
      <c r="O937" s="70" t="str">
        <f>IF(OR(N937="",NOT(ISNUMBER(M937))),"",ROUND(N937*M937,2))</f>
        <v/>
      </c>
      <c r="P937" s="70" t="str">
        <f>IF(N937="","",N937+N(O937))</f>
        <v/>
      </c>
      <c r="Q937" s="64" t="n"/>
      <c r="R937" s="73" t="str">
        <f>IF(N(Q937)&gt;0,Q937,IF(OR(N(B937)=0,ISNA(MATCH($C937,sup_code,0))),"",IF(ISNUMBER(INDEX(sup_delay,MATCH($C937,sup_code,0))),B937+INDEX(sup_delay,MATCH($C937,sup_code,0)),"")))</f>
        <v/>
      </c>
      <c r="S937" s="64" t="n"/>
      <c r="T937" s="68" t="n"/>
      <c r="U937" s="64" t="n"/>
      <c r="V937" s="65" t="n"/>
      <c r="W937" s="74" t="str">
        <f>IF(AND(A937="",E937=""),"",IF(V937="Oui",0,MAX(0,ROUND(N(H937)-N(T937),6))))</f>
        <v/>
      </c>
      <c r="X937" s="67" t="str">
        <f>IF(AND(A937="",E937=""),"",IF(V937="Oui","Annulé",IF(AND(N(H937)&gt;0,N(T937)&gt;=N(H937)),"Reçu",IF(N(S937)=0,"Brouillon",IF(AND(ISNUMBER(R937),R937&lt;p_today),"En retard",IF(N(T937)&gt;0,"Partiel","Envoyé"))))))</f>
        <v/>
      </c>
      <c r="Y937" s="75" t="str">
        <f>IF(X937="En retard",p_today-R937,IF(AND(X937="Reçu",ISNUMBER(R937)),MAX(0,N(U937)-R937),""))</f>
        <v/>
      </c>
      <c r="Z937" s="67" t="str">
        <f>IF(AND(A937="",E937=""),"",IF(A937="","N° de bon manquant",IF(N(B937)=0,"Date de commande manquante",IF(C937="","Fournisseur manquant",IF(ISNA(MATCH($C937,sup_code,0)),"Fournisseur inconnu",IF(E937="","Article manquant",IF(ISNA(MATCH($E937,art_ref,0)),"Article inconnu",IF(N(H937)&lt;=0,"Quantité invalide",IF(J937="","Prix manquant",IF(OR(N(K937)&lt;0,N(K937)&gt;=1),"Remise invalide",IF(M937="","TVA manquante",IF(ISNA(MATCH(M937,p_tva,0)),"Taux de TVA inconnu",IF(COUNTIFS(po_num,A937,po_sup,"&lt;&gt;"&amp;C937)&gt;0,"Fournisseur différent sur ce bon",IF(COUNTIFS(po_num,A937,po_date,"&lt;&gt;"&amp;B937)&gt;0,"Date différente sur ce bon",IF(COUNTIF(po_num,A937)&gt;25,"Plus de 25 lignes sur ce bon",IF(R937="","Date de livraison manquante",IF(R937&lt;B937,"Livraison avant la commande",IF(AND(N(T937)&gt;0,N(S937)=0),"Date d'envoi manquante",IF(N(T937)&gt;N(H937),"Reçu plus que commandé",IF(AND(N(T937)&gt;0,N(U937)=0),"Date de réception manquante",IF(AND(N(U937)&gt;0,U937&lt;B937),"Réception avant la commande","OK")))))))))))))))))))))</f>
        <v/>
      </c>
      <c r="AA937" s="66" t="str">
        <f>IF(AND(X937="Reçu",ISNUMBER(R937)),IF(N(U937)&lt;=R937,1,0),"")</f>
        <v/>
      </c>
      <c r="AB937" s="76" t="str">
        <f>IF(OR(X937="Envoyé",X937="Partiel",X937="En retard"),IF(ISNUMBER(R937),R937,100000)+ROW()/100000,"")</f>
        <v/>
      </c>
      <c r="AC937" s="66" t="str">
        <f>IF(A937="","",IF(COUNTIF($A$6:A937,A937)=1,1,""))</f>
        <v/>
      </c>
      <c r="AD937" s="66" t="str">
        <f>IF(AC937=1,COUNT($AC$6:AC937),"")</f>
        <v/>
      </c>
      <c r="AE937" s="66" t="str">
        <f>IFERROR(INDEX(po_num,MATCH(932,po_seq,0))&amp;"","")</f>
        <v/>
      </c>
      <c r="AF937" s="66" t="str">
        <f>IF(OR(A937="",p_po=""),"",IF(A937&amp;""=p_po,COUNTIF($A$6:A937,A937),""))</f>
        <v/>
      </c>
      <c r="AG937" s="66" t="str">
        <f>IF(OR(AB937="",A937=""),"",IF(COUNTIFS($A$6:A937,A937,$AB$6:AB937,"&gt;0")=1,1,""))</f>
        <v/>
      </c>
      <c r="AH937" s="70" t="str">
        <f>IF(AB937="","",ROUND(N(W937)*N(J937)*(1-N(K937)),2))</f>
        <v/>
      </c>
      <c r="AI937" s="70" t="str">
        <f>IF(OR(J937="",N(T937)&lt;=0,V937="Oui"),"",ROUND(N(T937)*J937*(1-N(K937)),2))</f>
        <v/>
      </c>
    </row>
    <row r="938">
      <c r="A938" s="63" t="n"/>
      <c r="B938" s="64" t="n"/>
      <c r="C938" s="65" t="n"/>
      <c r="D938" s="66" t="str">
        <f>IF(C938="","",IFERROR(INDEX(sup_name,MATCH($C938,sup_code,0))&amp;"","Fournisseur inconnu"))</f>
        <v/>
      </c>
      <c r="E938" s="63" t="n"/>
      <c r="F938" s="66" t="str">
        <f>IF(E938="","",IFERROR(INDEX(art_des,MATCH($E938,art_ref,0))&amp;"","Article inconnu"))</f>
        <v/>
      </c>
      <c r="G938" s="67" t="str">
        <f>IF(E938="","",IFERROR(INDEX(art_unit,MATCH($E938,art_ref,0))&amp;"",""))</f>
        <v/>
      </c>
      <c r="H938" s="68" t="n"/>
      <c r="I938" s="69" t="n"/>
      <c r="J938" s="70" t="str">
        <f>IF(E938="","",IF(ISNUMBER(I938),I938,IFERROR(IF(ISNUMBER(INDEX(art_price,MATCH($E938,art_ref,0))),INDEX(art_price,MATCH($E938,art_ref,0)),""),"")))</f>
        <v/>
      </c>
      <c r="K938" s="71" t="n"/>
      <c r="L938" s="72" t="n"/>
      <c r="M938" s="72" t="str">
        <f>IF(E938="","",IF(L938&lt;&gt;"",L938,IFERROR(IF(ISNUMBER(INDEX(art_tva,MATCH($E938,art_ref,0))),INDEX(art_tva,MATCH($E938,art_ref,0)),""),"")))</f>
        <v/>
      </c>
      <c r="N938" s="70" t="str">
        <f>IF(OR(E938="",J938=""),"",ROUND(N(H938)*J938*(1-N(K938)),2))</f>
        <v/>
      </c>
      <c r="O938" s="70" t="str">
        <f>IF(OR(N938="",NOT(ISNUMBER(M938))),"",ROUND(N938*M938,2))</f>
        <v/>
      </c>
      <c r="P938" s="70" t="str">
        <f>IF(N938="","",N938+N(O938))</f>
        <v/>
      </c>
      <c r="Q938" s="64" t="n"/>
      <c r="R938" s="73" t="str">
        <f>IF(N(Q938)&gt;0,Q938,IF(OR(N(B938)=0,ISNA(MATCH($C938,sup_code,0))),"",IF(ISNUMBER(INDEX(sup_delay,MATCH($C938,sup_code,0))),B938+INDEX(sup_delay,MATCH($C938,sup_code,0)),"")))</f>
        <v/>
      </c>
      <c r="S938" s="64" t="n"/>
      <c r="T938" s="68" t="n"/>
      <c r="U938" s="64" t="n"/>
      <c r="V938" s="65" t="n"/>
      <c r="W938" s="74" t="str">
        <f>IF(AND(A938="",E938=""),"",IF(V938="Oui",0,MAX(0,ROUND(N(H938)-N(T938),6))))</f>
        <v/>
      </c>
      <c r="X938" s="67" t="str">
        <f>IF(AND(A938="",E938=""),"",IF(V938="Oui","Annulé",IF(AND(N(H938)&gt;0,N(T938)&gt;=N(H938)),"Reçu",IF(N(S938)=0,"Brouillon",IF(AND(ISNUMBER(R938),R938&lt;p_today),"En retard",IF(N(T938)&gt;0,"Partiel","Envoyé"))))))</f>
        <v/>
      </c>
      <c r="Y938" s="75" t="str">
        <f>IF(X938="En retard",p_today-R938,IF(AND(X938="Reçu",ISNUMBER(R938)),MAX(0,N(U938)-R938),""))</f>
        <v/>
      </c>
      <c r="Z938" s="67" t="str">
        <f>IF(AND(A938="",E938=""),"",IF(A938="","N° de bon manquant",IF(N(B938)=0,"Date de commande manquante",IF(C938="","Fournisseur manquant",IF(ISNA(MATCH($C938,sup_code,0)),"Fournisseur inconnu",IF(E938="","Article manquant",IF(ISNA(MATCH($E938,art_ref,0)),"Article inconnu",IF(N(H938)&lt;=0,"Quantité invalide",IF(J938="","Prix manquant",IF(OR(N(K938)&lt;0,N(K938)&gt;=1),"Remise invalide",IF(M938="","TVA manquante",IF(ISNA(MATCH(M938,p_tva,0)),"Taux de TVA inconnu",IF(COUNTIFS(po_num,A938,po_sup,"&lt;&gt;"&amp;C938)&gt;0,"Fournisseur différent sur ce bon",IF(COUNTIFS(po_num,A938,po_date,"&lt;&gt;"&amp;B938)&gt;0,"Date différente sur ce bon",IF(COUNTIF(po_num,A938)&gt;25,"Plus de 25 lignes sur ce bon",IF(R938="","Date de livraison manquante",IF(R938&lt;B938,"Livraison avant la commande",IF(AND(N(T938)&gt;0,N(S938)=0),"Date d'envoi manquante",IF(N(T938)&gt;N(H938),"Reçu plus que commandé",IF(AND(N(T938)&gt;0,N(U938)=0),"Date de réception manquante",IF(AND(N(U938)&gt;0,U938&lt;B938),"Réception avant la commande","OK")))))))))))))))))))))</f>
        <v/>
      </c>
      <c r="AA938" s="66" t="str">
        <f>IF(AND(X938="Reçu",ISNUMBER(R938)),IF(N(U938)&lt;=R938,1,0),"")</f>
        <v/>
      </c>
      <c r="AB938" s="76" t="str">
        <f>IF(OR(X938="Envoyé",X938="Partiel",X938="En retard"),IF(ISNUMBER(R938),R938,100000)+ROW()/100000,"")</f>
        <v/>
      </c>
      <c r="AC938" s="66" t="str">
        <f>IF(A938="","",IF(COUNTIF($A$6:A938,A938)=1,1,""))</f>
        <v/>
      </c>
      <c r="AD938" s="66" t="str">
        <f>IF(AC938=1,COUNT($AC$6:AC938),"")</f>
        <v/>
      </c>
      <c r="AE938" s="66" t="str">
        <f>IFERROR(INDEX(po_num,MATCH(933,po_seq,0))&amp;"","")</f>
        <v/>
      </c>
      <c r="AF938" s="66" t="str">
        <f>IF(OR(A938="",p_po=""),"",IF(A938&amp;""=p_po,COUNTIF($A$6:A938,A938),""))</f>
        <v/>
      </c>
      <c r="AG938" s="66" t="str">
        <f>IF(OR(AB938="",A938=""),"",IF(COUNTIFS($A$6:A938,A938,$AB$6:AB938,"&gt;0")=1,1,""))</f>
        <v/>
      </c>
      <c r="AH938" s="70" t="str">
        <f>IF(AB938="","",ROUND(N(W938)*N(J938)*(1-N(K938)),2))</f>
        <v/>
      </c>
      <c r="AI938" s="70" t="str">
        <f>IF(OR(J938="",N(T938)&lt;=0,V938="Oui"),"",ROUND(N(T938)*J938*(1-N(K938)),2))</f>
        <v/>
      </c>
    </row>
    <row r="939">
      <c r="A939" s="63" t="n"/>
      <c r="B939" s="64" t="n"/>
      <c r="C939" s="65" t="n"/>
      <c r="D939" s="66" t="str">
        <f>IF(C939="","",IFERROR(INDEX(sup_name,MATCH($C939,sup_code,0))&amp;"","Fournisseur inconnu"))</f>
        <v/>
      </c>
      <c r="E939" s="63" t="n"/>
      <c r="F939" s="66" t="str">
        <f>IF(E939="","",IFERROR(INDEX(art_des,MATCH($E939,art_ref,0))&amp;"","Article inconnu"))</f>
        <v/>
      </c>
      <c r="G939" s="67" t="str">
        <f>IF(E939="","",IFERROR(INDEX(art_unit,MATCH($E939,art_ref,0))&amp;"",""))</f>
        <v/>
      </c>
      <c r="H939" s="68" t="n"/>
      <c r="I939" s="69" t="n"/>
      <c r="J939" s="70" t="str">
        <f>IF(E939="","",IF(ISNUMBER(I939),I939,IFERROR(IF(ISNUMBER(INDEX(art_price,MATCH($E939,art_ref,0))),INDEX(art_price,MATCH($E939,art_ref,0)),""),"")))</f>
        <v/>
      </c>
      <c r="K939" s="71" t="n"/>
      <c r="L939" s="72" t="n"/>
      <c r="M939" s="72" t="str">
        <f>IF(E939="","",IF(L939&lt;&gt;"",L939,IFERROR(IF(ISNUMBER(INDEX(art_tva,MATCH($E939,art_ref,0))),INDEX(art_tva,MATCH($E939,art_ref,0)),""),"")))</f>
        <v/>
      </c>
      <c r="N939" s="70" t="str">
        <f>IF(OR(E939="",J939=""),"",ROUND(N(H939)*J939*(1-N(K939)),2))</f>
        <v/>
      </c>
      <c r="O939" s="70" t="str">
        <f>IF(OR(N939="",NOT(ISNUMBER(M939))),"",ROUND(N939*M939,2))</f>
        <v/>
      </c>
      <c r="P939" s="70" t="str">
        <f>IF(N939="","",N939+N(O939))</f>
        <v/>
      </c>
      <c r="Q939" s="64" t="n"/>
      <c r="R939" s="73" t="str">
        <f>IF(N(Q939)&gt;0,Q939,IF(OR(N(B939)=0,ISNA(MATCH($C939,sup_code,0))),"",IF(ISNUMBER(INDEX(sup_delay,MATCH($C939,sup_code,0))),B939+INDEX(sup_delay,MATCH($C939,sup_code,0)),"")))</f>
        <v/>
      </c>
      <c r="S939" s="64" t="n"/>
      <c r="T939" s="68" t="n"/>
      <c r="U939" s="64" t="n"/>
      <c r="V939" s="65" t="n"/>
      <c r="W939" s="74" t="str">
        <f>IF(AND(A939="",E939=""),"",IF(V939="Oui",0,MAX(0,ROUND(N(H939)-N(T939),6))))</f>
        <v/>
      </c>
      <c r="X939" s="67" t="str">
        <f>IF(AND(A939="",E939=""),"",IF(V939="Oui","Annulé",IF(AND(N(H939)&gt;0,N(T939)&gt;=N(H939)),"Reçu",IF(N(S939)=0,"Brouillon",IF(AND(ISNUMBER(R939),R939&lt;p_today),"En retard",IF(N(T939)&gt;0,"Partiel","Envoyé"))))))</f>
        <v/>
      </c>
      <c r="Y939" s="75" t="str">
        <f>IF(X939="En retard",p_today-R939,IF(AND(X939="Reçu",ISNUMBER(R939)),MAX(0,N(U939)-R939),""))</f>
        <v/>
      </c>
      <c r="Z939" s="67" t="str">
        <f>IF(AND(A939="",E939=""),"",IF(A939="","N° de bon manquant",IF(N(B939)=0,"Date de commande manquante",IF(C939="","Fournisseur manquant",IF(ISNA(MATCH($C939,sup_code,0)),"Fournisseur inconnu",IF(E939="","Article manquant",IF(ISNA(MATCH($E939,art_ref,0)),"Article inconnu",IF(N(H939)&lt;=0,"Quantité invalide",IF(J939="","Prix manquant",IF(OR(N(K939)&lt;0,N(K939)&gt;=1),"Remise invalide",IF(M939="","TVA manquante",IF(ISNA(MATCH(M939,p_tva,0)),"Taux de TVA inconnu",IF(COUNTIFS(po_num,A939,po_sup,"&lt;&gt;"&amp;C939)&gt;0,"Fournisseur différent sur ce bon",IF(COUNTIFS(po_num,A939,po_date,"&lt;&gt;"&amp;B939)&gt;0,"Date différente sur ce bon",IF(COUNTIF(po_num,A939)&gt;25,"Plus de 25 lignes sur ce bon",IF(R939="","Date de livraison manquante",IF(R939&lt;B939,"Livraison avant la commande",IF(AND(N(T939)&gt;0,N(S939)=0),"Date d'envoi manquante",IF(N(T939)&gt;N(H939),"Reçu plus que commandé",IF(AND(N(T939)&gt;0,N(U939)=0),"Date de réception manquante",IF(AND(N(U939)&gt;0,U939&lt;B939),"Réception avant la commande","OK")))))))))))))))))))))</f>
        <v/>
      </c>
      <c r="AA939" s="66" t="str">
        <f>IF(AND(X939="Reçu",ISNUMBER(R939)),IF(N(U939)&lt;=R939,1,0),"")</f>
        <v/>
      </c>
      <c r="AB939" s="76" t="str">
        <f>IF(OR(X939="Envoyé",X939="Partiel",X939="En retard"),IF(ISNUMBER(R939),R939,100000)+ROW()/100000,"")</f>
        <v/>
      </c>
      <c r="AC939" s="66" t="str">
        <f>IF(A939="","",IF(COUNTIF($A$6:A939,A939)=1,1,""))</f>
        <v/>
      </c>
      <c r="AD939" s="66" t="str">
        <f>IF(AC939=1,COUNT($AC$6:AC939),"")</f>
        <v/>
      </c>
      <c r="AE939" s="66" t="str">
        <f>IFERROR(INDEX(po_num,MATCH(934,po_seq,0))&amp;"","")</f>
        <v/>
      </c>
      <c r="AF939" s="66" t="str">
        <f>IF(OR(A939="",p_po=""),"",IF(A939&amp;""=p_po,COUNTIF($A$6:A939,A939),""))</f>
        <v/>
      </c>
      <c r="AG939" s="66" t="str">
        <f>IF(OR(AB939="",A939=""),"",IF(COUNTIFS($A$6:A939,A939,$AB$6:AB939,"&gt;0")=1,1,""))</f>
        <v/>
      </c>
      <c r="AH939" s="70" t="str">
        <f>IF(AB939="","",ROUND(N(W939)*N(J939)*(1-N(K939)),2))</f>
        <v/>
      </c>
      <c r="AI939" s="70" t="str">
        <f>IF(OR(J939="",N(T939)&lt;=0,V939="Oui"),"",ROUND(N(T939)*J939*(1-N(K939)),2))</f>
        <v/>
      </c>
    </row>
    <row r="940">
      <c r="A940" s="63" t="n"/>
      <c r="B940" s="64" t="n"/>
      <c r="C940" s="65" t="n"/>
      <c r="D940" s="66" t="str">
        <f>IF(C940="","",IFERROR(INDEX(sup_name,MATCH($C940,sup_code,0))&amp;"","Fournisseur inconnu"))</f>
        <v/>
      </c>
      <c r="E940" s="63" t="n"/>
      <c r="F940" s="66" t="str">
        <f>IF(E940="","",IFERROR(INDEX(art_des,MATCH($E940,art_ref,0))&amp;"","Article inconnu"))</f>
        <v/>
      </c>
      <c r="G940" s="67" t="str">
        <f>IF(E940="","",IFERROR(INDEX(art_unit,MATCH($E940,art_ref,0))&amp;"",""))</f>
        <v/>
      </c>
      <c r="H940" s="68" t="n"/>
      <c r="I940" s="69" t="n"/>
      <c r="J940" s="70" t="str">
        <f>IF(E940="","",IF(ISNUMBER(I940),I940,IFERROR(IF(ISNUMBER(INDEX(art_price,MATCH($E940,art_ref,0))),INDEX(art_price,MATCH($E940,art_ref,0)),""),"")))</f>
        <v/>
      </c>
      <c r="K940" s="71" t="n"/>
      <c r="L940" s="72" t="n"/>
      <c r="M940" s="72" t="str">
        <f>IF(E940="","",IF(L940&lt;&gt;"",L940,IFERROR(IF(ISNUMBER(INDEX(art_tva,MATCH($E940,art_ref,0))),INDEX(art_tva,MATCH($E940,art_ref,0)),""),"")))</f>
        <v/>
      </c>
      <c r="N940" s="70" t="str">
        <f>IF(OR(E940="",J940=""),"",ROUND(N(H940)*J940*(1-N(K940)),2))</f>
        <v/>
      </c>
      <c r="O940" s="70" t="str">
        <f>IF(OR(N940="",NOT(ISNUMBER(M940))),"",ROUND(N940*M940,2))</f>
        <v/>
      </c>
      <c r="P940" s="70" t="str">
        <f>IF(N940="","",N940+N(O940))</f>
        <v/>
      </c>
      <c r="Q940" s="64" t="n"/>
      <c r="R940" s="73" t="str">
        <f>IF(N(Q940)&gt;0,Q940,IF(OR(N(B940)=0,ISNA(MATCH($C940,sup_code,0))),"",IF(ISNUMBER(INDEX(sup_delay,MATCH($C940,sup_code,0))),B940+INDEX(sup_delay,MATCH($C940,sup_code,0)),"")))</f>
        <v/>
      </c>
      <c r="S940" s="64" t="n"/>
      <c r="T940" s="68" t="n"/>
      <c r="U940" s="64" t="n"/>
      <c r="V940" s="65" t="n"/>
      <c r="W940" s="74" t="str">
        <f>IF(AND(A940="",E940=""),"",IF(V940="Oui",0,MAX(0,ROUND(N(H940)-N(T940),6))))</f>
        <v/>
      </c>
      <c r="X940" s="67" t="str">
        <f>IF(AND(A940="",E940=""),"",IF(V940="Oui","Annulé",IF(AND(N(H940)&gt;0,N(T940)&gt;=N(H940)),"Reçu",IF(N(S940)=0,"Brouillon",IF(AND(ISNUMBER(R940),R940&lt;p_today),"En retard",IF(N(T940)&gt;0,"Partiel","Envoyé"))))))</f>
        <v/>
      </c>
      <c r="Y940" s="75" t="str">
        <f>IF(X940="En retard",p_today-R940,IF(AND(X940="Reçu",ISNUMBER(R940)),MAX(0,N(U940)-R940),""))</f>
        <v/>
      </c>
      <c r="Z940" s="67" t="str">
        <f>IF(AND(A940="",E940=""),"",IF(A940="","N° de bon manquant",IF(N(B940)=0,"Date de commande manquante",IF(C940="","Fournisseur manquant",IF(ISNA(MATCH($C940,sup_code,0)),"Fournisseur inconnu",IF(E940="","Article manquant",IF(ISNA(MATCH($E940,art_ref,0)),"Article inconnu",IF(N(H940)&lt;=0,"Quantité invalide",IF(J940="","Prix manquant",IF(OR(N(K940)&lt;0,N(K940)&gt;=1),"Remise invalide",IF(M940="","TVA manquante",IF(ISNA(MATCH(M940,p_tva,0)),"Taux de TVA inconnu",IF(COUNTIFS(po_num,A940,po_sup,"&lt;&gt;"&amp;C940)&gt;0,"Fournisseur différent sur ce bon",IF(COUNTIFS(po_num,A940,po_date,"&lt;&gt;"&amp;B940)&gt;0,"Date différente sur ce bon",IF(COUNTIF(po_num,A940)&gt;25,"Plus de 25 lignes sur ce bon",IF(R940="","Date de livraison manquante",IF(R940&lt;B940,"Livraison avant la commande",IF(AND(N(T940)&gt;0,N(S940)=0),"Date d'envoi manquante",IF(N(T940)&gt;N(H940),"Reçu plus que commandé",IF(AND(N(T940)&gt;0,N(U940)=0),"Date de réception manquante",IF(AND(N(U940)&gt;0,U940&lt;B940),"Réception avant la commande","OK")))))))))))))))))))))</f>
        <v/>
      </c>
      <c r="AA940" s="66" t="str">
        <f>IF(AND(X940="Reçu",ISNUMBER(R940)),IF(N(U940)&lt;=R940,1,0),"")</f>
        <v/>
      </c>
      <c r="AB940" s="76" t="str">
        <f>IF(OR(X940="Envoyé",X940="Partiel",X940="En retard"),IF(ISNUMBER(R940),R940,100000)+ROW()/100000,"")</f>
        <v/>
      </c>
      <c r="AC940" s="66" t="str">
        <f>IF(A940="","",IF(COUNTIF($A$6:A940,A940)=1,1,""))</f>
        <v/>
      </c>
      <c r="AD940" s="66" t="str">
        <f>IF(AC940=1,COUNT($AC$6:AC940),"")</f>
        <v/>
      </c>
      <c r="AE940" s="66" t="str">
        <f>IFERROR(INDEX(po_num,MATCH(935,po_seq,0))&amp;"","")</f>
        <v/>
      </c>
      <c r="AF940" s="66" t="str">
        <f>IF(OR(A940="",p_po=""),"",IF(A940&amp;""=p_po,COUNTIF($A$6:A940,A940),""))</f>
        <v/>
      </c>
      <c r="AG940" s="66" t="str">
        <f>IF(OR(AB940="",A940=""),"",IF(COUNTIFS($A$6:A940,A940,$AB$6:AB940,"&gt;0")=1,1,""))</f>
        <v/>
      </c>
      <c r="AH940" s="70" t="str">
        <f>IF(AB940="","",ROUND(N(W940)*N(J940)*(1-N(K940)),2))</f>
        <v/>
      </c>
      <c r="AI940" s="70" t="str">
        <f>IF(OR(J940="",N(T940)&lt;=0,V940="Oui"),"",ROUND(N(T940)*J940*(1-N(K940)),2))</f>
        <v/>
      </c>
    </row>
    <row r="941">
      <c r="A941" s="63" t="n"/>
      <c r="B941" s="64" t="n"/>
      <c r="C941" s="65" t="n"/>
      <c r="D941" s="66" t="str">
        <f>IF(C941="","",IFERROR(INDEX(sup_name,MATCH($C941,sup_code,0))&amp;"","Fournisseur inconnu"))</f>
        <v/>
      </c>
      <c r="E941" s="63" t="n"/>
      <c r="F941" s="66" t="str">
        <f>IF(E941="","",IFERROR(INDEX(art_des,MATCH($E941,art_ref,0))&amp;"","Article inconnu"))</f>
        <v/>
      </c>
      <c r="G941" s="67" t="str">
        <f>IF(E941="","",IFERROR(INDEX(art_unit,MATCH($E941,art_ref,0))&amp;"",""))</f>
        <v/>
      </c>
      <c r="H941" s="68" t="n"/>
      <c r="I941" s="69" t="n"/>
      <c r="J941" s="70" t="str">
        <f>IF(E941="","",IF(ISNUMBER(I941),I941,IFERROR(IF(ISNUMBER(INDEX(art_price,MATCH($E941,art_ref,0))),INDEX(art_price,MATCH($E941,art_ref,0)),""),"")))</f>
        <v/>
      </c>
      <c r="K941" s="71" t="n"/>
      <c r="L941" s="72" t="n"/>
      <c r="M941" s="72" t="str">
        <f>IF(E941="","",IF(L941&lt;&gt;"",L941,IFERROR(IF(ISNUMBER(INDEX(art_tva,MATCH($E941,art_ref,0))),INDEX(art_tva,MATCH($E941,art_ref,0)),""),"")))</f>
        <v/>
      </c>
      <c r="N941" s="70" t="str">
        <f>IF(OR(E941="",J941=""),"",ROUND(N(H941)*J941*(1-N(K941)),2))</f>
        <v/>
      </c>
      <c r="O941" s="70" t="str">
        <f>IF(OR(N941="",NOT(ISNUMBER(M941))),"",ROUND(N941*M941,2))</f>
        <v/>
      </c>
      <c r="P941" s="70" t="str">
        <f>IF(N941="","",N941+N(O941))</f>
        <v/>
      </c>
      <c r="Q941" s="64" t="n"/>
      <c r="R941" s="73" t="str">
        <f>IF(N(Q941)&gt;0,Q941,IF(OR(N(B941)=0,ISNA(MATCH($C941,sup_code,0))),"",IF(ISNUMBER(INDEX(sup_delay,MATCH($C941,sup_code,0))),B941+INDEX(sup_delay,MATCH($C941,sup_code,0)),"")))</f>
        <v/>
      </c>
      <c r="S941" s="64" t="n"/>
      <c r="T941" s="68" t="n"/>
      <c r="U941" s="64" t="n"/>
      <c r="V941" s="65" t="n"/>
      <c r="W941" s="74" t="str">
        <f>IF(AND(A941="",E941=""),"",IF(V941="Oui",0,MAX(0,ROUND(N(H941)-N(T941),6))))</f>
        <v/>
      </c>
      <c r="X941" s="67" t="str">
        <f>IF(AND(A941="",E941=""),"",IF(V941="Oui","Annulé",IF(AND(N(H941)&gt;0,N(T941)&gt;=N(H941)),"Reçu",IF(N(S941)=0,"Brouillon",IF(AND(ISNUMBER(R941),R941&lt;p_today),"En retard",IF(N(T941)&gt;0,"Partiel","Envoyé"))))))</f>
        <v/>
      </c>
      <c r="Y941" s="75" t="str">
        <f>IF(X941="En retard",p_today-R941,IF(AND(X941="Reçu",ISNUMBER(R941)),MAX(0,N(U941)-R941),""))</f>
        <v/>
      </c>
      <c r="Z941" s="67" t="str">
        <f>IF(AND(A941="",E941=""),"",IF(A941="","N° de bon manquant",IF(N(B941)=0,"Date de commande manquante",IF(C941="","Fournisseur manquant",IF(ISNA(MATCH($C941,sup_code,0)),"Fournisseur inconnu",IF(E941="","Article manquant",IF(ISNA(MATCH($E941,art_ref,0)),"Article inconnu",IF(N(H941)&lt;=0,"Quantité invalide",IF(J941="","Prix manquant",IF(OR(N(K941)&lt;0,N(K941)&gt;=1),"Remise invalide",IF(M941="","TVA manquante",IF(ISNA(MATCH(M941,p_tva,0)),"Taux de TVA inconnu",IF(COUNTIFS(po_num,A941,po_sup,"&lt;&gt;"&amp;C941)&gt;0,"Fournisseur différent sur ce bon",IF(COUNTIFS(po_num,A941,po_date,"&lt;&gt;"&amp;B941)&gt;0,"Date différente sur ce bon",IF(COUNTIF(po_num,A941)&gt;25,"Plus de 25 lignes sur ce bon",IF(R941="","Date de livraison manquante",IF(R941&lt;B941,"Livraison avant la commande",IF(AND(N(T941)&gt;0,N(S941)=0),"Date d'envoi manquante",IF(N(T941)&gt;N(H941),"Reçu plus que commandé",IF(AND(N(T941)&gt;0,N(U941)=0),"Date de réception manquante",IF(AND(N(U941)&gt;0,U941&lt;B941),"Réception avant la commande","OK")))))))))))))))))))))</f>
        <v/>
      </c>
      <c r="AA941" s="66" t="str">
        <f>IF(AND(X941="Reçu",ISNUMBER(R941)),IF(N(U941)&lt;=R941,1,0),"")</f>
        <v/>
      </c>
      <c r="AB941" s="76" t="str">
        <f>IF(OR(X941="Envoyé",X941="Partiel",X941="En retard"),IF(ISNUMBER(R941),R941,100000)+ROW()/100000,"")</f>
        <v/>
      </c>
      <c r="AC941" s="66" t="str">
        <f>IF(A941="","",IF(COUNTIF($A$6:A941,A941)=1,1,""))</f>
        <v/>
      </c>
      <c r="AD941" s="66" t="str">
        <f>IF(AC941=1,COUNT($AC$6:AC941),"")</f>
        <v/>
      </c>
      <c r="AE941" s="66" t="str">
        <f>IFERROR(INDEX(po_num,MATCH(936,po_seq,0))&amp;"","")</f>
        <v/>
      </c>
      <c r="AF941" s="66" t="str">
        <f>IF(OR(A941="",p_po=""),"",IF(A941&amp;""=p_po,COUNTIF($A$6:A941,A941),""))</f>
        <v/>
      </c>
      <c r="AG941" s="66" t="str">
        <f>IF(OR(AB941="",A941=""),"",IF(COUNTIFS($A$6:A941,A941,$AB$6:AB941,"&gt;0")=1,1,""))</f>
        <v/>
      </c>
      <c r="AH941" s="70" t="str">
        <f>IF(AB941="","",ROUND(N(W941)*N(J941)*(1-N(K941)),2))</f>
        <v/>
      </c>
      <c r="AI941" s="70" t="str">
        <f>IF(OR(J941="",N(T941)&lt;=0,V941="Oui"),"",ROUND(N(T941)*J941*(1-N(K941)),2))</f>
        <v/>
      </c>
    </row>
    <row r="942">
      <c r="A942" s="63" t="n"/>
      <c r="B942" s="64" t="n"/>
      <c r="C942" s="65" t="n"/>
      <c r="D942" s="66" t="str">
        <f>IF(C942="","",IFERROR(INDEX(sup_name,MATCH($C942,sup_code,0))&amp;"","Fournisseur inconnu"))</f>
        <v/>
      </c>
      <c r="E942" s="63" t="n"/>
      <c r="F942" s="66" t="str">
        <f>IF(E942="","",IFERROR(INDEX(art_des,MATCH($E942,art_ref,0))&amp;"","Article inconnu"))</f>
        <v/>
      </c>
      <c r="G942" s="67" t="str">
        <f>IF(E942="","",IFERROR(INDEX(art_unit,MATCH($E942,art_ref,0))&amp;"",""))</f>
        <v/>
      </c>
      <c r="H942" s="68" t="n"/>
      <c r="I942" s="69" t="n"/>
      <c r="J942" s="70" t="str">
        <f>IF(E942="","",IF(ISNUMBER(I942),I942,IFERROR(IF(ISNUMBER(INDEX(art_price,MATCH($E942,art_ref,0))),INDEX(art_price,MATCH($E942,art_ref,0)),""),"")))</f>
        <v/>
      </c>
      <c r="K942" s="71" t="n"/>
      <c r="L942" s="72" t="n"/>
      <c r="M942" s="72" t="str">
        <f>IF(E942="","",IF(L942&lt;&gt;"",L942,IFERROR(IF(ISNUMBER(INDEX(art_tva,MATCH($E942,art_ref,0))),INDEX(art_tva,MATCH($E942,art_ref,0)),""),"")))</f>
        <v/>
      </c>
      <c r="N942" s="70" t="str">
        <f>IF(OR(E942="",J942=""),"",ROUND(N(H942)*J942*(1-N(K942)),2))</f>
        <v/>
      </c>
      <c r="O942" s="70" t="str">
        <f>IF(OR(N942="",NOT(ISNUMBER(M942))),"",ROUND(N942*M942,2))</f>
        <v/>
      </c>
      <c r="P942" s="70" t="str">
        <f>IF(N942="","",N942+N(O942))</f>
        <v/>
      </c>
      <c r="Q942" s="64" t="n"/>
      <c r="R942" s="73" t="str">
        <f>IF(N(Q942)&gt;0,Q942,IF(OR(N(B942)=0,ISNA(MATCH($C942,sup_code,0))),"",IF(ISNUMBER(INDEX(sup_delay,MATCH($C942,sup_code,0))),B942+INDEX(sup_delay,MATCH($C942,sup_code,0)),"")))</f>
        <v/>
      </c>
      <c r="S942" s="64" t="n"/>
      <c r="T942" s="68" t="n"/>
      <c r="U942" s="64" t="n"/>
      <c r="V942" s="65" t="n"/>
      <c r="W942" s="74" t="str">
        <f>IF(AND(A942="",E942=""),"",IF(V942="Oui",0,MAX(0,ROUND(N(H942)-N(T942),6))))</f>
        <v/>
      </c>
      <c r="X942" s="67" t="str">
        <f>IF(AND(A942="",E942=""),"",IF(V942="Oui","Annulé",IF(AND(N(H942)&gt;0,N(T942)&gt;=N(H942)),"Reçu",IF(N(S942)=0,"Brouillon",IF(AND(ISNUMBER(R942),R942&lt;p_today),"En retard",IF(N(T942)&gt;0,"Partiel","Envoyé"))))))</f>
        <v/>
      </c>
      <c r="Y942" s="75" t="str">
        <f>IF(X942="En retard",p_today-R942,IF(AND(X942="Reçu",ISNUMBER(R942)),MAX(0,N(U942)-R942),""))</f>
        <v/>
      </c>
      <c r="Z942" s="67" t="str">
        <f>IF(AND(A942="",E942=""),"",IF(A942="","N° de bon manquant",IF(N(B942)=0,"Date de commande manquante",IF(C942="","Fournisseur manquant",IF(ISNA(MATCH($C942,sup_code,0)),"Fournisseur inconnu",IF(E942="","Article manquant",IF(ISNA(MATCH($E942,art_ref,0)),"Article inconnu",IF(N(H942)&lt;=0,"Quantité invalide",IF(J942="","Prix manquant",IF(OR(N(K942)&lt;0,N(K942)&gt;=1),"Remise invalide",IF(M942="","TVA manquante",IF(ISNA(MATCH(M942,p_tva,0)),"Taux de TVA inconnu",IF(COUNTIFS(po_num,A942,po_sup,"&lt;&gt;"&amp;C942)&gt;0,"Fournisseur différent sur ce bon",IF(COUNTIFS(po_num,A942,po_date,"&lt;&gt;"&amp;B942)&gt;0,"Date différente sur ce bon",IF(COUNTIF(po_num,A942)&gt;25,"Plus de 25 lignes sur ce bon",IF(R942="","Date de livraison manquante",IF(R942&lt;B942,"Livraison avant la commande",IF(AND(N(T942)&gt;0,N(S942)=0),"Date d'envoi manquante",IF(N(T942)&gt;N(H942),"Reçu plus que commandé",IF(AND(N(T942)&gt;0,N(U942)=0),"Date de réception manquante",IF(AND(N(U942)&gt;0,U942&lt;B942),"Réception avant la commande","OK")))))))))))))))))))))</f>
        <v/>
      </c>
      <c r="AA942" s="66" t="str">
        <f>IF(AND(X942="Reçu",ISNUMBER(R942)),IF(N(U942)&lt;=R942,1,0),"")</f>
        <v/>
      </c>
      <c r="AB942" s="76" t="str">
        <f>IF(OR(X942="Envoyé",X942="Partiel",X942="En retard"),IF(ISNUMBER(R942),R942,100000)+ROW()/100000,"")</f>
        <v/>
      </c>
      <c r="AC942" s="66" t="str">
        <f>IF(A942="","",IF(COUNTIF($A$6:A942,A942)=1,1,""))</f>
        <v/>
      </c>
      <c r="AD942" s="66" t="str">
        <f>IF(AC942=1,COUNT($AC$6:AC942),"")</f>
        <v/>
      </c>
      <c r="AE942" s="66" t="str">
        <f>IFERROR(INDEX(po_num,MATCH(937,po_seq,0))&amp;"","")</f>
        <v/>
      </c>
      <c r="AF942" s="66" t="str">
        <f>IF(OR(A942="",p_po=""),"",IF(A942&amp;""=p_po,COUNTIF($A$6:A942,A942),""))</f>
        <v/>
      </c>
      <c r="AG942" s="66" t="str">
        <f>IF(OR(AB942="",A942=""),"",IF(COUNTIFS($A$6:A942,A942,$AB$6:AB942,"&gt;0")=1,1,""))</f>
        <v/>
      </c>
      <c r="AH942" s="70" t="str">
        <f>IF(AB942="","",ROUND(N(W942)*N(J942)*(1-N(K942)),2))</f>
        <v/>
      </c>
      <c r="AI942" s="70" t="str">
        <f>IF(OR(J942="",N(T942)&lt;=0,V942="Oui"),"",ROUND(N(T942)*J942*(1-N(K942)),2))</f>
        <v/>
      </c>
    </row>
    <row r="943">
      <c r="A943" s="63" t="n"/>
      <c r="B943" s="64" t="n"/>
      <c r="C943" s="65" t="n"/>
      <c r="D943" s="66" t="str">
        <f>IF(C943="","",IFERROR(INDEX(sup_name,MATCH($C943,sup_code,0))&amp;"","Fournisseur inconnu"))</f>
        <v/>
      </c>
      <c r="E943" s="63" t="n"/>
      <c r="F943" s="66" t="str">
        <f>IF(E943="","",IFERROR(INDEX(art_des,MATCH($E943,art_ref,0))&amp;"","Article inconnu"))</f>
        <v/>
      </c>
      <c r="G943" s="67" t="str">
        <f>IF(E943="","",IFERROR(INDEX(art_unit,MATCH($E943,art_ref,0))&amp;"",""))</f>
        <v/>
      </c>
      <c r="H943" s="68" t="n"/>
      <c r="I943" s="69" t="n"/>
      <c r="J943" s="70" t="str">
        <f>IF(E943="","",IF(ISNUMBER(I943),I943,IFERROR(IF(ISNUMBER(INDEX(art_price,MATCH($E943,art_ref,0))),INDEX(art_price,MATCH($E943,art_ref,0)),""),"")))</f>
        <v/>
      </c>
      <c r="K943" s="71" t="n"/>
      <c r="L943" s="72" t="n"/>
      <c r="M943" s="72" t="str">
        <f>IF(E943="","",IF(L943&lt;&gt;"",L943,IFERROR(IF(ISNUMBER(INDEX(art_tva,MATCH($E943,art_ref,0))),INDEX(art_tva,MATCH($E943,art_ref,0)),""),"")))</f>
        <v/>
      </c>
      <c r="N943" s="70" t="str">
        <f>IF(OR(E943="",J943=""),"",ROUND(N(H943)*J943*(1-N(K943)),2))</f>
        <v/>
      </c>
      <c r="O943" s="70" t="str">
        <f>IF(OR(N943="",NOT(ISNUMBER(M943))),"",ROUND(N943*M943,2))</f>
        <v/>
      </c>
      <c r="P943" s="70" t="str">
        <f>IF(N943="","",N943+N(O943))</f>
        <v/>
      </c>
      <c r="Q943" s="64" t="n"/>
      <c r="R943" s="73" t="str">
        <f>IF(N(Q943)&gt;0,Q943,IF(OR(N(B943)=0,ISNA(MATCH($C943,sup_code,0))),"",IF(ISNUMBER(INDEX(sup_delay,MATCH($C943,sup_code,0))),B943+INDEX(sup_delay,MATCH($C943,sup_code,0)),"")))</f>
        <v/>
      </c>
      <c r="S943" s="64" t="n"/>
      <c r="T943" s="68" t="n"/>
      <c r="U943" s="64" t="n"/>
      <c r="V943" s="65" t="n"/>
      <c r="W943" s="74" t="str">
        <f>IF(AND(A943="",E943=""),"",IF(V943="Oui",0,MAX(0,ROUND(N(H943)-N(T943),6))))</f>
        <v/>
      </c>
      <c r="X943" s="67" t="str">
        <f>IF(AND(A943="",E943=""),"",IF(V943="Oui","Annulé",IF(AND(N(H943)&gt;0,N(T943)&gt;=N(H943)),"Reçu",IF(N(S943)=0,"Brouillon",IF(AND(ISNUMBER(R943),R943&lt;p_today),"En retard",IF(N(T943)&gt;0,"Partiel","Envoyé"))))))</f>
        <v/>
      </c>
      <c r="Y943" s="75" t="str">
        <f>IF(X943="En retard",p_today-R943,IF(AND(X943="Reçu",ISNUMBER(R943)),MAX(0,N(U943)-R943),""))</f>
        <v/>
      </c>
      <c r="Z943" s="67" t="str">
        <f>IF(AND(A943="",E943=""),"",IF(A943="","N° de bon manquant",IF(N(B943)=0,"Date de commande manquante",IF(C943="","Fournisseur manquant",IF(ISNA(MATCH($C943,sup_code,0)),"Fournisseur inconnu",IF(E943="","Article manquant",IF(ISNA(MATCH($E943,art_ref,0)),"Article inconnu",IF(N(H943)&lt;=0,"Quantité invalide",IF(J943="","Prix manquant",IF(OR(N(K943)&lt;0,N(K943)&gt;=1),"Remise invalide",IF(M943="","TVA manquante",IF(ISNA(MATCH(M943,p_tva,0)),"Taux de TVA inconnu",IF(COUNTIFS(po_num,A943,po_sup,"&lt;&gt;"&amp;C943)&gt;0,"Fournisseur différent sur ce bon",IF(COUNTIFS(po_num,A943,po_date,"&lt;&gt;"&amp;B943)&gt;0,"Date différente sur ce bon",IF(COUNTIF(po_num,A943)&gt;25,"Plus de 25 lignes sur ce bon",IF(R943="","Date de livraison manquante",IF(R943&lt;B943,"Livraison avant la commande",IF(AND(N(T943)&gt;0,N(S943)=0),"Date d'envoi manquante",IF(N(T943)&gt;N(H943),"Reçu plus que commandé",IF(AND(N(T943)&gt;0,N(U943)=0),"Date de réception manquante",IF(AND(N(U943)&gt;0,U943&lt;B943),"Réception avant la commande","OK")))))))))))))))))))))</f>
        <v/>
      </c>
      <c r="AA943" s="66" t="str">
        <f>IF(AND(X943="Reçu",ISNUMBER(R943)),IF(N(U943)&lt;=R943,1,0),"")</f>
        <v/>
      </c>
      <c r="AB943" s="76" t="str">
        <f>IF(OR(X943="Envoyé",X943="Partiel",X943="En retard"),IF(ISNUMBER(R943),R943,100000)+ROW()/100000,"")</f>
        <v/>
      </c>
      <c r="AC943" s="66" t="str">
        <f>IF(A943="","",IF(COUNTIF($A$6:A943,A943)=1,1,""))</f>
        <v/>
      </c>
      <c r="AD943" s="66" t="str">
        <f>IF(AC943=1,COUNT($AC$6:AC943),"")</f>
        <v/>
      </c>
      <c r="AE943" s="66" t="str">
        <f>IFERROR(INDEX(po_num,MATCH(938,po_seq,0))&amp;"","")</f>
        <v/>
      </c>
      <c r="AF943" s="66" t="str">
        <f>IF(OR(A943="",p_po=""),"",IF(A943&amp;""=p_po,COUNTIF($A$6:A943,A943),""))</f>
        <v/>
      </c>
      <c r="AG943" s="66" t="str">
        <f>IF(OR(AB943="",A943=""),"",IF(COUNTIFS($A$6:A943,A943,$AB$6:AB943,"&gt;0")=1,1,""))</f>
        <v/>
      </c>
      <c r="AH943" s="70" t="str">
        <f>IF(AB943="","",ROUND(N(W943)*N(J943)*(1-N(K943)),2))</f>
        <v/>
      </c>
      <c r="AI943" s="70" t="str">
        <f>IF(OR(J943="",N(T943)&lt;=0,V943="Oui"),"",ROUND(N(T943)*J943*(1-N(K943)),2))</f>
        <v/>
      </c>
    </row>
    <row r="944">
      <c r="A944" s="63" t="n"/>
      <c r="B944" s="64" t="n"/>
      <c r="C944" s="65" t="n"/>
      <c r="D944" s="66" t="str">
        <f>IF(C944="","",IFERROR(INDEX(sup_name,MATCH($C944,sup_code,0))&amp;"","Fournisseur inconnu"))</f>
        <v/>
      </c>
      <c r="E944" s="63" t="n"/>
      <c r="F944" s="66" t="str">
        <f>IF(E944="","",IFERROR(INDEX(art_des,MATCH($E944,art_ref,0))&amp;"","Article inconnu"))</f>
        <v/>
      </c>
      <c r="G944" s="67" t="str">
        <f>IF(E944="","",IFERROR(INDEX(art_unit,MATCH($E944,art_ref,0))&amp;"",""))</f>
        <v/>
      </c>
      <c r="H944" s="68" t="n"/>
      <c r="I944" s="69" t="n"/>
      <c r="J944" s="70" t="str">
        <f>IF(E944="","",IF(ISNUMBER(I944),I944,IFERROR(IF(ISNUMBER(INDEX(art_price,MATCH($E944,art_ref,0))),INDEX(art_price,MATCH($E944,art_ref,0)),""),"")))</f>
        <v/>
      </c>
      <c r="K944" s="71" t="n"/>
      <c r="L944" s="72" t="n"/>
      <c r="M944" s="72" t="str">
        <f>IF(E944="","",IF(L944&lt;&gt;"",L944,IFERROR(IF(ISNUMBER(INDEX(art_tva,MATCH($E944,art_ref,0))),INDEX(art_tva,MATCH($E944,art_ref,0)),""),"")))</f>
        <v/>
      </c>
      <c r="N944" s="70" t="str">
        <f>IF(OR(E944="",J944=""),"",ROUND(N(H944)*J944*(1-N(K944)),2))</f>
        <v/>
      </c>
      <c r="O944" s="70" t="str">
        <f>IF(OR(N944="",NOT(ISNUMBER(M944))),"",ROUND(N944*M944,2))</f>
        <v/>
      </c>
      <c r="P944" s="70" t="str">
        <f>IF(N944="","",N944+N(O944))</f>
        <v/>
      </c>
      <c r="Q944" s="64" t="n"/>
      <c r="R944" s="73" t="str">
        <f>IF(N(Q944)&gt;0,Q944,IF(OR(N(B944)=0,ISNA(MATCH($C944,sup_code,0))),"",IF(ISNUMBER(INDEX(sup_delay,MATCH($C944,sup_code,0))),B944+INDEX(sup_delay,MATCH($C944,sup_code,0)),"")))</f>
        <v/>
      </c>
      <c r="S944" s="64" t="n"/>
      <c r="T944" s="68" t="n"/>
      <c r="U944" s="64" t="n"/>
      <c r="V944" s="65" t="n"/>
      <c r="W944" s="74" t="str">
        <f>IF(AND(A944="",E944=""),"",IF(V944="Oui",0,MAX(0,ROUND(N(H944)-N(T944),6))))</f>
        <v/>
      </c>
      <c r="X944" s="67" t="str">
        <f>IF(AND(A944="",E944=""),"",IF(V944="Oui","Annulé",IF(AND(N(H944)&gt;0,N(T944)&gt;=N(H944)),"Reçu",IF(N(S944)=0,"Brouillon",IF(AND(ISNUMBER(R944),R944&lt;p_today),"En retard",IF(N(T944)&gt;0,"Partiel","Envoyé"))))))</f>
        <v/>
      </c>
      <c r="Y944" s="75" t="str">
        <f>IF(X944="En retard",p_today-R944,IF(AND(X944="Reçu",ISNUMBER(R944)),MAX(0,N(U944)-R944),""))</f>
        <v/>
      </c>
      <c r="Z944" s="67" t="str">
        <f>IF(AND(A944="",E944=""),"",IF(A944="","N° de bon manquant",IF(N(B944)=0,"Date de commande manquante",IF(C944="","Fournisseur manquant",IF(ISNA(MATCH($C944,sup_code,0)),"Fournisseur inconnu",IF(E944="","Article manquant",IF(ISNA(MATCH($E944,art_ref,0)),"Article inconnu",IF(N(H944)&lt;=0,"Quantité invalide",IF(J944="","Prix manquant",IF(OR(N(K944)&lt;0,N(K944)&gt;=1),"Remise invalide",IF(M944="","TVA manquante",IF(ISNA(MATCH(M944,p_tva,0)),"Taux de TVA inconnu",IF(COUNTIFS(po_num,A944,po_sup,"&lt;&gt;"&amp;C944)&gt;0,"Fournisseur différent sur ce bon",IF(COUNTIFS(po_num,A944,po_date,"&lt;&gt;"&amp;B944)&gt;0,"Date différente sur ce bon",IF(COUNTIF(po_num,A944)&gt;25,"Plus de 25 lignes sur ce bon",IF(R944="","Date de livraison manquante",IF(R944&lt;B944,"Livraison avant la commande",IF(AND(N(T944)&gt;0,N(S944)=0),"Date d'envoi manquante",IF(N(T944)&gt;N(H944),"Reçu plus que commandé",IF(AND(N(T944)&gt;0,N(U944)=0),"Date de réception manquante",IF(AND(N(U944)&gt;0,U944&lt;B944),"Réception avant la commande","OK")))))))))))))))))))))</f>
        <v/>
      </c>
      <c r="AA944" s="66" t="str">
        <f>IF(AND(X944="Reçu",ISNUMBER(R944)),IF(N(U944)&lt;=R944,1,0),"")</f>
        <v/>
      </c>
      <c r="AB944" s="76" t="str">
        <f>IF(OR(X944="Envoyé",X944="Partiel",X944="En retard"),IF(ISNUMBER(R944),R944,100000)+ROW()/100000,"")</f>
        <v/>
      </c>
      <c r="AC944" s="66" t="str">
        <f>IF(A944="","",IF(COUNTIF($A$6:A944,A944)=1,1,""))</f>
        <v/>
      </c>
      <c r="AD944" s="66" t="str">
        <f>IF(AC944=1,COUNT($AC$6:AC944),"")</f>
        <v/>
      </c>
      <c r="AE944" s="66" t="str">
        <f>IFERROR(INDEX(po_num,MATCH(939,po_seq,0))&amp;"","")</f>
        <v/>
      </c>
      <c r="AF944" s="66" t="str">
        <f>IF(OR(A944="",p_po=""),"",IF(A944&amp;""=p_po,COUNTIF($A$6:A944,A944),""))</f>
        <v/>
      </c>
      <c r="AG944" s="66" t="str">
        <f>IF(OR(AB944="",A944=""),"",IF(COUNTIFS($A$6:A944,A944,$AB$6:AB944,"&gt;0")=1,1,""))</f>
        <v/>
      </c>
      <c r="AH944" s="70" t="str">
        <f>IF(AB944="","",ROUND(N(W944)*N(J944)*(1-N(K944)),2))</f>
        <v/>
      </c>
      <c r="AI944" s="70" t="str">
        <f>IF(OR(J944="",N(T944)&lt;=0,V944="Oui"),"",ROUND(N(T944)*J944*(1-N(K944)),2))</f>
        <v/>
      </c>
    </row>
    <row r="945">
      <c r="A945" s="63" t="n"/>
      <c r="B945" s="64" t="n"/>
      <c r="C945" s="65" t="n"/>
      <c r="D945" s="66" t="str">
        <f>IF(C945="","",IFERROR(INDEX(sup_name,MATCH($C945,sup_code,0))&amp;"","Fournisseur inconnu"))</f>
        <v/>
      </c>
      <c r="E945" s="63" t="n"/>
      <c r="F945" s="66" t="str">
        <f>IF(E945="","",IFERROR(INDEX(art_des,MATCH($E945,art_ref,0))&amp;"","Article inconnu"))</f>
        <v/>
      </c>
      <c r="G945" s="67" t="str">
        <f>IF(E945="","",IFERROR(INDEX(art_unit,MATCH($E945,art_ref,0))&amp;"",""))</f>
        <v/>
      </c>
      <c r="H945" s="68" t="n"/>
      <c r="I945" s="69" t="n"/>
      <c r="J945" s="70" t="str">
        <f>IF(E945="","",IF(ISNUMBER(I945),I945,IFERROR(IF(ISNUMBER(INDEX(art_price,MATCH($E945,art_ref,0))),INDEX(art_price,MATCH($E945,art_ref,0)),""),"")))</f>
        <v/>
      </c>
      <c r="K945" s="71" t="n"/>
      <c r="L945" s="72" t="n"/>
      <c r="M945" s="72" t="str">
        <f>IF(E945="","",IF(L945&lt;&gt;"",L945,IFERROR(IF(ISNUMBER(INDEX(art_tva,MATCH($E945,art_ref,0))),INDEX(art_tva,MATCH($E945,art_ref,0)),""),"")))</f>
        <v/>
      </c>
      <c r="N945" s="70" t="str">
        <f>IF(OR(E945="",J945=""),"",ROUND(N(H945)*J945*(1-N(K945)),2))</f>
        <v/>
      </c>
      <c r="O945" s="70" t="str">
        <f>IF(OR(N945="",NOT(ISNUMBER(M945))),"",ROUND(N945*M945,2))</f>
        <v/>
      </c>
      <c r="P945" s="70" t="str">
        <f>IF(N945="","",N945+N(O945))</f>
        <v/>
      </c>
      <c r="Q945" s="64" t="n"/>
      <c r="R945" s="73" t="str">
        <f>IF(N(Q945)&gt;0,Q945,IF(OR(N(B945)=0,ISNA(MATCH($C945,sup_code,0))),"",IF(ISNUMBER(INDEX(sup_delay,MATCH($C945,sup_code,0))),B945+INDEX(sup_delay,MATCH($C945,sup_code,0)),"")))</f>
        <v/>
      </c>
      <c r="S945" s="64" t="n"/>
      <c r="T945" s="68" t="n"/>
      <c r="U945" s="64" t="n"/>
      <c r="V945" s="65" t="n"/>
      <c r="W945" s="74" t="str">
        <f>IF(AND(A945="",E945=""),"",IF(V945="Oui",0,MAX(0,ROUND(N(H945)-N(T945),6))))</f>
        <v/>
      </c>
      <c r="X945" s="67" t="str">
        <f>IF(AND(A945="",E945=""),"",IF(V945="Oui","Annulé",IF(AND(N(H945)&gt;0,N(T945)&gt;=N(H945)),"Reçu",IF(N(S945)=0,"Brouillon",IF(AND(ISNUMBER(R945),R945&lt;p_today),"En retard",IF(N(T945)&gt;0,"Partiel","Envoyé"))))))</f>
        <v/>
      </c>
      <c r="Y945" s="75" t="str">
        <f>IF(X945="En retard",p_today-R945,IF(AND(X945="Reçu",ISNUMBER(R945)),MAX(0,N(U945)-R945),""))</f>
        <v/>
      </c>
      <c r="Z945" s="67" t="str">
        <f>IF(AND(A945="",E945=""),"",IF(A945="","N° de bon manquant",IF(N(B945)=0,"Date de commande manquante",IF(C945="","Fournisseur manquant",IF(ISNA(MATCH($C945,sup_code,0)),"Fournisseur inconnu",IF(E945="","Article manquant",IF(ISNA(MATCH($E945,art_ref,0)),"Article inconnu",IF(N(H945)&lt;=0,"Quantité invalide",IF(J945="","Prix manquant",IF(OR(N(K945)&lt;0,N(K945)&gt;=1),"Remise invalide",IF(M945="","TVA manquante",IF(ISNA(MATCH(M945,p_tva,0)),"Taux de TVA inconnu",IF(COUNTIFS(po_num,A945,po_sup,"&lt;&gt;"&amp;C945)&gt;0,"Fournisseur différent sur ce bon",IF(COUNTIFS(po_num,A945,po_date,"&lt;&gt;"&amp;B945)&gt;0,"Date différente sur ce bon",IF(COUNTIF(po_num,A945)&gt;25,"Plus de 25 lignes sur ce bon",IF(R945="","Date de livraison manquante",IF(R945&lt;B945,"Livraison avant la commande",IF(AND(N(T945)&gt;0,N(S945)=0),"Date d'envoi manquante",IF(N(T945)&gt;N(H945),"Reçu plus que commandé",IF(AND(N(T945)&gt;0,N(U945)=0),"Date de réception manquante",IF(AND(N(U945)&gt;0,U945&lt;B945),"Réception avant la commande","OK")))))))))))))))))))))</f>
        <v/>
      </c>
      <c r="AA945" s="66" t="str">
        <f>IF(AND(X945="Reçu",ISNUMBER(R945)),IF(N(U945)&lt;=R945,1,0),"")</f>
        <v/>
      </c>
      <c r="AB945" s="76" t="str">
        <f>IF(OR(X945="Envoyé",X945="Partiel",X945="En retard"),IF(ISNUMBER(R945),R945,100000)+ROW()/100000,"")</f>
        <v/>
      </c>
      <c r="AC945" s="66" t="str">
        <f>IF(A945="","",IF(COUNTIF($A$6:A945,A945)=1,1,""))</f>
        <v/>
      </c>
      <c r="AD945" s="66" t="str">
        <f>IF(AC945=1,COUNT($AC$6:AC945),"")</f>
        <v/>
      </c>
      <c r="AE945" s="66" t="str">
        <f>IFERROR(INDEX(po_num,MATCH(940,po_seq,0))&amp;"","")</f>
        <v/>
      </c>
      <c r="AF945" s="66" t="str">
        <f>IF(OR(A945="",p_po=""),"",IF(A945&amp;""=p_po,COUNTIF($A$6:A945,A945),""))</f>
        <v/>
      </c>
      <c r="AG945" s="66" t="str">
        <f>IF(OR(AB945="",A945=""),"",IF(COUNTIFS($A$6:A945,A945,$AB$6:AB945,"&gt;0")=1,1,""))</f>
        <v/>
      </c>
      <c r="AH945" s="70" t="str">
        <f>IF(AB945="","",ROUND(N(W945)*N(J945)*(1-N(K945)),2))</f>
        <v/>
      </c>
      <c r="AI945" s="70" t="str">
        <f>IF(OR(J945="",N(T945)&lt;=0,V945="Oui"),"",ROUND(N(T945)*J945*(1-N(K945)),2))</f>
        <v/>
      </c>
    </row>
    <row r="946">
      <c r="A946" s="63" t="n"/>
      <c r="B946" s="64" t="n"/>
      <c r="C946" s="65" t="n"/>
      <c r="D946" s="66" t="str">
        <f>IF(C946="","",IFERROR(INDEX(sup_name,MATCH($C946,sup_code,0))&amp;"","Fournisseur inconnu"))</f>
        <v/>
      </c>
      <c r="E946" s="63" t="n"/>
      <c r="F946" s="66" t="str">
        <f>IF(E946="","",IFERROR(INDEX(art_des,MATCH($E946,art_ref,0))&amp;"","Article inconnu"))</f>
        <v/>
      </c>
      <c r="G946" s="67" t="str">
        <f>IF(E946="","",IFERROR(INDEX(art_unit,MATCH($E946,art_ref,0))&amp;"",""))</f>
        <v/>
      </c>
      <c r="H946" s="68" t="n"/>
      <c r="I946" s="69" t="n"/>
      <c r="J946" s="70" t="str">
        <f>IF(E946="","",IF(ISNUMBER(I946),I946,IFERROR(IF(ISNUMBER(INDEX(art_price,MATCH($E946,art_ref,0))),INDEX(art_price,MATCH($E946,art_ref,0)),""),"")))</f>
        <v/>
      </c>
      <c r="K946" s="71" t="n"/>
      <c r="L946" s="72" t="n"/>
      <c r="M946" s="72" t="str">
        <f>IF(E946="","",IF(L946&lt;&gt;"",L946,IFERROR(IF(ISNUMBER(INDEX(art_tva,MATCH($E946,art_ref,0))),INDEX(art_tva,MATCH($E946,art_ref,0)),""),"")))</f>
        <v/>
      </c>
      <c r="N946" s="70" t="str">
        <f>IF(OR(E946="",J946=""),"",ROUND(N(H946)*J946*(1-N(K946)),2))</f>
        <v/>
      </c>
      <c r="O946" s="70" t="str">
        <f>IF(OR(N946="",NOT(ISNUMBER(M946))),"",ROUND(N946*M946,2))</f>
        <v/>
      </c>
      <c r="P946" s="70" t="str">
        <f>IF(N946="","",N946+N(O946))</f>
        <v/>
      </c>
      <c r="Q946" s="64" t="n"/>
      <c r="R946" s="73" t="str">
        <f>IF(N(Q946)&gt;0,Q946,IF(OR(N(B946)=0,ISNA(MATCH($C946,sup_code,0))),"",IF(ISNUMBER(INDEX(sup_delay,MATCH($C946,sup_code,0))),B946+INDEX(sup_delay,MATCH($C946,sup_code,0)),"")))</f>
        <v/>
      </c>
      <c r="S946" s="64" t="n"/>
      <c r="T946" s="68" t="n"/>
      <c r="U946" s="64" t="n"/>
      <c r="V946" s="65" t="n"/>
      <c r="W946" s="74" t="str">
        <f>IF(AND(A946="",E946=""),"",IF(V946="Oui",0,MAX(0,ROUND(N(H946)-N(T946),6))))</f>
        <v/>
      </c>
      <c r="X946" s="67" t="str">
        <f>IF(AND(A946="",E946=""),"",IF(V946="Oui","Annulé",IF(AND(N(H946)&gt;0,N(T946)&gt;=N(H946)),"Reçu",IF(N(S946)=0,"Brouillon",IF(AND(ISNUMBER(R946),R946&lt;p_today),"En retard",IF(N(T946)&gt;0,"Partiel","Envoyé"))))))</f>
        <v/>
      </c>
      <c r="Y946" s="75" t="str">
        <f>IF(X946="En retard",p_today-R946,IF(AND(X946="Reçu",ISNUMBER(R946)),MAX(0,N(U946)-R946),""))</f>
        <v/>
      </c>
      <c r="Z946" s="67" t="str">
        <f>IF(AND(A946="",E946=""),"",IF(A946="","N° de bon manquant",IF(N(B946)=0,"Date de commande manquante",IF(C946="","Fournisseur manquant",IF(ISNA(MATCH($C946,sup_code,0)),"Fournisseur inconnu",IF(E946="","Article manquant",IF(ISNA(MATCH($E946,art_ref,0)),"Article inconnu",IF(N(H946)&lt;=0,"Quantité invalide",IF(J946="","Prix manquant",IF(OR(N(K946)&lt;0,N(K946)&gt;=1),"Remise invalide",IF(M946="","TVA manquante",IF(ISNA(MATCH(M946,p_tva,0)),"Taux de TVA inconnu",IF(COUNTIFS(po_num,A946,po_sup,"&lt;&gt;"&amp;C946)&gt;0,"Fournisseur différent sur ce bon",IF(COUNTIFS(po_num,A946,po_date,"&lt;&gt;"&amp;B946)&gt;0,"Date différente sur ce bon",IF(COUNTIF(po_num,A946)&gt;25,"Plus de 25 lignes sur ce bon",IF(R946="","Date de livraison manquante",IF(R946&lt;B946,"Livraison avant la commande",IF(AND(N(T946)&gt;0,N(S946)=0),"Date d'envoi manquante",IF(N(T946)&gt;N(H946),"Reçu plus que commandé",IF(AND(N(T946)&gt;0,N(U946)=0),"Date de réception manquante",IF(AND(N(U946)&gt;0,U946&lt;B946),"Réception avant la commande","OK")))))))))))))))))))))</f>
        <v/>
      </c>
      <c r="AA946" s="66" t="str">
        <f>IF(AND(X946="Reçu",ISNUMBER(R946)),IF(N(U946)&lt;=R946,1,0),"")</f>
        <v/>
      </c>
      <c r="AB946" s="76" t="str">
        <f>IF(OR(X946="Envoyé",X946="Partiel",X946="En retard"),IF(ISNUMBER(R946),R946,100000)+ROW()/100000,"")</f>
        <v/>
      </c>
      <c r="AC946" s="66" t="str">
        <f>IF(A946="","",IF(COUNTIF($A$6:A946,A946)=1,1,""))</f>
        <v/>
      </c>
      <c r="AD946" s="66" t="str">
        <f>IF(AC946=1,COUNT($AC$6:AC946),"")</f>
        <v/>
      </c>
      <c r="AE946" s="66" t="str">
        <f>IFERROR(INDEX(po_num,MATCH(941,po_seq,0))&amp;"","")</f>
        <v/>
      </c>
      <c r="AF946" s="66" t="str">
        <f>IF(OR(A946="",p_po=""),"",IF(A946&amp;""=p_po,COUNTIF($A$6:A946,A946),""))</f>
        <v/>
      </c>
      <c r="AG946" s="66" t="str">
        <f>IF(OR(AB946="",A946=""),"",IF(COUNTIFS($A$6:A946,A946,$AB$6:AB946,"&gt;0")=1,1,""))</f>
        <v/>
      </c>
      <c r="AH946" s="70" t="str">
        <f>IF(AB946="","",ROUND(N(W946)*N(J946)*(1-N(K946)),2))</f>
        <v/>
      </c>
      <c r="AI946" s="70" t="str">
        <f>IF(OR(J946="",N(T946)&lt;=0,V946="Oui"),"",ROUND(N(T946)*J946*(1-N(K946)),2))</f>
        <v/>
      </c>
    </row>
    <row r="947">
      <c r="A947" s="63" t="n"/>
      <c r="B947" s="64" t="n"/>
      <c r="C947" s="65" t="n"/>
      <c r="D947" s="66" t="str">
        <f>IF(C947="","",IFERROR(INDEX(sup_name,MATCH($C947,sup_code,0))&amp;"","Fournisseur inconnu"))</f>
        <v/>
      </c>
      <c r="E947" s="63" t="n"/>
      <c r="F947" s="66" t="str">
        <f>IF(E947="","",IFERROR(INDEX(art_des,MATCH($E947,art_ref,0))&amp;"","Article inconnu"))</f>
        <v/>
      </c>
      <c r="G947" s="67" t="str">
        <f>IF(E947="","",IFERROR(INDEX(art_unit,MATCH($E947,art_ref,0))&amp;"",""))</f>
        <v/>
      </c>
      <c r="H947" s="68" t="n"/>
      <c r="I947" s="69" t="n"/>
      <c r="J947" s="70" t="str">
        <f>IF(E947="","",IF(ISNUMBER(I947),I947,IFERROR(IF(ISNUMBER(INDEX(art_price,MATCH($E947,art_ref,0))),INDEX(art_price,MATCH($E947,art_ref,0)),""),"")))</f>
        <v/>
      </c>
      <c r="K947" s="71" t="n"/>
      <c r="L947" s="72" t="n"/>
      <c r="M947" s="72" t="str">
        <f>IF(E947="","",IF(L947&lt;&gt;"",L947,IFERROR(IF(ISNUMBER(INDEX(art_tva,MATCH($E947,art_ref,0))),INDEX(art_tva,MATCH($E947,art_ref,0)),""),"")))</f>
        <v/>
      </c>
      <c r="N947" s="70" t="str">
        <f>IF(OR(E947="",J947=""),"",ROUND(N(H947)*J947*(1-N(K947)),2))</f>
        <v/>
      </c>
      <c r="O947" s="70" t="str">
        <f>IF(OR(N947="",NOT(ISNUMBER(M947))),"",ROUND(N947*M947,2))</f>
        <v/>
      </c>
      <c r="P947" s="70" t="str">
        <f>IF(N947="","",N947+N(O947))</f>
        <v/>
      </c>
      <c r="Q947" s="64" t="n"/>
      <c r="R947" s="73" t="str">
        <f>IF(N(Q947)&gt;0,Q947,IF(OR(N(B947)=0,ISNA(MATCH($C947,sup_code,0))),"",IF(ISNUMBER(INDEX(sup_delay,MATCH($C947,sup_code,0))),B947+INDEX(sup_delay,MATCH($C947,sup_code,0)),"")))</f>
        <v/>
      </c>
      <c r="S947" s="64" t="n"/>
      <c r="T947" s="68" t="n"/>
      <c r="U947" s="64" t="n"/>
      <c r="V947" s="65" t="n"/>
      <c r="W947" s="74" t="str">
        <f>IF(AND(A947="",E947=""),"",IF(V947="Oui",0,MAX(0,ROUND(N(H947)-N(T947),6))))</f>
        <v/>
      </c>
      <c r="X947" s="67" t="str">
        <f>IF(AND(A947="",E947=""),"",IF(V947="Oui","Annulé",IF(AND(N(H947)&gt;0,N(T947)&gt;=N(H947)),"Reçu",IF(N(S947)=0,"Brouillon",IF(AND(ISNUMBER(R947),R947&lt;p_today),"En retard",IF(N(T947)&gt;0,"Partiel","Envoyé"))))))</f>
        <v/>
      </c>
      <c r="Y947" s="75" t="str">
        <f>IF(X947="En retard",p_today-R947,IF(AND(X947="Reçu",ISNUMBER(R947)),MAX(0,N(U947)-R947),""))</f>
        <v/>
      </c>
      <c r="Z947" s="67" t="str">
        <f>IF(AND(A947="",E947=""),"",IF(A947="","N° de bon manquant",IF(N(B947)=0,"Date de commande manquante",IF(C947="","Fournisseur manquant",IF(ISNA(MATCH($C947,sup_code,0)),"Fournisseur inconnu",IF(E947="","Article manquant",IF(ISNA(MATCH($E947,art_ref,0)),"Article inconnu",IF(N(H947)&lt;=0,"Quantité invalide",IF(J947="","Prix manquant",IF(OR(N(K947)&lt;0,N(K947)&gt;=1),"Remise invalide",IF(M947="","TVA manquante",IF(ISNA(MATCH(M947,p_tva,0)),"Taux de TVA inconnu",IF(COUNTIFS(po_num,A947,po_sup,"&lt;&gt;"&amp;C947)&gt;0,"Fournisseur différent sur ce bon",IF(COUNTIFS(po_num,A947,po_date,"&lt;&gt;"&amp;B947)&gt;0,"Date différente sur ce bon",IF(COUNTIF(po_num,A947)&gt;25,"Plus de 25 lignes sur ce bon",IF(R947="","Date de livraison manquante",IF(R947&lt;B947,"Livraison avant la commande",IF(AND(N(T947)&gt;0,N(S947)=0),"Date d'envoi manquante",IF(N(T947)&gt;N(H947),"Reçu plus que commandé",IF(AND(N(T947)&gt;0,N(U947)=0),"Date de réception manquante",IF(AND(N(U947)&gt;0,U947&lt;B947),"Réception avant la commande","OK")))))))))))))))))))))</f>
        <v/>
      </c>
      <c r="AA947" s="66" t="str">
        <f>IF(AND(X947="Reçu",ISNUMBER(R947)),IF(N(U947)&lt;=R947,1,0),"")</f>
        <v/>
      </c>
      <c r="AB947" s="76" t="str">
        <f>IF(OR(X947="Envoyé",X947="Partiel",X947="En retard"),IF(ISNUMBER(R947),R947,100000)+ROW()/100000,"")</f>
        <v/>
      </c>
      <c r="AC947" s="66" t="str">
        <f>IF(A947="","",IF(COUNTIF($A$6:A947,A947)=1,1,""))</f>
        <v/>
      </c>
      <c r="AD947" s="66" t="str">
        <f>IF(AC947=1,COUNT($AC$6:AC947),"")</f>
        <v/>
      </c>
      <c r="AE947" s="66" t="str">
        <f>IFERROR(INDEX(po_num,MATCH(942,po_seq,0))&amp;"","")</f>
        <v/>
      </c>
      <c r="AF947" s="66" t="str">
        <f>IF(OR(A947="",p_po=""),"",IF(A947&amp;""=p_po,COUNTIF($A$6:A947,A947),""))</f>
        <v/>
      </c>
      <c r="AG947" s="66" t="str">
        <f>IF(OR(AB947="",A947=""),"",IF(COUNTIFS($A$6:A947,A947,$AB$6:AB947,"&gt;0")=1,1,""))</f>
        <v/>
      </c>
      <c r="AH947" s="70" t="str">
        <f>IF(AB947="","",ROUND(N(W947)*N(J947)*(1-N(K947)),2))</f>
        <v/>
      </c>
      <c r="AI947" s="70" t="str">
        <f>IF(OR(J947="",N(T947)&lt;=0,V947="Oui"),"",ROUND(N(T947)*J947*(1-N(K947)),2))</f>
        <v/>
      </c>
    </row>
    <row r="948">
      <c r="A948" s="63" t="n"/>
      <c r="B948" s="64" t="n"/>
      <c r="C948" s="65" t="n"/>
      <c r="D948" s="66" t="str">
        <f>IF(C948="","",IFERROR(INDEX(sup_name,MATCH($C948,sup_code,0))&amp;"","Fournisseur inconnu"))</f>
        <v/>
      </c>
      <c r="E948" s="63" t="n"/>
      <c r="F948" s="66" t="str">
        <f>IF(E948="","",IFERROR(INDEX(art_des,MATCH($E948,art_ref,0))&amp;"","Article inconnu"))</f>
        <v/>
      </c>
      <c r="G948" s="67" t="str">
        <f>IF(E948="","",IFERROR(INDEX(art_unit,MATCH($E948,art_ref,0))&amp;"",""))</f>
        <v/>
      </c>
      <c r="H948" s="68" t="n"/>
      <c r="I948" s="69" t="n"/>
      <c r="J948" s="70" t="str">
        <f>IF(E948="","",IF(ISNUMBER(I948),I948,IFERROR(IF(ISNUMBER(INDEX(art_price,MATCH($E948,art_ref,0))),INDEX(art_price,MATCH($E948,art_ref,0)),""),"")))</f>
        <v/>
      </c>
      <c r="K948" s="71" t="n"/>
      <c r="L948" s="72" t="n"/>
      <c r="M948" s="72" t="str">
        <f>IF(E948="","",IF(L948&lt;&gt;"",L948,IFERROR(IF(ISNUMBER(INDEX(art_tva,MATCH($E948,art_ref,0))),INDEX(art_tva,MATCH($E948,art_ref,0)),""),"")))</f>
        <v/>
      </c>
      <c r="N948" s="70" t="str">
        <f>IF(OR(E948="",J948=""),"",ROUND(N(H948)*J948*(1-N(K948)),2))</f>
        <v/>
      </c>
      <c r="O948" s="70" t="str">
        <f>IF(OR(N948="",NOT(ISNUMBER(M948))),"",ROUND(N948*M948,2))</f>
        <v/>
      </c>
      <c r="P948" s="70" t="str">
        <f>IF(N948="","",N948+N(O948))</f>
        <v/>
      </c>
      <c r="Q948" s="64" t="n"/>
      <c r="R948" s="73" t="str">
        <f>IF(N(Q948)&gt;0,Q948,IF(OR(N(B948)=0,ISNA(MATCH($C948,sup_code,0))),"",IF(ISNUMBER(INDEX(sup_delay,MATCH($C948,sup_code,0))),B948+INDEX(sup_delay,MATCH($C948,sup_code,0)),"")))</f>
        <v/>
      </c>
      <c r="S948" s="64" t="n"/>
      <c r="T948" s="68" t="n"/>
      <c r="U948" s="64" t="n"/>
      <c r="V948" s="65" t="n"/>
      <c r="W948" s="74" t="str">
        <f>IF(AND(A948="",E948=""),"",IF(V948="Oui",0,MAX(0,ROUND(N(H948)-N(T948),6))))</f>
        <v/>
      </c>
      <c r="X948" s="67" t="str">
        <f>IF(AND(A948="",E948=""),"",IF(V948="Oui","Annulé",IF(AND(N(H948)&gt;0,N(T948)&gt;=N(H948)),"Reçu",IF(N(S948)=0,"Brouillon",IF(AND(ISNUMBER(R948),R948&lt;p_today),"En retard",IF(N(T948)&gt;0,"Partiel","Envoyé"))))))</f>
        <v/>
      </c>
      <c r="Y948" s="75" t="str">
        <f>IF(X948="En retard",p_today-R948,IF(AND(X948="Reçu",ISNUMBER(R948)),MAX(0,N(U948)-R948),""))</f>
        <v/>
      </c>
      <c r="Z948" s="67" t="str">
        <f>IF(AND(A948="",E948=""),"",IF(A948="","N° de bon manquant",IF(N(B948)=0,"Date de commande manquante",IF(C948="","Fournisseur manquant",IF(ISNA(MATCH($C948,sup_code,0)),"Fournisseur inconnu",IF(E948="","Article manquant",IF(ISNA(MATCH($E948,art_ref,0)),"Article inconnu",IF(N(H948)&lt;=0,"Quantité invalide",IF(J948="","Prix manquant",IF(OR(N(K948)&lt;0,N(K948)&gt;=1),"Remise invalide",IF(M948="","TVA manquante",IF(ISNA(MATCH(M948,p_tva,0)),"Taux de TVA inconnu",IF(COUNTIFS(po_num,A948,po_sup,"&lt;&gt;"&amp;C948)&gt;0,"Fournisseur différent sur ce bon",IF(COUNTIFS(po_num,A948,po_date,"&lt;&gt;"&amp;B948)&gt;0,"Date différente sur ce bon",IF(COUNTIF(po_num,A948)&gt;25,"Plus de 25 lignes sur ce bon",IF(R948="","Date de livraison manquante",IF(R948&lt;B948,"Livraison avant la commande",IF(AND(N(T948)&gt;0,N(S948)=0),"Date d'envoi manquante",IF(N(T948)&gt;N(H948),"Reçu plus que commandé",IF(AND(N(T948)&gt;0,N(U948)=0),"Date de réception manquante",IF(AND(N(U948)&gt;0,U948&lt;B948),"Réception avant la commande","OK")))))))))))))))))))))</f>
        <v/>
      </c>
      <c r="AA948" s="66" t="str">
        <f>IF(AND(X948="Reçu",ISNUMBER(R948)),IF(N(U948)&lt;=R948,1,0),"")</f>
        <v/>
      </c>
      <c r="AB948" s="76" t="str">
        <f>IF(OR(X948="Envoyé",X948="Partiel",X948="En retard"),IF(ISNUMBER(R948),R948,100000)+ROW()/100000,"")</f>
        <v/>
      </c>
      <c r="AC948" s="66" t="str">
        <f>IF(A948="","",IF(COUNTIF($A$6:A948,A948)=1,1,""))</f>
        <v/>
      </c>
      <c r="AD948" s="66" t="str">
        <f>IF(AC948=1,COUNT($AC$6:AC948),"")</f>
        <v/>
      </c>
      <c r="AE948" s="66" t="str">
        <f>IFERROR(INDEX(po_num,MATCH(943,po_seq,0))&amp;"","")</f>
        <v/>
      </c>
      <c r="AF948" s="66" t="str">
        <f>IF(OR(A948="",p_po=""),"",IF(A948&amp;""=p_po,COUNTIF($A$6:A948,A948),""))</f>
        <v/>
      </c>
      <c r="AG948" s="66" t="str">
        <f>IF(OR(AB948="",A948=""),"",IF(COUNTIFS($A$6:A948,A948,$AB$6:AB948,"&gt;0")=1,1,""))</f>
        <v/>
      </c>
      <c r="AH948" s="70" t="str">
        <f>IF(AB948="","",ROUND(N(W948)*N(J948)*(1-N(K948)),2))</f>
        <v/>
      </c>
      <c r="AI948" s="70" t="str">
        <f>IF(OR(J948="",N(T948)&lt;=0,V948="Oui"),"",ROUND(N(T948)*J948*(1-N(K948)),2))</f>
        <v/>
      </c>
    </row>
    <row r="949">
      <c r="A949" s="63" t="n"/>
      <c r="B949" s="64" t="n"/>
      <c r="C949" s="65" t="n"/>
      <c r="D949" s="66" t="str">
        <f>IF(C949="","",IFERROR(INDEX(sup_name,MATCH($C949,sup_code,0))&amp;"","Fournisseur inconnu"))</f>
        <v/>
      </c>
      <c r="E949" s="63" t="n"/>
      <c r="F949" s="66" t="str">
        <f>IF(E949="","",IFERROR(INDEX(art_des,MATCH($E949,art_ref,0))&amp;"","Article inconnu"))</f>
        <v/>
      </c>
      <c r="G949" s="67" t="str">
        <f>IF(E949="","",IFERROR(INDEX(art_unit,MATCH($E949,art_ref,0))&amp;"",""))</f>
        <v/>
      </c>
      <c r="H949" s="68" t="n"/>
      <c r="I949" s="69" t="n"/>
      <c r="J949" s="70" t="str">
        <f>IF(E949="","",IF(ISNUMBER(I949),I949,IFERROR(IF(ISNUMBER(INDEX(art_price,MATCH($E949,art_ref,0))),INDEX(art_price,MATCH($E949,art_ref,0)),""),"")))</f>
        <v/>
      </c>
      <c r="K949" s="71" t="n"/>
      <c r="L949" s="72" t="n"/>
      <c r="M949" s="72" t="str">
        <f>IF(E949="","",IF(L949&lt;&gt;"",L949,IFERROR(IF(ISNUMBER(INDEX(art_tva,MATCH($E949,art_ref,0))),INDEX(art_tva,MATCH($E949,art_ref,0)),""),"")))</f>
        <v/>
      </c>
      <c r="N949" s="70" t="str">
        <f>IF(OR(E949="",J949=""),"",ROUND(N(H949)*J949*(1-N(K949)),2))</f>
        <v/>
      </c>
      <c r="O949" s="70" t="str">
        <f>IF(OR(N949="",NOT(ISNUMBER(M949))),"",ROUND(N949*M949,2))</f>
        <v/>
      </c>
      <c r="P949" s="70" t="str">
        <f>IF(N949="","",N949+N(O949))</f>
        <v/>
      </c>
      <c r="Q949" s="64" t="n"/>
      <c r="R949" s="73" t="str">
        <f>IF(N(Q949)&gt;0,Q949,IF(OR(N(B949)=0,ISNA(MATCH($C949,sup_code,0))),"",IF(ISNUMBER(INDEX(sup_delay,MATCH($C949,sup_code,0))),B949+INDEX(sup_delay,MATCH($C949,sup_code,0)),"")))</f>
        <v/>
      </c>
      <c r="S949" s="64" t="n"/>
      <c r="T949" s="68" t="n"/>
      <c r="U949" s="64" t="n"/>
      <c r="V949" s="65" t="n"/>
      <c r="W949" s="74" t="str">
        <f>IF(AND(A949="",E949=""),"",IF(V949="Oui",0,MAX(0,ROUND(N(H949)-N(T949),6))))</f>
        <v/>
      </c>
      <c r="X949" s="67" t="str">
        <f>IF(AND(A949="",E949=""),"",IF(V949="Oui","Annulé",IF(AND(N(H949)&gt;0,N(T949)&gt;=N(H949)),"Reçu",IF(N(S949)=0,"Brouillon",IF(AND(ISNUMBER(R949),R949&lt;p_today),"En retard",IF(N(T949)&gt;0,"Partiel","Envoyé"))))))</f>
        <v/>
      </c>
      <c r="Y949" s="75" t="str">
        <f>IF(X949="En retard",p_today-R949,IF(AND(X949="Reçu",ISNUMBER(R949)),MAX(0,N(U949)-R949),""))</f>
        <v/>
      </c>
      <c r="Z949" s="67" t="str">
        <f>IF(AND(A949="",E949=""),"",IF(A949="","N° de bon manquant",IF(N(B949)=0,"Date de commande manquante",IF(C949="","Fournisseur manquant",IF(ISNA(MATCH($C949,sup_code,0)),"Fournisseur inconnu",IF(E949="","Article manquant",IF(ISNA(MATCH($E949,art_ref,0)),"Article inconnu",IF(N(H949)&lt;=0,"Quantité invalide",IF(J949="","Prix manquant",IF(OR(N(K949)&lt;0,N(K949)&gt;=1),"Remise invalide",IF(M949="","TVA manquante",IF(ISNA(MATCH(M949,p_tva,0)),"Taux de TVA inconnu",IF(COUNTIFS(po_num,A949,po_sup,"&lt;&gt;"&amp;C949)&gt;0,"Fournisseur différent sur ce bon",IF(COUNTIFS(po_num,A949,po_date,"&lt;&gt;"&amp;B949)&gt;0,"Date différente sur ce bon",IF(COUNTIF(po_num,A949)&gt;25,"Plus de 25 lignes sur ce bon",IF(R949="","Date de livraison manquante",IF(R949&lt;B949,"Livraison avant la commande",IF(AND(N(T949)&gt;0,N(S949)=0),"Date d'envoi manquante",IF(N(T949)&gt;N(H949),"Reçu plus que commandé",IF(AND(N(T949)&gt;0,N(U949)=0),"Date de réception manquante",IF(AND(N(U949)&gt;0,U949&lt;B949),"Réception avant la commande","OK")))))))))))))))))))))</f>
        <v/>
      </c>
      <c r="AA949" s="66" t="str">
        <f>IF(AND(X949="Reçu",ISNUMBER(R949)),IF(N(U949)&lt;=R949,1,0),"")</f>
        <v/>
      </c>
      <c r="AB949" s="76" t="str">
        <f>IF(OR(X949="Envoyé",X949="Partiel",X949="En retard"),IF(ISNUMBER(R949),R949,100000)+ROW()/100000,"")</f>
        <v/>
      </c>
      <c r="AC949" s="66" t="str">
        <f>IF(A949="","",IF(COUNTIF($A$6:A949,A949)=1,1,""))</f>
        <v/>
      </c>
      <c r="AD949" s="66" t="str">
        <f>IF(AC949=1,COUNT($AC$6:AC949),"")</f>
        <v/>
      </c>
      <c r="AE949" s="66" t="str">
        <f>IFERROR(INDEX(po_num,MATCH(944,po_seq,0))&amp;"","")</f>
        <v/>
      </c>
      <c r="AF949" s="66" t="str">
        <f>IF(OR(A949="",p_po=""),"",IF(A949&amp;""=p_po,COUNTIF($A$6:A949,A949),""))</f>
        <v/>
      </c>
      <c r="AG949" s="66" t="str">
        <f>IF(OR(AB949="",A949=""),"",IF(COUNTIFS($A$6:A949,A949,$AB$6:AB949,"&gt;0")=1,1,""))</f>
        <v/>
      </c>
      <c r="AH949" s="70" t="str">
        <f>IF(AB949="","",ROUND(N(W949)*N(J949)*(1-N(K949)),2))</f>
        <v/>
      </c>
      <c r="AI949" s="70" t="str">
        <f>IF(OR(J949="",N(T949)&lt;=0,V949="Oui"),"",ROUND(N(T949)*J949*(1-N(K949)),2))</f>
        <v/>
      </c>
    </row>
    <row r="950">
      <c r="A950" s="63" t="n"/>
      <c r="B950" s="64" t="n"/>
      <c r="C950" s="65" t="n"/>
      <c r="D950" s="66" t="str">
        <f>IF(C950="","",IFERROR(INDEX(sup_name,MATCH($C950,sup_code,0))&amp;"","Fournisseur inconnu"))</f>
        <v/>
      </c>
      <c r="E950" s="63" t="n"/>
      <c r="F950" s="66" t="str">
        <f>IF(E950="","",IFERROR(INDEX(art_des,MATCH($E950,art_ref,0))&amp;"","Article inconnu"))</f>
        <v/>
      </c>
      <c r="G950" s="67" t="str">
        <f>IF(E950="","",IFERROR(INDEX(art_unit,MATCH($E950,art_ref,0))&amp;"",""))</f>
        <v/>
      </c>
      <c r="H950" s="68" t="n"/>
      <c r="I950" s="69" t="n"/>
      <c r="J950" s="70" t="str">
        <f>IF(E950="","",IF(ISNUMBER(I950),I950,IFERROR(IF(ISNUMBER(INDEX(art_price,MATCH($E950,art_ref,0))),INDEX(art_price,MATCH($E950,art_ref,0)),""),"")))</f>
        <v/>
      </c>
      <c r="K950" s="71" t="n"/>
      <c r="L950" s="72" t="n"/>
      <c r="M950" s="72" t="str">
        <f>IF(E950="","",IF(L950&lt;&gt;"",L950,IFERROR(IF(ISNUMBER(INDEX(art_tva,MATCH($E950,art_ref,0))),INDEX(art_tva,MATCH($E950,art_ref,0)),""),"")))</f>
        <v/>
      </c>
      <c r="N950" s="70" t="str">
        <f>IF(OR(E950="",J950=""),"",ROUND(N(H950)*J950*(1-N(K950)),2))</f>
        <v/>
      </c>
      <c r="O950" s="70" t="str">
        <f>IF(OR(N950="",NOT(ISNUMBER(M950))),"",ROUND(N950*M950,2))</f>
        <v/>
      </c>
      <c r="P950" s="70" t="str">
        <f>IF(N950="","",N950+N(O950))</f>
        <v/>
      </c>
      <c r="Q950" s="64" t="n"/>
      <c r="R950" s="73" t="str">
        <f>IF(N(Q950)&gt;0,Q950,IF(OR(N(B950)=0,ISNA(MATCH($C950,sup_code,0))),"",IF(ISNUMBER(INDEX(sup_delay,MATCH($C950,sup_code,0))),B950+INDEX(sup_delay,MATCH($C950,sup_code,0)),"")))</f>
        <v/>
      </c>
      <c r="S950" s="64" t="n"/>
      <c r="T950" s="68" t="n"/>
      <c r="U950" s="64" t="n"/>
      <c r="V950" s="65" t="n"/>
      <c r="W950" s="74" t="str">
        <f>IF(AND(A950="",E950=""),"",IF(V950="Oui",0,MAX(0,ROUND(N(H950)-N(T950),6))))</f>
        <v/>
      </c>
      <c r="X950" s="67" t="str">
        <f>IF(AND(A950="",E950=""),"",IF(V950="Oui","Annulé",IF(AND(N(H950)&gt;0,N(T950)&gt;=N(H950)),"Reçu",IF(N(S950)=0,"Brouillon",IF(AND(ISNUMBER(R950),R950&lt;p_today),"En retard",IF(N(T950)&gt;0,"Partiel","Envoyé"))))))</f>
        <v/>
      </c>
      <c r="Y950" s="75" t="str">
        <f>IF(X950="En retard",p_today-R950,IF(AND(X950="Reçu",ISNUMBER(R950)),MAX(0,N(U950)-R950),""))</f>
        <v/>
      </c>
      <c r="Z950" s="67" t="str">
        <f>IF(AND(A950="",E950=""),"",IF(A950="","N° de bon manquant",IF(N(B950)=0,"Date de commande manquante",IF(C950="","Fournisseur manquant",IF(ISNA(MATCH($C950,sup_code,0)),"Fournisseur inconnu",IF(E950="","Article manquant",IF(ISNA(MATCH($E950,art_ref,0)),"Article inconnu",IF(N(H950)&lt;=0,"Quantité invalide",IF(J950="","Prix manquant",IF(OR(N(K950)&lt;0,N(K950)&gt;=1),"Remise invalide",IF(M950="","TVA manquante",IF(ISNA(MATCH(M950,p_tva,0)),"Taux de TVA inconnu",IF(COUNTIFS(po_num,A950,po_sup,"&lt;&gt;"&amp;C950)&gt;0,"Fournisseur différent sur ce bon",IF(COUNTIFS(po_num,A950,po_date,"&lt;&gt;"&amp;B950)&gt;0,"Date différente sur ce bon",IF(COUNTIF(po_num,A950)&gt;25,"Plus de 25 lignes sur ce bon",IF(R950="","Date de livraison manquante",IF(R950&lt;B950,"Livraison avant la commande",IF(AND(N(T950)&gt;0,N(S950)=0),"Date d'envoi manquante",IF(N(T950)&gt;N(H950),"Reçu plus que commandé",IF(AND(N(T950)&gt;0,N(U950)=0),"Date de réception manquante",IF(AND(N(U950)&gt;0,U950&lt;B950),"Réception avant la commande","OK")))))))))))))))))))))</f>
        <v/>
      </c>
      <c r="AA950" s="66" t="str">
        <f>IF(AND(X950="Reçu",ISNUMBER(R950)),IF(N(U950)&lt;=R950,1,0),"")</f>
        <v/>
      </c>
      <c r="AB950" s="76" t="str">
        <f>IF(OR(X950="Envoyé",X950="Partiel",X950="En retard"),IF(ISNUMBER(R950),R950,100000)+ROW()/100000,"")</f>
        <v/>
      </c>
      <c r="AC950" s="66" t="str">
        <f>IF(A950="","",IF(COUNTIF($A$6:A950,A950)=1,1,""))</f>
        <v/>
      </c>
      <c r="AD950" s="66" t="str">
        <f>IF(AC950=1,COUNT($AC$6:AC950),"")</f>
        <v/>
      </c>
      <c r="AE950" s="66" t="str">
        <f>IFERROR(INDEX(po_num,MATCH(945,po_seq,0))&amp;"","")</f>
        <v/>
      </c>
      <c r="AF950" s="66" t="str">
        <f>IF(OR(A950="",p_po=""),"",IF(A950&amp;""=p_po,COUNTIF($A$6:A950,A950),""))</f>
        <v/>
      </c>
      <c r="AG950" s="66" t="str">
        <f>IF(OR(AB950="",A950=""),"",IF(COUNTIFS($A$6:A950,A950,$AB$6:AB950,"&gt;0")=1,1,""))</f>
        <v/>
      </c>
      <c r="AH950" s="70" t="str">
        <f>IF(AB950="","",ROUND(N(W950)*N(J950)*(1-N(K950)),2))</f>
        <v/>
      </c>
      <c r="AI950" s="70" t="str">
        <f>IF(OR(J950="",N(T950)&lt;=0,V950="Oui"),"",ROUND(N(T950)*J950*(1-N(K950)),2))</f>
        <v/>
      </c>
    </row>
    <row r="951">
      <c r="A951" s="63" t="n"/>
      <c r="B951" s="64" t="n"/>
      <c r="C951" s="65" t="n"/>
      <c r="D951" s="66" t="str">
        <f>IF(C951="","",IFERROR(INDEX(sup_name,MATCH($C951,sup_code,0))&amp;"","Fournisseur inconnu"))</f>
        <v/>
      </c>
      <c r="E951" s="63" t="n"/>
      <c r="F951" s="66" t="str">
        <f>IF(E951="","",IFERROR(INDEX(art_des,MATCH($E951,art_ref,0))&amp;"","Article inconnu"))</f>
        <v/>
      </c>
      <c r="G951" s="67" t="str">
        <f>IF(E951="","",IFERROR(INDEX(art_unit,MATCH($E951,art_ref,0))&amp;"",""))</f>
        <v/>
      </c>
      <c r="H951" s="68" t="n"/>
      <c r="I951" s="69" t="n"/>
      <c r="J951" s="70" t="str">
        <f>IF(E951="","",IF(ISNUMBER(I951),I951,IFERROR(IF(ISNUMBER(INDEX(art_price,MATCH($E951,art_ref,0))),INDEX(art_price,MATCH($E951,art_ref,0)),""),"")))</f>
        <v/>
      </c>
      <c r="K951" s="71" t="n"/>
      <c r="L951" s="72" t="n"/>
      <c r="M951" s="72" t="str">
        <f>IF(E951="","",IF(L951&lt;&gt;"",L951,IFERROR(IF(ISNUMBER(INDEX(art_tva,MATCH($E951,art_ref,0))),INDEX(art_tva,MATCH($E951,art_ref,0)),""),"")))</f>
        <v/>
      </c>
      <c r="N951" s="70" t="str">
        <f>IF(OR(E951="",J951=""),"",ROUND(N(H951)*J951*(1-N(K951)),2))</f>
        <v/>
      </c>
      <c r="O951" s="70" t="str">
        <f>IF(OR(N951="",NOT(ISNUMBER(M951))),"",ROUND(N951*M951,2))</f>
        <v/>
      </c>
      <c r="P951" s="70" t="str">
        <f>IF(N951="","",N951+N(O951))</f>
        <v/>
      </c>
      <c r="Q951" s="64" t="n"/>
      <c r="R951" s="73" t="str">
        <f>IF(N(Q951)&gt;0,Q951,IF(OR(N(B951)=0,ISNA(MATCH($C951,sup_code,0))),"",IF(ISNUMBER(INDEX(sup_delay,MATCH($C951,sup_code,0))),B951+INDEX(sup_delay,MATCH($C951,sup_code,0)),"")))</f>
        <v/>
      </c>
      <c r="S951" s="64" t="n"/>
      <c r="T951" s="68" t="n"/>
      <c r="U951" s="64" t="n"/>
      <c r="V951" s="65" t="n"/>
      <c r="W951" s="74" t="str">
        <f>IF(AND(A951="",E951=""),"",IF(V951="Oui",0,MAX(0,ROUND(N(H951)-N(T951),6))))</f>
        <v/>
      </c>
      <c r="X951" s="67" t="str">
        <f>IF(AND(A951="",E951=""),"",IF(V951="Oui","Annulé",IF(AND(N(H951)&gt;0,N(T951)&gt;=N(H951)),"Reçu",IF(N(S951)=0,"Brouillon",IF(AND(ISNUMBER(R951),R951&lt;p_today),"En retard",IF(N(T951)&gt;0,"Partiel","Envoyé"))))))</f>
        <v/>
      </c>
      <c r="Y951" s="75" t="str">
        <f>IF(X951="En retard",p_today-R951,IF(AND(X951="Reçu",ISNUMBER(R951)),MAX(0,N(U951)-R951),""))</f>
        <v/>
      </c>
      <c r="Z951" s="67" t="str">
        <f>IF(AND(A951="",E951=""),"",IF(A951="","N° de bon manquant",IF(N(B951)=0,"Date de commande manquante",IF(C951="","Fournisseur manquant",IF(ISNA(MATCH($C951,sup_code,0)),"Fournisseur inconnu",IF(E951="","Article manquant",IF(ISNA(MATCH($E951,art_ref,0)),"Article inconnu",IF(N(H951)&lt;=0,"Quantité invalide",IF(J951="","Prix manquant",IF(OR(N(K951)&lt;0,N(K951)&gt;=1),"Remise invalide",IF(M951="","TVA manquante",IF(ISNA(MATCH(M951,p_tva,0)),"Taux de TVA inconnu",IF(COUNTIFS(po_num,A951,po_sup,"&lt;&gt;"&amp;C951)&gt;0,"Fournisseur différent sur ce bon",IF(COUNTIFS(po_num,A951,po_date,"&lt;&gt;"&amp;B951)&gt;0,"Date différente sur ce bon",IF(COUNTIF(po_num,A951)&gt;25,"Plus de 25 lignes sur ce bon",IF(R951="","Date de livraison manquante",IF(R951&lt;B951,"Livraison avant la commande",IF(AND(N(T951)&gt;0,N(S951)=0),"Date d'envoi manquante",IF(N(T951)&gt;N(H951),"Reçu plus que commandé",IF(AND(N(T951)&gt;0,N(U951)=0),"Date de réception manquante",IF(AND(N(U951)&gt;0,U951&lt;B951),"Réception avant la commande","OK")))))))))))))))))))))</f>
        <v/>
      </c>
      <c r="AA951" s="66" t="str">
        <f>IF(AND(X951="Reçu",ISNUMBER(R951)),IF(N(U951)&lt;=R951,1,0),"")</f>
        <v/>
      </c>
      <c r="AB951" s="76" t="str">
        <f>IF(OR(X951="Envoyé",X951="Partiel",X951="En retard"),IF(ISNUMBER(R951),R951,100000)+ROW()/100000,"")</f>
        <v/>
      </c>
      <c r="AC951" s="66" t="str">
        <f>IF(A951="","",IF(COUNTIF($A$6:A951,A951)=1,1,""))</f>
        <v/>
      </c>
      <c r="AD951" s="66" t="str">
        <f>IF(AC951=1,COUNT($AC$6:AC951),"")</f>
        <v/>
      </c>
      <c r="AE951" s="66" t="str">
        <f>IFERROR(INDEX(po_num,MATCH(946,po_seq,0))&amp;"","")</f>
        <v/>
      </c>
      <c r="AF951" s="66" t="str">
        <f>IF(OR(A951="",p_po=""),"",IF(A951&amp;""=p_po,COUNTIF($A$6:A951,A951),""))</f>
        <v/>
      </c>
      <c r="AG951" s="66" t="str">
        <f>IF(OR(AB951="",A951=""),"",IF(COUNTIFS($A$6:A951,A951,$AB$6:AB951,"&gt;0")=1,1,""))</f>
        <v/>
      </c>
      <c r="AH951" s="70" t="str">
        <f>IF(AB951="","",ROUND(N(W951)*N(J951)*(1-N(K951)),2))</f>
        <v/>
      </c>
      <c r="AI951" s="70" t="str">
        <f>IF(OR(J951="",N(T951)&lt;=0,V951="Oui"),"",ROUND(N(T951)*J951*(1-N(K951)),2))</f>
        <v/>
      </c>
    </row>
    <row r="952">
      <c r="A952" s="63" t="n"/>
      <c r="B952" s="64" t="n"/>
      <c r="C952" s="65" t="n"/>
      <c r="D952" s="66" t="str">
        <f>IF(C952="","",IFERROR(INDEX(sup_name,MATCH($C952,sup_code,0))&amp;"","Fournisseur inconnu"))</f>
        <v/>
      </c>
      <c r="E952" s="63" t="n"/>
      <c r="F952" s="66" t="str">
        <f>IF(E952="","",IFERROR(INDEX(art_des,MATCH($E952,art_ref,0))&amp;"","Article inconnu"))</f>
        <v/>
      </c>
      <c r="G952" s="67" t="str">
        <f>IF(E952="","",IFERROR(INDEX(art_unit,MATCH($E952,art_ref,0))&amp;"",""))</f>
        <v/>
      </c>
      <c r="H952" s="68" t="n"/>
      <c r="I952" s="69" t="n"/>
      <c r="J952" s="70" t="str">
        <f>IF(E952="","",IF(ISNUMBER(I952),I952,IFERROR(IF(ISNUMBER(INDEX(art_price,MATCH($E952,art_ref,0))),INDEX(art_price,MATCH($E952,art_ref,0)),""),"")))</f>
        <v/>
      </c>
      <c r="K952" s="71" t="n"/>
      <c r="L952" s="72" t="n"/>
      <c r="M952" s="72" t="str">
        <f>IF(E952="","",IF(L952&lt;&gt;"",L952,IFERROR(IF(ISNUMBER(INDEX(art_tva,MATCH($E952,art_ref,0))),INDEX(art_tva,MATCH($E952,art_ref,0)),""),"")))</f>
        <v/>
      </c>
      <c r="N952" s="70" t="str">
        <f>IF(OR(E952="",J952=""),"",ROUND(N(H952)*J952*(1-N(K952)),2))</f>
        <v/>
      </c>
      <c r="O952" s="70" t="str">
        <f>IF(OR(N952="",NOT(ISNUMBER(M952))),"",ROUND(N952*M952,2))</f>
        <v/>
      </c>
      <c r="P952" s="70" t="str">
        <f>IF(N952="","",N952+N(O952))</f>
        <v/>
      </c>
      <c r="Q952" s="64" t="n"/>
      <c r="R952" s="73" t="str">
        <f>IF(N(Q952)&gt;0,Q952,IF(OR(N(B952)=0,ISNA(MATCH($C952,sup_code,0))),"",IF(ISNUMBER(INDEX(sup_delay,MATCH($C952,sup_code,0))),B952+INDEX(sup_delay,MATCH($C952,sup_code,0)),"")))</f>
        <v/>
      </c>
      <c r="S952" s="64" t="n"/>
      <c r="T952" s="68" t="n"/>
      <c r="U952" s="64" t="n"/>
      <c r="V952" s="65" t="n"/>
      <c r="W952" s="74" t="str">
        <f>IF(AND(A952="",E952=""),"",IF(V952="Oui",0,MAX(0,ROUND(N(H952)-N(T952),6))))</f>
        <v/>
      </c>
      <c r="X952" s="67" t="str">
        <f>IF(AND(A952="",E952=""),"",IF(V952="Oui","Annulé",IF(AND(N(H952)&gt;0,N(T952)&gt;=N(H952)),"Reçu",IF(N(S952)=0,"Brouillon",IF(AND(ISNUMBER(R952),R952&lt;p_today),"En retard",IF(N(T952)&gt;0,"Partiel","Envoyé"))))))</f>
        <v/>
      </c>
      <c r="Y952" s="75" t="str">
        <f>IF(X952="En retard",p_today-R952,IF(AND(X952="Reçu",ISNUMBER(R952)),MAX(0,N(U952)-R952),""))</f>
        <v/>
      </c>
      <c r="Z952" s="67" t="str">
        <f>IF(AND(A952="",E952=""),"",IF(A952="","N° de bon manquant",IF(N(B952)=0,"Date de commande manquante",IF(C952="","Fournisseur manquant",IF(ISNA(MATCH($C952,sup_code,0)),"Fournisseur inconnu",IF(E952="","Article manquant",IF(ISNA(MATCH($E952,art_ref,0)),"Article inconnu",IF(N(H952)&lt;=0,"Quantité invalide",IF(J952="","Prix manquant",IF(OR(N(K952)&lt;0,N(K952)&gt;=1),"Remise invalide",IF(M952="","TVA manquante",IF(ISNA(MATCH(M952,p_tva,0)),"Taux de TVA inconnu",IF(COUNTIFS(po_num,A952,po_sup,"&lt;&gt;"&amp;C952)&gt;0,"Fournisseur différent sur ce bon",IF(COUNTIFS(po_num,A952,po_date,"&lt;&gt;"&amp;B952)&gt;0,"Date différente sur ce bon",IF(COUNTIF(po_num,A952)&gt;25,"Plus de 25 lignes sur ce bon",IF(R952="","Date de livraison manquante",IF(R952&lt;B952,"Livraison avant la commande",IF(AND(N(T952)&gt;0,N(S952)=0),"Date d'envoi manquante",IF(N(T952)&gt;N(H952),"Reçu plus que commandé",IF(AND(N(T952)&gt;0,N(U952)=0),"Date de réception manquante",IF(AND(N(U952)&gt;0,U952&lt;B952),"Réception avant la commande","OK")))))))))))))))))))))</f>
        <v/>
      </c>
      <c r="AA952" s="66" t="str">
        <f>IF(AND(X952="Reçu",ISNUMBER(R952)),IF(N(U952)&lt;=R952,1,0),"")</f>
        <v/>
      </c>
      <c r="AB952" s="76" t="str">
        <f>IF(OR(X952="Envoyé",X952="Partiel",X952="En retard"),IF(ISNUMBER(R952),R952,100000)+ROW()/100000,"")</f>
        <v/>
      </c>
      <c r="AC952" s="66" t="str">
        <f>IF(A952="","",IF(COUNTIF($A$6:A952,A952)=1,1,""))</f>
        <v/>
      </c>
      <c r="AD952" s="66" t="str">
        <f>IF(AC952=1,COUNT($AC$6:AC952),"")</f>
        <v/>
      </c>
      <c r="AE952" s="66" t="str">
        <f>IFERROR(INDEX(po_num,MATCH(947,po_seq,0))&amp;"","")</f>
        <v/>
      </c>
      <c r="AF952" s="66" t="str">
        <f>IF(OR(A952="",p_po=""),"",IF(A952&amp;""=p_po,COUNTIF($A$6:A952,A952),""))</f>
        <v/>
      </c>
      <c r="AG952" s="66" t="str">
        <f>IF(OR(AB952="",A952=""),"",IF(COUNTIFS($A$6:A952,A952,$AB$6:AB952,"&gt;0")=1,1,""))</f>
        <v/>
      </c>
      <c r="AH952" s="70" t="str">
        <f>IF(AB952="","",ROUND(N(W952)*N(J952)*(1-N(K952)),2))</f>
        <v/>
      </c>
      <c r="AI952" s="70" t="str">
        <f>IF(OR(J952="",N(T952)&lt;=0,V952="Oui"),"",ROUND(N(T952)*J952*(1-N(K952)),2))</f>
        <v/>
      </c>
    </row>
    <row r="953">
      <c r="A953" s="63" t="n"/>
      <c r="B953" s="64" t="n"/>
      <c r="C953" s="65" t="n"/>
      <c r="D953" s="66" t="str">
        <f>IF(C953="","",IFERROR(INDEX(sup_name,MATCH($C953,sup_code,0))&amp;"","Fournisseur inconnu"))</f>
        <v/>
      </c>
      <c r="E953" s="63" t="n"/>
      <c r="F953" s="66" t="str">
        <f>IF(E953="","",IFERROR(INDEX(art_des,MATCH($E953,art_ref,0))&amp;"","Article inconnu"))</f>
        <v/>
      </c>
      <c r="G953" s="67" t="str">
        <f>IF(E953="","",IFERROR(INDEX(art_unit,MATCH($E953,art_ref,0))&amp;"",""))</f>
        <v/>
      </c>
      <c r="H953" s="68" t="n"/>
      <c r="I953" s="69" t="n"/>
      <c r="J953" s="70" t="str">
        <f>IF(E953="","",IF(ISNUMBER(I953),I953,IFERROR(IF(ISNUMBER(INDEX(art_price,MATCH($E953,art_ref,0))),INDEX(art_price,MATCH($E953,art_ref,0)),""),"")))</f>
        <v/>
      </c>
      <c r="K953" s="71" t="n"/>
      <c r="L953" s="72" t="n"/>
      <c r="M953" s="72" t="str">
        <f>IF(E953="","",IF(L953&lt;&gt;"",L953,IFERROR(IF(ISNUMBER(INDEX(art_tva,MATCH($E953,art_ref,0))),INDEX(art_tva,MATCH($E953,art_ref,0)),""),"")))</f>
        <v/>
      </c>
      <c r="N953" s="70" t="str">
        <f>IF(OR(E953="",J953=""),"",ROUND(N(H953)*J953*(1-N(K953)),2))</f>
        <v/>
      </c>
      <c r="O953" s="70" t="str">
        <f>IF(OR(N953="",NOT(ISNUMBER(M953))),"",ROUND(N953*M953,2))</f>
        <v/>
      </c>
      <c r="P953" s="70" t="str">
        <f>IF(N953="","",N953+N(O953))</f>
        <v/>
      </c>
      <c r="Q953" s="64" t="n"/>
      <c r="R953" s="73" t="str">
        <f>IF(N(Q953)&gt;0,Q953,IF(OR(N(B953)=0,ISNA(MATCH($C953,sup_code,0))),"",IF(ISNUMBER(INDEX(sup_delay,MATCH($C953,sup_code,0))),B953+INDEX(sup_delay,MATCH($C953,sup_code,0)),"")))</f>
        <v/>
      </c>
      <c r="S953" s="64" t="n"/>
      <c r="T953" s="68" t="n"/>
      <c r="U953" s="64" t="n"/>
      <c r="V953" s="65" t="n"/>
      <c r="W953" s="74" t="str">
        <f>IF(AND(A953="",E953=""),"",IF(V953="Oui",0,MAX(0,ROUND(N(H953)-N(T953),6))))</f>
        <v/>
      </c>
      <c r="X953" s="67" t="str">
        <f>IF(AND(A953="",E953=""),"",IF(V953="Oui","Annulé",IF(AND(N(H953)&gt;0,N(T953)&gt;=N(H953)),"Reçu",IF(N(S953)=0,"Brouillon",IF(AND(ISNUMBER(R953),R953&lt;p_today),"En retard",IF(N(T953)&gt;0,"Partiel","Envoyé"))))))</f>
        <v/>
      </c>
      <c r="Y953" s="75" t="str">
        <f>IF(X953="En retard",p_today-R953,IF(AND(X953="Reçu",ISNUMBER(R953)),MAX(0,N(U953)-R953),""))</f>
        <v/>
      </c>
      <c r="Z953" s="67" t="str">
        <f>IF(AND(A953="",E953=""),"",IF(A953="","N° de bon manquant",IF(N(B953)=0,"Date de commande manquante",IF(C953="","Fournisseur manquant",IF(ISNA(MATCH($C953,sup_code,0)),"Fournisseur inconnu",IF(E953="","Article manquant",IF(ISNA(MATCH($E953,art_ref,0)),"Article inconnu",IF(N(H953)&lt;=0,"Quantité invalide",IF(J953="","Prix manquant",IF(OR(N(K953)&lt;0,N(K953)&gt;=1),"Remise invalide",IF(M953="","TVA manquante",IF(ISNA(MATCH(M953,p_tva,0)),"Taux de TVA inconnu",IF(COUNTIFS(po_num,A953,po_sup,"&lt;&gt;"&amp;C953)&gt;0,"Fournisseur différent sur ce bon",IF(COUNTIFS(po_num,A953,po_date,"&lt;&gt;"&amp;B953)&gt;0,"Date différente sur ce bon",IF(COUNTIF(po_num,A953)&gt;25,"Plus de 25 lignes sur ce bon",IF(R953="","Date de livraison manquante",IF(R953&lt;B953,"Livraison avant la commande",IF(AND(N(T953)&gt;0,N(S953)=0),"Date d'envoi manquante",IF(N(T953)&gt;N(H953),"Reçu plus que commandé",IF(AND(N(T953)&gt;0,N(U953)=0),"Date de réception manquante",IF(AND(N(U953)&gt;0,U953&lt;B953),"Réception avant la commande","OK")))))))))))))))))))))</f>
        <v/>
      </c>
      <c r="AA953" s="66" t="str">
        <f>IF(AND(X953="Reçu",ISNUMBER(R953)),IF(N(U953)&lt;=R953,1,0),"")</f>
        <v/>
      </c>
      <c r="AB953" s="76" t="str">
        <f>IF(OR(X953="Envoyé",X953="Partiel",X953="En retard"),IF(ISNUMBER(R953),R953,100000)+ROW()/100000,"")</f>
        <v/>
      </c>
      <c r="AC953" s="66" t="str">
        <f>IF(A953="","",IF(COUNTIF($A$6:A953,A953)=1,1,""))</f>
        <v/>
      </c>
      <c r="AD953" s="66" t="str">
        <f>IF(AC953=1,COUNT($AC$6:AC953),"")</f>
        <v/>
      </c>
      <c r="AE953" s="66" t="str">
        <f>IFERROR(INDEX(po_num,MATCH(948,po_seq,0))&amp;"","")</f>
        <v/>
      </c>
      <c r="AF953" s="66" t="str">
        <f>IF(OR(A953="",p_po=""),"",IF(A953&amp;""=p_po,COUNTIF($A$6:A953,A953),""))</f>
        <v/>
      </c>
      <c r="AG953" s="66" t="str">
        <f>IF(OR(AB953="",A953=""),"",IF(COUNTIFS($A$6:A953,A953,$AB$6:AB953,"&gt;0")=1,1,""))</f>
        <v/>
      </c>
      <c r="AH953" s="70" t="str">
        <f>IF(AB953="","",ROUND(N(W953)*N(J953)*(1-N(K953)),2))</f>
        <v/>
      </c>
      <c r="AI953" s="70" t="str">
        <f>IF(OR(J953="",N(T953)&lt;=0,V953="Oui"),"",ROUND(N(T953)*J953*(1-N(K953)),2))</f>
        <v/>
      </c>
    </row>
    <row r="954">
      <c r="A954" s="63" t="n"/>
      <c r="B954" s="64" t="n"/>
      <c r="C954" s="65" t="n"/>
      <c r="D954" s="66" t="str">
        <f>IF(C954="","",IFERROR(INDEX(sup_name,MATCH($C954,sup_code,0))&amp;"","Fournisseur inconnu"))</f>
        <v/>
      </c>
      <c r="E954" s="63" t="n"/>
      <c r="F954" s="66" t="str">
        <f>IF(E954="","",IFERROR(INDEX(art_des,MATCH($E954,art_ref,0))&amp;"","Article inconnu"))</f>
        <v/>
      </c>
      <c r="G954" s="67" t="str">
        <f>IF(E954="","",IFERROR(INDEX(art_unit,MATCH($E954,art_ref,0))&amp;"",""))</f>
        <v/>
      </c>
      <c r="H954" s="68" t="n"/>
      <c r="I954" s="69" t="n"/>
      <c r="J954" s="70" t="str">
        <f>IF(E954="","",IF(ISNUMBER(I954),I954,IFERROR(IF(ISNUMBER(INDEX(art_price,MATCH($E954,art_ref,0))),INDEX(art_price,MATCH($E954,art_ref,0)),""),"")))</f>
        <v/>
      </c>
      <c r="K954" s="71" t="n"/>
      <c r="L954" s="72" t="n"/>
      <c r="M954" s="72" t="str">
        <f>IF(E954="","",IF(L954&lt;&gt;"",L954,IFERROR(IF(ISNUMBER(INDEX(art_tva,MATCH($E954,art_ref,0))),INDEX(art_tva,MATCH($E954,art_ref,0)),""),"")))</f>
        <v/>
      </c>
      <c r="N954" s="70" t="str">
        <f>IF(OR(E954="",J954=""),"",ROUND(N(H954)*J954*(1-N(K954)),2))</f>
        <v/>
      </c>
      <c r="O954" s="70" t="str">
        <f>IF(OR(N954="",NOT(ISNUMBER(M954))),"",ROUND(N954*M954,2))</f>
        <v/>
      </c>
      <c r="P954" s="70" t="str">
        <f>IF(N954="","",N954+N(O954))</f>
        <v/>
      </c>
      <c r="Q954" s="64" t="n"/>
      <c r="R954" s="73" t="str">
        <f>IF(N(Q954)&gt;0,Q954,IF(OR(N(B954)=0,ISNA(MATCH($C954,sup_code,0))),"",IF(ISNUMBER(INDEX(sup_delay,MATCH($C954,sup_code,0))),B954+INDEX(sup_delay,MATCH($C954,sup_code,0)),"")))</f>
        <v/>
      </c>
      <c r="S954" s="64" t="n"/>
      <c r="T954" s="68" t="n"/>
      <c r="U954" s="64" t="n"/>
      <c r="V954" s="65" t="n"/>
      <c r="W954" s="74" t="str">
        <f>IF(AND(A954="",E954=""),"",IF(V954="Oui",0,MAX(0,ROUND(N(H954)-N(T954),6))))</f>
        <v/>
      </c>
      <c r="X954" s="67" t="str">
        <f>IF(AND(A954="",E954=""),"",IF(V954="Oui","Annulé",IF(AND(N(H954)&gt;0,N(T954)&gt;=N(H954)),"Reçu",IF(N(S954)=0,"Brouillon",IF(AND(ISNUMBER(R954),R954&lt;p_today),"En retard",IF(N(T954)&gt;0,"Partiel","Envoyé"))))))</f>
        <v/>
      </c>
      <c r="Y954" s="75" t="str">
        <f>IF(X954="En retard",p_today-R954,IF(AND(X954="Reçu",ISNUMBER(R954)),MAX(0,N(U954)-R954),""))</f>
        <v/>
      </c>
      <c r="Z954" s="67" t="str">
        <f>IF(AND(A954="",E954=""),"",IF(A954="","N° de bon manquant",IF(N(B954)=0,"Date de commande manquante",IF(C954="","Fournisseur manquant",IF(ISNA(MATCH($C954,sup_code,0)),"Fournisseur inconnu",IF(E954="","Article manquant",IF(ISNA(MATCH($E954,art_ref,0)),"Article inconnu",IF(N(H954)&lt;=0,"Quantité invalide",IF(J954="","Prix manquant",IF(OR(N(K954)&lt;0,N(K954)&gt;=1),"Remise invalide",IF(M954="","TVA manquante",IF(ISNA(MATCH(M954,p_tva,0)),"Taux de TVA inconnu",IF(COUNTIFS(po_num,A954,po_sup,"&lt;&gt;"&amp;C954)&gt;0,"Fournisseur différent sur ce bon",IF(COUNTIFS(po_num,A954,po_date,"&lt;&gt;"&amp;B954)&gt;0,"Date différente sur ce bon",IF(COUNTIF(po_num,A954)&gt;25,"Plus de 25 lignes sur ce bon",IF(R954="","Date de livraison manquante",IF(R954&lt;B954,"Livraison avant la commande",IF(AND(N(T954)&gt;0,N(S954)=0),"Date d'envoi manquante",IF(N(T954)&gt;N(H954),"Reçu plus que commandé",IF(AND(N(T954)&gt;0,N(U954)=0),"Date de réception manquante",IF(AND(N(U954)&gt;0,U954&lt;B954),"Réception avant la commande","OK")))))))))))))))))))))</f>
        <v/>
      </c>
      <c r="AA954" s="66" t="str">
        <f>IF(AND(X954="Reçu",ISNUMBER(R954)),IF(N(U954)&lt;=R954,1,0),"")</f>
        <v/>
      </c>
      <c r="AB954" s="76" t="str">
        <f>IF(OR(X954="Envoyé",X954="Partiel",X954="En retard"),IF(ISNUMBER(R954),R954,100000)+ROW()/100000,"")</f>
        <v/>
      </c>
      <c r="AC954" s="66" t="str">
        <f>IF(A954="","",IF(COUNTIF($A$6:A954,A954)=1,1,""))</f>
        <v/>
      </c>
      <c r="AD954" s="66" t="str">
        <f>IF(AC954=1,COUNT($AC$6:AC954),"")</f>
        <v/>
      </c>
      <c r="AE954" s="66" t="str">
        <f>IFERROR(INDEX(po_num,MATCH(949,po_seq,0))&amp;"","")</f>
        <v/>
      </c>
      <c r="AF954" s="66" t="str">
        <f>IF(OR(A954="",p_po=""),"",IF(A954&amp;""=p_po,COUNTIF($A$6:A954,A954),""))</f>
        <v/>
      </c>
      <c r="AG954" s="66" t="str">
        <f>IF(OR(AB954="",A954=""),"",IF(COUNTIFS($A$6:A954,A954,$AB$6:AB954,"&gt;0")=1,1,""))</f>
        <v/>
      </c>
      <c r="AH954" s="70" t="str">
        <f>IF(AB954="","",ROUND(N(W954)*N(J954)*(1-N(K954)),2))</f>
        <v/>
      </c>
      <c r="AI954" s="70" t="str">
        <f>IF(OR(J954="",N(T954)&lt;=0,V954="Oui"),"",ROUND(N(T954)*J954*(1-N(K954)),2))</f>
        <v/>
      </c>
    </row>
    <row r="955">
      <c r="A955" s="63" t="n"/>
      <c r="B955" s="64" t="n"/>
      <c r="C955" s="65" t="n"/>
      <c r="D955" s="66" t="str">
        <f>IF(C955="","",IFERROR(INDEX(sup_name,MATCH($C955,sup_code,0))&amp;"","Fournisseur inconnu"))</f>
        <v/>
      </c>
      <c r="E955" s="63" t="n"/>
      <c r="F955" s="66" t="str">
        <f>IF(E955="","",IFERROR(INDEX(art_des,MATCH($E955,art_ref,0))&amp;"","Article inconnu"))</f>
        <v/>
      </c>
      <c r="G955" s="67" t="str">
        <f>IF(E955="","",IFERROR(INDEX(art_unit,MATCH($E955,art_ref,0))&amp;"",""))</f>
        <v/>
      </c>
      <c r="H955" s="68" t="n"/>
      <c r="I955" s="69" t="n"/>
      <c r="J955" s="70" t="str">
        <f>IF(E955="","",IF(ISNUMBER(I955),I955,IFERROR(IF(ISNUMBER(INDEX(art_price,MATCH($E955,art_ref,0))),INDEX(art_price,MATCH($E955,art_ref,0)),""),"")))</f>
        <v/>
      </c>
      <c r="K955" s="71" t="n"/>
      <c r="L955" s="72" t="n"/>
      <c r="M955" s="72" t="str">
        <f>IF(E955="","",IF(L955&lt;&gt;"",L955,IFERROR(IF(ISNUMBER(INDEX(art_tva,MATCH($E955,art_ref,0))),INDEX(art_tva,MATCH($E955,art_ref,0)),""),"")))</f>
        <v/>
      </c>
      <c r="N955" s="70" t="str">
        <f>IF(OR(E955="",J955=""),"",ROUND(N(H955)*J955*(1-N(K955)),2))</f>
        <v/>
      </c>
      <c r="O955" s="70" t="str">
        <f>IF(OR(N955="",NOT(ISNUMBER(M955))),"",ROUND(N955*M955,2))</f>
        <v/>
      </c>
      <c r="P955" s="70" t="str">
        <f>IF(N955="","",N955+N(O955))</f>
        <v/>
      </c>
      <c r="Q955" s="64" t="n"/>
      <c r="R955" s="73" t="str">
        <f>IF(N(Q955)&gt;0,Q955,IF(OR(N(B955)=0,ISNA(MATCH($C955,sup_code,0))),"",IF(ISNUMBER(INDEX(sup_delay,MATCH($C955,sup_code,0))),B955+INDEX(sup_delay,MATCH($C955,sup_code,0)),"")))</f>
        <v/>
      </c>
      <c r="S955" s="64" t="n"/>
      <c r="T955" s="68" t="n"/>
      <c r="U955" s="64" t="n"/>
      <c r="V955" s="65" t="n"/>
      <c r="W955" s="74" t="str">
        <f>IF(AND(A955="",E955=""),"",IF(V955="Oui",0,MAX(0,ROUND(N(H955)-N(T955),6))))</f>
        <v/>
      </c>
      <c r="X955" s="67" t="str">
        <f>IF(AND(A955="",E955=""),"",IF(V955="Oui","Annulé",IF(AND(N(H955)&gt;0,N(T955)&gt;=N(H955)),"Reçu",IF(N(S955)=0,"Brouillon",IF(AND(ISNUMBER(R955),R955&lt;p_today),"En retard",IF(N(T955)&gt;0,"Partiel","Envoyé"))))))</f>
        <v/>
      </c>
      <c r="Y955" s="75" t="str">
        <f>IF(X955="En retard",p_today-R955,IF(AND(X955="Reçu",ISNUMBER(R955)),MAX(0,N(U955)-R955),""))</f>
        <v/>
      </c>
      <c r="Z955" s="67" t="str">
        <f>IF(AND(A955="",E955=""),"",IF(A955="","N° de bon manquant",IF(N(B955)=0,"Date de commande manquante",IF(C955="","Fournisseur manquant",IF(ISNA(MATCH($C955,sup_code,0)),"Fournisseur inconnu",IF(E955="","Article manquant",IF(ISNA(MATCH($E955,art_ref,0)),"Article inconnu",IF(N(H955)&lt;=0,"Quantité invalide",IF(J955="","Prix manquant",IF(OR(N(K955)&lt;0,N(K955)&gt;=1),"Remise invalide",IF(M955="","TVA manquante",IF(ISNA(MATCH(M955,p_tva,0)),"Taux de TVA inconnu",IF(COUNTIFS(po_num,A955,po_sup,"&lt;&gt;"&amp;C955)&gt;0,"Fournisseur différent sur ce bon",IF(COUNTIFS(po_num,A955,po_date,"&lt;&gt;"&amp;B955)&gt;0,"Date différente sur ce bon",IF(COUNTIF(po_num,A955)&gt;25,"Plus de 25 lignes sur ce bon",IF(R955="","Date de livraison manquante",IF(R955&lt;B955,"Livraison avant la commande",IF(AND(N(T955)&gt;0,N(S955)=0),"Date d'envoi manquante",IF(N(T955)&gt;N(H955),"Reçu plus que commandé",IF(AND(N(T955)&gt;0,N(U955)=0),"Date de réception manquante",IF(AND(N(U955)&gt;0,U955&lt;B955),"Réception avant la commande","OK")))))))))))))))))))))</f>
        <v/>
      </c>
      <c r="AA955" s="66" t="str">
        <f>IF(AND(X955="Reçu",ISNUMBER(R955)),IF(N(U955)&lt;=R955,1,0),"")</f>
        <v/>
      </c>
      <c r="AB955" s="76" t="str">
        <f>IF(OR(X955="Envoyé",X955="Partiel",X955="En retard"),IF(ISNUMBER(R955),R955,100000)+ROW()/100000,"")</f>
        <v/>
      </c>
      <c r="AC955" s="66" t="str">
        <f>IF(A955="","",IF(COUNTIF($A$6:A955,A955)=1,1,""))</f>
        <v/>
      </c>
      <c r="AD955" s="66" t="str">
        <f>IF(AC955=1,COUNT($AC$6:AC955),"")</f>
        <v/>
      </c>
      <c r="AE955" s="66" t="str">
        <f>IFERROR(INDEX(po_num,MATCH(950,po_seq,0))&amp;"","")</f>
        <v/>
      </c>
      <c r="AF955" s="66" t="str">
        <f>IF(OR(A955="",p_po=""),"",IF(A955&amp;""=p_po,COUNTIF($A$6:A955,A955),""))</f>
        <v/>
      </c>
      <c r="AG955" s="66" t="str">
        <f>IF(OR(AB955="",A955=""),"",IF(COUNTIFS($A$6:A955,A955,$AB$6:AB955,"&gt;0")=1,1,""))</f>
        <v/>
      </c>
      <c r="AH955" s="70" t="str">
        <f>IF(AB955="","",ROUND(N(W955)*N(J955)*(1-N(K955)),2))</f>
        <v/>
      </c>
      <c r="AI955" s="70" t="str">
        <f>IF(OR(J955="",N(T955)&lt;=0,V955="Oui"),"",ROUND(N(T955)*J955*(1-N(K955)),2))</f>
        <v/>
      </c>
    </row>
    <row r="956">
      <c r="A956" s="63" t="n"/>
      <c r="B956" s="64" t="n"/>
      <c r="C956" s="65" t="n"/>
      <c r="D956" s="66" t="str">
        <f>IF(C956="","",IFERROR(INDEX(sup_name,MATCH($C956,sup_code,0))&amp;"","Fournisseur inconnu"))</f>
        <v/>
      </c>
      <c r="E956" s="63" t="n"/>
      <c r="F956" s="66" t="str">
        <f>IF(E956="","",IFERROR(INDEX(art_des,MATCH($E956,art_ref,0))&amp;"","Article inconnu"))</f>
        <v/>
      </c>
      <c r="G956" s="67" t="str">
        <f>IF(E956="","",IFERROR(INDEX(art_unit,MATCH($E956,art_ref,0))&amp;"",""))</f>
        <v/>
      </c>
      <c r="H956" s="68" t="n"/>
      <c r="I956" s="69" t="n"/>
      <c r="J956" s="70" t="str">
        <f>IF(E956="","",IF(ISNUMBER(I956),I956,IFERROR(IF(ISNUMBER(INDEX(art_price,MATCH($E956,art_ref,0))),INDEX(art_price,MATCH($E956,art_ref,0)),""),"")))</f>
        <v/>
      </c>
      <c r="K956" s="71" t="n"/>
      <c r="L956" s="72" t="n"/>
      <c r="M956" s="72" t="str">
        <f>IF(E956="","",IF(L956&lt;&gt;"",L956,IFERROR(IF(ISNUMBER(INDEX(art_tva,MATCH($E956,art_ref,0))),INDEX(art_tva,MATCH($E956,art_ref,0)),""),"")))</f>
        <v/>
      </c>
      <c r="N956" s="70" t="str">
        <f>IF(OR(E956="",J956=""),"",ROUND(N(H956)*J956*(1-N(K956)),2))</f>
        <v/>
      </c>
      <c r="O956" s="70" t="str">
        <f>IF(OR(N956="",NOT(ISNUMBER(M956))),"",ROUND(N956*M956,2))</f>
        <v/>
      </c>
      <c r="P956" s="70" t="str">
        <f>IF(N956="","",N956+N(O956))</f>
        <v/>
      </c>
      <c r="Q956" s="64" t="n"/>
      <c r="R956" s="73" t="str">
        <f>IF(N(Q956)&gt;0,Q956,IF(OR(N(B956)=0,ISNA(MATCH($C956,sup_code,0))),"",IF(ISNUMBER(INDEX(sup_delay,MATCH($C956,sup_code,0))),B956+INDEX(sup_delay,MATCH($C956,sup_code,0)),"")))</f>
        <v/>
      </c>
      <c r="S956" s="64" t="n"/>
      <c r="T956" s="68" t="n"/>
      <c r="U956" s="64" t="n"/>
      <c r="V956" s="65" t="n"/>
      <c r="W956" s="74" t="str">
        <f>IF(AND(A956="",E956=""),"",IF(V956="Oui",0,MAX(0,ROUND(N(H956)-N(T956),6))))</f>
        <v/>
      </c>
      <c r="X956" s="67" t="str">
        <f>IF(AND(A956="",E956=""),"",IF(V956="Oui","Annulé",IF(AND(N(H956)&gt;0,N(T956)&gt;=N(H956)),"Reçu",IF(N(S956)=0,"Brouillon",IF(AND(ISNUMBER(R956),R956&lt;p_today),"En retard",IF(N(T956)&gt;0,"Partiel","Envoyé"))))))</f>
        <v/>
      </c>
      <c r="Y956" s="75" t="str">
        <f>IF(X956="En retard",p_today-R956,IF(AND(X956="Reçu",ISNUMBER(R956)),MAX(0,N(U956)-R956),""))</f>
        <v/>
      </c>
      <c r="Z956" s="67" t="str">
        <f>IF(AND(A956="",E956=""),"",IF(A956="","N° de bon manquant",IF(N(B956)=0,"Date de commande manquante",IF(C956="","Fournisseur manquant",IF(ISNA(MATCH($C956,sup_code,0)),"Fournisseur inconnu",IF(E956="","Article manquant",IF(ISNA(MATCH($E956,art_ref,0)),"Article inconnu",IF(N(H956)&lt;=0,"Quantité invalide",IF(J956="","Prix manquant",IF(OR(N(K956)&lt;0,N(K956)&gt;=1),"Remise invalide",IF(M956="","TVA manquante",IF(ISNA(MATCH(M956,p_tva,0)),"Taux de TVA inconnu",IF(COUNTIFS(po_num,A956,po_sup,"&lt;&gt;"&amp;C956)&gt;0,"Fournisseur différent sur ce bon",IF(COUNTIFS(po_num,A956,po_date,"&lt;&gt;"&amp;B956)&gt;0,"Date différente sur ce bon",IF(COUNTIF(po_num,A956)&gt;25,"Plus de 25 lignes sur ce bon",IF(R956="","Date de livraison manquante",IF(R956&lt;B956,"Livraison avant la commande",IF(AND(N(T956)&gt;0,N(S956)=0),"Date d'envoi manquante",IF(N(T956)&gt;N(H956),"Reçu plus que commandé",IF(AND(N(T956)&gt;0,N(U956)=0),"Date de réception manquante",IF(AND(N(U956)&gt;0,U956&lt;B956),"Réception avant la commande","OK")))))))))))))))))))))</f>
        <v/>
      </c>
      <c r="AA956" s="66" t="str">
        <f>IF(AND(X956="Reçu",ISNUMBER(R956)),IF(N(U956)&lt;=R956,1,0),"")</f>
        <v/>
      </c>
      <c r="AB956" s="76" t="str">
        <f>IF(OR(X956="Envoyé",X956="Partiel",X956="En retard"),IF(ISNUMBER(R956),R956,100000)+ROW()/100000,"")</f>
        <v/>
      </c>
      <c r="AC956" s="66" t="str">
        <f>IF(A956="","",IF(COUNTIF($A$6:A956,A956)=1,1,""))</f>
        <v/>
      </c>
      <c r="AD956" s="66" t="str">
        <f>IF(AC956=1,COUNT($AC$6:AC956),"")</f>
        <v/>
      </c>
      <c r="AE956" s="66" t="str">
        <f>IFERROR(INDEX(po_num,MATCH(951,po_seq,0))&amp;"","")</f>
        <v/>
      </c>
      <c r="AF956" s="66" t="str">
        <f>IF(OR(A956="",p_po=""),"",IF(A956&amp;""=p_po,COUNTIF($A$6:A956,A956),""))</f>
        <v/>
      </c>
      <c r="AG956" s="66" t="str">
        <f>IF(OR(AB956="",A956=""),"",IF(COUNTIFS($A$6:A956,A956,$AB$6:AB956,"&gt;0")=1,1,""))</f>
        <v/>
      </c>
      <c r="AH956" s="70" t="str">
        <f>IF(AB956="","",ROUND(N(W956)*N(J956)*(1-N(K956)),2))</f>
        <v/>
      </c>
      <c r="AI956" s="70" t="str">
        <f>IF(OR(J956="",N(T956)&lt;=0,V956="Oui"),"",ROUND(N(T956)*J956*(1-N(K956)),2))</f>
        <v/>
      </c>
    </row>
    <row r="957">
      <c r="A957" s="63" t="n"/>
      <c r="B957" s="64" t="n"/>
      <c r="C957" s="65" t="n"/>
      <c r="D957" s="66" t="str">
        <f>IF(C957="","",IFERROR(INDEX(sup_name,MATCH($C957,sup_code,0))&amp;"","Fournisseur inconnu"))</f>
        <v/>
      </c>
      <c r="E957" s="63" t="n"/>
      <c r="F957" s="66" t="str">
        <f>IF(E957="","",IFERROR(INDEX(art_des,MATCH($E957,art_ref,0))&amp;"","Article inconnu"))</f>
        <v/>
      </c>
      <c r="G957" s="67" t="str">
        <f>IF(E957="","",IFERROR(INDEX(art_unit,MATCH($E957,art_ref,0))&amp;"",""))</f>
        <v/>
      </c>
      <c r="H957" s="68" t="n"/>
      <c r="I957" s="69" t="n"/>
      <c r="J957" s="70" t="str">
        <f>IF(E957="","",IF(ISNUMBER(I957),I957,IFERROR(IF(ISNUMBER(INDEX(art_price,MATCH($E957,art_ref,0))),INDEX(art_price,MATCH($E957,art_ref,0)),""),"")))</f>
        <v/>
      </c>
      <c r="K957" s="71" t="n"/>
      <c r="L957" s="72" t="n"/>
      <c r="M957" s="72" t="str">
        <f>IF(E957="","",IF(L957&lt;&gt;"",L957,IFERROR(IF(ISNUMBER(INDEX(art_tva,MATCH($E957,art_ref,0))),INDEX(art_tva,MATCH($E957,art_ref,0)),""),"")))</f>
        <v/>
      </c>
      <c r="N957" s="70" t="str">
        <f>IF(OR(E957="",J957=""),"",ROUND(N(H957)*J957*(1-N(K957)),2))</f>
        <v/>
      </c>
      <c r="O957" s="70" t="str">
        <f>IF(OR(N957="",NOT(ISNUMBER(M957))),"",ROUND(N957*M957,2))</f>
        <v/>
      </c>
      <c r="P957" s="70" t="str">
        <f>IF(N957="","",N957+N(O957))</f>
        <v/>
      </c>
      <c r="Q957" s="64" t="n"/>
      <c r="R957" s="73" t="str">
        <f>IF(N(Q957)&gt;0,Q957,IF(OR(N(B957)=0,ISNA(MATCH($C957,sup_code,0))),"",IF(ISNUMBER(INDEX(sup_delay,MATCH($C957,sup_code,0))),B957+INDEX(sup_delay,MATCH($C957,sup_code,0)),"")))</f>
        <v/>
      </c>
      <c r="S957" s="64" t="n"/>
      <c r="T957" s="68" t="n"/>
      <c r="U957" s="64" t="n"/>
      <c r="V957" s="65" t="n"/>
      <c r="W957" s="74" t="str">
        <f>IF(AND(A957="",E957=""),"",IF(V957="Oui",0,MAX(0,ROUND(N(H957)-N(T957),6))))</f>
        <v/>
      </c>
      <c r="X957" s="67" t="str">
        <f>IF(AND(A957="",E957=""),"",IF(V957="Oui","Annulé",IF(AND(N(H957)&gt;0,N(T957)&gt;=N(H957)),"Reçu",IF(N(S957)=0,"Brouillon",IF(AND(ISNUMBER(R957),R957&lt;p_today),"En retard",IF(N(T957)&gt;0,"Partiel","Envoyé"))))))</f>
        <v/>
      </c>
      <c r="Y957" s="75" t="str">
        <f>IF(X957="En retard",p_today-R957,IF(AND(X957="Reçu",ISNUMBER(R957)),MAX(0,N(U957)-R957),""))</f>
        <v/>
      </c>
      <c r="Z957" s="67" t="str">
        <f>IF(AND(A957="",E957=""),"",IF(A957="","N° de bon manquant",IF(N(B957)=0,"Date de commande manquante",IF(C957="","Fournisseur manquant",IF(ISNA(MATCH($C957,sup_code,0)),"Fournisseur inconnu",IF(E957="","Article manquant",IF(ISNA(MATCH($E957,art_ref,0)),"Article inconnu",IF(N(H957)&lt;=0,"Quantité invalide",IF(J957="","Prix manquant",IF(OR(N(K957)&lt;0,N(K957)&gt;=1),"Remise invalide",IF(M957="","TVA manquante",IF(ISNA(MATCH(M957,p_tva,0)),"Taux de TVA inconnu",IF(COUNTIFS(po_num,A957,po_sup,"&lt;&gt;"&amp;C957)&gt;0,"Fournisseur différent sur ce bon",IF(COUNTIFS(po_num,A957,po_date,"&lt;&gt;"&amp;B957)&gt;0,"Date différente sur ce bon",IF(COUNTIF(po_num,A957)&gt;25,"Plus de 25 lignes sur ce bon",IF(R957="","Date de livraison manquante",IF(R957&lt;B957,"Livraison avant la commande",IF(AND(N(T957)&gt;0,N(S957)=0),"Date d'envoi manquante",IF(N(T957)&gt;N(H957),"Reçu plus que commandé",IF(AND(N(T957)&gt;0,N(U957)=0),"Date de réception manquante",IF(AND(N(U957)&gt;0,U957&lt;B957),"Réception avant la commande","OK")))))))))))))))))))))</f>
        <v/>
      </c>
      <c r="AA957" s="66" t="str">
        <f>IF(AND(X957="Reçu",ISNUMBER(R957)),IF(N(U957)&lt;=R957,1,0),"")</f>
        <v/>
      </c>
      <c r="AB957" s="76" t="str">
        <f>IF(OR(X957="Envoyé",X957="Partiel",X957="En retard"),IF(ISNUMBER(R957),R957,100000)+ROW()/100000,"")</f>
        <v/>
      </c>
      <c r="AC957" s="66" t="str">
        <f>IF(A957="","",IF(COUNTIF($A$6:A957,A957)=1,1,""))</f>
        <v/>
      </c>
      <c r="AD957" s="66" t="str">
        <f>IF(AC957=1,COUNT($AC$6:AC957),"")</f>
        <v/>
      </c>
      <c r="AE957" s="66" t="str">
        <f>IFERROR(INDEX(po_num,MATCH(952,po_seq,0))&amp;"","")</f>
        <v/>
      </c>
      <c r="AF957" s="66" t="str">
        <f>IF(OR(A957="",p_po=""),"",IF(A957&amp;""=p_po,COUNTIF($A$6:A957,A957),""))</f>
        <v/>
      </c>
      <c r="AG957" s="66" t="str">
        <f>IF(OR(AB957="",A957=""),"",IF(COUNTIFS($A$6:A957,A957,$AB$6:AB957,"&gt;0")=1,1,""))</f>
        <v/>
      </c>
      <c r="AH957" s="70" t="str">
        <f>IF(AB957="","",ROUND(N(W957)*N(J957)*(1-N(K957)),2))</f>
        <v/>
      </c>
      <c r="AI957" s="70" t="str">
        <f>IF(OR(J957="",N(T957)&lt;=0,V957="Oui"),"",ROUND(N(T957)*J957*(1-N(K957)),2))</f>
        <v/>
      </c>
    </row>
    <row r="958">
      <c r="A958" s="63" t="n"/>
      <c r="B958" s="64" t="n"/>
      <c r="C958" s="65" t="n"/>
      <c r="D958" s="66" t="str">
        <f>IF(C958="","",IFERROR(INDEX(sup_name,MATCH($C958,sup_code,0))&amp;"","Fournisseur inconnu"))</f>
        <v/>
      </c>
      <c r="E958" s="63" t="n"/>
      <c r="F958" s="66" t="str">
        <f>IF(E958="","",IFERROR(INDEX(art_des,MATCH($E958,art_ref,0))&amp;"","Article inconnu"))</f>
        <v/>
      </c>
      <c r="G958" s="67" t="str">
        <f>IF(E958="","",IFERROR(INDEX(art_unit,MATCH($E958,art_ref,0))&amp;"",""))</f>
        <v/>
      </c>
      <c r="H958" s="68" t="n"/>
      <c r="I958" s="69" t="n"/>
      <c r="J958" s="70" t="str">
        <f>IF(E958="","",IF(ISNUMBER(I958),I958,IFERROR(IF(ISNUMBER(INDEX(art_price,MATCH($E958,art_ref,0))),INDEX(art_price,MATCH($E958,art_ref,0)),""),"")))</f>
        <v/>
      </c>
      <c r="K958" s="71" t="n"/>
      <c r="L958" s="72" t="n"/>
      <c r="M958" s="72" t="str">
        <f>IF(E958="","",IF(L958&lt;&gt;"",L958,IFERROR(IF(ISNUMBER(INDEX(art_tva,MATCH($E958,art_ref,0))),INDEX(art_tva,MATCH($E958,art_ref,0)),""),"")))</f>
        <v/>
      </c>
      <c r="N958" s="70" t="str">
        <f>IF(OR(E958="",J958=""),"",ROUND(N(H958)*J958*(1-N(K958)),2))</f>
        <v/>
      </c>
      <c r="O958" s="70" t="str">
        <f>IF(OR(N958="",NOT(ISNUMBER(M958))),"",ROUND(N958*M958,2))</f>
        <v/>
      </c>
      <c r="P958" s="70" t="str">
        <f>IF(N958="","",N958+N(O958))</f>
        <v/>
      </c>
      <c r="Q958" s="64" t="n"/>
      <c r="R958" s="73" t="str">
        <f>IF(N(Q958)&gt;0,Q958,IF(OR(N(B958)=0,ISNA(MATCH($C958,sup_code,0))),"",IF(ISNUMBER(INDEX(sup_delay,MATCH($C958,sup_code,0))),B958+INDEX(sup_delay,MATCH($C958,sup_code,0)),"")))</f>
        <v/>
      </c>
      <c r="S958" s="64" t="n"/>
      <c r="T958" s="68" t="n"/>
      <c r="U958" s="64" t="n"/>
      <c r="V958" s="65" t="n"/>
      <c r="W958" s="74" t="str">
        <f>IF(AND(A958="",E958=""),"",IF(V958="Oui",0,MAX(0,ROUND(N(H958)-N(T958),6))))</f>
        <v/>
      </c>
      <c r="X958" s="67" t="str">
        <f>IF(AND(A958="",E958=""),"",IF(V958="Oui","Annulé",IF(AND(N(H958)&gt;0,N(T958)&gt;=N(H958)),"Reçu",IF(N(S958)=0,"Brouillon",IF(AND(ISNUMBER(R958),R958&lt;p_today),"En retard",IF(N(T958)&gt;0,"Partiel","Envoyé"))))))</f>
        <v/>
      </c>
      <c r="Y958" s="75" t="str">
        <f>IF(X958="En retard",p_today-R958,IF(AND(X958="Reçu",ISNUMBER(R958)),MAX(0,N(U958)-R958),""))</f>
        <v/>
      </c>
      <c r="Z958" s="67" t="str">
        <f>IF(AND(A958="",E958=""),"",IF(A958="","N° de bon manquant",IF(N(B958)=0,"Date de commande manquante",IF(C958="","Fournisseur manquant",IF(ISNA(MATCH($C958,sup_code,0)),"Fournisseur inconnu",IF(E958="","Article manquant",IF(ISNA(MATCH($E958,art_ref,0)),"Article inconnu",IF(N(H958)&lt;=0,"Quantité invalide",IF(J958="","Prix manquant",IF(OR(N(K958)&lt;0,N(K958)&gt;=1),"Remise invalide",IF(M958="","TVA manquante",IF(ISNA(MATCH(M958,p_tva,0)),"Taux de TVA inconnu",IF(COUNTIFS(po_num,A958,po_sup,"&lt;&gt;"&amp;C958)&gt;0,"Fournisseur différent sur ce bon",IF(COUNTIFS(po_num,A958,po_date,"&lt;&gt;"&amp;B958)&gt;0,"Date différente sur ce bon",IF(COUNTIF(po_num,A958)&gt;25,"Plus de 25 lignes sur ce bon",IF(R958="","Date de livraison manquante",IF(R958&lt;B958,"Livraison avant la commande",IF(AND(N(T958)&gt;0,N(S958)=0),"Date d'envoi manquante",IF(N(T958)&gt;N(H958),"Reçu plus que commandé",IF(AND(N(T958)&gt;0,N(U958)=0),"Date de réception manquante",IF(AND(N(U958)&gt;0,U958&lt;B958),"Réception avant la commande","OK")))))))))))))))))))))</f>
        <v/>
      </c>
      <c r="AA958" s="66" t="str">
        <f>IF(AND(X958="Reçu",ISNUMBER(R958)),IF(N(U958)&lt;=R958,1,0),"")</f>
        <v/>
      </c>
      <c r="AB958" s="76" t="str">
        <f>IF(OR(X958="Envoyé",X958="Partiel",X958="En retard"),IF(ISNUMBER(R958),R958,100000)+ROW()/100000,"")</f>
        <v/>
      </c>
      <c r="AC958" s="66" t="str">
        <f>IF(A958="","",IF(COUNTIF($A$6:A958,A958)=1,1,""))</f>
        <v/>
      </c>
      <c r="AD958" s="66" t="str">
        <f>IF(AC958=1,COUNT($AC$6:AC958),"")</f>
        <v/>
      </c>
      <c r="AE958" s="66" t="str">
        <f>IFERROR(INDEX(po_num,MATCH(953,po_seq,0))&amp;"","")</f>
        <v/>
      </c>
      <c r="AF958" s="66" t="str">
        <f>IF(OR(A958="",p_po=""),"",IF(A958&amp;""=p_po,COUNTIF($A$6:A958,A958),""))</f>
        <v/>
      </c>
      <c r="AG958" s="66" t="str">
        <f>IF(OR(AB958="",A958=""),"",IF(COUNTIFS($A$6:A958,A958,$AB$6:AB958,"&gt;0")=1,1,""))</f>
        <v/>
      </c>
      <c r="AH958" s="70" t="str">
        <f>IF(AB958="","",ROUND(N(W958)*N(J958)*(1-N(K958)),2))</f>
        <v/>
      </c>
      <c r="AI958" s="70" t="str">
        <f>IF(OR(J958="",N(T958)&lt;=0,V958="Oui"),"",ROUND(N(T958)*J958*(1-N(K958)),2))</f>
        <v/>
      </c>
    </row>
    <row r="959">
      <c r="A959" s="63" t="n"/>
      <c r="B959" s="64" t="n"/>
      <c r="C959" s="65" t="n"/>
      <c r="D959" s="66" t="str">
        <f>IF(C959="","",IFERROR(INDEX(sup_name,MATCH($C959,sup_code,0))&amp;"","Fournisseur inconnu"))</f>
        <v/>
      </c>
      <c r="E959" s="63" t="n"/>
      <c r="F959" s="66" t="str">
        <f>IF(E959="","",IFERROR(INDEX(art_des,MATCH($E959,art_ref,0))&amp;"","Article inconnu"))</f>
        <v/>
      </c>
      <c r="G959" s="67" t="str">
        <f>IF(E959="","",IFERROR(INDEX(art_unit,MATCH($E959,art_ref,0))&amp;"",""))</f>
        <v/>
      </c>
      <c r="H959" s="68" t="n"/>
      <c r="I959" s="69" t="n"/>
      <c r="J959" s="70" t="str">
        <f>IF(E959="","",IF(ISNUMBER(I959),I959,IFERROR(IF(ISNUMBER(INDEX(art_price,MATCH($E959,art_ref,0))),INDEX(art_price,MATCH($E959,art_ref,0)),""),"")))</f>
        <v/>
      </c>
      <c r="K959" s="71" t="n"/>
      <c r="L959" s="72" t="n"/>
      <c r="M959" s="72" t="str">
        <f>IF(E959="","",IF(L959&lt;&gt;"",L959,IFERROR(IF(ISNUMBER(INDEX(art_tva,MATCH($E959,art_ref,0))),INDEX(art_tva,MATCH($E959,art_ref,0)),""),"")))</f>
        <v/>
      </c>
      <c r="N959" s="70" t="str">
        <f>IF(OR(E959="",J959=""),"",ROUND(N(H959)*J959*(1-N(K959)),2))</f>
        <v/>
      </c>
      <c r="O959" s="70" t="str">
        <f>IF(OR(N959="",NOT(ISNUMBER(M959))),"",ROUND(N959*M959,2))</f>
        <v/>
      </c>
      <c r="P959" s="70" t="str">
        <f>IF(N959="","",N959+N(O959))</f>
        <v/>
      </c>
      <c r="Q959" s="64" t="n"/>
      <c r="R959" s="73" t="str">
        <f>IF(N(Q959)&gt;0,Q959,IF(OR(N(B959)=0,ISNA(MATCH($C959,sup_code,0))),"",IF(ISNUMBER(INDEX(sup_delay,MATCH($C959,sup_code,0))),B959+INDEX(sup_delay,MATCH($C959,sup_code,0)),"")))</f>
        <v/>
      </c>
      <c r="S959" s="64" t="n"/>
      <c r="T959" s="68" t="n"/>
      <c r="U959" s="64" t="n"/>
      <c r="V959" s="65" t="n"/>
      <c r="W959" s="74" t="str">
        <f>IF(AND(A959="",E959=""),"",IF(V959="Oui",0,MAX(0,ROUND(N(H959)-N(T959),6))))</f>
        <v/>
      </c>
      <c r="X959" s="67" t="str">
        <f>IF(AND(A959="",E959=""),"",IF(V959="Oui","Annulé",IF(AND(N(H959)&gt;0,N(T959)&gt;=N(H959)),"Reçu",IF(N(S959)=0,"Brouillon",IF(AND(ISNUMBER(R959),R959&lt;p_today),"En retard",IF(N(T959)&gt;0,"Partiel","Envoyé"))))))</f>
        <v/>
      </c>
      <c r="Y959" s="75" t="str">
        <f>IF(X959="En retard",p_today-R959,IF(AND(X959="Reçu",ISNUMBER(R959)),MAX(0,N(U959)-R959),""))</f>
        <v/>
      </c>
      <c r="Z959" s="67" t="str">
        <f>IF(AND(A959="",E959=""),"",IF(A959="","N° de bon manquant",IF(N(B959)=0,"Date de commande manquante",IF(C959="","Fournisseur manquant",IF(ISNA(MATCH($C959,sup_code,0)),"Fournisseur inconnu",IF(E959="","Article manquant",IF(ISNA(MATCH($E959,art_ref,0)),"Article inconnu",IF(N(H959)&lt;=0,"Quantité invalide",IF(J959="","Prix manquant",IF(OR(N(K959)&lt;0,N(K959)&gt;=1),"Remise invalide",IF(M959="","TVA manquante",IF(ISNA(MATCH(M959,p_tva,0)),"Taux de TVA inconnu",IF(COUNTIFS(po_num,A959,po_sup,"&lt;&gt;"&amp;C959)&gt;0,"Fournisseur différent sur ce bon",IF(COUNTIFS(po_num,A959,po_date,"&lt;&gt;"&amp;B959)&gt;0,"Date différente sur ce bon",IF(COUNTIF(po_num,A959)&gt;25,"Plus de 25 lignes sur ce bon",IF(R959="","Date de livraison manquante",IF(R959&lt;B959,"Livraison avant la commande",IF(AND(N(T959)&gt;0,N(S959)=0),"Date d'envoi manquante",IF(N(T959)&gt;N(H959),"Reçu plus que commandé",IF(AND(N(T959)&gt;0,N(U959)=0),"Date de réception manquante",IF(AND(N(U959)&gt;0,U959&lt;B959),"Réception avant la commande","OK")))))))))))))))))))))</f>
        <v/>
      </c>
      <c r="AA959" s="66" t="str">
        <f>IF(AND(X959="Reçu",ISNUMBER(R959)),IF(N(U959)&lt;=R959,1,0),"")</f>
        <v/>
      </c>
      <c r="AB959" s="76" t="str">
        <f>IF(OR(X959="Envoyé",X959="Partiel",X959="En retard"),IF(ISNUMBER(R959),R959,100000)+ROW()/100000,"")</f>
        <v/>
      </c>
      <c r="AC959" s="66" t="str">
        <f>IF(A959="","",IF(COUNTIF($A$6:A959,A959)=1,1,""))</f>
        <v/>
      </c>
      <c r="AD959" s="66" t="str">
        <f>IF(AC959=1,COUNT($AC$6:AC959),"")</f>
        <v/>
      </c>
      <c r="AE959" s="66" t="str">
        <f>IFERROR(INDEX(po_num,MATCH(954,po_seq,0))&amp;"","")</f>
        <v/>
      </c>
      <c r="AF959" s="66" t="str">
        <f>IF(OR(A959="",p_po=""),"",IF(A959&amp;""=p_po,COUNTIF($A$6:A959,A959),""))</f>
        <v/>
      </c>
      <c r="AG959" s="66" t="str">
        <f>IF(OR(AB959="",A959=""),"",IF(COUNTIFS($A$6:A959,A959,$AB$6:AB959,"&gt;0")=1,1,""))</f>
        <v/>
      </c>
      <c r="AH959" s="70" t="str">
        <f>IF(AB959="","",ROUND(N(W959)*N(J959)*(1-N(K959)),2))</f>
        <v/>
      </c>
      <c r="AI959" s="70" t="str">
        <f>IF(OR(J959="",N(T959)&lt;=0,V959="Oui"),"",ROUND(N(T959)*J959*(1-N(K959)),2))</f>
        <v/>
      </c>
    </row>
    <row r="960">
      <c r="A960" s="63" t="n"/>
      <c r="B960" s="64" t="n"/>
      <c r="C960" s="65" t="n"/>
      <c r="D960" s="66" t="str">
        <f>IF(C960="","",IFERROR(INDEX(sup_name,MATCH($C960,sup_code,0))&amp;"","Fournisseur inconnu"))</f>
        <v/>
      </c>
      <c r="E960" s="63" t="n"/>
      <c r="F960" s="66" t="str">
        <f>IF(E960="","",IFERROR(INDEX(art_des,MATCH($E960,art_ref,0))&amp;"","Article inconnu"))</f>
        <v/>
      </c>
      <c r="G960" s="67" t="str">
        <f>IF(E960="","",IFERROR(INDEX(art_unit,MATCH($E960,art_ref,0))&amp;"",""))</f>
        <v/>
      </c>
      <c r="H960" s="68" t="n"/>
      <c r="I960" s="69" t="n"/>
      <c r="J960" s="70" t="str">
        <f>IF(E960="","",IF(ISNUMBER(I960),I960,IFERROR(IF(ISNUMBER(INDEX(art_price,MATCH($E960,art_ref,0))),INDEX(art_price,MATCH($E960,art_ref,0)),""),"")))</f>
        <v/>
      </c>
      <c r="K960" s="71" t="n"/>
      <c r="L960" s="72" t="n"/>
      <c r="M960" s="72" t="str">
        <f>IF(E960="","",IF(L960&lt;&gt;"",L960,IFERROR(IF(ISNUMBER(INDEX(art_tva,MATCH($E960,art_ref,0))),INDEX(art_tva,MATCH($E960,art_ref,0)),""),"")))</f>
        <v/>
      </c>
      <c r="N960" s="70" t="str">
        <f>IF(OR(E960="",J960=""),"",ROUND(N(H960)*J960*(1-N(K960)),2))</f>
        <v/>
      </c>
      <c r="O960" s="70" t="str">
        <f>IF(OR(N960="",NOT(ISNUMBER(M960))),"",ROUND(N960*M960,2))</f>
        <v/>
      </c>
      <c r="P960" s="70" t="str">
        <f>IF(N960="","",N960+N(O960))</f>
        <v/>
      </c>
      <c r="Q960" s="64" t="n"/>
      <c r="R960" s="73" t="str">
        <f>IF(N(Q960)&gt;0,Q960,IF(OR(N(B960)=0,ISNA(MATCH($C960,sup_code,0))),"",IF(ISNUMBER(INDEX(sup_delay,MATCH($C960,sup_code,0))),B960+INDEX(sup_delay,MATCH($C960,sup_code,0)),"")))</f>
        <v/>
      </c>
      <c r="S960" s="64" t="n"/>
      <c r="T960" s="68" t="n"/>
      <c r="U960" s="64" t="n"/>
      <c r="V960" s="65" t="n"/>
      <c r="W960" s="74" t="str">
        <f>IF(AND(A960="",E960=""),"",IF(V960="Oui",0,MAX(0,ROUND(N(H960)-N(T960),6))))</f>
        <v/>
      </c>
      <c r="X960" s="67" t="str">
        <f>IF(AND(A960="",E960=""),"",IF(V960="Oui","Annulé",IF(AND(N(H960)&gt;0,N(T960)&gt;=N(H960)),"Reçu",IF(N(S960)=0,"Brouillon",IF(AND(ISNUMBER(R960),R960&lt;p_today),"En retard",IF(N(T960)&gt;0,"Partiel","Envoyé"))))))</f>
        <v/>
      </c>
      <c r="Y960" s="75" t="str">
        <f>IF(X960="En retard",p_today-R960,IF(AND(X960="Reçu",ISNUMBER(R960)),MAX(0,N(U960)-R960),""))</f>
        <v/>
      </c>
      <c r="Z960" s="67" t="str">
        <f>IF(AND(A960="",E960=""),"",IF(A960="","N° de bon manquant",IF(N(B960)=0,"Date de commande manquante",IF(C960="","Fournisseur manquant",IF(ISNA(MATCH($C960,sup_code,0)),"Fournisseur inconnu",IF(E960="","Article manquant",IF(ISNA(MATCH($E960,art_ref,0)),"Article inconnu",IF(N(H960)&lt;=0,"Quantité invalide",IF(J960="","Prix manquant",IF(OR(N(K960)&lt;0,N(K960)&gt;=1),"Remise invalide",IF(M960="","TVA manquante",IF(ISNA(MATCH(M960,p_tva,0)),"Taux de TVA inconnu",IF(COUNTIFS(po_num,A960,po_sup,"&lt;&gt;"&amp;C960)&gt;0,"Fournisseur différent sur ce bon",IF(COUNTIFS(po_num,A960,po_date,"&lt;&gt;"&amp;B960)&gt;0,"Date différente sur ce bon",IF(COUNTIF(po_num,A960)&gt;25,"Plus de 25 lignes sur ce bon",IF(R960="","Date de livraison manquante",IF(R960&lt;B960,"Livraison avant la commande",IF(AND(N(T960)&gt;0,N(S960)=0),"Date d'envoi manquante",IF(N(T960)&gt;N(H960),"Reçu plus que commandé",IF(AND(N(T960)&gt;0,N(U960)=0),"Date de réception manquante",IF(AND(N(U960)&gt;0,U960&lt;B960),"Réception avant la commande","OK")))))))))))))))))))))</f>
        <v/>
      </c>
      <c r="AA960" s="66" t="str">
        <f>IF(AND(X960="Reçu",ISNUMBER(R960)),IF(N(U960)&lt;=R960,1,0),"")</f>
        <v/>
      </c>
      <c r="AB960" s="76" t="str">
        <f>IF(OR(X960="Envoyé",X960="Partiel",X960="En retard"),IF(ISNUMBER(R960),R960,100000)+ROW()/100000,"")</f>
        <v/>
      </c>
      <c r="AC960" s="66" t="str">
        <f>IF(A960="","",IF(COUNTIF($A$6:A960,A960)=1,1,""))</f>
        <v/>
      </c>
      <c r="AD960" s="66" t="str">
        <f>IF(AC960=1,COUNT($AC$6:AC960),"")</f>
        <v/>
      </c>
      <c r="AE960" s="66" t="str">
        <f>IFERROR(INDEX(po_num,MATCH(955,po_seq,0))&amp;"","")</f>
        <v/>
      </c>
      <c r="AF960" s="66" t="str">
        <f>IF(OR(A960="",p_po=""),"",IF(A960&amp;""=p_po,COUNTIF($A$6:A960,A960),""))</f>
        <v/>
      </c>
      <c r="AG960" s="66" t="str">
        <f>IF(OR(AB960="",A960=""),"",IF(COUNTIFS($A$6:A960,A960,$AB$6:AB960,"&gt;0")=1,1,""))</f>
        <v/>
      </c>
      <c r="AH960" s="70" t="str">
        <f>IF(AB960="","",ROUND(N(W960)*N(J960)*(1-N(K960)),2))</f>
        <v/>
      </c>
      <c r="AI960" s="70" t="str">
        <f>IF(OR(J960="",N(T960)&lt;=0,V960="Oui"),"",ROUND(N(T960)*J960*(1-N(K960)),2))</f>
        <v/>
      </c>
    </row>
    <row r="961">
      <c r="A961" s="63" t="n"/>
      <c r="B961" s="64" t="n"/>
      <c r="C961" s="65" t="n"/>
      <c r="D961" s="66" t="str">
        <f>IF(C961="","",IFERROR(INDEX(sup_name,MATCH($C961,sup_code,0))&amp;"","Fournisseur inconnu"))</f>
        <v/>
      </c>
      <c r="E961" s="63" t="n"/>
      <c r="F961" s="66" t="str">
        <f>IF(E961="","",IFERROR(INDEX(art_des,MATCH($E961,art_ref,0))&amp;"","Article inconnu"))</f>
        <v/>
      </c>
      <c r="G961" s="67" t="str">
        <f>IF(E961="","",IFERROR(INDEX(art_unit,MATCH($E961,art_ref,0))&amp;"",""))</f>
        <v/>
      </c>
      <c r="H961" s="68" t="n"/>
      <c r="I961" s="69" t="n"/>
      <c r="J961" s="70" t="str">
        <f>IF(E961="","",IF(ISNUMBER(I961),I961,IFERROR(IF(ISNUMBER(INDEX(art_price,MATCH($E961,art_ref,0))),INDEX(art_price,MATCH($E961,art_ref,0)),""),"")))</f>
        <v/>
      </c>
      <c r="K961" s="71" t="n"/>
      <c r="L961" s="72" t="n"/>
      <c r="M961" s="72" t="str">
        <f>IF(E961="","",IF(L961&lt;&gt;"",L961,IFERROR(IF(ISNUMBER(INDEX(art_tva,MATCH($E961,art_ref,0))),INDEX(art_tva,MATCH($E961,art_ref,0)),""),"")))</f>
        <v/>
      </c>
      <c r="N961" s="70" t="str">
        <f>IF(OR(E961="",J961=""),"",ROUND(N(H961)*J961*(1-N(K961)),2))</f>
        <v/>
      </c>
      <c r="O961" s="70" t="str">
        <f>IF(OR(N961="",NOT(ISNUMBER(M961))),"",ROUND(N961*M961,2))</f>
        <v/>
      </c>
      <c r="P961" s="70" t="str">
        <f>IF(N961="","",N961+N(O961))</f>
        <v/>
      </c>
      <c r="Q961" s="64" t="n"/>
      <c r="R961" s="73" t="str">
        <f>IF(N(Q961)&gt;0,Q961,IF(OR(N(B961)=0,ISNA(MATCH($C961,sup_code,0))),"",IF(ISNUMBER(INDEX(sup_delay,MATCH($C961,sup_code,0))),B961+INDEX(sup_delay,MATCH($C961,sup_code,0)),"")))</f>
        <v/>
      </c>
      <c r="S961" s="64" t="n"/>
      <c r="T961" s="68" t="n"/>
      <c r="U961" s="64" t="n"/>
      <c r="V961" s="65" t="n"/>
      <c r="W961" s="74" t="str">
        <f>IF(AND(A961="",E961=""),"",IF(V961="Oui",0,MAX(0,ROUND(N(H961)-N(T961),6))))</f>
        <v/>
      </c>
      <c r="X961" s="67" t="str">
        <f>IF(AND(A961="",E961=""),"",IF(V961="Oui","Annulé",IF(AND(N(H961)&gt;0,N(T961)&gt;=N(H961)),"Reçu",IF(N(S961)=0,"Brouillon",IF(AND(ISNUMBER(R961),R961&lt;p_today),"En retard",IF(N(T961)&gt;0,"Partiel","Envoyé"))))))</f>
        <v/>
      </c>
      <c r="Y961" s="75" t="str">
        <f>IF(X961="En retard",p_today-R961,IF(AND(X961="Reçu",ISNUMBER(R961)),MAX(0,N(U961)-R961),""))</f>
        <v/>
      </c>
      <c r="Z961" s="67" t="str">
        <f>IF(AND(A961="",E961=""),"",IF(A961="","N° de bon manquant",IF(N(B961)=0,"Date de commande manquante",IF(C961="","Fournisseur manquant",IF(ISNA(MATCH($C961,sup_code,0)),"Fournisseur inconnu",IF(E961="","Article manquant",IF(ISNA(MATCH($E961,art_ref,0)),"Article inconnu",IF(N(H961)&lt;=0,"Quantité invalide",IF(J961="","Prix manquant",IF(OR(N(K961)&lt;0,N(K961)&gt;=1),"Remise invalide",IF(M961="","TVA manquante",IF(ISNA(MATCH(M961,p_tva,0)),"Taux de TVA inconnu",IF(COUNTIFS(po_num,A961,po_sup,"&lt;&gt;"&amp;C961)&gt;0,"Fournisseur différent sur ce bon",IF(COUNTIFS(po_num,A961,po_date,"&lt;&gt;"&amp;B961)&gt;0,"Date différente sur ce bon",IF(COUNTIF(po_num,A961)&gt;25,"Plus de 25 lignes sur ce bon",IF(R961="","Date de livraison manquante",IF(R961&lt;B961,"Livraison avant la commande",IF(AND(N(T961)&gt;0,N(S961)=0),"Date d'envoi manquante",IF(N(T961)&gt;N(H961),"Reçu plus que commandé",IF(AND(N(T961)&gt;0,N(U961)=0),"Date de réception manquante",IF(AND(N(U961)&gt;0,U961&lt;B961),"Réception avant la commande","OK")))))))))))))))))))))</f>
        <v/>
      </c>
      <c r="AA961" s="66" t="str">
        <f>IF(AND(X961="Reçu",ISNUMBER(R961)),IF(N(U961)&lt;=R961,1,0),"")</f>
        <v/>
      </c>
      <c r="AB961" s="76" t="str">
        <f>IF(OR(X961="Envoyé",X961="Partiel",X961="En retard"),IF(ISNUMBER(R961),R961,100000)+ROW()/100000,"")</f>
        <v/>
      </c>
      <c r="AC961" s="66" t="str">
        <f>IF(A961="","",IF(COUNTIF($A$6:A961,A961)=1,1,""))</f>
        <v/>
      </c>
      <c r="AD961" s="66" t="str">
        <f>IF(AC961=1,COUNT($AC$6:AC961),"")</f>
        <v/>
      </c>
      <c r="AE961" s="66" t="str">
        <f>IFERROR(INDEX(po_num,MATCH(956,po_seq,0))&amp;"","")</f>
        <v/>
      </c>
      <c r="AF961" s="66" t="str">
        <f>IF(OR(A961="",p_po=""),"",IF(A961&amp;""=p_po,COUNTIF($A$6:A961,A961),""))</f>
        <v/>
      </c>
      <c r="AG961" s="66" t="str">
        <f>IF(OR(AB961="",A961=""),"",IF(COUNTIFS($A$6:A961,A961,$AB$6:AB961,"&gt;0")=1,1,""))</f>
        <v/>
      </c>
      <c r="AH961" s="70" t="str">
        <f>IF(AB961="","",ROUND(N(W961)*N(J961)*(1-N(K961)),2))</f>
        <v/>
      </c>
      <c r="AI961" s="70" t="str">
        <f>IF(OR(J961="",N(T961)&lt;=0,V961="Oui"),"",ROUND(N(T961)*J961*(1-N(K961)),2))</f>
        <v/>
      </c>
    </row>
    <row r="962">
      <c r="A962" s="63" t="n"/>
      <c r="B962" s="64" t="n"/>
      <c r="C962" s="65" t="n"/>
      <c r="D962" s="66" t="str">
        <f>IF(C962="","",IFERROR(INDEX(sup_name,MATCH($C962,sup_code,0))&amp;"","Fournisseur inconnu"))</f>
        <v/>
      </c>
      <c r="E962" s="63" t="n"/>
      <c r="F962" s="66" t="str">
        <f>IF(E962="","",IFERROR(INDEX(art_des,MATCH($E962,art_ref,0))&amp;"","Article inconnu"))</f>
        <v/>
      </c>
      <c r="G962" s="67" t="str">
        <f>IF(E962="","",IFERROR(INDEX(art_unit,MATCH($E962,art_ref,0))&amp;"",""))</f>
        <v/>
      </c>
      <c r="H962" s="68" t="n"/>
      <c r="I962" s="69" t="n"/>
      <c r="J962" s="70" t="str">
        <f>IF(E962="","",IF(ISNUMBER(I962),I962,IFERROR(IF(ISNUMBER(INDEX(art_price,MATCH($E962,art_ref,0))),INDEX(art_price,MATCH($E962,art_ref,0)),""),"")))</f>
        <v/>
      </c>
      <c r="K962" s="71" t="n"/>
      <c r="L962" s="72" t="n"/>
      <c r="M962" s="72" t="str">
        <f>IF(E962="","",IF(L962&lt;&gt;"",L962,IFERROR(IF(ISNUMBER(INDEX(art_tva,MATCH($E962,art_ref,0))),INDEX(art_tva,MATCH($E962,art_ref,0)),""),"")))</f>
        <v/>
      </c>
      <c r="N962" s="70" t="str">
        <f>IF(OR(E962="",J962=""),"",ROUND(N(H962)*J962*(1-N(K962)),2))</f>
        <v/>
      </c>
      <c r="O962" s="70" t="str">
        <f>IF(OR(N962="",NOT(ISNUMBER(M962))),"",ROUND(N962*M962,2))</f>
        <v/>
      </c>
      <c r="P962" s="70" t="str">
        <f>IF(N962="","",N962+N(O962))</f>
        <v/>
      </c>
      <c r="Q962" s="64" t="n"/>
      <c r="R962" s="73" t="str">
        <f>IF(N(Q962)&gt;0,Q962,IF(OR(N(B962)=0,ISNA(MATCH($C962,sup_code,0))),"",IF(ISNUMBER(INDEX(sup_delay,MATCH($C962,sup_code,0))),B962+INDEX(sup_delay,MATCH($C962,sup_code,0)),"")))</f>
        <v/>
      </c>
      <c r="S962" s="64" t="n"/>
      <c r="T962" s="68" t="n"/>
      <c r="U962" s="64" t="n"/>
      <c r="V962" s="65" t="n"/>
      <c r="W962" s="74" t="str">
        <f>IF(AND(A962="",E962=""),"",IF(V962="Oui",0,MAX(0,ROUND(N(H962)-N(T962),6))))</f>
        <v/>
      </c>
      <c r="X962" s="67" t="str">
        <f>IF(AND(A962="",E962=""),"",IF(V962="Oui","Annulé",IF(AND(N(H962)&gt;0,N(T962)&gt;=N(H962)),"Reçu",IF(N(S962)=0,"Brouillon",IF(AND(ISNUMBER(R962),R962&lt;p_today),"En retard",IF(N(T962)&gt;0,"Partiel","Envoyé"))))))</f>
        <v/>
      </c>
      <c r="Y962" s="75" t="str">
        <f>IF(X962="En retard",p_today-R962,IF(AND(X962="Reçu",ISNUMBER(R962)),MAX(0,N(U962)-R962),""))</f>
        <v/>
      </c>
      <c r="Z962" s="67" t="str">
        <f>IF(AND(A962="",E962=""),"",IF(A962="","N° de bon manquant",IF(N(B962)=0,"Date de commande manquante",IF(C962="","Fournisseur manquant",IF(ISNA(MATCH($C962,sup_code,0)),"Fournisseur inconnu",IF(E962="","Article manquant",IF(ISNA(MATCH($E962,art_ref,0)),"Article inconnu",IF(N(H962)&lt;=0,"Quantité invalide",IF(J962="","Prix manquant",IF(OR(N(K962)&lt;0,N(K962)&gt;=1),"Remise invalide",IF(M962="","TVA manquante",IF(ISNA(MATCH(M962,p_tva,0)),"Taux de TVA inconnu",IF(COUNTIFS(po_num,A962,po_sup,"&lt;&gt;"&amp;C962)&gt;0,"Fournisseur différent sur ce bon",IF(COUNTIFS(po_num,A962,po_date,"&lt;&gt;"&amp;B962)&gt;0,"Date différente sur ce bon",IF(COUNTIF(po_num,A962)&gt;25,"Plus de 25 lignes sur ce bon",IF(R962="","Date de livraison manquante",IF(R962&lt;B962,"Livraison avant la commande",IF(AND(N(T962)&gt;0,N(S962)=0),"Date d'envoi manquante",IF(N(T962)&gt;N(H962),"Reçu plus que commandé",IF(AND(N(T962)&gt;0,N(U962)=0),"Date de réception manquante",IF(AND(N(U962)&gt;0,U962&lt;B962),"Réception avant la commande","OK")))))))))))))))))))))</f>
        <v/>
      </c>
      <c r="AA962" s="66" t="str">
        <f>IF(AND(X962="Reçu",ISNUMBER(R962)),IF(N(U962)&lt;=R962,1,0),"")</f>
        <v/>
      </c>
      <c r="AB962" s="76" t="str">
        <f>IF(OR(X962="Envoyé",X962="Partiel",X962="En retard"),IF(ISNUMBER(R962),R962,100000)+ROW()/100000,"")</f>
        <v/>
      </c>
      <c r="AC962" s="66" t="str">
        <f>IF(A962="","",IF(COUNTIF($A$6:A962,A962)=1,1,""))</f>
        <v/>
      </c>
      <c r="AD962" s="66" t="str">
        <f>IF(AC962=1,COUNT($AC$6:AC962),"")</f>
        <v/>
      </c>
      <c r="AE962" s="66" t="str">
        <f>IFERROR(INDEX(po_num,MATCH(957,po_seq,0))&amp;"","")</f>
        <v/>
      </c>
      <c r="AF962" s="66" t="str">
        <f>IF(OR(A962="",p_po=""),"",IF(A962&amp;""=p_po,COUNTIF($A$6:A962,A962),""))</f>
        <v/>
      </c>
      <c r="AG962" s="66" t="str">
        <f>IF(OR(AB962="",A962=""),"",IF(COUNTIFS($A$6:A962,A962,$AB$6:AB962,"&gt;0")=1,1,""))</f>
        <v/>
      </c>
      <c r="AH962" s="70" t="str">
        <f>IF(AB962="","",ROUND(N(W962)*N(J962)*(1-N(K962)),2))</f>
        <v/>
      </c>
      <c r="AI962" s="70" t="str">
        <f>IF(OR(J962="",N(T962)&lt;=0,V962="Oui"),"",ROUND(N(T962)*J962*(1-N(K962)),2))</f>
        <v/>
      </c>
    </row>
    <row r="963">
      <c r="A963" s="63" t="n"/>
      <c r="B963" s="64" t="n"/>
      <c r="C963" s="65" t="n"/>
      <c r="D963" s="66" t="str">
        <f>IF(C963="","",IFERROR(INDEX(sup_name,MATCH($C963,sup_code,0))&amp;"","Fournisseur inconnu"))</f>
        <v/>
      </c>
      <c r="E963" s="63" t="n"/>
      <c r="F963" s="66" t="str">
        <f>IF(E963="","",IFERROR(INDEX(art_des,MATCH($E963,art_ref,0))&amp;"","Article inconnu"))</f>
        <v/>
      </c>
      <c r="G963" s="67" t="str">
        <f>IF(E963="","",IFERROR(INDEX(art_unit,MATCH($E963,art_ref,0))&amp;"",""))</f>
        <v/>
      </c>
      <c r="H963" s="68" t="n"/>
      <c r="I963" s="69" t="n"/>
      <c r="J963" s="70" t="str">
        <f>IF(E963="","",IF(ISNUMBER(I963),I963,IFERROR(IF(ISNUMBER(INDEX(art_price,MATCH($E963,art_ref,0))),INDEX(art_price,MATCH($E963,art_ref,0)),""),"")))</f>
        <v/>
      </c>
      <c r="K963" s="71" t="n"/>
      <c r="L963" s="72" t="n"/>
      <c r="M963" s="72" t="str">
        <f>IF(E963="","",IF(L963&lt;&gt;"",L963,IFERROR(IF(ISNUMBER(INDEX(art_tva,MATCH($E963,art_ref,0))),INDEX(art_tva,MATCH($E963,art_ref,0)),""),"")))</f>
        <v/>
      </c>
      <c r="N963" s="70" t="str">
        <f>IF(OR(E963="",J963=""),"",ROUND(N(H963)*J963*(1-N(K963)),2))</f>
        <v/>
      </c>
      <c r="O963" s="70" t="str">
        <f>IF(OR(N963="",NOT(ISNUMBER(M963))),"",ROUND(N963*M963,2))</f>
        <v/>
      </c>
      <c r="P963" s="70" t="str">
        <f>IF(N963="","",N963+N(O963))</f>
        <v/>
      </c>
      <c r="Q963" s="64" t="n"/>
      <c r="R963" s="73" t="str">
        <f>IF(N(Q963)&gt;0,Q963,IF(OR(N(B963)=0,ISNA(MATCH($C963,sup_code,0))),"",IF(ISNUMBER(INDEX(sup_delay,MATCH($C963,sup_code,0))),B963+INDEX(sup_delay,MATCH($C963,sup_code,0)),"")))</f>
        <v/>
      </c>
      <c r="S963" s="64" t="n"/>
      <c r="T963" s="68" t="n"/>
      <c r="U963" s="64" t="n"/>
      <c r="V963" s="65" t="n"/>
      <c r="W963" s="74" t="str">
        <f>IF(AND(A963="",E963=""),"",IF(V963="Oui",0,MAX(0,ROUND(N(H963)-N(T963),6))))</f>
        <v/>
      </c>
      <c r="X963" s="67" t="str">
        <f>IF(AND(A963="",E963=""),"",IF(V963="Oui","Annulé",IF(AND(N(H963)&gt;0,N(T963)&gt;=N(H963)),"Reçu",IF(N(S963)=0,"Brouillon",IF(AND(ISNUMBER(R963),R963&lt;p_today),"En retard",IF(N(T963)&gt;0,"Partiel","Envoyé"))))))</f>
        <v/>
      </c>
      <c r="Y963" s="75" t="str">
        <f>IF(X963="En retard",p_today-R963,IF(AND(X963="Reçu",ISNUMBER(R963)),MAX(0,N(U963)-R963),""))</f>
        <v/>
      </c>
      <c r="Z963" s="67" t="str">
        <f>IF(AND(A963="",E963=""),"",IF(A963="","N° de bon manquant",IF(N(B963)=0,"Date de commande manquante",IF(C963="","Fournisseur manquant",IF(ISNA(MATCH($C963,sup_code,0)),"Fournisseur inconnu",IF(E963="","Article manquant",IF(ISNA(MATCH($E963,art_ref,0)),"Article inconnu",IF(N(H963)&lt;=0,"Quantité invalide",IF(J963="","Prix manquant",IF(OR(N(K963)&lt;0,N(K963)&gt;=1),"Remise invalide",IF(M963="","TVA manquante",IF(ISNA(MATCH(M963,p_tva,0)),"Taux de TVA inconnu",IF(COUNTIFS(po_num,A963,po_sup,"&lt;&gt;"&amp;C963)&gt;0,"Fournisseur différent sur ce bon",IF(COUNTIFS(po_num,A963,po_date,"&lt;&gt;"&amp;B963)&gt;0,"Date différente sur ce bon",IF(COUNTIF(po_num,A963)&gt;25,"Plus de 25 lignes sur ce bon",IF(R963="","Date de livraison manquante",IF(R963&lt;B963,"Livraison avant la commande",IF(AND(N(T963)&gt;0,N(S963)=0),"Date d'envoi manquante",IF(N(T963)&gt;N(H963),"Reçu plus que commandé",IF(AND(N(T963)&gt;0,N(U963)=0),"Date de réception manquante",IF(AND(N(U963)&gt;0,U963&lt;B963),"Réception avant la commande","OK")))))))))))))))))))))</f>
        <v/>
      </c>
      <c r="AA963" s="66" t="str">
        <f>IF(AND(X963="Reçu",ISNUMBER(R963)),IF(N(U963)&lt;=R963,1,0),"")</f>
        <v/>
      </c>
      <c r="AB963" s="76" t="str">
        <f>IF(OR(X963="Envoyé",X963="Partiel",X963="En retard"),IF(ISNUMBER(R963),R963,100000)+ROW()/100000,"")</f>
        <v/>
      </c>
      <c r="AC963" s="66" t="str">
        <f>IF(A963="","",IF(COUNTIF($A$6:A963,A963)=1,1,""))</f>
        <v/>
      </c>
      <c r="AD963" s="66" t="str">
        <f>IF(AC963=1,COUNT($AC$6:AC963),"")</f>
        <v/>
      </c>
      <c r="AE963" s="66" t="str">
        <f>IFERROR(INDEX(po_num,MATCH(958,po_seq,0))&amp;"","")</f>
        <v/>
      </c>
      <c r="AF963" s="66" t="str">
        <f>IF(OR(A963="",p_po=""),"",IF(A963&amp;""=p_po,COUNTIF($A$6:A963,A963),""))</f>
        <v/>
      </c>
      <c r="AG963" s="66" t="str">
        <f>IF(OR(AB963="",A963=""),"",IF(COUNTIFS($A$6:A963,A963,$AB$6:AB963,"&gt;0")=1,1,""))</f>
        <v/>
      </c>
      <c r="AH963" s="70" t="str">
        <f>IF(AB963="","",ROUND(N(W963)*N(J963)*(1-N(K963)),2))</f>
        <v/>
      </c>
      <c r="AI963" s="70" t="str">
        <f>IF(OR(J963="",N(T963)&lt;=0,V963="Oui"),"",ROUND(N(T963)*J963*(1-N(K963)),2))</f>
        <v/>
      </c>
    </row>
    <row r="964">
      <c r="A964" s="63" t="n"/>
      <c r="B964" s="64" t="n"/>
      <c r="C964" s="65" t="n"/>
      <c r="D964" s="66" t="str">
        <f>IF(C964="","",IFERROR(INDEX(sup_name,MATCH($C964,sup_code,0))&amp;"","Fournisseur inconnu"))</f>
        <v/>
      </c>
      <c r="E964" s="63" t="n"/>
      <c r="F964" s="66" t="str">
        <f>IF(E964="","",IFERROR(INDEX(art_des,MATCH($E964,art_ref,0))&amp;"","Article inconnu"))</f>
        <v/>
      </c>
      <c r="G964" s="67" t="str">
        <f>IF(E964="","",IFERROR(INDEX(art_unit,MATCH($E964,art_ref,0))&amp;"",""))</f>
        <v/>
      </c>
      <c r="H964" s="68" t="n"/>
      <c r="I964" s="69" t="n"/>
      <c r="J964" s="70" t="str">
        <f>IF(E964="","",IF(ISNUMBER(I964),I964,IFERROR(IF(ISNUMBER(INDEX(art_price,MATCH($E964,art_ref,0))),INDEX(art_price,MATCH($E964,art_ref,0)),""),"")))</f>
        <v/>
      </c>
      <c r="K964" s="71" t="n"/>
      <c r="L964" s="72" t="n"/>
      <c r="M964" s="72" t="str">
        <f>IF(E964="","",IF(L964&lt;&gt;"",L964,IFERROR(IF(ISNUMBER(INDEX(art_tva,MATCH($E964,art_ref,0))),INDEX(art_tva,MATCH($E964,art_ref,0)),""),"")))</f>
        <v/>
      </c>
      <c r="N964" s="70" t="str">
        <f>IF(OR(E964="",J964=""),"",ROUND(N(H964)*J964*(1-N(K964)),2))</f>
        <v/>
      </c>
      <c r="O964" s="70" t="str">
        <f>IF(OR(N964="",NOT(ISNUMBER(M964))),"",ROUND(N964*M964,2))</f>
        <v/>
      </c>
      <c r="P964" s="70" t="str">
        <f>IF(N964="","",N964+N(O964))</f>
        <v/>
      </c>
      <c r="Q964" s="64" t="n"/>
      <c r="R964" s="73" t="str">
        <f>IF(N(Q964)&gt;0,Q964,IF(OR(N(B964)=0,ISNA(MATCH($C964,sup_code,0))),"",IF(ISNUMBER(INDEX(sup_delay,MATCH($C964,sup_code,0))),B964+INDEX(sup_delay,MATCH($C964,sup_code,0)),"")))</f>
        <v/>
      </c>
      <c r="S964" s="64" t="n"/>
      <c r="T964" s="68" t="n"/>
      <c r="U964" s="64" t="n"/>
      <c r="V964" s="65" t="n"/>
      <c r="W964" s="74" t="str">
        <f>IF(AND(A964="",E964=""),"",IF(V964="Oui",0,MAX(0,ROUND(N(H964)-N(T964),6))))</f>
        <v/>
      </c>
      <c r="X964" s="67" t="str">
        <f>IF(AND(A964="",E964=""),"",IF(V964="Oui","Annulé",IF(AND(N(H964)&gt;0,N(T964)&gt;=N(H964)),"Reçu",IF(N(S964)=0,"Brouillon",IF(AND(ISNUMBER(R964),R964&lt;p_today),"En retard",IF(N(T964)&gt;0,"Partiel","Envoyé"))))))</f>
        <v/>
      </c>
      <c r="Y964" s="75" t="str">
        <f>IF(X964="En retard",p_today-R964,IF(AND(X964="Reçu",ISNUMBER(R964)),MAX(0,N(U964)-R964),""))</f>
        <v/>
      </c>
      <c r="Z964" s="67" t="str">
        <f>IF(AND(A964="",E964=""),"",IF(A964="","N° de bon manquant",IF(N(B964)=0,"Date de commande manquante",IF(C964="","Fournisseur manquant",IF(ISNA(MATCH($C964,sup_code,0)),"Fournisseur inconnu",IF(E964="","Article manquant",IF(ISNA(MATCH($E964,art_ref,0)),"Article inconnu",IF(N(H964)&lt;=0,"Quantité invalide",IF(J964="","Prix manquant",IF(OR(N(K964)&lt;0,N(K964)&gt;=1),"Remise invalide",IF(M964="","TVA manquante",IF(ISNA(MATCH(M964,p_tva,0)),"Taux de TVA inconnu",IF(COUNTIFS(po_num,A964,po_sup,"&lt;&gt;"&amp;C964)&gt;0,"Fournisseur différent sur ce bon",IF(COUNTIFS(po_num,A964,po_date,"&lt;&gt;"&amp;B964)&gt;0,"Date différente sur ce bon",IF(COUNTIF(po_num,A964)&gt;25,"Plus de 25 lignes sur ce bon",IF(R964="","Date de livraison manquante",IF(R964&lt;B964,"Livraison avant la commande",IF(AND(N(T964)&gt;0,N(S964)=0),"Date d'envoi manquante",IF(N(T964)&gt;N(H964),"Reçu plus que commandé",IF(AND(N(T964)&gt;0,N(U964)=0),"Date de réception manquante",IF(AND(N(U964)&gt;0,U964&lt;B964),"Réception avant la commande","OK")))))))))))))))))))))</f>
        <v/>
      </c>
      <c r="AA964" s="66" t="str">
        <f>IF(AND(X964="Reçu",ISNUMBER(R964)),IF(N(U964)&lt;=R964,1,0),"")</f>
        <v/>
      </c>
      <c r="AB964" s="76" t="str">
        <f>IF(OR(X964="Envoyé",X964="Partiel",X964="En retard"),IF(ISNUMBER(R964),R964,100000)+ROW()/100000,"")</f>
        <v/>
      </c>
      <c r="AC964" s="66" t="str">
        <f>IF(A964="","",IF(COUNTIF($A$6:A964,A964)=1,1,""))</f>
        <v/>
      </c>
      <c r="AD964" s="66" t="str">
        <f>IF(AC964=1,COUNT($AC$6:AC964),"")</f>
        <v/>
      </c>
      <c r="AE964" s="66" t="str">
        <f>IFERROR(INDEX(po_num,MATCH(959,po_seq,0))&amp;"","")</f>
        <v/>
      </c>
      <c r="AF964" s="66" t="str">
        <f>IF(OR(A964="",p_po=""),"",IF(A964&amp;""=p_po,COUNTIF($A$6:A964,A964),""))</f>
        <v/>
      </c>
      <c r="AG964" s="66" t="str">
        <f>IF(OR(AB964="",A964=""),"",IF(COUNTIFS($A$6:A964,A964,$AB$6:AB964,"&gt;0")=1,1,""))</f>
        <v/>
      </c>
      <c r="AH964" s="70" t="str">
        <f>IF(AB964="","",ROUND(N(W964)*N(J964)*(1-N(K964)),2))</f>
        <v/>
      </c>
      <c r="AI964" s="70" t="str">
        <f>IF(OR(J964="",N(T964)&lt;=0,V964="Oui"),"",ROUND(N(T964)*J964*(1-N(K964)),2))</f>
        <v/>
      </c>
    </row>
    <row r="965">
      <c r="A965" s="63" t="n"/>
      <c r="B965" s="64" t="n"/>
      <c r="C965" s="65" t="n"/>
      <c r="D965" s="66" t="str">
        <f>IF(C965="","",IFERROR(INDEX(sup_name,MATCH($C965,sup_code,0))&amp;"","Fournisseur inconnu"))</f>
        <v/>
      </c>
      <c r="E965" s="63" t="n"/>
      <c r="F965" s="66" t="str">
        <f>IF(E965="","",IFERROR(INDEX(art_des,MATCH($E965,art_ref,0))&amp;"","Article inconnu"))</f>
        <v/>
      </c>
      <c r="G965" s="67" t="str">
        <f>IF(E965="","",IFERROR(INDEX(art_unit,MATCH($E965,art_ref,0))&amp;"",""))</f>
        <v/>
      </c>
      <c r="H965" s="68" t="n"/>
      <c r="I965" s="69" t="n"/>
      <c r="J965" s="70" t="str">
        <f>IF(E965="","",IF(ISNUMBER(I965),I965,IFERROR(IF(ISNUMBER(INDEX(art_price,MATCH($E965,art_ref,0))),INDEX(art_price,MATCH($E965,art_ref,0)),""),"")))</f>
        <v/>
      </c>
      <c r="K965" s="71" t="n"/>
      <c r="L965" s="72" t="n"/>
      <c r="M965" s="72" t="str">
        <f>IF(E965="","",IF(L965&lt;&gt;"",L965,IFERROR(IF(ISNUMBER(INDEX(art_tva,MATCH($E965,art_ref,0))),INDEX(art_tva,MATCH($E965,art_ref,0)),""),"")))</f>
        <v/>
      </c>
      <c r="N965" s="70" t="str">
        <f>IF(OR(E965="",J965=""),"",ROUND(N(H965)*J965*(1-N(K965)),2))</f>
        <v/>
      </c>
      <c r="O965" s="70" t="str">
        <f>IF(OR(N965="",NOT(ISNUMBER(M965))),"",ROUND(N965*M965,2))</f>
        <v/>
      </c>
      <c r="P965" s="70" t="str">
        <f>IF(N965="","",N965+N(O965))</f>
        <v/>
      </c>
      <c r="Q965" s="64" t="n"/>
      <c r="R965" s="73" t="str">
        <f>IF(N(Q965)&gt;0,Q965,IF(OR(N(B965)=0,ISNA(MATCH($C965,sup_code,0))),"",IF(ISNUMBER(INDEX(sup_delay,MATCH($C965,sup_code,0))),B965+INDEX(sup_delay,MATCH($C965,sup_code,0)),"")))</f>
        <v/>
      </c>
      <c r="S965" s="64" t="n"/>
      <c r="T965" s="68" t="n"/>
      <c r="U965" s="64" t="n"/>
      <c r="V965" s="65" t="n"/>
      <c r="W965" s="74" t="str">
        <f>IF(AND(A965="",E965=""),"",IF(V965="Oui",0,MAX(0,ROUND(N(H965)-N(T965),6))))</f>
        <v/>
      </c>
      <c r="X965" s="67" t="str">
        <f>IF(AND(A965="",E965=""),"",IF(V965="Oui","Annulé",IF(AND(N(H965)&gt;0,N(T965)&gt;=N(H965)),"Reçu",IF(N(S965)=0,"Brouillon",IF(AND(ISNUMBER(R965),R965&lt;p_today),"En retard",IF(N(T965)&gt;0,"Partiel","Envoyé"))))))</f>
        <v/>
      </c>
      <c r="Y965" s="75" t="str">
        <f>IF(X965="En retard",p_today-R965,IF(AND(X965="Reçu",ISNUMBER(R965)),MAX(0,N(U965)-R965),""))</f>
        <v/>
      </c>
      <c r="Z965" s="67" t="str">
        <f>IF(AND(A965="",E965=""),"",IF(A965="","N° de bon manquant",IF(N(B965)=0,"Date de commande manquante",IF(C965="","Fournisseur manquant",IF(ISNA(MATCH($C965,sup_code,0)),"Fournisseur inconnu",IF(E965="","Article manquant",IF(ISNA(MATCH($E965,art_ref,0)),"Article inconnu",IF(N(H965)&lt;=0,"Quantité invalide",IF(J965="","Prix manquant",IF(OR(N(K965)&lt;0,N(K965)&gt;=1),"Remise invalide",IF(M965="","TVA manquante",IF(ISNA(MATCH(M965,p_tva,0)),"Taux de TVA inconnu",IF(COUNTIFS(po_num,A965,po_sup,"&lt;&gt;"&amp;C965)&gt;0,"Fournisseur différent sur ce bon",IF(COUNTIFS(po_num,A965,po_date,"&lt;&gt;"&amp;B965)&gt;0,"Date différente sur ce bon",IF(COUNTIF(po_num,A965)&gt;25,"Plus de 25 lignes sur ce bon",IF(R965="","Date de livraison manquante",IF(R965&lt;B965,"Livraison avant la commande",IF(AND(N(T965)&gt;0,N(S965)=0),"Date d'envoi manquante",IF(N(T965)&gt;N(H965),"Reçu plus que commandé",IF(AND(N(T965)&gt;0,N(U965)=0),"Date de réception manquante",IF(AND(N(U965)&gt;0,U965&lt;B965),"Réception avant la commande","OK")))))))))))))))))))))</f>
        <v/>
      </c>
      <c r="AA965" s="66" t="str">
        <f>IF(AND(X965="Reçu",ISNUMBER(R965)),IF(N(U965)&lt;=R965,1,0),"")</f>
        <v/>
      </c>
      <c r="AB965" s="76" t="str">
        <f>IF(OR(X965="Envoyé",X965="Partiel",X965="En retard"),IF(ISNUMBER(R965),R965,100000)+ROW()/100000,"")</f>
        <v/>
      </c>
      <c r="AC965" s="66" t="str">
        <f>IF(A965="","",IF(COUNTIF($A$6:A965,A965)=1,1,""))</f>
        <v/>
      </c>
      <c r="AD965" s="66" t="str">
        <f>IF(AC965=1,COUNT($AC$6:AC965),"")</f>
        <v/>
      </c>
      <c r="AE965" s="66" t="str">
        <f>IFERROR(INDEX(po_num,MATCH(960,po_seq,0))&amp;"","")</f>
        <v/>
      </c>
      <c r="AF965" s="66" t="str">
        <f>IF(OR(A965="",p_po=""),"",IF(A965&amp;""=p_po,COUNTIF($A$6:A965,A965),""))</f>
        <v/>
      </c>
      <c r="AG965" s="66" t="str">
        <f>IF(OR(AB965="",A965=""),"",IF(COUNTIFS($A$6:A965,A965,$AB$6:AB965,"&gt;0")=1,1,""))</f>
        <v/>
      </c>
      <c r="AH965" s="70" t="str">
        <f>IF(AB965="","",ROUND(N(W965)*N(J965)*(1-N(K965)),2))</f>
        <v/>
      </c>
      <c r="AI965" s="70" t="str">
        <f>IF(OR(J965="",N(T965)&lt;=0,V965="Oui"),"",ROUND(N(T965)*J965*(1-N(K965)),2))</f>
        <v/>
      </c>
    </row>
    <row r="966">
      <c r="A966" s="63" t="n"/>
      <c r="B966" s="64" t="n"/>
      <c r="C966" s="65" t="n"/>
      <c r="D966" s="66" t="str">
        <f>IF(C966="","",IFERROR(INDEX(sup_name,MATCH($C966,sup_code,0))&amp;"","Fournisseur inconnu"))</f>
        <v/>
      </c>
      <c r="E966" s="63" t="n"/>
      <c r="F966" s="66" t="str">
        <f>IF(E966="","",IFERROR(INDEX(art_des,MATCH($E966,art_ref,0))&amp;"","Article inconnu"))</f>
        <v/>
      </c>
      <c r="G966" s="67" t="str">
        <f>IF(E966="","",IFERROR(INDEX(art_unit,MATCH($E966,art_ref,0))&amp;"",""))</f>
        <v/>
      </c>
      <c r="H966" s="68" t="n"/>
      <c r="I966" s="69" t="n"/>
      <c r="J966" s="70" t="str">
        <f>IF(E966="","",IF(ISNUMBER(I966),I966,IFERROR(IF(ISNUMBER(INDEX(art_price,MATCH($E966,art_ref,0))),INDEX(art_price,MATCH($E966,art_ref,0)),""),"")))</f>
        <v/>
      </c>
      <c r="K966" s="71" t="n"/>
      <c r="L966" s="72" t="n"/>
      <c r="M966" s="72" t="str">
        <f>IF(E966="","",IF(L966&lt;&gt;"",L966,IFERROR(IF(ISNUMBER(INDEX(art_tva,MATCH($E966,art_ref,0))),INDEX(art_tva,MATCH($E966,art_ref,0)),""),"")))</f>
        <v/>
      </c>
      <c r="N966" s="70" t="str">
        <f>IF(OR(E966="",J966=""),"",ROUND(N(H966)*J966*(1-N(K966)),2))</f>
        <v/>
      </c>
      <c r="O966" s="70" t="str">
        <f>IF(OR(N966="",NOT(ISNUMBER(M966))),"",ROUND(N966*M966,2))</f>
        <v/>
      </c>
      <c r="P966" s="70" t="str">
        <f>IF(N966="","",N966+N(O966))</f>
        <v/>
      </c>
      <c r="Q966" s="64" t="n"/>
      <c r="R966" s="73" t="str">
        <f>IF(N(Q966)&gt;0,Q966,IF(OR(N(B966)=0,ISNA(MATCH($C966,sup_code,0))),"",IF(ISNUMBER(INDEX(sup_delay,MATCH($C966,sup_code,0))),B966+INDEX(sup_delay,MATCH($C966,sup_code,0)),"")))</f>
        <v/>
      </c>
      <c r="S966" s="64" t="n"/>
      <c r="T966" s="68" t="n"/>
      <c r="U966" s="64" t="n"/>
      <c r="V966" s="65" t="n"/>
      <c r="W966" s="74" t="str">
        <f>IF(AND(A966="",E966=""),"",IF(V966="Oui",0,MAX(0,ROUND(N(H966)-N(T966),6))))</f>
        <v/>
      </c>
      <c r="X966" s="67" t="str">
        <f>IF(AND(A966="",E966=""),"",IF(V966="Oui","Annulé",IF(AND(N(H966)&gt;0,N(T966)&gt;=N(H966)),"Reçu",IF(N(S966)=0,"Brouillon",IF(AND(ISNUMBER(R966),R966&lt;p_today),"En retard",IF(N(T966)&gt;0,"Partiel","Envoyé"))))))</f>
        <v/>
      </c>
      <c r="Y966" s="75" t="str">
        <f>IF(X966="En retard",p_today-R966,IF(AND(X966="Reçu",ISNUMBER(R966)),MAX(0,N(U966)-R966),""))</f>
        <v/>
      </c>
      <c r="Z966" s="67" t="str">
        <f>IF(AND(A966="",E966=""),"",IF(A966="","N° de bon manquant",IF(N(B966)=0,"Date de commande manquante",IF(C966="","Fournisseur manquant",IF(ISNA(MATCH($C966,sup_code,0)),"Fournisseur inconnu",IF(E966="","Article manquant",IF(ISNA(MATCH($E966,art_ref,0)),"Article inconnu",IF(N(H966)&lt;=0,"Quantité invalide",IF(J966="","Prix manquant",IF(OR(N(K966)&lt;0,N(K966)&gt;=1),"Remise invalide",IF(M966="","TVA manquante",IF(ISNA(MATCH(M966,p_tva,0)),"Taux de TVA inconnu",IF(COUNTIFS(po_num,A966,po_sup,"&lt;&gt;"&amp;C966)&gt;0,"Fournisseur différent sur ce bon",IF(COUNTIFS(po_num,A966,po_date,"&lt;&gt;"&amp;B966)&gt;0,"Date différente sur ce bon",IF(COUNTIF(po_num,A966)&gt;25,"Plus de 25 lignes sur ce bon",IF(R966="","Date de livraison manquante",IF(R966&lt;B966,"Livraison avant la commande",IF(AND(N(T966)&gt;0,N(S966)=0),"Date d'envoi manquante",IF(N(T966)&gt;N(H966),"Reçu plus que commandé",IF(AND(N(T966)&gt;0,N(U966)=0),"Date de réception manquante",IF(AND(N(U966)&gt;0,U966&lt;B966),"Réception avant la commande","OK")))))))))))))))))))))</f>
        <v/>
      </c>
      <c r="AA966" s="66" t="str">
        <f>IF(AND(X966="Reçu",ISNUMBER(R966)),IF(N(U966)&lt;=R966,1,0),"")</f>
        <v/>
      </c>
      <c r="AB966" s="76" t="str">
        <f>IF(OR(X966="Envoyé",X966="Partiel",X966="En retard"),IF(ISNUMBER(R966),R966,100000)+ROW()/100000,"")</f>
        <v/>
      </c>
      <c r="AC966" s="66" t="str">
        <f>IF(A966="","",IF(COUNTIF($A$6:A966,A966)=1,1,""))</f>
        <v/>
      </c>
      <c r="AD966" s="66" t="str">
        <f>IF(AC966=1,COUNT($AC$6:AC966),"")</f>
        <v/>
      </c>
      <c r="AE966" s="66" t="str">
        <f>IFERROR(INDEX(po_num,MATCH(961,po_seq,0))&amp;"","")</f>
        <v/>
      </c>
      <c r="AF966" s="66" t="str">
        <f>IF(OR(A966="",p_po=""),"",IF(A966&amp;""=p_po,COUNTIF($A$6:A966,A966),""))</f>
        <v/>
      </c>
      <c r="AG966" s="66" t="str">
        <f>IF(OR(AB966="",A966=""),"",IF(COUNTIFS($A$6:A966,A966,$AB$6:AB966,"&gt;0")=1,1,""))</f>
        <v/>
      </c>
      <c r="AH966" s="70" t="str">
        <f>IF(AB966="","",ROUND(N(W966)*N(J966)*(1-N(K966)),2))</f>
        <v/>
      </c>
      <c r="AI966" s="70" t="str">
        <f>IF(OR(J966="",N(T966)&lt;=0,V966="Oui"),"",ROUND(N(T966)*J966*(1-N(K966)),2))</f>
        <v/>
      </c>
    </row>
    <row r="967">
      <c r="A967" s="63" t="n"/>
      <c r="B967" s="64" t="n"/>
      <c r="C967" s="65" t="n"/>
      <c r="D967" s="66" t="str">
        <f>IF(C967="","",IFERROR(INDEX(sup_name,MATCH($C967,sup_code,0))&amp;"","Fournisseur inconnu"))</f>
        <v/>
      </c>
      <c r="E967" s="63" t="n"/>
      <c r="F967" s="66" t="str">
        <f>IF(E967="","",IFERROR(INDEX(art_des,MATCH($E967,art_ref,0))&amp;"","Article inconnu"))</f>
        <v/>
      </c>
      <c r="G967" s="67" t="str">
        <f>IF(E967="","",IFERROR(INDEX(art_unit,MATCH($E967,art_ref,0))&amp;"",""))</f>
        <v/>
      </c>
      <c r="H967" s="68" t="n"/>
      <c r="I967" s="69" t="n"/>
      <c r="J967" s="70" t="str">
        <f>IF(E967="","",IF(ISNUMBER(I967),I967,IFERROR(IF(ISNUMBER(INDEX(art_price,MATCH($E967,art_ref,0))),INDEX(art_price,MATCH($E967,art_ref,0)),""),"")))</f>
        <v/>
      </c>
      <c r="K967" s="71" t="n"/>
      <c r="L967" s="72" t="n"/>
      <c r="M967" s="72" t="str">
        <f>IF(E967="","",IF(L967&lt;&gt;"",L967,IFERROR(IF(ISNUMBER(INDEX(art_tva,MATCH($E967,art_ref,0))),INDEX(art_tva,MATCH($E967,art_ref,0)),""),"")))</f>
        <v/>
      </c>
      <c r="N967" s="70" t="str">
        <f>IF(OR(E967="",J967=""),"",ROUND(N(H967)*J967*(1-N(K967)),2))</f>
        <v/>
      </c>
      <c r="O967" s="70" t="str">
        <f>IF(OR(N967="",NOT(ISNUMBER(M967))),"",ROUND(N967*M967,2))</f>
        <v/>
      </c>
      <c r="P967" s="70" t="str">
        <f>IF(N967="","",N967+N(O967))</f>
        <v/>
      </c>
      <c r="Q967" s="64" t="n"/>
      <c r="R967" s="73" t="str">
        <f>IF(N(Q967)&gt;0,Q967,IF(OR(N(B967)=0,ISNA(MATCH($C967,sup_code,0))),"",IF(ISNUMBER(INDEX(sup_delay,MATCH($C967,sup_code,0))),B967+INDEX(sup_delay,MATCH($C967,sup_code,0)),"")))</f>
        <v/>
      </c>
      <c r="S967" s="64" t="n"/>
      <c r="T967" s="68" t="n"/>
      <c r="U967" s="64" t="n"/>
      <c r="V967" s="65" t="n"/>
      <c r="W967" s="74" t="str">
        <f>IF(AND(A967="",E967=""),"",IF(V967="Oui",0,MAX(0,ROUND(N(H967)-N(T967),6))))</f>
        <v/>
      </c>
      <c r="X967" s="67" t="str">
        <f>IF(AND(A967="",E967=""),"",IF(V967="Oui","Annulé",IF(AND(N(H967)&gt;0,N(T967)&gt;=N(H967)),"Reçu",IF(N(S967)=0,"Brouillon",IF(AND(ISNUMBER(R967),R967&lt;p_today),"En retard",IF(N(T967)&gt;0,"Partiel","Envoyé"))))))</f>
        <v/>
      </c>
      <c r="Y967" s="75" t="str">
        <f>IF(X967="En retard",p_today-R967,IF(AND(X967="Reçu",ISNUMBER(R967)),MAX(0,N(U967)-R967),""))</f>
        <v/>
      </c>
      <c r="Z967" s="67" t="str">
        <f>IF(AND(A967="",E967=""),"",IF(A967="","N° de bon manquant",IF(N(B967)=0,"Date de commande manquante",IF(C967="","Fournisseur manquant",IF(ISNA(MATCH($C967,sup_code,0)),"Fournisseur inconnu",IF(E967="","Article manquant",IF(ISNA(MATCH($E967,art_ref,0)),"Article inconnu",IF(N(H967)&lt;=0,"Quantité invalide",IF(J967="","Prix manquant",IF(OR(N(K967)&lt;0,N(K967)&gt;=1),"Remise invalide",IF(M967="","TVA manquante",IF(ISNA(MATCH(M967,p_tva,0)),"Taux de TVA inconnu",IF(COUNTIFS(po_num,A967,po_sup,"&lt;&gt;"&amp;C967)&gt;0,"Fournisseur différent sur ce bon",IF(COUNTIFS(po_num,A967,po_date,"&lt;&gt;"&amp;B967)&gt;0,"Date différente sur ce bon",IF(COUNTIF(po_num,A967)&gt;25,"Plus de 25 lignes sur ce bon",IF(R967="","Date de livraison manquante",IF(R967&lt;B967,"Livraison avant la commande",IF(AND(N(T967)&gt;0,N(S967)=0),"Date d'envoi manquante",IF(N(T967)&gt;N(H967),"Reçu plus que commandé",IF(AND(N(T967)&gt;0,N(U967)=0),"Date de réception manquante",IF(AND(N(U967)&gt;0,U967&lt;B967),"Réception avant la commande","OK")))))))))))))))))))))</f>
        <v/>
      </c>
      <c r="AA967" s="66" t="str">
        <f>IF(AND(X967="Reçu",ISNUMBER(R967)),IF(N(U967)&lt;=R967,1,0),"")</f>
        <v/>
      </c>
      <c r="AB967" s="76" t="str">
        <f>IF(OR(X967="Envoyé",X967="Partiel",X967="En retard"),IF(ISNUMBER(R967),R967,100000)+ROW()/100000,"")</f>
        <v/>
      </c>
      <c r="AC967" s="66" t="str">
        <f>IF(A967="","",IF(COUNTIF($A$6:A967,A967)=1,1,""))</f>
        <v/>
      </c>
      <c r="AD967" s="66" t="str">
        <f>IF(AC967=1,COUNT($AC$6:AC967),"")</f>
        <v/>
      </c>
      <c r="AE967" s="66" t="str">
        <f>IFERROR(INDEX(po_num,MATCH(962,po_seq,0))&amp;"","")</f>
        <v/>
      </c>
      <c r="AF967" s="66" t="str">
        <f>IF(OR(A967="",p_po=""),"",IF(A967&amp;""=p_po,COUNTIF($A$6:A967,A967),""))</f>
        <v/>
      </c>
      <c r="AG967" s="66" t="str">
        <f>IF(OR(AB967="",A967=""),"",IF(COUNTIFS($A$6:A967,A967,$AB$6:AB967,"&gt;0")=1,1,""))</f>
        <v/>
      </c>
      <c r="AH967" s="70" t="str">
        <f>IF(AB967="","",ROUND(N(W967)*N(J967)*(1-N(K967)),2))</f>
        <v/>
      </c>
      <c r="AI967" s="70" t="str">
        <f>IF(OR(J967="",N(T967)&lt;=0,V967="Oui"),"",ROUND(N(T967)*J967*(1-N(K967)),2))</f>
        <v/>
      </c>
    </row>
    <row r="968">
      <c r="A968" s="63" t="n"/>
      <c r="B968" s="64" t="n"/>
      <c r="C968" s="65" t="n"/>
      <c r="D968" s="66" t="str">
        <f>IF(C968="","",IFERROR(INDEX(sup_name,MATCH($C968,sup_code,0))&amp;"","Fournisseur inconnu"))</f>
        <v/>
      </c>
      <c r="E968" s="63" t="n"/>
      <c r="F968" s="66" t="str">
        <f>IF(E968="","",IFERROR(INDEX(art_des,MATCH($E968,art_ref,0))&amp;"","Article inconnu"))</f>
        <v/>
      </c>
      <c r="G968" s="67" t="str">
        <f>IF(E968="","",IFERROR(INDEX(art_unit,MATCH($E968,art_ref,0))&amp;"",""))</f>
        <v/>
      </c>
      <c r="H968" s="68" t="n"/>
      <c r="I968" s="69" t="n"/>
      <c r="J968" s="70" t="str">
        <f>IF(E968="","",IF(ISNUMBER(I968),I968,IFERROR(IF(ISNUMBER(INDEX(art_price,MATCH($E968,art_ref,0))),INDEX(art_price,MATCH($E968,art_ref,0)),""),"")))</f>
        <v/>
      </c>
      <c r="K968" s="71" t="n"/>
      <c r="L968" s="72" t="n"/>
      <c r="M968" s="72" t="str">
        <f>IF(E968="","",IF(L968&lt;&gt;"",L968,IFERROR(IF(ISNUMBER(INDEX(art_tva,MATCH($E968,art_ref,0))),INDEX(art_tva,MATCH($E968,art_ref,0)),""),"")))</f>
        <v/>
      </c>
      <c r="N968" s="70" t="str">
        <f>IF(OR(E968="",J968=""),"",ROUND(N(H968)*J968*(1-N(K968)),2))</f>
        <v/>
      </c>
      <c r="O968" s="70" t="str">
        <f>IF(OR(N968="",NOT(ISNUMBER(M968))),"",ROUND(N968*M968,2))</f>
        <v/>
      </c>
      <c r="P968" s="70" t="str">
        <f>IF(N968="","",N968+N(O968))</f>
        <v/>
      </c>
      <c r="Q968" s="64" t="n"/>
      <c r="R968" s="73" t="str">
        <f>IF(N(Q968)&gt;0,Q968,IF(OR(N(B968)=0,ISNA(MATCH($C968,sup_code,0))),"",IF(ISNUMBER(INDEX(sup_delay,MATCH($C968,sup_code,0))),B968+INDEX(sup_delay,MATCH($C968,sup_code,0)),"")))</f>
        <v/>
      </c>
      <c r="S968" s="64" t="n"/>
      <c r="T968" s="68" t="n"/>
      <c r="U968" s="64" t="n"/>
      <c r="V968" s="65" t="n"/>
      <c r="W968" s="74" t="str">
        <f>IF(AND(A968="",E968=""),"",IF(V968="Oui",0,MAX(0,ROUND(N(H968)-N(T968),6))))</f>
        <v/>
      </c>
      <c r="X968" s="67" t="str">
        <f>IF(AND(A968="",E968=""),"",IF(V968="Oui","Annulé",IF(AND(N(H968)&gt;0,N(T968)&gt;=N(H968)),"Reçu",IF(N(S968)=0,"Brouillon",IF(AND(ISNUMBER(R968),R968&lt;p_today),"En retard",IF(N(T968)&gt;0,"Partiel","Envoyé"))))))</f>
        <v/>
      </c>
      <c r="Y968" s="75" t="str">
        <f>IF(X968="En retard",p_today-R968,IF(AND(X968="Reçu",ISNUMBER(R968)),MAX(0,N(U968)-R968),""))</f>
        <v/>
      </c>
      <c r="Z968" s="67" t="str">
        <f>IF(AND(A968="",E968=""),"",IF(A968="","N° de bon manquant",IF(N(B968)=0,"Date de commande manquante",IF(C968="","Fournisseur manquant",IF(ISNA(MATCH($C968,sup_code,0)),"Fournisseur inconnu",IF(E968="","Article manquant",IF(ISNA(MATCH($E968,art_ref,0)),"Article inconnu",IF(N(H968)&lt;=0,"Quantité invalide",IF(J968="","Prix manquant",IF(OR(N(K968)&lt;0,N(K968)&gt;=1),"Remise invalide",IF(M968="","TVA manquante",IF(ISNA(MATCH(M968,p_tva,0)),"Taux de TVA inconnu",IF(COUNTIFS(po_num,A968,po_sup,"&lt;&gt;"&amp;C968)&gt;0,"Fournisseur différent sur ce bon",IF(COUNTIFS(po_num,A968,po_date,"&lt;&gt;"&amp;B968)&gt;0,"Date différente sur ce bon",IF(COUNTIF(po_num,A968)&gt;25,"Plus de 25 lignes sur ce bon",IF(R968="","Date de livraison manquante",IF(R968&lt;B968,"Livraison avant la commande",IF(AND(N(T968)&gt;0,N(S968)=0),"Date d'envoi manquante",IF(N(T968)&gt;N(H968),"Reçu plus que commandé",IF(AND(N(T968)&gt;0,N(U968)=0),"Date de réception manquante",IF(AND(N(U968)&gt;0,U968&lt;B968),"Réception avant la commande","OK")))))))))))))))))))))</f>
        <v/>
      </c>
      <c r="AA968" s="66" t="str">
        <f>IF(AND(X968="Reçu",ISNUMBER(R968)),IF(N(U968)&lt;=R968,1,0),"")</f>
        <v/>
      </c>
      <c r="AB968" s="76" t="str">
        <f>IF(OR(X968="Envoyé",X968="Partiel",X968="En retard"),IF(ISNUMBER(R968),R968,100000)+ROW()/100000,"")</f>
        <v/>
      </c>
      <c r="AC968" s="66" t="str">
        <f>IF(A968="","",IF(COUNTIF($A$6:A968,A968)=1,1,""))</f>
        <v/>
      </c>
      <c r="AD968" s="66" t="str">
        <f>IF(AC968=1,COUNT($AC$6:AC968),"")</f>
        <v/>
      </c>
      <c r="AE968" s="66" t="str">
        <f>IFERROR(INDEX(po_num,MATCH(963,po_seq,0))&amp;"","")</f>
        <v/>
      </c>
      <c r="AF968" s="66" t="str">
        <f>IF(OR(A968="",p_po=""),"",IF(A968&amp;""=p_po,COUNTIF($A$6:A968,A968),""))</f>
        <v/>
      </c>
      <c r="AG968" s="66" t="str">
        <f>IF(OR(AB968="",A968=""),"",IF(COUNTIFS($A$6:A968,A968,$AB$6:AB968,"&gt;0")=1,1,""))</f>
        <v/>
      </c>
      <c r="AH968" s="70" t="str">
        <f>IF(AB968="","",ROUND(N(W968)*N(J968)*(1-N(K968)),2))</f>
        <v/>
      </c>
      <c r="AI968" s="70" t="str">
        <f>IF(OR(J968="",N(T968)&lt;=0,V968="Oui"),"",ROUND(N(T968)*J968*(1-N(K968)),2))</f>
        <v/>
      </c>
    </row>
    <row r="969">
      <c r="A969" s="63" t="n"/>
      <c r="B969" s="64" t="n"/>
      <c r="C969" s="65" t="n"/>
      <c r="D969" s="66" t="str">
        <f>IF(C969="","",IFERROR(INDEX(sup_name,MATCH($C969,sup_code,0))&amp;"","Fournisseur inconnu"))</f>
        <v/>
      </c>
      <c r="E969" s="63" t="n"/>
      <c r="F969" s="66" t="str">
        <f>IF(E969="","",IFERROR(INDEX(art_des,MATCH($E969,art_ref,0))&amp;"","Article inconnu"))</f>
        <v/>
      </c>
      <c r="G969" s="67" t="str">
        <f>IF(E969="","",IFERROR(INDEX(art_unit,MATCH($E969,art_ref,0))&amp;"",""))</f>
        <v/>
      </c>
      <c r="H969" s="68" t="n"/>
      <c r="I969" s="69" t="n"/>
      <c r="J969" s="70" t="str">
        <f>IF(E969="","",IF(ISNUMBER(I969),I969,IFERROR(IF(ISNUMBER(INDEX(art_price,MATCH($E969,art_ref,0))),INDEX(art_price,MATCH($E969,art_ref,0)),""),"")))</f>
        <v/>
      </c>
      <c r="K969" s="71" t="n"/>
      <c r="L969" s="72" t="n"/>
      <c r="M969" s="72" t="str">
        <f>IF(E969="","",IF(L969&lt;&gt;"",L969,IFERROR(IF(ISNUMBER(INDEX(art_tva,MATCH($E969,art_ref,0))),INDEX(art_tva,MATCH($E969,art_ref,0)),""),"")))</f>
        <v/>
      </c>
      <c r="N969" s="70" t="str">
        <f>IF(OR(E969="",J969=""),"",ROUND(N(H969)*J969*(1-N(K969)),2))</f>
        <v/>
      </c>
      <c r="O969" s="70" t="str">
        <f>IF(OR(N969="",NOT(ISNUMBER(M969))),"",ROUND(N969*M969,2))</f>
        <v/>
      </c>
      <c r="P969" s="70" t="str">
        <f>IF(N969="","",N969+N(O969))</f>
        <v/>
      </c>
      <c r="Q969" s="64" t="n"/>
      <c r="R969" s="73" t="str">
        <f>IF(N(Q969)&gt;0,Q969,IF(OR(N(B969)=0,ISNA(MATCH($C969,sup_code,0))),"",IF(ISNUMBER(INDEX(sup_delay,MATCH($C969,sup_code,0))),B969+INDEX(sup_delay,MATCH($C969,sup_code,0)),"")))</f>
        <v/>
      </c>
      <c r="S969" s="64" t="n"/>
      <c r="T969" s="68" t="n"/>
      <c r="U969" s="64" t="n"/>
      <c r="V969" s="65" t="n"/>
      <c r="W969" s="74" t="str">
        <f>IF(AND(A969="",E969=""),"",IF(V969="Oui",0,MAX(0,ROUND(N(H969)-N(T969),6))))</f>
        <v/>
      </c>
      <c r="X969" s="67" t="str">
        <f>IF(AND(A969="",E969=""),"",IF(V969="Oui","Annulé",IF(AND(N(H969)&gt;0,N(T969)&gt;=N(H969)),"Reçu",IF(N(S969)=0,"Brouillon",IF(AND(ISNUMBER(R969),R969&lt;p_today),"En retard",IF(N(T969)&gt;0,"Partiel","Envoyé"))))))</f>
        <v/>
      </c>
      <c r="Y969" s="75" t="str">
        <f>IF(X969="En retard",p_today-R969,IF(AND(X969="Reçu",ISNUMBER(R969)),MAX(0,N(U969)-R969),""))</f>
        <v/>
      </c>
      <c r="Z969" s="67" t="str">
        <f>IF(AND(A969="",E969=""),"",IF(A969="","N° de bon manquant",IF(N(B969)=0,"Date de commande manquante",IF(C969="","Fournisseur manquant",IF(ISNA(MATCH($C969,sup_code,0)),"Fournisseur inconnu",IF(E969="","Article manquant",IF(ISNA(MATCH($E969,art_ref,0)),"Article inconnu",IF(N(H969)&lt;=0,"Quantité invalide",IF(J969="","Prix manquant",IF(OR(N(K969)&lt;0,N(K969)&gt;=1),"Remise invalide",IF(M969="","TVA manquante",IF(ISNA(MATCH(M969,p_tva,0)),"Taux de TVA inconnu",IF(COUNTIFS(po_num,A969,po_sup,"&lt;&gt;"&amp;C969)&gt;0,"Fournisseur différent sur ce bon",IF(COUNTIFS(po_num,A969,po_date,"&lt;&gt;"&amp;B969)&gt;0,"Date différente sur ce bon",IF(COUNTIF(po_num,A969)&gt;25,"Plus de 25 lignes sur ce bon",IF(R969="","Date de livraison manquante",IF(R969&lt;B969,"Livraison avant la commande",IF(AND(N(T969)&gt;0,N(S969)=0),"Date d'envoi manquante",IF(N(T969)&gt;N(H969),"Reçu plus que commandé",IF(AND(N(T969)&gt;0,N(U969)=0),"Date de réception manquante",IF(AND(N(U969)&gt;0,U969&lt;B969),"Réception avant la commande","OK")))))))))))))))))))))</f>
        <v/>
      </c>
      <c r="AA969" s="66" t="str">
        <f>IF(AND(X969="Reçu",ISNUMBER(R969)),IF(N(U969)&lt;=R969,1,0),"")</f>
        <v/>
      </c>
      <c r="AB969" s="76" t="str">
        <f>IF(OR(X969="Envoyé",X969="Partiel",X969="En retard"),IF(ISNUMBER(R969),R969,100000)+ROW()/100000,"")</f>
        <v/>
      </c>
      <c r="AC969" s="66" t="str">
        <f>IF(A969="","",IF(COUNTIF($A$6:A969,A969)=1,1,""))</f>
        <v/>
      </c>
      <c r="AD969" s="66" t="str">
        <f>IF(AC969=1,COUNT($AC$6:AC969),"")</f>
        <v/>
      </c>
      <c r="AE969" s="66" t="str">
        <f>IFERROR(INDEX(po_num,MATCH(964,po_seq,0))&amp;"","")</f>
        <v/>
      </c>
      <c r="AF969" s="66" t="str">
        <f>IF(OR(A969="",p_po=""),"",IF(A969&amp;""=p_po,COUNTIF($A$6:A969,A969),""))</f>
        <v/>
      </c>
      <c r="AG969" s="66" t="str">
        <f>IF(OR(AB969="",A969=""),"",IF(COUNTIFS($A$6:A969,A969,$AB$6:AB969,"&gt;0")=1,1,""))</f>
        <v/>
      </c>
      <c r="AH969" s="70" t="str">
        <f>IF(AB969="","",ROUND(N(W969)*N(J969)*(1-N(K969)),2))</f>
        <v/>
      </c>
      <c r="AI969" s="70" t="str">
        <f>IF(OR(J969="",N(T969)&lt;=0,V969="Oui"),"",ROUND(N(T969)*J969*(1-N(K969)),2))</f>
        <v/>
      </c>
    </row>
    <row r="970">
      <c r="A970" s="63" t="n"/>
      <c r="B970" s="64" t="n"/>
      <c r="C970" s="65" t="n"/>
      <c r="D970" s="66" t="str">
        <f>IF(C970="","",IFERROR(INDEX(sup_name,MATCH($C970,sup_code,0))&amp;"","Fournisseur inconnu"))</f>
        <v/>
      </c>
      <c r="E970" s="63" t="n"/>
      <c r="F970" s="66" t="str">
        <f>IF(E970="","",IFERROR(INDEX(art_des,MATCH($E970,art_ref,0))&amp;"","Article inconnu"))</f>
        <v/>
      </c>
      <c r="G970" s="67" t="str">
        <f>IF(E970="","",IFERROR(INDEX(art_unit,MATCH($E970,art_ref,0))&amp;"",""))</f>
        <v/>
      </c>
      <c r="H970" s="68" t="n"/>
      <c r="I970" s="69" t="n"/>
      <c r="J970" s="70" t="str">
        <f>IF(E970="","",IF(ISNUMBER(I970),I970,IFERROR(IF(ISNUMBER(INDEX(art_price,MATCH($E970,art_ref,0))),INDEX(art_price,MATCH($E970,art_ref,0)),""),"")))</f>
        <v/>
      </c>
      <c r="K970" s="71" t="n"/>
      <c r="L970" s="72" t="n"/>
      <c r="M970" s="72" t="str">
        <f>IF(E970="","",IF(L970&lt;&gt;"",L970,IFERROR(IF(ISNUMBER(INDEX(art_tva,MATCH($E970,art_ref,0))),INDEX(art_tva,MATCH($E970,art_ref,0)),""),"")))</f>
        <v/>
      </c>
      <c r="N970" s="70" t="str">
        <f>IF(OR(E970="",J970=""),"",ROUND(N(H970)*J970*(1-N(K970)),2))</f>
        <v/>
      </c>
      <c r="O970" s="70" t="str">
        <f>IF(OR(N970="",NOT(ISNUMBER(M970))),"",ROUND(N970*M970,2))</f>
        <v/>
      </c>
      <c r="P970" s="70" t="str">
        <f>IF(N970="","",N970+N(O970))</f>
        <v/>
      </c>
      <c r="Q970" s="64" t="n"/>
      <c r="R970" s="73" t="str">
        <f>IF(N(Q970)&gt;0,Q970,IF(OR(N(B970)=0,ISNA(MATCH($C970,sup_code,0))),"",IF(ISNUMBER(INDEX(sup_delay,MATCH($C970,sup_code,0))),B970+INDEX(sup_delay,MATCH($C970,sup_code,0)),"")))</f>
        <v/>
      </c>
      <c r="S970" s="64" t="n"/>
      <c r="T970" s="68" t="n"/>
      <c r="U970" s="64" t="n"/>
      <c r="V970" s="65" t="n"/>
      <c r="W970" s="74" t="str">
        <f>IF(AND(A970="",E970=""),"",IF(V970="Oui",0,MAX(0,ROUND(N(H970)-N(T970),6))))</f>
        <v/>
      </c>
      <c r="X970" s="67" t="str">
        <f>IF(AND(A970="",E970=""),"",IF(V970="Oui","Annulé",IF(AND(N(H970)&gt;0,N(T970)&gt;=N(H970)),"Reçu",IF(N(S970)=0,"Brouillon",IF(AND(ISNUMBER(R970),R970&lt;p_today),"En retard",IF(N(T970)&gt;0,"Partiel","Envoyé"))))))</f>
        <v/>
      </c>
      <c r="Y970" s="75" t="str">
        <f>IF(X970="En retard",p_today-R970,IF(AND(X970="Reçu",ISNUMBER(R970)),MAX(0,N(U970)-R970),""))</f>
        <v/>
      </c>
      <c r="Z970" s="67" t="str">
        <f>IF(AND(A970="",E970=""),"",IF(A970="","N° de bon manquant",IF(N(B970)=0,"Date de commande manquante",IF(C970="","Fournisseur manquant",IF(ISNA(MATCH($C970,sup_code,0)),"Fournisseur inconnu",IF(E970="","Article manquant",IF(ISNA(MATCH($E970,art_ref,0)),"Article inconnu",IF(N(H970)&lt;=0,"Quantité invalide",IF(J970="","Prix manquant",IF(OR(N(K970)&lt;0,N(K970)&gt;=1),"Remise invalide",IF(M970="","TVA manquante",IF(ISNA(MATCH(M970,p_tva,0)),"Taux de TVA inconnu",IF(COUNTIFS(po_num,A970,po_sup,"&lt;&gt;"&amp;C970)&gt;0,"Fournisseur différent sur ce bon",IF(COUNTIFS(po_num,A970,po_date,"&lt;&gt;"&amp;B970)&gt;0,"Date différente sur ce bon",IF(COUNTIF(po_num,A970)&gt;25,"Plus de 25 lignes sur ce bon",IF(R970="","Date de livraison manquante",IF(R970&lt;B970,"Livraison avant la commande",IF(AND(N(T970)&gt;0,N(S970)=0),"Date d'envoi manquante",IF(N(T970)&gt;N(H970),"Reçu plus que commandé",IF(AND(N(T970)&gt;0,N(U970)=0),"Date de réception manquante",IF(AND(N(U970)&gt;0,U970&lt;B970),"Réception avant la commande","OK")))))))))))))))))))))</f>
        <v/>
      </c>
      <c r="AA970" s="66" t="str">
        <f>IF(AND(X970="Reçu",ISNUMBER(R970)),IF(N(U970)&lt;=R970,1,0),"")</f>
        <v/>
      </c>
      <c r="AB970" s="76" t="str">
        <f>IF(OR(X970="Envoyé",X970="Partiel",X970="En retard"),IF(ISNUMBER(R970),R970,100000)+ROW()/100000,"")</f>
        <v/>
      </c>
      <c r="AC970" s="66" t="str">
        <f>IF(A970="","",IF(COUNTIF($A$6:A970,A970)=1,1,""))</f>
        <v/>
      </c>
      <c r="AD970" s="66" t="str">
        <f>IF(AC970=1,COUNT($AC$6:AC970),"")</f>
        <v/>
      </c>
      <c r="AE970" s="66" t="str">
        <f>IFERROR(INDEX(po_num,MATCH(965,po_seq,0))&amp;"","")</f>
        <v/>
      </c>
      <c r="AF970" s="66" t="str">
        <f>IF(OR(A970="",p_po=""),"",IF(A970&amp;""=p_po,COUNTIF($A$6:A970,A970),""))</f>
        <v/>
      </c>
      <c r="AG970" s="66" t="str">
        <f>IF(OR(AB970="",A970=""),"",IF(COUNTIFS($A$6:A970,A970,$AB$6:AB970,"&gt;0")=1,1,""))</f>
        <v/>
      </c>
      <c r="AH970" s="70" t="str">
        <f>IF(AB970="","",ROUND(N(W970)*N(J970)*(1-N(K970)),2))</f>
        <v/>
      </c>
      <c r="AI970" s="70" t="str">
        <f>IF(OR(J970="",N(T970)&lt;=0,V970="Oui"),"",ROUND(N(T970)*J970*(1-N(K970)),2))</f>
        <v/>
      </c>
    </row>
    <row r="971">
      <c r="A971" s="63" t="n"/>
      <c r="B971" s="64" t="n"/>
      <c r="C971" s="65" t="n"/>
      <c r="D971" s="66" t="str">
        <f>IF(C971="","",IFERROR(INDEX(sup_name,MATCH($C971,sup_code,0))&amp;"","Fournisseur inconnu"))</f>
        <v/>
      </c>
      <c r="E971" s="63" t="n"/>
      <c r="F971" s="66" t="str">
        <f>IF(E971="","",IFERROR(INDEX(art_des,MATCH($E971,art_ref,0))&amp;"","Article inconnu"))</f>
        <v/>
      </c>
      <c r="G971" s="67" t="str">
        <f>IF(E971="","",IFERROR(INDEX(art_unit,MATCH($E971,art_ref,0))&amp;"",""))</f>
        <v/>
      </c>
      <c r="H971" s="68" t="n"/>
      <c r="I971" s="69" t="n"/>
      <c r="J971" s="70" t="str">
        <f>IF(E971="","",IF(ISNUMBER(I971),I971,IFERROR(IF(ISNUMBER(INDEX(art_price,MATCH($E971,art_ref,0))),INDEX(art_price,MATCH($E971,art_ref,0)),""),"")))</f>
        <v/>
      </c>
      <c r="K971" s="71" t="n"/>
      <c r="L971" s="72" t="n"/>
      <c r="M971" s="72" t="str">
        <f>IF(E971="","",IF(L971&lt;&gt;"",L971,IFERROR(IF(ISNUMBER(INDEX(art_tva,MATCH($E971,art_ref,0))),INDEX(art_tva,MATCH($E971,art_ref,0)),""),"")))</f>
        <v/>
      </c>
      <c r="N971" s="70" t="str">
        <f>IF(OR(E971="",J971=""),"",ROUND(N(H971)*J971*(1-N(K971)),2))</f>
        <v/>
      </c>
      <c r="O971" s="70" t="str">
        <f>IF(OR(N971="",NOT(ISNUMBER(M971))),"",ROUND(N971*M971,2))</f>
        <v/>
      </c>
      <c r="P971" s="70" t="str">
        <f>IF(N971="","",N971+N(O971))</f>
        <v/>
      </c>
      <c r="Q971" s="64" t="n"/>
      <c r="R971" s="73" t="str">
        <f>IF(N(Q971)&gt;0,Q971,IF(OR(N(B971)=0,ISNA(MATCH($C971,sup_code,0))),"",IF(ISNUMBER(INDEX(sup_delay,MATCH($C971,sup_code,0))),B971+INDEX(sup_delay,MATCH($C971,sup_code,0)),"")))</f>
        <v/>
      </c>
      <c r="S971" s="64" t="n"/>
      <c r="T971" s="68" t="n"/>
      <c r="U971" s="64" t="n"/>
      <c r="V971" s="65" t="n"/>
      <c r="W971" s="74" t="str">
        <f>IF(AND(A971="",E971=""),"",IF(V971="Oui",0,MAX(0,ROUND(N(H971)-N(T971),6))))</f>
        <v/>
      </c>
      <c r="X971" s="67" t="str">
        <f>IF(AND(A971="",E971=""),"",IF(V971="Oui","Annulé",IF(AND(N(H971)&gt;0,N(T971)&gt;=N(H971)),"Reçu",IF(N(S971)=0,"Brouillon",IF(AND(ISNUMBER(R971),R971&lt;p_today),"En retard",IF(N(T971)&gt;0,"Partiel","Envoyé"))))))</f>
        <v/>
      </c>
      <c r="Y971" s="75" t="str">
        <f>IF(X971="En retard",p_today-R971,IF(AND(X971="Reçu",ISNUMBER(R971)),MAX(0,N(U971)-R971),""))</f>
        <v/>
      </c>
      <c r="Z971" s="67" t="str">
        <f>IF(AND(A971="",E971=""),"",IF(A971="","N° de bon manquant",IF(N(B971)=0,"Date de commande manquante",IF(C971="","Fournisseur manquant",IF(ISNA(MATCH($C971,sup_code,0)),"Fournisseur inconnu",IF(E971="","Article manquant",IF(ISNA(MATCH($E971,art_ref,0)),"Article inconnu",IF(N(H971)&lt;=0,"Quantité invalide",IF(J971="","Prix manquant",IF(OR(N(K971)&lt;0,N(K971)&gt;=1),"Remise invalide",IF(M971="","TVA manquante",IF(ISNA(MATCH(M971,p_tva,0)),"Taux de TVA inconnu",IF(COUNTIFS(po_num,A971,po_sup,"&lt;&gt;"&amp;C971)&gt;0,"Fournisseur différent sur ce bon",IF(COUNTIFS(po_num,A971,po_date,"&lt;&gt;"&amp;B971)&gt;0,"Date différente sur ce bon",IF(COUNTIF(po_num,A971)&gt;25,"Plus de 25 lignes sur ce bon",IF(R971="","Date de livraison manquante",IF(R971&lt;B971,"Livraison avant la commande",IF(AND(N(T971)&gt;0,N(S971)=0),"Date d'envoi manquante",IF(N(T971)&gt;N(H971),"Reçu plus que commandé",IF(AND(N(T971)&gt;0,N(U971)=0),"Date de réception manquante",IF(AND(N(U971)&gt;0,U971&lt;B971),"Réception avant la commande","OK")))))))))))))))))))))</f>
        <v/>
      </c>
      <c r="AA971" s="66" t="str">
        <f>IF(AND(X971="Reçu",ISNUMBER(R971)),IF(N(U971)&lt;=R971,1,0),"")</f>
        <v/>
      </c>
      <c r="AB971" s="76" t="str">
        <f>IF(OR(X971="Envoyé",X971="Partiel",X971="En retard"),IF(ISNUMBER(R971),R971,100000)+ROW()/100000,"")</f>
        <v/>
      </c>
      <c r="AC971" s="66" t="str">
        <f>IF(A971="","",IF(COUNTIF($A$6:A971,A971)=1,1,""))</f>
        <v/>
      </c>
      <c r="AD971" s="66" t="str">
        <f>IF(AC971=1,COUNT($AC$6:AC971),"")</f>
        <v/>
      </c>
      <c r="AE971" s="66" t="str">
        <f>IFERROR(INDEX(po_num,MATCH(966,po_seq,0))&amp;"","")</f>
        <v/>
      </c>
      <c r="AF971" s="66" t="str">
        <f>IF(OR(A971="",p_po=""),"",IF(A971&amp;""=p_po,COUNTIF($A$6:A971,A971),""))</f>
        <v/>
      </c>
      <c r="AG971" s="66" t="str">
        <f>IF(OR(AB971="",A971=""),"",IF(COUNTIFS($A$6:A971,A971,$AB$6:AB971,"&gt;0")=1,1,""))</f>
        <v/>
      </c>
      <c r="AH971" s="70" t="str">
        <f>IF(AB971="","",ROUND(N(W971)*N(J971)*(1-N(K971)),2))</f>
        <v/>
      </c>
      <c r="AI971" s="70" t="str">
        <f>IF(OR(J971="",N(T971)&lt;=0,V971="Oui"),"",ROUND(N(T971)*J971*(1-N(K971)),2))</f>
        <v/>
      </c>
    </row>
    <row r="972">
      <c r="A972" s="63" t="n"/>
      <c r="B972" s="64" t="n"/>
      <c r="C972" s="65" t="n"/>
      <c r="D972" s="66" t="str">
        <f>IF(C972="","",IFERROR(INDEX(sup_name,MATCH($C972,sup_code,0))&amp;"","Fournisseur inconnu"))</f>
        <v/>
      </c>
      <c r="E972" s="63" t="n"/>
      <c r="F972" s="66" t="str">
        <f>IF(E972="","",IFERROR(INDEX(art_des,MATCH($E972,art_ref,0))&amp;"","Article inconnu"))</f>
        <v/>
      </c>
      <c r="G972" s="67" t="str">
        <f>IF(E972="","",IFERROR(INDEX(art_unit,MATCH($E972,art_ref,0))&amp;"",""))</f>
        <v/>
      </c>
      <c r="H972" s="68" t="n"/>
      <c r="I972" s="69" t="n"/>
      <c r="J972" s="70" t="str">
        <f>IF(E972="","",IF(ISNUMBER(I972),I972,IFERROR(IF(ISNUMBER(INDEX(art_price,MATCH($E972,art_ref,0))),INDEX(art_price,MATCH($E972,art_ref,0)),""),"")))</f>
        <v/>
      </c>
      <c r="K972" s="71" t="n"/>
      <c r="L972" s="72" t="n"/>
      <c r="M972" s="72" t="str">
        <f>IF(E972="","",IF(L972&lt;&gt;"",L972,IFERROR(IF(ISNUMBER(INDEX(art_tva,MATCH($E972,art_ref,0))),INDEX(art_tva,MATCH($E972,art_ref,0)),""),"")))</f>
        <v/>
      </c>
      <c r="N972" s="70" t="str">
        <f>IF(OR(E972="",J972=""),"",ROUND(N(H972)*J972*(1-N(K972)),2))</f>
        <v/>
      </c>
      <c r="O972" s="70" t="str">
        <f>IF(OR(N972="",NOT(ISNUMBER(M972))),"",ROUND(N972*M972,2))</f>
        <v/>
      </c>
      <c r="P972" s="70" t="str">
        <f>IF(N972="","",N972+N(O972))</f>
        <v/>
      </c>
      <c r="Q972" s="64" t="n"/>
      <c r="R972" s="73" t="str">
        <f>IF(N(Q972)&gt;0,Q972,IF(OR(N(B972)=0,ISNA(MATCH($C972,sup_code,0))),"",IF(ISNUMBER(INDEX(sup_delay,MATCH($C972,sup_code,0))),B972+INDEX(sup_delay,MATCH($C972,sup_code,0)),"")))</f>
        <v/>
      </c>
      <c r="S972" s="64" t="n"/>
      <c r="T972" s="68" t="n"/>
      <c r="U972" s="64" t="n"/>
      <c r="V972" s="65" t="n"/>
      <c r="W972" s="74" t="str">
        <f>IF(AND(A972="",E972=""),"",IF(V972="Oui",0,MAX(0,ROUND(N(H972)-N(T972),6))))</f>
        <v/>
      </c>
      <c r="X972" s="67" t="str">
        <f>IF(AND(A972="",E972=""),"",IF(V972="Oui","Annulé",IF(AND(N(H972)&gt;0,N(T972)&gt;=N(H972)),"Reçu",IF(N(S972)=0,"Brouillon",IF(AND(ISNUMBER(R972),R972&lt;p_today),"En retard",IF(N(T972)&gt;0,"Partiel","Envoyé"))))))</f>
        <v/>
      </c>
      <c r="Y972" s="75" t="str">
        <f>IF(X972="En retard",p_today-R972,IF(AND(X972="Reçu",ISNUMBER(R972)),MAX(0,N(U972)-R972),""))</f>
        <v/>
      </c>
      <c r="Z972" s="67" t="str">
        <f>IF(AND(A972="",E972=""),"",IF(A972="","N° de bon manquant",IF(N(B972)=0,"Date de commande manquante",IF(C972="","Fournisseur manquant",IF(ISNA(MATCH($C972,sup_code,0)),"Fournisseur inconnu",IF(E972="","Article manquant",IF(ISNA(MATCH($E972,art_ref,0)),"Article inconnu",IF(N(H972)&lt;=0,"Quantité invalide",IF(J972="","Prix manquant",IF(OR(N(K972)&lt;0,N(K972)&gt;=1),"Remise invalide",IF(M972="","TVA manquante",IF(ISNA(MATCH(M972,p_tva,0)),"Taux de TVA inconnu",IF(COUNTIFS(po_num,A972,po_sup,"&lt;&gt;"&amp;C972)&gt;0,"Fournisseur différent sur ce bon",IF(COUNTIFS(po_num,A972,po_date,"&lt;&gt;"&amp;B972)&gt;0,"Date différente sur ce bon",IF(COUNTIF(po_num,A972)&gt;25,"Plus de 25 lignes sur ce bon",IF(R972="","Date de livraison manquante",IF(R972&lt;B972,"Livraison avant la commande",IF(AND(N(T972)&gt;0,N(S972)=0),"Date d'envoi manquante",IF(N(T972)&gt;N(H972),"Reçu plus que commandé",IF(AND(N(T972)&gt;0,N(U972)=0),"Date de réception manquante",IF(AND(N(U972)&gt;0,U972&lt;B972),"Réception avant la commande","OK")))))))))))))))))))))</f>
        <v/>
      </c>
      <c r="AA972" s="66" t="str">
        <f>IF(AND(X972="Reçu",ISNUMBER(R972)),IF(N(U972)&lt;=R972,1,0),"")</f>
        <v/>
      </c>
      <c r="AB972" s="76" t="str">
        <f>IF(OR(X972="Envoyé",X972="Partiel",X972="En retard"),IF(ISNUMBER(R972),R972,100000)+ROW()/100000,"")</f>
        <v/>
      </c>
      <c r="AC972" s="66" t="str">
        <f>IF(A972="","",IF(COUNTIF($A$6:A972,A972)=1,1,""))</f>
        <v/>
      </c>
      <c r="AD972" s="66" t="str">
        <f>IF(AC972=1,COUNT($AC$6:AC972),"")</f>
        <v/>
      </c>
      <c r="AE972" s="66" t="str">
        <f>IFERROR(INDEX(po_num,MATCH(967,po_seq,0))&amp;"","")</f>
        <v/>
      </c>
      <c r="AF972" s="66" t="str">
        <f>IF(OR(A972="",p_po=""),"",IF(A972&amp;""=p_po,COUNTIF($A$6:A972,A972),""))</f>
        <v/>
      </c>
      <c r="AG972" s="66" t="str">
        <f>IF(OR(AB972="",A972=""),"",IF(COUNTIFS($A$6:A972,A972,$AB$6:AB972,"&gt;0")=1,1,""))</f>
        <v/>
      </c>
      <c r="AH972" s="70" t="str">
        <f>IF(AB972="","",ROUND(N(W972)*N(J972)*(1-N(K972)),2))</f>
        <v/>
      </c>
      <c r="AI972" s="70" t="str">
        <f>IF(OR(J972="",N(T972)&lt;=0,V972="Oui"),"",ROUND(N(T972)*J972*(1-N(K972)),2))</f>
        <v/>
      </c>
    </row>
    <row r="973">
      <c r="A973" s="63" t="n"/>
      <c r="B973" s="64" t="n"/>
      <c r="C973" s="65" t="n"/>
      <c r="D973" s="66" t="str">
        <f>IF(C973="","",IFERROR(INDEX(sup_name,MATCH($C973,sup_code,0))&amp;"","Fournisseur inconnu"))</f>
        <v/>
      </c>
      <c r="E973" s="63" t="n"/>
      <c r="F973" s="66" t="str">
        <f>IF(E973="","",IFERROR(INDEX(art_des,MATCH($E973,art_ref,0))&amp;"","Article inconnu"))</f>
        <v/>
      </c>
      <c r="G973" s="67" t="str">
        <f>IF(E973="","",IFERROR(INDEX(art_unit,MATCH($E973,art_ref,0))&amp;"",""))</f>
        <v/>
      </c>
      <c r="H973" s="68" t="n"/>
      <c r="I973" s="69" t="n"/>
      <c r="J973" s="70" t="str">
        <f>IF(E973="","",IF(ISNUMBER(I973),I973,IFERROR(IF(ISNUMBER(INDEX(art_price,MATCH($E973,art_ref,0))),INDEX(art_price,MATCH($E973,art_ref,0)),""),"")))</f>
        <v/>
      </c>
      <c r="K973" s="71" t="n"/>
      <c r="L973" s="72" t="n"/>
      <c r="M973" s="72" t="str">
        <f>IF(E973="","",IF(L973&lt;&gt;"",L973,IFERROR(IF(ISNUMBER(INDEX(art_tva,MATCH($E973,art_ref,0))),INDEX(art_tva,MATCH($E973,art_ref,0)),""),"")))</f>
        <v/>
      </c>
      <c r="N973" s="70" t="str">
        <f>IF(OR(E973="",J973=""),"",ROUND(N(H973)*J973*(1-N(K973)),2))</f>
        <v/>
      </c>
      <c r="O973" s="70" t="str">
        <f>IF(OR(N973="",NOT(ISNUMBER(M973))),"",ROUND(N973*M973,2))</f>
        <v/>
      </c>
      <c r="P973" s="70" t="str">
        <f>IF(N973="","",N973+N(O973))</f>
        <v/>
      </c>
      <c r="Q973" s="64" t="n"/>
      <c r="R973" s="73" t="str">
        <f>IF(N(Q973)&gt;0,Q973,IF(OR(N(B973)=0,ISNA(MATCH($C973,sup_code,0))),"",IF(ISNUMBER(INDEX(sup_delay,MATCH($C973,sup_code,0))),B973+INDEX(sup_delay,MATCH($C973,sup_code,0)),"")))</f>
        <v/>
      </c>
      <c r="S973" s="64" t="n"/>
      <c r="T973" s="68" t="n"/>
      <c r="U973" s="64" t="n"/>
      <c r="V973" s="65" t="n"/>
      <c r="W973" s="74" t="str">
        <f>IF(AND(A973="",E973=""),"",IF(V973="Oui",0,MAX(0,ROUND(N(H973)-N(T973),6))))</f>
        <v/>
      </c>
      <c r="X973" s="67" t="str">
        <f>IF(AND(A973="",E973=""),"",IF(V973="Oui","Annulé",IF(AND(N(H973)&gt;0,N(T973)&gt;=N(H973)),"Reçu",IF(N(S973)=0,"Brouillon",IF(AND(ISNUMBER(R973),R973&lt;p_today),"En retard",IF(N(T973)&gt;0,"Partiel","Envoyé"))))))</f>
        <v/>
      </c>
      <c r="Y973" s="75" t="str">
        <f>IF(X973="En retard",p_today-R973,IF(AND(X973="Reçu",ISNUMBER(R973)),MAX(0,N(U973)-R973),""))</f>
        <v/>
      </c>
      <c r="Z973" s="67" t="str">
        <f>IF(AND(A973="",E973=""),"",IF(A973="","N° de bon manquant",IF(N(B973)=0,"Date de commande manquante",IF(C973="","Fournisseur manquant",IF(ISNA(MATCH($C973,sup_code,0)),"Fournisseur inconnu",IF(E973="","Article manquant",IF(ISNA(MATCH($E973,art_ref,0)),"Article inconnu",IF(N(H973)&lt;=0,"Quantité invalide",IF(J973="","Prix manquant",IF(OR(N(K973)&lt;0,N(K973)&gt;=1),"Remise invalide",IF(M973="","TVA manquante",IF(ISNA(MATCH(M973,p_tva,0)),"Taux de TVA inconnu",IF(COUNTIFS(po_num,A973,po_sup,"&lt;&gt;"&amp;C973)&gt;0,"Fournisseur différent sur ce bon",IF(COUNTIFS(po_num,A973,po_date,"&lt;&gt;"&amp;B973)&gt;0,"Date différente sur ce bon",IF(COUNTIF(po_num,A973)&gt;25,"Plus de 25 lignes sur ce bon",IF(R973="","Date de livraison manquante",IF(R973&lt;B973,"Livraison avant la commande",IF(AND(N(T973)&gt;0,N(S973)=0),"Date d'envoi manquante",IF(N(T973)&gt;N(H973),"Reçu plus que commandé",IF(AND(N(T973)&gt;0,N(U973)=0),"Date de réception manquante",IF(AND(N(U973)&gt;0,U973&lt;B973),"Réception avant la commande","OK")))))))))))))))))))))</f>
        <v/>
      </c>
      <c r="AA973" s="66" t="str">
        <f>IF(AND(X973="Reçu",ISNUMBER(R973)),IF(N(U973)&lt;=R973,1,0),"")</f>
        <v/>
      </c>
      <c r="AB973" s="76" t="str">
        <f>IF(OR(X973="Envoyé",X973="Partiel",X973="En retard"),IF(ISNUMBER(R973),R973,100000)+ROW()/100000,"")</f>
        <v/>
      </c>
      <c r="AC973" s="66" t="str">
        <f>IF(A973="","",IF(COUNTIF($A$6:A973,A973)=1,1,""))</f>
        <v/>
      </c>
      <c r="AD973" s="66" t="str">
        <f>IF(AC973=1,COUNT($AC$6:AC973),"")</f>
        <v/>
      </c>
      <c r="AE973" s="66" t="str">
        <f>IFERROR(INDEX(po_num,MATCH(968,po_seq,0))&amp;"","")</f>
        <v/>
      </c>
      <c r="AF973" s="66" t="str">
        <f>IF(OR(A973="",p_po=""),"",IF(A973&amp;""=p_po,COUNTIF($A$6:A973,A973),""))</f>
        <v/>
      </c>
      <c r="AG973" s="66" t="str">
        <f>IF(OR(AB973="",A973=""),"",IF(COUNTIFS($A$6:A973,A973,$AB$6:AB973,"&gt;0")=1,1,""))</f>
        <v/>
      </c>
      <c r="AH973" s="70" t="str">
        <f>IF(AB973="","",ROUND(N(W973)*N(J973)*(1-N(K973)),2))</f>
        <v/>
      </c>
      <c r="AI973" s="70" t="str">
        <f>IF(OR(J973="",N(T973)&lt;=0,V973="Oui"),"",ROUND(N(T973)*J973*(1-N(K973)),2))</f>
        <v/>
      </c>
    </row>
    <row r="974">
      <c r="A974" s="63" t="n"/>
      <c r="B974" s="64" t="n"/>
      <c r="C974" s="65" t="n"/>
      <c r="D974" s="66" t="str">
        <f>IF(C974="","",IFERROR(INDEX(sup_name,MATCH($C974,sup_code,0))&amp;"","Fournisseur inconnu"))</f>
        <v/>
      </c>
      <c r="E974" s="63" t="n"/>
      <c r="F974" s="66" t="str">
        <f>IF(E974="","",IFERROR(INDEX(art_des,MATCH($E974,art_ref,0))&amp;"","Article inconnu"))</f>
        <v/>
      </c>
      <c r="G974" s="67" t="str">
        <f>IF(E974="","",IFERROR(INDEX(art_unit,MATCH($E974,art_ref,0))&amp;"",""))</f>
        <v/>
      </c>
      <c r="H974" s="68" t="n"/>
      <c r="I974" s="69" t="n"/>
      <c r="J974" s="70" t="str">
        <f>IF(E974="","",IF(ISNUMBER(I974),I974,IFERROR(IF(ISNUMBER(INDEX(art_price,MATCH($E974,art_ref,0))),INDEX(art_price,MATCH($E974,art_ref,0)),""),"")))</f>
        <v/>
      </c>
      <c r="K974" s="71" t="n"/>
      <c r="L974" s="72" t="n"/>
      <c r="M974" s="72" t="str">
        <f>IF(E974="","",IF(L974&lt;&gt;"",L974,IFERROR(IF(ISNUMBER(INDEX(art_tva,MATCH($E974,art_ref,0))),INDEX(art_tva,MATCH($E974,art_ref,0)),""),"")))</f>
        <v/>
      </c>
      <c r="N974" s="70" t="str">
        <f>IF(OR(E974="",J974=""),"",ROUND(N(H974)*J974*(1-N(K974)),2))</f>
        <v/>
      </c>
      <c r="O974" s="70" t="str">
        <f>IF(OR(N974="",NOT(ISNUMBER(M974))),"",ROUND(N974*M974,2))</f>
        <v/>
      </c>
      <c r="P974" s="70" t="str">
        <f>IF(N974="","",N974+N(O974))</f>
        <v/>
      </c>
      <c r="Q974" s="64" t="n"/>
      <c r="R974" s="73" t="str">
        <f>IF(N(Q974)&gt;0,Q974,IF(OR(N(B974)=0,ISNA(MATCH($C974,sup_code,0))),"",IF(ISNUMBER(INDEX(sup_delay,MATCH($C974,sup_code,0))),B974+INDEX(sup_delay,MATCH($C974,sup_code,0)),"")))</f>
        <v/>
      </c>
      <c r="S974" s="64" t="n"/>
      <c r="T974" s="68" t="n"/>
      <c r="U974" s="64" t="n"/>
      <c r="V974" s="65" t="n"/>
      <c r="W974" s="74" t="str">
        <f>IF(AND(A974="",E974=""),"",IF(V974="Oui",0,MAX(0,ROUND(N(H974)-N(T974),6))))</f>
        <v/>
      </c>
      <c r="X974" s="67" t="str">
        <f>IF(AND(A974="",E974=""),"",IF(V974="Oui","Annulé",IF(AND(N(H974)&gt;0,N(T974)&gt;=N(H974)),"Reçu",IF(N(S974)=0,"Brouillon",IF(AND(ISNUMBER(R974),R974&lt;p_today),"En retard",IF(N(T974)&gt;0,"Partiel","Envoyé"))))))</f>
        <v/>
      </c>
      <c r="Y974" s="75" t="str">
        <f>IF(X974="En retard",p_today-R974,IF(AND(X974="Reçu",ISNUMBER(R974)),MAX(0,N(U974)-R974),""))</f>
        <v/>
      </c>
      <c r="Z974" s="67" t="str">
        <f>IF(AND(A974="",E974=""),"",IF(A974="","N° de bon manquant",IF(N(B974)=0,"Date de commande manquante",IF(C974="","Fournisseur manquant",IF(ISNA(MATCH($C974,sup_code,0)),"Fournisseur inconnu",IF(E974="","Article manquant",IF(ISNA(MATCH($E974,art_ref,0)),"Article inconnu",IF(N(H974)&lt;=0,"Quantité invalide",IF(J974="","Prix manquant",IF(OR(N(K974)&lt;0,N(K974)&gt;=1),"Remise invalide",IF(M974="","TVA manquante",IF(ISNA(MATCH(M974,p_tva,0)),"Taux de TVA inconnu",IF(COUNTIFS(po_num,A974,po_sup,"&lt;&gt;"&amp;C974)&gt;0,"Fournisseur différent sur ce bon",IF(COUNTIFS(po_num,A974,po_date,"&lt;&gt;"&amp;B974)&gt;0,"Date différente sur ce bon",IF(COUNTIF(po_num,A974)&gt;25,"Plus de 25 lignes sur ce bon",IF(R974="","Date de livraison manquante",IF(R974&lt;B974,"Livraison avant la commande",IF(AND(N(T974)&gt;0,N(S974)=0),"Date d'envoi manquante",IF(N(T974)&gt;N(H974),"Reçu plus que commandé",IF(AND(N(T974)&gt;0,N(U974)=0),"Date de réception manquante",IF(AND(N(U974)&gt;0,U974&lt;B974),"Réception avant la commande","OK")))))))))))))))))))))</f>
        <v/>
      </c>
      <c r="AA974" s="66" t="str">
        <f>IF(AND(X974="Reçu",ISNUMBER(R974)),IF(N(U974)&lt;=R974,1,0),"")</f>
        <v/>
      </c>
      <c r="AB974" s="76" t="str">
        <f>IF(OR(X974="Envoyé",X974="Partiel",X974="En retard"),IF(ISNUMBER(R974),R974,100000)+ROW()/100000,"")</f>
        <v/>
      </c>
      <c r="AC974" s="66" t="str">
        <f>IF(A974="","",IF(COUNTIF($A$6:A974,A974)=1,1,""))</f>
        <v/>
      </c>
      <c r="AD974" s="66" t="str">
        <f>IF(AC974=1,COUNT($AC$6:AC974),"")</f>
        <v/>
      </c>
      <c r="AE974" s="66" t="str">
        <f>IFERROR(INDEX(po_num,MATCH(969,po_seq,0))&amp;"","")</f>
        <v/>
      </c>
      <c r="AF974" s="66" t="str">
        <f>IF(OR(A974="",p_po=""),"",IF(A974&amp;""=p_po,COUNTIF($A$6:A974,A974),""))</f>
        <v/>
      </c>
      <c r="AG974" s="66" t="str">
        <f>IF(OR(AB974="",A974=""),"",IF(COUNTIFS($A$6:A974,A974,$AB$6:AB974,"&gt;0")=1,1,""))</f>
        <v/>
      </c>
      <c r="AH974" s="70" t="str">
        <f>IF(AB974="","",ROUND(N(W974)*N(J974)*(1-N(K974)),2))</f>
        <v/>
      </c>
      <c r="AI974" s="70" t="str">
        <f>IF(OR(J974="",N(T974)&lt;=0,V974="Oui"),"",ROUND(N(T974)*J974*(1-N(K974)),2))</f>
        <v/>
      </c>
    </row>
    <row r="975">
      <c r="A975" s="63" t="n"/>
      <c r="B975" s="64" t="n"/>
      <c r="C975" s="65" t="n"/>
      <c r="D975" s="66" t="str">
        <f>IF(C975="","",IFERROR(INDEX(sup_name,MATCH($C975,sup_code,0))&amp;"","Fournisseur inconnu"))</f>
        <v/>
      </c>
      <c r="E975" s="63" t="n"/>
      <c r="F975" s="66" t="str">
        <f>IF(E975="","",IFERROR(INDEX(art_des,MATCH($E975,art_ref,0))&amp;"","Article inconnu"))</f>
        <v/>
      </c>
      <c r="G975" s="67" t="str">
        <f>IF(E975="","",IFERROR(INDEX(art_unit,MATCH($E975,art_ref,0))&amp;"",""))</f>
        <v/>
      </c>
      <c r="H975" s="68" t="n"/>
      <c r="I975" s="69" t="n"/>
      <c r="J975" s="70" t="str">
        <f>IF(E975="","",IF(ISNUMBER(I975),I975,IFERROR(IF(ISNUMBER(INDEX(art_price,MATCH($E975,art_ref,0))),INDEX(art_price,MATCH($E975,art_ref,0)),""),"")))</f>
        <v/>
      </c>
      <c r="K975" s="71" t="n"/>
      <c r="L975" s="72" t="n"/>
      <c r="M975" s="72" t="str">
        <f>IF(E975="","",IF(L975&lt;&gt;"",L975,IFERROR(IF(ISNUMBER(INDEX(art_tva,MATCH($E975,art_ref,0))),INDEX(art_tva,MATCH($E975,art_ref,0)),""),"")))</f>
        <v/>
      </c>
      <c r="N975" s="70" t="str">
        <f>IF(OR(E975="",J975=""),"",ROUND(N(H975)*J975*(1-N(K975)),2))</f>
        <v/>
      </c>
      <c r="O975" s="70" t="str">
        <f>IF(OR(N975="",NOT(ISNUMBER(M975))),"",ROUND(N975*M975,2))</f>
        <v/>
      </c>
      <c r="P975" s="70" t="str">
        <f>IF(N975="","",N975+N(O975))</f>
        <v/>
      </c>
      <c r="Q975" s="64" t="n"/>
      <c r="R975" s="73" t="str">
        <f>IF(N(Q975)&gt;0,Q975,IF(OR(N(B975)=0,ISNA(MATCH($C975,sup_code,0))),"",IF(ISNUMBER(INDEX(sup_delay,MATCH($C975,sup_code,0))),B975+INDEX(sup_delay,MATCH($C975,sup_code,0)),"")))</f>
        <v/>
      </c>
      <c r="S975" s="64" t="n"/>
      <c r="T975" s="68" t="n"/>
      <c r="U975" s="64" t="n"/>
      <c r="V975" s="65" t="n"/>
      <c r="W975" s="74" t="str">
        <f>IF(AND(A975="",E975=""),"",IF(V975="Oui",0,MAX(0,ROUND(N(H975)-N(T975),6))))</f>
        <v/>
      </c>
      <c r="X975" s="67" t="str">
        <f>IF(AND(A975="",E975=""),"",IF(V975="Oui","Annulé",IF(AND(N(H975)&gt;0,N(T975)&gt;=N(H975)),"Reçu",IF(N(S975)=0,"Brouillon",IF(AND(ISNUMBER(R975),R975&lt;p_today),"En retard",IF(N(T975)&gt;0,"Partiel","Envoyé"))))))</f>
        <v/>
      </c>
      <c r="Y975" s="75" t="str">
        <f>IF(X975="En retard",p_today-R975,IF(AND(X975="Reçu",ISNUMBER(R975)),MAX(0,N(U975)-R975),""))</f>
        <v/>
      </c>
      <c r="Z975" s="67" t="str">
        <f>IF(AND(A975="",E975=""),"",IF(A975="","N° de bon manquant",IF(N(B975)=0,"Date de commande manquante",IF(C975="","Fournisseur manquant",IF(ISNA(MATCH($C975,sup_code,0)),"Fournisseur inconnu",IF(E975="","Article manquant",IF(ISNA(MATCH($E975,art_ref,0)),"Article inconnu",IF(N(H975)&lt;=0,"Quantité invalide",IF(J975="","Prix manquant",IF(OR(N(K975)&lt;0,N(K975)&gt;=1),"Remise invalide",IF(M975="","TVA manquante",IF(ISNA(MATCH(M975,p_tva,0)),"Taux de TVA inconnu",IF(COUNTIFS(po_num,A975,po_sup,"&lt;&gt;"&amp;C975)&gt;0,"Fournisseur différent sur ce bon",IF(COUNTIFS(po_num,A975,po_date,"&lt;&gt;"&amp;B975)&gt;0,"Date différente sur ce bon",IF(COUNTIF(po_num,A975)&gt;25,"Plus de 25 lignes sur ce bon",IF(R975="","Date de livraison manquante",IF(R975&lt;B975,"Livraison avant la commande",IF(AND(N(T975)&gt;0,N(S975)=0),"Date d'envoi manquante",IF(N(T975)&gt;N(H975),"Reçu plus que commandé",IF(AND(N(T975)&gt;0,N(U975)=0),"Date de réception manquante",IF(AND(N(U975)&gt;0,U975&lt;B975),"Réception avant la commande","OK")))))))))))))))))))))</f>
        <v/>
      </c>
      <c r="AA975" s="66" t="str">
        <f>IF(AND(X975="Reçu",ISNUMBER(R975)),IF(N(U975)&lt;=R975,1,0),"")</f>
        <v/>
      </c>
      <c r="AB975" s="76" t="str">
        <f>IF(OR(X975="Envoyé",X975="Partiel",X975="En retard"),IF(ISNUMBER(R975),R975,100000)+ROW()/100000,"")</f>
        <v/>
      </c>
      <c r="AC975" s="66" t="str">
        <f>IF(A975="","",IF(COUNTIF($A$6:A975,A975)=1,1,""))</f>
        <v/>
      </c>
      <c r="AD975" s="66" t="str">
        <f>IF(AC975=1,COUNT($AC$6:AC975),"")</f>
        <v/>
      </c>
      <c r="AE975" s="66" t="str">
        <f>IFERROR(INDEX(po_num,MATCH(970,po_seq,0))&amp;"","")</f>
        <v/>
      </c>
      <c r="AF975" s="66" t="str">
        <f>IF(OR(A975="",p_po=""),"",IF(A975&amp;""=p_po,COUNTIF($A$6:A975,A975),""))</f>
        <v/>
      </c>
      <c r="AG975" s="66" t="str">
        <f>IF(OR(AB975="",A975=""),"",IF(COUNTIFS($A$6:A975,A975,$AB$6:AB975,"&gt;0")=1,1,""))</f>
        <v/>
      </c>
      <c r="AH975" s="70" t="str">
        <f>IF(AB975="","",ROUND(N(W975)*N(J975)*(1-N(K975)),2))</f>
        <v/>
      </c>
      <c r="AI975" s="70" t="str">
        <f>IF(OR(J975="",N(T975)&lt;=0,V975="Oui"),"",ROUND(N(T975)*J975*(1-N(K975)),2))</f>
        <v/>
      </c>
    </row>
    <row r="976">
      <c r="A976" s="63" t="n"/>
      <c r="B976" s="64" t="n"/>
      <c r="C976" s="65" t="n"/>
      <c r="D976" s="66" t="str">
        <f>IF(C976="","",IFERROR(INDEX(sup_name,MATCH($C976,sup_code,0))&amp;"","Fournisseur inconnu"))</f>
        <v/>
      </c>
      <c r="E976" s="63" t="n"/>
      <c r="F976" s="66" t="str">
        <f>IF(E976="","",IFERROR(INDEX(art_des,MATCH($E976,art_ref,0))&amp;"","Article inconnu"))</f>
        <v/>
      </c>
      <c r="G976" s="67" t="str">
        <f>IF(E976="","",IFERROR(INDEX(art_unit,MATCH($E976,art_ref,0))&amp;"",""))</f>
        <v/>
      </c>
      <c r="H976" s="68" t="n"/>
      <c r="I976" s="69" t="n"/>
      <c r="J976" s="70" t="str">
        <f>IF(E976="","",IF(ISNUMBER(I976),I976,IFERROR(IF(ISNUMBER(INDEX(art_price,MATCH($E976,art_ref,0))),INDEX(art_price,MATCH($E976,art_ref,0)),""),"")))</f>
        <v/>
      </c>
      <c r="K976" s="71" t="n"/>
      <c r="L976" s="72" t="n"/>
      <c r="M976" s="72" t="str">
        <f>IF(E976="","",IF(L976&lt;&gt;"",L976,IFERROR(IF(ISNUMBER(INDEX(art_tva,MATCH($E976,art_ref,0))),INDEX(art_tva,MATCH($E976,art_ref,0)),""),"")))</f>
        <v/>
      </c>
      <c r="N976" s="70" t="str">
        <f>IF(OR(E976="",J976=""),"",ROUND(N(H976)*J976*(1-N(K976)),2))</f>
        <v/>
      </c>
      <c r="O976" s="70" t="str">
        <f>IF(OR(N976="",NOT(ISNUMBER(M976))),"",ROUND(N976*M976,2))</f>
        <v/>
      </c>
      <c r="P976" s="70" t="str">
        <f>IF(N976="","",N976+N(O976))</f>
        <v/>
      </c>
      <c r="Q976" s="64" t="n"/>
      <c r="R976" s="73" t="str">
        <f>IF(N(Q976)&gt;0,Q976,IF(OR(N(B976)=0,ISNA(MATCH($C976,sup_code,0))),"",IF(ISNUMBER(INDEX(sup_delay,MATCH($C976,sup_code,0))),B976+INDEX(sup_delay,MATCH($C976,sup_code,0)),"")))</f>
        <v/>
      </c>
      <c r="S976" s="64" t="n"/>
      <c r="T976" s="68" t="n"/>
      <c r="U976" s="64" t="n"/>
      <c r="V976" s="65" t="n"/>
      <c r="W976" s="74" t="str">
        <f>IF(AND(A976="",E976=""),"",IF(V976="Oui",0,MAX(0,ROUND(N(H976)-N(T976),6))))</f>
        <v/>
      </c>
      <c r="X976" s="67" t="str">
        <f>IF(AND(A976="",E976=""),"",IF(V976="Oui","Annulé",IF(AND(N(H976)&gt;0,N(T976)&gt;=N(H976)),"Reçu",IF(N(S976)=0,"Brouillon",IF(AND(ISNUMBER(R976),R976&lt;p_today),"En retard",IF(N(T976)&gt;0,"Partiel","Envoyé"))))))</f>
        <v/>
      </c>
      <c r="Y976" s="75" t="str">
        <f>IF(X976="En retard",p_today-R976,IF(AND(X976="Reçu",ISNUMBER(R976)),MAX(0,N(U976)-R976),""))</f>
        <v/>
      </c>
      <c r="Z976" s="67" t="str">
        <f>IF(AND(A976="",E976=""),"",IF(A976="","N° de bon manquant",IF(N(B976)=0,"Date de commande manquante",IF(C976="","Fournisseur manquant",IF(ISNA(MATCH($C976,sup_code,0)),"Fournisseur inconnu",IF(E976="","Article manquant",IF(ISNA(MATCH($E976,art_ref,0)),"Article inconnu",IF(N(H976)&lt;=0,"Quantité invalide",IF(J976="","Prix manquant",IF(OR(N(K976)&lt;0,N(K976)&gt;=1),"Remise invalide",IF(M976="","TVA manquante",IF(ISNA(MATCH(M976,p_tva,0)),"Taux de TVA inconnu",IF(COUNTIFS(po_num,A976,po_sup,"&lt;&gt;"&amp;C976)&gt;0,"Fournisseur différent sur ce bon",IF(COUNTIFS(po_num,A976,po_date,"&lt;&gt;"&amp;B976)&gt;0,"Date différente sur ce bon",IF(COUNTIF(po_num,A976)&gt;25,"Plus de 25 lignes sur ce bon",IF(R976="","Date de livraison manquante",IF(R976&lt;B976,"Livraison avant la commande",IF(AND(N(T976)&gt;0,N(S976)=0),"Date d'envoi manquante",IF(N(T976)&gt;N(H976),"Reçu plus que commandé",IF(AND(N(T976)&gt;0,N(U976)=0),"Date de réception manquante",IF(AND(N(U976)&gt;0,U976&lt;B976),"Réception avant la commande","OK")))))))))))))))))))))</f>
        <v/>
      </c>
      <c r="AA976" s="66" t="str">
        <f>IF(AND(X976="Reçu",ISNUMBER(R976)),IF(N(U976)&lt;=R976,1,0),"")</f>
        <v/>
      </c>
      <c r="AB976" s="76" t="str">
        <f>IF(OR(X976="Envoyé",X976="Partiel",X976="En retard"),IF(ISNUMBER(R976),R976,100000)+ROW()/100000,"")</f>
        <v/>
      </c>
      <c r="AC976" s="66" t="str">
        <f>IF(A976="","",IF(COUNTIF($A$6:A976,A976)=1,1,""))</f>
        <v/>
      </c>
      <c r="AD976" s="66" t="str">
        <f>IF(AC976=1,COUNT($AC$6:AC976),"")</f>
        <v/>
      </c>
      <c r="AE976" s="66" t="str">
        <f>IFERROR(INDEX(po_num,MATCH(971,po_seq,0))&amp;"","")</f>
        <v/>
      </c>
      <c r="AF976" s="66" t="str">
        <f>IF(OR(A976="",p_po=""),"",IF(A976&amp;""=p_po,COUNTIF($A$6:A976,A976),""))</f>
        <v/>
      </c>
      <c r="AG976" s="66" t="str">
        <f>IF(OR(AB976="",A976=""),"",IF(COUNTIFS($A$6:A976,A976,$AB$6:AB976,"&gt;0")=1,1,""))</f>
        <v/>
      </c>
      <c r="AH976" s="70" t="str">
        <f>IF(AB976="","",ROUND(N(W976)*N(J976)*(1-N(K976)),2))</f>
        <v/>
      </c>
      <c r="AI976" s="70" t="str">
        <f>IF(OR(J976="",N(T976)&lt;=0,V976="Oui"),"",ROUND(N(T976)*J976*(1-N(K976)),2))</f>
        <v/>
      </c>
    </row>
    <row r="977">
      <c r="A977" s="63" t="n"/>
      <c r="B977" s="64" t="n"/>
      <c r="C977" s="65" t="n"/>
      <c r="D977" s="66" t="str">
        <f>IF(C977="","",IFERROR(INDEX(sup_name,MATCH($C977,sup_code,0))&amp;"","Fournisseur inconnu"))</f>
        <v/>
      </c>
      <c r="E977" s="63" t="n"/>
      <c r="F977" s="66" t="str">
        <f>IF(E977="","",IFERROR(INDEX(art_des,MATCH($E977,art_ref,0))&amp;"","Article inconnu"))</f>
        <v/>
      </c>
      <c r="G977" s="67" t="str">
        <f>IF(E977="","",IFERROR(INDEX(art_unit,MATCH($E977,art_ref,0))&amp;"",""))</f>
        <v/>
      </c>
      <c r="H977" s="68" t="n"/>
      <c r="I977" s="69" t="n"/>
      <c r="J977" s="70" t="str">
        <f>IF(E977="","",IF(ISNUMBER(I977),I977,IFERROR(IF(ISNUMBER(INDEX(art_price,MATCH($E977,art_ref,0))),INDEX(art_price,MATCH($E977,art_ref,0)),""),"")))</f>
        <v/>
      </c>
      <c r="K977" s="71" t="n"/>
      <c r="L977" s="72" t="n"/>
      <c r="M977" s="72" t="str">
        <f>IF(E977="","",IF(L977&lt;&gt;"",L977,IFERROR(IF(ISNUMBER(INDEX(art_tva,MATCH($E977,art_ref,0))),INDEX(art_tva,MATCH($E977,art_ref,0)),""),"")))</f>
        <v/>
      </c>
      <c r="N977" s="70" t="str">
        <f>IF(OR(E977="",J977=""),"",ROUND(N(H977)*J977*(1-N(K977)),2))</f>
        <v/>
      </c>
      <c r="O977" s="70" t="str">
        <f>IF(OR(N977="",NOT(ISNUMBER(M977))),"",ROUND(N977*M977,2))</f>
        <v/>
      </c>
      <c r="P977" s="70" t="str">
        <f>IF(N977="","",N977+N(O977))</f>
        <v/>
      </c>
      <c r="Q977" s="64" t="n"/>
      <c r="R977" s="73" t="str">
        <f>IF(N(Q977)&gt;0,Q977,IF(OR(N(B977)=0,ISNA(MATCH($C977,sup_code,0))),"",IF(ISNUMBER(INDEX(sup_delay,MATCH($C977,sup_code,0))),B977+INDEX(sup_delay,MATCH($C977,sup_code,0)),"")))</f>
        <v/>
      </c>
      <c r="S977" s="64" t="n"/>
      <c r="T977" s="68" t="n"/>
      <c r="U977" s="64" t="n"/>
      <c r="V977" s="65" t="n"/>
      <c r="W977" s="74" t="str">
        <f>IF(AND(A977="",E977=""),"",IF(V977="Oui",0,MAX(0,ROUND(N(H977)-N(T977),6))))</f>
        <v/>
      </c>
      <c r="X977" s="67" t="str">
        <f>IF(AND(A977="",E977=""),"",IF(V977="Oui","Annulé",IF(AND(N(H977)&gt;0,N(T977)&gt;=N(H977)),"Reçu",IF(N(S977)=0,"Brouillon",IF(AND(ISNUMBER(R977),R977&lt;p_today),"En retard",IF(N(T977)&gt;0,"Partiel","Envoyé"))))))</f>
        <v/>
      </c>
      <c r="Y977" s="75" t="str">
        <f>IF(X977="En retard",p_today-R977,IF(AND(X977="Reçu",ISNUMBER(R977)),MAX(0,N(U977)-R977),""))</f>
        <v/>
      </c>
      <c r="Z977" s="67" t="str">
        <f>IF(AND(A977="",E977=""),"",IF(A977="","N° de bon manquant",IF(N(B977)=0,"Date de commande manquante",IF(C977="","Fournisseur manquant",IF(ISNA(MATCH($C977,sup_code,0)),"Fournisseur inconnu",IF(E977="","Article manquant",IF(ISNA(MATCH($E977,art_ref,0)),"Article inconnu",IF(N(H977)&lt;=0,"Quantité invalide",IF(J977="","Prix manquant",IF(OR(N(K977)&lt;0,N(K977)&gt;=1),"Remise invalide",IF(M977="","TVA manquante",IF(ISNA(MATCH(M977,p_tva,0)),"Taux de TVA inconnu",IF(COUNTIFS(po_num,A977,po_sup,"&lt;&gt;"&amp;C977)&gt;0,"Fournisseur différent sur ce bon",IF(COUNTIFS(po_num,A977,po_date,"&lt;&gt;"&amp;B977)&gt;0,"Date différente sur ce bon",IF(COUNTIF(po_num,A977)&gt;25,"Plus de 25 lignes sur ce bon",IF(R977="","Date de livraison manquante",IF(R977&lt;B977,"Livraison avant la commande",IF(AND(N(T977)&gt;0,N(S977)=0),"Date d'envoi manquante",IF(N(T977)&gt;N(H977),"Reçu plus que commandé",IF(AND(N(T977)&gt;0,N(U977)=0),"Date de réception manquante",IF(AND(N(U977)&gt;0,U977&lt;B977),"Réception avant la commande","OK")))))))))))))))))))))</f>
        <v/>
      </c>
      <c r="AA977" s="66" t="str">
        <f>IF(AND(X977="Reçu",ISNUMBER(R977)),IF(N(U977)&lt;=R977,1,0),"")</f>
        <v/>
      </c>
      <c r="AB977" s="76" t="str">
        <f>IF(OR(X977="Envoyé",X977="Partiel",X977="En retard"),IF(ISNUMBER(R977),R977,100000)+ROW()/100000,"")</f>
        <v/>
      </c>
      <c r="AC977" s="66" t="str">
        <f>IF(A977="","",IF(COUNTIF($A$6:A977,A977)=1,1,""))</f>
        <v/>
      </c>
      <c r="AD977" s="66" t="str">
        <f>IF(AC977=1,COUNT($AC$6:AC977),"")</f>
        <v/>
      </c>
      <c r="AE977" s="66" t="str">
        <f>IFERROR(INDEX(po_num,MATCH(972,po_seq,0))&amp;"","")</f>
        <v/>
      </c>
      <c r="AF977" s="66" t="str">
        <f>IF(OR(A977="",p_po=""),"",IF(A977&amp;""=p_po,COUNTIF($A$6:A977,A977),""))</f>
        <v/>
      </c>
      <c r="AG977" s="66" t="str">
        <f>IF(OR(AB977="",A977=""),"",IF(COUNTIFS($A$6:A977,A977,$AB$6:AB977,"&gt;0")=1,1,""))</f>
        <v/>
      </c>
      <c r="AH977" s="70" t="str">
        <f>IF(AB977="","",ROUND(N(W977)*N(J977)*(1-N(K977)),2))</f>
        <v/>
      </c>
      <c r="AI977" s="70" t="str">
        <f>IF(OR(J977="",N(T977)&lt;=0,V977="Oui"),"",ROUND(N(T977)*J977*(1-N(K977)),2))</f>
        <v/>
      </c>
    </row>
    <row r="978">
      <c r="A978" s="63" t="n"/>
      <c r="B978" s="64" t="n"/>
      <c r="C978" s="65" t="n"/>
      <c r="D978" s="66" t="str">
        <f>IF(C978="","",IFERROR(INDEX(sup_name,MATCH($C978,sup_code,0))&amp;"","Fournisseur inconnu"))</f>
        <v/>
      </c>
      <c r="E978" s="63" t="n"/>
      <c r="F978" s="66" t="str">
        <f>IF(E978="","",IFERROR(INDEX(art_des,MATCH($E978,art_ref,0))&amp;"","Article inconnu"))</f>
        <v/>
      </c>
      <c r="G978" s="67" t="str">
        <f>IF(E978="","",IFERROR(INDEX(art_unit,MATCH($E978,art_ref,0))&amp;"",""))</f>
        <v/>
      </c>
      <c r="H978" s="68" t="n"/>
      <c r="I978" s="69" t="n"/>
      <c r="J978" s="70" t="str">
        <f>IF(E978="","",IF(ISNUMBER(I978),I978,IFERROR(IF(ISNUMBER(INDEX(art_price,MATCH($E978,art_ref,0))),INDEX(art_price,MATCH($E978,art_ref,0)),""),"")))</f>
        <v/>
      </c>
      <c r="K978" s="71" t="n"/>
      <c r="L978" s="72" t="n"/>
      <c r="M978" s="72" t="str">
        <f>IF(E978="","",IF(L978&lt;&gt;"",L978,IFERROR(IF(ISNUMBER(INDEX(art_tva,MATCH($E978,art_ref,0))),INDEX(art_tva,MATCH($E978,art_ref,0)),""),"")))</f>
        <v/>
      </c>
      <c r="N978" s="70" t="str">
        <f>IF(OR(E978="",J978=""),"",ROUND(N(H978)*J978*(1-N(K978)),2))</f>
        <v/>
      </c>
      <c r="O978" s="70" t="str">
        <f>IF(OR(N978="",NOT(ISNUMBER(M978))),"",ROUND(N978*M978,2))</f>
        <v/>
      </c>
      <c r="P978" s="70" t="str">
        <f>IF(N978="","",N978+N(O978))</f>
        <v/>
      </c>
      <c r="Q978" s="64" t="n"/>
      <c r="R978" s="73" t="str">
        <f>IF(N(Q978)&gt;0,Q978,IF(OR(N(B978)=0,ISNA(MATCH($C978,sup_code,0))),"",IF(ISNUMBER(INDEX(sup_delay,MATCH($C978,sup_code,0))),B978+INDEX(sup_delay,MATCH($C978,sup_code,0)),"")))</f>
        <v/>
      </c>
      <c r="S978" s="64" t="n"/>
      <c r="T978" s="68" t="n"/>
      <c r="U978" s="64" t="n"/>
      <c r="V978" s="65" t="n"/>
      <c r="W978" s="74" t="str">
        <f>IF(AND(A978="",E978=""),"",IF(V978="Oui",0,MAX(0,ROUND(N(H978)-N(T978),6))))</f>
        <v/>
      </c>
      <c r="X978" s="67" t="str">
        <f>IF(AND(A978="",E978=""),"",IF(V978="Oui","Annulé",IF(AND(N(H978)&gt;0,N(T978)&gt;=N(H978)),"Reçu",IF(N(S978)=0,"Brouillon",IF(AND(ISNUMBER(R978),R978&lt;p_today),"En retard",IF(N(T978)&gt;0,"Partiel","Envoyé"))))))</f>
        <v/>
      </c>
      <c r="Y978" s="75" t="str">
        <f>IF(X978="En retard",p_today-R978,IF(AND(X978="Reçu",ISNUMBER(R978)),MAX(0,N(U978)-R978),""))</f>
        <v/>
      </c>
      <c r="Z978" s="67" t="str">
        <f>IF(AND(A978="",E978=""),"",IF(A978="","N° de bon manquant",IF(N(B978)=0,"Date de commande manquante",IF(C978="","Fournisseur manquant",IF(ISNA(MATCH($C978,sup_code,0)),"Fournisseur inconnu",IF(E978="","Article manquant",IF(ISNA(MATCH($E978,art_ref,0)),"Article inconnu",IF(N(H978)&lt;=0,"Quantité invalide",IF(J978="","Prix manquant",IF(OR(N(K978)&lt;0,N(K978)&gt;=1),"Remise invalide",IF(M978="","TVA manquante",IF(ISNA(MATCH(M978,p_tva,0)),"Taux de TVA inconnu",IF(COUNTIFS(po_num,A978,po_sup,"&lt;&gt;"&amp;C978)&gt;0,"Fournisseur différent sur ce bon",IF(COUNTIFS(po_num,A978,po_date,"&lt;&gt;"&amp;B978)&gt;0,"Date différente sur ce bon",IF(COUNTIF(po_num,A978)&gt;25,"Plus de 25 lignes sur ce bon",IF(R978="","Date de livraison manquante",IF(R978&lt;B978,"Livraison avant la commande",IF(AND(N(T978)&gt;0,N(S978)=0),"Date d'envoi manquante",IF(N(T978)&gt;N(H978),"Reçu plus que commandé",IF(AND(N(T978)&gt;0,N(U978)=0),"Date de réception manquante",IF(AND(N(U978)&gt;0,U978&lt;B978),"Réception avant la commande","OK")))))))))))))))))))))</f>
        <v/>
      </c>
      <c r="AA978" s="66" t="str">
        <f>IF(AND(X978="Reçu",ISNUMBER(R978)),IF(N(U978)&lt;=R978,1,0),"")</f>
        <v/>
      </c>
      <c r="AB978" s="76" t="str">
        <f>IF(OR(X978="Envoyé",X978="Partiel",X978="En retard"),IF(ISNUMBER(R978),R978,100000)+ROW()/100000,"")</f>
        <v/>
      </c>
      <c r="AC978" s="66" t="str">
        <f>IF(A978="","",IF(COUNTIF($A$6:A978,A978)=1,1,""))</f>
        <v/>
      </c>
      <c r="AD978" s="66" t="str">
        <f>IF(AC978=1,COUNT($AC$6:AC978),"")</f>
        <v/>
      </c>
      <c r="AE978" s="66" t="str">
        <f>IFERROR(INDEX(po_num,MATCH(973,po_seq,0))&amp;"","")</f>
        <v/>
      </c>
      <c r="AF978" s="66" t="str">
        <f>IF(OR(A978="",p_po=""),"",IF(A978&amp;""=p_po,COUNTIF($A$6:A978,A978),""))</f>
        <v/>
      </c>
      <c r="AG978" s="66" t="str">
        <f>IF(OR(AB978="",A978=""),"",IF(COUNTIFS($A$6:A978,A978,$AB$6:AB978,"&gt;0")=1,1,""))</f>
        <v/>
      </c>
      <c r="AH978" s="70" t="str">
        <f>IF(AB978="","",ROUND(N(W978)*N(J978)*(1-N(K978)),2))</f>
        <v/>
      </c>
      <c r="AI978" s="70" t="str">
        <f>IF(OR(J978="",N(T978)&lt;=0,V978="Oui"),"",ROUND(N(T978)*J978*(1-N(K978)),2))</f>
        <v/>
      </c>
    </row>
    <row r="979">
      <c r="A979" s="63" t="n"/>
      <c r="B979" s="64" t="n"/>
      <c r="C979" s="65" t="n"/>
      <c r="D979" s="66" t="str">
        <f>IF(C979="","",IFERROR(INDEX(sup_name,MATCH($C979,sup_code,0))&amp;"","Fournisseur inconnu"))</f>
        <v/>
      </c>
      <c r="E979" s="63" t="n"/>
      <c r="F979" s="66" t="str">
        <f>IF(E979="","",IFERROR(INDEX(art_des,MATCH($E979,art_ref,0))&amp;"","Article inconnu"))</f>
        <v/>
      </c>
      <c r="G979" s="67" t="str">
        <f>IF(E979="","",IFERROR(INDEX(art_unit,MATCH($E979,art_ref,0))&amp;"",""))</f>
        <v/>
      </c>
      <c r="H979" s="68" t="n"/>
      <c r="I979" s="69" t="n"/>
      <c r="J979" s="70" t="str">
        <f>IF(E979="","",IF(ISNUMBER(I979),I979,IFERROR(IF(ISNUMBER(INDEX(art_price,MATCH($E979,art_ref,0))),INDEX(art_price,MATCH($E979,art_ref,0)),""),"")))</f>
        <v/>
      </c>
      <c r="K979" s="71" t="n"/>
      <c r="L979" s="72" t="n"/>
      <c r="M979" s="72" t="str">
        <f>IF(E979="","",IF(L979&lt;&gt;"",L979,IFERROR(IF(ISNUMBER(INDEX(art_tva,MATCH($E979,art_ref,0))),INDEX(art_tva,MATCH($E979,art_ref,0)),""),"")))</f>
        <v/>
      </c>
      <c r="N979" s="70" t="str">
        <f>IF(OR(E979="",J979=""),"",ROUND(N(H979)*J979*(1-N(K979)),2))</f>
        <v/>
      </c>
      <c r="O979" s="70" t="str">
        <f>IF(OR(N979="",NOT(ISNUMBER(M979))),"",ROUND(N979*M979,2))</f>
        <v/>
      </c>
      <c r="P979" s="70" t="str">
        <f>IF(N979="","",N979+N(O979))</f>
        <v/>
      </c>
      <c r="Q979" s="64" t="n"/>
      <c r="R979" s="73" t="str">
        <f>IF(N(Q979)&gt;0,Q979,IF(OR(N(B979)=0,ISNA(MATCH($C979,sup_code,0))),"",IF(ISNUMBER(INDEX(sup_delay,MATCH($C979,sup_code,0))),B979+INDEX(sup_delay,MATCH($C979,sup_code,0)),"")))</f>
        <v/>
      </c>
      <c r="S979" s="64" t="n"/>
      <c r="T979" s="68" t="n"/>
      <c r="U979" s="64" t="n"/>
      <c r="V979" s="65" t="n"/>
      <c r="W979" s="74" t="str">
        <f>IF(AND(A979="",E979=""),"",IF(V979="Oui",0,MAX(0,ROUND(N(H979)-N(T979),6))))</f>
        <v/>
      </c>
      <c r="X979" s="67" t="str">
        <f>IF(AND(A979="",E979=""),"",IF(V979="Oui","Annulé",IF(AND(N(H979)&gt;0,N(T979)&gt;=N(H979)),"Reçu",IF(N(S979)=0,"Brouillon",IF(AND(ISNUMBER(R979),R979&lt;p_today),"En retard",IF(N(T979)&gt;0,"Partiel","Envoyé"))))))</f>
        <v/>
      </c>
      <c r="Y979" s="75" t="str">
        <f>IF(X979="En retard",p_today-R979,IF(AND(X979="Reçu",ISNUMBER(R979)),MAX(0,N(U979)-R979),""))</f>
        <v/>
      </c>
      <c r="Z979" s="67" t="str">
        <f>IF(AND(A979="",E979=""),"",IF(A979="","N° de bon manquant",IF(N(B979)=0,"Date de commande manquante",IF(C979="","Fournisseur manquant",IF(ISNA(MATCH($C979,sup_code,0)),"Fournisseur inconnu",IF(E979="","Article manquant",IF(ISNA(MATCH($E979,art_ref,0)),"Article inconnu",IF(N(H979)&lt;=0,"Quantité invalide",IF(J979="","Prix manquant",IF(OR(N(K979)&lt;0,N(K979)&gt;=1),"Remise invalide",IF(M979="","TVA manquante",IF(ISNA(MATCH(M979,p_tva,0)),"Taux de TVA inconnu",IF(COUNTIFS(po_num,A979,po_sup,"&lt;&gt;"&amp;C979)&gt;0,"Fournisseur différent sur ce bon",IF(COUNTIFS(po_num,A979,po_date,"&lt;&gt;"&amp;B979)&gt;0,"Date différente sur ce bon",IF(COUNTIF(po_num,A979)&gt;25,"Plus de 25 lignes sur ce bon",IF(R979="","Date de livraison manquante",IF(R979&lt;B979,"Livraison avant la commande",IF(AND(N(T979)&gt;0,N(S979)=0),"Date d'envoi manquante",IF(N(T979)&gt;N(H979),"Reçu plus que commandé",IF(AND(N(T979)&gt;0,N(U979)=0),"Date de réception manquante",IF(AND(N(U979)&gt;0,U979&lt;B979),"Réception avant la commande","OK")))))))))))))))))))))</f>
        <v/>
      </c>
      <c r="AA979" s="66" t="str">
        <f>IF(AND(X979="Reçu",ISNUMBER(R979)),IF(N(U979)&lt;=R979,1,0),"")</f>
        <v/>
      </c>
      <c r="AB979" s="76" t="str">
        <f>IF(OR(X979="Envoyé",X979="Partiel",X979="En retard"),IF(ISNUMBER(R979),R979,100000)+ROW()/100000,"")</f>
        <v/>
      </c>
      <c r="AC979" s="66" t="str">
        <f>IF(A979="","",IF(COUNTIF($A$6:A979,A979)=1,1,""))</f>
        <v/>
      </c>
      <c r="AD979" s="66" t="str">
        <f>IF(AC979=1,COUNT($AC$6:AC979),"")</f>
        <v/>
      </c>
      <c r="AE979" s="66" t="str">
        <f>IFERROR(INDEX(po_num,MATCH(974,po_seq,0))&amp;"","")</f>
        <v/>
      </c>
      <c r="AF979" s="66" t="str">
        <f>IF(OR(A979="",p_po=""),"",IF(A979&amp;""=p_po,COUNTIF($A$6:A979,A979),""))</f>
        <v/>
      </c>
      <c r="AG979" s="66" t="str">
        <f>IF(OR(AB979="",A979=""),"",IF(COUNTIFS($A$6:A979,A979,$AB$6:AB979,"&gt;0")=1,1,""))</f>
        <v/>
      </c>
      <c r="AH979" s="70" t="str">
        <f>IF(AB979="","",ROUND(N(W979)*N(J979)*(1-N(K979)),2))</f>
        <v/>
      </c>
      <c r="AI979" s="70" t="str">
        <f>IF(OR(J979="",N(T979)&lt;=0,V979="Oui"),"",ROUND(N(T979)*J979*(1-N(K979)),2))</f>
        <v/>
      </c>
    </row>
    <row r="980">
      <c r="A980" s="63" t="n"/>
      <c r="B980" s="64" t="n"/>
      <c r="C980" s="65" t="n"/>
      <c r="D980" s="66" t="str">
        <f>IF(C980="","",IFERROR(INDEX(sup_name,MATCH($C980,sup_code,0))&amp;"","Fournisseur inconnu"))</f>
        <v/>
      </c>
      <c r="E980" s="63" t="n"/>
      <c r="F980" s="66" t="str">
        <f>IF(E980="","",IFERROR(INDEX(art_des,MATCH($E980,art_ref,0))&amp;"","Article inconnu"))</f>
        <v/>
      </c>
      <c r="G980" s="67" t="str">
        <f>IF(E980="","",IFERROR(INDEX(art_unit,MATCH($E980,art_ref,0))&amp;"",""))</f>
        <v/>
      </c>
      <c r="H980" s="68" t="n"/>
      <c r="I980" s="69" t="n"/>
      <c r="J980" s="70" t="str">
        <f>IF(E980="","",IF(ISNUMBER(I980),I980,IFERROR(IF(ISNUMBER(INDEX(art_price,MATCH($E980,art_ref,0))),INDEX(art_price,MATCH($E980,art_ref,0)),""),"")))</f>
        <v/>
      </c>
      <c r="K980" s="71" t="n"/>
      <c r="L980" s="72" t="n"/>
      <c r="M980" s="72" t="str">
        <f>IF(E980="","",IF(L980&lt;&gt;"",L980,IFERROR(IF(ISNUMBER(INDEX(art_tva,MATCH($E980,art_ref,0))),INDEX(art_tva,MATCH($E980,art_ref,0)),""),"")))</f>
        <v/>
      </c>
      <c r="N980" s="70" t="str">
        <f>IF(OR(E980="",J980=""),"",ROUND(N(H980)*J980*(1-N(K980)),2))</f>
        <v/>
      </c>
      <c r="O980" s="70" t="str">
        <f>IF(OR(N980="",NOT(ISNUMBER(M980))),"",ROUND(N980*M980,2))</f>
        <v/>
      </c>
      <c r="P980" s="70" t="str">
        <f>IF(N980="","",N980+N(O980))</f>
        <v/>
      </c>
      <c r="Q980" s="64" t="n"/>
      <c r="R980" s="73" t="str">
        <f>IF(N(Q980)&gt;0,Q980,IF(OR(N(B980)=0,ISNA(MATCH($C980,sup_code,0))),"",IF(ISNUMBER(INDEX(sup_delay,MATCH($C980,sup_code,0))),B980+INDEX(sup_delay,MATCH($C980,sup_code,0)),"")))</f>
        <v/>
      </c>
      <c r="S980" s="64" t="n"/>
      <c r="T980" s="68" t="n"/>
      <c r="U980" s="64" t="n"/>
      <c r="V980" s="65" t="n"/>
      <c r="W980" s="74" t="str">
        <f>IF(AND(A980="",E980=""),"",IF(V980="Oui",0,MAX(0,ROUND(N(H980)-N(T980),6))))</f>
        <v/>
      </c>
      <c r="X980" s="67" t="str">
        <f>IF(AND(A980="",E980=""),"",IF(V980="Oui","Annulé",IF(AND(N(H980)&gt;0,N(T980)&gt;=N(H980)),"Reçu",IF(N(S980)=0,"Brouillon",IF(AND(ISNUMBER(R980),R980&lt;p_today),"En retard",IF(N(T980)&gt;0,"Partiel","Envoyé"))))))</f>
        <v/>
      </c>
      <c r="Y980" s="75" t="str">
        <f>IF(X980="En retard",p_today-R980,IF(AND(X980="Reçu",ISNUMBER(R980)),MAX(0,N(U980)-R980),""))</f>
        <v/>
      </c>
      <c r="Z980" s="67" t="str">
        <f>IF(AND(A980="",E980=""),"",IF(A980="","N° de bon manquant",IF(N(B980)=0,"Date de commande manquante",IF(C980="","Fournisseur manquant",IF(ISNA(MATCH($C980,sup_code,0)),"Fournisseur inconnu",IF(E980="","Article manquant",IF(ISNA(MATCH($E980,art_ref,0)),"Article inconnu",IF(N(H980)&lt;=0,"Quantité invalide",IF(J980="","Prix manquant",IF(OR(N(K980)&lt;0,N(K980)&gt;=1),"Remise invalide",IF(M980="","TVA manquante",IF(ISNA(MATCH(M980,p_tva,0)),"Taux de TVA inconnu",IF(COUNTIFS(po_num,A980,po_sup,"&lt;&gt;"&amp;C980)&gt;0,"Fournisseur différent sur ce bon",IF(COUNTIFS(po_num,A980,po_date,"&lt;&gt;"&amp;B980)&gt;0,"Date différente sur ce bon",IF(COUNTIF(po_num,A980)&gt;25,"Plus de 25 lignes sur ce bon",IF(R980="","Date de livraison manquante",IF(R980&lt;B980,"Livraison avant la commande",IF(AND(N(T980)&gt;0,N(S980)=0),"Date d'envoi manquante",IF(N(T980)&gt;N(H980),"Reçu plus que commandé",IF(AND(N(T980)&gt;0,N(U980)=0),"Date de réception manquante",IF(AND(N(U980)&gt;0,U980&lt;B980),"Réception avant la commande","OK")))))))))))))))))))))</f>
        <v/>
      </c>
      <c r="AA980" s="66" t="str">
        <f>IF(AND(X980="Reçu",ISNUMBER(R980)),IF(N(U980)&lt;=R980,1,0),"")</f>
        <v/>
      </c>
      <c r="AB980" s="76" t="str">
        <f>IF(OR(X980="Envoyé",X980="Partiel",X980="En retard"),IF(ISNUMBER(R980),R980,100000)+ROW()/100000,"")</f>
        <v/>
      </c>
      <c r="AC980" s="66" t="str">
        <f>IF(A980="","",IF(COUNTIF($A$6:A980,A980)=1,1,""))</f>
        <v/>
      </c>
      <c r="AD980" s="66" t="str">
        <f>IF(AC980=1,COUNT($AC$6:AC980),"")</f>
        <v/>
      </c>
      <c r="AE980" s="66" t="str">
        <f>IFERROR(INDEX(po_num,MATCH(975,po_seq,0))&amp;"","")</f>
        <v/>
      </c>
      <c r="AF980" s="66" t="str">
        <f>IF(OR(A980="",p_po=""),"",IF(A980&amp;""=p_po,COUNTIF($A$6:A980,A980),""))</f>
        <v/>
      </c>
      <c r="AG980" s="66" t="str">
        <f>IF(OR(AB980="",A980=""),"",IF(COUNTIFS($A$6:A980,A980,$AB$6:AB980,"&gt;0")=1,1,""))</f>
        <v/>
      </c>
      <c r="AH980" s="70" t="str">
        <f>IF(AB980="","",ROUND(N(W980)*N(J980)*(1-N(K980)),2))</f>
        <v/>
      </c>
      <c r="AI980" s="70" t="str">
        <f>IF(OR(J980="",N(T980)&lt;=0,V980="Oui"),"",ROUND(N(T980)*J980*(1-N(K980)),2))</f>
        <v/>
      </c>
    </row>
    <row r="981">
      <c r="A981" s="63" t="n"/>
      <c r="B981" s="64" t="n"/>
      <c r="C981" s="65" t="n"/>
      <c r="D981" s="66" t="str">
        <f>IF(C981="","",IFERROR(INDEX(sup_name,MATCH($C981,sup_code,0))&amp;"","Fournisseur inconnu"))</f>
        <v/>
      </c>
      <c r="E981" s="63" t="n"/>
      <c r="F981" s="66" t="str">
        <f>IF(E981="","",IFERROR(INDEX(art_des,MATCH($E981,art_ref,0))&amp;"","Article inconnu"))</f>
        <v/>
      </c>
      <c r="G981" s="67" t="str">
        <f>IF(E981="","",IFERROR(INDEX(art_unit,MATCH($E981,art_ref,0))&amp;"",""))</f>
        <v/>
      </c>
      <c r="H981" s="68" t="n"/>
      <c r="I981" s="69" t="n"/>
      <c r="J981" s="70" t="str">
        <f>IF(E981="","",IF(ISNUMBER(I981),I981,IFERROR(IF(ISNUMBER(INDEX(art_price,MATCH($E981,art_ref,0))),INDEX(art_price,MATCH($E981,art_ref,0)),""),"")))</f>
        <v/>
      </c>
      <c r="K981" s="71" t="n"/>
      <c r="L981" s="72" t="n"/>
      <c r="M981" s="72" t="str">
        <f>IF(E981="","",IF(L981&lt;&gt;"",L981,IFERROR(IF(ISNUMBER(INDEX(art_tva,MATCH($E981,art_ref,0))),INDEX(art_tva,MATCH($E981,art_ref,0)),""),"")))</f>
        <v/>
      </c>
      <c r="N981" s="70" t="str">
        <f>IF(OR(E981="",J981=""),"",ROUND(N(H981)*J981*(1-N(K981)),2))</f>
        <v/>
      </c>
      <c r="O981" s="70" t="str">
        <f>IF(OR(N981="",NOT(ISNUMBER(M981))),"",ROUND(N981*M981,2))</f>
        <v/>
      </c>
      <c r="P981" s="70" t="str">
        <f>IF(N981="","",N981+N(O981))</f>
        <v/>
      </c>
      <c r="Q981" s="64" t="n"/>
      <c r="R981" s="73" t="str">
        <f>IF(N(Q981)&gt;0,Q981,IF(OR(N(B981)=0,ISNA(MATCH($C981,sup_code,0))),"",IF(ISNUMBER(INDEX(sup_delay,MATCH($C981,sup_code,0))),B981+INDEX(sup_delay,MATCH($C981,sup_code,0)),"")))</f>
        <v/>
      </c>
      <c r="S981" s="64" t="n"/>
      <c r="T981" s="68" t="n"/>
      <c r="U981" s="64" t="n"/>
      <c r="V981" s="65" t="n"/>
      <c r="W981" s="74" t="str">
        <f>IF(AND(A981="",E981=""),"",IF(V981="Oui",0,MAX(0,ROUND(N(H981)-N(T981),6))))</f>
        <v/>
      </c>
      <c r="X981" s="67" t="str">
        <f>IF(AND(A981="",E981=""),"",IF(V981="Oui","Annulé",IF(AND(N(H981)&gt;0,N(T981)&gt;=N(H981)),"Reçu",IF(N(S981)=0,"Brouillon",IF(AND(ISNUMBER(R981),R981&lt;p_today),"En retard",IF(N(T981)&gt;0,"Partiel","Envoyé"))))))</f>
        <v/>
      </c>
      <c r="Y981" s="75" t="str">
        <f>IF(X981="En retard",p_today-R981,IF(AND(X981="Reçu",ISNUMBER(R981)),MAX(0,N(U981)-R981),""))</f>
        <v/>
      </c>
      <c r="Z981" s="67" t="str">
        <f>IF(AND(A981="",E981=""),"",IF(A981="","N° de bon manquant",IF(N(B981)=0,"Date de commande manquante",IF(C981="","Fournisseur manquant",IF(ISNA(MATCH($C981,sup_code,0)),"Fournisseur inconnu",IF(E981="","Article manquant",IF(ISNA(MATCH($E981,art_ref,0)),"Article inconnu",IF(N(H981)&lt;=0,"Quantité invalide",IF(J981="","Prix manquant",IF(OR(N(K981)&lt;0,N(K981)&gt;=1),"Remise invalide",IF(M981="","TVA manquante",IF(ISNA(MATCH(M981,p_tva,0)),"Taux de TVA inconnu",IF(COUNTIFS(po_num,A981,po_sup,"&lt;&gt;"&amp;C981)&gt;0,"Fournisseur différent sur ce bon",IF(COUNTIFS(po_num,A981,po_date,"&lt;&gt;"&amp;B981)&gt;0,"Date différente sur ce bon",IF(COUNTIF(po_num,A981)&gt;25,"Plus de 25 lignes sur ce bon",IF(R981="","Date de livraison manquante",IF(R981&lt;B981,"Livraison avant la commande",IF(AND(N(T981)&gt;0,N(S981)=0),"Date d'envoi manquante",IF(N(T981)&gt;N(H981),"Reçu plus que commandé",IF(AND(N(T981)&gt;0,N(U981)=0),"Date de réception manquante",IF(AND(N(U981)&gt;0,U981&lt;B981),"Réception avant la commande","OK")))))))))))))))))))))</f>
        <v/>
      </c>
      <c r="AA981" s="66" t="str">
        <f>IF(AND(X981="Reçu",ISNUMBER(R981)),IF(N(U981)&lt;=R981,1,0),"")</f>
        <v/>
      </c>
      <c r="AB981" s="76" t="str">
        <f>IF(OR(X981="Envoyé",X981="Partiel",X981="En retard"),IF(ISNUMBER(R981),R981,100000)+ROW()/100000,"")</f>
        <v/>
      </c>
      <c r="AC981" s="66" t="str">
        <f>IF(A981="","",IF(COUNTIF($A$6:A981,A981)=1,1,""))</f>
        <v/>
      </c>
      <c r="AD981" s="66" t="str">
        <f>IF(AC981=1,COUNT($AC$6:AC981),"")</f>
        <v/>
      </c>
      <c r="AE981" s="66" t="str">
        <f>IFERROR(INDEX(po_num,MATCH(976,po_seq,0))&amp;"","")</f>
        <v/>
      </c>
      <c r="AF981" s="66" t="str">
        <f>IF(OR(A981="",p_po=""),"",IF(A981&amp;""=p_po,COUNTIF($A$6:A981,A981),""))</f>
        <v/>
      </c>
      <c r="AG981" s="66" t="str">
        <f>IF(OR(AB981="",A981=""),"",IF(COUNTIFS($A$6:A981,A981,$AB$6:AB981,"&gt;0")=1,1,""))</f>
        <v/>
      </c>
      <c r="AH981" s="70" t="str">
        <f>IF(AB981="","",ROUND(N(W981)*N(J981)*(1-N(K981)),2))</f>
        <v/>
      </c>
      <c r="AI981" s="70" t="str">
        <f>IF(OR(J981="",N(T981)&lt;=0,V981="Oui"),"",ROUND(N(T981)*J981*(1-N(K981)),2))</f>
        <v/>
      </c>
    </row>
    <row r="982">
      <c r="A982" s="63" t="n"/>
      <c r="B982" s="64" t="n"/>
      <c r="C982" s="65" t="n"/>
      <c r="D982" s="66" t="str">
        <f>IF(C982="","",IFERROR(INDEX(sup_name,MATCH($C982,sup_code,0))&amp;"","Fournisseur inconnu"))</f>
        <v/>
      </c>
      <c r="E982" s="63" t="n"/>
      <c r="F982" s="66" t="str">
        <f>IF(E982="","",IFERROR(INDEX(art_des,MATCH($E982,art_ref,0))&amp;"","Article inconnu"))</f>
        <v/>
      </c>
      <c r="G982" s="67" t="str">
        <f>IF(E982="","",IFERROR(INDEX(art_unit,MATCH($E982,art_ref,0))&amp;"",""))</f>
        <v/>
      </c>
      <c r="H982" s="68" t="n"/>
      <c r="I982" s="69" t="n"/>
      <c r="J982" s="70" t="str">
        <f>IF(E982="","",IF(ISNUMBER(I982),I982,IFERROR(IF(ISNUMBER(INDEX(art_price,MATCH($E982,art_ref,0))),INDEX(art_price,MATCH($E982,art_ref,0)),""),"")))</f>
        <v/>
      </c>
      <c r="K982" s="71" t="n"/>
      <c r="L982" s="72" t="n"/>
      <c r="M982" s="72" t="str">
        <f>IF(E982="","",IF(L982&lt;&gt;"",L982,IFERROR(IF(ISNUMBER(INDEX(art_tva,MATCH($E982,art_ref,0))),INDEX(art_tva,MATCH($E982,art_ref,0)),""),"")))</f>
        <v/>
      </c>
      <c r="N982" s="70" t="str">
        <f>IF(OR(E982="",J982=""),"",ROUND(N(H982)*J982*(1-N(K982)),2))</f>
        <v/>
      </c>
      <c r="O982" s="70" t="str">
        <f>IF(OR(N982="",NOT(ISNUMBER(M982))),"",ROUND(N982*M982,2))</f>
        <v/>
      </c>
      <c r="P982" s="70" t="str">
        <f>IF(N982="","",N982+N(O982))</f>
        <v/>
      </c>
      <c r="Q982" s="64" t="n"/>
      <c r="R982" s="73" t="str">
        <f>IF(N(Q982)&gt;0,Q982,IF(OR(N(B982)=0,ISNA(MATCH($C982,sup_code,0))),"",IF(ISNUMBER(INDEX(sup_delay,MATCH($C982,sup_code,0))),B982+INDEX(sup_delay,MATCH($C982,sup_code,0)),"")))</f>
        <v/>
      </c>
      <c r="S982" s="64" t="n"/>
      <c r="T982" s="68" t="n"/>
      <c r="U982" s="64" t="n"/>
      <c r="V982" s="65" t="n"/>
      <c r="W982" s="74" t="str">
        <f>IF(AND(A982="",E982=""),"",IF(V982="Oui",0,MAX(0,ROUND(N(H982)-N(T982),6))))</f>
        <v/>
      </c>
      <c r="X982" s="67" t="str">
        <f>IF(AND(A982="",E982=""),"",IF(V982="Oui","Annulé",IF(AND(N(H982)&gt;0,N(T982)&gt;=N(H982)),"Reçu",IF(N(S982)=0,"Brouillon",IF(AND(ISNUMBER(R982),R982&lt;p_today),"En retard",IF(N(T982)&gt;0,"Partiel","Envoyé"))))))</f>
        <v/>
      </c>
      <c r="Y982" s="75" t="str">
        <f>IF(X982="En retard",p_today-R982,IF(AND(X982="Reçu",ISNUMBER(R982)),MAX(0,N(U982)-R982),""))</f>
        <v/>
      </c>
      <c r="Z982" s="67" t="str">
        <f>IF(AND(A982="",E982=""),"",IF(A982="","N° de bon manquant",IF(N(B982)=0,"Date de commande manquante",IF(C982="","Fournisseur manquant",IF(ISNA(MATCH($C982,sup_code,0)),"Fournisseur inconnu",IF(E982="","Article manquant",IF(ISNA(MATCH($E982,art_ref,0)),"Article inconnu",IF(N(H982)&lt;=0,"Quantité invalide",IF(J982="","Prix manquant",IF(OR(N(K982)&lt;0,N(K982)&gt;=1),"Remise invalide",IF(M982="","TVA manquante",IF(ISNA(MATCH(M982,p_tva,0)),"Taux de TVA inconnu",IF(COUNTIFS(po_num,A982,po_sup,"&lt;&gt;"&amp;C982)&gt;0,"Fournisseur différent sur ce bon",IF(COUNTIFS(po_num,A982,po_date,"&lt;&gt;"&amp;B982)&gt;0,"Date différente sur ce bon",IF(COUNTIF(po_num,A982)&gt;25,"Plus de 25 lignes sur ce bon",IF(R982="","Date de livraison manquante",IF(R982&lt;B982,"Livraison avant la commande",IF(AND(N(T982)&gt;0,N(S982)=0),"Date d'envoi manquante",IF(N(T982)&gt;N(H982),"Reçu plus que commandé",IF(AND(N(T982)&gt;0,N(U982)=0),"Date de réception manquante",IF(AND(N(U982)&gt;0,U982&lt;B982),"Réception avant la commande","OK")))))))))))))))))))))</f>
        <v/>
      </c>
      <c r="AA982" s="66" t="str">
        <f>IF(AND(X982="Reçu",ISNUMBER(R982)),IF(N(U982)&lt;=R982,1,0),"")</f>
        <v/>
      </c>
      <c r="AB982" s="76" t="str">
        <f>IF(OR(X982="Envoyé",X982="Partiel",X982="En retard"),IF(ISNUMBER(R982),R982,100000)+ROW()/100000,"")</f>
        <v/>
      </c>
      <c r="AC982" s="66" t="str">
        <f>IF(A982="","",IF(COUNTIF($A$6:A982,A982)=1,1,""))</f>
        <v/>
      </c>
      <c r="AD982" s="66" t="str">
        <f>IF(AC982=1,COUNT($AC$6:AC982),"")</f>
        <v/>
      </c>
      <c r="AE982" s="66" t="str">
        <f>IFERROR(INDEX(po_num,MATCH(977,po_seq,0))&amp;"","")</f>
        <v/>
      </c>
      <c r="AF982" s="66" t="str">
        <f>IF(OR(A982="",p_po=""),"",IF(A982&amp;""=p_po,COUNTIF($A$6:A982,A982),""))</f>
        <v/>
      </c>
      <c r="AG982" s="66" t="str">
        <f>IF(OR(AB982="",A982=""),"",IF(COUNTIFS($A$6:A982,A982,$AB$6:AB982,"&gt;0")=1,1,""))</f>
        <v/>
      </c>
      <c r="AH982" s="70" t="str">
        <f>IF(AB982="","",ROUND(N(W982)*N(J982)*(1-N(K982)),2))</f>
        <v/>
      </c>
      <c r="AI982" s="70" t="str">
        <f>IF(OR(J982="",N(T982)&lt;=0,V982="Oui"),"",ROUND(N(T982)*J982*(1-N(K982)),2))</f>
        <v/>
      </c>
    </row>
    <row r="983">
      <c r="A983" s="63" t="n"/>
      <c r="B983" s="64" t="n"/>
      <c r="C983" s="65" t="n"/>
      <c r="D983" s="66" t="str">
        <f>IF(C983="","",IFERROR(INDEX(sup_name,MATCH($C983,sup_code,0))&amp;"","Fournisseur inconnu"))</f>
        <v/>
      </c>
      <c r="E983" s="63" t="n"/>
      <c r="F983" s="66" t="str">
        <f>IF(E983="","",IFERROR(INDEX(art_des,MATCH($E983,art_ref,0))&amp;"","Article inconnu"))</f>
        <v/>
      </c>
      <c r="G983" s="67" t="str">
        <f>IF(E983="","",IFERROR(INDEX(art_unit,MATCH($E983,art_ref,0))&amp;"",""))</f>
        <v/>
      </c>
      <c r="H983" s="68" t="n"/>
      <c r="I983" s="69" t="n"/>
      <c r="J983" s="70" t="str">
        <f>IF(E983="","",IF(ISNUMBER(I983),I983,IFERROR(IF(ISNUMBER(INDEX(art_price,MATCH($E983,art_ref,0))),INDEX(art_price,MATCH($E983,art_ref,0)),""),"")))</f>
        <v/>
      </c>
      <c r="K983" s="71" t="n"/>
      <c r="L983" s="72" t="n"/>
      <c r="M983" s="72" t="str">
        <f>IF(E983="","",IF(L983&lt;&gt;"",L983,IFERROR(IF(ISNUMBER(INDEX(art_tva,MATCH($E983,art_ref,0))),INDEX(art_tva,MATCH($E983,art_ref,0)),""),"")))</f>
        <v/>
      </c>
      <c r="N983" s="70" t="str">
        <f>IF(OR(E983="",J983=""),"",ROUND(N(H983)*J983*(1-N(K983)),2))</f>
        <v/>
      </c>
      <c r="O983" s="70" t="str">
        <f>IF(OR(N983="",NOT(ISNUMBER(M983))),"",ROUND(N983*M983,2))</f>
        <v/>
      </c>
      <c r="P983" s="70" t="str">
        <f>IF(N983="","",N983+N(O983))</f>
        <v/>
      </c>
      <c r="Q983" s="64" t="n"/>
      <c r="R983" s="73" t="str">
        <f>IF(N(Q983)&gt;0,Q983,IF(OR(N(B983)=0,ISNA(MATCH($C983,sup_code,0))),"",IF(ISNUMBER(INDEX(sup_delay,MATCH($C983,sup_code,0))),B983+INDEX(sup_delay,MATCH($C983,sup_code,0)),"")))</f>
        <v/>
      </c>
      <c r="S983" s="64" t="n"/>
      <c r="T983" s="68" t="n"/>
      <c r="U983" s="64" t="n"/>
      <c r="V983" s="65" t="n"/>
      <c r="W983" s="74" t="str">
        <f>IF(AND(A983="",E983=""),"",IF(V983="Oui",0,MAX(0,ROUND(N(H983)-N(T983),6))))</f>
        <v/>
      </c>
      <c r="X983" s="67" t="str">
        <f>IF(AND(A983="",E983=""),"",IF(V983="Oui","Annulé",IF(AND(N(H983)&gt;0,N(T983)&gt;=N(H983)),"Reçu",IF(N(S983)=0,"Brouillon",IF(AND(ISNUMBER(R983),R983&lt;p_today),"En retard",IF(N(T983)&gt;0,"Partiel","Envoyé"))))))</f>
        <v/>
      </c>
      <c r="Y983" s="75" t="str">
        <f>IF(X983="En retard",p_today-R983,IF(AND(X983="Reçu",ISNUMBER(R983)),MAX(0,N(U983)-R983),""))</f>
        <v/>
      </c>
      <c r="Z983" s="67" t="str">
        <f>IF(AND(A983="",E983=""),"",IF(A983="","N° de bon manquant",IF(N(B983)=0,"Date de commande manquante",IF(C983="","Fournisseur manquant",IF(ISNA(MATCH($C983,sup_code,0)),"Fournisseur inconnu",IF(E983="","Article manquant",IF(ISNA(MATCH($E983,art_ref,0)),"Article inconnu",IF(N(H983)&lt;=0,"Quantité invalide",IF(J983="","Prix manquant",IF(OR(N(K983)&lt;0,N(K983)&gt;=1),"Remise invalide",IF(M983="","TVA manquante",IF(ISNA(MATCH(M983,p_tva,0)),"Taux de TVA inconnu",IF(COUNTIFS(po_num,A983,po_sup,"&lt;&gt;"&amp;C983)&gt;0,"Fournisseur différent sur ce bon",IF(COUNTIFS(po_num,A983,po_date,"&lt;&gt;"&amp;B983)&gt;0,"Date différente sur ce bon",IF(COUNTIF(po_num,A983)&gt;25,"Plus de 25 lignes sur ce bon",IF(R983="","Date de livraison manquante",IF(R983&lt;B983,"Livraison avant la commande",IF(AND(N(T983)&gt;0,N(S983)=0),"Date d'envoi manquante",IF(N(T983)&gt;N(H983),"Reçu plus que commandé",IF(AND(N(T983)&gt;0,N(U983)=0),"Date de réception manquante",IF(AND(N(U983)&gt;0,U983&lt;B983),"Réception avant la commande","OK")))))))))))))))))))))</f>
        <v/>
      </c>
      <c r="AA983" s="66" t="str">
        <f>IF(AND(X983="Reçu",ISNUMBER(R983)),IF(N(U983)&lt;=R983,1,0),"")</f>
        <v/>
      </c>
      <c r="AB983" s="76" t="str">
        <f>IF(OR(X983="Envoyé",X983="Partiel",X983="En retard"),IF(ISNUMBER(R983),R983,100000)+ROW()/100000,"")</f>
        <v/>
      </c>
      <c r="AC983" s="66" t="str">
        <f>IF(A983="","",IF(COUNTIF($A$6:A983,A983)=1,1,""))</f>
        <v/>
      </c>
      <c r="AD983" s="66" t="str">
        <f>IF(AC983=1,COUNT($AC$6:AC983),"")</f>
        <v/>
      </c>
      <c r="AE983" s="66" t="str">
        <f>IFERROR(INDEX(po_num,MATCH(978,po_seq,0))&amp;"","")</f>
        <v/>
      </c>
      <c r="AF983" s="66" t="str">
        <f>IF(OR(A983="",p_po=""),"",IF(A983&amp;""=p_po,COUNTIF($A$6:A983,A983),""))</f>
        <v/>
      </c>
      <c r="AG983" s="66" t="str">
        <f>IF(OR(AB983="",A983=""),"",IF(COUNTIFS($A$6:A983,A983,$AB$6:AB983,"&gt;0")=1,1,""))</f>
        <v/>
      </c>
      <c r="AH983" s="70" t="str">
        <f>IF(AB983="","",ROUND(N(W983)*N(J983)*(1-N(K983)),2))</f>
        <v/>
      </c>
      <c r="AI983" s="70" t="str">
        <f>IF(OR(J983="",N(T983)&lt;=0,V983="Oui"),"",ROUND(N(T983)*J983*(1-N(K983)),2))</f>
        <v/>
      </c>
    </row>
    <row r="984">
      <c r="A984" s="63" t="n"/>
      <c r="B984" s="64" t="n"/>
      <c r="C984" s="65" t="n"/>
      <c r="D984" s="66" t="str">
        <f>IF(C984="","",IFERROR(INDEX(sup_name,MATCH($C984,sup_code,0))&amp;"","Fournisseur inconnu"))</f>
        <v/>
      </c>
      <c r="E984" s="63" t="n"/>
      <c r="F984" s="66" t="str">
        <f>IF(E984="","",IFERROR(INDEX(art_des,MATCH($E984,art_ref,0))&amp;"","Article inconnu"))</f>
        <v/>
      </c>
      <c r="G984" s="67" t="str">
        <f>IF(E984="","",IFERROR(INDEX(art_unit,MATCH($E984,art_ref,0))&amp;"",""))</f>
        <v/>
      </c>
      <c r="H984" s="68" t="n"/>
      <c r="I984" s="69" t="n"/>
      <c r="J984" s="70" t="str">
        <f>IF(E984="","",IF(ISNUMBER(I984),I984,IFERROR(IF(ISNUMBER(INDEX(art_price,MATCH($E984,art_ref,0))),INDEX(art_price,MATCH($E984,art_ref,0)),""),"")))</f>
        <v/>
      </c>
      <c r="K984" s="71" t="n"/>
      <c r="L984" s="72" t="n"/>
      <c r="M984" s="72" t="str">
        <f>IF(E984="","",IF(L984&lt;&gt;"",L984,IFERROR(IF(ISNUMBER(INDEX(art_tva,MATCH($E984,art_ref,0))),INDEX(art_tva,MATCH($E984,art_ref,0)),""),"")))</f>
        <v/>
      </c>
      <c r="N984" s="70" t="str">
        <f>IF(OR(E984="",J984=""),"",ROUND(N(H984)*J984*(1-N(K984)),2))</f>
        <v/>
      </c>
      <c r="O984" s="70" t="str">
        <f>IF(OR(N984="",NOT(ISNUMBER(M984))),"",ROUND(N984*M984,2))</f>
        <v/>
      </c>
      <c r="P984" s="70" t="str">
        <f>IF(N984="","",N984+N(O984))</f>
        <v/>
      </c>
      <c r="Q984" s="64" t="n"/>
      <c r="R984" s="73" t="str">
        <f>IF(N(Q984)&gt;0,Q984,IF(OR(N(B984)=0,ISNA(MATCH($C984,sup_code,0))),"",IF(ISNUMBER(INDEX(sup_delay,MATCH($C984,sup_code,0))),B984+INDEX(sup_delay,MATCH($C984,sup_code,0)),"")))</f>
        <v/>
      </c>
      <c r="S984" s="64" t="n"/>
      <c r="T984" s="68" t="n"/>
      <c r="U984" s="64" t="n"/>
      <c r="V984" s="65" t="n"/>
      <c r="W984" s="74" t="str">
        <f>IF(AND(A984="",E984=""),"",IF(V984="Oui",0,MAX(0,ROUND(N(H984)-N(T984),6))))</f>
        <v/>
      </c>
      <c r="X984" s="67" t="str">
        <f>IF(AND(A984="",E984=""),"",IF(V984="Oui","Annulé",IF(AND(N(H984)&gt;0,N(T984)&gt;=N(H984)),"Reçu",IF(N(S984)=0,"Brouillon",IF(AND(ISNUMBER(R984),R984&lt;p_today),"En retard",IF(N(T984)&gt;0,"Partiel","Envoyé"))))))</f>
        <v/>
      </c>
      <c r="Y984" s="75" t="str">
        <f>IF(X984="En retard",p_today-R984,IF(AND(X984="Reçu",ISNUMBER(R984)),MAX(0,N(U984)-R984),""))</f>
        <v/>
      </c>
      <c r="Z984" s="67" t="str">
        <f>IF(AND(A984="",E984=""),"",IF(A984="","N° de bon manquant",IF(N(B984)=0,"Date de commande manquante",IF(C984="","Fournisseur manquant",IF(ISNA(MATCH($C984,sup_code,0)),"Fournisseur inconnu",IF(E984="","Article manquant",IF(ISNA(MATCH($E984,art_ref,0)),"Article inconnu",IF(N(H984)&lt;=0,"Quantité invalide",IF(J984="","Prix manquant",IF(OR(N(K984)&lt;0,N(K984)&gt;=1),"Remise invalide",IF(M984="","TVA manquante",IF(ISNA(MATCH(M984,p_tva,0)),"Taux de TVA inconnu",IF(COUNTIFS(po_num,A984,po_sup,"&lt;&gt;"&amp;C984)&gt;0,"Fournisseur différent sur ce bon",IF(COUNTIFS(po_num,A984,po_date,"&lt;&gt;"&amp;B984)&gt;0,"Date différente sur ce bon",IF(COUNTIF(po_num,A984)&gt;25,"Plus de 25 lignes sur ce bon",IF(R984="","Date de livraison manquante",IF(R984&lt;B984,"Livraison avant la commande",IF(AND(N(T984)&gt;0,N(S984)=0),"Date d'envoi manquante",IF(N(T984)&gt;N(H984),"Reçu plus que commandé",IF(AND(N(T984)&gt;0,N(U984)=0),"Date de réception manquante",IF(AND(N(U984)&gt;0,U984&lt;B984),"Réception avant la commande","OK")))))))))))))))))))))</f>
        <v/>
      </c>
      <c r="AA984" s="66" t="str">
        <f>IF(AND(X984="Reçu",ISNUMBER(R984)),IF(N(U984)&lt;=R984,1,0),"")</f>
        <v/>
      </c>
      <c r="AB984" s="76" t="str">
        <f>IF(OR(X984="Envoyé",X984="Partiel",X984="En retard"),IF(ISNUMBER(R984),R984,100000)+ROW()/100000,"")</f>
        <v/>
      </c>
      <c r="AC984" s="66" t="str">
        <f>IF(A984="","",IF(COUNTIF($A$6:A984,A984)=1,1,""))</f>
        <v/>
      </c>
      <c r="AD984" s="66" t="str">
        <f>IF(AC984=1,COUNT($AC$6:AC984),"")</f>
        <v/>
      </c>
      <c r="AE984" s="66" t="str">
        <f>IFERROR(INDEX(po_num,MATCH(979,po_seq,0))&amp;"","")</f>
        <v/>
      </c>
      <c r="AF984" s="66" t="str">
        <f>IF(OR(A984="",p_po=""),"",IF(A984&amp;""=p_po,COUNTIF($A$6:A984,A984),""))</f>
        <v/>
      </c>
      <c r="AG984" s="66" t="str">
        <f>IF(OR(AB984="",A984=""),"",IF(COUNTIFS($A$6:A984,A984,$AB$6:AB984,"&gt;0")=1,1,""))</f>
        <v/>
      </c>
      <c r="AH984" s="70" t="str">
        <f>IF(AB984="","",ROUND(N(W984)*N(J984)*(1-N(K984)),2))</f>
        <v/>
      </c>
      <c r="AI984" s="70" t="str">
        <f>IF(OR(J984="",N(T984)&lt;=0,V984="Oui"),"",ROUND(N(T984)*J984*(1-N(K984)),2))</f>
        <v/>
      </c>
    </row>
    <row r="985">
      <c r="A985" s="63" t="n"/>
      <c r="B985" s="64" t="n"/>
      <c r="C985" s="65" t="n"/>
      <c r="D985" s="66" t="str">
        <f>IF(C985="","",IFERROR(INDEX(sup_name,MATCH($C985,sup_code,0))&amp;"","Fournisseur inconnu"))</f>
        <v/>
      </c>
      <c r="E985" s="63" t="n"/>
      <c r="F985" s="66" t="str">
        <f>IF(E985="","",IFERROR(INDEX(art_des,MATCH($E985,art_ref,0))&amp;"","Article inconnu"))</f>
        <v/>
      </c>
      <c r="G985" s="67" t="str">
        <f>IF(E985="","",IFERROR(INDEX(art_unit,MATCH($E985,art_ref,0))&amp;"",""))</f>
        <v/>
      </c>
      <c r="H985" s="68" t="n"/>
      <c r="I985" s="69" t="n"/>
      <c r="J985" s="70" t="str">
        <f>IF(E985="","",IF(ISNUMBER(I985),I985,IFERROR(IF(ISNUMBER(INDEX(art_price,MATCH($E985,art_ref,0))),INDEX(art_price,MATCH($E985,art_ref,0)),""),"")))</f>
        <v/>
      </c>
      <c r="K985" s="71" t="n"/>
      <c r="L985" s="72" t="n"/>
      <c r="M985" s="72" t="str">
        <f>IF(E985="","",IF(L985&lt;&gt;"",L985,IFERROR(IF(ISNUMBER(INDEX(art_tva,MATCH($E985,art_ref,0))),INDEX(art_tva,MATCH($E985,art_ref,0)),""),"")))</f>
        <v/>
      </c>
      <c r="N985" s="70" t="str">
        <f>IF(OR(E985="",J985=""),"",ROUND(N(H985)*J985*(1-N(K985)),2))</f>
        <v/>
      </c>
      <c r="O985" s="70" t="str">
        <f>IF(OR(N985="",NOT(ISNUMBER(M985))),"",ROUND(N985*M985,2))</f>
        <v/>
      </c>
      <c r="P985" s="70" t="str">
        <f>IF(N985="","",N985+N(O985))</f>
        <v/>
      </c>
      <c r="Q985" s="64" t="n"/>
      <c r="R985" s="73" t="str">
        <f>IF(N(Q985)&gt;0,Q985,IF(OR(N(B985)=0,ISNA(MATCH($C985,sup_code,0))),"",IF(ISNUMBER(INDEX(sup_delay,MATCH($C985,sup_code,0))),B985+INDEX(sup_delay,MATCH($C985,sup_code,0)),"")))</f>
        <v/>
      </c>
      <c r="S985" s="64" t="n"/>
      <c r="T985" s="68" t="n"/>
      <c r="U985" s="64" t="n"/>
      <c r="V985" s="65" t="n"/>
      <c r="W985" s="74" t="str">
        <f>IF(AND(A985="",E985=""),"",IF(V985="Oui",0,MAX(0,ROUND(N(H985)-N(T985),6))))</f>
        <v/>
      </c>
      <c r="X985" s="67" t="str">
        <f>IF(AND(A985="",E985=""),"",IF(V985="Oui","Annulé",IF(AND(N(H985)&gt;0,N(T985)&gt;=N(H985)),"Reçu",IF(N(S985)=0,"Brouillon",IF(AND(ISNUMBER(R985),R985&lt;p_today),"En retard",IF(N(T985)&gt;0,"Partiel","Envoyé"))))))</f>
        <v/>
      </c>
      <c r="Y985" s="75" t="str">
        <f>IF(X985="En retard",p_today-R985,IF(AND(X985="Reçu",ISNUMBER(R985)),MAX(0,N(U985)-R985),""))</f>
        <v/>
      </c>
      <c r="Z985" s="67" t="str">
        <f>IF(AND(A985="",E985=""),"",IF(A985="","N° de bon manquant",IF(N(B985)=0,"Date de commande manquante",IF(C985="","Fournisseur manquant",IF(ISNA(MATCH($C985,sup_code,0)),"Fournisseur inconnu",IF(E985="","Article manquant",IF(ISNA(MATCH($E985,art_ref,0)),"Article inconnu",IF(N(H985)&lt;=0,"Quantité invalide",IF(J985="","Prix manquant",IF(OR(N(K985)&lt;0,N(K985)&gt;=1),"Remise invalide",IF(M985="","TVA manquante",IF(ISNA(MATCH(M985,p_tva,0)),"Taux de TVA inconnu",IF(COUNTIFS(po_num,A985,po_sup,"&lt;&gt;"&amp;C985)&gt;0,"Fournisseur différent sur ce bon",IF(COUNTIFS(po_num,A985,po_date,"&lt;&gt;"&amp;B985)&gt;0,"Date différente sur ce bon",IF(COUNTIF(po_num,A985)&gt;25,"Plus de 25 lignes sur ce bon",IF(R985="","Date de livraison manquante",IF(R985&lt;B985,"Livraison avant la commande",IF(AND(N(T985)&gt;0,N(S985)=0),"Date d'envoi manquante",IF(N(T985)&gt;N(H985),"Reçu plus que commandé",IF(AND(N(T985)&gt;0,N(U985)=0),"Date de réception manquante",IF(AND(N(U985)&gt;0,U985&lt;B985),"Réception avant la commande","OK")))))))))))))))))))))</f>
        <v/>
      </c>
      <c r="AA985" s="66" t="str">
        <f>IF(AND(X985="Reçu",ISNUMBER(R985)),IF(N(U985)&lt;=R985,1,0),"")</f>
        <v/>
      </c>
      <c r="AB985" s="76" t="str">
        <f>IF(OR(X985="Envoyé",X985="Partiel",X985="En retard"),IF(ISNUMBER(R985),R985,100000)+ROW()/100000,"")</f>
        <v/>
      </c>
      <c r="AC985" s="66" t="str">
        <f>IF(A985="","",IF(COUNTIF($A$6:A985,A985)=1,1,""))</f>
        <v/>
      </c>
      <c r="AD985" s="66" t="str">
        <f>IF(AC985=1,COUNT($AC$6:AC985),"")</f>
        <v/>
      </c>
      <c r="AE985" s="66" t="str">
        <f>IFERROR(INDEX(po_num,MATCH(980,po_seq,0))&amp;"","")</f>
        <v/>
      </c>
      <c r="AF985" s="66" t="str">
        <f>IF(OR(A985="",p_po=""),"",IF(A985&amp;""=p_po,COUNTIF($A$6:A985,A985),""))</f>
        <v/>
      </c>
      <c r="AG985" s="66" t="str">
        <f>IF(OR(AB985="",A985=""),"",IF(COUNTIFS($A$6:A985,A985,$AB$6:AB985,"&gt;0")=1,1,""))</f>
        <v/>
      </c>
      <c r="AH985" s="70" t="str">
        <f>IF(AB985="","",ROUND(N(W985)*N(J985)*(1-N(K985)),2))</f>
        <v/>
      </c>
      <c r="AI985" s="70" t="str">
        <f>IF(OR(J985="",N(T985)&lt;=0,V985="Oui"),"",ROUND(N(T985)*J985*(1-N(K985)),2))</f>
        <v/>
      </c>
    </row>
    <row r="986">
      <c r="A986" s="63" t="n"/>
      <c r="B986" s="64" t="n"/>
      <c r="C986" s="65" t="n"/>
      <c r="D986" s="66" t="str">
        <f>IF(C986="","",IFERROR(INDEX(sup_name,MATCH($C986,sup_code,0))&amp;"","Fournisseur inconnu"))</f>
        <v/>
      </c>
      <c r="E986" s="63" t="n"/>
      <c r="F986" s="66" t="str">
        <f>IF(E986="","",IFERROR(INDEX(art_des,MATCH($E986,art_ref,0))&amp;"","Article inconnu"))</f>
        <v/>
      </c>
      <c r="G986" s="67" t="str">
        <f>IF(E986="","",IFERROR(INDEX(art_unit,MATCH($E986,art_ref,0))&amp;"",""))</f>
        <v/>
      </c>
      <c r="H986" s="68" t="n"/>
      <c r="I986" s="69" t="n"/>
      <c r="J986" s="70" t="str">
        <f>IF(E986="","",IF(ISNUMBER(I986),I986,IFERROR(IF(ISNUMBER(INDEX(art_price,MATCH($E986,art_ref,0))),INDEX(art_price,MATCH($E986,art_ref,0)),""),"")))</f>
        <v/>
      </c>
      <c r="K986" s="71" t="n"/>
      <c r="L986" s="72" t="n"/>
      <c r="M986" s="72" t="str">
        <f>IF(E986="","",IF(L986&lt;&gt;"",L986,IFERROR(IF(ISNUMBER(INDEX(art_tva,MATCH($E986,art_ref,0))),INDEX(art_tva,MATCH($E986,art_ref,0)),""),"")))</f>
        <v/>
      </c>
      <c r="N986" s="70" t="str">
        <f>IF(OR(E986="",J986=""),"",ROUND(N(H986)*J986*(1-N(K986)),2))</f>
        <v/>
      </c>
      <c r="O986" s="70" t="str">
        <f>IF(OR(N986="",NOT(ISNUMBER(M986))),"",ROUND(N986*M986,2))</f>
        <v/>
      </c>
      <c r="P986" s="70" t="str">
        <f>IF(N986="","",N986+N(O986))</f>
        <v/>
      </c>
      <c r="Q986" s="64" t="n"/>
      <c r="R986" s="73" t="str">
        <f>IF(N(Q986)&gt;0,Q986,IF(OR(N(B986)=0,ISNA(MATCH($C986,sup_code,0))),"",IF(ISNUMBER(INDEX(sup_delay,MATCH($C986,sup_code,0))),B986+INDEX(sup_delay,MATCH($C986,sup_code,0)),"")))</f>
        <v/>
      </c>
      <c r="S986" s="64" t="n"/>
      <c r="T986" s="68" t="n"/>
      <c r="U986" s="64" t="n"/>
      <c r="V986" s="65" t="n"/>
      <c r="W986" s="74" t="str">
        <f>IF(AND(A986="",E986=""),"",IF(V986="Oui",0,MAX(0,ROUND(N(H986)-N(T986),6))))</f>
        <v/>
      </c>
      <c r="X986" s="67" t="str">
        <f>IF(AND(A986="",E986=""),"",IF(V986="Oui","Annulé",IF(AND(N(H986)&gt;0,N(T986)&gt;=N(H986)),"Reçu",IF(N(S986)=0,"Brouillon",IF(AND(ISNUMBER(R986),R986&lt;p_today),"En retard",IF(N(T986)&gt;0,"Partiel","Envoyé"))))))</f>
        <v/>
      </c>
      <c r="Y986" s="75" t="str">
        <f>IF(X986="En retard",p_today-R986,IF(AND(X986="Reçu",ISNUMBER(R986)),MAX(0,N(U986)-R986),""))</f>
        <v/>
      </c>
      <c r="Z986" s="67" t="str">
        <f>IF(AND(A986="",E986=""),"",IF(A986="","N° de bon manquant",IF(N(B986)=0,"Date de commande manquante",IF(C986="","Fournisseur manquant",IF(ISNA(MATCH($C986,sup_code,0)),"Fournisseur inconnu",IF(E986="","Article manquant",IF(ISNA(MATCH($E986,art_ref,0)),"Article inconnu",IF(N(H986)&lt;=0,"Quantité invalide",IF(J986="","Prix manquant",IF(OR(N(K986)&lt;0,N(K986)&gt;=1),"Remise invalide",IF(M986="","TVA manquante",IF(ISNA(MATCH(M986,p_tva,0)),"Taux de TVA inconnu",IF(COUNTIFS(po_num,A986,po_sup,"&lt;&gt;"&amp;C986)&gt;0,"Fournisseur différent sur ce bon",IF(COUNTIFS(po_num,A986,po_date,"&lt;&gt;"&amp;B986)&gt;0,"Date différente sur ce bon",IF(COUNTIF(po_num,A986)&gt;25,"Plus de 25 lignes sur ce bon",IF(R986="","Date de livraison manquante",IF(R986&lt;B986,"Livraison avant la commande",IF(AND(N(T986)&gt;0,N(S986)=0),"Date d'envoi manquante",IF(N(T986)&gt;N(H986),"Reçu plus que commandé",IF(AND(N(T986)&gt;0,N(U986)=0),"Date de réception manquante",IF(AND(N(U986)&gt;0,U986&lt;B986),"Réception avant la commande","OK")))))))))))))))))))))</f>
        <v/>
      </c>
      <c r="AA986" s="66" t="str">
        <f>IF(AND(X986="Reçu",ISNUMBER(R986)),IF(N(U986)&lt;=R986,1,0),"")</f>
        <v/>
      </c>
      <c r="AB986" s="76" t="str">
        <f>IF(OR(X986="Envoyé",X986="Partiel",X986="En retard"),IF(ISNUMBER(R986),R986,100000)+ROW()/100000,"")</f>
        <v/>
      </c>
      <c r="AC986" s="66" t="str">
        <f>IF(A986="","",IF(COUNTIF($A$6:A986,A986)=1,1,""))</f>
        <v/>
      </c>
      <c r="AD986" s="66" t="str">
        <f>IF(AC986=1,COUNT($AC$6:AC986),"")</f>
        <v/>
      </c>
      <c r="AE986" s="66" t="str">
        <f>IFERROR(INDEX(po_num,MATCH(981,po_seq,0))&amp;"","")</f>
        <v/>
      </c>
      <c r="AF986" s="66" t="str">
        <f>IF(OR(A986="",p_po=""),"",IF(A986&amp;""=p_po,COUNTIF($A$6:A986,A986),""))</f>
        <v/>
      </c>
      <c r="AG986" s="66" t="str">
        <f>IF(OR(AB986="",A986=""),"",IF(COUNTIFS($A$6:A986,A986,$AB$6:AB986,"&gt;0")=1,1,""))</f>
        <v/>
      </c>
      <c r="AH986" s="70" t="str">
        <f>IF(AB986="","",ROUND(N(W986)*N(J986)*(1-N(K986)),2))</f>
        <v/>
      </c>
      <c r="AI986" s="70" t="str">
        <f>IF(OR(J986="",N(T986)&lt;=0,V986="Oui"),"",ROUND(N(T986)*J986*(1-N(K986)),2))</f>
        <v/>
      </c>
    </row>
    <row r="987">
      <c r="A987" s="63" t="n"/>
      <c r="B987" s="64" t="n"/>
      <c r="C987" s="65" t="n"/>
      <c r="D987" s="66" t="str">
        <f>IF(C987="","",IFERROR(INDEX(sup_name,MATCH($C987,sup_code,0))&amp;"","Fournisseur inconnu"))</f>
        <v/>
      </c>
      <c r="E987" s="63" t="n"/>
      <c r="F987" s="66" t="str">
        <f>IF(E987="","",IFERROR(INDEX(art_des,MATCH($E987,art_ref,0))&amp;"","Article inconnu"))</f>
        <v/>
      </c>
      <c r="G987" s="67" t="str">
        <f>IF(E987="","",IFERROR(INDEX(art_unit,MATCH($E987,art_ref,0))&amp;"",""))</f>
        <v/>
      </c>
      <c r="H987" s="68" t="n"/>
      <c r="I987" s="69" t="n"/>
      <c r="J987" s="70" t="str">
        <f>IF(E987="","",IF(ISNUMBER(I987),I987,IFERROR(IF(ISNUMBER(INDEX(art_price,MATCH($E987,art_ref,0))),INDEX(art_price,MATCH($E987,art_ref,0)),""),"")))</f>
        <v/>
      </c>
      <c r="K987" s="71" t="n"/>
      <c r="L987" s="72" t="n"/>
      <c r="M987" s="72" t="str">
        <f>IF(E987="","",IF(L987&lt;&gt;"",L987,IFERROR(IF(ISNUMBER(INDEX(art_tva,MATCH($E987,art_ref,0))),INDEX(art_tva,MATCH($E987,art_ref,0)),""),"")))</f>
        <v/>
      </c>
      <c r="N987" s="70" t="str">
        <f>IF(OR(E987="",J987=""),"",ROUND(N(H987)*J987*(1-N(K987)),2))</f>
        <v/>
      </c>
      <c r="O987" s="70" t="str">
        <f>IF(OR(N987="",NOT(ISNUMBER(M987))),"",ROUND(N987*M987,2))</f>
        <v/>
      </c>
      <c r="P987" s="70" t="str">
        <f>IF(N987="","",N987+N(O987))</f>
        <v/>
      </c>
      <c r="Q987" s="64" t="n"/>
      <c r="R987" s="73" t="str">
        <f>IF(N(Q987)&gt;0,Q987,IF(OR(N(B987)=0,ISNA(MATCH($C987,sup_code,0))),"",IF(ISNUMBER(INDEX(sup_delay,MATCH($C987,sup_code,0))),B987+INDEX(sup_delay,MATCH($C987,sup_code,0)),"")))</f>
        <v/>
      </c>
      <c r="S987" s="64" t="n"/>
      <c r="T987" s="68" t="n"/>
      <c r="U987" s="64" t="n"/>
      <c r="V987" s="65" t="n"/>
      <c r="W987" s="74" t="str">
        <f>IF(AND(A987="",E987=""),"",IF(V987="Oui",0,MAX(0,ROUND(N(H987)-N(T987),6))))</f>
        <v/>
      </c>
      <c r="X987" s="67" t="str">
        <f>IF(AND(A987="",E987=""),"",IF(V987="Oui","Annulé",IF(AND(N(H987)&gt;0,N(T987)&gt;=N(H987)),"Reçu",IF(N(S987)=0,"Brouillon",IF(AND(ISNUMBER(R987),R987&lt;p_today),"En retard",IF(N(T987)&gt;0,"Partiel","Envoyé"))))))</f>
        <v/>
      </c>
      <c r="Y987" s="75" t="str">
        <f>IF(X987="En retard",p_today-R987,IF(AND(X987="Reçu",ISNUMBER(R987)),MAX(0,N(U987)-R987),""))</f>
        <v/>
      </c>
      <c r="Z987" s="67" t="str">
        <f>IF(AND(A987="",E987=""),"",IF(A987="","N° de bon manquant",IF(N(B987)=0,"Date de commande manquante",IF(C987="","Fournisseur manquant",IF(ISNA(MATCH($C987,sup_code,0)),"Fournisseur inconnu",IF(E987="","Article manquant",IF(ISNA(MATCH($E987,art_ref,0)),"Article inconnu",IF(N(H987)&lt;=0,"Quantité invalide",IF(J987="","Prix manquant",IF(OR(N(K987)&lt;0,N(K987)&gt;=1),"Remise invalide",IF(M987="","TVA manquante",IF(ISNA(MATCH(M987,p_tva,0)),"Taux de TVA inconnu",IF(COUNTIFS(po_num,A987,po_sup,"&lt;&gt;"&amp;C987)&gt;0,"Fournisseur différent sur ce bon",IF(COUNTIFS(po_num,A987,po_date,"&lt;&gt;"&amp;B987)&gt;0,"Date différente sur ce bon",IF(COUNTIF(po_num,A987)&gt;25,"Plus de 25 lignes sur ce bon",IF(R987="","Date de livraison manquante",IF(R987&lt;B987,"Livraison avant la commande",IF(AND(N(T987)&gt;0,N(S987)=0),"Date d'envoi manquante",IF(N(T987)&gt;N(H987),"Reçu plus que commandé",IF(AND(N(T987)&gt;0,N(U987)=0),"Date de réception manquante",IF(AND(N(U987)&gt;0,U987&lt;B987),"Réception avant la commande","OK")))))))))))))))))))))</f>
        <v/>
      </c>
      <c r="AA987" s="66" t="str">
        <f>IF(AND(X987="Reçu",ISNUMBER(R987)),IF(N(U987)&lt;=R987,1,0),"")</f>
        <v/>
      </c>
      <c r="AB987" s="76" t="str">
        <f>IF(OR(X987="Envoyé",X987="Partiel",X987="En retard"),IF(ISNUMBER(R987),R987,100000)+ROW()/100000,"")</f>
        <v/>
      </c>
      <c r="AC987" s="66" t="str">
        <f>IF(A987="","",IF(COUNTIF($A$6:A987,A987)=1,1,""))</f>
        <v/>
      </c>
      <c r="AD987" s="66" t="str">
        <f>IF(AC987=1,COUNT($AC$6:AC987),"")</f>
        <v/>
      </c>
      <c r="AE987" s="66" t="str">
        <f>IFERROR(INDEX(po_num,MATCH(982,po_seq,0))&amp;"","")</f>
        <v/>
      </c>
      <c r="AF987" s="66" t="str">
        <f>IF(OR(A987="",p_po=""),"",IF(A987&amp;""=p_po,COUNTIF($A$6:A987,A987),""))</f>
        <v/>
      </c>
      <c r="AG987" s="66" t="str">
        <f>IF(OR(AB987="",A987=""),"",IF(COUNTIFS($A$6:A987,A987,$AB$6:AB987,"&gt;0")=1,1,""))</f>
        <v/>
      </c>
      <c r="AH987" s="70" t="str">
        <f>IF(AB987="","",ROUND(N(W987)*N(J987)*(1-N(K987)),2))</f>
        <v/>
      </c>
      <c r="AI987" s="70" t="str">
        <f>IF(OR(J987="",N(T987)&lt;=0,V987="Oui"),"",ROUND(N(T987)*J987*(1-N(K987)),2))</f>
        <v/>
      </c>
    </row>
    <row r="988">
      <c r="A988" s="63" t="n"/>
      <c r="B988" s="64" t="n"/>
      <c r="C988" s="65" t="n"/>
      <c r="D988" s="66" t="str">
        <f>IF(C988="","",IFERROR(INDEX(sup_name,MATCH($C988,sup_code,0))&amp;"","Fournisseur inconnu"))</f>
        <v/>
      </c>
      <c r="E988" s="63" t="n"/>
      <c r="F988" s="66" t="str">
        <f>IF(E988="","",IFERROR(INDEX(art_des,MATCH($E988,art_ref,0))&amp;"","Article inconnu"))</f>
        <v/>
      </c>
      <c r="G988" s="67" t="str">
        <f>IF(E988="","",IFERROR(INDEX(art_unit,MATCH($E988,art_ref,0))&amp;"",""))</f>
        <v/>
      </c>
      <c r="H988" s="68" t="n"/>
      <c r="I988" s="69" t="n"/>
      <c r="J988" s="70" t="str">
        <f>IF(E988="","",IF(ISNUMBER(I988),I988,IFERROR(IF(ISNUMBER(INDEX(art_price,MATCH($E988,art_ref,0))),INDEX(art_price,MATCH($E988,art_ref,0)),""),"")))</f>
        <v/>
      </c>
      <c r="K988" s="71" t="n"/>
      <c r="L988" s="72" t="n"/>
      <c r="M988" s="72" t="str">
        <f>IF(E988="","",IF(L988&lt;&gt;"",L988,IFERROR(IF(ISNUMBER(INDEX(art_tva,MATCH($E988,art_ref,0))),INDEX(art_tva,MATCH($E988,art_ref,0)),""),"")))</f>
        <v/>
      </c>
      <c r="N988" s="70" t="str">
        <f>IF(OR(E988="",J988=""),"",ROUND(N(H988)*J988*(1-N(K988)),2))</f>
        <v/>
      </c>
      <c r="O988" s="70" t="str">
        <f>IF(OR(N988="",NOT(ISNUMBER(M988))),"",ROUND(N988*M988,2))</f>
        <v/>
      </c>
      <c r="P988" s="70" t="str">
        <f>IF(N988="","",N988+N(O988))</f>
        <v/>
      </c>
      <c r="Q988" s="64" t="n"/>
      <c r="R988" s="73" t="str">
        <f>IF(N(Q988)&gt;0,Q988,IF(OR(N(B988)=0,ISNA(MATCH($C988,sup_code,0))),"",IF(ISNUMBER(INDEX(sup_delay,MATCH($C988,sup_code,0))),B988+INDEX(sup_delay,MATCH($C988,sup_code,0)),"")))</f>
        <v/>
      </c>
      <c r="S988" s="64" t="n"/>
      <c r="T988" s="68" t="n"/>
      <c r="U988" s="64" t="n"/>
      <c r="V988" s="65" t="n"/>
      <c r="W988" s="74" t="str">
        <f>IF(AND(A988="",E988=""),"",IF(V988="Oui",0,MAX(0,ROUND(N(H988)-N(T988),6))))</f>
        <v/>
      </c>
      <c r="X988" s="67" t="str">
        <f>IF(AND(A988="",E988=""),"",IF(V988="Oui","Annulé",IF(AND(N(H988)&gt;0,N(T988)&gt;=N(H988)),"Reçu",IF(N(S988)=0,"Brouillon",IF(AND(ISNUMBER(R988),R988&lt;p_today),"En retard",IF(N(T988)&gt;0,"Partiel","Envoyé"))))))</f>
        <v/>
      </c>
      <c r="Y988" s="75" t="str">
        <f>IF(X988="En retard",p_today-R988,IF(AND(X988="Reçu",ISNUMBER(R988)),MAX(0,N(U988)-R988),""))</f>
        <v/>
      </c>
      <c r="Z988" s="67" t="str">
        <f>IF(AND(A988="",E988=""),"",IF(A988="","N° de bon manquant",IF(N(B988)=0,"Date de commande manquante",IF(C988="","Fournisseur manquant",IF(ISNA(MATCH($C988,sup_code,0)),"Fournisseur inconnu",IF(E988="","Article manquant",IF(ISNA(MATCH($E988,art_ref,0)),"Article inconnu",IF(N(H988)&lt;=0,"Quantité invalide",IF(J988="","Prix manquant",IF(OR(N(K988)&lt;0,N(K988)&gt;=1),"Remise invalide",IF(M988="","TVA manquante",IF(ISNA(MATCH(M988,p_tva,0)),"Taux de TVA inconnu",IF(COUNTIFS(po_num,A988,po_sup,"&lt;&gt;"&amp;C988)&gt;0,"Fournisseur différent sur ce bon",IF(COUNTIFS(po_num,A988,po_date,"&lt;&gt;"&amp;B988)&gt;0,"Date différente sur ce bon",IF(COUNTIF(po_num,A988)&gt;25,"Plus de 25 lignes sur ce bon",IF(R988="","Date de livraison manquante",IF(R988&lt;B988,"Livraison avant la commande",IF(AND(N(T988)&gt;0,N(S988)=0),"Date d'envoi manquante",IF(N(T988)&gt;N(H988),"Reçu plus que commandé",IF(AND(N(T988)&gt;0,N(U988)=0),"Date de réception manquante",IF(AND(N(U988)&gt;0,U988&lt;B988),"Réception avant la commande","OK")))))))))))))))))))))</f>
        <v/>
      </c>
      <c r="AA988" s="66" t="str">
        <f>IF(AND(X988="Reçu",ISNUMBER(R988)),IF(N(U988)&lt;=R988,1,0),"")</f>
        <v/>
      </c>
      <c r="AB988" s="76" t="str">
        <f>IF(OR(X988="Envoyé",X988="Partiel",X988="En retard"),IF(ISNUMBER(R988),R988,100000)+ROW()/100000,"")</f>
        <v/>
      </c>
      <c r="AC988" s="66" t="str">
        <f>IF(A988="","",IF(COUNTIF($A$6:A988,A988)=1,1,""))</f>
        <v/>
      </c>
      <c r="AD988" s="66" t="str">
        <f>IF(AC988=1,COUNT($AC$6:AC988),"")</f>
        <v/>
      </c>
      <c r="AE988" s="66" t="str">
        <f>IFERROR(INDEX(po_num,MATCH(983,po_seq,0))&amp;"","")</f>
        <v/>
      </c>
      <c r="AF988" s="66" t="str">
        <f>IF(OR(A988="",p_po=""),"",IF(A988&amp;""=p_po,COUNTIF($A$6:A988,A988),""))</f>
        <v/>
      </c>
      <c r="AG988" s="66" t="str">
        <f>IF(OR(AB988="",A988=""),"",IF(COUNTIFS($A$6:A988,A988,$AB$6:AB988,"&gt;0")=1,1,""))</f>
        <v/>
      </c>
      <c r="AH988" s="70" t="str">
        <f>IF(AB988="","",ROUND(N(W988)*N(J988)*(1-N(K988)),2))</f>
        <v/>
      </c>
      <c r="AI988" s="70" t="str">
        <f>IF(OR(J988="",N(T988)&lt;=0,V988="Oui"),"",ROUND(N(T988)*J988*(1-N(K988)),2))</f>
        <v/>
      </c>
    </row>
    <row r="989">
      <c r="A989" s="63" t="n"/>
      <c r="B989" s="64" t="n"/>
      <c r="C989" s="65" t="n"/>
      <c r="D989" s="66" t="str">
        <f>IF(C989="","",IFERROR(INDEX(sup_name,MATCH($C989,sup_code,0))&amp;"","Fournisseur inconnu"))</f>
        <v/>
      </c>
      <c r="E989" s="63" t="n"/>
      <c r="F989" s="66" t="str">
        <f>IF(E989="","",IFERROR(INDEX(art_des,MATCH($E989,art_ref,0))&amp;"","Article inconnu"))</f>
        <v/>
      </c>
      <c r="G989" s="67" t="str">
        <f>IF(E989="","",IFERROR(INDEX(art_unit,MATCH($E989,art_ref,0))&amp;"",""))</f>
        <v/>
      </c>
      <c r="H989" s="68" t="n"/>
      <c r="I989" s="69" t="n"/>
      <c r="J989" s="70" t="str">
        <f>IF(E989="","",IF(ISNUMBER(I989),I989,IFERROR(IF(ISNUMBER(INDEX(art_price,MATCH($E989,art_ref,0))),INDEX(art_price,MATCH($E989,art_ref,0)),""),"")))</f>
        <v/>
      </c>
      <c r="K989" s="71" t="n"/>
      <c r="L989" s="72" t="n"/>
      <c r="M989" s="72" t="str">
        <f>IF(E989="","",IF(L989&lt;&gt;"",L989,IFERROR(IF(ISNUMBER(INDEX(art_tva,MATCH($E989,art_ref,0))),INDEX(art_tva,MATCH($E989,art_ref,0)),""),"")))</f>
        <v/>
      </c>
      <c r="N989" s="70" t="str">
        <f>IF(OR(E989="",J989=""),"",ROUND(N(H989)*J989*(1-N(K989)),2))</f>
        <v/>
      </c>
      <c r="O989" s="70" t="str">
        <f>IF(OR(N989="",NOT(ISNUMBER(M989))),"",ROUND(N989*M989,2))</f>
        <v/>
      </c>
      <c r="P989" s="70" t="str">
        <f>IF(N989="","",N989+N(O989))</f>
        <v/>
      </c>
      <c r="Q989" s="64" t="n"/>
      <c r="R989" s="73" t="str">
        <f>IF(N(Q989)&gt;0,Q989,IF(OR(N(B989)=0,ISNA(MATCH($C989,sup_code,0))),"",IF(ISNUMBER(INDEX(sup_delay,MATCH($C989,sup_code,0))),B989+INDEX(sup_delay,MATCH($C989,sup_code,0)),"")))</f>
        <v/>
      </c>
      <c r="S989" s="64" t="n"/>
      <c r="T989" s="68" t="n"/>
      <c r="U989" s="64" t="n"/>
      <c r="V989" s="65" t="n"/>
      <c r="W989" s="74" t="str">
        <f>IF(AND(A989="",E989=""),"",IF(V989="Oui",0,MAX(0,ROUND(N(H989)-N(T989),6))))</f>
        <v/>
      </c>
      <c r="X989" s="67" t="str">
        <f>IF(AND(A989="",E989=""),"",IF(V989="Oui","Annulé",IF(AND(N(H989)&gt;0,N(T989)&gt;=N(H989)),"Reçu",IF(N(S989)=0,"Brouillon",IF(AND(ISNUMBER(R989),R989&lt;p_today),"En retard",IF(N(T989)&gt;0,"Partiel","Envoyé"))))))</f>
        <v/>
      </c>
      <c r="Y989" s="75" t="str">
        <f>IF(X989="En retard",p_today-R989,IF(AND(X989="Reçu",ISNUMBER(R989)),MAX(0,N(U989)-R989),""))</f>
        <v/>
      </c>
      <c r="Z989" s="67" t="str">
        <f>IF(AND(A989="",E989=""),"",IF(A989="","N° de bon manquant",IF(N(B989)=0,"Date de commande manquante",IF(C989="","Fournisseur manquant",IF(ISNA(MATCH($C989,sup_code,0)),"Fournisseur inconnu",IF(E989="","Article manquant",IF(ISNA(MATCH($E989,art_ref,0)),"Article inconnu",IF(N(H989)&lt;=0,"Quantité invalide",IF(J989="","Prix manquant",IF(OR(N(K989)&lt;0,N(K989)&gt;=1),"Remise invalide",IF(M989="","TVA manquante",IF(ISNA(MATCH(M989,p_tva,0)),"Taux de TVA inconnu",IF(COUNTIFS(po_num,A989,po_sup,"&lt;&gt;"&amp;C989)&gt;0,"Fournisseur différent sur ce bon",IF(COUNTIFS(po_num,A989,po_date,"&lt;&gt;"&amp;B989)&gt;0,"Date différente sur ce bon",IF(COUNTIF(po_num,A989)&gt;25,"Plus de 25 lignes sur ce bon",IF(R989="","Date de livraison manquante",IF(R989&lt;B989,"Livraison avant la commande",IF(AND(N(T989)&gt;0,N(S989)=0),"Date d'envoi manquante",IF(N(T989)&gt;N(H989),"Reçu plus que commandé",IF(AND(N(T989)&gt;0,N(U989)=0),"Date de réception manquante",IF(AND(N(U989)&gt;0,U989&lt;B989),"Réception avant la commande","OK")))))))))))))))))))))</f>
        <v/>
      </c>
      <c r="AA989" s="66" t="str">
        <f>IF(AND(X989="Reçu",ISNUMBER(R989)),IF(N(U989)&lt;=R989,1,0),"")</f>
        <v/>
      </c>
      <c r="AB989" s="76" t="str">
        <f>IF(OR(X989="Envoyé",X989="Partiel",X989="En retard"),IF(ISNUMBER(R989),R989,100000)+ROW()/100000,"")</f>
        <v/>
      </c>
      <c r="AC989" s="66" t="str">
        <f>IF(A989="","",IF(COUNTIF($A$6:A989,A989)=1,1,""))</f>
        <v/>
      </c>
      <c r="AD989" s="66" t="str">
        <f>IF(AC989=1,COUNT($AC$6:AC989),"")</f>
        <v/>
      </c>
      <c r="AE989" s="66" t="str">
        <f>IFERROR(INDEX(po_num,MATCH(984,po_seq,0))&amp;"","")</f>
        <v/>
      </c>
      <c r="AF989" s="66" t="str">
        <f>IF(OR(A989="",p_po=""),"",IF(A989&amp;""=p_po,COUNTIF($A$6:A989,A989),""))</f>
        <v/>
      </c>
      <c r="AG989" s="66" t="str">
        <f>IF(OR(AB989="",A989=""),"",IF(COUNTIFS($A$6:A989,A989,$AB$6:AB989,"&gt;0")=1,1,""))</f>
        <v/>
      </c>
      <c r="AH989" s="70" t="str">
        <f>IF(AB989="","",ROUND(N(W989)*N(J989)*(1-N(K989)),2))</f>
        <v/>
      </c>
      <c r="AI989" s="70" t="str">
        <f>IF(OR(J989="",N(T989)&lt;=0,V989="Oui"),"",ROUND(N(T989)*J989*(1-N(K989)),2))</f>
        <v/>
      </c>
    </row>
    <row r="990">
      <c r="A990" s="63" t="n"/>
      <c r="B990" s="64" t="n"/>
      <c r="C990" s="65" t="n"/>
      <c r="D990" s="66" t="str">
        <f>IF(C990="","",IFERROR(INDEX(sup_name,MATCH($C990,sup_code,0))&amp;"","Fournisseur inconnu"))</f>
        <v/>
      </c>
      <c r="E990" s="63" t="n"/>
      <c r="F990" s="66" t="str">
        <f>IF(E990="","",IFERROR(INDEX(art_des,MATCH($E990,art_ref,0))&amp;"","Article inconnu"))</f>
        <v/>
      </c>
      <c r="G990" s="67" t="str">
        <f>IF(E990="","",IFERROR(INDEX(art_unit,MATCH($E990,art_ref,0))&amp;"",""))</f>
        <v/>
      </c>
      <c r="H990" s="68" t="n"/>
      <c r="I990" s="69" t="n"/>
      <c r="J990" s="70" t="str">
        <f>IF(E990="","",IF(ISNUMBER(I990),I990,IFERROR(IF(ISNUMBER(INDEX(art_price,MATCH($E990,art_ref,0))),INDEX(art_price,MATCH($E990,art_ref,0)),""),"")))</f>
        <v/>
      </c>
      <c r="K990" s="71" t="n"/>
      <c r="L990" s="72" t="n"/>
      <c r="M990" s="72" t="str">
        <f>IF(E990="","",IF(L990&lt;&gt;"",L990,IFERROR(IF(ISNUMBER(INDEX(art_tva,MATCH($E990,art_ref,0))),INDEX(art_tva,MATCH($E990,art_ref,0)),""),"")))</f>
        <v/>
      </c>
      <c r="N990" s="70" t="str">
        <f>IF(OR(E990="",J990=""),"",ROUND(N(H990)*J990*(1-N(K990)),2))</f>
        <v/>
      </c>
      <c r="O990" s="70" t="str">
        <f>IF(OR(N990="",NOT(ISNUMBER(M990))),"",ROUND(N990*M990,2))</f>
        <v/>
      </c>
      <c r="P990" s="70" t="str">
        <f>IF(N990="","",N990+N(O990))</f>
        <v/>
      </c>
      <c r="Q990" s="64" t="n"/>
      <c r="R990" s="73" t="str">
        <f>IF(N(Q990)&gt;0,Q990,IF(OR(N(B990)=0,ISNA(MATCH($C990,sup_code,0))),"",IF(ISNUMBER(INDEX(sup_delay,MATCH($C990,sup_code,0))),B990+INDEX(sup_delay,MATCH($C990,sup_code,0)),"")))</f>
        <v/>
      </c>
      <c r="S990" s="64" t="n"/>
      <c r="T990" s="68" t="n"/>
      <c r="U990" s="64" t="n"/>
      <c r="V990" s="65" t="n"/>
      <c r="W990" s="74" t="str">
        <f>IF(AND(A990="",E990=""),"",IF(V990="Oui",0,MAX(0,ROUND(N(H990)-N(T990),6))))</f>
        <v/>
      </c>
      <c r="X990" s="67" t="str">
        <f>IF(AND(A990="",E990=""),"",IF(V990="Oui","Annulé",IF(AND(N(H990)&gt;0,N(T990)&gt;=N(H990)),"Reçu",IF(N(S990)=0,"Brouillon",IF(AND(ISNUMBER(R990),R990&lt;p_today),"En retard",IF(N(T990)&gt;0,"Partiel","Envoyé"))))))</f>
        <v/>
      </c>
      <c r="Y990" s="75" t="str">
        <f>IF(X990="En retard",p_today-R990,IF(AND(X990="Reçu",ISNUMBER(R990)),MAX(0,N(U990)-R990),""))</f>
        <v/>
      </c>
      <c r="Z990" s="67" t="str">
        <f>IF(AND(A990="",E990=""),"",IF(A990="","N° de bon manquant",IF(N(B990)=0,"Date de commande manquante",IF(C990="","Fournisseur manquant",IF(ISNA(MATCH($C990,sup_code,0)),"Fournisseur inconnu",IF(E990="","Article manquant",IF(ISNA(MATCH($E990,art_ref,0)),"Article inconnu",IF(N(H990)&lt;=0,"Quantité invalide",IF(J990="","Prix manquant",IF(OR(N(K990)&lt;0,N(K990)&gt;=1),"Remise invalide",IF(M990="","TVA manquante",IF(ISNA(MATCH(M990,p_tva,0)),"Taux de TVA inconnu",IF(COUNTIFS(po_num,A990,po_sup,"&lt;&gt;"&amp;C990)&gt;0,"Fournisseur différent sur ce bon",IF(COUNTIFS(po_num,A990,po_date,"&lt;&gt;"&amp;B990)&gt;0,"Date différente sur ce bon",IF(COUNTIF(po_num,A990)&gt;25,"Plus de 25 lignes sur ce bon",IF(R990="","Date de livraison manquante",IF(R990&lt;B990,"Livraison avant la commande",IF(AND(N(T990)&gt;0,N(S990)=0),"Date d'envoi manquante",IF(N(T990)&gt;N(H990),"Reçu plus que commandé",IF(AND(N(T990)&gt;0,N(U990)=0),"Date de réception manquante",IF(AND(N(U990)&gt;0,U990&lt;B990),"Réception avant la commande","OK")))))))))))))))))))))</f>
        <v/>
      </c>
      <c r="AA990" s="66" t="str">
        <f>IF(AND(X990="Reçu",ISNUMBER(R990)),IF(N(U990)&lt;=R990,1,0),"")</f>
        <v/>
      </c>
      <c r="AB990" s="76" t="str">
        <f>IF(OR(X990="Envoyé",X990="Partiel",X990="En retard"),IF(ISNUMBER(R990),R990,100000)+ROW()/100000,"")</f>
        <v/>
      </c>
      <c r="AC990" s="66" t="str">
        <f>IF(A990="","",IF(COUNTIF($A$6:A990,A990)=1,1,""))</f>
        <v/>
      </c>
      <c r="AD990" s="66" t="str">
        <f>IF(AC990=1,COUNT($AC$6:AC990),"")</f>
        <v/>
      </c>
      <c r="AE990" s="66" t="str">
        <f>IFERROR(INDEX(po_num,MATCH(985,po_seq,0))&amp;"","")</f>
        <v/>
      </c>
      <c r="AF990" s="66" t="str">
        <f>IF(OR(A990="",p_po=""),"",IF(A990&amp;""=p_po,COUNTIF($A$6:A990,A990),""))</f>
        <v/>
      </c>
      <c r="AG990" s="66" t="str">
        <f>IF(OR(AB990="",A990=""),"",IF(COUNTIFS($A$6:A990,A990,$AB$6:AB990,"&gt;0")=1,1,""))</f>
        <v/>
      </c>
      <c r="AH990" s="70" t="str">
        <f>IF(AB990="","",ROUND(N(W990)*N(J990)*(1-N(K990)),2))</f>
        <v/>
      </c>
      <c r="AI990" s="70" t="str">
        <f>IF(OR(J990="",N(T990)&lt;=0,V990="Oui"),"",ROUND(N(T990)*J990*(1-N(K990)),2))</f>
        <v/>
      </c>
    </row>
    <row r="991">
      <c r="A991" s="63" t="n"/>
      <c r="B991" s="64" t="n"/>
      <c r="C991" s="65" t="n"/>
      <c r="D991" s="66" t="str">
        <f>IF(C991="","",IFERROR(INDEX(sup_name,MATCH($C991,sup_code,0))&amp;"","Fournisseur inconnu"))</f>
        <v/>
      </c>
      <c r="E991" s="63" t="n"/>
      <c r="F991" s="66" t="str">
        <f>IF(E991="","",IFERROR(INDEX(art_des,MATCH($E991,art_ref,0))&amp;"","Article inconnu"))</f>
        <v/>
      </c>
      <c r="G991" s="67" t="str">
        <f>IF(E991="","",IFERROR(INDEX(art_unit,MATCH($E991,art_ref,0))&amp;"",""))</f>
        <v/>
      </c>
      <c r="H991" s="68" t="n"/>
      <c r="I991" s="69" t="n"/>
      <c r="J991" s="70" t="str">
        <f>IF(E991="","",IF(ISNUMBER(I991),I991,IFERROR(IF(ISNUMBER(INDEX(art_price,MATCH($E991,art_ref,0))),INDEX(art_price,MATCH($E991,art_ref,0)),""),"")))</f>
        <v/>
      </c>
      <c r="K991" s="71" t="n"/>
      <c r="L991" s="72" t="n"/>
      <c r="M991" s="72" t="str">
        <f>IF(E991="","",IF(L991&lt;&gt;"",L991,IFERROR(IF(ISNUMBER(INDEX(art_tva,MATCH($E991,art_ref,0))),INDEX(art_tva,MATCH($E991,art_ref,0)),""),"")))</f>
        <v/>
      </c>
      <c r="N991" s="70" t="str">
        <f>IF(OR(E991="",J991=""),"",ROUND(N(H991)*J991*(1-N(K991)),2))</f>
        <v/>
      </c>
      <c r="O991" s="70" t="str">
        <f>IF(OR(N991="",NOT(ISNUMBER(M991))),"",ROUND(N991*M991,2))</f>
        <v/>
      </c>
      <c r="P991" s="70" t="str">
        <f>IF(N991="","",N991+N(O991))</f>
        <v/>
      </c>
      <c r="Q991" s="64" t="n"/>
      <c r="R991" s="73" t="str">
        <f>IF(N(Q991)&gt;0,Q991,IF(OR(N(B991)=0,ISNA(MATCH($C991,sup_code,0))),"",IF(ISNUMBER(INDEX(sup_delay,MATCH($C991,sup_code,0))),B991+INDEX(sup_delay,MATCH($C991,sup_code,0)),"")))</f>
        <v/>
      </c>
      <c r="S991" s="64" t="n"/>
      <c r="T991" s="68" t="n"/>
      <c r="U991" s="64" t="n"/>
      <c r="V991" s="65" t="n"/>
      <c r="W991" s="74" t="str">
        <f>IF(AND(A991="",E991=""),"",IF(V991="Oui",0,MAX(0,ROUND(N(H991)-N(T991),6))))</f>
        <v/>
      </c>
      <c r="X991" s="67" t="str">
        <f>IF(AND(A991="",E991=""),"",IF(V991="Oui","Annulé",IF(AND(N(H991)&gt;0,N(T991)&gt;=N(H991)),"Reçu",IF(N(S991)=0,"Brouillon",IF(AND(ISNUMBER(R991),R991&lt;p_today),"En retard",IF(N(T991)&gt;0,"Partiel","Envoyé"))))))</f>
        <v/>
      </c>
      <c r="Y991" s="75" t="str">
        <f>IF(X991="En retard",p_today-R991,IF(AND(X991="Reçu",ISNUMBER(R991)),MAX(0,N(U991)-R991),""))</f>
        <v/>
      </c>
      <c r="Z991" s="67" t="str">
        <f>IF(AND(A991="",E991=""),"",IF(A991="","N° de bon manquant",IF(N(B991)=0,"Date de commande manquante",IF(C991="","Fournisseur manquant",IF(ISNA(MATCH($C991,sup_code,0)),"Fournisseur inconnu",IF(E991="","Article manquant",IF(ISNA(MATCH($E991,art_ref,0)),"Article inconnu",IF(N(H991)&lt;=0,"Quantité invalide",IF(J991="","Prix manquant",IF(OR(N(K991)&lt;0,N(K991)&gt;=1),"Remise invalide",IF(M991="","TVA manquante",IF(ISNA(MATCH(M991,p_tva,0)),"Taux de TVA inconnu",IF(COUNTIFS(po_num,A991,po_sup,"&lt;&gt;"&amp;C991)&gt;0,"Fournisseur différent sur ce bon",IF(COUNTIFS(po_num,A991,po_date,"&lt;&gt;"&amp;B991)&gt;0,"Date différente sur ce bon",IF(COUNTIF(po_num,A991)&gt;25,"Plus de 25 lignes sur ce bon",IF(R991="","Date de livraison manquante",IF(R991&lt;B991,"Livraison avant la commande",IF(AND(N(T991)&gt;0,N(S991)=0),"Date d'envoi manquante",IF(N(T991)&gt;N(H991),"Reçu plus que commandé",IF(AND(N(T991)&gt;0,N(U991)=0),"Date de réception manquante",IF(AND(N(U991)&gt;0,U991&lt;B991),"Réception avant la commande","OK")))))))))))))))))))))</f>
        <v/>
      </c>
      <c r="AA991" s="66" t="str">
        <f>IF(AND(X991="Reçu",ISNUMBER(R991)),IF(N(U991)&lt;=R991,1,0),"")</f>
        <v/>
      </c>
      <c r="AB991" s="76" t="str">
        <f>IF(OR(X991="Envoyé",X991="Partiel",X991="En retard"),IF(ISNUMBER(R991),R991,100000)+ROW()/100000,"")</f>
        <v/>
      </c>
      <c r="AC991" s="66" t="str">
        <f>IF(A991="","",IF(COUNTIF($A$6:A991,A991)=1,1,""))</f>
        <v/>
      </c>
      <c r="AD991" s="66" t="str">
        <f>IF(AC991=1,COUNT($AC$6:AC991),"")</f>
        <v/>
      </c>
      <c r="AE991" s="66" t="str">
        <f>IFERROR(INDEX(po_num,MATCH(986,po_seq,0))&amp;"","")</f>
        <v/>
      </c>
      <c r="AF991" s="66" t="str">
        <f>IF(OR(A991="",p_po=""),"",IF(A991&amp;""=p_po,COUNTIF($A$6:A991,A991),""))</f>
        <v/>
      </c>
      <c r="AG991" s="66" t="str">
        <f>IF(OR(AB991="",A991=""),"",IF(COUNTIFS($A$6:A991,A991,$AB$6:AB991,"&gt;0")=1,1,""))</f>
        <v/>
      </c>
      <c r="AH991" s="70" t="str">
        <f>IF(AB991="","",ROUND(N(W991)*N(J991)*(1-N(K991)),2))</f>
        <v/>
      </c>
      <c r="AI991" s="70" t="str">
        <f>IF(OR(J991="",N(T991)&lt;=0,V991="Oui"),"",ROUND(N(T991)*J991*(1-N(K991)),2))</f>
        <v/>
      </c>
    </row>
    <row r="992">
      <c r="A992" s="63" t="n"/>
      <c r="B992" s="64" t="n"/>
      <c r="C992" s="65" t="n"/>
      <c r="D992" s="66" t="str">
        <f>IF(C992="","",IFERROR(INDEX(sup_name,MATCH($C992,sup_code,0))&amp;"","Fournisseur inconnu"))</f>
        <v/>
      </c>
      <c r="E992" s="63" t="n"/>
      <c r="F992" s="66" t="str">
        <f>IF(E992="","",IFERROR(INDEX(art_des,MATCH($E992,art_ref,0))&amp;"","Article inconnu"))</f>
        <v/>
      </c>
      <c r="G992" s="67" t="str">
        <f>IF(E992="","",IFERROR(INDEX(art_unit,MATCH($E992,art_ref,0))&amp;"",""))</f>
        <v/>
      </c>
      <c r="H992" s="68" t="n"/>
      <c r="I992" s="69" t="n"/>
      <c r="J992" s="70" t="str">
        <f>IF(E992="","",IF(ISNUMBER(I992),I992,IFERROR(IF(ISNUMBER(INDEX(art_price,MATCH($E992,art_ref,0))),INDEX(art_price,MATCH($E992,art_ref,0)),""),"")))</f>
        <v/>
      </c>
      <c r="K992" s="71" t="n"/>
      <c r="L992" s="72" t="n"/>
      <c r="M992" s="72" t="str">
        <f>IF(E992="","",IF(L992&lt;&gt;"",L992,IFERROR(IF(ISNUMBER(INDEX(art_tva,MATCH($E992,art_ref,0))),INDEX(art_tva,MATCH($E992,art_ref,0)),""),"")))</f>
        <v/>
      </c>
      <c r="N992" s="70" t="str">
        <f>IF(OR(E992="",J992=""),"",ROUND(N(H992)*J992*(1-N(K992)),2))</f>
        <v/>
      </c>
      <c r="O992" s="70" t="str">
        <f>IF(OR(N992="",NOT(ISNUMBER(M992))),"",ROUND(N992*M992,2))</f>
        <v/>
      </c>
      <c r="P992" s="70" t="str">
        <f>IF(N992="","",N992+N(O992))</f>
        <v/>
      </c>
      <c r="Q992" s="64" t="n"/>
      <c r="R992" s="73" t="str">
        <f>IF(N(Q992)&gt;0,Q992,IF(OR(N(B992)=0,ISNA(MATCH($C992,sup_code,0))),"",IF(ISNUMBER(INDEX(sup_delay,MATCH($C992,sup_code,0))),B992+INDEX(sup_delay,MATCH($C992,sup_code,0)),"")))</f>
        <v/>
      </c>
      <c r="S992" s="64" t="n"/>
      <c r="T992" s="68" t="n"/>
      <c r="U992" s="64" t="n"/>
      <c r="V992" s="65" t="n"/>
      <c r="W992" s="74" t="str">
        <f>IF(AND(A992="",E992=""),"",IF(V992="Oui",0,MAX(0,ROUND(N(H992)-N(T992),6))))</f>
        <v/>
      </c>
      <c r="X992" s="67" t="str">
        <f>IF(AND(A992="",E992=""),"",IF(V992="Oui","Annulé",IF(AND(N(H992)&gt;0,N(T992)&gt;=N(H992)),"Reçu",IF(N(S992)=0,"Brouillon",IF(AND(ISNUMBER(R992),R992&lt;p_today),"En retard",IF(N(T992)&gt;0,"Partiel","Envoyé"))))))</f>
        <v/>
      </c>
      <c r="Y992" s="75" t="str">
        <f>IF(X992="En retard",p_today-R992,IF(AND(X992="Reçu",ISNUMBER(R992)),MAX(0,N(U992)-R992),""))</f>
        <v/>
      </c>
      <c r="Z992" s="67" t="str">
        <f>IF(AND(A992="",E992=""),"",IF(A992="","N° de bon manquant",IF(N(B992)=0,"Date de commande manquante",IF(C992="","Fournisseur manquant",IF(ISNA(MATCH($C992,sup_code,0)),"Fournisseur inconnu",IF(E992="","Article manquant",IF(ISNA(MATCH($E992,art_ref,0)),"Article inconnu",IF(N(H992)&lt;=0,"Quantité invalide",IF(J992="","Prix manquant",IF(OR(N(K992)&lt;0,N(K992)&gt;=1),"Remise invalide",IF(M992="","TVA manquante",IF(ISNA(MATCH(M992,p_tva,0)),"Taux de TVA inconnu",IF(COUNTIFS(po_num,A992,po_sup,"&lt;&gt;"&amp;C992)&gt;0,"Fournisseur différent sur ce bon",IF(COUNTIFS(po_num,A992,po_date,"&lt;&gt;"&amp;B992)&gt;0,"Date différente sur ce bon",IF(COUNTIF(po_num,A992)&gt;25,"Plus de 25 lignes sur ce bon",IF(R992="","Date de livraison manquante",IF(R992&lt;B992,"Livraison avant la commande",IF(AND(N(T992)&gt;0,N(S992)=0),"Date d'envoi manquante",IF(N(T992)&gt;N(H992),"Reçu plus que commandé",IF(AND(N(T992)&gt;0,N(U992)=0),"Date de réception manquante",IF(AND(N(U992)&gt;0,U992&lt;B992),"Réception avant la commande","OK")))))))))))))))))))))</f>
        <v/>
      </c>
      <c r="AA992" s="66" t="str">
        <f>IF(AND(X992="Reçu",ISNUMBER(R992)),IF(N(U992)&lt;=R992,1,0),"")</f>
        <v/>
      </c>
      <c r="AB992" s="76" t="str">
        <f>IF(OR(X992="Envoyé",X992="Partiel",X992="En retard"),IF(ISNUMBER(R992),R992,100000)+ROW()/100000,"")</f>
        <v/>
      </c>
      <c r="AC992" s="66" t="str">
        <f>IF(A992="","",IF(COUNTIF($A$6:A992,A992)=1,1,""))</f>
        <v/>
      </c>
      <c r="AD992" s="66" t="str">
        <f>IF(AC992=1,COUNT($AC$6:AC992),"")</f>
        <v/>
      </c>
      <c r="AE992" s="66" t="str">
        <f>IFERROR(INDEX(po_num,MATCH(987,po_seq,0))&amp;"","")</f>
        <v/>
      </c>
      <c r="AF992" s="66" t="str">
        <f>IF(OR(A992="",p_po=""),"",IF(A992&amp;""=p_po,COUNTIF($A$6:A992,A992),""))</f>
        <v/>
      </c>
      <c r="AG992" s="66" t="str">
        <f>IF(OR(AB992="",A992=""),"",IF(COUNTIFS($A$6:A992,A992,$AB$6:AB992,"&gt;0")=1,1,""))</f>
        <v/>
      </c>
      <c r="AH992" s="70" t="str">
        <f>IF(AB992="","",ROUND(N(W992)*N(J992)*(1-N(K992)),2))</f>
        <v/>
      </c>
      <c r="AI992" s="70" t="str">
        <f>IF(OR(J992="",N(T992)&lt;=0,V992="Oui"),"",ROUND(N(T992)*J992*(1-N(K992)),2))</f>
        <v/>
      </c>
    </row>
    <row r="993">
      <c r="A993" s="63" t="n"/>
      <c r="B993" s="64" t="n"/>
      <c r="C993" s="65" t="n"/>
      <c r="D993" s="66" t="str">
        <f>IF(C993="","",IFERROR(INDEX(sup_name,MATCH($C993,sup_code,0))&amp;"","Fournisseur inconnu"))</f>
        <v/>
      </c>
      <c r="E993" s="63" t="n"/>
      <c r="F993" s="66" t="str">
        <f>IF(E993="","",IFERROR(INDEX(art_des,MATCH($E993,art_ref,0))&amp;"","Article inconnu"))</f>
        <v/>
      </c>
      <c r="G993" s="67" t="str">
        <f>IF(E993="","",IFERROR(INDEX(art_unit,MATCH($E993,art_ref,0))&amp;"",""))</f>
        <v/>
      </c>
      <c r="H993" s="68" t="n"/>
      <c r="I993" s="69" t="n"/>
      <c r="J993" s="70" t="str">
        <f>IF(E993="","",IF(ISNUMBER(I993),I993,IFERROR(IF(ISNUMBER(INDEX(art_price,MATCH($E993,art_ref,0))),INDEX(art_price,MATCH($E993,art_ref,0)),""),"")))</f>
        <v/>
      </c>
      <c r="K993" s="71" t="n"/>
      <c r="L993" s="72" t="n"/>
      <c r="M993" s="72" t="str">
        <f>IF(E993="","",IF(L993&lt;&gt;"",L993,IFERROR(IF(ISNUMBER(INDEX(art_tva,MATCH($E993,art_ref,0))),INDEX(art_tva,MATCH($E993,art_ref,0)),""),"")))</f>
        <v/>
      </c>
      <c r="N993" s="70" t="str">
        <f>IF(OR(E993="",J993=""),"",ROUND(N(H993)*J993*(1-N(K993)),2))</f>
        <v/>
      </c>
      <c r="O993" s="70" t="str">
        <f>IF(OR(N993="",NOT(ISNUMBER(M993))),"",ROUND(N993*M993,2))</f>
        <v/>
      </c>
      <c r="P993" s="70" t="str">
        <f>IF(N993="","",N993+N(O993))</f>
        <v/>
      </c>
      <c r="Q993" s="64" t="n"/>
      <c r="R993" s="73" t="str">
        <f>IF(N(Q993)&gt;0,Q993,IF(OR(N(B993)=0,ISNA(MATCH($C993,sup_code,0))),"",IF(ISNUMBER(INDEX(sup_delay,MATCH($C993,sup_code,0))),B993+INDEX(sup_delay,MATCH($C993,sup_code,0)),"")))</f>
        <v/>
      </c>
      <c r="S993" s="64" t="n"/>
      <c r="T993" s="68" t="n"/>
      <c r="U993" s="64" t="n"/>
      <c r="V993" s="65" t="n"/>
      <c r="W993" s="74" t="str">
        <f>IF(AND(A993="",E993=""),"",IF(V993="Oui",0,MAX(0,ROUND(N(H993)-N(T993),6))))</f>
        <v/>
      </c>
      <c r="X993" s="67" t="str">
        <f>IF(AND(A993="",E993=""),"",IF(V993="Oui","Annulé",IF(AND(N(H993)&gt;0,N(T993)&gt;=N(H993)),"Reçu",IF(N(S993)=0,"Brouillon",IF(AND(ISNUMBER(R993),R993&lt;p_today),"En retard",IF(N(T993)&gt;0,"Partiel","Envoyé"))))))</f>
        <v/>
      </c>
      <c r="Y993" s="75" t="str">
        <f>IF(X993="En retard",p_today-R993,IF(AND(X993="Reçu",ISNUMBER(R993)),MAX(0,N(U993)-R993),""))</f>
        <v/>
      </c>
      <c r="Z993" s="67" t="str">
        <f>IF(AND(A993="",E993=""),"",IF(A993="","N° de bon manquant",IF(N(B993)=0,"Date de commande manquante",IF(C993="","Fournisseur manquant",IF(ISNA(MATCH($C993,sup_code,0)),"Fournisseur inconnu",IF(E993="","Article manquant",IF(ISNA(MATCH($E993,art_ref,0)),"Article inconnu",IF(N(H993)&lt;=0,"Quantité invalide",IF(J993="","Prix manquant",IF(OR(N(K993)&lt;0,N(K993)&gt;=1),"Remise invalide",IF(M993="","TVA manquante",IF(ISNA(MATCH(M993,p_tva,0)),"Taux de TVA inconnu",IF(COUNTIFS(po_num,A993,po_sup,"&lt;&gt;"&amp;C993)&gt;0,"Fournisseur différent sur ce bon",IF(COUNTIFS(po_num,A993,po_date,"&lt;&gt;"&amp;B993)&gt;0,"Date différente sur ce bon",IF(COUNTIF(po_num,A993)&gt;25,"Plus de 25 lignes sur ce bon",IF(R993="","Date de livraison manquante",IF(R993&lt;B993,"Livraison avant la commande",IF(AND(N(T993)&gt;0,N(S993)=0),"Date d'envoi manquante",IF(N(T993)&gt;N(H993),"Reçu plus que commandé",IF(AND(N(T993)&gt;0,N(U993)=0),"Date de réception manquante",IF(AND(N(U993)&gt;0,U993&lt;B993),"Réception avant la commande","OK")))))))))))))))))))))</f>
        <v/>
      </c>
      <c r="AA993" s="66" t="str">
        <f>IF(AND(X993="Reçu",ISNUMBER(R993)),IF(N(U993)&lt;=R993,1,0),"")</f>
        <v/>
      </c>
      <c r="AB993" s="76" t="str">
        <f>IF(OR(X993="Envoyé",X993="Partiel",X993="En retard"),IF(ISNUMBER(R993),R993,100000)+ROW()/100000,"")</f>
        <v/>
      </c>
      <c r="AC993" s="66" t="str">
        <f>IF(A993="","",IF(COUNTIF($A$6:A993,A993)=1,1,""))</f>
        <v/>
      </c>
      <c r="AD993" s="66" t="str">
        <f>IF(AC993=1,COUNT($AC$6:AC993),"")</f>
        <v/>
      </c>
      <c r="AE993" s="66" t="str">
        <f>IFERROR(INDEX(po_num,MATCH(988,po_seq,0))&amp;"","")</f>
        <v/>
      </c>
      <c r="AF993" s="66" t="str">
        <f>IF(OR(A993="",p_po=""),"",IF(A993&amp;""=p_po,COUNTIF($A$6:A993,A993),""))</f>
        <v/>
      </c>
      <c r="AG993" s="66" t="str">
        <f>IF(OR(AB993="",A993=""),"",IF(COUNTIFS($A$6:A993,A993,$AB$6:AB993,"&gt;0")=1,1,""))</f>
        <v/>
      </c>
      <c r="AH993" s="70" t="str">
        <f>IF(AB993="","",ROUND(N(W993)*N(J993)*(1-N(K993)),2))</f>
        <v/>
      </c>
      <c r="AI993" s="70" t="str">
        <f>IF(OR(J993="",N(T993)&lt;=0,V993="Oui"),"",ROUND(N(T993)*J993*(1-N(K993)),2))</f>
        <v/>
      </c>
    </row>
    <row r="994">
      <c r="A994" s="63" t="n"/>
      <c r="B994" s="64" t="n"/>
      <c r="C994" s="65" t="n"/>
      <c r="D994" s="66" t="str">
        <f>IF(C994="","",IFERROR(INDEX(sup_name,MATCH($C994,sup_code,0))&amp;"","Fournisseur inconnu"))</f>
        <v/>
      </c>
      <c r="E994" s="63" t="n"/>
      <c r="F994" s="66" t="str">
        <f>IF(E994="","",IFERROR(INDEX(art_des,MATCH($E994,art_ref,0))&amp;"","Article inconnu"))</f>
        <v/>
      </c>
      <c r="G994" s="67" t="str">
        <f>IF(E994="","",IFERROR(INDEX(art_unit,MATCH($E994,art_ref,0))&amp;"",""))</f>
        <v/>
      </c>
      <c r="H994" s="68" t="n"/>
      <c r="I994" s="69" t="n"/>
      <c r="J994" s="70" t="str">
        <f>IF(E994="","",IF(ISNUMBER(I994),I994,IFERROR(IF(ISNUMBER(INDEX(art_price,MATCH($E994,art_ref,0))),INDEX(art_price,MATCH($E994,art_ref,0)),""),"")))</f>
        <v/>
      </c>
      <c r="K994" s="71" t="n"/>
      <c r="L994" s="72" t="n"/>
      <c r="M994" s="72" t="str">
        <f>IF(E994="","",IF(L994&lt;&gt;"",L994,IFERROR(IF(ISNUMBER(INDEX(art_tva,MATCH($E994,art_ref,0))),INDEX(art_tva,MATCH($E994,art_ref,0)),""),"")))</f>
        <v/>
      </c>
      <c r="N994" s="70" t="str">
        <f>IF(OR(E994="",J994=""),"",ROUND(N(H994)*J994*(1-N(K994)),2))</f>
        <v/>
      </c>
      <c r="O994" s="70" t="str">
        <f>IF(OR(N994="",NOT(ISNUMBER(M994))),"",ROUND(N994*M994,2))</f>
        <v/>
      </c>
      <c r="P994" s="70" t="str">
        <f>IF(N994="","",N994+N(O994))</f>
        <v/>
      </c>
      <c r="Q994" s="64" t="n"/>
      <c r="R994" s="73" t="str">
        <f>IF(N(Q994)&gt;0,Q994,IF(OR(N(B994)=0,ISNA(MATCH($C994,sup_code,0))),"",IF(ISNUMBER(INDEX(sup_delay,MATCH($C994,sup_code,0))),B994+INDEX(sup_delay,MATCH($C994,sup_code,0)),"")))</f>
        <v/>
      </c>
      <c r="S994" s="64" t="n"/>
      <c r="T994" s="68" t="n"/>
      <c r="U994" s="64" t="n"/>
      <c r="V994" s="65" t="n"/>
      <c r="W994" s="74" t="str">
        <f>IF(AND(A994="",E994=""),"",IF(V994="Oui",0,MAX(0,ROUND(N(H994)-N(T994),6))))</f>
        <v/>
      </c>
      <c r="X994" s="67" t="str">
        <f>IF(AND(A994="",E994=""),"",IF(V994="Oui","Annulé",IF(AND(N(H994)&gt;0,N(T994)&gt;=N(H994)),"Reçu",IF(N(S994)=0,"Brouillon",IF(AND(ISNUMBER(R994),R994&lt;p_today),"En retard",IF(N(T994)&gt;0,"Partiel","Envoyé"))))))</f>
        <v/>
      </c>
      <c r="Y994" s="75" t="str">
        <f>IF(X994="En retard",p_today-R994,IF(AND(X994="Reçu",ISNUMBER(R994)),MAX(0,N(U994)-R994),""))</f>
        <v/>
      </c>
      <c r="Z994" s="67" t="str">
        <f>IF(AND(A994="",E994=""),"",IF(A994="","N° de bon manquant",IF(N(B994)=0,"Date de commande manquante",IF(C994="","Fournisseur manquant",IF(ISNA(MATCH($C994,sup_code,0)),"Fournisseur inconnu",IF(E994="","Article manquant",IF(ISNA(MATCH($E994,art_ref,0)),"Article inconnu",IF(N(H994)&lt;=0,"Quantité invalide",IF(J994="","Prix manquant",IF(OR(N(K994)&lt;0,N(K994)&gt;=1),"Remise invalide",IF(M994="","TVA manquante",IF(ISNA(MATCH(M994,p_tva,0)),"Taux de TVA inconnu",IF(COUNTIFS(po_num,A994,po_sup,"&lt;&gt;"&amp;C994)&gt;0,"Fournisseur différent sur ce bon",IF(COUNTIFS(po_num,A994,po_date,"&lt;&gt;"&amp;B994)&gt;0,"Date différente sur ce bon",IF(COUNTIF(po_num,A994)&gt;25,"Plus de 25 lignes sur ce bon",IF(R994="","Date de livraison manquante",IF(R994&lt;B994,"Livraison avant la commande",IF(AND(N(T994)&gt;0,N(S994)=0),"Date d'envoi manquante",IF(N(T994)&gt;N(H994),"Reçu plus que commandé",IF(AND(N(T994)&gt;0,N(U994)=0),"Date de réception manquante",IF(AND(N(U994)&gt;0,U994&lt;B994),"Réception avant la commande","OK")))))))))))))))))))))</f>
        <v/>
      </c>
      <c r="AA994" s="66" t="str">
        <f>IF(AND(X994="Reçu",ISNUMBER(R994)),IF(N(U994)&lt;=R994,1,0),"")</f>
        <v/>
      </c>
      <c r="AB994" s="76" t="str">
        <f>IF(OR(X994="Envoyé",X994="Partiel",X994="En retard"),IF(ISNUMBER(R994),R994,100000)+ROW()/100000,"")</f>
        <v/>
      </c>
      <c r="AC994" s="66" t="str">
        <f>IF(A994="","",IF(COUNTIF($A$6:A994,A994)=1,1,""))</f>
        <v/>
      </c>
      <c r="AD994" s="66" t="str">
        <f>IF(AC994=1,COUNT($AC$6:AC994),"")</f>
        <v/>
      </c>
      <c r="AE994" s="66" t="str">
        <f>IFERROR(INDEX(po_num,MATCH(989,po_seq,0))&amp;"","")</f>
        <v/>
      </c>
      <c r="AF994" s="66" t="str">
        <f>IF(OR(A994="",p_po=""),"",IF(A994&amp;""=p_po,COUNTIF($A$6:A994,A994),""))</f>
        <v/>
      </c>
      <c r="AG994" s="66" t="str">
        <f>IF(OR(AB994="",A994=""),"",IF(COUNTIFS($A$6:A994,A994,$AB$6:AB994,"&gt;0")=1,1,""))</f>
        <v/>
      </c>
      <c r="AH994" s="70" t="str">
        <f>IF(AB994="","",ROUND(N(W994)*N(J994)*(1-N(K994)),2))</f>
        <v/>
      </c>
      <c r="AI994" s="70" t="str">
        <f>IF(OR(J994="",N(T994)&lt;=0,V994="Oui"),"",ROUND(N(T994)*J994*(1-N(K994)),2))</f>
        <v/>
      </c>
    </row>
    <row r="995">
      <c r="A995" s="63" t="n"/>
      <c r="B995" s="64" t="n"/>
      <c r="C995" s="65" t="n"/>
      <c r="D995" s="66" t="str">
        <f>IF(C995="","",IFERROR(INDEX(sup_name,MATCH($C995,sup_code,0))&amp;"","Fournisseur inconnu"))</f>
        <v/>
      </c>
      <c r="E995" s="63" t="n"/>
      <c r="F995" s="66" t="str">
        <f>IF(E995="","",IFERROR(INDEX(art_des,MATCH($E995,art_ref,0))&amp;"","Article inconnu"))</f>
        <v/>
      </c>
      <c r="G995" s="67" t="str">
        <f>IF(E995="","",IFERROR(INDEX(art_unit,MATCH($E995,art_ref,0))&amp;"",""))</f>
        <v/>
      </c>
      <c r="H995" s="68" t="n"/>
      <c r="I995" s="69" t="n"/>
      <c r="J995" s="70" t="str">
        <f>IF(E995="","",IF(ISNUMBER(I995),I995,IFERROR(IF(ISNUMBER(INDEX(art_price,MATCH($E995,art_ref,0))),INDEX(art_price,MATCH($E995,art_ref,0)),""),"")))</f>
        <v/>
      </c>
      <c r="K995" s="71" t="n"/>
      <c r="L995" s="72" t="n"/>
      <c r="M995" s="72" t="str">
        <f>IF(E995="","",IF(L995&lt;&gt;"",L995,IFERROR(IF(ISNUMBER(INDEX(art_tva,MATCH($E995,art_ref,0))),INDEX(art_tva,MATCH($E995,art_ref,0)),""),"")))</f>
        <v/>
      </c>
      <c r="N995" s="70" t="str">
        <f>IF(OR(E995="",J995=""),"",ROUND(N(H995)*J995*(1-N(K995)),2))</f>
        <v/>
      </c>
      <c r="O995" s="70" t="str">
        <f>IF(OR(N995="",NOT(ISNUMBER(M995))),"",ROUND(N995*M995,2))</f>
        <v/>
      </c>
      <c r="P995" s="70" t="str">
        <f>IF(N995="","",N995+N(O995))</f>
        <v/>
      </c>
      <c r="Q995" s="64" t="n"/>
      <c r="R995" s="73" t="str">
        <f>IF(N(Q995)&gt;0,Q995,IF(OR(N(B995)=0,ISNA(MATCH($C995,sup_code,0))),"",IF(ISNUMBER(INDEX(sup_delay,MATCH($C995,sup_code,0))),B995+INDEX(sup_delay,MATCH($C995,sup_code,0)),"")))</f>
        <v/>
      </c>
      <c r="S995" s="64" t="n"/>
      <c r="T995" s="68" t="n"/>
      <c r="U995" s="64" t="n"/>
      <c r="V995" s="65" t="n"/>
      <c r="W995" s="74" t="str">
        <f>IF(AND(A995="",E995=""),"",IF(V995="Oui",0,MAX(0,ROUND(N(H995)-N(T995),6))))</f>
        <v/>
      </c>
      <c r="X995" s="67" t="str">
        <f>IF(AND(A995="",E995=""),"",IF(V995="Oui","Annulé",IF(AND(N(H995)&gt;0,N(T995)&gt;=N(H995)),"Reçu",IF(N(S995)=0,"Brouillon",IF(AND(ISNUMBER(R995),R995&lt;p_today),"En retard",IF(N(T995)&gt;0,"Partiel","Envoyé"))))))</f>
        <v/>
      </c>
      <c r="Y995" s="75" t="str">
        <f>IF(X995="En retard",p_today-R995,IF(AND(X995="Reçu",ISNUMBER(R995)),MAX(0,N(U995)-R995),""))</f>
        <v/>
      </c>
      <c r="Z995" s="67" t="str">
        <f>IF(AND(A995="",E995=""),"",IF(A995="","N° de bon manquant",IF(N(B995)=0,"Date de commande manquante",IF(C995="","Fournisseur manquant",IF(ISNA(MATCH($C995,sup_code,0)),"Fournisseur inconnu",IF(E995="","Article manquant",IF(ISNA(MATCH($E995,art_ref,0)),"Article inconnu",IF(N(H995)&lt;=0,"Quantité invalide",IF(J995="","Prix manquant",IF(OR(N(K995)&lt;0,N(K995)&gt;=1),"Remise invalide",IF(M995="","TVA manquante",IF(ISNA(MATCH(M995,p_tva,0)),"Taux de TVA inconnu",IF(COUNTIFS(po_num,A995,po_sup,"&lt;&gt;"&amp;C995)&gt;0,"Fournisseur différent sur ce bon",IF(COUNTIFS(po_num,A995,po_date,"&lt;&gt;"&amp;B995)&gt;0,"Date différente sur ce bon",IF(COUNTIF(po_num,A995)&gt;25,"Plus de 25 lignes sur ce bon",IF(R995="","Date de livraison manquante",IF(R995&lt;B995,"Livraison avant la commande",IF(AND(N(T995)&gt;0,N(S995)=0),"Date d'envoi manquante",IF(N(T995)&gt;N(H995),"Reçu plus que commandé",IF(AND(N(T995)&gt;0,N(U995)=0),"Date de réception manquante",IF(AND(N(U995)&gt;0,U995&lt;B995),"Réception avant la commande","OK")))))))))))))))))))))</f>
        <v/>
      </c>
      <c r="AA995" s="66" t="str">
        <f>IF(AND(X995="Reçu",ISNUMBER(R995)),IF(N(U995)&lt;=R995,1,0),"")</f>
        <v/>
      </c>
      <c r="AB995" s="76" t="str">
        <f>IF(OR(X995="Envoyé",X995="Partiel",X995="En retard"),IF(ISNUMBER(R995),R995,100000)+ROW()/100000,"")</f>
        <v/>
      </c>
      <c r="AC995" s="66" t="str">
        <f>IF(A995="","",IF(COUNTIF($A$6:A995,A995)=1,1,""))</f>
        <v/>
      </c>
      <c r="AD995" s="66" t="str">
        <f>IF(AC995=1,COUNT($AC$6:AC995),"")</f>
        <v/>
      </c>
      <c r="AE995" s="66" t="str">
        <f>IFERROR(INDEX(po_num,MATCH(990,po_seq,0))&amp;"","")</f>
        <v/>
      </c>
      <c r="AF995" s="66" t="str">
        <f>IF(OR(A995="",p_po=""),"",IF(A995&amp;""=p_po,COUNTIF($A$6:A995,A995),""))</f>
        <v/>
      </c>
      <c r="AG995" s="66" t="str">
        <f>IF(OR(AB995="",A995=""),"",IF(COUNTIFS($A$6:A995,A995,$AB$6:AB995,"&gt;0")=1,1,""))</f>
        <v/>
      </c>
      <c r="AH995" s="70" t="str">
        <f>IF(AB995="","",ROUND(N(W995)*N(J995)*(1-N(K995)),2))</f>
        <v/>
      </c>
      <c r="AI995" s="70" t="str">
        <f>IF(OR(J995="",N(T995)&lt;=0,V995="Oui"),"",ROUND(N(T995)*J995*(1-N(K995)),2))</f>
        <v/>
      </c>
    </row>
    <row r="996">
      <c r="A996" s="63" t="n"/>
      <c r="B996" s="64" t="n"/>
      <c r="C996" s="65" t="n"/>
      <c r="D996" s="66" t="str">
        <f>IF(C996="","",IFERROR(INDEX(sup_name,MATCH($C996,sup_code,0))&amp;"","Fournisseur inconnu"))</f>
        <v/>
      </c>
      <c r="E996" s="63" t="n"/>
      <c r="F996" s="66" t="str">
        <f>IF(E996="","",IFERROR(INDEX(art_des,MATCH($E996,art_ref,0))&amp;"","Article inconnu"))</f>
        <v/>
      </c>
      <c r="G996" s="67" t="str">
        <f>IF(E996="","",IFERROR(INDEX(art_unit,MATCH($E996,art_ref,0))&amp;"",""))</f>
        <v/>
      </c>
      <c r="H996" s="68" t="n"/>
      <c r="I996" s="69" t="n"/>
      <c r="J996" s="70" t="str">
        <f>IF(E996="","",IF(ISNUMBER(I996),I996,IFERROR(IF(ISNUMBER(INDEX(art_price,MATCH($E996,art_ref,0))),INDEX(art_price,MATCH($E996,art_ref,0)),""),"")))</f>
        <v/>
      </c>
      <c r="K996" s="71" t="n"/>
      <c r="L996" s="72" t="n"/>
      <c r="M996" s="72" t="str">
        <f>IF(E996="","",IF(L996&lt;&gt;"",L996,IFERROR(IF(ISNUMBER(INDEX(art_tva,MATCH($E996,art_ref,0))),INDEX(art_tva,MATCH($E996,art_ref,0)),""),"")))</f>
        <v/>
      </c>
      <c r="N996" s="70" t="str">
        <f>IF(OR(E996="",J996=""),"",ROUND(N(H996)*J996*(1-N(K996)),2))</f>
        <v/>
      </c>
      <c r="O996" s="70" t="str">
        <f>IF(OR(N996="",NOT(ISNUMBER(M996))),"",ROUND(N996*M996,2))</f>
        <v/>
      </c>
      <c r="P996" s="70" t="str">
        <f>IF(N996="","",N996+N(O996))</f>
        <v/>
      </c>
      <c r="Q996" s="64" t="n"/>
      <c r="R996" s="73" t="str">
        <f>IF(N(Q996)&gt;0,Q996,IF(OR(N(B996)=0,ISNA(MATCH($C996,sup_code,0))),"",IF(ISNUMBER(INDEX(sup_delay,MATCH($C996,sup_code,0))),B996+INDEX(sup_delay,MATCH($C996,sup_code,0)),"")))</f>
        <v/>
      </c>
      <c r="S996" s="64" t="n"/>
      <c r="T996" s="68" t="n"/>
      <c r="U996" s="64" t="n"/>
      <c r="V996" s="65" t="n"/>
      <c r="W996" s="74" t="str">
        <f>IF(AND(A996="",E996=""),"",IF(V996="Oui",0,MAX(0,ROUND(N(H996)-N(T996),6))))</f>
        <v/>
      </c>
      <c r="X996" s="67" t="str">
        <f>IF(AND(A996="",E996=""),"",IF(V996="Oui","Annulé",IF(AND(N(H996)&gt;0,N(T996)&gt;=N(H996)),"Reçu",IF(N(S996)=0,"Brouillon",IF(AND(ISNUMBER(R996),R996&lt;p_today),"En retard",IF(N(T996)&gt;0,"Partiel","Envoyé"))))))</f>
        <v/>
      </c>
      <c r="Y996" s="75" t="str">
        <f>IF(X996="En retard",p_today-R996,IF(AND(X996="Reçu",ISNUMBER(R996)),MAX(0,N(U996)-R996),""))</f>
        <v/>
      </c>
      <c r="Z996" s="67" t="str">
        <f>IF(AND(A996="",E996=""),"",IF(A996="","N° de bon manquant",IF(N(B996)=0,"Date de commande manquante",IF(C996="","Fournisseur manquant",IF(ISNA(MATCH($C996,sup_code,0)),"Fournisseur inconnu",IF(E996="","Article manquant",IF(ISNA(MATCH($E996,art_ref,0)),"Article inconnu",IF(N(H996)&lt;=0,"Quantité invalide",IF(J996="","Prix manquant",IF(OR(N(K996)&lt;0,N(K996)&gt;=1),"Remise invalide",IF(M996="","TVA manquante",IF(ISNA(MATCH(M996,p_tva,0)),"Taux de TVA inconnu",IF(COUNTIFS(po_num,A996,po_sup,"&lt;&gt;"&amp;C996)&gt;0,"Fournisseur différent sur ce bon",IF(COUNTIFS(po_num,A996,po_date,"&lt;&gt;"&amp;B996)&gt;0,"Date différente sur ce bon",IF(COUNTIF(po_num,A996)&gt;25,"Plus de 25 lignes sur ce bon",IF(R996="","Date de livraison manquante",IF(R996&lt;B996,"Livraison avant la commande",IF(AND(N(T996)&gt;0,N(S996)=0),"Date d'envoi manquante",IF(N(T996)&gt;N(H996),"Reçu plus que commandé",IF(AND(N(T996)&gt;0,N(U996)=0),"Date de réception manquante",IF(AND(N(U996)&gt;0,U996&lt;B996),"Réception avant la commande","OK")))))))))))))))))))))</f>
        <v/>
      </c>
      <c r="AA996" s="66" t="str">
        <f>IF(AND(X996="Reçu",ISNUMBER(R996)),IF(N(U996)&lt;=R996,1,0),"")</f>
        <v/>
      </c>
      <c r="AB996" s="76" t="str">
        <f>IF(OR(X996="Envoyé",X996="Partiel",X996="En retard"),IF(ISNUMBER(R996),R996,100000)+ROW()/100000,"")</f>
        <v/>
      </c>
      <c r="AC996" s="66" t="str">
        <f>IF(A996="","",IF(COUNTIF($A$6:A996,A996)=1,1,""))</f>
        <v/>
      </c>
      <c r="AD996" s="66" t="str">
        <f>IF(AC996=1,COUNT($AC$6:AC996),"")</f>
        <v/>
      </c>
      <c r="AE996" s="66" t="str">
        <f>IFERROR(INDEX(po_num,MATCH(991,po_seq,0))&amp;"","")</f>
        <v/>
      </c>
      <c r="AF996" s="66" t="str">
        <f>IF(OR(A996="",p_po=""),"",IF(A996&amp;""=p_po,COUNTIF($A$6:A996,A996),""))</f>
        <v/>
      </c>
      <c r="AG996" s="66" t="str">
        <f>IF(OR(AB996="",A996=""),"",IF(COUNTIFS($A$6:A996,A996,$AB$6:AB996,"&gt;0")=1,1,""))</f>
        <v/>
      </c>
      <c r="AH996" s="70" t="str">
        <f>IF(AB996="","",ROUND(N(W996)*N(J996)*(1-N(K996)),2))</f>
        <v/>
      </c>
      <c r="AI996" s="70" t="str">
        <f>IF(OR(J996="",N(T996)&lt;=0,V996="Oui"),"",ROUND(N(T996)*J996*(1-N(K996)),2))</f>
        <v/>
      </c>
    </row>
    <row r="997">
      <c r="A997" s="63" t="n"/>
      <c r="B997" s="64" t="n"/>
      <c r="C997" s="65" t="n"/>
      <c r="D997" s="66" t="str">
        <f>IF(C997="","",IFERROR(INDEX(sup_name,MATCH($C997,sup_code,0))&amp;"","Fournisseur inconnu"))</f>
        <v/>
      </c>
      <c r="E997" s="63" t="n"/>
      <c r="F997" s="66" t="str">
        <f>IF(E997="","",IFERROR(INDEX(art_des,MATCH($E997,art_ref,0))&amp;"","Article inconnu"))</f>
        <v/>
      </c>
      <c r="G997" s="67" t="str">
        <f>IF(E997="","",IFERROR(INDEX(art_unit,MATCH($E997,art_ref,0))&amp;"",""))</f>
        <v/>
      </c>
      <c r="H997" s="68" t="n"/>
      <c r="I997" s="69" t="n"/>
      <c r="J997" s="70" t="str">
        <f>IF(E997="","",IF(ISNUMBER(I997),I997,IFERROR(IF(ISNUMBER(INDEX(art_price,MATCH($E997,art_ref,0))),INDEX(art_price,MATCH($E997,art_ref,0)),""),"")))</f>
        <v/>
      </c>
      <c r="K997" s="71" t="n"/>
      <c r="L997" s="72" t="n"/>
      <c r="M997" s="72" t="str">
        <f>IF(E997="","",IF(L997&lt;&gt;"",L997,IFERROR(IF(ISNUMBER(INDEX(art_tva,MATCH($E997,art_ref,0))),INDEX(art_tva,MATCH($E997,art_ref,0)),""),"")))</f>
        <v/>
      </c>
      <c r="N997" s="70" t="str">
        <f>IF(OR(E997="",J997=""),"",ROUND(N(H997)*J997*(1-N(K997)),2))</f>
        <v/>
      </c>
      <c r="O997" s="70" t="str">
        <f>IF(OR(N997="",NOT(ISNUMBER(M997))),"",ROUND(N997*M997,2))</f>
        <v/>
      </c>
      <c r="P997" s="70" t="str">
        <f>IF(N997="","",N997+N(O997))</f>
        <v/>
      </c>
      <c r="Q997" s="64" t="n"/>
      <c r="R997" s="73" t="str">
        <f>IF(N(Q997)&gt;0,Q997,IF(OR(N(B997)=0,ISNA(MATCH($C997,sup_code,0))),"",IF(ISNUMBER(INDEX(sup_delay,MATCH($C997,sup_code,0))),B997+INDEX(sup_delay,MATCH($C997,sup_code,0)),"")))</f>
        <v/>
      </c>
      <c r="S997" s="64" t="n"/>
      <c r="T997" s="68" t="n"/>
      <c r="U997" s="64" t="n"/>
      <c r="V997" s="65" t="n"/>
      <c r="W997" s="74" t="str">
        <f>IF(AND(A997="",E997=""),"",IF(V997="Oui",0,MAX(0,ROUND(N(H997)-N(T997),6))))</f>
        <v/>
      </c>
      <c r="X997" s="67" t="str">
        <f>IF(AND(A997="",E997=""),"",IF(V997="Oui","Annulé",IF(AND(N(H997)&gt;0,N(T997)&gt;=N(H997)),"Reçu",IF(N(S997)=0,"Brouillon",IF(AND(ISNUMBER(R997),R997&lt;p_today),"En retard",IF(N(T997)&gt;0,"Partiel","Envoyé"))))))</f>
        <v/>
      </c>
      <c r="Y997" s="75" t="str">
        <f>IF(X997="En retard",p_today-R997,IF(AND(X997="Reçu",ISNUMBER(R997)),MAX(0,N(U997)-R997),""))</f>
        <v/>
      </c>
      <c r="Z997" s="67" t="str">
        <f>IF(AND(A997="",E997=""),"",IF(A997="","N° de bon manquant",IF(N(B997)=0,"Date de commande manquante",IF(C997="","Fournisseur manquant",IF(ISNA(MATCH($C997,sup_code,0)),"Fournisseur inconnu",IF(E997="","Article manquant",IF(ISNA(MATCH($E997,art_ref,0)),"Article inconnu",IF(N(H997)&lt;=0,"Quantité invalide",IF(J997="","Prix manquant",IF(OR(N(K997)&lt;0,N(K997)&gt;=1),"Remise invalide",IF(M997="","TVA manquante",IF(ISNA(MATCH(M997,p_tva,0)),"Taux de TVA inconnu",IF(COUNTIFS(po_num,A997,po_sup,"&lt;&gt;"&amp;C997)&gt;0,"Fournisseur différent sur ce bon",IF(COUNTIFS(po_num,A997,po_date,"&lt;&gt;"&amp;B997)&gt;0,"Date différente sur ce bon",IF(COUNTIF(po_num,A997)&gt;25,"Plus de 25 lignes sur ce bon",IF(R997="","Date de livraison manquante",IF(R997&lt;B997,"Livraison avant la commande",IF(AND(N(T997)&gt;0,N(S997)=0),"Date d'envoi manquante",IF(N(T997)&gt;N(H997),"Reçu plus que commandé",IF(AND(N(T997)&gt;0,N(U997)=0),"Date de réception manquante",IF(AND(N(U997)&gt;0,U997&lt;B997),"Réception avant la commande","OK")))))))))))))))))))))</f>
        <v/>
      </c>
      <c r="AA997" s="66" t="str">
        <f>IF(AND(X997="Reçu",ISNUMBER(R997)),IF(N(U997)&lt;=R997,1,0),"")</f>
        <v/>
      </c>
      <c r="AB997" s="76" t="str">
        <f>IF(OR(X997="Envoyé",X997="Partiel",X997="En retard"),IF(ISNUMBER(R997),R997,100000)+ROW()/100000,"")</f>
        <v/>
      </c>
      <c r="AC997" s="66" t="str">
        <f>IF(A997="","",IF(COUNTIF($A$6:A997,A997)=1,1,""))</f>
        <v/>
      </c>
      <c r="AD997" s="66" t="str">
        <f>IF(AC997=1,COUNT($AC$6:AC997),"")</f>
        <v/>
      </c>
      <c r="AE997" s="66" t="str">
        <f>IFERROR(INDEX(po_num,MATCH(992,po_seq,0))&amp;"","")</f>
        <v/>
      </c>
      <c r="AF997" s="66" t="str">
        <f>IF(OR(A997="",p_po=""),"",IF(A997&amp;""=p_po,COUNTIF($A$6:A997,A997),""))</f>
        <v/>
      </c>
      <c r="AG997" s="66" t="str">
        <f>IF(OR(AB997="",A997=""),"",IF(COUNTIFS($A$6:A997,A997,$AB$6:AB997,"&gt;0")=1,1,""))</f>
        <v/>
      </c>
      <c r="AH997" s="70" t="str">
        <f>IF(AB997="","",ROUND(N(W997)*N(J997)*(1-N(K997)),2))</f>
        <v/>
      </c>
      <c r="AI997" s="70" t="str">
        <f>IF(OR(J997="",N(T997)&lt;=0,V997="Oui"),"",ROUND(N(T997)*J997*(1-N(K997)),2))</f>
        <v/>
      </c>
    </row>
    <row r="998">
      <c r="A998" s="63" t="n"/>
      <c r="B998" s="64" t="n"/>
      <c r="C998" s="65" t="n"/>
      <c r="D998" s="66" t="str">
        <f>IF(C998="","",IFERROR(INDEX(sup_name,MATCH($C998,sup_code,0))&amp;"","Fournisseur inconnu"))</f>
        <v/>
      </c>
      <c r="E998" s="63" t="n"/>
      <c r="F998" s="66" t="str">
        <f>IF(E998="","",IFERROR(INDEX(art_des,MATCH($E998,art_ref,0))&amp;"","Article inconnu"))</f>
        <v/>
      </c>
      <c r="G998" s="67" t="str">
        <f>IF(E998="","",IFERROR(INDEX(art_unit,MATCH($E998,art_ref,0))&amp;"",""))</f>
        <v/>
      </c>
      <c r="H998" s="68" t="n"/>
      <c r="I998" s="69" t="n"/>
      <c r="J998" s="70" t="str">
        <f>IF(E998="","",IF(ISNUMBER(I998),I998,IFERROR(IF(ISNUMBER(INDEX(art_price,MATCH($E998,art_ref,0))),INDEX(art_price,MATCH($E998,art_ref,0)),""),"")))</f>
        <v/>
      </c>
      <c r="K998" s="71" t="n"/>
      <c r="L998" s="72" t="n"/>
      <c r="M998" s="72" t="str">
        <f>IF(E998="","",IF(L998&lt;&gt;"",L998,IFERROR(IF(ISNUMBER(INDEX(art_tva,MATCH($E998,art_ref,0))),INDEX(art_tva,MATCH($E998,art_ref,0)),""),"")))</f>
        <v/>
      </c>
      <c r="N998" s="70" t="str">
        <f>IF(OR(E998="",J998=""),"",ROUND(N(H998)*J998*(1-N(K998)),2))</f>
        <v/>
      </c>
      <c r="O998" s="70" t="str">
        <f>IF(OR(N998="",NOT(ISNUMBER(M998))),"",ROUND(N998*M998,2))</f>
        <v/>
      </c>
      <c r="P998" s="70" t="str">
        <f>IF(N998="","",N998+N(O998))</f>
        <v/>
      </c>
      <c r="Q998" s="64" t="n"/>
      <c r="R998" s="73" t="str">
        <f>IF(N(Q998)&gt;0,Q998,IF(OR(N(B998)=0,ISNA(MATCH($C998,sup_code,0))),"",IF(ISNUMBER(INDEX(sup_delay,MATCH($C998,sup_code,0))),B998+INDEX(sup_delay,MATCH($C998,sup_code,0)),"")))</f>
        <v/>
      </c>
      <c r="S998" s="64" t="n"/>
      <c r="T998" s="68" t="n"/>
      <c r="U998" s="64" t="n"/>
      <c r="V998" s="65" t="n"/>
      <c r="W998" s="74" t="str">
        <f>IF(AND(A998="",E998=""),"",IF(V998="Oui",0,MAX(0,ROUND(N(H998)-N(T998),6))))</f>
        <v/>
      </c>
      <c r="X998" s="67" t="str">
        <f>IF(AND(A998="",E998=""),"",IF(V998="Oui","Annulé",IF(AND(N(H998)&gt;0,N(T998)&gt;=N(H998)),"Reçu",IF(N(S998)=0,"Brouillon",IF(AND(ISNUMBER(R998),R998&lt;p_today),"En retard",IF(N(T998)&gt;0,"Partiel","Envoyé"))))))</f>
        <v/>
      </c>
      <c r="Y998" s="75" t="str">
        <f>IF(X998="En retard",p_today-R998,IF(AND(X998="Reçu",ISNUMBER(R998)),MAX(0,N(U998)-R998),""))</f>
        <v/>
      </c>
      <c r="Z998" s="67" t="str">
        <f>IF(AND(A998="",E998=""),"",IF(A998="","N° de bon manquant",IF(N(B998)=0,"Date de commande manquante",IF(C998="","Fournisseur manquant",IF(ISNA(MATCH($C998,sup_code,0)),"Fournisseur inconnu",IF(E998="","Article manquant",IF(ISNA(MATCH($E998,art_ref,0)),"Article inconnu",IF(N(H998)&lt;=0,"Quantité invalide",IF(J998="","Prix manquant",IF(OR(N(K998)&lt;0,N(K998)&gt;=1),"Remise invalide",IF(M998="","TVA manquante",IF(ISNA(MATCH(M998,p_tva,0)),"Taux de TVA inconnu",IF(COUNTIFS(po_num,A998,po_sup,"&lt;&gt;"&amp;C998)&gt;0,"Fournisseur différent sur ce bon",IF(COUNTIFS(po_num,A998,po_date,"&lt;&gt;"&amp;B998)&gt;0,"Date différente sur ce bon",IF(COUNTIF(po_num,A998)&gt;25,"Plus de 25 lignes sur ce bon",IF(R998="","Date de livraison manquante",IF(R998&lt;B998,"Livraison avant la commande",IF(AND(N(T998)&gt;0,N(S998)=0),"Date d'envoi manquante",IF(N(T998)&gt;N(H998),"Reçu plus que commandé",IF(AND(N(T998)&gt;0,N(U998)=0),"Date de réception manquante",IF(AND(N(U998)&gt;0,U998&lt;B998),"Réception avant la commande","OK")))))))))))))))))))))</f>
        <v/>
      </c>
      <c r="AA998" s="66" t="str">
        <f>IF(AND(X998="Reçu",ISNUMBER(R998)),IF(N(U998)&lt;=R998,1,0),"")</f>
        <v/>
      </c>
      <c r="AB998" s="76" t="str">
        <f>IF(OR(X998="Envoyé",X998="Partiel",X998="En retard"),IF(ISNUMBER(R998),R998,100000)+ROW()/100000,"")</f>
        <v/>
      </c>
      <c r="AC998" s="66" t="str">
        <f>IF(A998="","",IF(COUNTIF($A$6:A998,A998)=1,1,""))</f>
        <v/>
      </c>
      <c r="AD998" s="66" t="str">
        <f>IF(AC998=1,COUNT($AC$6:AC998),"")</f>
        <v/>
      </c>
      <c r="AE998" s="66" t="str">
        <f>IFERROR(INDEX(po_num,MATCH(993,po_seq,0))&amp;"","")</f>
        <v/>
      </c>
      <c r="AF998" s="66" t="str">
        <f>IF(OR(A998="",p_po=""),"",IF(A998&amp;""=p_po,COUNTIF($A$6:A998,A998),""))</f>
        <v/>
      </c>
      <c r="AG998" s="66" t="str">
        <f>IF(OR(AB998="",A998=""),"",IF(COUNTIFS($A$6:A998,A998,$AB$6:AB998,"&gt;0")=1,1,""))</f>
        <v/>
      </c>
      <c r="AH998" s="70" t="str">
        <f>IF(AB998="","",ROUND(N(W998)*N(J998)*(1-N(K998)),2))</f>
        <v/>
      </c>
      <c r="AI998" s="70" t="str">
        <f>IF(OR(J998="",N(T998)&lt;=0,V998="Oui"),"",ROUND(N(T998)*J998*(1-N(K998)),2))</f>
        <v/>
      </c>
    </row>
    <row r="999">
      <c r="A999" s="63" t="n"/>
      <c r="B999" s="64" t="n"/>
      <c r="C999" s="65" t="n"/>
      <c r="D999" s="66" t="str">
        <f>IF(C999="","",IFERROR(INDEX(sup_name,MATCH($C999,sup_code,0))&amp;"","Fournisseur inconnu"))</f>
        <v/>
      </c>
      <c r="E999" s="63" t="n"/>
      <c r="F999" s="66" t="str">
        <f>IF(E999="","",IFERROR(INDEX(art_des,MATCH($E999,art_ref,0))&amp;"","Article inconnu"))</f>
        <v/>
      </c>
      <c r="G999" s="67" t="str">
        <f>IF(E999="","",IFERROR(INDEX(art_unit,MATCH($E999,art_ref,0))&amp;"",""))</f>
        <v/>
      </c>
      <c r="H999" s="68" t="n"/>
      <c r="I999" s="69" t="n"/>
      <c r="J999" s="70" t="str">
        <f>IF(E999="","",IF(ISNUMBER(I999),I999,IFERROR(IF(ISNUMBER(INDEX(art_price,MATCH($E999,art_ref,0))),INDEX(art_price,MATCH($E999,art_ref,0)),""),"")))</f>
        <v/>
      </c>
      <c r="K999" s="71" t="n"/>
      <c r="L999" s="72" t="n"/>
      <c r="M999" s="72" t="str">
        <f>IF(E999="","",IF(L999&lt;&gt;"",L999,IFERROR(IF(ISNUMBER(INDEX(art_tva,MATCH($E999,art_ref,0))),INDEX(art_tva,MATCH($E999,art_ref,0)),""),"")))</f>
        <v/>
      </c>
      <c r="N999" s="70" t="str">
        <f>IF(OR(E999="",J999=""),"",ROUND(N(H999)*J999*(1-N(K999)),2))</f>
        <v/>
      </c>
      <c r="O999" s="70" t="str">
        <f>IF(OR(N999="",NOT(ISNUMBER(M999))),"",ROUND(N999*M999,2))</f>
        <v/>
      </c>
      <c r="P999" s="70" t="str">
        <f>IF(N999="","",N999+N(O999))</f>
        <v/>
      </c>
      <c r="Q999" s="64" t="n"/>
      <c r="R999" s="73" t="str">
        <f>IF(N(Q999)&gt;0,Q999,IF(OR(N(B999)=0,ISNA(MATCH($C999,sup_code,0))),"",IF(ISNUMBER(INDEX(sup_delay,MATCH($C999,sup_code,0))),B999+INDEX(sup_delay,MATCH($C999,sup_code,0)),"")))</f>
        <v/>
      </c>
      <c r="S999" s="64" t="n"/>
      <c r="T999" s="68" t="n"/>
      <c r="U999" s="64" t="n"/>
      <c r="V999" s="65" t="n"/>
      <c r="W999" s="74" t="str">
        <f>IF(AND(A999="",E999=""),"",IF(V999="Oui",0,MAX(0,ROUND(N(H999)-N(T999),6))))</f>
        <v/>
      </c>
      <c r="X999" s="67" t="str">
        <f>IF(AND(A999="",E999=""),"",IF(V999="Oui","Annulé",IF(AND(N(H999)&gt;0,N(T999)&gt;=N(H999)),"Reçu",IF(N(S999)=0,"Brouillon",IF(AND(ISNUMBER(R999),R999&lt;p_today),"En retard",IF(N(T999)&gt;0,"Partiel","Envoyé"))))))</f>
        <v/>
      </c>
      <c r="Y999" s="75" t="str">
        <f>IF(X999="En retard",p_today-R999,IF(AND(X999="Reçu",ISNUMBER(R999)),MAX(0,N(U999)-R999),""))</f>
        <v/>
      </c>
      <c r="Z999" s="67" t="str">
        <f>IF(AND(A999="",E999=""),"",IF(A999="","N° de bon manquant",IF(N(B999)=0,"Date de commande manquante",IF(C999="","Fournisseur manquant",IF(ISNA(MATCH($C999,sup_code,0)),"Fournisseur inconnu",IF(E999="","Article manquant",IF(ISNA(MATCH($E999,art_ref,0)),"Article inconnu",IF(N(H999)&lt;=0,"Quantité invalide",IF(J999="","Prix manquant",IF(OR(N(K999)&lt;0,N(K999)&gt;=1),"Remise invalide",IF(M999="","TVA manquante",IF(ISNA(MATCH(M999,p_tva,0)),"Taux de TVA inconnu",IF(COUNTIFS(po_num,A999,po_sup,"&lt;&gt;"&amp;C999)&gt;0,"Fournisseur différent sur ce bon",IF(COUNTIFS(po_num,A999,po_date,"&lt;&gt;"&amp;B999)&gt;0,"Date différente sur ce bon",IF(COUNTIF(po_num,A999)&gt;25,"Plus de 25 lignes sur ce bon",IF(R999="","Date de livraison manquante",IF(R999&lt;B999,"Livraison avant la commande",IF(AND(N(T999)&gt;0,N(S999)=0),"Date d'envoi manquante",IF(N(T999)&gt;N(H999),"Reçu plus que commandé",IF(AND(N(T999)&gt;0,N(U999)=0),"Date de réception manquante",IF(AND(N(U999)&gt;0,U999&lt;B999),"Réception avant la commande","OK")))))))))))))))))))))</f>
        <v/>
      </c>
      <c r="AA999" s="66" t="str">
        <f>IF(AND(X999="Reçu",ISNUMBER(R999)),IF(N(U999)&lt;=R999,1,0),"")</f>
        <v/>
      </c>
      <c r="AB999" s="76" t="str">
        <f>IF(OR(X999="Envoyé",X999="Partiel",X999="En retard"),IF(ISNUMBER(R999),R999,100000)+ROW()/100000,"")</f>
        <v/>
      </c>
      <c r="AC999" s="66" t="str">
        <f>IF(A999="","",IF(COUNTIF($A$6:A999,A999)=1,1,""))</f>
        <v/>
      </c>
      <c r="AD999" s="66" t="str">
        <f>IF(AC999=1,COUNT($AC$6:AC999),"")</f>
        <v/>
      </c>
      <c r="AE999" s="66" t="str">
        <f>IFERROR(INDEX(po_num,MATCH(994,po_seq,0))&amp;"","")</f>
        <v/>
      </c>
      <c r="AF999" s="66" t="str">
        <f>IF(OR(A999="",p_po=""),"",IF(A999&amp;""=p_po,COUNTIF($A$6:A999,A999),""))</f>
        <v/>
      </c>
      <c r="AG999" s="66" t="str">
        <f>IF(OR(AB999="",A999=""),"",IF(COUNTIFS($A$6:A999,A999,$AB$6:AB999,"&gt;0")=1,1,""))</f>
        <v/>
      </c>
      <c r="AH999" s="70" t="str">
        <f>IF(AB999="","",ROUND(N(W999)*N(J999)*(1-N(K999)),2))</f>
        <v/>
      </c>
      <c r="AI999" s="70" t="str">
        <f>IF(OR(J999="",N(T999)&lt;=0,V999="Oui"),"",ROUND(N(T999)*J999*(1-N(K999)),2))</f>
        <v/>
      </c>
    </row>
    <row r="1000">
      <c r="A1000" s="63" t="n"/>
      <c r="B1000" s="64" t="n"/>
      <c r="C1000" s="65" t="n"/>
      <c r="D1000" s="66" t="str">
        <f>IF(C1000="","",IFERROR(INDEX(sup_name,MATCH($C1000,sup_code,0))&amp;"","Fournisseur inconnu"))</f>
        <v/>
      </c>
      <c r="E1000" s="63" t="n"/>
      <c r="F1000" s="66" t="str">
        <f>IF(E1000="","",IFERROR(INDEX(art_des,MATCH($E1000,art_ref,0))&amp;"","Article inconnu"))</f>
        <v/>
      </c>
      <c r="G1000" s="67" t="str">
        <f>IF(E1000="","",IFERROR(INDEX(art_unit,MATCH($E1000,art_ref,0))&amp;"",""))</f>
        <v/>
      </c>
      <c r="H1000" s="68" t="n"/>
      <c r="I1000" s="69" t="n"/>
      <c r="J1000" s="70" t="str">
        <f>IF(E1000="","",IF(ISNUMBER(I1000),I1000,IFERROR(IF(ISNUMBER(INDEX(art_price,MATCH($E1000,art_ref,0))),INDEX(art_price,MATCH($E1000,art_ref,0)),""),"")))</f>
        <v/>
      </c>
      <c r="K1000" s="71" t="n"/>
      <c r="L1000" s="72" t="n"/>
      <c r="M1000" s="72" t="str">
        <f>IF(E1000="","",IF(L1000&lt;&gt;"",L1000,IFERROR(IF(ISNUMBER(INDEX(art_tva,MATCH($E1000,art_ref,0))),INDEX(art_tva,MATCH($E1000,art_ref,0)),""),"")))</f>
        <v/>
      </c>
      <c r="N1000" s="70" t="str">
        <f>IF(OR(E1000="",J1000=""),"",ROUND(N(H1000)*J1000*(1-N(K1000)),2))</f>
        <v/>
      </c>
      <c r="O1000" s="70" t="str">
        <f>IF(OR(N1000="",NOT(ISNUMBER(M1000))),"",ROUND(N1000*M1000,2))</f>
        <v/>
      </c>
      <c r="P1000" s="70" t="str">
        <f>IF(N1000="","",N1000+N(O1000))</f>
        <v/>
      </c>
      <c r="Q1000" s="64" t="n"/>
      <c r="R1000" s="73" t="str">
        <f>IF(N(Q1000)&gt;0,Q1000,IF(OR(N(B1000)=0,ISNA(MATCH($C1000,sup_code,0))),"",IF(ISNUMBER(INDEX(sup_delay,MATCH($C1000,sup_code,0))),B1000+INDEX(sup_delay,MATCH($C1000,sup_code,0)),"")))</f>
        <v/>
      </c>
      <c r="S1000" s="64" t="n"/>
      <c r="T1000" s="68" t="n"/>
      <c r="U1000" s="64" t="n"/>
      <c r="V1000" s="65" t="n"/>
      <c r="W1000" s="74" t="str">
        <f>IF(AND(A1000="",E1000=""),"",IF(V1000="Oui",0,MAX(0,ROUND(N(H1000)-N(T1000),6))))</f>
        <v/>
      </c>
      <c r="X1000" s="67" t="str">
        <f>IF(AND(A1000="",E1000=""),"",IF(V1000="Oui","Annulé",IF(AND(N(H1000)&gt;0,N(T1000)&gt;=N(H1000)),"Reçu",IF(N(S1000)=0,"Brouillon",IF(AND(ISNUMBER(R1000),R1000&lt;p_today),"En retard",IF(N(T1000)&gt;0,"Partiel","Envoyé"))))))</f>
        <v/>
      </c>
      <c r="Y1000" s="75" t="str">
        <f>IF(X1000="En retard",p_today-R1000,IF(AND(X1000="Reçu",ISNUMBER(R1000)),MAX(0,N(U1000)-R1000),""))</f>
        <v/>
      </c>
      <c r="Z1000" s="67" t="str">
        <f>IF(AND(A1000="",E1000=""),"",IF(A1000="","N° de bon manquant",IF(N(B1000)=0,"Date de commande manquante",IF(C1000="","Fournisseur manquant",IF(ISNA(MATCH($C1000,sup_code,0)),"Fournisseur inconnu",IF(E1000="","Article manquant",IF(ISNA(MATCH($E1000,art_ref,0)),"Article inconnu",IF(N(H1000)&lt;=0,"Quantité invalide",IF(J1000="","Prix manquant",IF(OR(N(K1000)&lt;0,N(K1000)&gt;=1),"Remise invalide",IF(M1000="","TVA manquante",IF(ISNA(MATCH(M1000,p_tva,0)),"Taux de TVA inconnu",IF(COUNTIFS(po_num,A1000,po_sup,"&lt;&gt;"&amp;C1000)&gt;0,"Fournisseur différent sur ce bon",IF(COUNTIFS(po_num,A1000,po_date,"&lt;&gt;"&amp;B1000)&gt;0,"Date différente sur ce bon",IF(COUNTIF(po_num,A1000)&gt;25,"Plus de 25 lignes sur ce bon",IF(R1000="","Date de livraison manquante",IF(R1000&lt;B1000,"Livraison avant la commande",IF(AND(N(T1000)&gt;0,N(S1000)=0),"Date d'envoi manquante",IF(N(T1000)&gt;N(H1000),"Reçu plus que commandé",IF(AND(N(T1000)&gt;0,N(U1000)=0),"Date de réception manquante",IF(AND(N(U1000)&gt;0,U1000&lt;B1000),"Réception avant la commande","OK")))))))))))))))))))))</f>
        <v/>
      </c>
      <c r="AA1000" s="66" t="str">
        <f>IF(AND(X1000="Reçu",ISNUMBER(R1000)),IF(N(U1000)&lt;=R1000,1,0),"")</f>
        <v/>
      </c>
      <c r="AB1000" s="76" t="str">
        <f>IF(OR(X1000="Envoyé",X1000="Partiel",X1000="En retard"),IF(ISNUMBER(R1000),R1000,100000)+ROW()/100000,"")</f>
        <v/>
      </c>
      <c r="AC1000" s="66" t="str">
        <f>IF(A1000="","",IF(COUNTIF($A$6:A1000,A1000)=1,1,""))</f>
        <v/>
      </c>
      <c r="AD1000" s="66" t="str">
        <f>IF(AC1000=1,COUNT($AC$6:AC1000),"")</f>
        <v/>
      </c>
      <c r="AE1000" s="66" t="str">
        <f>IFERROR(INDEX(po_num,MATCH(995,po_seq,0))&amp;"","")</f>
        <v/>
      </c>
      <c r="AF1000" s="66" t="str">
        <f>IF(OR(A1000="",p_po=""),"",IF(A1000&amp;""=p_po,COUNTIF($A$6:A1000,A1000),""))</f>
        <v/>
      </c>
      <c r="AG1000" s="66" t="str">
        <f>IF(OR(AB1000="",A1000=""),"",IF(COUNTIFS($A$6:A1000,A1000,$AB$6:AB1000,"&gt;0")=1,1,""))</f>
        <v/>
      </c>
      <c r="AH1000" s="70" t="str">
        <f>IF(AB1000="","",ROUND(N(W1000)*N(J1000)*(1-N(K1000)),2))</f>
        <v/>
      </c>
      <c r="AI1000" s="70" t="str">
        <f>IF(OR(J1000="",N(T1000)&lt;=0,V1000="Oui"),"",ROUND(N(T1000)*J1000*(1-N(K1000)),2))</f>
        <v/>
      </c>
    </row>
    <row r="1001">
      <c r="A1001" s="63" t="n"/>
      <c r="B1001" s="64" t="n"/>
      <c r="C1001" s="65" t="n"/>
      <c r="D1001" s="66" t="str">
        <f>IF(C1001="","",IFERROR(INDEX(sup_name,MATCH($C1001,sup_code,0))&amp;"","Fournisseur inconnu"))</f>
        <v/>
      </c>
      <c r="E1001" s="63" t="n"/>
      <c r="F1001" s="66" t="str">
        <f>IF(E1001="","",IFERROR(INDEX(art_des,MATCH($E1001,art_ref,0))&amp;"","Article inconnu"))</f>
        <v/>
      </c>
      <c r="G1001" s="67" t="str">
        <f>IF(E1001="","",IFERROR(INDEX(art_unit,MATCH($E1001,art_ref,0))&amp;"",""))</f>
        <v/>
      </c>
      <c r="H1001" s="68" t="n"/>
      <c r="I1001" s="69" t="n"/>
      <c r="J1001" s="70" t="str">
        <f>IF(E1001="","",IF(ISNUMBER(I1001),I1001,IFERROR(IF(ISNUMBER(INDEX(art_price,MATCH($E1001,art_ref,0))),INDEX(art_price,MATCH($E1001,art_ref,0)),""),"")))</f>
        <v/>
      </c>
      <c r="K1001" s="71" t="n"/>
      <c r="L1001" s="72" t="n"/>
      <c r="M1001" s="72" t="str">
        <f>IF(E1001="","",IF(L1001&lt;&gt;"",L1001,IFERROR(IF(ISNUMBER(INDEX(art_tva,MATCH($E1001,art_ref,0))),INDEX(art_tva,MATCH($E1001,art_ref,0)),""),"")))</f>
        <v/>
      </c>
      <c r="N1001" s="70" t="str">
        <f>IF(OR(E1001="",J1001=""),"",ROUND(N(H1001)*J1001*(1-N(K1001)),2))</f>
        <v/>
      </c>
      <c r="O1001" s="70" t="str">
        <f>IF(OR(N1001="",NOT(ISNUMBER(M1001))),"",ROUND(N1001*M1001,2))</f>
        <v/>
      </c>
      <c r="P1001" s="70" t="str">
        <f>IF(N1001="","",N1001+N(O1001))</f>
        <v/>
      </c>
      <c r="Q1001" s="64" t="n"/>
      <c r="R1001" s="73" t="str">
        <f>IF(N(Q1001)&gt;0,Q1001,IF(OR(N(B1001)=0,ISNA(MATCH($C1001,sup_code,0))),"",IF(ISNUMBER(INDEX(sup_delay,MATCH($C1001,sup_code,0))),B1001+INDEX(sup_delay,MATCH($C1001,sup_code,0)),"")))</f>
        <v/>
      </c>
      <c r="S1001" s="64" t="n"/>
      <c r="T1001" s="68" t="n"/>
      <c r="U1001" s="64" t="n"/>
      <c r="V1001" s="65" t="n"/>
      <c r="W1001" s="74" t="str">
        <f>IF(AND(A1001="",E1001=""),"",IF(V1001="Oui",0,MAX(0,ROUND(N(H1001)-N(T1001),6))))</f>
        <v/>
      </c>
      <c r="X1001" s="67" t="str">
        <f>IF(AND(A1001="",E1001=""),"",IF(V1001="Oui","Annulé",IF(AND(N(H1001)&gt;0,N(T1001)&gt;=N(H1001)),"Reçu",IF(N(S1001)=0,"Brouillon",IF(AND(ISNUMBER(R1001),R1001&lt;p_today),"En retard",IF(N(T1001)&gt;0,"Partiel","Envoyé"))))))</f>
        <v/>
      </c>
      <c r="Y1001" s="75" t="str">
        <f>IF(X1001="En retard",p_today-R1001,IF(AND(X1001="Reçu",ISNUMBER(R1001)),MAX(0,N(U1001)-R1001),""))</f>
        <v/>
      </c>
      <c r="Z1001" s="67" t="str">
        <f>IF(AND(A1001="",E1001=""),"",IF(A1001="","N° de bon manquant",IF(N(B1001)=0,"Date de commande manquante",IF(C1001="","Fournisseur manquant",IF(ISNA(MATCH($C1001,sup_code,0)),"Fournisseur inconnu",IF(E1001="","Article manquant",IF(ISNA(MATCH($E1001,art_ref,0)),"Article inconnu",IF(N(H1001)&lt;=0,"Quantité invalide",IF(J1001="","Prix manquant",IF(OR(N(K1001)&lt;0,N(K1001)&gt;=1),"Remise invalide",IF(M1001="","TVA manquante",IF(ISNA(MATCH(M1001,p_tva,0)),"Taux de TVA inconnu",IF(COUNTIFS(po_num,A1001,po_sup,"&lt;&gt;"&amp;C1001)&gt;0,"Fournisseur différent sur ce bon",IF(COUNTIFS(po_num,A1001,po_date,"&lt;&gt;"&amp;B1001)&gt;0,"Date différente sur ce bon",IF(COUNTIF(po_num,A1001)&gt;25,"Plus de 25 lignes sur ce bon",IF(R1001="","Date de livraison manquante",IF(R1001&lt;B1001,"Livraison avant la commande",IF(AND(N(T1001)&gt;0,N(S1001)=0),"Date d'envoi manquante",IF(N(T1001)&gt;N(H1001),"Reçu plus que commandé",IF(AND(N(T1001)&gt;0,N(U1001)=0),"Date de réception manquante",IF(AND(N(U1001)&gt;0,U1001&lt;B1001),"Réception avant la commande","OK")))))))))))))))))))))</f>
        <v/>
      </c>
      <c r="AA1001" s="66" t="str">
        <f>IF(AND(X1001="Reçu",ISNUMBER(R1001)),IF(N(U1001)&lt;=R1001,1,0),"")</f>
        <v/>
      </c>
      <c r="AB1001" s="76" t="str">
        <f>IF(OR(X1001="Envoyé",X1001="Partiel",X1001="En retard"),IF(ISNUMBER(R1001),R1001,100000)+ROW()/100000,"")</f>
        <v/>
      </c>
      <c r="AC1001" s="66" t="str">
        <f>IF(A1001="","",IF(COUNTIF($A$6:A1001,A1001)=1,1,""))</f>
        <v/>
      </c>
      <c r="AD1001" s="66" t="str">
        <f>IF(AC1001=1,COUNT($AC$6:AC1001),"")</f>
        <v/>
      </c>
      <c r="AE1001" s="66" t="str">
        <f>IFERROR(INDEX(po_num,MATCH(996,po_seq,0))&amp;"","")</f>
        <v/>
      </c>
      <c r="AF1001" s="66" t="str">
        <f>IF(OR(A1001="",p_po=""),"",IF(A1001&amp;""=p_po,COUNTIF($A$6:A1001,A1001),""))</f>
        <v/>
      </c>
      <c r="AG1001" s="66" t="str">
        <f>IF(OR(AB1001="",A1001=""),"",IF(COUNTIFS($A$6:A1001,A1001,$AB$6:AB1001,"&gt;0")=1,1,""))</f>
        <v/>
      </c>
      <c r="AH1001" s="70" t="str">
        <f>IF(AB1001="","",ROUND(N(W1001)*N(J1001)*(1-N(K1001)),2))</f>
        <v/>
      </c>
      <c r="AI1001" s="70" t="str">
        <f>IF(OR(J1001="",N(T1001)&lt;=0,V1001="Oui"),"",ROUND(N(T1001)*J1001*(1-N(K1001)),2))</f>
        <v/>
      </c>
    </row>
    <row r="1002">
      <c r="A1002" s="63" t="n"/>
      <c r="B1002" s="64" t="n"/>
      <c r="C1002" s="65" t="n"/>
      <c r="D1002" s="66" t="str">
        <f>IF(C1002="","",IFERROR(INDEX(sup_name,MATCH($C1002,sup_code,0))&amp;"","Fournisseur inconnu"))</f>
        <v/>
      </c>
      <c r="E1002" s="63" t="n"/>
      <c r="F1002" s="66" t="str">
        <f>IF(E1002="","",IFERROR(INDEX(art_des,MATCH($E1002,art_ref,0))&amp;"","Article inconnu"))</f>
        <v/>
      </c>
      <c r="G1002" s="67" t="str">
        <f>IF(E1002="","",IFERROR(INDEX(art_unit,MATCH($E1002,art_ref,0))&amp;"",""))</f>
        <v/>
      </c>
      <c r="H1002" s="68" t="n"/>
      <c r="I1002" s="69" t="n"/>
      <c r="J1002" s="70" t="str">
        <f>IF(E1002="","",IF(ISNUMBER(I1002),I1002,IFERROR(IF(ISNUMBER(INDEX(art_price,MATCH($E1002,art_ref,0))),INDEX(art_price,MATCH($E1002,art_ref,0)),""),"")))</f>
        <v/>
      </c>
      <c r="K1002" s="71" t="n"/>
      <c r="L1002" s="72" t="n"/>
      <c r="M1002" s="72" t="str">
        <f>IF(E1002="","",IF(L1002&lt;&gt;"",L1002,IFERROR(IF(ISNUMBER(INDEX(art_tva,MATCH($E1002,art_ref,0))),INDEX(art_tva,MATCH($E1002,art_ref,0)),""),"")))</f>
        <v/>
      </c>
      <c r="N1002" s="70" t="str">
        <f>IF(OR(E1002="",J1002=""),"",ROUND(N(H1002)*J1002*(1-N(K1002)),2))</f>
        <v/>
      </c>
      <c r="O1002" s="70" t="str">
        <f>IF(OR(N1002="",NOT(ISNUMBER(M1002))),"",ROUND(N1002*M1002,2))</f>
        <v/>
      </c>
      <c r="P1002" s="70" t="str">
        <f>IF(N1002="","",N1002+N(O1002))</f>
        <v/>
      </c>
      <c r="Q1002" s="64" t="n"/>
      <c r="R1002" s="73" t="str">
        <f>IF(N(Q1002)&gt;0,Q1002,IF(OR(N(B1002)=0,ISNA(MATCH($C1002,sup_code,0))),"",IF(ISNUMBER(INDEX(sup_delay,MATCH($C1002,sup_code,0))),B1002+INDEX(sup_delay,MATCH($C1002,sup_code,0)),"")))</f>
        <v/>
      </c>
      <c r="S1002" s="64" t="n"/>
      <c r="T1002" s="68" t="n"/>
      <c r="U1002" s="64" t="n"/>
      <c r="V1002" s="65" t="n"/>
      <c r="W1002" s="74" t="str">
        <f>IF(AND(A1002="",E1002=""),"",IF(V1002="Oui",0,MAX(0,ROUND(N(H1002)-N(T1002),6))))</f>
        <v/>
      </c>
      <c r="X1002" s="67" t="str">
        <f>IF(AND(A1002="",E1002=""),"",IF(V1002="Oui","Annulé",IF(AND(N(H1002)&gt;0,N(T1002)&gt;=N(H1002)),"Reçu",IF(N(S1002)=0,"Brouillon",IF(AND(ISNUMBER(R1002),R1002&lt;p_today),"En retard",IF(N(T1002)&gt;0,"Partiel","Envoyé"))))))</f>
        <v/>
      </c>
      <c r="Y1002" s="75" t="str">
        <f>IF(X1002="En retard",p_today-R1002,IF(AND(X1002="Reçu",ISNUMBER(R1002)),MAX(0,N(U1002)-R1002),""))</f>
        <v/>
      </c>
      <c r="Z1002" s="67" t="str">
        <f>IF(AND(A1002="",E1002=""),"",IF(A1002="","N° de bon manquant",IF(N(B1002)=0,"Date de commande manquante",IF(C1002="","Fournisseur manquant",IF(ISNA(MATCH($C1002,sup_code,0)),"Fournisseur inconnu",IF(E1002="","Article manquant",IF(ISNA(MATCH($E1002,art_ref,0)),"Article inconnu",IF(N(H1002)&lt;=0,"Quantité invalide",IF(J1002="","Prix manquant",IF(OR(N(K1002)&lt;0,N(K1002)&gt;=1),"Remise invalide",IF(M1002="","TVA manquante",IF(ISNA(MATCH(M1002,p_tva,0)),"Taux de TVA inconnu",IF(COUNTIFS(po_num,A1002,po_sup,"&lt;&gt;"&amp;C1002)&gt;0,"Fournisseur différent sur ce bon",IF(COUNTIFS(po_num,A1002,po_date,"&lt;&gt;"&amp;B1002)&gt;0,"Date différente sur ce bon",IF(COUNTIF(po_num,A1002)&gt;25,"Plus de 25 lignes sur ce bon",IF(R1002="","Date de livraison manquante",IF(R1002&lt;B1002,"Livraison avant la commande",IF(AND(N(T1002)&gt;0,N(S1002)=0),"Date d'envoi manquante",IF(N(T1002)&gt;N(H1002),"Reçu plus que commandé",IF(AND(N(T1002)&gt;0,N(U1002)=0),"Date de réception manquante",IF(AND(N(U1002)&gt;0,U1002&lt;B1002),"Réception avant la commande","OK")))))))))))))))))))))</f>
        <v/>
      </c>
      <c r="AA1002" s="66" t="str">
        <f>IF(AND(X1002="Reçu",ISNUMBER(R1002)),IF(N(U1002)&lt;=R1002,1,0),"")</f>
        <v/>
      </c>
      <c r="AB1002" s="76" t="str">
        <f>IF(OR(X1002="Envoyé",X1002="Partiel",X1002="En retard"),IF(ISNUMBER(R1002),R1002,100000)+ROW()/100000,"")</f>
        <v/>
      </c>
      <c r="AC1002" s="66" t="str">
        <f>IF(A1002="","",IF(COUNTIF($A$6:A1002,A1002)=1,1,""))</f>
        <v/>
      </c>
      <c r="AD1002" s="66" t="str">
        <f>IF(AC1002=1,COUNT($AC$6:AC1002),"")</f>
        <v/>
      </c>
      <c r="AE1002" s="66" t="str">
        <f>IFERROR(INDEX(po_num,MATCH(997,po_seq,0))&amp;"","")</f>
        <v/>
      </c>
      <c r="AF1002" s="66" t="str">
        <f>IF(OR(A1002="",p_po=""),"",IF(A1002&amp;""=p_po,COUNTIF($A$6:A1002,A1002),""))</f>
        <v/>
      </c>
      <c r="AG1002" s="66" t="str">
        <f>IF(OR(AB1002="",A1002=""),"",IF(COUNTIFS($A$6:A1002,A1002,$AB$6:AB1002,"&gt;0")=1,1,""))</f>
        <v/>
      </c>
      <c r="AH1002" s="70" t="str">
        <f>IF(AB1002="","",ROUND(N(W1002)*N(J1002)*(1-N(K1002)),2))</f>
        <v/>
      </c>
      <c r="AI1002" s="70" t="str">
        <f>IF(OR(J1002="",N(T1002)&lt;=0,V1002="Oui"),"",ROUND(N(T1002)*J1002*(1-N(K1002)),2))</f>
        <v/>
      </c>
    </row>
    <row r="1003">
      <c r="A1003" s="63" t="n"/>
      <c r="B1003" s="64" t="n"/>
      <c r="C1003" s="65" t="n"/>
      <c r="D1003" s="66" t="str">
        <f>IF(C1003="","",IFERROR(INDEX(sup_name,MATCH($C1003,sup_code,0))&amp;"","Fournisseur inconnu"))</f>
        <v/>
      </c>
      <c r="E1003" s="63" t="n"/>
      <c r="F1003" s="66" t="str">
        <f>IF(E1003="","",IFERROR(INDEX(art_des,MATCH($E1003,art_ref,0))&amp;"","Article inconnu"))</f>
        <v/>
      </c>
      <c r="G1003" s="67" t="str">
        <f>IF(E1003="","",IFERROR(INDEX(art_unit,MATCH($E1003,art_ref,0))&amp;"",""))</f>
        <v/>
      </c>
      <c r="H1003" s="68" t="n"/>
      <c r="I1003" s="69" t="n"/>
      <c r="J1003" s="70" t="str">
        <f>IF(E1003="","",IF(ISNUMBER(I1003),I1003,IFERROR(IF(ISNUMBER(INDEX(art_price,MATCH($E1003,art_ref,0))),INDEX(art_price,MATCH($E1003,art_ref,0)),""),"")))</f>
        <v/>
      </c>
      <c r="K1003" s="71" t="n"/>
      <c r="L1003" s="72" t="n"/>
      <c r="M1003" s="72" t="str">
        <f>IF(E1003="","",IF(L1003&lt;&gt;"",L1003,IFERROR(IF(ISNUMBER(INDEX(art_tva,MATCH($E1003,art_ref,0))),INDEX(art_tva,MATCH($E1003,art_ref,0)),""),"")))</f>
        <v/>
      </c>
      <c r="N1003" s="70" t="str">
        <f>IF(OR(E1003="",J1003=""),"",ROUND(N(H1003)*J1003*(1-N(K1003)),2))</f>
        <v/>
      </c>
      <c r="O1003" s="70" t="str">
        <f>IF(OR(N1003="",NOT(ISNUMBER(M1003))),"",ROUND(N1003*M1003,2))</f>
        <v/>
      </c>
      <c r="P1003" s="70" t="str">
        <f>IF(N1003="","",N1003+N(O1003))</f>
        <v/>
      </c>
      <c r="Q1003" s="64" t="n"/>
      <c r="R1003" s="73" t="str">
        <f>IF(N(Q1003)&gt;0,Q1003,IF(OR(N(B1003)=0,ISNA(MATCH($C1003,sup_code,0))),"",IF(ISNUMBER(INDEX(sup_delay,MATCH($C1003,sup_code,0))),B1003+INDEX(sup_delay,MATCH($C1003,sup_code,0)),"")))</f>
        <v/>
      </c>
      <c r="S1003" s="64" t="n"/>
      <c r="T1003" s="68" t="n"/>
      <c r="U1003" s="64" t="n"/>
      <c r="V1003" s="65" t="n"/>
      <c r="W1003" s="74" t="str">
        <f>IF(AND(A1003="",E1003=""),"",IF(V1003="Oui",0,MAX(0,ROUND(N(H1003)-N(T1003),6))))</f>
        <v/>
      </c>
      <c r="X1003" s="67" t="str">
        <f>IF(AND(A1003="",E1003=""),"",IF(V1003="Oui","Annulé",IF(AND(N(H1003)&gt;0,N(T1003)&gt;=N(H1003)),"Reçu",IF(N(S1003)=0,"Brouillon",IF(AND(ISNUMBER(R1003),R1003&lt;p_today),"En retard",IF(N(T1003)&gt;0,"Partiel","Envoyé"))))))</f>
        <v/>
      </c>
      <c r="Y1003" s="75" t="str">
        <f>IF(X1003="En retard",p_today-R1003,IF(AND(X1003="Reçu",ISNUMBER(R1003)),MAX(0,N(U1003)-R1003),""))</f>
        <v/>
      </c>
      <c r="Z1003" s="67" t="str">
        <f>IF(AND(A1003="",E1003=""),"",IF(A1003="","N° de bon manquant",IF(N(B1003)=0,"Date de commande manquante",IF(C1003="","Fournisseur manquant",IF(ISNA(MATCH($C1003,sup_code,0)),"Fournisseur inconnu",IF(E1003="","Article manquant",IF(ISNA(MATCH($E1003,art_ref,0)),"Article inconnu",IF(N(H1003)&lt;=0,"Quantité invalide",IF(J1003="","Prix manquant",IF(OR(N(K1003)&lt;0,N(K1003)&gt;=1),"Remise invalide",IF(M1003="","TVA manquante",IF(ISNA(MATCH(M1003,p_tva,0)),"Taux de TVA inconnu",IF(COUNTIFS(po_num,A1003,po_sup,"&lt;&gt;"&amp;C1003)&gt;0,"Fournisseur différent sur ce bon",IF(COUNTIFS(po_num,A1003,po_date,"&lt;&gt;"&amp;B1003)&gt;0,"Date différente sur ce bon",IF(COUNTIF(po_num,A1003)&gt;25,"Plus de 25 lignes sur ce bon",IF(R1003="","Date de livraison manquante",IF(R1003&lt;B1003,"Livraison avant la commande",IF(AND(N(T1003)&gt;0,N(S1003)=0),"Date d'envoi manquante",IF(N(T1003)&gt;N(H1003),"Reçu plus que commandé",IF(AND(N(T1003)&gt;0,N(U1003)=0),"Date de réception manquante",IF(AND(N(U1003)&gt;0,U1003&lt;B1003),"Réception avant la commande","OK")))))))))))))))))))))</f>
        <v/>
      </c>
      <c r="AA1003" s="66" t="str">
        <f>IF(AND(X1003="Reçu",ISNUMBER(R1003)),IF(N(U1003)&lt;=R1003,1,0),"")</f>
        <v/>
      </c>
      <c r="AB1003" s="76" t="str">
        <f>IF(OR(X1003="Envoyé",X1003="Partiel",X1003="En retard"),IF(ISNUMBER(R1003),R1003,100000)+ROW()/100000,"")</f>
        <v/>
      </c>
      <c r="AC1003" s="66" t="str">
        <f>IF(A1003="","",IF(COUNTIF($A$6:A1003,A1003)=1,1,""))</f>
        <v/>
      </c>
      <c r="AD1003" s="66" t="str">
        <f>IF(AC1003=1,COUNT($AC$6:AC1003),"")</f>
        <v/>
      </c>
      <c r="AE1003" s="66" t="str">
        <f>IFERROR(INDEX(po_num,MATCH(998,po_seq,0))&amp;"","")</f>
        <v/>
      </c>
      <c r="AF1003" s="66" t="str">
        <f>IF(OR(A1003="",p_po=""),"",IF(A1003&amp;""=p_po,COUNTIF($A$6:A1003,A1003),""))</f>
        <v/>
      </c>
      <c r="AG1003" s="66" t="str">
        <f>IF(OR(AB1003="",A1003=""),"",IF(COUNTIFS($A$6:A1003,A1003,$AB$6:AB1003,"&gt;0")=1,1,""))</f>
        <v/>
      </c>
      <c r="AH1003" s="70" t="str">
        <f>IF(AB1003="","",ROUND(N(W1003)*N(J1003)*(1-N(K1003)),2))</f>
        <v/>
      </c>
      <c r="AI1003" s="70" t="str">
        <f>IF(OR(J1003="",N(T1003)&lt;=0,V1003="Oui"),"",ROUND(N(T1003)*J1003*(1-N(K1003)),2))</f>
        <v/>
      </c>
    </row>
    <row r="1004">
      <c r="A1004" s="63" t="n"/>
      <c r="B1004" s="64" t="n"/>
      <c r="C1004" s="65" t="n"/>
      <c r="D1004" s="66" t="str">
        <f>IF(C1004="","",IFERROR(INDEX(sup_name,MATCH($C1004,sup_code,0))&amp;"","Fournisseur inconnu"))</f>
        <v/>
      </c>
      <c r="E1004" s="63" t="n"/>
      <c r="F1004" s="66" t="str">
        <f>IF(E1004="","",IFERROR(INDEX(art_des,MATCH($E1004,art_ref,0))&amp;"","Article inconnu"))</f>
        <v/>
      </c>
      <c r="G1004" s="67" t="str">
        <f>IF(E1004="","",IFERROR(INDEX(art_unit,MATCH($E1004,art_ref,0))&amp;"",""))</f>
        <v/>
      </c>
      <c r="H1004" s="68" t="n"/>
      <c r="I1004" s="69" t="n"/>
      <c r="J1004" s="70" t="str">
        <f>IF(E1004="","",IF(ISNUMBER(I1004),I1004,IFERROR(IF(ISNUMBER(INDEX(art_price,MATCH($E1004,art_ref,0))),INDEX(art_price,MATCH($E1004,art_ref,0)),""),"")))</f>
        <v/>
      </c>
      <c r="K1004" s="71" t="n"/>
      <c r="L1004" s="72" t="n"/>
      <c r="M1004" s="72" t="str">
        <f>IF(E1004="","",IF(L1004&lt;&gt;"",L1004,IFERROR(IF(ISNUMBER(INDEX(art_tva,MATCH($E1004,art_ref,0))),INDEX(art_tva,MATCH($E1004,art_ref,0)),""),"")))</f>
        <v/>
      </c>
      <c r="N1004" s="70" t="str">
        <f>IF(OR(E1004="",J1004=""),"",ROUND(N(H1004)*J1004*(1-N(K1004)),2))</f>
        <v/>
      </c>
      <c r="O1004" s="70" t="str">
        <f>IF(OR(N1004="",NOT(ISNUMBER(M1004))),"",ROUND(N1004*M1004,2))</f>
        <v/>
      </c>
      <c r="P1004" s="70" t="str">
        <f>IF(N1004="","",N1004+N(O1004))</f>
        <v/>
      </c>
      <c r="Q1004" s="64" t="n"/>
      <c r="R1004" s="73" t="str">
        <f>IF(N(Q1004)&gt;0,Q1004,IF(OR(N(B1004)=0,ISNA(MATCH($C1004,sup_code,0))),"",IF(ISNUMBER(INDEX(sup_delay,MATCH($C1004,sup_code,0))),B1004+INDEX(sup_delay,MATCH($C1004,sup_code,0)),"")))</f>
        <v/>
      </c>
      <c r="S1004" s="64" t="n"/>
      <c r="T1004" s="68" t="n"/>
      <c r="U1004" s="64" t="n"/>
      <c r="V1004" s="65" t="n"/>
      <c r="W1004" s="74" t="str">
        <f>IF(AND(A1004="",E1004=""),"",IF(V1004="Oui",0,MAX(0,ROUND(N(H1004)-N(T1004),6))))</f>
        <v/>
      </c>
      <c r="X1004" s="67" t="str">
        <f>IF(AND(A1004="",E1004=""),"",IF(V1004="Oui","Annulé",IF(AND(N(H1004)&gt;0,N(T1004)&gt;=N(H1004)),"Reçu",IF(N(S1004)=0,"Brouillon",IF(AND(ISNUMBER(R1004),R1004&lt;p_today),"En retard",IF(N(T1004)&gt;0,"Partiel","Envoyé"))))))</f>
        <v/>
      </c>
      <c r="Y1004" s="75" t="str">
        <f>IF(X1004="En retard",p_today-R1004,IF(AND(X1004="Reçu",ISNUMBER(R1004)),MAX(0,N(U1004)-R1004),""))</f>
        <v/>
      </c>
      <c r="Z1004" s="67" t="str">
        <f>IF(AND(A1004="",E1004=""),"",IF(A1004="","N° de bon manquant",IF(N(B1004)=0,"Date de commande manquante",IF(C1004="","Fournisseur manquant",IF(ISNA(MATCH($C1004,sup_code,0)),"Fournisseur inconnu",IF(E1004="","Article manquant",IF(ISNA(MATCH($E1004,art_ref,0)),"Article inconnu",IF(N(H1004)&lt;=0,"Quantité invalide",IF(J1004="","Prix manquant",IF(OR(N(K1004)&lt;0,N(K1004)&gt;=1),"Remise invalide",IF(M1004="","TVA manquante",IF(ISNA(MATCH(M1004,p_tva,0)),"Taux de TVA inconnu",IF(COUNTIFS(po_num,A1004,po_sup,"&lt;&gt;"&amp;C1004)&gt;0,"Fournisseur différent sur ce bon",IF(COUNTIFS(po_num,A1004,po_date,"&lt;&gt;"&amp;B1004)&gt;0,"Date différente sur ce bon",IF(COUNTIF(po_num,A1004)&gt;25,"Plus de 25 lignes sur ce bon",IF(R1004="","Date de livraison manquante",IF(R1004&lt;B1004,"Livraison avant la commande",IF(AND(N(T1004)&gt;0,N(S1004)=0),"Date d'envoi manquante",IF(N(T1004)&gt;N(H1004),"Reçu plus que commandé",IF(AND(N(T1004)&gt;0,N(U1004)=0),"Date de réception manquante",IF(AND(N(U1004)&gt;0,U1004&lt;B1004),"Réception avant la commande","OK")))))))))))))))))))))</f>
        <v/>
      </c>
      <c r="AA1004" s="66" t="str">
        <f>IF(AND(X1004="Reçu",ISNUMBER(R1004)),IF(N(U1004)&lt;=R1004,1,0),"")</f>
        <v/>
      </c>
      <c r="AB1004" s="76" t="str">
        <f>IF(OR(X1004="Envoyé",X1004="Partiel",X1004="En retard"),IF(ISNUMBER(R1004),R1004,100000)+ROW()/100000,"")</f>
        <v/>
      </c>
      <c r="AC1004" s="66" t="str">
        <f>IF(A1004="","",IF(COUNTIF($A$6:A1004,A1004)=1,1,""))</f>
        <v/>
      </c>
      <c r="AD1004" s="66" t="str">
        <f>IF(AC1004=1,COUNT($AC$6:AC1004),"")</f>
        <v/>
      </c>
      <c r="AE1004" s="66" t="str">
        <f>IFERROR(INDEX(po_num,MATCH(999,po_seq,0))&amp;"","")</f>
        <v/>
      </c>
      <c r="AF1004" s="66" t="str">
        <f>IF(OR(A1004="",p_po=""),"",IF(A1004&amp;""=p_po,COUNTIF($A$6:A1004,A1004),""))</f>
        <v/>
      </c>
      <c r="AG1004" s="66" t="str">
        <f>IF(OR(AB1004="",A1004=""),"",IF(COUNTIFS($A$6:A1004,A1004,$AB$6:AB1004,"&gt;0")=1,1,""))</f>
        <v/>
      </c>
      <c r="AH1004" s="70" t="str">
        <f>IF(AB1004="","",ROUND(N(W1004)*N(J1004)*(1-N(K1004)),2))</f>
        <v/>
      </c>
      <c r="AI1004" s="70" t="str">
        <f>IF(OR(J1004="",N(T1004)&lt;=0,V1004="Oui"),"",ROUND(N(T1004)*J1004*(1-N(K1004)),2))</f>
        <v/>
      </c>
    </row>
    <row r="1005">
      <c r="A1005" s="63" t="n"/>
      <c r="B1005" s="64" t="n"/>
      <c r="C1005" s="65" t="n"/>
      <c r="D1005" s="66" t="str">
        <f>IF(C1005="","",IFERROR(INDEX(sup_name,MATCH($C1005,sup_code,0))&amp;"","Fournisseur inconnu"))</f>
        <v/>
      </c>
      <c r="E1005" s="63" t="n"/>
      <c r="F1005" s="66" t="str">
        <f>IF(E1005="","",IFERROR(INDEX(art_des,MATCH($E1005,art_ref,0))&amp;"","Article inconnu"))</f>
        <v/>
      </c>
      <c r="G1005" s="67" t="str">
        <f>IF(E1005="","",IFERROR(INDEX(art_unit,MATCH($E1005,art_ref,0))&amp;"",""))</f>
        <v/>
      </c>
      <c r="H1005" s="68" t="n"/>
      <c r="I1005" s="69" t="n"/>
      <c r="J1005" s="70" t="str">
        <f>IF(E1005="","",IF(ISNUMBER(I1005),I1005,IFERROR(IF(ISNUMBER(INDEX(art_price,MATCH($E1005,art_ref,0))),INDEX(art_price,MATCH($E1005,art_ref,0)),""),"")))</f>
        <v/>
      </c>
      <c r="K1005" s="71" t="n"/>
      <c r="L1005" s="72" t="n"/>
      <c r="M1005" s="72" t="str">
        <f>IF(E1005="","",IF(L1005&lt;&gt;"",L1005,IFERROR(IF(ISNUMBER(INDEX(art_tva,MATCH($E1005,art_ref,0))),INDEX(art_tva,MATCH($E1005,art_ref,0)),""),"")))</f>
        <v/>
      </c>
      <c r="N1005" s="70" t="str">
        <f>IF(OR(E1005="",J1005=""),"",ROUND(N(H1005)*J1005*(1-N(K1005)),2))</f>
        <v/>
      </c>
      <c r="O1005" s="70" t="str">
        <f>IF(OR(N1005="",NOT(ISNUMBER(M1005))),"",ROUND(N1005*M1005,2))</f>
        <v/>
      </c>
      <c r="P1005" s="70" t="str">
        <f>IF(N1005="","",N1005+N(O1005))</f>
        <v/>
      </c>
      <c r="Q1005" s="64" t="n"/>
      <c r="R1005" s="73" t="str">
        <f>IF(N(Q1005)&gt;0,Q1005,IF(OR(N(B1005)=0,ISNA(MATCH($C1005,sup_code,0))),"",IF(ISNUMBER(INDEX(sup_delay,MATCH($C1005,sup_code,0))),B1005+INDEX(sup_delay,MATCH($C1005,sup_code,0)),"")))</f>
        <v/>
      </c>
      <c r="S1005" s="64" t="n"/>
      <c r="T1005" s="68" t="n"/>
      <c r="U1005" s="64" t="n"/>
      <c r="V1005" s="65" t="n"/>
      <c r="W1005" s="74" t="str">
        <f>IF(AND(A1005="",E1005=""),"",IF(V1005="Oui",0,MAX(0,ROUND(N(H1005)-N(T1005),6))))</f>
        <v/>
      </c>
      <c r="X1005" s="67" t="str">
        <f>IF(AND(A1005="",E1005=""),"",IF(V1005="Oui","Annulé",IF(AND(N(H1005)&gt;0,N(T1005)&gt;=N(H1005)),"Reçu",IF(N(S1005)=0,"Brouillon",IF(AND(ISNUMBER(R1005),R1005&lt;p_today),"En retard",IF(N(T1005)&gt;0,"Partiel","Envoyé"))))))</f>
        <v/>
      </c>
      <c r="Y1005" s="75" t="str">
        <f>IF(X1005="En retard",p_today-R1005,IF(AND(X1005="Reçu",ISNUMBER(R1005)),MAX(0,N(U1005)-R1005),""))</f>
        <v/>
      </c>
      <c r="Z1005" s="67" t="str">
        <f>IF(AND(A1005="",E1005=""),"",IF(A1005="","N° de bon manquant",IF(N(B1005)=0,"Date de commande manquante",IF(C1005="","Fournisseur manquant",IF(ISNA(MATCH($C1005,sup_code,0)),"Fournisseur inconnu",IF(E1005="","Article manquant",IF(ISNA(MATCH($E1005,art_ref,0)),"Article inconnu",IF(N(H1005)&lt;=0,"Quantité invalide",IF(J1005="","Prix manquant",IF(OR(N(K1005)&lt;0,N(K1005)&gt;=1),"Remise invalide",IF(M1005="","TVA manquante",IF(ISNA(MATCH(M1005,p_tva,0)),"Taux de TVA inconnu",IF(COUNTIFS(po_num,A1005,po_sup,"&lt;&gt;"&amp;C1005)&gt;0,"Fournisseur différent sur ce bon",IF(COUNTIFS(po_num,A1005,po_date,"&lt;&gt;"&amp;B1005)&gt;0,"Date différente sur ce bon",IF(COUNTIF(po_num,A1005)&gt;25,"Plus de 25 lignes sur ce bon",IF(R1005="","Date de livraison manquante",IF(R1005&lt;B1005,"Livraison avant la commande",IF(AND(N(T1005)&gt;0,N(S1005)=0),"Date d'envoi manquante",IF(N(T1005)&gt;N(H1005),"Reçu plus que commandé",IF(AND(N(T1005)&gt;0,N(U1005)=0),"Date de réception manquante",IF(AND(N(U1005)&gt;0,U1005&lt;B1005),"Réception avant la commande","OK")))))))))))))))))))))</f>
        <v/>
      </c>
      <c r="AA1005" s="66" t="str">
        <f>IF(AND(X1005="Reçu",ISNUMBER(R1005)),IF(N(U1005)&lt;=R1005,1,0),"")</f>
        <v/>
      </c>
      <c r="AB1005" s="76" t="str">
        <f>IF(OR(X1005="Envoyé",X1005="Partiel",X1005="En retard"),IF(ISNUMBER(R1005),R1005,100000)+ROW()/100000,"")</f>
        <v/>
      </c>
      <c r="AC1005" s="66" t="str">
        <f>IF(A1005="","",IF(COUNTIF($A$6:A1005,A1005)=1,1,""))</f>
        <v/>
      </c>
      <c r="AD1005" s="66" t="str">
        <f>IF(AC1005=1,COUNT($AC$6:AC1005),"")</f>
        <v/>
      </c>
      <c r="AE1005" s="66" t="str">
        <f>IFERROR(INDEX(po_num,MATCH(1000,po_seq,0))&amp;"","")</f>
        <v/>
      </c>
      <c r="AF1005" s="66" t="str">
        <f>IF(OR(A1005="",p_po=""),"",IF(A1005&amp;""=p_po,COUNTIF($A$6:A1005,A1005),""))</f>
        <v/>
      </c>
      <c r="AG1005" s="66" t="str">
        <f>IF(OR(AB1005="",A1005=""),"",IF(COUNTIFS($A$6:A1005,A1005,$AB$6:AB1005,"&gt;0")=1,1,""))</f>
        <v/>
      </c>
      <c r="AH1005" s="70" t="str">
        <f>IF(AB1005="","",ROUND(N(W1005)*N(J1005)*(1-N(K1005)),2))</f>
        <v/>
      </c>
      <c r="AI1005" s="70" t="str">
        <f>IF(OR(J1005="",N(T1005)&lt;=0,V1005="Oui"),"",ROUND(N(T1005)*J1005*(1-N(K1005)),2))</f>
        <v/>
      </c>
    </row>
    <row r="1006">
      <c r="A1006" s="63" t="n"/>
      <c r="B1006" s="64" t="n"/>
      <c r="C1006" s="65" t="n"/>
      <c r="D1006" s="66" t="str">
        <f>IF(C1006="","",IFERROR(INDEX(sup_name,MATCH($C1006,sup_code,0))&amp;"","Fournisseur inconnu"))</f>
        <v/>
      </c>
      <c r="E1006" s="63" t="n"/>
      <c r="F1006" s="66" t="str">
        <f>IF(E1006="","",IFERROR(INDEX(art_des,MATCH($E1006,art_ref,0))&amp;"","Article inconnu"))</f>
        <v/>
      </c>
      <c r="G1006" s="67" t="str">
        <f>IF(E1006="","",IFERROR(INDEX(art_unit,MATCH($E1006,art_ref,0))&amp;"",""))</f>
        <v/>
      </c>
      <c r="H1006" s="68" t="n"/>
      <c r="I1006" s="69" t="n"/>
      <c r="J1006" s="70" t="str">
        <f>IF(E1006="","",IF(ISNUMBER(I1006),I1006,IFERROR(IF(ISNUMBER(INDEX(art_price,MATCH($E1006,art_ref,0))),INDEX(art_price,MATCH($E1006,art_ref,0)),""),"")))</f>
        <v/>
      </c>
      <c r="K1006" s="71" t="n"/>
      <c r="L1006" s="72" t="n"/>
      <c r="M1006" s="72" t="str">
        <f>IF(E1006="","",IF(L1006&lt;&gt;"",L1006,IFERROR(IF(ISNUMBER(INDEX(art_tva,MATCH($E1006,art_ref,0))),INDEX(art_tva,MATCH($E1006,art_ref,0)),""),"")))</f>
        <v/>
      </c>
      <c r="N1006" s="70" t="str">
        <f>IF(OR(E1006="",J1006=""),"",ROUND(N(H1006)*J1006*(1-N(K1006)),2))</f>
        <v/>
      </c>
      <c r="O1006" s="70" t="str">
        <f>IF(OR(N1006="",NOT(ISNUMBER(M1006))),"",ROUND(N1006*M1006,2))</f>
        <v/>
      </c>
      <c r="P1006" s="70" t="str">
        <f>IF(N1006="","",N1006+N(O1006))</f>
        <v/>
      </c>
      <c r="Q1006" s="64" t="n"/>
      <c r="R1006" s="73" t="str">
        <f>IF(N(Q1006)&gt;0,Q1006,IF(OR(N(B1006)=0,ISNA(MATCH($C1006,sup_code,0))),"",IF(ISNUMBER(INDEX(sup_delay,MATCH($C1006,sup_code,0))),B1006+INDEX(sup_delay,MATCH($C1006,sup_code,0)),"")))</f>
        <v/>
      </c>
      <c r="S1006" s="64" t="n"/>
      <c r="T1006" s="68" t="n"/>
      <c r="U1006" s="64" t="n"/>
      <c r="V1006" s="65" t="n"/>
      <c r="W1006" s="74" t="str">
        <f>IF(AND(A1006="",E1006=""),"",IF(V1006="Oui",0,MAX(0,ROUND(N(H1006)-N(T1006),6))))</f>
        <v/>
      </c>
      <c r="X1006" s="67" t="str">
        <f>IF(AND(A1006="",E1006=""),"",IF(V1006="Oui","Annulé",IF(AND(N(H1006)&gt;0,N(T1006)&gt;=N(H1006)),"Reçu",IF(N(S1006)=0,"Brouillon",IF(AND(ISNUMBER(R1006),R1006&lt;p_today),"En retard",IF(N(T1006)&gt;0,"Partiel","Envoyé"))))))</f>
        <v/>
      </c>
      <c r="Y1006" s="75" t="str">
        <f>IF(X1006="En retard",p_today-R1006,IF(AND(X1006="Reçu",ISNUMBER(R1006)),MAX(0,N(U1006)-R1006),""))</f>
        <v/>
      </c>
      <c r="Z1006" s="67" t="str">
        <f>IF(AND(A1006="",E1006=""),"",IF(A1006="","N° de bon manquant",IF(N(B1006)=0,"Date de commande manquante",IF(C1006="","Fournisseur manquant",IF(ISNA(MATCH($C1006,sup_code,0)),"Fournisseur inconnu",IF(E1006="","Article manquant",IF(ISNA(MATCH($E1006,art_ref,0)),"Article inconnu",IF(N(H1006)&lt;=0,"Quantité invalide",IF(J1006="","Prix manquant",IF(OR(N(K1006)&lt;0,N(K1006)&gt;=1),"Remise invalide",IF(M1006="","TVA manquante",IF(ISNA(MATCH(M1006,p_tva,0)),"Taux de TVA inconnu",IF(COUNTIFS(po_num,A1006,po_sup,"&lt;&gt;"&amp;C1006)&gt;0,"Fournisseur différent sur ce bon",IF(COUNTIFS(po_num,A1006,po_date,"&lt;&gt;"&amp;B1006)&gt;0,"Date différente sur ce bon",IF(COUNTIF(po_num,A1006)&gt;25,"Plus de 25 lignes sur ce bon",IF(R1006="","Date de livraison manquante",IF(R1006&lt;B1006,"Livraison avant la commande",IF(AND(N(T1006)&gt;0,N(S1006)=0),"Date d'envoi manquante",IF(N(T1006)&gt;N(H1006),"Reçu plus que commandé",IF(AND(N(T1006)&gt;0,N(U1006)=0),"Date de réception manquante",IF(AND(N(U1006)&gt;0,U1006&lt;B1006),"Réception avant la commande","OK")))))))))))))))))))))</f>
        <v/>
      </c>
      <c r="AA1006" s="66" t="str">
        <f>IF(AND(X1006="Reçu",ISNUMBER(R1006)),IF(N(U1006)&lt;=R1006,1,0),"")</f>
        <v/>
      </c>
      <c r="AB1006" s="76" t="str">
        <f>IF(OR(X1006="Envoyé",X1006="Partiel",X1006="En retard"),IF(ISNUMBER(R1006),R1006,100000)+ROW()/100000,"")</f>
        <v/>
      </c>
      <c r="AC1006" s="66" t="str">
        <f>IF(A1006="","",IF(COUNTIF($A$6:A1006,A1006)=1,1,""))</f>
        <v/>
      </c>
      <c r="AD1006" s="66" t="str">
        <f>IF(AC1006=1,COUNT($AC$6:AC1006),"")</f>
        <v/>
      </c>
      <c r="AE1006" s="66" t="str">
        <f>IFERROR(INDEX(po_num,MATCH(1001,po_seq,0))&amp;"","")</f>
        <v/>
      </c>
      <c r="AF1006" s="66" t="str">
        <f>IF(OR(A1006="",p_po=""),"",IF(A1006&amp;""=p_po,COUNTIF($A$6:A1006,A1006),""))</f>
        <v/>
      </c>
      <c r="AG1006" s="66" t="str">
        <f>IF(OR(AB1006="",A1006=""),"",IF(COUNTIFS($A$6:A1006,A1006,$AB$6:AB1006,"&gt;0")=1,1,""))</f>
        <v/>
      </c>
      <c r="AH1006" s="70" t="str">
        <f>IF(AB1006="","",ROUND(N(W1006)*N(J1006)*(1-N(K1006)),2))</f>
        <v/>
      </c>
      <c r="AI1006" s="70" t="str">
        <f>IF(OR(J1006="",N(T1006)&lt;=0,V1006="Oui"),"",ROUND(N(T1006)*J1006*(1-N(K1006)),2))</f>
        <v/>
      </c>
    </row>
    <row r="1007">
      <c r="A1007" s="63" t="n"/>
      <c r="B1007" s="64" t="n"/>
      <c r="C1007" s="65" t="n"/>
      <c r="D1007" s="66" t="str">
        <f>IF(C1007="","",IFERROR(INDEX(sup_name,MATCH($C1007,sup_code,0))&amp;"","Fournisseur inconnu"))</f>
        <v/>
      </c>
      <c r="E1007" s="63" t="n"/>
      <c r="F1007" s="66" t="str">
        <f>IF(E1007="","",IFERROR(INDEX(art_des,MATCH($E1007,art_ref,0))&amp;"","Article inconnu"))</f>
        <v/>
      </c>
      <c r="G1007" s="67" t="str">
        <f>IF(E1007="","",IFERROR(INDEX(art_unit,MATCH($E1007,art_ref,0))&amp;"",""))</f>
        <v/>
      </c>
      <c r="H1007" s="68" t="n"/>
      <c r="I1007" s="69" t="n"/>
      <c r="J1007" s="70" t="str">
        <f>IF(E1007="","",IF(ISNUMBER(I1007),I1007,IFERROR(IF(ISNUMBER(INDEX(art_price,MATCH($E1007,art_ref,0))),INDEX(art_price,MATCH($E1007,art_ref,0)),""),"")))</f>
        <v/>
      </c>
      <c r="K1007" s="71" t="n"/>
      <c r="L1007" s="72" t="n"/>
      <c r="M1007" s="72" t="str">
        <f>IF(E1007="","",IF(L1007&lt;&gt;"",L1007,IFERROR(IF(ISNUMBER(INDEX(art_tva,MATCH($E1007,art_ref,0))),INDEX(art_tva,MATCH($E1007,art_ref,0)),""),"")))</f>
        <v/>
      </c>
      <c r="N1007" s="70" t="str">
        <f>IF(OR(E1007="",J1007=""),"",ROUND(N(H1007)*J1007*(1-N(K1007)),2))</f>
        <v/>
      </c>
      <c r="O1007" s="70" t="str">
        <f>IF(OR(N1007="",NOT(ISNUMBER(M1007))),"",ROUND(N1007*M1007,2))</f>
        <v/>
      </c>
      <c r="P1007" s="70" t="str">
        <f>IF(N1007="","",N1007+N(O1007))</f>
        <v/>
      </c>
      <c r="Q1007" s="64" t="n"/>
      <c r="R1007" s="73" t="str">
        <f>IF(N(Q1007)&gt;0,Q1007,IF(OR(N(B1007)=0,ISNA(MATCH($C1007,sup_code,0))),"",IF(ISNUMBER(INDEX(sup_delay,MATCH($C1007,sup_code,0))),B1007+INDEX(sup_delay,MATCH($C1007,sup_code,0)),"")))</f>
        <v/>
      </c>
      <c r="S1007" s="64" t="n"/>
      <c r="T1007" s="68" t="n"/>
      <c r="U1007" s="64" t="n"/>
      <c r="V1007" s="65" t="n"/>
      <c r="W1007" s="74" t="str">
        <f>IF(AND(A1007="",E1007=""),"",IF(V1007="Oui",0,MAX(0,ROUND(N(H1007)-N(T1007),6))))</f>
        <v/>
      </c>
      <c r="X1007" s="67" t="str">
        <f>IF(AND(A1007="",E1007=""),"",IF(V1007="Oui","Annulé",IF(AND(N(H1007)&gt;0,N(T1007)&gt;=N(H1007)),"Reçu",IF(N(S1007)=0,"Brouillon",IF(AND(ISNUMBER(R1007),R1007&lt;p_today),"En retard",IF(N(T1007)&gt;0,"Partiel","Envoyé"))))))</f>
        <v/>
      </c>
      <c r="Y1007" s="75" t="str">
        <f>IF(X1007="En retard",p_today-R1007,IF(AND(X1007="Reçu",ISNUMBER(R1007)),MAX(0,N(U1007)-R1007),""))</f>
        <v/>
      </c>
      <c r="Z1007" s="67" t="str">
        <f>IF(AND(A1007="",E1007=""),"",IF(A1007="","N° de bon manquant",IF(N(B1007)=0,"Date de commande manquante",IF(C1007="","Fournisseur manquant",IF(ISNA(MATCH($C1007,sup_code,0)),"Fournisseur inconnu",IF(E1007="","Article manquant",IF(ISNA(MATCH($E1007,art_ref,0)),"Article inconnu",IF(N(H1007)&lt;=0,"Quantité invalide",IF(J1007="","Prix manquant",IF(OR(N(K1007)&lt;0,N(K1007)&gt;=1),"Remise invalide",IF(M1007="","TVA manquante",IF(ISNA(MATCH(M1007,p_tva,0)),"Taux de TVA inconnu",IF(COUNTIFS(po_num,A1007,po_sup,"&lt;&gt;"&amp;C1007)&gt;0,"Fournisseur différent sur ce bon",IF(COUNTIFS(po_num,A1007,po_date,"&lt;&gt;"&amp;B1007)&gt;0,"Date différente sur ce bon",IF(COUNTIF(po_num,A1007)&gt;25,"Plus de 25 lignes sur ce bon",IF(R1007="","Date de livraison manquante",IF(R1007&lt;B1007,"Livraison avant la commande",IF(AND(N(T1007)&gt;0,N(S1007)=0),"Date d'envoi manquante",IF(N(T1007)&gt;N(H1007),"Reçu plus que commandé",IF(AND(N(T1007)&gt;0,N(U1007)=0),"Date de réception manquante",IF(AND(N(U1007)&gt;0,U1007&lt;B1007),"Réception avant la commande","OK")))))))))))))))))))))</f>
        <v/>
      </c>
      <c r="AA1007" s="66" t="str">
        <f>IF(AND(X1007="Reçu",ISNUMBER(R1007)),IF(N(U1007)&lt;=R1007,1,0),"")</f>
        <v/>
      </c>
      <c r="AB1007" s="76" t="str">
        <f>IF(OR(X1007="Envoyé",X1007="Partiel",X1007="En retard"),IF(ISNUMBER(R1007),R1007,100000)+ROW()/100000,"")</f>
        <v/>
      </c>
      <c r="AC1007" s="66" t="str">
        <f>IF(A1007="","",IF(COUNTIF($A$6:A1007,A1007)=1,1,""))</f>
        <v/>
      </c>
      <c r="AD1007" s="66" t="str">
        <f>IF(AC1007=1,COUNT($AC$6:AC1007),"")</f>
        <v/>
      </c>
      <c r="AE1007" s="66" t="str">
        <f>IFERROR(INDEX(po_num,MATCH(1002,po_seq,0))&amp;"","")</f>
        <v/>
      </c>
      <c r="AF1007" s="66" t="str">
        <f>IF(OR(A1007="",p_po=""),"",IF(A1007&amp;""=p_po,COUNTIF($A$6:A1007,A1007),""))</f>
        <v/>
      </c>
      <c r="AG1007" s="66" t="str">
        <f>IF(OR(AB1007="",A1007=""),"",IF(COUNTIFS($A$6:A1007,A1007,$AB$6:AB1007,"&gt;0")=1,1,""))</f>
        <v/>
      </c>
      <c r="AH1007" s="70" t="str">
        <f>IF(AB1007="","",ROUND(N(W1007)*N(J1007)*(1-N(K1007)),2))</f>
        <v/>
      </c>
      <c r="AI1007" s="70" t="str">
        <f>IF(OR(J1007="",N(T1007)&lt;=0,V1007="Oui"),"",ROUND(N(T1007)*J1007*(1-N(K1007)),2))</f>
        <v/>
      </c>
    </row>
    <row r="1008">
      <c r="A1008" s="63" t="n"/>
      <c r="B1008" s="64" t="n"/>
      <c r="C1008" s="65" t="n"/>
      <c r="D1008" s="66" t="str">
        <f>IF(C1008="","",IFERROR(INDEX(sup_name,MATCH($C1008,sup_code,0))&amp;"","Fournisseur inconnu"))</f>
        <v/>
      </c>
      <c r="E1008" s="63" t="n"/>
      <c r="F1008" s="66" t="str">
        <f>IF(E1008="","",IFERROR(INDEX(art_des,MATCH($E1008,art_ref,0))&amp;"","Article inconnu"))</f>
        <v/>
      </c>
      <c r="G1008" s="67" t="str">
        <f>IF(E1008="","",IFERROR(INDEX(art_unit,MATCH($E1008,art_ref,0))&amp;"",""))</f>
        <v/>
      </c>
      <c r="H1008" s="68" t="n"/>
      <c r="I1008" s="69" t="n"/>
      <c r="J1008" s="70" t="str">
        <f>IF(E1008="","",IF(ISNUMBER(I1008),I1008,IFERROR(IF(ISNUMBER(INDEX(art_price,MATCH($E1008,art_ref,0))),INDEX(art_price,MATCH($E1008,art_ref,0)),""),"")))</f>
        <v/>
      </c>
      <c r="K1008" s="71" t="n"/>
      <c r="L1008" s="72" t="n"/>
      <c r="M1008" s="72" t="str">
        <f>IF(E1008="","",IF(L1008&lt;&gt;"",L1008,IFERROR(IF(ISNUMBER(INDEX(art_tva,MATCH($E1008,art_ref,0))),INDEX(art_tva,MATCH($E1008,art_ref,0)),""),"")))</f>
        <v/>
      </c>
      <c r="N1008" s="70" t="str">
        <f>IF(OR(E1008="",J1008=""),"",ROUND(N(H1008)*J1008*(1-N(K1008)),2))</f>
        <v/>
      </c>
      <c r="O1008" s="70" t="str">
        <f>IF(OR(N1008="",NOT(ISNUMBER(M1008))),"",ROUND(N1008*M1008,2))</f>
        <v/>
      </c>
      <c r="P1008" s="70" t="str">
        <f>IF(N1008="","",N1008+N(O1008))</f>
        <v/>
      </c>
      <c r="Q1008" s="64" t="n"/>
      <c r="R1008" s="73" t="str">
        <f>IF(N(Q1008)&gt;0,Q1008,IF(OR(N(B1008)=0,ISNA(MATCH($C1008,sup_code,0))),"",IF(ISNUMBER(INDEX(sup_delay,MATCH($C1008,sup_code,0))),B1008+INDEX(sup_delay,MATCH($C1008,sup_code,0)),"")))</f>
        <v/>
      </c>
      <c r="S1008" s="64" t="n"/>
      <c r="T1008" s="68" t="n"/>
      <c r="U1008" s="64" t="n"/>
      <c r="V1008" s="65" t="n"/>
      <c r="W1008" s="74" t="str">
        <f>IF(AND(A1008="",E1008=""),"",IF(V1008="Oui",0,MAX(0,ROUND(N(H1008)-N(T1008),6))))</f>
        <v/>
      </c>
      <c r="X1008" s="67" t="str">
        <f>IF(AND(A1008="",E1008=""),"",IF(V1008="Oui","Annulé",IF(AND(N(H1008)&gt;0,N(T1008)&gt;=N(H1008)),"Reçu",IF(N(S1008)=0,"Brouillon",IF(AND(ISNUMBER(R1008),R1008&lt;p_today),"En retard",IF(N(T1008)&gt;0,"Partiel","Envoyé"))))))</f>
        <v/>
      </c>
      <c r="Y1008" s="75" t="str">
        <f>IF(X1008="En retard",p_today-R1008,IF(AND(X1008="Reçu",ISNUMBER(R1008)),MAX(0,N(U1008)-R1008),""))</f>
        <v/>
      </c>
      <c r="Z1008" s="67" t="str">
        <f>IF(AND(A1008="",E1008=""),"",IF(A1008="","N° de bon manquant",IF(N(B1008)=0,"Date de commande manquante",IF(C1008="","Fournisseur manquant",IF(ISNA(MATCH($C1008,sup_code,0)),"Fournisseur inconnu",IF(E1008="","Article manquant",IF(ISNA(MATCH($E1008,art_ref,0)),"Article inconnu",IF(N(H1008)&lt;=0,"Quantité invalide",IF(J1008="","Prix manquant",IF(OR(N(K1008)&lt;0,N(K1008)&gt;=1),"Remise invalide",IF(M1008="","TVA manquante",IF(ISNA(MATCH(M1008,p_tva,0)),"Taux de TVA inconnu",IF(COUNTIFS(po_num,A1008,po_sup,"&lt;&gt;"&amp;C1008)&gt;0,"Fournisseur différent sur ce bon",IF(COUNTIFS(po_num,A1008,po_date,"&lt;&gt;"&amp;B1008)&gt;0,"Date différente sur ce bon",IF(COUNTIF(po_num,A1008)&gt;25,"Plus de 25 lignes sur ce bon",IF(R1008="","Date de livraison manquante",IF(R1008&lt;B1008,"Livraison avant la commande",IF(AND(N(T1008)&gt;0,N(S1008)=0),"Date d'envoi manquante",IF(N(T1008)&gt;N(H1008),"Reçu plus que commandé",IF(AND(N(T1008)&gt;0,N(U1008)=0),"Date de réception manquante",IF(AND(N(U1008)&gt;0,U1008&lt;B1008),"Réception avant la commande","OK")))))))))))))))))))))</f>
        <v/>
      </c>
      <c r="AA1008" s="66" t="str">
        <f>IF(AND(X1008="Reçu",ISNUMBER(R1008)),IF(N(U1008)&lt;=R1008,1,0),"")</f>
        <v/>
      </c>
      <c r="AB1008" s="76" t="str">
        <f>IF(OR(X1008="Envoyé",X1008="Partiel",X1008="En retard"),IF(ISNUMBER(R1008),R1008,100000)+ROW()/100000,"")</f>
        <v/>
      </c>
      <c r="AC1008" s="66" t="str">
        <f>IF(A1008="","",IF(COUNTIF($A$6:A1008,A1008)=1,1,""))</f>
        <v/>
      </c>
      <c r="AD1008" s="66" t="str">
        <f>IF(AC1008=1,COUNT($AC$6:AC1008),"")</f>
        <v/>
      </c>
      <c r="AE1008" s="66" t="str">
        <f>IFERROR(INDEX(po_num,MATCH(1003,po_seq,0))&amp;"","")</f>
        <v/>
      </c>
      <c r="AF1008" s="66" t="str">
        <f>IF(OR(A1008="",p_po=""),"",IF(A1008&amp;""=p_po,COUNTIF($A$6:A1008,A1008),""))</f>
        <v/>
      </c>
      <c r="AG1008" s="66" t="str">
        <f>IF(OR(AB1008="",A1008=""),"",IF(COUNTIFS($A$6:A1008,A1008,$AB$6:AB1008,"&gt;0")=1,1,""))</f>
        <v/>
      </c>
      <c r="AH1008" s="70" t="str">
        <f>IF(AB1008="","",ROUND(N(W1008)*N(J1008)*(1-N(K1008)),2))</f>
        <v/>
      </c>
      <c r="AI1008" s="70" t="str">
        <f>IF(OR(J1008="",N(T1008)&lt;=0,V1008="Oui"),"",ROUND(N(T1008)*J1008*(1-N(K1008)),2))</f>
        <v/>
      </c>
    </row>
    <row r="1009">
      <c r="A1009" s="63" t="n"/>
      <c r="B1009" s="64" t="n"/>
      <c r="C1009" s="65" t="n"/>
      <c r="D1009" s="66" t="str">
        <f>IF(C1009="","",IFERROR(INDEX(sup_name,MATCH($C1009,sup_code,0))&amp;"","Fournisseur inconnu"))</f>
        <v/>
      </c>
      <c r="E1009" s="63" t="n"/>
      <c r="F1009" s="66" t="str">
        <f>IF(E1009="","",IFERROR(INDEX(art_des,MATCH($E1009,art_ref,0))&amp;"","Article inconnu"))</f>
        <v/>
      </c>
      <c r="G1009" s="67" t="str">
        <f>IF(E1009="","",IFERROR(INDEX(art_unit,MATCH($E1009,art_ref,0))&amp;"",""))</f>
        <v/>
      </c>
      <c r="H1009" s="68" t="n"/>
      <c r="I1009" s="69" t="n"/>
      <c r="J1009" s="70" t="str">
        <f>IF(E1009="","",IF(ISNUMBER(I1009),I1009,IFERROR(IF(ISNUMBER(INDEX(art_price,MATCH($E1009,art_ref,0))),INDEX(art_price,MATCH($E1009,art_ref,0)),""),"")))</f>
        <v/>
      </c>
      <c r="K1009" s="71" t="n"/>
      <c r="L1009" s="72" t="n"/>
      <c r="M1009" s="72" t="str">
        <f>IF(E1009="","",IF(L1009&lt;&gt;"",L1009,IFERROR(IF(ISNUMBER(INDEX(art_tva,MATCH($E1009,art_ref,0))),INDEX(art_tva,MATCH($E1009,art_ref,0)),""),"")))</f>
        <v/>
      </c>
      <c r="N1009" s="70" t="str">
        <f>IF(OR(E1009="",J1009=""),"",ROUND(N(H1009)*J1009*(1-N(K1009)),2))</f>
        <v/>
      </c>
      <c r="O1009" s="70" t="str">
        <f>IF(OR(N1009="",NOT(ISNUMBER(M1009))),"",ROUND(N1009*M1009,2))</f>
        <v/>
      </c>
      <c r="P1009" s="70" t="str">
        <f>IF(N1009="","",N1009+N(O1009))</f>
        <v/>
      </c>
      <c r="Q1009" s="64" t="n"/>
      <c r="R1009" s="73" t="str">
        <f>IF(N(Q1009)&gt;0,Q1009,IF(OR(N(B1009)=0,ISNA(MATCH($C1009,sup_code,0))),"",IF(ISNUMBER(INDEX(sup_delay,MATCH($C1009,sup_code,0))),B1009+INDEX(sup_delay,MATCH($C1009,sup_code,0)),"")))</f>
        <v/>
      </c>
      <c r="S1009" s="64" t="n"/>
      <c r="T1009" s="68" t="n"/>
      <c r="U1009" s="64" t="n"/>
      <c r="V1009" s="65" t="n"/>
      <c r="W1009" s="74" t="str">
        <f>IF(AND(A1009="",E1009=""),"",IF(V1009="Oui",0,MAX(0,ROUND(N(H1009)-N(T1009),6))))</f>
        <v/>
      </c>
      <c r="X1009" s="67" t="str">
        <f>IF(AND(A1009="",E1009=""),"",IF(V1009="Oui","Annulé",IF(AND(N(H1009)&gt;0,N(T1009)&gt;=N(H1009)),"Reçu",IF(N(S1009)=0,"Brouillon",IF(AND(ISNUMBER(R1009),R1009&lt;p_today),"En retard",IF(N(T1009)&gt;0,"Partiel","Envoyé"))))))</f>
        <v/>
      </c>
      <c r="Y1009" s="75" t="str">
        <f>IF(X1009="En retard",p_today-R1009,IF(AND(X1009="Reçu",ISNUMBER(R1009)),MAX(0,N(U1009)-R1009),""))</f>
        <v/>
      </c>
      <c r="Z1009" s="67" t="str">
        <f>IF(AND(A1009="",E1009=""),"",IF(A1009="","N° de bon manquant",IF(N(B1009)=0,"Date de commande manquante",IF(C1009="","Fournisseur manquant",IF(ISNA(MATCH($C1009,sup_code,0)),"Fournisseur inconnu",IF(E1009="","Article manquant",IF(ISNA(MATCH($E1009,art_ref,0)),"Article inconnu",IF(N(H1009)&lt;=0,"Quantité invalide",IF(J1009="","Prix manquant",IF(OR(N(K1009)&lt;0,N(K1009)&gt;=1),"Remise invalide",IF(M1009="","TVA manquante",IF(ISNA(MATCH(M1009,p_tva,0)),"Taux de TVA inconnu",IF(COUNTIFS(po_num,A1009,po_sup,"&lt;&gt;"&amp;C1009)&gt;0,"Fournisseur différent sur ce bon",IF(COUNTIFS(po_num,A1009,po_date,"&lt;&gt;"&amp;B1009)&gt;0,"Date différente sur ce bon",IF(COUNTIF(po_num,A1009)&gt;25,"Plus de 25 lignes sur ce bon",IF(R1009="","Date de livraison manquante",IF(R1009&lt;B1009,"Livraison avant la commande",IF(AND(N(T1009)&gt;0,N(S1009)=0),"Date d'envoi manquante",IF(N(T1009)&gt;N(H1009),"Reçu plus que commandé",IF(AND(N(T1009)&gt;0,N(U1009)=0),"Date de réception manquante",IF(AND(N(U1009)&gt;0,U1009&lt;B1009),"Réception avant la commande","OK")))))))))))))))))))))</f>
        <v/>
      </c>
      <c r="AA1009" s="66" t="str">
        <f>IF(AND(X1009="Reçu",ISNUMBER(R1009)),IF(N(U1009)&lt;=R1009,1,0),"")</f>
        <v/>
      </c>
      <c r="AB1009" s="76" t="str">
        <f>IF(OR(X1009="Envoyé",X1009="Partiel",X1009="En retard"),IF(ISNUMBER(R1009),R1009,100000)+ROW()/100000,"")</f>
        <v/>
      </c>
      <c r="AC1009" s="66" t="str">
        <f>IF(A1009="","",IF(COUNTIF($A$6:A1009,A1009)=1,1,""))</f>
        <v/>
      </c>
      <c r="AD1009" s="66" t="str">
        <f>IF(AC1009=1,COUNT($AC$6:AC1009),"")</f>
        <v/>
      </c>
      <c r="AE1009" s="66" t="str">
        <f>IFERROR(INDEX(po_num,MATCH(1004,po_seq,0))&amp;"","")</f>
        <v/>
      </c>
      <c r="AF1009" s="66" t="str">
        <f>IF(OR(A1009="",p_po=""),"",IF(A1009&amp;""=p_po,COUNTIF($A$6:A1009,A1009),""))</f>
        <v/>
      </c>
      <c r="AG1009" s="66" t="str">
        <f>IF(OR(AB1009="",A1009=""),"",IF(COUNTIFS($A$6:A1009,A1009,$AB$6:AB1009,"&gt;0")=1,1,""))</f>
        <v/>
      </c>
      <c r="AH1009" s="70" t="str">
        <f>IF(AB1009="","",ROUND(N(W1009)*N(J1009)*(1-N(K1009)),2))</f>
        <v/>
      </c>
      <c r="AI1009" s="70" t="str">
        <f>IF(OR(J1009="",N(T1009)&lt;=0,V1009="Oui"),"",ROUND(N(T1009)*J1009*(1-N(K1009)),2))</f>
        <v/>
      </c>
    </row>
    <row r="1010">
      <c r="A1010" s="63" t="n"/>
      <c r="B1010" s="64" t="n"/>
      <c r="C1010" s="65" t="n"/>
      <c r="D1010" s="66" t="str">
        <f>IF(C1010="","",IFERROR(INDEX(sup_name,MATCH($C1010,sup_code,0))&amp;"","Fournisseur inconnu"))</f>
        <v/>
      </c>
      <c r="E1010" s="63" t="n"/>
      <c r="F1010" s="66" t="str">
        <f>IF(E1010="","",IFERROR(INDEX(art_des,MATCH($E1010,art_ref,0))&amp;"","Article inconnu"))</f>
        <v/>
      </c>
      <c r="G1010" s="67" t="str">
        <f>IF(E1010="","",IFERROR(INDEX(art_unit,MATCH($E1010,art_ref,0))&amp;"",""))</f>
        <v/>
      </c>
      <c r="H1010" s="68" t="n"/>
      <c r="I1010" s="69" t="n"/>
      <c r="J1010" s="70" t="str">
        <f>IF(E1010="","",IF(ISNUMBER(I1010),I1010,IFERROR(IF(ISNUMBER(INDEX(art_price,MATCH($E1010,art_ref,0))),INDEX(art_price,MATCH($E1010,art_ref,0)),""),"")))</f>
        <v/>
      </c>
      <c r="K1010" s="71" t="n"/>
      <c r="L1010" s="72" t="n"/>
      <c r="M1010" s="72" t="str">
        <f>IF(E1010="","",IF(L1010&lt;&gt;"",L1010,IFERROR(IF(ISNUMBER(INDEX(art_tva,MATCH($E1010,art_ref,0))),INDEX(art_tva,MATCH($E1010,art_ref,0)),""),"")))</f>
        <v/>
      </c>
      <c r="N1010" s="70" t="str">
        <f>IF(OR(E1010="",J1010=""),"",ROUND(N(H1010)*J1010*(1-N(K1010)),2))</f>
        <v/>
      </c>
      <c r="O1010" s="70" t="str">
        <f>IF(OR(N1010="",NOT(ISNUMBER(M1010))),"",ROUND(N1010*M1010,2))</f>
        <v/>
      </c>
      <c r="P1010" s="70" t="str">
        <f>IF(N1010="","",N1010+N(O1010))</f>
        <v/>
      </c>
      <c r="Q1010" s="64" t="n"/>
      <c r="R1010" s="73" t="str">
        <f>IF(N(Q1010)&gt;0,Q1010,IF(OR(N(B1010)=0,ISNA(MATCH($C1010,sup_code,0))),"",IF(ISNUMBER(INDEX(sup_delay,MATCH($C1010,sup_code,0))),B1010+INDEX(sup_delay,MATCH($C1010,sup_code,0)),"")))</f>
        <v/>
      </c>
      <c r="S1010" s="64" t="n"/>
      <c r="T1010" s="68" t="n"/>
      <c r="U1010" s="64" t="n"/>
      <c r="V1010" s="65" t="n"/>
      <c r="W1010" s="74" t="str">
        <f>IF(AND(A1010="",E1010=""),"",IF(V1010="Oui",0,MAX(0,ROUND(N(H1010)-N(T1010),6))))</f>
        <v/>
      </c>
      <c r="X1010" s="67" t="str">
        <f>IF(AND(A1010="",E1010=""),"",IF(V1010="Oui","Annulé",IF(AND(N(H1010)&gt;0,N(T1010)&gt;=N(H1010)),"Reçu",IF(N(S1010)=0,"Brouillon",IF(AND(ISNUMBER(R1010),R1010&lt;p_today),"En retard",IF(N(T1010)&gt;0,"Partiel","Envoyé"))))))</f>
        <v/>
      </c>
      <c r="Y1010" s="75" t="str">
        <f>IF(X1010="En retard",p_today-R1010,IF(AND(X1010="Reçu",ISNUMBER(R1010)),MAX(0,N(U1010)-R1010),""))</f>
        <v/>
      </c>
      <c r="Z1010" s="67" t="str">
        <f>IF(AND(A1010="",E1010=""),"",IF(A1010="","N° de bon manquant",IF(N(B1010)=0,"Date de commande manquante",IF(C1010="","Fournisseur manquant",IF(ISNA(MATCH($C1010,sup_code,0)),"Fournisseur inconnu",IF(E1010="","Article manquant",IF(ISNA(MATCH($E1010,art_ref,0)),"Article inconnu",IF(N(H1010)&lt;=0,"Quantité invalide",IF(J1010="","Prix manquant",IF(OR(N(K1010)&lt;0,N(K1010)&gt;=1),"Remise invalide",IF(M1010="","TVA manquante",IF(ISNA(MATCH(M1010,p_tva,0)),"Taux de TVA inconnu",IF(COUNTIFS(po_num,A1010,po_sup,"&lt;&gt;"&amp;C1010)&gt;0,"Fournisseur différent sur ce bon",IF(COUNTIFS(po_num,A1010,po_date,"&lt;&gt;"&amp;B1010)&gt;0,"Date différente sur ce bon",IF(COUNTIF(po_num,A1010)&gt;25,"Plus de 25 lignes sur ce bon",IF(R1010="","Date de livraison manquante",IF(R1010&lt;B1010,"Livraison avant la commande",IF(AND(N(T1010)&gt;0,N(S1010)=0),"Date d'envoi manquante",IF(N(T1010)&gt;N(H1010),"Reçu plus que commandé",IF(AND(N(T1010)&gt;0,N(U1010)=0),"Date de réception manquante",IF(AND(N(U1010)&gt;0,U1010&lt;B1010),"Réception avant la commande","OK")))))))))))))))))))))</f>
        <v/>
      </c>
      <c r="AA1010" s="66" t="str">
        <f>IF(AND(X1010="Reçu",ISNUMBER(R1010)),IF(N(U1010)&lt;=R1010,1,0),"")</f>
        <v/>
      </c>
      <c r="AB1010" s="76" t="str">
        <f>IF(OR(X1010="Envoyé",X1010="Partiel",X1010="En retard"),IF(ISNUMBER(R1010),R1010,100000)+ROW()/100000,"")</f>
        <v/>
      </c>
      <c r="AC1010" s="66" t="str">
        <f>IF(A1010="","",IF(COUNTIF($A$6:A1010,A1010)=1,1,""))</f>
        <v/>
      </c>
      <c r="AD1010" s="66" t="str">
        <f>IF(AC1010=1,COUNT($AC$6:AC1010),"")</f>
        <v/>
      </c>
      <c r="AE1010" s="66" t="str">
        <f>IFERROR(INDEX(po_num,MATCH(1005,po_seq,0))&amp;"","")</f>
        <v/>
      </c>
      <c r="AF1010" s="66" t="str">
        <f>IF(OR(A1010="",p_po=""),"",IF(A1010&amp;""=p_po,COUNTIF($A$6:A1010,A1010),""))</f>
        <v/>
      </c>
      <c r="AG1010" s="66" t="str">
        <f>IF(OR(AB1010="",A1010=""),"",IF(COUNTIFS($A$6:A1010,A1010,$AB$6:AB1010,"&gt;0")=1,1,""))</f>
        <v/>
      </c>
      <c r="AH1010" s="70" t="str">
        <f>IF(AB1010="","",ROUND(N(W1010)*N(J1010)*(1-N(K1010)),2))</f>
        <v/>
      </c>
      <c r="AI1010" s="70" t="str">
        <f>IF(OR(J1010="",N(T1010)&lt;=0,V1010="Oui"),"",ROUND(N(T1010)*J1010*(1-N(K1010)),2))</f>
        <v/>
      </c>
    </row>
    <row r="1011">
      <c r="A1011" s="63" t="n"/>
      <c r="B1011" s="64" t="n"/>
      <c r="C1011" s="65" t="n"/>
      <c r="D1011" s="66" t="str">
        <f>IF(C1011="","",IFERROR(INDEX(sup_name,MATCH($C1011,sup_code,0))&amp;"","Fournisseur inconnu"))</f>
        <v/>
      </c>
      <c r="E1011" s="63" t="n"/>
      <c r="F1011" s="66" t="str">
        <f>IF(E1011="","",IFERROR(INDEX(art_des,MATCH($E1011,art_ref,0))&amp;"","Article inconnu"))</f>
        <v/>
      </c>
      <c r="G1011" s="67" t="str">
        <f>IF(E1011="","",IFERROR(INDEX(art_unit,MATCH($E1011,art_ref,0))&amp;"",""))</f>
        <v/>
      </c>
      <c r="H1011" s="68" t="n"/>
      <c r="I1011" s="69" t="n"/>
      <c r="J1011" s="70" t="str">
        <f>IF(E1011="","",IF(ISNUMBER(I1011),I1011,IFERROR(IF(ISNUMBER(INDEX(art_price,MATCH($E1011,art_ref,0))),INDEX(art_price,MATCH($E1011,art_ref,0)),""),"")))</f>
        <v/>
      </c>
      <c r="K1011" s="71" t="n"/>
      <c r="L1011" s="72" t="n"/>
      <c r="M1011" s="72" t="str">
        <f>IF(E1011="","",IF(L1011&lt;&gt;"",L1011,IFERROR(IF(ISNUMBER(INDEX(art_tva,MATCH($E1011,art_ref,0))),INDEX(art_tva,MATCH($E1011,art_ref,0)),""),"")))</f>
        <v/>
      </c>
      <c r="N1011" s="70" t="str">
        <f>IF(OR(E1011="",J1011=""),"",ROUND(N(H1011)*J1011*(1-N(K1011)),2))</f>
        <v/>
      </c>
      <c r="O1011" s="70" t="str">
        <f>IF(OR(N1011="",NOT(ISNUMBER(M1011))),"",ROUND(N1011*M1011,2))</f>
        <v/>
      </c>
      <c r="P1011" s="70" t="str">
        <f>IF(N1011="","",N1011+N(O1011))</f>
        <v/>
      </c>
      <c r="Q1011" s="64" t="n"/>
      <c r="R1011" s="73" t="str">
        <f>IF(N(Q1011)&gt;0,Q1011,IF(OR(N(B1011)=0,ISNA(MATCH($C1011,sup_code,0))),"",IF(ISNUMBER(INDEX(sup_delay,MATCH($C1011,sup_code,0))),B1011+INDEX(sup_delay,MATCH($C1011,sup_code,0)),"")))</f>
        <v/>
      </c>
      <c r="S1011" s="64" t="n"/>
      <c r="T1011" s="68" t="n"/>
      <c r="U1011" s="64" t="n"/>
      <c r="V1011" s="65" t="n"/>
      <c r="W1011" s="74" t="str">
        <f>IF(AND(A1011="",E1011=""),"",IF(V1011="Oui",0,MAX(0,ROUND(N(H1011)-N(T1011),6))))</f>
        <v/>
      </c>
      <c r="X1011" s="67" t="str">
        <f>IF(AND(A1011="",E1011=""),"",IF(V1011="Oui","Annulé",IF(AND(N(H1011)&gt;0,N(T1011)&gt;=N(H1011)),"Reçu",IF(N(S1011)=0,"Brouillon",IF(AND(ISNUMBER(R1011),R1011&lt;p_today),"En retard",IF(N(T1011)&gt;0,"Partiel","Envoyé"))))))</f>
        <v/>
      </c>
      <c r="Y1011" s="75" t="str">
        <f>IF(X1011="En retard",p_today-R1011,IF(AND(X1011="Reçu",ISNUMBER(R1011)),MAX(0,N(U1011)-R1011),""))</f>
        <v/>
      </c>
      <c r="Z1011" s="67" t="str">
        <f>IF(AND(A1011="",E1011=""),"",IF(A1011="","N° de bon manquant",IF(N(B1011)=0,"Date de commande manquante",IF(C1011="","Fournisseur manquant",IF(ISNA(MATCH($C1011,sup_code,0)),"Fournisseur inconnu",IF(E1011="","Article manquant",IF(ISNA(MATCH($E1011,art_ref,0)),"Article inconnu",IF(N(H1011)&lt;=0,"Quantité invalide",IF(J1011="","Prix manquant",IF(OR(N(K1011)&lt;0,N(K1011)&gt;=1),"Remise invalide",IF(M1011="","TVA manquante",IF(ISNA(MATCH(M1011,p_tva,0)),"Taux de TVA inconnu",IF(COUNTIFS(po_num,A1011,po_sup,"&lt;&gt;"&amp;C1011)&gt;0,"Fournisseur différent sur ce bon",IF(COUNTIFS(po_num,A1011,po_date,"&lt;&gt;"&amp;B1011)&gt;0,"Date différente sur ce bon",IF(COUNTIF(po_num,A1011)&gt;25,"Plus de 25 lignes sur ce bon",IF(R1011="","Date de livraison manquante",IF(R1011&lt;B1011,"Livraison avant la commande",IF(AND(N(T1011)&gt;0,N(S1011)=0),"Date d'envoi manquante",IF(N(T1011)&gt;N(H1011),"Reçu plus que commandé",IF(AND(N(T1011)&gt;0,N(U1011)=0),"Date de réception manquante",IF(AND(N(U1011)&gt;0,U1011&lt;B1011),"Réception avant la commande","OK")))))))))))))))))))))</f>
        <v/>
      </c>
      <c r="AA1011" s="66" t="str">
        <f>IF(AND(X1011="Reçu",ISNUMBER(R1011)),IF(N(U1011)&lt;=R1011,1,0),"")</f>
        <v/>
      </c>
      <c r="AB1011" s="76" t="str">
        <f>IF(OR(X1011="Envoyé",X1011="Partiel",X1011="En retard"),IF(ISNUMBER(R1011),R1011,100000)+ROW()/100000,"")</f>
        <v/>
      </c>
      <c r="AC1011" s="66" t="str">
        <f>IF(A1011="","",IF(COUNTIF($A$6:A1011,A1011)=1,1,""))</f>
        <v/>
      </c>
      <c r="AD1011" s="66" t="str">
        <f>IF(AC1011=1,COUNT($AC$6:AC1011),"")</f>
        <v/>
      </c>
      <c r="AE1011" s="66" t="str">
        <f>IFERROR(INDEX(po_num,MATCH(1006,po_seq,0))&amp;"","")</f>
        <v/>
      </c>
      <c r="AF1011" s="66" t="str">
        <f>IF(OR(A1011="",p_po=""),"",IF(A1011&amp;""=p_po,COUNTIF($A$6:A1011,A1011),""))</f>
        <v/>
      </c>
      <c r="AG1011" s="66" t="str">
        <f>IF(OR(AB1011="",A1011=""),"",IF(COUNTIFS($A$6:A1011,A1011,$AB$6:AB1011,"&gt;0")=1,1,""))</f>
        <v/>
      </c>
      <c r="AH1011" s="70" t="str">
        <f>IF(AB1011="","",ROUND(N(W1011)*N(J1011)*(1-N(K1011)),2))</f>
        <v/>
      </c>
      <c r="AI1011" s="70" t="str">
        <f>IF(OR(J1011="",N(T1011)&lt;=0,V1011="Oui"),"",ROUND(N(T1011)*J1011*(1-N(K1011)),2))</f>
        <v/>
      </c>
    </row>
    <row r="1012">
      <c r="A1012" s="63" t="n"/>
      <c r="B1012" s="64" t="n"/>
      <c r="C1012" s="65" t="n"/>
      <c r="D1012" s="66" t="str">
        <f>IF(C1012="","",IFERROR(INDEX(sup_name,MATCH($C1012,sup_code,0))&amp;"","Fournisseur inconnu"))</f>
        <v/>
      </c>
      <c r="E1012" s="63" t="n"/>
      <c r="F1012" s="66" t="str">
        <f>IF(E1012="","",IFERROR(INDEX(art_des,MATCH($E1012,art_ref,0))&amp;"","Article inconnu"))</f>
        <v/>
      </c>
      <c r="G1012" s="67" t="str">
        <f>IF(E1012="","",IFERROR(INDEX(art_unit,MATCH($E1012,art_ref,0))&amp;"",""))</f>
        <v/>
      </c>
      <c r="H1012" s="68" t="n"/>
      <c r="I1012" s="69" t="n"/>
      <c r="J1012" s="70" t="str">
        <f>IF(E1012="","",IF(ISNUMBER(I1012),I1012,IFERROR(IF(ISNUMBER(INDEX(art_price,MATCH($E1012,art_ref,0))),INDEX(art_price,MATCH($E1012,art_ref,0)),""),"")))</f>
        <v/>
      </c>
      <c r="K1012" s="71" t="n"/>
      <c r="L1012" s="72" t="n"/>
      <c r="M1012" s="72" t="str">
        <f>IF(E1012="","",IF(L1012&lt;&gt;"",L1012,IFERROR(IF(ISNUMBER(INDEX(art_tva,MATCH($E1012,art_ref,0))),INDEX(art_tva,MATCH($E1012,art_ref,0)),""),"")))</f>
        <v/>
      </c>
      <c r="N1012" s="70" t="str">
        <f>IF(OR(E1012="",J1012=""),"",ROUND(N(H1012)*J1012*(1-N(K1012)),2))</f>
        <v/>
      </c>
      <c r="O1012" s="70" t="str">
        <f>IF(OR(N1012="",NOT(ISNUMBER(M1012))),"",ROUND(N1012*M1012,2))</f>
        <v/>
      </c>
      <c r="P1012" s="70" t="str">
        <f>IF(N1012="","",N1012+N(O1012))</f>
        <v/>
      </c>
      <c r="Q1012" s="64" t="n"/>
      <c r="R1012" s="73" t="str">
        <f>IF(N(Q1012)&gt;0,Q1012,IF(OR(N(B1012)=0,ISNA(MATCH($C1012,sup_code,0))),"",IF(ISNUMBER(INDEX(sup_delay,MATCH($C1012,sup_code,0))),B1012+INDEX(sup_delay,MATCH($C1012,sup_code,0)),"")))</f>
        <v/>
      </c>
      <c r="S1012" s="64" t="n"/>
      <c r="T1012" s="68" t="n"/>
      <c r="U1012" s="64" t="n"/>
      <c r="V1012" s="65" t="n"/>
      <c r="W1012" s="74" t="str">
        <f>IF(AND(A1012="",E1012=""),"",IF(V1012="Oui",0,MAX(0,ROUND(N(H1012)-N(T1012),6))))</f>
        <v/>
      </c>
      <c r="X1012" s="67" t="str">
        <f>IF(AND(A1012="",E1012=""),"",IF(V1012="Oui","Annulé",IF(AND(N(H1012)&gt;0,N(T1012)&gt;=N(H1012)),"Reçu",IF(N(S1012)=0,"Brouillon",IF(AND(ISNUMBER(R1012),R1012&lt;p_today),"En retard",IF(N(T1012)&gt;0,"Partiel","Envoyé"))))))</f>
        <v/>
      </c>
      <c r="Y1012" s="75" t="str">
        <f>IF(X1012="En retard",p_today-R1012,IF(AND(X1012="Reçu",ISNUMBER(R1012)),MAX(0,N(U1012)-R1012),""))</f>
        <v/>
      </c>
      <c r="Z1012" s="67" t="str">
        <f>IF(AND(A1012="",E1012=""),"",IF(A1012="","N° de bon manquant",IF(N(B1012)=0,"Date de commande manquante",IF(C1012="","Fournisseur manquant",IF(ISNA(MATCH($C1012,sup_code,0)),"Fournisseur inconnu",IF(E1012="","Article manquant",IF(ISNA(MATCH($E1012,art_ref,0)),"Article inconnu",IF(N(H1012)&lt;=0,"Quantité invalide",IF(J1012="","Prix manquant",IF(OR(N(K1012)&lt;0,N(K1012)&gt;=1),"Remise invalide",IF(M1012="","TVA manquante",IF(ISNA(MATCH(M1012,p_tva,0)),"Taux de TVA inconnu",IF(COUNTIFS(po_num,A1012,po_sup,"&lt;&gt;"&amp;C1012)&gt;0,"Fournisseur différent sur ce bon",IF(COUNTIFS(po_num,A1012,po_date,"&lt;&gt;"&amp;B1012)&gt;0,"Date différente sur ce bon",IF(COUNTIF(po_num,A1012)&gt;25,"Plus de 25 lignes sur ce bon",IF(R1012="","Date de livraison manquante",IF(R1012&lt;B1012,"Livraison avant la commande",IF(AND(N(T1012)&gt;0,N(S1012)=0),"Date d'envoi manquante",IF(N(T1012)&gt;N(H1012),"Reçu plus que commandé",IF(AND(N(T1012)&gt;0,N(U1012)=0),"Date de réception manquante",IF(AND(N(U1012)&gt;0,U1012&lt;B1012),"Réception avant la commande","OK")))))))))))))))))))))</f>
        <v/>
      </c>
      <c r="AA1012" s="66" t="str">
        <f>IF(AND(X1012="Reçu",ISNUMBER(R1012)),IF(N(U1012)&lt;=R1012,1,0),"")</f>
        <v/>
      </c>
      <c r="AB1012" s="76" t="str">
        <f>IF(OR(X1012="Envoyé",X1012="Partiel",X1012="En retard"),IF(ISNUMBER(R1012),R1012,100000)+ROW()/100000,"")</f>
        <v/>
      </c>
      <c r="AC1012" s="66" t="str">
        <f>IF(A1012="","",IF(COUNTIF($A$6:A1012,A1012)=1,1,""))</f>
        <v/>
      </c>
      <c r="AD1012" s="66" t="str">
        <f>IF(AC1012=1,COUNT($AC$6:AC1012),"")</f>
        <v/>
      </c>
      <c r="AE1012" s="66" t="str">
        <f>IFERROR(INDEX(po_num,MATCH(1007,po_seq,0))&amp;"","")</f>
        <v/>
      </c>
      <c r="AF1012" s="66" t="str">
        <f>IF(OR(A1012="",p_po=""),"",IF(A1012&amp;""=p_po,COUNTIF($A$6:A1012,A1012),""))</f>
        <v/>
      </c>
      <c r="AG1012" s="66" t="str">
        <f>IF(OR(AB1012="",A1012=""),"",IF(COUNTIFS($A$6:A1012,A1012,$AB$6:AB1012,"&gt;0")=1,1,""))</f>
        <v/>
      </c>
      <c r="AH1012" s="70" t="str">
        <f>IF(AB1012="","",ROUND(N(W1012)*N(J1012)*(1-N(K1012)),2))</f>
        <v/>
      </c>
      <c r="AI1012" s="70" t="str">
        <f>IF(OR(J1012="",N(T1012)&lt;=0,V1012="Oui"),"",ROUND(N(T1012)*J1012*(1-N(K1012)),2))</f>
        <v/>
      </c>
    </row>
    <row r="1013">
      <c r="A1013" s="63" t="n"/>
      <c r="B1013" s="64" t="n"/>
      <c r="C1013" s="65" t="n"/>
      <c r="D1013" s="66" t="str">
        <f>IF(C1013="","",IFERROR(INDEX(sup_name,MATCH($C1013,sup_code,0))&amp;"","Fournisseur inconnu"))</f>
        <v/>
      </c>
      <c r="E1013" s="63" t="n"/>
      <c r="F1013" s="66" t="str">
        <f>IF(E1013="","",IFERROR(INDEX(art_des,MATCH($E1013,art_ref,0))&amp;"","Article inconnu"))</f>
        <v/>
      </c>
      <c r="G1013" s="67" t="str">
        <f>IF(E1013="","",IFERROR(INDEX(art_unit,MATCH($E1013,art_ref,0))&amp;"",""))</f>
        <v/>
      </c>
      <c r="H1013" s="68" t="n"/>
      <c r="I1013" s="69" t="n"/>
      <c r="J1013" s="70" t="str">
        <f>IF(E1013="","",IF(ISNUMBER(I1013),I1013,IFERROR(IF(ISNUMBER(INDEX(art_price,MATCH($E1013,art_ref,0))),INDEX(art_price,MATCH($E1013,art_ref,0)),""),"")))</f>
        <v/>
      </c>
      <c r="K1013" s="71" t="n"/>
      <c r="L1013" s="72" t="n"/>
      <c r="M1013" s="72" t="str">
        <f>IF(E1013="","",IF(L1013&lt;&gt;"",L1013,IFERROR(IF(ISNUMBER(INDEX(art_tva,MATCH($E1013,art_ref,0))),INDEX(art_tva,MATCH($E1013,art_ref,0)),""),"")))</f>
        <v/>
      </c>
      <c r="N1013" s="70" t="str">
        <f>IF(OR(E1013="",J1013=""),"",ROUND(N(H1013)*J1013*(1-N(K1013)),2))</f>
        <v/>
      </c>
      <c r="O1013" s="70" t="str">
        <f>IF(OR(N1013="",NOT(ISNUMBER(M1013))),"",ROUND(N1013*M1013,2))</f>
        <v/>
      </c>
      <c r="P1013" s="70" t="str">
        <f>IF(N1013="","",N1013+N(O1013))</f>
        <v/>
      </c>
      <c r="Q1013" s="64" t="n"/>
      <c r="R1013" s="73" t="str">
        <f>IF(N(Q1013)&gt;0,Q1013,IF(OR(N(B1013)=0,ISNA(MATCH($C1013,sup_code,0))),"",IF(ISNUMBER(INDEX(sup_delay,MATCH($C1013,sup_code,0))),B1013+INDEX(sup_delay,MATCH($C1013,sup_code,0)),"")))</f>
        <v/>
      </c>
      <c r="S1013" s="64" t="n"/>
      <c r="T1013" s="68" t="n"/>
      <c r="U1013" s="64" t="n"/>
      <c r="V1013" s="65" t="n"/>
      <c r="W1013" s="74" t="str">
        <f>IF(AND(A1013="",E1013=""),"",IF(V1013="Oui",0,MAX(0,ROUND(N(H1013)-N(T1013),6))))</f>
        <v/>
      </c>
      <c r="X1013" s="67" t="str">
        <f>IF(AND(A1013="",E1013=""),"",IF(V1013="Oui","Annulé",IF(AND(N(H1013)&gt;0,N(T1013)&gt;=N(H1013)),"Reçu",IF(N(S1013)=0,"Brouillon",IF(AND(ISNUMBER(R1013),R1013&lt;p_today),"En retard",IF(N(T1013)&gt;0,"Partiel","Envoyé"))))))</f>
        <v/>
      </c>
      <c r="Y1013" s="75" t="str">
        <f>IF(X1013="En retard",p_today-R1013,IF(AND(X1013="Reçu",ISNUMBER(R1013)),MAX(0,N(U1013)-R1013),""))</f>
        <v/>
      </c>
      <c r="Z1013" s="67" t="str">
        <f>IF(AND(A1013="",E1013=""),"",IF(A1013="","N° de bon manquant",IF(N(B1013)=0,"Date de commande manquante",IF(C1013="","Fournisseur manquant",IF(ISNA(MATCH($C1013,sup_code,0)),"Fournisseur inconnu",IF(E1013="","Article manquant",IF(ISNA(MATCH($E1013,art_ref,0)),"Article inconnu",IF(N(H1013)&lt;=0,"Quantité invalide",IF(J1013="","Prix manquant",IF(OR(N(K1013)&lt;0,N(K1013)&gt;=1),"Remise invalide",IF(M1013="","TVA manquante",IF(ISNA(MATCH(M1013,p_tva,0)),"Taux de TVA inconnu",IF(COUNTIFS(po_num,A1013,po_sup,"&lt;&gt;"&amp;C1013)&gt;0,"Fournisseur différent sur ce bon",IF(COUNTIFS(po_num,A1013,po_date,"&lt;&gt;"&amp;B1013)&gt;0,"Date différente sur ce bon",IF(COUNTIF(po_num,A1013)&gt;25,"Plus de 25 lignes sur ce bon",IF(R1013="","Date de livraison manquante",IF(R1013&lt;B1013,"Livraison avant la commande",IF(AND(N(T1013)&gt;0,N(S1013)=0),"Date d'envoi manquante",IF(N(T1013)&gt;N(H1013),"Reçu plus que commandé",IF(AND(N(T1013)&gt;0,N(U1013)=0),"Date de réception manquante",IF(AND(N(U1013)&gt;0,U1013&lt;B1013),"Réception avant la commande","OK")))))))))))))))))))))</f>
        <v/>
      </c>
      <c r="AA1013" s="66" t="str">
        <f>IF(AND(X1013="Reçu",ISNUMBER(R1013)),IF(N(U1013)&lt;=R1013,1,0),"")</f>
        <v/>
      </c>
      <c r="AB1013" s="76" t="str">
        <f>IF(OR(X1013="Envoyé",X1013="Partiel",X1013="En retard"),IF(ISNUMBER(R1013),R1013,100000)+ROW()/100000,"")</f>
        <v/>
      </c>
      <c r="AC1013" s="66" t="str">
        <f>IF(A1013="","",IF(COUNTIF($A$6:A1013,A1013)=1,1,""))</f>
        <v/>
      </c>
      <c r="AD1013" s="66" t="str">
        <f>IF(AC1013=1,COUNT($AC$6:AC1013),"")</f>
        <v/>
      </c>
      <c r="AE1013" s="66" t="str">
        <f>IFERROR(INDEX(po_num,MATCH(1008,po_seq,0))&amp;"","")</f>
        <v/>
      </c>
      <c r="AF1013" s="66" t="str">
        <f>IF(OR(A1013="",p_po=""),"",IF(A1013&amp;""=p_po,COUNTIF($A$6:A1013,A1013),""))</f>
        <v/>
      </c>
      <c r="AG1013" s="66" t="str">
        <f>IF(OR(AB1013="",A1013=""),"",IF(COUNTIFS($A$6:A1013,A1013,$AB$6:AB1013,"&gt;0")=1,1,""))</f>
        <v/>
      </c>
      <c r="AH1013" s="70" t="str">
        <f>IF(AB1013="","",ROUND(N(W1013)*N(J1013)*(1-N(K1013)),2))</f>
        <v/>
      </c>
      <c r="AI1013" s="70" t="str">
        <f>IF(OR(J1013="",N(T1013)&lt;=0,V1013="Oui"),"",ROUND(N(T1013)*J1013*(1-N(K1013)),2))</f>
        <v/>
      </c>
    </row>
    <row r="1014">
      <c r="A1014" s="63" t="n"/>
      <c r="B1014" s="64" t="n"/>
      <c r="C1014" s="65" t="n"/>
      <c r="D1014" s="66" t="str">
        <f>IF(C1014="","",IFERROR(INDEX(sup_name,MATCH($C1014,sup_code,0))&amp;"","Fournisseur inconnu"))</f>
        <v/>
      </c>
      <c r="E1014" s="63" t="n"/>
      <c r="F1014" s="66" t="str">
        <f>IF(E1014="","",IFERROR(INDEX(art_des,MATCH($E1014,art_ref,0))&amp;"","Article inconnu"))</f>
        <v/>
      </c>
      <c r="G1014" s="67" t="str">
        <f>IF(E1014="","",IFERROR(INDEX(art_unit,MATCH($E1014,art_ref,0))&amp;"",""))</f>
        <v/>
      </c>
      <c r="H1014" s="68" t="n"/>
      <c r="I1014" s="69" t="n"/>
      <c r="J1014" s="70" t="str">
        <f>IF(E1014="","",IF(ISNUMBER(I1014),I1014,IFERROR(IF(ISNUMBER(INDEX(art_price,MATCH($E1014,art_ref,0))),INDEX(art_price,MATCH($E1014,art_ref,0)),""),"")))</f>
        <v/>
      </c>
      <c r="K1014" s="71" t="n"/>
      <c r="L1014" s="72" t="n"/>
      <c r="M1014" s="72" t="str">
        <f>IF(E1014="","",IF(L1014&lt;&gt;"",L1014,IFERROR(IF(ISNUMBER(INDEX(art_tva,MATCH($E1014,art_ref,0))),INDEX(art_tva,MATCH($E1014,art_ref,0)),""),"")))</f>
        <v/>
      </c>
      <c r="N1014" s="70" t="str">
        <f>IF(OR(E1014="",J1014=""),"",ROUND(N(H1014)*J1014*(1-N(K1014)),2))</f>
        <v/>
      </c>
      <c r="O1014" s="70" t="str">
        <f>IF(OR(N1014="",NOT(ISNUMBER(M1014))),"",ROUND(N1014*M1014,2))</f>
        <v/>
      </c>
      <c r="P1014" s="70" t="str">
        <f>IF(N1014="","",N1014+N(O1014))</f>
        <v/>
      </c>
      <c r="Q1014" s="64" t="n"/>
      <c r="R1014" s="73" t="str">
        <f>IF(N(Q1014)&gt;0,Q1014,IF(OR(N(B1014)=0,ISNA(MATCH($C1014,sup_code,0))),"",IF(ISNUMBER(INDEX(sup_delay,MATCH($C1014,sup_code,0))),B1014+INDEX(sup_delay,MATCH($C1014,sup_code,0)),"")))</f>
        <v/>
      </c>
      <c r="S1014" s="64" t="n"/>
      <c r="T1014" s="68" t="n"/>
      <c r="U1014" s="64" t="n"/>
      <c r="V1014" s="65" t="n"/>
      <c r="W1014" s="74" t="str">
        <f>IF(AND(A1014="",E1014=""),"",IF(V1014="Oui",0,MAX(0,ROUND(N(H1014)-N(T1014),6))))</f>
        <v/>
      </c>
      <c r="X1014" s="67" t="str">
        <f>IF(AND(A1014="",E1014=""),"",IF(V1014="Oui","Annulé",IF(AND(N(H1014)&gt;0,N(T1014)&gt;=N(H1014)),"Reçu",IF(N(S1014)=0,"Brouillon",IF(AND(ISNUMBER(R1014),R1014&lt;p_today),"En retard",IF(N(T1014)&gt;0,"Partiel","Envoyé"))))))</f>
        <v/>
      </c>
      <c r="Y1014" s="75" t="str">
        <f>IF(X1014="En retard",p_today-R1014,IF(AND(X1014="Reçu",ISNUMBER(R1014)),MAX(0,N(U1014)-R1014),""))</f>
        <v/>
      </c>
      <c r="Z1014" s="67" t="str">
        <f>IF(AND(A1014="",E1014=""),"",IF(A1014="","N° de bon manquant",IF(N(B1014)=0,"Date de commande manquante",IF(C1014="","Fournisseur manquant",IF(ISNA(MATCH($C1014,sup_code,0)),"Fournisseur inconnu",IF(E1014="","Article manquant",IF(ISNA(MATCH($E1014,art_ref,0)),"Article inconnu",IF(N(H1014)&lt;=0,"Quantité invalide",IF(J1014="","Prix manquant",IF(OR(N(K1014)&lt;0,N(K1014)&gt;=1),"Remise invalide",IF(M1014="","TVA manquante",IF(ISNA(MATCH(M1014,p_tva,0)),"Taux de TVA inconnu",IF(COUNTIFS(po_num,A1014,po_sup,"&lt;&gt;"&amp;C1014)&gt;0,"Fournisseur différent sur ce bon",IF(COUNTIFS(po_num,A1014,po_date,"&lt;&gt;"&amp;B1014)&gt;0,"Date différente sur ce bon",IF(COUNTIF(po_num,A1014)&gt;25,"Plus de 25 lignes sur ce bon",IF(R1014="","Date de livraison manquante",IF(R1014&lt;B1014,"Livraison avant la commande",IF(AND(N(T1014)&gt;0,N(S1014)=0),"Date d'envoi manquante",IF(N(T1014)&gt;N(H1014),"Reçu plus que commandé",IF(AND(N(T1014)&gt;0,N(U1014)=0),"Date de réception manquante",IF(AND(N(U1014)&gt;0,U1014&lt;B1014),"Réception avant la commande","OK")))))))))))))))))))))</f>
        <v/>
      </c>
      <c r="AA1014" s="66" t="str">
        <f>IF(AND(X1014="Reçu",ISNUMBER(R1014)),IF(N(U1014)&lt;=R1014,1,0),"")</f>
        <v/>
      </c>
      <c r="AB1014" s="76" t="str">
        <f>IF(OR(X1014="Envoyé",X1014="Partiel",X1014="En retard"),IF(ISNUMBER(R1014),R1014,100000)+ROW()/100000,"")</f>
        <v/>
      </c>
      <c r="AC1014" s="66" t="str">
        <f>IF(A1014="","",IF(COUNTIF($A$6:A1014,A1014)=1,1,""))</f>
        <v/>
      </c>
      <c r="AD1014" s="66" t="str">
        <f>IF(AC1014=1,COUNT($AC$6:AC1014),"")</f>
        <v/>
      </c>
      <c r="AE1014" s="66" t="str">
        <f>IFERROR(INDEX(po_num,MATCH(1009,po_seq,0))&amp;"","")</f>
        <v/>
      </c>
      <c r="AF1014" s="66" t="str">
        <f>IF(OR(A1014="",p_po=""),"",IF(A1014&amp;""=p_po,COUNTIF($A$6:A1014,A1014),""))</f>
        <v/>
      </c>
      <c r="AG1014" s="66" t="str">
        <f>IF(OR(AB1014="",A1014=""),"",IF(COUNTIFS($A$6:A1014,A1014,$AB$6:AB1014,"&gt;0")=1,1,""))</f>
        <v/>
      </c>
      <c r="AH1014" s="70" t="str">
        <f>IF(AB1014="","",ROUND(N(W1014)*N(J1014)*(1-N(K1014)),2))</f>
        <v/>
      </c>
      <c r="AI1014" s="70" t="str">
        <f>IF(OR(J1014="",N(T1014)&lt;=0,V1014="Oui"),"",ROUND(N(T1014)*J1014*(1-N(K1014)),2))</f>
        <v/>
      </c>
    </row>
    <row r="1015">
      <c r="A1015" s="63" t="n"/>
      <c r="B1015" s="64" t="n"/>
      <c r="C1015" s="65" t="n"/>
      <c r="D1015" s="66" t="str">
        <f>IF(C1015="","",IFERROR(INDEX(sup_name,MATCH($C1015,sup_code,0))&amp;"","Fournisseur inconnu"))</f>
        <v/>
      </c>
      <c r="E1015" s="63" t="n"/>
      <c r="F1015" s="66" t="str">
        <f>IF(E1015="","",IFERROR(INDEX(art_des,MATCH($E1015,art_ref,0))&amp;"","Article inconnu"))</f>
        <v/>
      </c>
      <c r="G1015" s="67" t="str">
        <f>IF(E1015="","",IFERROR(INDEX(art_unit,MATCH($E1015,art_ref,0))&amp;"",""))</f>
        <v/>
      </c>
      <c r="H1015" s="68" t="n"/>
      <c r="I1015" s="69" t="n"/>
      <c r="J1015" s="70" t="str">
        <f>IF(E1015="","",IF(ISNUMBER(I1015),I1015,IFERROR(IF(ISNUMBER(INDEX(art_price,MATCH($E1015,art_ref,0))),INDEX(art_price,MATCH($E1015,art_ref,0)),""),"")))</f>
        <v/>
      </c>
      <c r="K1015" s="71" t="n"/>
      <c r="L1015" s="72" t="n"/>
      <c r="M1015" s="72" t="str">
        <f>IF(E1015="","",IF(L1015&lt;&gt;"",L1015,IFERROR(IF(ISNUMBER(INDEX(art_tva,MATCH($E1015,art_ref,0))),INDEX(art_tva,MATCH($E1015,art_ref,0)),""),"")))</f>
        <v/>
      </c>
      <c r="N1015" s="70" t="str">
        <f>IF(OR(E1015="",J1015=""),"",ROUND(N(H1015)*J1015*(1-N(K1015)),2))</f>
        <v/>
      </c>
      <c r="O1015" s="70" t="str">
        <f>IF(OR(N1015="",NOT(ISNUMBER(M1015))),"",ROUND(N1015*M1015,2))</f>
        <v/>
      </c>
      <c r="P1015" s="70" t="str">
        <f>IF(N1015="","",N1015+N(O1015))</f>
        <v/>
      </c>
      <c r="Q1015" s="64" t="n"/>
      <c r="R1015" s="73" t="str">
        <f>IF(N(Q1015)&gt;0,Q1015,IF(OR(N(B1015)=0,ISNA(MATCH($C1015,sup_code,0))),"",IF(ISNUMBER(INDEX(sup_delay,MATCH($C1015,sup_code,0))),B1015+INDEX(sup_delay,MATCH($C1015,sup_code,0)),"")))</f>
        <v/>
      </c>
      <c r="S1015" s="64" t="n"/>
      <c r="T1015" s="68" t="n"/>
      <c r="U1015" s="64" t="n"/>
      <c r="V1015" s="65" t="n"/>
      <c r="W1015" s="74" t="str">
        <f>IF(AND(A1015="",E1015=""),"",IF(V1015="Oui",0,MAX(0,ROUND(N(H1015)-N(T1015),6))))</f>
        <v/>
      </c>
      <c r="X1015" s="67" t="str">
        <f>IF(AND(A1015="",E1015=""),"",IF(V1015="Oui","Annulé",IF(AND(N(H1015)&gt;0,N(T1015)&gt;=N(H1015)),"Reçu",IF(N(S1015)=0,"Brouillon",IF(AND(ISNUMBER(R1015),R1015&lt;p_today),"En retard",IF(N(T1015)&gt;0,"Partiel","Envoyé"))))))</f>
        <v/>
      </c>
      <c r="Y1015" s="75" t="str">
        <f>IF(X1015="En retard",p_today-R1015,IF(AND(X1015="Reçu",ISNUMBER(R1015)),MAX(0,N(U1015)-R1015),""))</f>
        <v/>
      </c>
      <c r="Z1015" s="67" t="str">
        <f>IF(AND(A1015="",E1015=""),"",IF(A1015="","N° de bon manquant",IF(N(B1015)=0,"Date de commande manquante",IF(C1015="","Fournisseur manquant",IF(ISNA(MATCH($C1015,sup_code,0)),"Fournisseur inconnu",IF(E1015="","Article manquant",IF(ISNA(MATCH($E1015,art_ref,0)),"Article inconnu",IF(N(H1015)&lt;=0,"Quantité invalide",IF(J1015="","Prix manquant",IF(OR(N(K1015)&lt;0,N(K1015)&gt;=1),"Remise invalide",IF(M1015="","TVA manquante",IF(ISNA(MATCH(M1015,p_tva,0)),"Taux de TVA inconnu",IF(COUNTIFS(po_num,A1015,po_sup,"&lt;&gt;"&amp;C1015)&gt;0,"Fournisseur différent sur ce bon",IF(COUNTIFS(po_num,A1015,po_date,"&lt;&gt;"&amp;B1015)&gt;0,"Date différente sur ce bon",IF(COUNTIF(po_num,A1015)&gt;25,"Plus de 25 lignes sur ce bon",IF(R1015="","Date de livraison manquante",IF(R1015&lt;B1015,"Livraison avant la commande",IF(AND(N(T1015)&gt;0,N(S1015)=0),"Date d'envoi manquante",IF(N(T1015)&gt;N(H1015),"Reçu plus que commandé",IF(AND(N(T1015)&gt;0,N(U1015)=0),"Date de réception manquante",IF(AND(N(U1015)&gt;0,U1015&lt;B1015),"Réception avant la commande","OK")))))))))))))))))))))</f>
        <v/>
      </c>
      <c r="AA1015" s="66" t="str">
        <f>IF(AND(X1015="Reçu",ISNUMBER(R1015)),IF(N(U1015)&lt;=R1015,1,0),"")</f>
        <v/>
      </c>
      <c r="AB1015" s="76" t="str">
        <f>IF(OR(X1015="Envoyé",X1015="Partiel",X1015="En retard"),IF(ISNUMBER(R1015),R1015,100000)+ROW()/100000,"")</f>
        <v/>
      </c>
      <c r="AC1015" s="66" t="str">
        <f>IF(A1015="","",IF(COUNTIF($A$6:A1015,A1015)=1,1,""))</f>
        <v/>
      </c>
      <c r="AD1015" s="66" t="str">
        <f>IF(AC1015=1,COUNT($AC$6:AC1015),"")</f>
        <v/>
      </c>
      <c r="AE1015" s="66" t="str">
        <f>IFERROR(INDEX(po_num,MATCH(1010,po_seq,0))&amp;"","")</f>
        <v/>
      </c>
      <c r="AF1015" s="66" t="str">
        <f>IF(OR(A1015="",p_po=""),"",IF(A1015&amp;""=p_po,COUNTIF($A$6:A1015,A1015),""))</f>
        <v/>
      </c>
      <c r="AG1015" s="66" t="str">
        <f>IF(OR(AB1015="",A1015=""),"",IF(COUNTIFS($A$6:A1015,A1015,$AB$6:AB1015,"&gt;0")=1,1,""))</f>
        <v/>
      </c>
      <c r="AH1015" s="70" t="str">
        <f>IF(AB1015="","",ROUND(N(W1015)*N(J1015)*(1-N(K1015)),2))</f>
        <v/>
      </c>
      <c r="AI1015" s="70" t="str">
        <f>IF(OR(J1015="",N(T1015)&lt;=0,V1015="Oui"),"",ROUND(N(T1015)*J1015*(1-N(K1015)),2))</f>
        <v/>
      </c>
    </row>
    <row r="1016">
      <c r="A1016" s="63" t="n"/>
      <c r="B1016" s="64" t="n"/>
      <c r="C1016" s="65" t="n"/>
      <c r="D1016" s="66" t="str">
        <f>IF(C1016="","",IFERROR(INDEX(sup_name,MATCH($C1016,sup_code,0))&amp;"","Fournisseur inconnu"))</f>
        <v/>
      </c>
      <c r="E1016" s="63" t="n"/>
      <c r="F1016" s="66" t="str">
        <f>IF(E1016="","",IFERROR(INDEX(art_des,MATCH($E1016,art_ref,0))&amp;"","Article inconnu"))</f>
        <v/>
      </c>
      <c r="G1016" s="67" t="str">
        <f>IF(E1016="","",IFERROR(INDEX(art_unit,MATCH($E1016,art_ref,0))&amp;"",""))</f>
        <v/>
      </c>
      <c r="H1016" s="68" t="n"/>
      <c r="I1016" s="69" t="n"/>
      <c r="J1016" s="70" t="str">
        <f>IF(E1016="","",IF(ISNUMBER(I1016),I1016,IFERROR(IF(ISNUMBER(INDEX(art_price,MATCH($E1016,art_ref,0))),INDEX(art_price,MATCH($E1016,art_ref,0)),""),"")))</f>
        <v/>
      </c>
      <c r="K1016" s="71" t="n"/>
      <c r="L1016" s="72" t="n"/>
      <c r="M1016" s="72" t="str">
        <f>IF(E1016="","",IF(L1016&lt;&gt;"",L1016,IFERROR(IF(ISNUMBER(INDEX(art_tva,MATCH($E1016,art_ref,0))),INDEX(art_tva,MATCH($E1016,art_ref,0)),""),"")))</f>
        <v/>
      </c>
      <c r="N1016" s="70" t="str">
        <f>IF(OR(E1016="",J1016=""),"",ROUND(N(H1016)*J1016*(1-N(K1016)),2))</f>
        <v/>
      </c>
      <c r="O1016" s="70" t="str">
        <f>IF(OR(N1016="",NOT(ISNUMBER(M1016))),"",ROUND(N1016*M1016,2))</f>
        <v/>
      </c>
      <c r="P1016" s="70" t="str">
        <f>IF(N1016="","",N1016+N(O1016))</f>
        <v/>
      </c>
      <c r="Q1016" s="64" t="n"/>
      <c r="R1016" s="73" t="str">
        <f>IF(N(Q1016)&gt;0,Q1016,IF(OR(N(B1016)=0,ISNA(MATCH($C1016,sup_code,0))),"",IF(ISNUMBER(INDEX(sup_delay,MATCH($C1016,sup_code,0))),B1016+INDEX(sup_delay,MATCH($C1016,sup_code,0)),"")))</f>
        <v/>
      </c>
      <c r="S1016" s="64" t="n"/>
      <c r="T1016" s="68" t="n"/>
      <c r="U1016" s="64" t="n"/>
      <c r="V1016" s="65" t="n"/>
      <c r="W1016" s="74" t="str">
        <f>IF(AND(A1016="",E1016=""),"",IF(V1016="Oui",0,MAX(0,ROUND(N(H1016)-N(T1016),6))))</f>
        <v/>
      </c>
      <c r="X1016" s="67" t="str">
        <f>IF(AND(A1016="",E1016=""),"",IF(V1016="Oui","Annulé",IF(AND(N(H1016)&gt;0,N(T1016)&gt;=N(H1016)),"Reçu",IF(N(S1016)=0,"Brouillon",IF(AND(ISNUMBER(R1016),R1016&lt;p_today),"En retard",IF(N(T1016)&gt;0,"Partiel","Envoyé"))))))</f>
        <v/>
      </c>
      <c r="Y1016" s="75" t="str">
        <f>IF(X1016="En retard",p_today-R1016,IF(AND(X1016="Reçu",ISNUMBER(R1016)),MAX(0,N(U1016)-R1016),""))</f>
        <v/>
      </c>
      <c r="Z1016" s="67" t="str">
        <f>IF(AND(A1016="",E1016=""),"",IF(A1016="","N° de bon manquant",IF(N(B1016)=0,"Date de commande manquante",IF(C1016="","Fournisseur manquant",IF(ISNA(MATCH($C1016,sup_code,0)),"Fournisseur inconnu",IF(E1016="","Article manquant",IF(ISNA(MATCH($E1016,art_ref,0)),"Article inconnu",IF(N(H1016)&lt;=0,"Quantité invalide",IF(J1016="","Prix manquant",IF(OR(N(K1016)&lt;0,N(K1016)&gt;=1),"Remise invalide",IF(M1016="","TVA manquante",IF(ISNA(MATCH(M1016,p_tva,0)),"Taux de TVA inconnu",IF(COUNTIFS(po_num,A1016,po_sup,"&lt;&gt;"&amp;C1016)&gt;0,"Fournisseur différent sur ce bon",IF(COUNTIFS(po_num,A1016,po_date,"&lt;&gt;"&amp;B1016)&gt;0,"Date différente sur ce bon",IF(COUNTIF(po_num,A1016)&gt;25,"Plus de 25 lignes sur ce bon",IF(R1016="","Date de livraison manquante",IF(R1016&lt;B1016,"Livraison avant la commande",IF(AND(N(T1016)&gt;0,N(S1016)=0),"Date d'envoi manquante",IF(N(T1016)&gt;N(H1016),"Reçu plus que commandé",IF(AND(N(T1016)&gt;0,N(U1016)=0),"Date de réception manquante",IF(AND(N(U1016)&gt;0,U1016&lt;B1016),"Réception avant la commande","OK")))))))))))))))))))))</f>
        <v/>
      </c>
      <c r="AA1016" s="66" t="str">
        <f>IF(AND(X1016="Reçu",ISNUMBER(R1016)),IF(N(U1016)&lt;=R1016,1,0),"")</f>
        <v/>
      </c>
      <c r="AB1016" s="76" t="str">
        <f>IF(OR(X1016="Envoyé",X1016="Partiel",X1016="En retard"),IF(ISNUMBER(R1016),R1016,100000)+ROW()/100000,"")</f>
        <v/>
      </c>
      <c r="AC1016" s="66" t="str">
        <f>IF(A1016="","",IF(COUNTIF($A$6:A1016,A1016)=1,1,""))</f>
        <v/>
      </c>
      <c r="AD1016" s="66" t="str">
        <f>IF(AC1016=1,COUNT($AC$6:AC1016),"")</f>
        <v/>
      </c>
      <c r="AE1016" s="66" t="str">
        <f>IFERROR(INDEX(po_num,MATCH(1011,po_seq,0))&amp;"","")</f>
        <v/>
      </c>
      <c r="AF1016" s="66" t="str">
        <f>IF(OR(A1016="",p_po=""),"",IF(A1016&amp;""=p_po,COUNTIF($A$6:A1016,A1016),""))</f>
        <v/>
      </c>
      <c r="AG1016" s="66" t="str">
        <f>IF(OR(AB1016="",A1016=""),"",IF(COUNTIFS($A$6:A1016,A1016,$AB$6:AB1016,"&gt;0")=1,1,""))</f>
        <v/>
      </c>
      <c r="AH1016" s="70" t="str">
        <f>IF(AB1016="","",ROUND(N(W1016)*N(J1016)*(1-N(K1016)),2))</f>
        <v/>
      </c>
      <c r="AI1016" s="70" t="str">
        <f>IF(OR(J1016="",N(T1016)&lt;=0,V1016="Oui"),"",ROUND(N(T1016)*J1016*(1-N(K1016)),2))</f>
        <v/>
      </c>
    </row>
    <row r="1017">
      <c r="A1017" s="63" t="n"/>
      <c r="B1017" s="64" t="n"/>
      <c r="C1017" s="65" t="n"/>
      <c r="D1017" s="66" t="str">
        <f>IF(C1017="","",IFERROR(INDEX(sup_name,MATCH($C1017,sup_code,0))&amp;"","Fournisseur inconnu"))</f>
        <v/>
      </c>
      <c r="E1017" s="63" t="n"/>
      <c r="F1017" s="66" t="str">
        <f>IF(E1017="","",IFERROR(INDEX(art_des,MATCH($E1017,art_ref,0))&amp;"","Article inconnu"))</f>
        <v/>
      </c>
      <c r="G1017" s="67" t="str">
        <f>IF(E1017="","",IFERROR(INDEX(art_unit,MATCH($E1017,art_ref,0))&amp;"",""))</f>
        <v/>
      </c>
      <c r="H1017" s="68" t="n"/>
      <c r="I1017" s="69" t="n"/>
      <c r="J1017" s="70" t="str">
        <f>IF(E1017="","",IF(ISNUMBER(I1017),I1017,IFERROR(IF(ISNUMBER(INDEX(art_price,MATCH($E1017,art_ref,0))),INDEX(art_price,MATCH($E1017,art_ref,0)),""),"")))</f>
        <v/>
      </c>
      <c r="K1017" s="71" t="n"/>
      <c r="L1017" s="72" t="n"/>
      <c r="M1017" s="72" t="str">
        <f>IF(E1017="","",IF(L1017&lt;&gt;"",L1017,IFERROR(IF(ISNUMBER(INDEX(art_tva,MATCH($E1017,art_ref,0))),INDEX(art_tva,MATCH($E1017,art_ref,0)),""),"")))</f>
        <v/>
      </c>
      <c r="N1017" s="70" t="str">
        <f>IF(OR(E1017="",J1017=""),"",ROUND(N(H1017)*J1017*(1-N(K1017)),2))</f>
        <v/>
      </c>
      <c r="O1017" s="70" t="str">
        <f>IF(OR(N1017="",NOT(ISNUMBER(M1017))),"",ROUND(N1017*M1017,2))</f>
        <v/>
      </c>
      <c r="P1017" s="70" t="str">
        <f>IF(N1017="","",N1017+N(O1017))</f>
        <v/>
      </c>
      <c r="Q1017" s="64" t="n"/>
      <c r="R1017" s="73" t="str">
        <f>IF(N(Q1017)&gt;0,Q1017,IF(OR(N(B1017)=0,ISNA(MATCH($C1017,sup_code,0))),"",IF(ISNUMBER(INDEX(sup_delay,MATCH($C1017,sup_code,0))),B1017+INDEX(sup_delay,MATCH($C1017,sup_code,0)),"")))</f>
        <v/>
      </c>
      <c r="S1017" s="64" t="n"/>
      <c r="T1017" s="68" t="n"/>
      <c r="U1017" s="64" t="n"/>
      <c r="V1017" s="65" t="n"/>
      <c r="W1017" s="74" t="str">
        <f>IF(AND(A1017="",E1017=""),"",IF(V1017="Oui",0,MAX(0,ROUND(N(H1017)-N(T1017),6))))</f>
        <v/>
      </c>
      <c r="X1017" s="67" t="str">
        <f>IF(AND(A1017="",E1017=""),"",IF(V1017="Oui","Annulé",IF(AND(N(H1017)&gt;0,N(T1017)&gt;=N(H1017)),"Reçu",IF(N(S1017)=0,"Brouillon",IF(AND(ISNUMBER(R1017),R1017&lt;p_today),"En retard",IF(N(T1017)&gt;0,"Partiel","Envoyé"))))))</f>
        <v/>
      </c>
      <c r="Y1017" s="75" t="str">
        <f>IF(X1017="En retard",p_today-R1017,IF(AND(X1017="Reçu",ISNUMBER(R1017)),MAX(0,N(U1017)-R1017),""))</f>
        <v/>
      </c>
      <c r="Z1017" s="67" t="str">
        <f>IF(AND(A1017="",E1017=""),"",IF(A1017="","N° de bon manquant",IF(N(B1017)=0,"Date de commande manquante",IF(C1017="","Fournisseur manquant",IF(ISNA(MATCH($C1017,sup_code,0)),"Fournisseur inconnu",IF(E1017="","Article manquant",IF(ISNA(MATCH($E1017,art_ref,0)),"Article inconnu",IF(N(H1017)&lt;=0,"Quantité invalide",IF(J1017="","Prix manquant",IF(OR(N(K1017)&lt;0,N(K1017)&gt;=1),"Remise invalide",IF(M1017="","TVA manquante",IF(ISNA(MATCH(M1017,p_tva,0)),"Taux de TVA inconnu",IF(COUNTIFS(po_num,A1017,po_sup,"&lt;&gt;"&amp;C1017)&gt;0,"Fournisseur différent sur ce bon",IF(COUNTIFS(po_num,A1017,po_date,"&lt;&gt;"&amp;B1017)&gt;0,"Date différente sur ce bon",IF(COUNTIF(po_num,A1017)&gt;25,"Plus de 25 lignes sur ce bon",IF(R1017="","Date de livraison manquante",IF(R1017&lt;B1017,"Livraison avant la commande",IF(AND(N(T1017)&gt;0,N(S1017)=0),"Date d'envoi manquante",IF(N(T1017)&gt;N(H1017),"Reçu plus que commandé",IF(AND(N(T1017)&gt;0,N(U1017)=0),"Date de réception manquante",IF(AND(N(U1017)&gt;0,U1017&lt;B1017),"Réception avant la commande","OK")))))))))))))))))))))</f>
        <v/>
      </c>
      <c r="AA1017" s="66" t="str">
        <f>IF(AND(X1017="Reçu",ISNUMBER(R1017)),IF(N(U1017)&lt;=R1017,1,0),"")</f>
        <v/>
      </c>
      <c r="AB1017" s="76" t="str">
        <f>IF(OR(X1017="Envoyé",X1017="Partiel",X1017="En retard"),IF(ISNUMBER(R1017),R1017,100000)+ROW()/100000,"")</f>
        <v/>
      </c>
      <c r="AC1017" s="66" t="str">
        <f>IF(A1017="","",IF(COUNTIF($A$6:A1017,A1017)=1,1,""))</f>
        <v/>
      </c>
      <c r="AD1017" s="66" t="str">
        <f>IF(AC1017=1,COUNT($AC$6:AC1017),"")</f>
        <v/>
      </c>
      <c r="AE1017" s="66" t="str">
        <f>IFERROR(INDEX(po_num,MATCH(1012,po_seq,0))&amp;"","")</f>
        <v/>
      </c>
      <c r="AF1017" s="66" t="str">
        <f>IF(OR(A1017="",p_po=""),"",IF(A1017&amp;""=p_po,COUNTIF($A$6:A1017,A1017),""))</f>
        <v/>
      </c>
      <c r="AG1017" s="66" t="str">
        <f>IF(OR(AB1017="",A1017=""),"",IF(COUNTIFS($A$6:A1017,A1017,$AB$6:AB1017,"&gt;0")=1,1,""))</f>
        <v/>
      </c>
      <c r="AH1017" s="70" t="str">
        <f>IF(AB1017="","",ROUND(N(W1017)*N(J1017)*(1-N(K1017)),2))</f>
        <v/>
      </c>
      <c r="AI1017" s="70" t="str">
        <f>IF(OR(J1017="",N(T1017)&lt;=0,V1017="Oui"),"",ROUND(N(T1017)*J1017*(1-N(K1017)),2))</f>
        <v/>
      </c>
    </row>
    <row r="1018">
      <c r="A1018" s="63" t="n"/>
      <c r="B1018" s="64" t="n"/>
      <c r="C1018" s="65" t="n"/>
      <c r="D1018" s="66" t="str">
        <f>IF(C1018="","",IFERROR(INDEX(sup_name,MATCH($C1018,sup_code,0))&amp;"","Fournisseur inconnu"))</f>
        <v/>
      </c>
      <c r="E1018" s="63" t="n"/>
      <c r="F1018" s="66" t="str">
        <f>IF(E1018="","",IFERROR(INDEX(art_des,MATCH($E1018,art_ref,0))&amp;"","Article inconnu"))</f>
        <v/>
      </c>
      <c r="G1018" s="67" t="str">
        <f>IF(E1018="","",IFERROR(INDEX(art_unit,MATCH($E1018,art_ref,0))&amp;"",""))</f>
        <v/>
      </c>
      <c r="H1018" s="68" t="n"/>
      <c r="I1018" s="69" t="n"/>
      <c r="J1018" s="70" t="str">
        <f>IF(E1018="","",IF(ISNUMBER(I1018),I1018,IFERROR(IF(ISNUMBER(INDEX(art_price,MATCH($E1018,art_ref,0))),INDEX(art_price,MATCH($E1018,art_ref,0)),""),"")))</f>
        <v/>
      </c>
      <c r="K1018" s="71" t="n"/>
      <c r="L1018" s="72" t="n"/>
      <c r="M1018" s="72" t="str">
        <f>IF(E1018="","",IF(L1018&lt;&gt;"",L1018,IFERROR(IF(ISNUMBER(INDEX(art_tva,MATCH($E1018,art_ref,0))),INDEX(art_tva,MATCH($E1018,art_ref,0)),""),"")))</f>
        <v/>
      </c>
      <c r="N1018" s="70" t="str">
        <f>IF(OR(E1018="",J1018=""),"",ROUND(N(H1018)*J1018*(1-N(K1018)),2))</f>
        <v/>
      </c>
      <c r="O1018" s="70" t="str">
        <f>IF(OR(N1018="",NOT(ISNUMBER(M1018))),"",ROUND(N1018*M1018,2))</f>
        <v/>
      </c>
      <c r="P1018" s="70" t="str">
        <f>IF(N1018="","",N1018+N(O1018))</f>
        <v/>
      </c>
      <c r="Q1018" s="64" t="n"/>
      <c r="R1018" s="73" t="str">
        <f>IF(N(Q1018)&gt;0,Q1018,IF(OR(N(B1018)=0,ISNA(MATCH($C1018,sup_code,0))),"",IF(ISNUMBER(INDEX(sup_delay,MATCH($C1018,sup_code,0))),B1018+INDEX(sup_delay,MATCH($C1018,sup_code,0)),"")))</f>
        <v/>
      </c>
      <c r="S1018" s="64" t="n"/>
      <c r="T1018" s="68" t="n"/>
      <c r="U1018" s="64" t="n"/>
      <c r="V1018" s="65" t="n"/>
      <c r="W1018" s="74" t="str">
        <f>IF(AND(A1018="",E1018=""),"",IF(V1018="Oui",0,MAX(0,ROUND(N(H1018)-N(T1018),6))))</f>
        <v/>
      </c>
      <c r="X1018" s="67" t="str">
        <f>IF(AND(A1018="",E1018=""),"",IF(V1018="Oui","Annulé",IF(AND(N(H1018)&gt;0,N(T1018)&gt;=N(H1018)),"Reçu",IF(N(S1018)=0,"Brouillon",IF(AND(ISNUMBER(R1018),R1018&lt;p_today),"En retard",IF(N(T1018)&gt;0,"Partiel","Envoyé"))))))</f>
        <v/>
      </c>
      <c r="Y1018" s="75" t="str">
        <f>IF(X1018="En retard",p_today-R1018,IF(AND(X1018="Reçu",ISNUMBER(R1018)),MAX(0,N(U1018)-R1018),""))</f>
        <v/>
      </c>
      <c r="Z1018" s="67" t="str">
        <f>IF(AND(A1018="",E1018=""),"",IF(A1018="","N° de bon manquant",IF(N(B1018)=0,"Date de commande manquante",IF(C1018="","Fournisseur manquant",IF(ISNA(MATCH($C1018,sup_code,0)),"Fournisseur inconnu",IF(E1018="","Article manquant",IF(ISNA(MATCH($E1018,art_ref,0)),"Article inconnu",IF(N(H1018)&lt;=0,"Quantité invalide",IF(J1018="","Prix manquant",IF(OR(N(K1018)&lt;0,N(K1018)&gt;=1),"Remise invalide",IF(M1018="","TVA manquante",IF(ISNA(MATCH(M1018,p_tva,0)),"Taux de TVA inconnu",IF(COUNTIFS(po_num,A1018,po_sup,"&lt;&gt;"&amp;C1018)&gt;0,"Fournisseur différent sur ce bon",IF(COUNTIFS(po_num,A1018,po_date,"&lt;&gt;"&amp;B1018)&gt;0,"Date différente sur ce bon",IF(COUNTIF(po_num,A1018)&gt;25,"Plus de 25 lignes sur ce bon",IF(R1018="","Date de livraison manquante",IF(R1018&lt;B1018,"Livraison avant la commande",IF(AND(N(T1018)&gt;0,N(S1018)=0),"Date d'envoi manquante",IF(N(T1018)&gt;N(H1018),"Reçu plus que commandé",IF(AND(N(T1018)&gt;0,N(U1018)=0),"Date de réception manquante",IF(AND(N(U1018)&gt;0,U1018&lt;B1018),"Réception avant la commande","OK")))))))))))))))))))))</f>
        <v/>
      </c>
      <c r="AA1018" s="66" t="str">
        <f>IF(AND(X1018="Reçu",ISNUMBER(R1018)),IF(N(U1018)&lt;=R1018,1,0),"")</f>
        <v/>
      </c>
      <c r="AB1018" s="76" t="str">
        <f>IF(OR(X1018="Envoyé",X1018="Partiel",X1018="En retard"),IF(ISNUMBER(R1018),R1018,100000)+ROW()/100000,"")</f>
        <v/>
      </c>
      <c r="AC1018" s="66" t="str">
        <f>IF(A1018="","",IF(COUNTIF($A$6:A1018,A1018)=1,1,""))</f>
        <v/>
      </c>
      <c r="AD1018" s="66" t="str">
        <f>IF(AC1018=1,COUNT($AC$6:AC1018),"")</f>
        <v/>
      </c>
      <c r="AE1018" s="66" t="str">
        <f>IFERROR(INDEX(po_num,MATCH(1013,po_seq,0))&amp;"","")</f>
        <v/>
      </c>
      <c r="AF1018" s="66" t="str">
        <f>IF(OR(A1018="",p_po=""),"",IF(A1018&amp;""=p_po,COUNTIF($A$6:A1018,A1018),""))</f>
        <v/>
      </c>
      <c r="AG1018" s="66" t="str">
        <f>IF(OR(AB1018="",A1018=""),"",IF(COUNTIFS($A$6:A1018,A1018,$AB$6:AB1018,"&gt;0")=1,1,""))</f>
        <v/>
      </c>
      <c r="AH1018" s="70" t="str">
        <f>IF(AB1018="","",ROUND(N(W1018)*N(J1018)*(1-N(K1018)),2))</f>
        <v/>
      </c>
      <c r="AI1018" s="70" t="str">
        <f>IF(OR(J1018="",N(T1018)&lt;=0,V1018="Oui"),"",ROUND(N(T1018)*J1018*(1-N(K1018)),2))</f>
        <v/>
      </c>
    </row>
    <row r="1019">
      <c r="A1019" s="63" t="n"/>
      <c r="B1019" s="64" t="n"/>
      <c r="C1019" s="65" t="n"/>
      <c r="D1019" s="66" t="str">
        <f>IF(C1019="","",IFERROR(INDEX(sup_name,MATCH($C1019,sup_code,0))&amp;"","Fournisseur inconnu"))</f>
        <v/>
      </c>
      <c r="E1019" s="63" t="n"/>
      <c r="F1019" s="66" t="str">
        <f>IF(E1019="","",IFERROR(INDEX(art_des,MATCH($E1019,art_ref,0))&amp;"","Article inconnu"))</f>
        <v/>
      </c>
      <c r="G1019" s="67" t="str">
        <f>IF(E1019="","",IFERROR(INDEX(art_unit,MATCH($E1019,art_ref,0))&amp;"",""))</f>
        <v/>
      </c>
      <c r="H1019" s="68" t="n"/>
      <c r="I1019" s="69" t="n"/>
      <c r="J1019" s="70" t="str">
        <f>IF(E1019="","",IF(ISNUMBER(I1019),I1019,IFERROR(IF(ISNUMBER(INDEX(art_price,MATCH($E1019,art_ref,0))),INDEX(art_price,MATCH($E1019,art_ref,0)),""),"")))</f>
        <v/>
      </c>
      <c r="K1019" s="71" t="n"/>
      <c r="L1019" s="72" t="n"/>
      <c r="M1019" s="72" t="str">
        <f>IF(E1019="","",IF(L1019&lt;&gt;"",L1019,IFERROR(IF(ISNUMBER(INDEX(art_tva,MATCH($E1019,art_ref,0))),INDEX(art_tva,MATCH($E1019,art_ref,0)),""),"")))</f>
        <v/>
      </c>
      <c r="N1019" s="70" t="str">
        <f>IF(OR(E1019="",J1019=""),"",ROUND(N(H1019)*J1019*(1-N(K1019)),2))</f>
        <v/>
      </c>
      <c r="O1019" s="70" t="str">
        <f>IF(OR(N1019="",NOT(ISNUMBER(M1019))),"",ROUND(N1019*M1019,2))</f>
        <v/>
      </c>
      <c r="P1019" s="70" t="str">
        <f>IF(N1019="","",N1019+N(O1019))</f>
        <v/>
      </c>
      <c r="Q1019" s="64" t="n"/>
      <c r="R1019" s="73" t="str">
        <f>IF(N(Q1019)&gt;0,Q1019,IF(OR(N(B1019)=0,ISNA(MATCH($C1019,sup_code,0))),"",IF(ISNUMBER(INDEX(sup_delay,MATCH($C1019,sup_code,0))),B1019+INDEX(sup_delay,MATCH($C1019,sup_code,0)),"")))</f>
        <v/>
      </c>
      <c r="S1019" s="64" t="n"/>
      <c r="T1019" s="68" t="n"/>
      <c r="U1019" s="64" t="n"/>
      <c r="V1019" s="65" t="n"/>
      <c r="W1019" s="74" t="str">
        <f>IF(AND(A1019="",E1019=""),"",IF(V1019="Oui",0,MAX(0,ROUND(N(H1019)-N(T1019),6))))</f>
        <v/>
      </c>
      <c r="X1019" s="67" t="str">
        <f>IF(AND(A1019="",E1019=""),"",IF(V1019="Oui","Annulé",IF(AND(N(H1019)&gt;0,N(T1019)&gt;=N(H1019)),"Reçu",IF(N(S1019)=0,"Brouillon",IF(AND(ISNUMBER(R1019),R1019&lt;p_today),"En retard",IF(N(T1019)&gt;0,"Partiel","Envoyé"))))))</f>
        <v/>
      </c>
      <c r="Y1019" s="75" t="str">
        <f>IF(X1019="En retard",p_today-R1019,IF(AND(X1019="Reçu",ISNUMBER(R1019)),MAX(0,N(U1019)-R1019),""))</f>
        <v/>
      </c>
      <c r="Z1019" s="67" t="str">
        <f>IF(AND(A1019="",E1019=""),"",IF(A1019="","N° de bon manquant",IF(N(B1019)=0,"Date de commande manquante",IF(C1019="","Fournisseur manquant",IF(ISNA(MATCH($C1019,sup_code,0)),"Fournisseur inconnu",IF(E1019="","Article manquant",IF(ISNA(MATCH($E1019,art_ref,0)),"Article inconnu",IF(N(H1019)&lt;=0,"Quantité invalide",IF(J1019="","Prix manquant",IF(OR(N(K1019)&lt;0,N(K1019)&gt;=1),"Remise invalide",IF(M1019="","TVA manquante",IF(ISNA(MATCH(M1019,p_tva,0)),"Taux de TVA inconnu",IF(COUNTIFS(po_num,A1019,po_sup,"&lt;&gt;"&amp;C1019)&gt;0,"Fournisseur différent sur ce bon",IF(COUNTIFS(po_num,A1019,po_date,"&lt;&gt;"&amp;B1019)&gt;0,"Date différente sur ce bon",IF(COUNTIF(po_num,A1019)&gt;25,"Plus de 25 lignes sur ce bon",IF(R1019="","Date de livraison manquante",IF(R1019&lt;B1019,"Livraison avant la commande",IF(AND(N(T1019)&gt;0,N(S1019)=0),"Date d'envoi manquante",IF(N(T1019)&gt;N(H1019),"Reçu plus que commandé",IF(AND(N(T1019)&gt;0,N(U1019)=0),"Date de réception manquante",IF(AND(N(U1019)&gt;0,U1019&lt;B1019),"Réception avant la commande","OK")))))))))))))))))))))</f>
        <v/>
      </c>
      <c r="AA1019" s="66" t="str">
        <f>IF(AND(X1019="Reçu",ISNUMBER(R1019)),IF(N(U1019)&lt;=R1019,1,0),"")</f>
        <v/>
      </c>
      <c r="AB1019" s="76" t="str">
        <f>IF(OR(X1019="Envoyé",X1019="Partiel",X1019="En retard"),IF(ISNUMBER(R1019),R1019,100000)+ROW()/100000,"")</f>
        <v/>
      </c>
      <c r="AC1019" s="66" t="str">
        <f>IF(A1019="","",IF(COUNTIF($A$6:A1019,A1019)=1,1,""))</f>
        <v/>
      </c>
      <c r="AD1019" s="66" t="str">
        <f>IF(AC1019=1,COUNT($AC$6:AC1019),"")</f>
        <v/>
      </c>
      <c r="AE1019" s="66" t="str">
        <f>IFERROR(INDEX(po_num,MATCH(1014,po_seq,0))&amp;"","")</f>
        <v/>
      </c>
      <c r="AF1019" s="66" t="str">
        <f>IF(OR(A1019="",p_po=""),"",IF(A1019&amp;""=p_po,COUNTIF($A$6:A1019,A1019),""))</f>
        <v/>
      </c>
      <c r="AG1019" s="66" t="str">
        <f>IF(OR(AB1019="",A1019=""),"",IF(COUNTIFS($A$6:A1019,A1019,$AB$6:AB1019,"&gt;0")=1,1,""))</f>
        <v/>
      </c>
      <c r="AH1019" s="70" t="str">
        <f>IF(AB1019="","",ROUND(N(W1019)*N(J1019)*(1-N(K1019)),2))</f>
        <v/>
      </c>
      <c r="AI1019" s="70" t="str">
        <f>IF(OR(J1019="",N(T1019)&lt;=0,V1019="Oui"),"",ROUND(N(T1019)*J1019*(1-N(K1019)),2))</f>
        <v/>
      </c>
    </row>
    <row r="1020">
      <c r="A1020" s="63" t="n"/>
      <c r="B1020" s="64" t="n"/>
      <c r="C1020" s="65" t="n"/>
      <c r="D1020" s="66" t="str">
        <f>IF(C1020="","",IFERROR(INDEX(sup_name,MATCH($C1020,sup_code,0))&amp;"","Fournisseur inconnu"))</f>
        <v/>
      </c>
      <c r="E1020" s="63" t="n"/>
      <c r="F1020" s="66" t="str">
        <f>IF(E1020="","",IFERROR(INDEX(art_des,MATCH($E1020,art_ref,0))&amp;"","Article inconnu"))</f>
        <v/>
      </c>
      <c r="G1020" s="67" t="str">
        <f>IF(E1020="","",IFERROR(INDEX(art_unit,MATCH($E1020,art_ref,0))&amp;"",""))</f>
        <v/>
      </c>
      <c r="H1020" s="68" t="n"/>
      <c r="I1020" s="69" t="n"/>
      <c r="J1020" s="70" t="str">
        <f>IF(E1020="","",IF(ISNUMBER(I1020),I1020,IFERROR(IF(ISNUMBER(INDEX(art_price,MATCH($E1020,art_ref,0))),INDEX(art_price,MATCH($E1020,art_ref,0)),""),"")))</f>
        <v/>
      </c>
      <c r="K1020" s="71" t="n"/>
      <c r="L1020" s="72" t="n"/>
      <c r="M1020" s="72" t="str">
        <f>IF(E1020="","",IF(L1020&lt;&gt;"",L1020,IFERROR(IF(ISNUMBER(INDEX(art_tva,MATCH($E1020,art_ref,0))),INDEX(art_tva,MATCH($E1020,art_ref,0)),""),"")))</f>
        <v/>
      </c>
      <c r="N1020" s="70" t="str">
        <f>IF(OR(E1020="",J1020=""),"",ROUND(N(H1020)*J1020*(1-N(K1020)),2))</f>
        <v/>
      </c>
      <c r="O1020" s="70" t="str">
        <f>IF(OR(N1020="",NOT(ISNUMBER(M1020))),"",ROUND(N1020*M1020,2))</f>
        <v/>
      </c>
      <c r="P1020" s="70" t="str">
        <f>IF(N1020="","",N1020+N(O1020))</f>
        <v/>
      </c>
      <c r="Q1020" s="64" t="n"/>
      <c r="R1020" s="73" t="str">
        <f>IF(N(Q1020)&gt;0,Q1020,IF(OR(N(B1020)=0,ISNA(MATCH($C1020,sup_code,0))),"",IF(ISNUMBER(INDEX(sup_delay,MATCH($C1020,sup_code,0))),B1020+INDEX(sup_delay,MATCH($C1020,sup_code,0)),"")))</f>
        <v/>
      </c>
      <c r="S1020" s="64" t="n"/>
      <c r="T1020" s="68" t="n"/>
      <c r="U1020" s="64" t="n"/>
      <c r="V1020" s="65" t="n"/>
      <c r="W1020" s="74" t="str">
        <f>IF(AND(A1020="",E1020=""),"",IF(V1020="Oui",0,MAX(0,ROUND(N(H1020)-N(T1020),6))))</f>
        <v/>
      </c>
      <c r="X1020" s="67" t="str">
        <f>IF(AND(A1020="",E1020=""),"",IF(V1020="Oui","Annulé",IF(AND(N(H1020)&gt;0,N(T1020)&gt;=N(H1020)),"Reçu",IF(N(S1020)=0,"Brouillon",IF(AND(ISNUMBER(R1020),R1020&lt;p_today),"En retard",IF(N(T1020)&gt;0,"Partiel","Envoyé"))))))</f>
        <v/>
      </c>
      <c r="Y1020" s="75" t="str">
        <f>IF(X1020="En retard",p_today-R1020,IF(AND(X1020="Reçu",ISNUMBER(R1020)),MAX(0,N(U1020)-R1020),""))</f>
        <v/>
      </c>
      <c r="Z1020" s="67" t="str">
        <f>IF(AND(A1020="",E1020=""),"",IF(A1020="","N° de bon manquant",IF(N(B1020)=0,"Date de commande manquante",IF(C1020="","Fournisseur manquant",IF(ISNA(MATCH($C1020,sup_code,0)),"Fournisseur inconnu",IF(E1020="","Article manquant",IF(ISNA(MATCH($E1020,art_ref,0)),"Article inconnu",IF(N(H1020)&lt;=0,"Quantité invalide",IF(J1020="","Prix manquant",IF(OR(N(K1020)&lt;0,N(K1020)&gt;=1),"Remise invalide",IF(M1020="","TVA manquante",IF(ISNA(MATCH(M1020,p_tva,0)),"Taux de TVA inconnu",IF(COUNTIFS(po_num,A1020,po_sup,"&lt;&gt;"&amp;C1020)&gt;0,"Fournisseur différent sur ce bon",IF(COUNTIFS(po_num,A1020,po_date,"&lt;&gt;"&amp;B1020)&gt;0,"Date différente sur ce bon",IF(COUNTIF(po_num,A1020)&gt;25,"Plus de 25 lignes sur ce bon",IF(R1020="","Date de livraison manquante",IF(R1020&lt;B1020,"Livraison avant la commande",IF(AND(N(T1020)&gt;0,N(S1020)=0),"Date d'envoi manquante",IF(N(T1020)&gt;N(H1020),"Reçu plus que commandé",IF(AND(N(T1020)&gt;0,N(U1020)=0),"Date de réception manquante",IF(AND(N(U1020)&gt;0,U1020&lt;B1020),"Réception avant la commande","OK")))))))))))))))))))))</f>
        <v/>
      </c>
      <c r="AA1020" s="66" t="str">
        <f>IF(AND(X1020="Reçu",ISNUMBER(R1020)),IF(N(U1020)&lt;=R1020,1,0),"")</f>
        <v/>
      </c>
      <c r="AB1020" s="76" t="str">
        <f>IF(OR(X1020="Envoyé",X1020="Partiel",X1020="En retard"),IF(ISNUMBER(R1020),R1020,100000)+ROW()/100000,"")</f>
        <v/>
      </c>
      <c r="AC1020" s="66" t="str">
        <f>IF(A1020="","",IF(COUNTIF($A$6:A1020,A1020)=1,1,""))</f>
        <v/>
      </c>
      <c r="AD1020" s="66" t="str">
        <f>IF(AC1020=1,COUNT($AC$6:AC1020),"")</f>
        <v/>
      </c>
      <c r="AE1020" s="66" t="str">
        <f>IFERROR(INDEX(po_num,MATCH(1015,po_seq,0))&amp;"","")</f>
        <v/>
      </c>
      <c r="AF1020" s="66" t="str">
        <f>IF(OR(A1020="",p_po=""),"",IF(A1020&amp;""=p_po,COUNTIF($A$6:A1020,A1020),""))</f>
        <v/>
      </c>
      <c r="AG1020" s="66" t="str">
        <f>IF(OR(AB1020="",A1020=""),"",IF(COUNTIFS($A$6:A1020,A1020,$AB$6:AB1020,"&gt;0")=1,1,""))</f>
        <v/>
      </c>
      <c r="AH1020" s="70" t="str">
        <f>IF(AB1020="","",ROUND(N(W1020)*N(J1020)*(1-N(K1020)),2))</f>
        <v/>
      </c>
      <c r="AI1020" s="70" t="str">
        <f>IF(OR(J1020="",N(T1020)&lt;=0,V1020="Oui"),"",ROUND(N(T1020)*J1020*(1-N(K1020)),2))</f>
        <v/>
      </c>
    </row>
    <row r="1021">
      <c r="A1021" s="63" t="n"/>
      <c r="B1021" s="64" t="n"/>
      <c r="C1021" s="65" t="n"/>
      <c r="D1021" s="66" t="str">
        <f>IF(C1021="","",IFERROR(INDEX(sup_name,MATCH($C1021,sup_code,0))&amp;"","Fournisseur inconnu"))</f>
        <v/>
      </c>
      <c r="E1021" s="63" t="n"/>
      <c r="F1021" s="66" t="str">
        <f>IF(E1021="","",IFERROR(INDEX(art_des,MATCH($E1021,art_ref,0))&amp;"","Article inconnu"))</f>
        <v/>
      </c>
      <c r="G1021" s="67" t="str">
        <f>IF(E1021="","",IFERROR(INDEX(art_unit,MATCH($E1021,art_ref,0))&amp;"",""))</f>
        <v/>
      </c>
      <c r="H1021" s="68" t="n"/>
      <c r="I1021" s="69" t="n"/>
      <c r="J1021" s="70" t="str">
        <f>IF(E1021="","",IF(ISNUMBER(I1021),I1021,IFERROR(IF(ISNUMBER(INDEX(art_price,MATCH($E1021,art_ref,0))),INDEX(art_price,MATCH($E1021,art_ref,0)),""),"")))</f>
        <v/>
      </c>
      <c r="K1021" s="71" t="n"/>
      <c r="L1021" s="72" t="n"/>
      <c r="M1021" s="72" t="str">
        <f>IF(E1021="","",IF(L1021&lt;&gt;"",L1021,IFERROR(IF(ISNUMBER(INDEX(art_tva,MATCH($E1021,art_ref,0))),INDEX(art_tva,MATCH($E1021,art_ref,0)),""),"")))</f>
        <v/>
      </c>
      <c r="N1021" s="70" t="str">
        <f>IF(OR(E1021="",J1021=""),"",ROUND(N(H1021)*J1021*(1-N(K1021)),2))</f>
        <v/>
      </c>
      <c r="O1021" s="70" t="str">
        <f>IF(OR(N1021="",NOT(ISNUMBER(M1021))),"",ROUND(N1021*M1021,2))</f>
        <v/>
      </c>
      <c r="P1021" s="70" t="str">
        <f>IF(N1021="","",N1021+N(O1021))</f>
        <v/>
      </c>
      <c r="Q1021" s="64" t="n"/>
      <c r="R1021" s="73" t="str">
        <f>IF(N(Q1021)&gt;0,Q1021,IF(OR(N(B1021)=0,ISNA(MATCH($C1021,sup_code,0))),"",IF(ISNUMBER(INDEX(sup_delay,MATCH($C1021,sup_code,0))),B1021+INDEX(sup_delay,MATCH($C1021,sup_code,0)),"")))</f>
        <v/>
      </c>
      <c r="S1021" s="64" t="n"/>
      <c r="T1021" s="68" t="n"/>
      <c r="U1021" s="64" t="n"/>
      <c r="V1021" s="65" t="n"/>
      <c r="W1021" s="74" t="str">
        <f>IF(AND(A1021="",E1021=""),"",IF(V1021="Oui",0,MAX(0,ROUND(N(H1021)-N(T1021),6))))</f>
        <v/>
      </c>
      <c r="X1021" s="67" t="str">
        <f>IF(AND(A1021="",E1021=""),"",IF(V1021="Oui","Annulé",IF(AND(N(H1021)&gt;0,N(T1021)&gt;=N(H1021)),"Reçu",IF(N(S1021)=0,"Brouillon",IF(AND(ISNUMBER(R1021),R1021&lt;p_today),"En retard",IF(N(T1021)&gt;0,"Partiel","Envoyé"))))))</f>
        <v/>
      </c>
      <c r="Y1021" s="75" t="str">
        <f>IF(X1021="En retard",p_today-R1021,IF(AND(X1021="Reçu",ISNUMBER(R1021)),MAX(0,N(U1021)-R1021),""))</f>
        <v/>
      </c>
      <c r="Z1021" s="67" t="str">
        <f>IF(AND(A1021="",E1021=""),"",IF(A1021="","N° de bon manquant",IF(N(B1021)=0,"Date de commande manquante",IF(C1021="","Fournisseur manquant",IF(ISNA(MATCH($C1021,sup_code,0)),"Fournisseur inconnu",IF(E1021="","Article manquant",IF(ISNA(MATCH($E1021,art_ref,0)),"Article inconnu",IF(N(H1021)&lt;=0,"Quantité invalide",IF(J1021="","Prix manquant",IF(OR(N(K1021)&lt;0,N(K1021)&gt;=1),"Remise invalide",IF(M1021="","TVA manquante",IF(ISNA(MATCH(M1021,p_tva,0)),"Taux de TVA inconnu",IF(COUNTIFS(po_num,A1021,po_sup,"&lt;&gt;"&amp;C1021)&gt;0,"Fournisseur différent sur ce bon",IF(COUNTIFS(po_num,A1021,po_date,"&lt;&gt;"&amp;B1021)&gt;0,"Date différente sur ce bon",IF(COUNTIF(po_num,A1021)&gt;25,"Plus de 25 lignes sur ce bon",IF(R1021="","Date de livraison manquante",IF(R1021&lt;B1021,"Livraison avant la commande",IF(AND(N(T1021)&gt;0,N(S1021)=0),"Date d'envoi manquante",IF(N(T1021)&gt;N(H1021),"Reçu plus que commandé",IF(AND(N(T1021)&gt;0,N(U1021)=0),"Date de réception manquante",IF(AND(N(U1021)&gt;0,U1021&lt;B1021),"Réception avant la commande","OK")))))))))))))))))))))</f>
        <v/>
      </c>
      <c r="AA1021" s="66" t="str">
        <f>IF(AND(X1021="Reçu",ISNUMBER(R1021)),IF(N(U1021)&lt;=R1021,1,0),"")</f>
        <v/>
      </c>
      <c r="AB1021" s="76" t="str">
        <f>IF(OR(X1021="Envoyé",X1021="Partiel",X1021="En retard"),IF(ISNUMBER(R1021),R1021,100000)+ROW()/100000,"")</f>
        <v/>
      </c>
      <c r="AC1021" s="66" t="str">
        <f>IF(A1021="","",IF(COUNTIF($A$6:A1021,A1021)=1,1,""))</f>
        <v/>
      </c>
      <c r="AD1021" s="66" t="str">
        <f>IF(AC1021=1,COUNT($AC$6:AC1021),"")</f>
        <v/>
      </c>
      <c r="AE1021" s="66" t="str">
        <f>IFERROR(INDEX(po_num,MATCH(1016,po_seq,0))&amp;"","")</f>
        <v/>
      </c>
      <c r="AF1021" s="66" t="str">
        <f>IF(OR(A1021="",p_po=""),"",IF(A1021&amp;""=p_po,COUNTIF($A$6:A1021,A1021),""))</f>
        <v/>
      </c>
      <c r="AG1021" s="66" t="str">
        <f>IF(OR(AB1021="",A1021=""),"",IF(COUNTIFS($A$6:A1021,A1021,$AB$6:AB1021,"&gt;0")=1,1,""))</f>
        <v/>
      </c>
      <c r="AH1021" s="70" t="str">
        <f>IF(AB1021="","",ROUND(N(W1021)*N(J1021)*(1-N(K1021)),2))</f>
        <v/>
      </c>
      <c r="AI1021" s="70" t="str">
        <f>IF(OR(J1021="",N(T1021)&lt;=0,V1021="Oui"),"",ROUND(N(T1021)*J1021*(1-N(K1021)),2))</f>
        <v/>
      </c>
    </row>
    <row r="1022">
      <c r="A1022" s="63" t="n"/>
      <c r="B1022" s="64" t="n"/>
      <c r="C1022" s="65" t="n"/>
      <c r="D1022" s="66" t="str">
        <f>IF(C1022="","",IFERROR(INDEX(sup_name,MATCH($C1022,sup_code,0))&amp;"","Fournisseur inconnu"))</f>
        <v/>
      </c>
      <c r="E1022" s="63" t="n"/>
      <c r="F1022" s="66" t="str">
        <f>IF(E1022="","",IFERROR(INDEX(art_des,MATCH($E1022,art_ref,0))&amp;"","Article inconnu"))</f>
        <v/>
      </c>
      <c r="G1022" s="67" t="str">
        <f>IF(E1022="","",IFERROR(INDEX(art_unit,MATCH($E1022,art_ref,0))&amp;"",""))</f>
        <v/>
      </c>
      <c r="H1022" s="68" t="n"/>
      <c r="I1022" s="69" t="n"/>
      <c r="J1022" s="70" t="str">
        <f>IF(E1022="","",IF(ISNUMBER(I1022),I1022,IFERROR(IF(ISNUMBER(INDEX(art_price,MATCH($E1022,art_ref,0))),INDEX(art_price,MATCH($E1022,art_ref,0)),""),"")))</f>
        <v/>
      </c>
      <c r="K1022" s="71" t="n"/>
      <c r="L1022" s="72" t="n"/>
      <c r="M1022" s="72" t="str">
        <f>IF(E1022="","",IF(L1022&lt;&gt;"",L1022,IFERROR(IF(ISNUMBER(INDEX(art_tva,MATCH($E1022,art_ref,0))),INDEX(art_tva,MATCH($E1022,art_ref,0)),""),"")))</f>
        <v/>
      </c>
      <c r="N1022" s="70" t="str">
        <f>IF(OR(E1022="",J1022=""),"",ROUND(N(H1022)*J1022*(1-N(K1022)),2))</f>
        <v/>
      </c>
      <c r="O1022" s="70" t="str">
        <f>IF(OR(N1022="",NOT(ISNUMBER(M1022))),"",ROUND(N1022*M1022,2))</f>
        <v/>
      </c>
      <c r="P1022" s="70" t="str">
        <f>IF(N1022="","",N1022+N(O1022))</f>
        <v/>
      </c>
      <c r="Q1022" s="64" t="n"/>
      <c r="R1022" s="73" t="str">
        <f>IF(N(Q1022)&gt;0,Q1022,IF(OR(N(B1022)=0,ISNA(MATCH($C1022,sup_code,0))),"",IF(ISNUMBER(INDEX(sup_delay,MATCH($C1022,sup_code,0))),B1022+INDEX(sup_delay,MATCH($C1022,sup_code,0)),"")))</f>
        <v/>
      </c>
      <c r="S1022" s="64" t="n"/>
      <c r="T1022" s="68" t="n"/>
      <c r="U1022" s="64" t="n"/>
      <c r="V1022" s="65" t="n"/>
      <c r="W1022" s="74" t="str">
        <f>IF(AND(A1022="",E1022=""),"",IF(V1022="Oui",0,MAX(0,ROUND(N(H1022)-N(T1022),6))))</f>
        <v/>
      </c>
      <c r="X1022" s="67" t="str">
        <f>IF(AND(A1022="",E1022=""),"",IF(V1022="Oui","Annulé",IF(AND(N(H1022)&gt;0,N(T1022)&gt;=N(H1022)),"Reçu",IF(N(S1022)=0,"Brouillon",IF(AND(ISNUMBER(R1022),R1022&lt;p_today),"En retard",IF(N(T1022)&gt;0,"Partiel","Envoyé"))))))</f>
        <v/>
      </c>
      <c r="Y1022" s="75" t="str">
        <f>IF(X1022="En retard",p_today-R1022,IF(AND(X1022="Reçu",ISNUMBER(R1022)),MAX(0,N(U1022)-R1022),""))</f>
        <v/>
      </c>
      <c r="Z1022" s="67" t="str">
        <f>IF(AND(A1022="",E1022=""),"",IF(A1022="","N° de bon manquant",IF(N(B1022)=0,"Date de commande manquante",IF(C1022="","Fournisseur manquant",IF(ISNA(MATCH($C1022,sup_code,0)),"Fournisseur inconnu",IF(E1022="","Article manquant",IF(ISNA(MATCH($E1022,art_ref,0)),"Article inconnu",IF(N(H1022)&lt;=0,"Quantité invalide",IF(J1022="","Prix manquant",IF(OR(N(K1022)&lt;0,N(K1022)&gt;=1),"Remise invalide",IF(M1022="","TVA manquante",IF(ISNA(MATCH(M1022,p_tva,0)),"Taux de TVA inconnu",IF(COUNTIFS(po_num,A1022,po_sup,"&lt;&gt;"&amp;C1022)&gt;0,"Fournisseur différent sur ce bon",IF(COUNTIFS(po_num,A1022,po_date,"&lt;&gt;"&amp;B1022)&gt;0,"Date différente sur ce bon",IF(COUNTIF(po_num,A1022)&gt;25,"Plus de 25 lignes sur ce bon",IF(R1022="","Date de livraison manquante",IF(R1022&lt;B1022,"Livraison avant la commande",IF(AND(N(T1022)&gt;0,N(S1022)=0),"Date d'envoi manquante",IF(N(T1022)&gt;N(H1022),"Reçu plus que commandé",IF(AND(N(T1022)&gt;0,N(U1022)=0),"Date de réception manquante",IF(AND(N(U1022)&gt;0,U1022&lt;B1022),"Réception avant la commande","OK")))))))))))))))))))))</f>
        <v/>
      </c>
      <c r="AA1022" s="66" t="str">
        <f>IF(AND(X1022="Reçu",ISNUMBER(R1022)),IF(N(U1022)&lt;=R1022,1,0),"")</f>
        <v/>
      </c>
      <c r="AB1022" s="76" t="str">
        <f>IF(OR(X1022="Envoyé",X1022="Partiel",X1022="En retard"),IF(ISNUMBER(R1022),R1022,100000)+ROW()/100000,"")</f>
        <v/>
      </c>
      <c r="AC1022" s="66" t="str">
        <f>IF(A1022="","",IF(COUNTIF($A$6:A1022,A1022)=1,1,""))</f>
        <v/>
      </c>
      <c r="AD1022" s="66" t="str">
        <f>IF(AC1022=1,COUNT($AC$6:AC1022),"")</f>
        <v/>
      </c>
      <c r="AE1022" s="66" t="str">
        <f>IFERROR(INDEX(po_num,MATCH(1017,po_seq,0))&amp;"","")</f>
        <v/>
      </c>
      <c r="AF1022" s="66" t="str">
        <f>IF(OR(A1022="",p_po=""),"",IF(A1022&amp;""=p_po,COUNTIF($A$6:A1022,A1022),""))</f>
        <v/>
      </c>
      <c r="AG1022" s="66" t="str">
        <f>IF(OR(AB1022="",A1022=""),"",IF(COUNTIFS($A$6:A1022,A1022,$AB$6:AB1022,"&gt;0")=1,1,""))</f>
        <v/>
      </c>
      <c r="AH1022" s="70" t="str">
        <f>IF(AB1022="","",ROUND(N(W1022)*N(J1022)*(1-N(K1022)),2))</f>
        <v/>
      </c>
      <c r="AI1022" s="70" t="str">
        <f>IF(OR(J1022="",N(T1022)&lt;=0,V1022="Oui"),"",ROUND(N(T1022)*J1022*(1-N(K1022)),2))</f>
        <v/>
      </c>
    </row>
    <row r="1023">
      <c r="A1023" s="63" t="n"/>
      <c r="B1023" s="64" t="n"/>
      <c r="C1023" s="65" t="n"/>
      <c r="D1023" s="66" t="str">
        <f>IF(C1023="","",IFERROR(INDEX(sup_name,MATCH($C1023,sup_code,0))&amp;"","Fournisseur inconnu"))</f>
        <v/>
      </c>
      <c r="E1023" s="63" t="n"/>
      <c r="F1023" s="66" t="str">
        <f>IF(E1023="","",IFERROR(INDEX(art_des,MATCH($E1023,art_ref,0))&amp;"","Article inconnu"))</f>
        <v/>
      </c>
      <c r="G1023" s="67" t="str">
        <f>IF(E1023="","",IFERROR(INDEX(art_unit,MATCH($E1023,art_ref,0))&amp;"",""))</f>
        <v/>
      </c>
      <c r="H1023" s="68" t="n"/>
      <c r="I1023" s="69" t="n"/>
      <c r="J1023" s="70" t="str">
        <f>IF(E1023="","",IF(ISNUMBER(I1023),I1023,IFERROR(IF(ISNUMBER(INDEX(art_price,MATCH($E1023,art_ref,0))),INDEX(art_price,MATCH($E1023,art_ref,0)),""),"")))</f>
        <v/>
      </c>
      <c r="K1023" s="71" t="n"/>
      <c r="L1023" s="72" t="n"/>
      <c r="M1023" s="72" t="str">
        <f>IF(E1023="","",IF(L1023&lt;&gt;"",L1023,IFERROR(IF(ISNUMBER(INDEX(art_tva,MATCH($E1023,art_ref,0))),INDEX(art_tva,MATCH($E1023,art_ref,0)),""),"")))</f>
        <v/>
      </c>
      <c r="N1023" s="70" t="str">
        <f>IF(OR(E1023="",J1023=""),"",ROUND(N(H1023)*J1023*(1-N(K1023)),2))</f>
        <v/>
      </c>
      <c r="O1023" s="70" t="str">
        <f>IF(OR(N1023="",NOT(ISNUMBER(M1023))),"",ROUND(N1023*M1023,2))</f>
        <v/>
      </c>
      <c r="P1023" s="70" t="str">
        <f>IF(N1023="","",N1023+N(O1023))</f>
        <v/>
      </c>
      <c r="Q1023" s="64" t="n"/>
      <c r="R1023" s="73" t="str">
        <f>IF(N(Q1023)&gt;0,Q1023,IF(OR(N(B1023)=0,ISNA(MATCH($C1023,sup_code,0))),"",IF(ISNUMBER(INDEX(sup_delay,MATCH($C1023,sup_code,0))),B1023+INDEX(sup_delay,MATCH($C1023,sup_code,0)),"")))</f>
        <v/>
      </c>
      <c r="S1023" s="64" t="n"/>
      <c r="T1023" s="68" t="n"/>
      <c r="U1023" s="64" t="n"/>
      <c r="V1023" s="65" t="n"/>
      <c r="W1023" s="74" t="str">
        <f>IF(AND(A1023="",E1023=""),"",IF(V1023="Oui",0,MAX(0,ROUND(N(H1023)-N(T1023),6))))</f>
        <v/>
      </c>
      <c r="X1023" s="67" t="str">
        <f>IF(AND(A1023="",E1023=""),"",IF(V1023="Oui","Annulé",IF(AND(N(H1023)&gt;0,N(T1023)&gt;=N(H1023)),"Reçu",IF(N(S1023)=0,"Brouillon",IF(AND(ISNUMBER(R1023),R1023&lt;p_today),"En retard",IF(N(T1023)&gt;0,"Partiel","Envoyé"))))))</f>
        <v/>
      </c>
      <c r="Y1023" s="75" t="str">
        <f>IF(X1023="En retard",p_today-R1023,IF(AND(X1023="Reçu",ISNUMBER(R1023)),MAX(0,N(U1023)-R1023),""))</f>
        <v/>
      </c>
      <c r="Z1023" s="67" t="str">
        <f>IF(AND(A1023="",E1023=""),"",IF(A1023="","N° de bon manquant",IF(N(B1023)=0,"Date de commande manquante",IF(C1023="","Fournisseur manquant",IF(ISNA(MATCH($C1023,sup_code,0)),"Fournisseur inconnu",IF(E1023="","Article manquant",IF(ISNA(MATCH($E1023,art_ref,0)),"Article inconnu",IF(N(H1023)&lt;=0,"Quantité invalide",IF(J1023="","Prix manquant",IF(OR(N(K1023)&lt;0,N(K1023)&gt;=1),"Remise invalide",IF(M1023="","TVA manquante",IF(ISNA(MATCH(M1023,p_tva,0)),"Taux de TVA inconnu",IF(COUNTIFS(po_num,A1023,po_sup,"&lt;&gt;"&amp;C1023)&gt;0,"Fournisseur différent sur ce bon",IF(COUNTIFS(po_num,A1023,po_date,"&lt;&gt;"&amp;B1023)&gt;0,"Date différente sur ce bon",IF(COUNTIF(po_num,A1023)&gt;25,"Plus de 25 lignes sur ce bon",IF(R1023="","Date de livraison manquante",IF(R1023&lt;B1023,"Livraison avant la commande",IF(AND(N(T1023)&gt;0,N(S1023)=0),"Date d'envoi manquante",IF(N(T1023)&gt;N(H1023),"Reçu plus que commandé",IF(AND(N(T1023)&gt;0,N(U1023)=0),"Date de réception manquante",IF(AND(N(U1023)&gt;0,U1023&lt;B1023),"Réception avant la commande","OK")))))))))))))))))))))</f>
        <v/>
      </c>
      <c r="AA1023" s="66" t="str">
        <f>IF(AND(X1023="Reçu",ISNUMBER(R1023)),IF(N(U1023)&lt;=R1023,1,0),"")</f>
        <v/>
      </c>
      <c r="AB1023" s="76" t="str">
        <f>IF(OR(X1023="Envoyé",X1023="Partiel",X1023="En retard"),IF(ISNUMBER(R1023),R1023,100000)+ROW()/100000,"")</f>
        <v/>
      </c>
      <c r="AC1023" s="66" t="str">
        <f>IF(A1023="","",IF(COUNTIF($A$6:A1023,A1023)=1,1,""))</f>
        <v/>
      </c>
      <c r="AD1023" s="66" t="str">
        <f>IF(AC1023=1,COUNT($AC$6:AC1023),"")</f>
        <v/>
      </c>
      <c r="AE1023" s="66" t="str">
        <f>IFERROR(INDEX(po_num,MATCH(1018,po_seq,0))&amp;"","")</f>
        <v/>
      </c>
      <c r="AF1023" s="66" t="str">
        <f>IF(OR(A1023="",p_po=""),"",IF(A1023&amp;""=p_po,COUNTIF($A$6:A1023,A1023),""))</f>
        <v/>
      </c>
      <c r="AG1023" s="66" t="str">
        <f>IF(OR(AB1023="",A1023=""),"",IF(COUNTIFS($A$6:A1023,A1023,$AB$6:AB1023,"&gt;0")=1,1,""))</f>
        <v/>
      </c>
      <c r="AH1023" s="70" t="str">
        <f>IF(AB1023="","",ROUND(N(W1023)*N(J1023)*(1-N(K1023)),2))</f>
        <v/>
      </c>
      <c r="AI1023" s="70" t="str">
        <f>IF(OR(J1023="",N(T1023)&lt;=0,V1023="Oui"),"",ROUND(N(T1023)*J1023*(1-N(K1023)),2))</f>
        <v/>
      </c>
    </row>
    <row r="1024">
      <c r="A1024" s="63" t="n"/>
      <c r="B1024" s="64" t="n"/>
      <c r="C1024" s="65" t="n"/>
      <c r="D1024" s="66" t="str">
        <f>IF(C1024="","",IFERROR(INDEX(sup_name,MATCH($C1024,sup_code,0))&amp;"","Fournisseur inconnu"))</f>
        <v/>
      </c>
      <c r="E1024" s="63" t="n"/>
      <c r="F1024" s="66" t="str">
        <f>IF(E1024="","",IFERROR(INDEX(art_des,MATCH($E1024,art_ref,0))&amp;"","Article inconnu"))</f>
        <v/>
      </c>
      <c r="G1024" s="67" t="str">
        <f>IF(E1024="","",IFERROR(INDEX(art_unit,MATCH($E1024,art_ref,0))&amp;"",""))</f>
        <v/>
      </c>
      <c r="H1024" s="68" t="n"/>
      <c r="I1024" s="69" t="n"/>
      <c r="J1024" s="70" t="str">
        <f>IF(E1024="","",IF(ISNUMBER(I1024),I1024,IFERROR(IF(ISNUMBER(INDEX(art_price,MATCH($E1024,art_ref,0))),INDEX(art_price,MATCH($E1024,art_ref,0)),""),"")))</f>
        <v/>
      </c>
      <c r="K1024" s="71" t="n"/>
      <c r="L1024" s="72" t="n"/>
      <c r="M1024" s="72" t="str">
        <f>IF(E1024="","",IF(L1024&lt;&gt;"",L1024,IFERROR(IF(ISNUMBER(INDEX(art_tva,MATCH($E1024,art_ref,0))),INDEX(art_tva,MATCH($E1024,art_ref,0)),""),"")))</f>
        <v/>
      </c>
      <c r="N1024" s="70" t="str">
        <f>IF(OR(E1024="",J1024=""),"",ROUND(N(H1024)*J1024*(1-N(K1024)),2))</f>
        <v/>
      </c>
      <c r="O1024" s="70" t="str">
        <f>IF(OR(N1024="",NOT(ISNUMBER(M1024))),"",ROUND(N1024*M1024,2))</f>
        <v/>
      </c>
      <c r="P1024" s="70" t="str">
        <f>IF(N1024="","",N1024+N(O1024))</f>
        <v/>
      </c>
      <c r="Q1024" s="64" t="n"/>
      <c r="R1024" s="73" t="str">
        <f>IF(N(Q1024)&gt;0,Q1024,IF(OR(N(B1024)=0,ISNA(MATCH($C1024,sup_code,0))),"",IF(ISNUMBER(INDEX(sup_delay,MATCH($C1024,sup_code,0))),B1024+INDEX(sup_delay,MATCH($C1024,sup_code,0)),"")))</f>
        <v/>
      </c>
      <c r="S1024" s="64" t="n"/>
      <c r="T1024" s="68" t="n"/>
      <c r="U1024" s="64" t="n"/>
      <c r="V1024" s="65" t="n"/>
      <c r="W1024" s="74" t="str">
        <f>IF(AND(A1024="",E1024=""),"",IF(V1024="Oui",0,MAX(0,ROUND(N(H1024)-N(T1024),6))))</f>
        <v/>
      </c>
      <c r="X1024" s="67" t="str">
        <f>IF(AND(A1024="",E1024=""),"",IF(V1024="Oui","Annulé",IF(AND(N(H1024)&gt;0,N(T1024)&gt;=N(H1024)),"Reçu",IF(N(S1024)=0,"Brouillon",IF(AND(ISNUMBER(R1024),R1024&lt;p_today),"En retard",IF(N(T1024)&gt;0,"Partiel","Envoyé"))))))</f>
        <v/>
      </c>
      <c r="Y1024" s="75" t="str">
        <f>IF(X1024="En retard",p_today-R1024,IF(AND(X1024="Reçu",ISNUMBER(R1024)),MAX(0,N(U1024)-R1024),""))</f>
        <v/>
      </c>
      <c r="Z1024" s="67" t="str">
        <f>IF(AND(A1024="",E1024=""),"",IF(A1024="","N° de bon manquant",IF(N(B1024)=0,"Date de commande manquante",IF(C1024="","Fournisseur manquant",IF(ISNA(MATCH($C1024,sup_code,0)),"Fournisseur inconnu",IF(E1024="","Article manquant",IF(ISNA(MATCH($E1024,art_ref,0)),"Article inconnu",IF(N(H1024)&lt;=0,"Quantité invalide",IF(J1024="","Prix manquant",IF(OR(N(K1024)&lt;0,N(K1024)&gt;=1),"Remise invalide",IF(M1024="","TVA manquante",IF(ISNA(MATCH(M1024,p_tva,0)),"Taux de TVA inconnu",IF(COUNTIFS(po_num,A1024,po_sup,"&lt;&gt;"&amp;C1024)&gt;0,"Fournisseur différent sur ce bon",IF(COUNTIFS(po_num,A1024,po_date,"&lt;&gt;"&amp;B1024)&gt;0,"Date différente sur ce bon",IF(COUNTIF(po_num,A1024)&gt;25,"Plus de 25 lignes sur ce bon",IF(R1024="","Date de livraison manquante",IF(R1024&lt;B1024,"Livraison avant la commande",IF(AND(N(T1024)&gt;0,N(S1024)=0),"Date d'envoi manquante",IF(N(T1024)&gt;N(H1024),"Reçu plus que commandé",IF(AND(N(T1024)&gt;0,N(U1024)=0),"Date de réception manquante",IF(AND(N(U1024)&gt;0,U1024&lt;B1024),"Réception avant la commande","OK")))))))))))))))))))))</f>
        <v/>
      </c>
      <c r="AA1024" s="66" t="str">
        <f>IF(AND(X1024="Reçu",ISNUMBER(R1024)),IF(N(U1024)&lt;=R1024,1,0),"")</f>
        <v/>
      </c>
      <c r="AB1024" s="76" t="str">
        <f>IF(OR(X1024="Envoyé",X1024="Partiel",X1024="En retard"),IF(ISNUMBER(R1024),R1024,100000)+ROW()/100000,"")</f>
        <v/>
      </c>
      <c r="AC1024" s="66" t="str">
        <f>IF(A1024="","",IF(COUNTIF($A$6:A1024,A1024)=1,1,""))</f>
        <v/>
      </c>
      <c r="AD1024" s="66" t="str">
        <f>IF(AC1024=1,COUNT($AC$6:AC1024),"")</f>
        <v/>
      </c>
      <c r="AE1024" s="66" t="str">
        <f>IFERROR(INDEX(po_num,MATCH(1019,po_seq,0))&amp;"","")</f>
        <v/>
      </c>
      <c r="AF1024" s="66" t="str">
        <f>IF(OR(A1024="",p_po=""),"",IF(A1024&amp;""=p_po,COUNTIF($A$6:A1024,A1024),""))</f>
        <v/>
      </c>
      <c r="AG1024" s="66" t="str">
        <f>IF(OR(AB1024="",A1024=""),"",IF(COUNTIFS($A$6:A1024,A1024,$AB$6:AB1024,"&gt;0")=1,1,""))</f>
        <v/>
      </c>
      <c r="AH1024" s="70" t="str">
        <f>IF(AB1024="","",ROUND(N(W1024)*N(J1024)*(1-N(K1024)),2))</f>
        <v/>
      </c>
      <c r="AI1024" s="70" t="str">
        <f>IF(OR(J1024="",N(T1024)&lt;=0,V1024="Oui"),"",ROUND(N(T1024)*J1024*(1-N(K1024)),2))</f>
        <v/>
      </c>
    </row>
    <row r="1025">
      <c r="A1025" s="63" t="n"/>
      <c r="B1025" s="64" t="n"/>
      <c r="C1025" s="65" t="n"/>
      <c r="D1025" s="66" t="str">
        <f>IF(C1025="","",IFERROR(INDEX(sup_name,MATCH($C1025,sup_code,0))&amp;"","Fournisseur inconnu"))</f>
        <v/>
      </c>
      <c r="E1025" s="63" t="n"/>
      <c r="F1025" s="66" t="str">
        <f>IF(E1025="","",IFERROR(INDEX(art_des,MATCH($E1025,art_ref,0))&amp;"","Article inconnu"))</f>
        <v/>
      </c>
      <c r="G1025" s="67" t="str">
        <f>IF(E1025="","",IFERROR(INDEX(art_unit,MATCH($E1025,art_ref,0))&amp;"",""))</f>
        <v/>
      </c>
      <c r="H1025" s="68" t="n"/>
      <c r="I1025" s="69" t="n"/>
      <c r="J1025" s="70" t="str">
        <f>IF(E1025="","",IF(ISNUMBER(I1025),I1025,IFERROR(IF(ISNUMBER(INDEX(art_price,MATCH($E1025,art_ref,0))),INDEX(art_price,MATCH($E1025,art_ref,0)),""),"")))</f>
        <v/>
      </c>
      <c r="K1025" s="71" t="n"/>
      <c r="L1025" s="72" t="n"/>
      <c r="M1025" s="72" t="str">
        <f>IF(E1025="","",IF(L1025&lt;&gt;"",L1025,IFERROR(IF(ISNUMBER(INDEX(art_tva,MATCH($E1025,art_ref,0))),INDEX(art_tva,MATCH($E1025,art_ref,0)),""),"")))</f>
        <v/>
      </c>
      <c r="N1025" s="70" t="str">
        <f>IF(OR(E1025="",J1025=""),"",ROUND(N(H1025)*J1025*(1-N(K1025)),2))</f>
        <v/>
      </c>
      <c r="O1025" s="70" t="str">
        <f>IF(OR(N1025="",NOT(ISNUMBER(M1025))),"",ROUND(N1025*M1025,2))</f>
        <v/>
      </c>
      <c r="P1025" s="70" t="str">
        <f>IF(N1025="","",N1025+N(O1025))</f>
        <v/>
      </c>
      <c r="Q1025" s="64" t="n"/>
      <c r="R1025" s="73" t="str">
        <f>IF(N(Q1025)&gt;0,Q1025,IF(OR(N(B1025)=0,ISNA(MATCH($C1025,sup_code,0))),"",IF(ISNUMBER(INDEX(sup_delay,MATCH($C1025,sup_code,0))),B1025+INDEX(sup_delay,MATCH($C1025,sup_code,0)),"")))</f>
        <v/>
      </c>
      <c r="S1025" s="64" t="n"/>
      <c r="T1025" s="68" t="n"/>
      <c r="U1025" s="64" t="n"/>
      <c r="V1025" s="65" t="n"/>
      <c r="W1025" s="74" t="str">
        <f>IF(AND(A1025="",E1025=""),"",IF(V1025="Oui",0,MAX(0,ROUND(N(H1025)-N(T1025),6))))</f>
        <v/>
      </c>
      <c r="X1025" s="67" t="str">
        <f>IF(AND(A1025="",E1025=""),"",IF(V1025="Oui","Annulé",IF(AND(N(H1025)&gt;0,N(T1025)&gt;=N(H1025)),"Reçu",IF(N(S1025)=0,"Brouillon",IF(AND(ISNUMBER(R1025),R1025&lt;p_today),"En retard",IF(N(T1025)&gt;0,"Partiel","Envoyé"))))))</f>
        <v/>
      </c>
      <c r="Y1025" s="75" t="str">
        <f>IF(X1025="En retard",p_today-R1025,IF(AND(X1025="Reçu",ISNUMBER(R1025)),MAX(0,N(U1025)-R1025),""))</f>
        <v/>
      </c>
      <c r="Z1025" s="67" t="str">
        <f>IF(AND(A1025="",E1025=""),"",IF(A1025="","N° de bon manquant",IF(N(B1025)=0,"Date de commande manquante",IF(C1025="","Fournisseur manquant",IF(ISNA(MATCH($C1025,sup_code,0)),"Fournisseur inconnu",IF(E1025="","Article manquant",IF(ISNA(MATCH($E1025,art_ref,0)),"Article inconnu",IF(N(H1025)&lt;=0,"Quantité invalide",IF(J1025="","Prix manquant",IF(OR(N(K1025)&lt;0,N(K1025)&gt;=1),"Remise invalide",IF(M1025="","TVA manquante",IF(ISNA(MATCH(M1025,p_tva,0)),"Taux de TVA inconnu",IF(COUNTIFS(po_num,A1025,po_sup,"&lt;&gt;"&amp;C1025)&gt;0,"Fournisseur différent sur ce bon",IF(COUNTIFS(po_num,A1025,po_date,"&lt;&gt;"&amp;B1025)&gt;0,"Date différente sur ce bon",IF(COUNTIF(po_num,A1025)&gt;25,"Plus de 25 lignes sur ce bon",IF(R1025="","Date de livraison manquante",IF(R1025&lt;B1025,"Livraison avant la commande",IF(AND(N(T1025)&gt;0,N(S1025)=0),"Date d'envoi manquante",IF(N(T1025)&gt;N(H1025),"Reçu plus que commandé",IF(AND(N(T1025)&gt;0,N(U1025)=0),"Date de réception manquante",IF(AND(N(U1025)&gt;0,U1025&lt;B1025),"Réception avant la commande","OK")))))))))))))))))))))</f>
        <v/>
      </c>
      <c r="AA1025" s="66" t="str">
        <f>IF(AND(X1025="Reçu",ISNUMBER(R1025)),IF(N(U1025)&lt;=R1025,1,0),"")</f>
        <v/>
      </c>
      <c r="AB1025" s="76" t="str">
        <f>IF(OR(X1025="Envoyé",X1025="Partiel",X1025="En retard"),IF(ISNUMBER(R1025),R1025,100000)+ROW()/100000,"")</f>
        <v/>
      </c>
      <c r="AC1025" s="66" t="str">
        <f>IF(A1025="","",IF(COUNTIF($A$6:A1025,A1025)=1,1,""))</f>
        <v/>
      </c>
      <c r="AD1025" s="66" t="str">
        <f>IF(AC1025=1,COUNT($AC$6:AC1025),"")</f>
        <v/>
      </c>
      <c r="AE1025" s="66" t="str">
        <f>IFERROR(INDEX(po_num,MATCH(1020,po_seq,0))&amp;"","")</f>
        <v/>
      </c>
      <c r="AF1025" s="66" t="str">
        <f>IF(OR(A1025="",p_po=""),"",IF(A1025&amp;""=p_po,COUNTIF($A$6:A1025,A1025),""))</f>
        <v/>
      </c>
      <c r="AG1025" s="66" t="str">
        <f>IF(OR(AB1025="",A1025=""),"",IF(COUNTIFS($A$6:A1025,A1025,$AB$6:AB1025,"&gt;0")=1,1,""))</f>
        <v/>
      </c>
      <c r="AH1025" s="70" t="str">
        <f>IF(AB1025="","",ROUND(N(W1025)*N(J1025)*(1-N(K1025)),2))</f>
        <v/>
      </c>
      <c r="AI1025" s="70" t="str">
        <f>IF(OR(J1025="",N(T1025)&lt;=0,V1025="Oui"),"",ROUND(N(T1025)*J1025*(1-N(K1025)),2))</f>
        <v/>
      </c>
    </row>
    <row r="1026">
      <c r="A1026" s="63" t="n"/>
      <c r="B1026" s="64" t="n"/>
      <c r="C1026" s="65" t="n"/>
      <c r="D1026" s="66" t="str">
        <f>IF(C1026="","",IFERROR(INDEX(sup_name,MATCH($C1026,sup_code,0))&amp;"","Fournisseur inconnu"))</f>
        <v/>
      </c>
      <c r="E1026" s="63" t="n"/>
      <c r="F1026" s="66" t="str">
        <f>IF(E1026="","",IFERROR(INDEX(art_des,MATCH($E1026,art_ref,0))&amp;"","Article inconnu"))</f>
        <v/>
      </c>
      <c r="G1026" s="67" t="str">
        <f>IF(E1026="","",IFERROR(INDEX(art_unit,MATCH($E1026,art_ref,0))&amp;"",""))</f>
        <v/>
      </c>
      <c r="H1026" s="68" t="n"/>
      <c r="I1026" s="69" t="n"/>
      <c r="J1026" s="70" t="str">
        <f>IF(E1026="","",IF(ISNUMBER(I1026),I1026,IFERROR(IF(ISNUMBER(INDEX(art_price,MATCH($E1026,art_ref,0))),INDEX(art_price,MATCH($E1026,art_ref,0)),""),"")))</f>
        <v/>
      </c>
      <c r="K1026" s="71" t="n"/>
      <c r="L1026" s="72" t="n"/>
      <c r="M1026" s="72" t="str">
        <f>IF(E1026="","",IF(L1026&lt;&gt;"",L1026,IFERROR(IF(ISNUMBER(INDEX(art_tva,MATCH($E1026,art_ref,0))),INDEX(art_tva,MATCH($E1026,art_ref,0)),""),"")))</f>
        <v/>
      </c>
      <c r="N1026" s="70" t="str">
        <f>IF(OR(E1026="",J1026=""),"",ROUND(N(H1026)*J1026*(1-N(K1026)),2))</f>
        <v/>
      </c>
      <c r="O1026" s="70" t="str">
        <f>IF(OR(N1026="",NOT(ISNUMBER(M1026))),"",ROUND(N1026*M1026,2))</f>
        <v/>
      </c>
      <c r="P1026" s="70" t="str">
        <f>IF(N1026="","",N1026+N(O1026))</f>
        <v/>
      </c>
      <c r="Q1026" s="64" t="n"/>
      <c r="R1026" s="73" t="str">
        <f>IF(N(Q1026)&gt;0,Q1026,IF(OR(N(B1026)=0,ISNA(MATCH($C1026,sup_code,0))),"",IF(ISNUMBER(INDEX(sup_delay,MATCH($C1026,sup_code,0))),B1026+INDEX(sup_delay,MATCH($C1026,sup_code,0)),"")))</f>
        <v/>
      </c>
      <c r="S1026" s="64" t="n"/>
      <c r="T1026" s="68" t="n"/>
      <c r="U1026" s="64" t="n"/>
      <c r="V1026" s="65" t="n"/>
      <c r="W1026" s="74" t="str">
        <f>IF(AND(A1026="",E1026=""),"",IF(V1026="Oui",0,MAX(0,ROUND(N(H1026)-N(T1026),6))))</f>
        <v/>
      </c>
      <c r="X1026" s="67" t="str">
        <f>IF(AND(A1026="",E1026=""),"",IF(V1026="Oui","Annulé",IF(AND(N(H1026)&gt;0,N(T1026)&gt;=N(H1026)),"Reçu",IF(N(S1026)=0,"Brouillon",IF(AND(ISNUMBER(R1026),R1026&lt;p_today),"En retard",IF(N(T1026)&gt;0,"Partiel","Envoyé"))))))</f>
        <v/>
      </c>
      <c r="Y1026" s="75" t="str">
        <f>IF(X1026="En retard",p_today-R1026,IF(AND(X1026="Reçu",ISNUMBER(R1026)),MAX(0,N(U1026)-R1026),""))</f>
        <v/>
      </c>
      <c r="Z1026" s="67" t="str">
        <f>IF(AND(A1026="",E1026=""),"",IF(A1026="","N° de bon manquant",IF(N(B1026)=0,"Date de commande manquante",IF(C1026="","Fournisseur manquant",IF(ISNA(MATCH($C1026,sup_code,0)),"Fournisseur inconnu",IF(E1026="","Article manquant",IF(ISNA(MATCH($E1026,art_ref,0)),"Article inconnu",IF(N(H1026)&lt;=0,"Quantité invalide",IF(J1026="","Prix manquant",IF(OR(N(K1026)&lt;0,N(K1026)&gt;=1),"Remise invalide",IF(M1026="","TVA manquante",IF(ISNA(MATCH(M1026,p_tva,0)),"Taux de TVA inconnu",IF(COUNTIFS(po_num,A1026,po_sup,"&lt;&gt;"&amp;C1026)&gt;0,"Fournisseur différent sur ce bon",IF(COUNTIFS(po_num,A1026,po_date,"&lt;&gt;"&amp;B1026)&gt;0,"Date différente sur ce bon",IF(COUNTIF(po_num,A1026)&gt;25,"Plus de 25 lignes sur ce bon",IF(R1026="","Date de livraison manquante",IF(R1026&lt;B1026,"Livraison avant la commande",IF(AND(N(T1026)&gt;0,N(S1026)=0),"Date d'envoi manquante",IF(N(T1026)&gt;N(H1026),"Reçu plus que commandé",IF(AND(N(T1026)&gt;0,N(U1026)=0),"Date de réception manquante",IF(AND(N(U1026)&gt;0,U1026&lt;B1026),"Réception avant la commande","OK")))))))))))))))))))))</f>
        <v/>
      </c>
      <c r="AA1026" s="66" t="str">
        <f>IF(AND(X1026="Reçu",ISNUMBER(R1026)),IF(N(U1026)&lt;=R1026,1,0),"")</f>
        <v/>
      </c>
      <c r="AB1026" s="76" t="str">
        <f>IF(OR(X1026="Envoyé",X1026="Partiel",X1026="En retard"),IF(ISNUMBER(R1026),R1026,100000)+ROW()/100000,"")</f>
        <v/>
      </c>
      <c r="AC1026" s="66" t="str">
        <f>IF(A1026="","",IF(COUNTIF($A$6:A1026,A1026)=1,1,""))</f>
        <v/>
      </c>
      <c r="AD1026" s="66" t="str">
        <f>IF(AC1026=1,COUNT($AC$6:AC1026),"")</f>
        <v/>
      </c>
      <c r="AE1026" s="66" t="str">
        <f>IFERROR(INDEX(po_num,MATCH(1021,po_seq,0))&amp;"","")</f>
        <v/>
      </c>
      <c r="AF1026" s="66" t="str">
        <f>IF(OR(A1026="",p_po=""),"",IF(A1026&amp;""=p_po,COUNTIF($A$6:A1026,A1026),""))</f>
        <v/>
      </c>
      <c r="AG1026" s="66" t="str">
        <f>IF(OR(AB1026="",A1026=""),"",IF(COUNTIFS($A$6:A1026,A1026,$AB$6:AB1026,"&gt;0")=1,1,""))</f>
        <v/>
      </c>
      <c r="AH1026" s="70" t="str">
        <f>IF(AB1026="","",ROUND(N(W1026)*N(J1026)*(1-N(K1026)),2))</f>
        <v/>
      </c>
      <c r="AI1026" s="70" t="str">
        <f>IF(OR(J1026="",N(T1026)&lt;=0,V1026="Oui"),"",ROUND(N(T1026)*J1026*(1-N(K1026)),2))</f>
        <v/>
      </c>
    </row>
    <row r="1027">
      <c r="A1027" s="63" t="n"/>
      <c r="B1027" s="64" t="n"/>
      <c r="C1027" s="65" t="n"/>
      <c r="D1027" s="66" t="str">
        <f>IF(C1027="","",IFERROR(INDEX(sup_name,MATCH($C1027,sup_code,0))&amp;"","Fournisseur inconnu"))</f>
        <v/>
      </c>
      <c r="E1027" s="63" t="n"/>
      <c r="F1027" s="66" t="str">
        <f>IF(E1027="","",IFERROR(INDEX(art_des,MATCH($E1027,art_ref,0))&amp;"","Article inconnu"))</f>
        <v/>
      </c>
      <c r="G1027" s="67" t="str">
        <f>IF(E1027="","",IFERROR(INDEX(art_unit,MATCH($E1027,art_ref,0))&amp;"",""))</f>
        <v/>
      </c>
      <c r="H1027" s="68" t="n"/>
      <c r="I1027" s="69" t="n"/>
      <c r="J1027" s="70" t="str">
        <f>IF(E1027="","",IF(ISNUMBER(I1027),I1027,IFERROR(IF(ISNUMBER(INDEX(art_price,MATCH($E1027,art_ref,0))),INDEX(art_price,MATCH($E1027,art_ref,0)),""),"")))</f>
        <v/>
      </c>
      <c r="K1027" s="71" t="n"/>
      <c r="L1027" s="72" t="n"/>
      <c r="M1027" s="72" t="str">
        <f>IF(E1027="","",IF(L1027&lt;&gt;"",L1027,IFERROR(IF(ISNUMBER(INDEX(art_tva,MATCH($E1027,art_ref,0))),INDEX(art_tva,MATCH($E1027,art_ref,0)),""),"")))</f>
        <v/>
      </c>
      <c r="N1027" s="70" t="str">
        <f>IF(OR(E1027="",J1027=""),"",ROUND(N(H1027)*J1027*(1-N(K1027)),2))</f>
        <v/>
      </c>
      <c r="O1027" s="70" t="str">
        <f>IF(OR(N1027="",NOT(ISNUMBER(M1027))),"",ROUND(N1027*M1027,2))</f>
        <v/>
      </c>
      <c r="P1027" s="70" t="str">
        <f>IF(N1027="","",N1027+N(O1027))</f>
        <v/>
      </c>
      <c r="Q1027" s="64" t="n"/>
      <c r="R1027" s="73" t="str">
        <f>IF(N(Q1027)&gt;0,Q1027,IF(OR(N(B1027)=0,ISNA(MATCH($C1027,sup_code,0))),"",IF(ISNUMBER(INDEX(sup_delay,MATCH($C1027,sup_code,0))),B1027+INDEX(sup_delay,MATCH($C1027,sup_code,0)),"")))</f>
        <v/>
      </c>
      <c r="S1027" s="64" t="n"/>
      <c r="T1027" s="68" t="n"/>
      <c r="U1027" s="64" t="n"/>
      <c r="V1027" s="65" t="n"/>
      <c r="W1027" s="74" t="str">
        <f>IF(AND(A1027="",E1027=""),"",IF(V1027="Oui",0,MAX(0,ROUND(N(H1027)-N(T1027),6))))</f>
        <v/>
      </c>
      <c r="X1027" s="67" t="str">
        <f>IF(AND(A1027="",E1027=""),"",IF(V1027="Oui","Annulé",IF(AND(N(H1027)&gt;0,N(T1027)&gt;=N(H1027)),"Reçu",IF(N(S1027)=0,"Brouillon",IF(AND(ISNUMBER(R1027),R1027&lt;p_today),"En retard",IF(N(T1027)&gt;0,"Partiel","Envoyé"))))))</f>
        <v/>
      </c>
      <c r="Y1027" s="75" t="str">
        <f>IF(X1027="En retard",p_today-R1027,IF(AND(X1027="Reçu",ISNUMBER(R1027)),MAX(0,N(U1027)-R1027),""))</f>
        <v/>
      </c>
      <c r="Z1027" s="67" t="str">
        <f>IF(AND(A1027="",E1027=""),"",IF(A1027="","N° de bon manquant",IF(N(B1027)=0,"Date de commande manquante",IF(C1027="","Fournisseur manquant",IF(ISNA(MATCH($C1027,sup_code,0)),"Fournisseur inconnu",IF(E1027="","Article manquant",IF(ISNA(MATCH($E1027,art_ref,0)),"Article inconnu",IF(N(H1027)&lt;=0,"Quantité invalide",IF(J1027="","Prix manquant",IF(OR(N(K1027)&lt;0,N(K1027)&gt;=1),"Remise invalide",IF(M1027="","TVA manquante",IF(ISNA(MATCH(M1027,p_tva,0)),"Taux de TVA inconnu",IF(COUNTIFS(po_num,A1027,po_sup,"&lt;&gt;"&amp;C1027)&gt;0,"Fournisseur différent sur ce bon",IF(COUNTIFS(po_num,A1027,po_date,"&lt;&gt;"&amp;B1027)&gt;0,"Date différente sur ce bon",IF(COUNTIF(po_num,A1027)&gt;25,"Plus de 25 lignes sur ce bon",IF(R1027="","Date de livraison manquante",IF(R1027&lt;B1027,"Livraison avant la commande",IF(AND(N(T1027)&gt;0,N(S1027)=0),"Date d'envoi manquante",IF(N(T1027)&gt;N(H1027),"Reçu plus que commandé",IF(AND(N(T1027)&gt;0,N(U1027)=0),"Date de réception manquante",IF(AND(N(U1027)&gt;0,U1027&lt;B1027),"Réception avant la commande","OK")))))))))))))))))))))</f>
        <v/>
      </c>
      <c r="AA1027" s="66" t="str">
        <f>IF(AND(X1027="Reçu",ISNUMBER(R1027)),IF(N(U1027)&lt;=R1027,1,0),"")</f>
        <v/>
      </c>
      <c r="AB1027" s="76" t="str">
        <f>IF(OR(X1027="Envoyé",X1027="Partiel",X1027="En retard"),IF(ISNUMBER(R1027),R1027,100000)+ROW()/100000,"")</f>
        <v/>
      </c>
      <c r="AC1027" s="66" t="str">
        <f>IF(A1027="","",IF(COUNTIF($A$6:A1027,A1027)=1,1,""))</f>
        <v/>
      </c>
      <c r="AD1027" s="66" t="str">
        <f>IF(AC1027=1,COUNT($AC$6:AC1027),"")</f>
        <v/>
      </c>
      <c r="AE1027" s="66" t="str">
        <f>IFERROR(INDEX(po_num,MATCH(1022,po_seq,0))&amp;"","")</f>
        <v/>
      </c>
      <c r="AF1027" s="66" t="str">
        <f>IF(OR(A1027="",p_po=""),"",IF(A1027&amp;""=p_po,COUNTIF($A$6:A1027,A1027),""))</f>
        <v/>
      </c>
      <c r="AG1027" s="66" t="str">
        <f>IF(OR(AB1027="",A1027=""),"",IF(COUNTIFS($A$6:A1027,A1027,$AB$6:AB1027,"&gt;0")=1,1,""))</f>
        <v/>
      </c>
      <c r="AH1027" s="70" t="str">
        <f>IF(AB1027="","",ROUND(N(W1027)*N(J1027)*(1-N(K1027)),2))</f>
        <v/>
      </c>
      <c r="AI1027" s="70" t="str">
        <f>IF(OR(J1027="",N(T1027)&lt;=0,V1027="Oui"),"",ROUND(N(T1027)*J1027*(1-N(K1027)),2))</f>
        <v/>
      </c>
    </row>
    <row r="1028">
      <c r="A1028" s="63" t="n"/>
      <c r="B1028" s="64" t="n"/>
      <c r="C1028" s="65" t="n"/>
      <c r="D1028" s="66" t="str">
        <f>IF(C1028="","",IFERROR(INDEX(sup_name,MATCH($C1028,sup_code,0))&amp;"","Fournisseur inconnu"))</f>
        <v/>
      </c>
      <c r="E1028" s="63" t="n"/>
      <c r="F1028" s="66" t="str">
        <f>IF(E1028="","",IFERROR(INDEX(art_des,MATCH($E1028,art_ref,0))&amp;"","Article inconnu"))</f>
        <v/>
      </c>
      <c r="G1028" s="67" t="str">
        <f>IF(E1028="","",IFERROR(INDEX(art_unit,MATCH($E1028,art_ref,0))&amp;"",""))</f>
        <v/>
      </c>
      <c r="H1028" s="68" t="n"/>
      <c r="I1028" s="69" t="n"/>
      <c r="J1028" s="70" t="str">
        <f>IF(E1028="","",IF(ISNUMBER(I1028),I1028,IFERROR(IF(ISNUMBER(INDEX(art_price,MATCH($E1028,art_ref,0))),INDEX(art_price,MATCH($E1028,art_ref,0)),""),"")))</f>
        <v/>
      </c>
      <c r="K1028" s="71" t="n"/>
      <c r="L1028" s="72" t="n"/>
      <c r="M1028" s="72" t="str">
        <f>IF(E1028="","",IF(L1028&lt;&gt;"",L1028,IFERROR(IF(ISNUMBER(INDEX(art_tva,MATCH($E1028,art_ref,0))),INDEX(art_tva,MATCH($E1028,art_ref,0)),""),"")))</f>
        <v/>
      </c>
      <c r="N1028" s="70" t="str">
        <f>IF(OR(E1028="",J1028=""),"",ROUND(N(H1028)*J1028*(1-N(K1028)),2))</f>
        <v/>
      </c>
      <c r="O1028" s="70" t="str">
        <f>IF(OR(N1028="",NOT(ISNUMBER(M1028))),"",ROUND(N1028*M1028,2))</f>
        <v/>
      </c>
      <c r="P1028" s="70" t="str">
        <f>IF(N1028="","",N1028+N(O1028))</f>
        <v/>
      </c>
      <c r="Q1028" s="64" t="n"/>
      <c r="R1028" s="73" t="str">
        <f>IF(N(Q1028)&gt;0,Q1028,IF(OR(N(B1028)=0,ISNA(MATCH($C1028,sup_code,0))),"",IF(ISNUMBER(INDEX(sup_delay,MATCH($C1028,sup_code,0))),B1028+INDEX(sup_delay,MATCH($C1028,sup_code,0)),"")))</f>
        <v/>
      </c>
      <c r="S1028" s="64" t="n"/>
      <c r="T1028" s="68" t="n"/>
      <c r="U1028" s="64" t="n"/>
      <c r="V1028" s="65" t="n"/>
      <c r="W1028" s="74" t="str">
        <f>IF(AND(A1028="",E1028=""),"",IF(V1028="Oui",0,MAX(0,ROUND(N(H1028)-N(T1028),6))))</f>
        <v/>
      </c>
      <c r="X1028" s="67" t="str">
        <f>IF(AND(A1028="",E1028=""),"",IF(V1028="Oui","Annulé",IF(AND(N(H1028)&gt;0,N(T1028)&gt;=N(H1028)),"Reçu",IF(N(S1028)=0,"Brouillon",IF(AND(ISNUMBER(R1028),R1028&lt;p_today),"En retard",IF(N(T1028)&gt;0,"Partiel","Envoyé"))))))</f>
        <v/>
      </c>
      <c r="Y1028" s="75" t="str">
        <f>IF(X1028="En retard",p_today-R1028,IF(AND(X1028="Reçu",ISNUMBER(R1028)),MAX(0,N(U1028)-R1028),""))</f>
        <v/>
      </c>
      <c r="Z1028" s="67" t="str">
        <f>IF(AND(A1028="",E1028=""),"",IF(A1028="","N° de bon manquant",IF(N(B1028)=0,"Date de commande manquante",IF(C1028="","Fournisseur manquant",IF(ISNA(MATCH($C1028,sup_code,0)),"Fournisseur inconnu",IF(E1028="","Article manquant",IF(ISNA(MATCH($E1028,art_ref,0)),"Article inconnu",IF(N(H1028)&lt;=0,"Quantité invalide",IF(J1028="","Prix manquant",IF(OR(N(K1028)&lt;0,N(K1028)&gt;=1),"Remise invalide",IF(M1028="","TVA manquante",IF(ISNA(MATCH(M1028,p_tva,0)),"Taux de TVA inconnu",IF(COUNTIFS(po_num,A1028,po_sup,"&lt;&gt;"&amp;C1028)&gt;0,"Fournisseur différent sur ce bon",IF(COUNTIFS(po_num,A1028,po_date,"&lt;&gt;"&amp;B1028)&gt;0,"Date différente sur ce bon",IF(COUNTIF(po_num,A1028)&gt;25,"Plus de 25 lignes sur ce bon",IF(R1028="","Date de livraison manquante",IF(R1028&lt;B1028,"Livraison avant la commande",IF(AND(N(T1028)&gt;0,N(S1028)=0),"Date d'envoi manquante",IF(N(T1028)&gt;N(H1028),"Reçu plus que commandé",IF(AND(N(T1028)&gt;0,N(U1028)=0),"Date de réception manquante",IF(AND(N(U1028)&gt;0,U1028&lt;B1028),"Réception avant la commande","OK")))))))))))))))))))))</f>
        <v/>
      </c>
      <c r="AA1028" s="66" t="str">
        <f>IF(AND(X1028="Reçu",ISNUMBER(R1028)),IF(N(U1028)&lt;=R1028,1,0),"")</f>
        <v/>
      </c>
      <c r="AB1028" s="76" t="str">
        <f>IF(OR(X1028="Envoyé",X1028="Partiel",X1028="En retard"),IF(ISNUMBER(R1028),R1028,100000)+ROW()/100000,"")</f>
        <v/>
      </c>
      <c r="AC1028" s="66" t="str">
        <f>IF(A1028="","",IF(COUNTIF($A$6:A1028,A1028)=1,1,""))</f>
        <v/>
      </c>
      <c r="AD1028" s="66" t="str">
        <f>IF(AC1028=1,COUNT($AC$6:AC1028),"")</f>
        <v/>
      </c>
      <c r="AE1028" s="66" t="str">
        <f>IFERROR(INDEX(po_num,MATCH(1023,po_seq,0))&amp;"","")</f>
        <v/>
      </c>
      <c r="AF1028" s="66" t="str">
        <f>IF(OR(A1028="",p_po=""),"",IF(A1028&amp;""=p_po,COUNTIF($A$6:A1028,A1028),""))</f>
        <v/>
      </c>
      <c r="AG1028" s="66" t="str">
        <f>IF(OR(AB1028="",A1028=""),"",IF(COUNTIFS($A$6:A1028,A1028,$AB$6:AB1028,"&gt;0")=1,1,""))</f>
        <v/>
      </c>
      <c r="AH1028" s="70" t="str">
        <f>IF(AB1028="","",ROUND(N(W1028)*N(J1028)*(1-N(K1028)),2))</f>
        <v/>
      </c>
      <c r="AI1028" s="70" t="str">
        <f>IF(OR(J1028="",N(T1028)&lt;=0,V1028="Oui"),"",ROUND(N(T1028)*J1028*(1-N(K1028)),2))</f>
        <v/>
      </c>
    </row>
    <row r="1029">
      <c r="A1029" s="63" t="n"/>
      <c r="B1029" s="64" t="n"/>
      <c r="C1029" s="65" t="n"/>
      <c r="D1029" s="66" t="str">
        <f>IF(C1029="","",IFERROR(INDEX(sup_name,MATCH($C1029,sup_code,0))&amp;"","Fournisseur inconnu"))</f>
        <v/>
      </c>
      <c r="E1029" s="63" t="n"/>
      <c r="F1029" s="66" t="str">
        <f>IF(E1029="","",IFERROR(INDEX(art_des,MATCH($E1029,art_ref,0))&amp;"","Article inconnu"))</f>
        <v/>
      </c>
      <c r="G1029" s="67" t="str">
        <f>IF(E1029="","",IFERROR(INDEX(art_unit,MATCH($E1029,art_ref,0))&amp;"",""))</f>
        <v/>
      </c>
      <c r="H1029" s="68" t="n"/>
      <c r="I1029" s="69" t="n"/>
      <c r="J1029" s="70" t="str">
        <f>IF(E1029="","",IF(ISNUMBER(I1029),I1029,IFERROR(IF(ISNUMBER(INDEX(art_price,MATCH($E1029,art_ref,0))),INDEX(art_price,MATCH($E1029,art_ref,0)),""),"")))</f>
        <v/>
      </c>
      <c r="K1029" s="71" t="n"/>
      <c r="L1029" s="72" t="n"/>
      <c r="M1029" s="72" t="str">
        <f>IF(E1029="","",IF(L1029&lt;&gt;"",L1029,IFERROR(IF(ISNUMBER(INDEX(art_tva,MATCH($E1029,art_ref,0))),INDEX(art_tva,MATCH($E1029,art_ref,0)),""),"")))</f>
        <v/>
      </c>
      <c r="N1029" s="70" t="str">
        <f>IF(OR(E1029="",J1029=""),"",ROUND(N(H1029)*J1029*(1-N(K1029)),2))</f>
        <v/>
      </c>
      <c r="O1029" s="70" t="str">
        <f>IF(OR(N1029="",NOT(ISNUMBER(M1029))),"",ROUND(N1029*M1029,2))</f>
        <v/>
      </c>
      <c r="P1029" s="70" t="str">
        <f>IF(N1029="","",N1029+N(O1029))</f>
        <v/>
      </c>
      <c r="Q1029" s="64" t="n"/>
      <c r="R1029" s="73" t="str">
        <f>IF(N(Q1029)&gt;0,Q1029,IF(OR(N(B1029)=0,ISNA(MATCH($C1029,sup_code,0))),"",IF(ISNUMBER(INDEX(sup_delay,MATCH($C1029,sup_code,0))),B1029+INDEX(sup_delay,MATCH($C1029,sup_code,0)),"")))</f>
        <v/>
      </c>
      <c r="S1029" s="64" t="n"/>
      <c r="T1029" s="68" t="n"/>
      <c r="U1029" s="64" t="n"/>
      <c r="V1029" s="65" t="n"/>
      <c r="W1029" s="74" t="str">
        <f>IF(AND(A1029="",E1029=""),"",IF(V1029="Oui",0,MAX(0,ROUND(N(H1029)-N(T1029),6))))</f>
        <v/>
      </c>
      <c r="X1029" s="67" t="str">
        <f>IF(AND(A1029="",E1029=""),"",IF(V1029="Oui","Annulé",IF(AND(N(H1029)&gt;0,N(T1029)&gt;=N(H1029)),"Reçu",IF(N(S1029)=0,"Brouillon",IF(AND(ISNUMBER(R1029),R1029&lt;p_today),"En retard",IF(N(T1029)&gt;0,"Partiel","Envoyé"))))))</f>
        <v/>
      </c>
      <c r="Y1029" s="75" t="str">
        <f>IF(X1029="En retard",p_today-R1029,IF(AND(X1029="Reçu",ISNUMBER(R1029)),MAX(0,N(U1029)-R1029),""))</f>
        <v/>
      </c>
      <c r="Z1029" s="67" t="str">
        <f>IF(AND(A1029="",E1029=""),"",IF(A1029="","N° de bon manquant",IF(N(B1029)=0,"Date de commande manquante",IF(C1029="","Fournisseur manquant",IF(ISNA(MATCH($C1029,sup_code,0)),"Fournisseur inconnu",IF(E1029="","Article manquant",IF(ISNA(MATCH($E1029,art_ref,0)),"Article inconnu",IF(N(H1029)&lt;=0,"Quantité invalide",IF(J1029="","Prix manquant",IF(OR(N(K1029)&lt;0,N(K1029)&gt;=1),"Remise invalide",IF(M1029="","TVA manquante",IF(ISNA(MATCH(M1029,p_tva,0)),"Taux de TVA inconnu",IF(COUNTIFS(po_num,A1029,po_sup,"&lt;&gt;"&amp;C1029)&gt;0,"Fournisseur différent sur ce bon",IF(COUNTIFS(po_num,A1029,po_date,"&lt;&gt;"&amp;B1029)&gt;0,"Date différente sur ce bon",IF(COUNTIF(po_num,A1029)&gt;25,"Plus de 25 lignes sur ce bon",IF(R1029="","Date de livraison manquante",IF(R1029&lt;B1029,"Livraison avant la commande",IF(AND(N(T1029)&gt;0,N(S1029)=0),"Date d'envoi manquante",IF(N(T1029)&gt;N(H1029),"Reçu plus que commandé",IF(AND(N(T1029)&gt;0,N(U1029)=0),"Date de réception manquante",IF(AND(N(U1029)&gt;0,U1029&lt;B1029),"Réception avant la commande","OK")))))))))))))))))))))</f>
        <v/>
      </c>
      <c r="AA1029" s="66" t="str">
        <f>IF(AND(X1029="Reçu",ISNUMBER(R1029)),IF(N(U1029)&lt;=R1029,1,0),"")</f>
        <v/>
      </c>
      <c r="AB1029" s="76" t="str">
        <f>IF(OR(X1029="Envoyé",X1029="Partiel",X1029="En retard"),IF(ISNUMBER(R1029),R1029,100000)+ROW()/100000,"")</f>
        <v/>
      </c>
      <c r="AC1029" s="66" t="str">
        <f>IF(A1029="","",IF(COUNTIF($A$6:A1029,A1029)=1,1,""))</f>
        <v/>
      </c>
      <c r="AD1029" s="66" t="str">
        <f>IF(AC1029=1,COUNT($AC$6:AC1029),"")</f>
        <v/>
      </c>
      <c r="AE1029" s="66" t="str">
        <f>IFERROR(INDEX(po_num,MATCH(1024,po_seq,0))&amp;"","")</f>
        <v/>
      </c>
      <c r="AF1029" s="66" t="str">
        <f>IF(OR(A1029="",p_po=""),"",IF(A1029&amp;""=p_po,COUNTIF($A$6:A1029,A1029),""))</f>
        <v/>
      </c>
      <c r="AG1029" s="66" t="str">
        <f>IF(OR(AB1029="",A1029=""),"",IF(COUNTIFS($A$6:A1029,A1029,$AB$6:AB1029,"&gt;0")=1,1,""))</f>
        <v/>
      </c>
      <c r="AH1029" s="70" t="str">
        <f>IF(AB1029="","",ROUND(N(W1029)*N(J1029)*(1-N(K1029)),2))</f>
        <v/>
      </c>
      <c r="AI1029" s="70" t="str">
        <f>IF(OR(J1029="",N(T1029)&lt;=0,V1029="Oui"),"",ROUND(N(T1029)*J1029*(1-N(K1029)),2))</f>
        <v/>
      </c>
    </row>
    <row r="1030">
      <c r="A1030" s="63" t="n"/>
      <c r="B1030" s="64" t="n"/>
      <c r="C1030" s="65" t="n"/>
      <c r="D1030" s="66" t="str">
        <f>IF(C1030="","",IFERROR(INDEX(sup_name,MATCH($C1030,sup_code,0))&amp;"","Fournisseur inconnu"))</f>
        <v/>
      </c>
      <c r="E1030" s="63" t="n"/>
      <c r="F1030" s="66" t="str">
        <f>IF(E1030="","",IFERROR(INDEX(art_des,MATCH($E1030,art_ref,0))&amp;"","Article inconnu"))</f>
        <v/>
      </c>
      <c r="G1030" s="67" t="str">
        <f>IF(E1030="","",IFERROR(INDEX(art_unit,MATCH($E1030,art_ref,0))&amp;"",""))</f>
        <v/>
      </c>
      <c r="H1030" s="68" t="n"/>
      <c r="I1030" s="69" t="n"/>
      <c r="J1030" s="70" t="str">
        <f>IF(E1030="","",IF(ISNUMBER(I1030),I1030,IFERROR(IF(ISNUMBER(INDEX(art_price,MATCH($E1030,art_ref,0))),INDEX(art_price,MATCH($E1030,art_ref,0)),""),"")))</f>
        <v/>
      </c>
      <c r="K1030" s="71" t="n"/>
      <c r="L1030" s="72" t="n"/>
      <c r="M1030" s="72" t="str">
        <f>IF(E1030="","",IF(L1030&lt;&gt;"",L1030,IFERROR(IF(ISNUMBER(INDEX(art_tva,MATCH($E1030,art_ref,0))),INDEX(art_tva,MATCH($E1030,art_ref,0)),""),"")))</f>
        <v/>
      </c>
      <c r="N1030" s="70" t="str">
        <f>IF(OR(E1030="",J1030=""),"",ROUND(N(H1030)*J1030*(1-N(K1030)),2))</f>
        <v/>
      </c>
      <c r="O1030" s="70" t="str">
        <f>IF(OR(N1030="",NOT(ISNUMBER(M1030))),"",ROUND(N1030*M1030,2))</f>
        <v/>
      </c>
      <c r="P1030" s="70" t="str">
        <f>IF(N1030="","",N1030+N(O1030))</f>
        <v/>
      </c>
      <c r="Q1030" s="64" t="n"/>
      <c r="R1030" s="73" t="str">
        <f>IF(N(Q1030)&gt;0,Q1030,IF(OR(N(B1030)=0,ISNA(MATCH($C1030,sup_code,0))),"",IF(ISNUMBER(INDEX(sup_delay,MATCH($C1030,sup_code,0))),B1030+INDEX(sup_delay,MATCH($C1030,sup_code,0)),"")))</f>
        <v/>
      </c>
      <c r="S1030" s="64" t="n"/>
      <c r="T1030" s="68" t="n"/>
      <c r="U1030" s="64" t="n"/>
      <c r="V1030" s="65" t="n"/>
      <c r="W1030" s="74" t="str">
        <f>IF(AND(A1030="",E1030=""),"",IF(V1030="Oui",0,MAX(0,ROUND(N(H1030)-N(T1030),6))))</f>
        <v/>
      </c>
      <c r="X1030" s="67" t="str">
        <f>IF(AND(A1030="",E1030=""),"",IF(V1030="Oui","Annulé",IF(AND(N(H1030)&gt;0,N(T1030)&gt;=N(H1030)),"Reçu",IF(N(S1030)=0,"Brouillon",IF(AND(ISNUMBER(R1030),R1030&lt;p_today),"En retard",IF(N(T1030)&gt;0,"Partiel","Envoyé"))))))</f>
        <v/>
      </c>
      <c r="Y1030" s="75" t="str">
        <f>IF(X1030="En retard",p_today-R1030,IF(AND(X1030="Reçu",ISNUMBER(R1030)),MAX(0,N(U1030)-R1030),""))</f>
        <v/>
      </c>
      <c r="Z1030" s="67" t="str">
        <f>IF(AND(A1030="",E1030=""),"",IF(A1030="","N° de bon manquant",IF(N(B1030)=0,"Date de commande manquante",IF(C1030="","Fournisseur manquant",IF(ISNA(MATCH($C1030,sup_code,0)),"Fournisseur inconnu",IF(E1030="","Article manquant",IF(ISNA(MATCH($E1030,art_ref,0)),"Article inconnu",IF(N(H1030)&lt;=0,"Quantité invalide",IF(J1030="","Prix manquant",IF(OR(N(K1030)&lt;0,N(K1030)&gt;=1),"Remise invalide",IF(M1030="","TVA manquante",IF(ISNA(MATCH(M1030,p_tva,0)),"Taux de TVA inconnu",IF(COUNTIFS(po_num,A1030,po_sup,"&lt;&gt;"&amp;C1030)&gt;0,"Fournisseur différent sur ce bon",IF(COUNTIFS(po_num,A1030,po_date,"&lt;&gt;"&amp;B1030)&gt;0,"Date différente sur ce bon",IF(COUNTIF(po_num,A1030)&gt;25,"Plus de 25 lignes sur ce bon",IF(R1030="","Date de livraison manquante",IF(R1030&lt;B1030,"Livraison avant la commande",IF(AND(N(T1030)&gt;0,N(S1030)=0),"Date d'envoi manquante",IF(N(T1030)&gt;N(H1030),"Reçu plus que commandé",IF(AND(N(T1030)&gt;0,N(U1030)=0),"Date de réception manquante",IF(AND(N(U1030)&gt;0,U1030&lt;B1030),"Réception avant la commande","OK")))))))))))))))))))))</f>
        <v/>
      </c>
      <c r="AA1030" s="66" t="str">
        <f>IF(AND(X1030="Reçu",ISNUMBER(R1030)),IF(N(U1030)&lt;=R1030,1,0),"")</f>
        <v/>
      </c>
      <c r="AB1030" s="76" t="str">
        <f>IF(OR(X1030="Envoyé",X1030="Partiel",X1030="En retard"),IF(ISNUMBER(R1030),R1030,100000)+ROW()/100000,"")</f>
        <v/>
      </c>
      <c r="AC1030" s="66" t="str">
        <f>IF(A1030="","",IF(COUNTIF($A$6:A1030,A1030)=1,1,""))</f>
        <v/>
      </c>
      <c r="AD1030" s="66" t="str">
        <f>IF(AC1030=1,COUNT($AC$6:AC1030),"")</f>
        <v/>
      </c>
      <c r="AE1030" s="66" t="str">
        <f>IFERROR(INDEX(po_num,MATCH(1025,po_seq,0))&amp;"","")</f>
        <v/>
      </c>
      <c r="AF1030" s="66" t="str">
        <f>IF(OR(A1030="",p_po=""),"",IF(A1030&amp;""=p_po,COUNTIF($A$6:A1030,A1030),""))</f>
        <v/>
      </c>
      <c r="AG1030" s="66" t="str">
        <f>IF(OR(AB1030="",A1030=""),"",IF(COUNTIFS($A$6:A1030,A1030,$AB$6:AB1030,"&gt;0")=1,1,""))</f>
        <v/>
      </c>
      <c r="AH1030" s="70" t="str">
        <f>IF(AB1030="","",ROUND(N(W1030)*N(J1030)*(1-N(K1030)),2))</f>
        <v/>
      </c>
      <c r="AI1030" s="70" t="str">
        <f>IF(OR(J1030="",N(T1030)&lt;=0,V1030="Oui"),"",ROUND(N(T1030)*J1030*(1-N(K1030)),2))</f>
        <v/>
      </c>
    </row>
    <row r="1031">
      <c r="A1031" s="63" t="n"/>
      <c r="B1031" s="64" t="n"/>
      <c r="C1031" s="65" t="n"/>
      <c r="D1031" s="66" t="str">
        <f>IF(C1031="","",IFERROR(INDEX(sup_name,MATCH($C1031,sup_code,0))&amp;"","Fournisseur inconnu"))</f>
        <v/>
      </c>
      <c r="E1031" s="63" t="n"/>
      <c r="F1031" s="66" t="str">
        <f>IF(E1031="","",IFERROR(INDEX(art_des,MATCH($E1031,art_ref,0))&amp;"","Article inconnu"))</f>
        <v/>
      </c>
      <c r="G1031" s="67" t="str">
        <f>IF(E1031="","",IFERROR(INDEX(art_unit,MATCH($E1031,art_ref,0))&amp;"",""))</f>
        <v/>
      </c>
      <c r="H1031" s="68" t="n"/>
      <c r="I1031" s="69" t="n"/>
      <c r="J1031" s="70" t="str">
        <f>IF(E1031="","",IF(ISNUMBER(I1031),I1031,IFERROR(IF(ISNUMBER(INDEX(art_price,MATCH($E1031,art_ref,0))),INDEX(art_price,MATCH($E1031,art_ref,0)),""),"")))</f>
        <v/>
      </c>
      <c r="K1031" s="71" t="n"/>
      <c r="L1031" s="72" t="n"/>
      <c r="M1031" s="72" t="str">
        <f>IF(E1031="","",IF(L1031&lt;&gt;"",L1031,IFERROR(IF(ISNUMBER(INDEX(art_tva,MATCH($E1031,art_ref,0))),INDEX(art_tva,MATCH($E1031,art_ref,0)),""),"")))</f>
        <v/>
      </c>
      <c r="N1031" s="70" t="str">
        <f>IF(OR(E1031="",J1031=""),"",ROUND(N(H1031)*J1031*(1-N(K1031)),2))</f>
        <v/>
      </c>
      <c r="O1031" s="70" t="str">
        <f>IF(OR(N1031="",NOT(ISNUMBER(M1031))),"",ROUND(N1031*M1031,2))</f>
        <v/>
      </c>
      <c r="P1031" s="70" t="str">
        <f>IF(N1031="","",N1031+N(O1031))</f>
        <v/>
      </c>
      <c r="Q1031" s="64" t="n"/>
      <c r="R1031" s="73" t="str">
        <f>IF(N(Q1031)&gt;0,Q1031,IF(OR(N(B1031)=0,ISNA(MATCH($C1031,sup_code,0))),"",IF(ISNUMBER(INDEX(sup_delay,MATCH($C1031,sup_code,0))),B1031+INDEX(sup_delay,MATCH($C1031,sup_code,0)),"")))</f>
        <v/>
      </c>
      <c r="S1031" s="64" t="n"/>
      <c r="T1031" s="68" t="n"/>
      <c r="U1031" s="64" t="n"/>
      <c r="V1031" s="65" t="n"/>
      <c r="W1031" s="74" t="str">
        <f>IF(AND(A1031="",E1031=""),"",IF(V1031="Oui",0,MAX(0,ROUND(N(H1031)-N(T1031),6))))</f>
        <v/>
      </c>
      <c r="X1031" s="67" t="str">
        <f>IF(AND(A1031="",E1031=""),"",IF(V1031="Oui","Annulé",IF(AND(N(H1031)&gt;0,N(T1031)&gt;=N(H1031)),"Reçu",IF(N(S1031)=0,"Brouillon",IF(AND(ISNUMBER(R1031),R1031&lt;p_today),"En retard",IF(N(T1031)&gt;0,"Partiel","Envoyé"))))))</f>
        <v/>
      </c>
      <c r="Y1031" s="75" t="str">
        <f>IF(X1031="En retard",p_today-R1031,IF(AND(X1031="Reçu",ISNUMBER(R1031)),MAX(0,N(U1031)-R1031),""))</f>
        <v/>
      </c>
      <c r="Z1031" s="67" t="str">
        <f>IF(AND(A1031="",E1031=""),"",IF(A1031="","N° de bon manquant",IF(N(B1031)=0,"Date de commande manquante",IF(C1031="","Fournisseur manquant",IF(ISNA(MATCH($C1031,sup_code,0)),"Fournisseur inconnu",IF(E1031="","Article manquant",IF(ISNA(MATCH($E1031,art_ref,0)),"Article inconnu",IF(N(H1031)&lt;=0,"Quantité invalide",IF(J1031="","Prix manquant",IF(OR(N(K1031)&lt;0,N(K1031)&gt;=1),"Remise invalide",IF(M1031="","TVA manquante",IF(ISNA(MATCH(M1031,p_tva,0)),"Taux de TVA inconnu",IF(COUNTIFS(po_num,A1031,po_sup,"&lt;&gt;"&amp;C1031)&gt;0,"Fournisseur différent sur ce bon",IF(COUNTIFS(po_num,A1031,po_date,"&lt;&gt;"&amp;B1031)&gt;0,"Date différente sur ce bon",IF(COUNTIF(po_num,A1031)&gt;25,"Plus de 25 lignes sur ce bon",IF(R1031="","Date de livraison manquante",IF(R1031&lt;B1031,"Livraison avant la commande",IF(AND(N(T1031)&gt;0,N(S1031)=0),"Date d'envoi manquante",IF(N(T1031)&gt;N(H1031),"Reçu plus que commandé",IF(AND(N(T1031)&gt;0,N(U1031)=0),"Date de réception manquante",IF(AND(N(U1031)&gt;0,U1031&lt;B1031),"Réception avant la commande","OK")))))))))))))))))))))</f>
        <v/>
      </c>
      <c r="AA1031" s="66" t="str">
        <f>IF(AND(X1031="Reçu",ISNUMBER(R1031)),IF(N(U1031)&lt;=R1031,1,0),"")</f>
        <v/>
      </c>
      <c r="AB1031" s="76" t="str">
        <f>IF(OR(X1031="Envoyé",X1031="Partiel",X1031="En retard"),IF(ISNUMBER(R1031),R1031,100000)+ROW()/100000,"")</f>
        <v/>
      </c>
      <c r="AC1031" s="66" t="str">
        <f>IF(A1031="","",IF(COUNTIF($A$6:A1031,A1031)=1,1,""))</f>
        <v/>
      </c>
      <c r="AD1031" s="66" t="str">
        <f>IF(AC1031=1,COUNT($AC$6:AC1031),"")</f>
        <v/>
      </c>
      <c r="AE1031" s="66" t="str">
        <f>IFERROR(INDEX(po_num,MATCH(1026,po_seq,0))&amp;"","")</f>
        <v/>
      </c>
      <c r="AF1031" s="66" t="str">
        <f>IF(OR(A1031="",p_po=""),"",IF(A1031&amp;""=p_po,COUNTIF($A$6:A1031,A1031),""))</f>
        <v/>
      </c>
      <c r="AG1031" s="66" t="str">
        <f>IF(OR(AB1031="",A1031=""),"",IF(COUNTIFS($A$6:A1031,A1031,$AB$6:AB1031,"&gt;0")=1,1,""))</f>
        <v/>
      </c>
      <c r="AH1031" s="70" t="str">
        <f>IF(AB1031="","",ROUND(N(W1031)*N(J1031)*(1-N(K1031)),2))</f>
        <v/>
      </c>
      <c r="AI1031" s="70" t="str">
        <f>IF(OR(J1031="",N(T1031)&lt;=0,V1031="Oui"),"",ROUND(N(T1031)*J1031*(1-N(K1031)),2))</f>
        <v/>
      </c>
    </row>
    <row r="1032">
      <c r="A1032" s="63" t="n"/>
      <c r="B1032" s="64" t="n"/>
      <c r="C1032" s="65" t="n"/>
      <c r="D1032" s="66" t="str">
        <f>IF(C1032="","",IFERROR(INDEX(sup_name,MATCH($C1032,sup_code,0))&amp;"","Fournisseur inconnu"))</f>
        <v/>
      </c>
      <c r="E1032" s="63" t="n"/>
      <c r="F1032" s="66" t="str">
        <f>IF(E1032="","",IFERROR(INDEX(art_des,MATCH($E1032,art_ref,0))&amp;"","Article inconnu"))</f>
        <v/>
      </c>
      <c r="G1032" s="67" t="str">
        <f>IF(E1032="","",IFERROR(INDEX(art_unit,MATCH($E1032,art_ref,0))&amp;"",""))</f>
        <v/>
      </c>
      <c r="H1032" s="68" t="n"/>
      <c r="I1032" s="69" t="n"/>
      <c r="J1032" s="70" t="str">
        <f>IF(E1032="","",IF(ISNUMBER(I1032),I1032,IFERROR(IF(ISNUMBER(INDEX(art_price,MATCH($E1032,art_ref,0))),INDEX(art_price,MATCH($E1032,art_ref,0)),""),"")))</f>
        <v/>
      </c>
      <c r="K1032" s="71" t="n"/>
      <c r="L1032" s="72" t="n"/>
      <c r="M1032" s="72" t="str">
        <f>IF(E1032="","",IF(L1032&lt;&gt;"",L1032,IFERROR(IF(ISNUMBER(INDEX(art_tva,MATCH($E1032,art_ref,0))),INDEX(art_tva,MATCH($E1032,art_ref,0)),""),"")))</f>
        <v/>
      </c>
      <c r="N1032" s="70" t="str">
        <f>IF(OR(E1032="",J1032=""),"",ROUND(N(H1032)*J1032*(1-N(K1032)),2))</f>
        <v/>
      </c>
      <c r="O1032" s="70" t="str">
        <f>IF(OR(N1032="",NOT(ISNUMBER(M1032))),"",ROUND(N1032*M1032,2))</f>
        <v/>
      </c>
      <c r="P1032" s="70" t="str">
        <f>IF(N1032="","",N1032+N(O1032))</f>
        <v/>
      </c>
      <c r="Q1032" s="64" t="n"/>
      <c r="R1032" s="73" t="str">
        <f>IF(N(Q1032)&gt;0,Q1032,IF(OR(N(B1032)=0,ISNA(MATCH($C1032,sup_code,0))),"",IF(ISNUMBER(INDEX(sup_delay,MATCH($C1032,sup_code,0))),B1032+INDEX(sup_delay,MATCH($C1032,sup_code,0)),"")))</f>
        <v/>
      </c>
      <c r="S1032" s="64" t="n"/>
      <c r="T1032" s="68" t="n"/>
      <c r="U1032" s="64" t="n"/>
      <c r="V1032" s="65" t="n"/>
      <c r="W1032" s="74" t="str">
        <f>IF(AND(A1032="",E1032=""),"",IF(V1032="Oui",0,MAX(0,ROUND(N(H1032)-N(T1032),6))))</f>
        <v/>
      </c>
      <c r="X1032" s="67" t="str">
        <f>IF(AND(A1032="",E1032=""),"",IF(V1032="Oui","Annulé",IF(AND(N(H1032)&gt;0,N(T1032)&gt;=N(H1032)),"Reçu",IF(N(S1032)=0,"Brouillon",IF(AND(ISNUMBER(R1032),R1032&lt;p_today),"En retard",IF(N(T1032)&gt;0,"Partiel","Envoyé"))))))</f>
        <v/>
      </c>
      <c r="Y1032" s="75" t="str">
        <f>IF(X1032="En retard",p_today-R1032,IF(AND(X1032="Reçu",ISNUMBER(R1032)),MAX(0,N(U1032)-R1032),""))</f>
        <v/>
      </c>
      <c r="Z1032" s="67" t="str">
        <f>IF(AND(A1032="",E1032=""),"",IF(A1032="","N° de bon manquant",IF(N(B1032)=0,"Date de commande manquante",IF(C1032="","Fournisseur manquant",IF(ISNA(MATCH($C1032,sup_code,0)),"Fournisseur inconnu",IF(E1032="","Article manquant",IF(ISNA(MATCH($E1032,art_ref,0)),"Article inconnu",IF(N(H1032)&lt;=0,"Quantité invalide",IF(J1032="","Prix manquant",IF(OR(N(K1032)&lt;0,N(K1032)&gt;=1),"Remise invalide",IF(M1032="","TVA manquante",IF(ISNA(MATCH(M1032,p_tva,0)),"Taux de TVA inconnu",IF(COUNTIFS(po_num,A1032,po_sup,"&lt;&gt;"&amp;C1032)&gt;0,"Fournisseur différent sur ce bon",IF(COUNTIFS(po_num,A1032,po_date,"&lt;&gt;"&amp;B1032)&gt;0,"Date différente sur ce bon",IF(COUNTIF(po_num,A1032)&gt;25,"Plus de 25 lignes sur ce bon",IF(R1032="","Date de livraison manquante",IF(R1032&lt;B1032,"Livraison avant la commande",IF(AND(N(T1032)&gt;0,N(S1032)=0),"Date d'envoi manquante",IF(N(T1032)&gt;N(H1032),"Reçu plus que commandé",IF(AND(N(T1032)&gt;0,N(U1032)=0),"Date de réception manquante",IF(AND(N(U1032)&gt;0,U1032&lt;B1032),"Réception avant la commande","OK")))))))))))))))))))))</f>
        <v/>
      </c>
      <c r="AA1032" s="66" t="str">
        <f>IF(AND(X1032="Reçu",ISNUMBER(R1032)),IF(N(U1032)&lt;=R1032,1,0),"")</f>
        <v/>
      </c>
      <c r="AB1032" s="76" t="str">
        <f>IF(OR(X1032="Envoyé",X1032="Partiel",X1032="En retard"),IF(ISNUMBER(R1032),R1032,100000)+ROW()/100000,"")</f>
        <v/>
      </c>
      <c r="AC1032" s="66" t="str">
        <f>IF(A1032="","",IF(COUNTIF($A$6:A1032,A1032)=1,1,""))</f>
        <v/>
      </c>
      <c r="AD1032" s="66" t="str">
        <f>IF(AC1032=1,COUNT($AC$6:AC1032),"")</f>
        <v/>
      </c>
      <c r="AE1032" s="66" t="str">
        <f>IFERROR(INDEX(po_num,MATCH(1027,po_seq,0))&amp;"","")</f>
        <v/>
      </c>
      <c r="AF1032" s="66" t="str">
        <f>IF(OR(A1032="",p_po=""),"",IF(A1032&amp;""=p_po,COUNTIF($A$6:A1032,A1032),""))</f>
        <v/>
      </c>
      <c r="AG1032" s="66" t="str">
        <f>IF(OR(AB1032="",A1032=""),"",IF(COUNTIFS($A$6:A1032,A1032,$AB$6:AB1032,"&gt;0")=1,1,""))</f>
        <v/>
      </c>
      <c r="AH1032" s="70" t="str">
        <f>IF(AB1032="","",ROUND(N(W1032)*N(J1032)*(1-N(K1032)),2))</f>
        <v/>
      </c>
      <c r="AI1032" s="70" t="str">
        <f>IF(OR(J1032="",N(T1032)&lt;=0,V1032="Oui"),"",ROUND(N(T1032)*J1032*(1-N(K1032)),2))</f>
        <v/>
      </c>
    </row>
    <row r="1033">
      <c r="A1033" s="63" t="n"/>
      <c r="B1033" s="64" t="n"/>
      <c r="C1033" s="65" t="n"/>
      <c r="D1033" s="66" t="str">
        <f>IF(C1033="","",IFERROR(INDEX(sup_name,MATCH($C1033,sup_code,0))&amp;"","Fournisseur inconnu"))</f>
        <v/>
      </c>
      <c r="E1033" s="63" t="n"/>
      <c r="F1033" s="66" t="str">
        <f>IF(E1033="","",IFERROR(INDEX(art_des,MATCH($E1033,art_ref,0))&amp;"","Article inconnu"))</f>
        <v/>
      </c>
      <c r="G1033" s="67" t="str">
        <f>IF(E1033="","",IFERROR(INDEX(art_unit,MATCH($E1033,art_ref,0))&amp;"",""))</f>
        <v/>
      </c>
      <c r="H1033" s="68" t="n"/>
      <c r="I1033" s="69" t="n"/>
      <c r="J1033" s="70" t="str">
        <f>IF(E1033="","",IF(ISNUMBER(I1033),I1033,IFERROR(IF(ISNUMBER(INDEX(art_price,MATCH($E1033,art_ref,0))),INDEX(art_price,MATCH($E1033,art_ref,0)),""),"")))</f>
        <v/>
      </c>
      <c r="K1033" s="71" t="n"/>
      <c r="L1033" s="72" t="n"/>
      <c r="M1033" s="72" t="str">
        <f>IF(E1033="","",IF(L1033&lt;&gt;"",L1033,IFERROR(IF(ISNUMBER(INDEX(art_tva,MATCH($E1033,art_ref,0))),INDEX(art_tva,MATCH($E1033,art_ref,0)),""),"")))</f>
        <v/>
      </c>
      <c r="N1033" s="70" t="str">
        <f>IF(OR(E1033="",J1033=""),"",ROUND(N(H1033)*J1033*(1-N(K1033)),2))</f>
        <v/>
      </c>
      <c r="O1033" s="70" t="str">
        <f>IF(OR(N1033="",NOT(ISNUMBER(M1033))),"",ROUND(N1033*M1033,2))</f>
        <v/>
      </c>
      <c r="P1033" s="70" t="str">
        <f>IF(N1033="","",N1033+N(O1033))</f>
        <v/>
      </c>
      <c r="Q1033" s="64" t="n"/>
      <c r="R1033" s="73" t="str">
        <f>IF(N(Q1033)&gt;0,Q1033,IF(OR(N(B1033)=0,ISNA(MATCH($C1033,sup_code,0))),"",IF(ISNUMBER(INDEX(sup_delay,MATCH($C1033,sup_code,0))),B1033+INDEX(sup_delay,MATCH($C1033,sup_code,0)),"")))</f>
        <v/>
      </c>
      <c r="S1033" s="64" t="n"/>
      <c r="T1033" s="68" t="n"/>
      <c r="U1033" s="64" t="n"/>
      <c r="V1033" s="65" t="n"/>
      <c r="W1033" s="74" t="str">
        <f>IF(AND(A1033="",E1033=""),"",IF(V1033="Oui",0,MAX(0,ROUND(N(H1033)-N(T1033),6))))</f>
        <v/>
      </c>
      <c r="X1033" s="67" t="str">
        <f>IF(AND(A1033="",E1033=""),"",IF(V1033="Oui","Annulé",IF(AND(N(H1033)&gt;0,N(T1033)&gt;=N(H1033)),"Reçu",IF(N(S1033)=0,"Brouillon",IF(AND(ISNUMBER(R1033),R1033&lt;p_today),"En retard",IF(N(T1033)&gt;0,"Partiel","Envoyé"))))))</f>
        <v/>
      </c>
      <c r="Y1033" s="75" t="str">
        <f>IF(X1033="En retard",p_today-R1033,IF(AND(X1033="Reçu",ISNUMBER(R1033)),MAX(0,N(U1033)-R1033),""))</f>
        <v/>
      </c>
      <c r="Z1033" s="67" t="str">
        <f>IF(AND(A1033="",E1033=""),"",IF(A1033="","N° de bon manquant",IF(N(B1033)=0,"Date de commande manquante",IF(C1033="","Fournisseur manquant",IF(ISNA(MATCH($C1033,sup_code,0)),"Fournisseur inconnu",IF(E1033="","Article manquant",IF(ISNA(MATCH($E1033,art_ref,0)),"Article inconnu",IF(N(H1033)&lt;=0,"Quantité invalide",IF(J1033="","Prix manquant",IF(OR(N(K1033)&lt;0,N(K1033)&gt;=1),"Remise invalide",IF(M1033="","TVA manquante",IF(ISNA(MATCH(M1033,p_tva,0)),"Taux de TVA inconnu",IF(COUNTIFS(po_num,A1033,po_sup,"&lt;&gt;"&amp;C1033)&gt;0,"Fournisseur différent sur ce bon",IF(COUNTIFS(po_num,A1033,po_date,"&lt;&gt;"&amp;B1033)&gt;0,"Date différente sur ce bon",IF(COUNTIF(po_num,A1033)&gt;25,"Plus de 25 lignes sur ce bon",IF(R1033="","Date de livraison manquante",IF(R1033&lt;B1033,"Livraison avant la commande",IF(AND(N(T1033)&gt;0,N(S1033)=0),"Date d'envoi manquante",IF(N(T1033)&gt;N(H1033),"Reçu plus que commandé",IF(AND(N(T1033)&gt;0,N(U1033)=0),"Date de réception manquante",IF(AND(N(U1033)&gt;0,U1033&lt;B1033),"Réception avant la commande","OK")))))))))))))))))))))</f>
        <v/>
      </c>
      <c r="AA1033" s="66" t="str">
        <f>IF(AND(X1033="Reçu",ISNUMBER(R1033)),IF(N(U1033)&lt;=R1033,1,0),"")</f>
        <v/>
      </c>
      <c r="AB1033" s="76" t="str">
        <f>IF(OR(X1033="Envoyé",X1033="Partiel",X1033="En retard"),IF(ISNUMBER(R1033),R1033,100000)+ROW()/100000,"")</f>
        <v/>
      </c>
      <c r="AC1033" s="66" t="str">
        <f>IF(A1033="","",IF(COUNTIF($A$6:A1033,A1033)=1,1,""))</f>
        <v/>
      </c>
      <c r="AD1033" s="66" t="str">
        <f>IF(AC1033=1,COUNT($AC$6:AC1033),"")</f>
        <v/>
      </c>
      <c r="AE1033" s="66" t="str">
        <f>IFERROR(INDEX(po_num,MATCH(1028,po_seq,0))&amp;"","")</f>
        <v/>
      </c>
      <c r="AF1033" s="66" t="str">
        <f>IF(OR(A1033="",p_po=""),"",IF(A1033&amp;""=p_po,COUNTIF($A$6:A1033,A1033),""))</f>
        <v/>
      </c>
      <c r="AG1033" s="66" t="str">
        <f>IF(OR(AB1033="",A1033=""),"",IF(COUNTIFS($A$6:A1033,A1033,$AB$6:AB1033,"&gt;0")=1,1,""))</f>
        <v/>
      </c>
      <c r="AH1033" s="70" t="str">
        <f>IF(AB1033="","",ROUND(N(W1033)*N(J1033)*(1-N(K1033)),2))</f>
        <v/>
      </c>
      <c r="AI1033" s="70" t="str">
        <f>IF(OR(J1033="",N(T1033)&lt;=0,V1033="Oui"),"",ROUND(N(T1033)*J1033*(1-N(K1033)),2))</f>
        <v/>
      </c>
    </row>
    <row r="1034">
      <c r="A1034" s="63" t="n"/>
      <c r="B1034" s="64" t="n"/>
      <c r="C1034" s="65" t="n"/>
      <c r="D1034" s="66" t="str">
        <f>IF(C1034="","",IFERROR(INDEX(sup_name,MATCH($C1034,sup_code,0))&amp;"","Fournisseur inconnu"))</f>
        <v/>
      </c>
      <c r="E1034" s="63" t="n"/>
      <c r="F1034" s="66" t="str">
        <f>IF(E1034="","",IFERROR(INDEX(art_des,MATCH($E1034,art_ref,0))&amp;"","Article inconnu"))</f>
        <v/>
      </c>
      <c r="G1034" s="67" t="str">
        <f>IF(E1034="","",IFERROR(INDEX(art_unit,MATCH($E1034,art_ref,0))&amp;"",""))</f>
        <v/>
      </c>
      <c r="H1034" s="68" t="n"/>
      <c r="I1034" s="69" t="n"/>
      <c r="J1034" s="70" t="str">
        <f>IF(E1034="","",IF(ISNUMBER(I1034),I1034,IFERROR(IF(ISNUMBER(INDEX(art_price,MATCH($E1034,art_ref,0))),INDEX(art_price,MATCH($E1034,art_ref,0)),""),"")))</f>
        <v/>
      </c>
      <c r="K1034" s="71" t="n"/>
      <c r="L1034" s="72" t="n"/>
      <c r="M1034" s="72" t="str">
        <f>IF(E1034="","",IF(L1034&lt;&gt;"",L1034,IFERROR(IF(ISNUMBER(INDEX(art_tva,MATCH($E1034,art_ref,0))),INDEX(art_tva,MATCH($E1034,art_ref,0)),""),"")))</f>
        <v/>
      </c>
      <c r="N1034" s="70" t="str">
        <f>IF(OR(E1034="",J1034=""),"",ROUND(N(H1034)*J1034*(1-N(K1034)),2))</f>
        <v/>
      </c>
      <c r="O1034" s="70" t="str">
        <f>IF(OR(N1034="",NOT(ISNUMBER(M1034))),"",ROUND(N1034*M1034,2))</f>
        <v/>
      </c>
      <c r="P1034" s="70" t="str">
        <f>IF(N1034="","",N1034+N(O1034))</f>
        <v/>
      </c>
      <c r="Q1034" s="64" t="n"/>
      <c r="R1034" s="73" t="str">
        <f>IF(N(Q1034)&gt;0,Q1034,IF(OR(N(B1034)=0,ISNA(MATCH($C1034,sup_code,0))),"",IF(ISNUMBER(INDEX(sup_delay,MATCH($C1034,sup_code,0))),B1034+INDEX(sup_delay,MATCH($C1034,sup_code,0)),"")))</f>
        <v/>
      </c>
      <c r="S1034" s="64" t="n"/>
      <c r="T1034" s="68" t="n"/>
      <c r="U1034" s="64" t="n"/>
      <c r="V1034" s="65" t="n"/>
      <c r="W1034" s="74" t="str">
        <f>IF(AND(A1034="",E1034=""),"",IF(V1034="Oui",0,MAX(0,ROUND(N(H1034)-N(T1034),6))))</f>
        <v/>
      </c>
      <c r="X1034" s="67" t="str">
        <f>IF(AND(A1034="",E1034=""),"",IF(V1034="Oui","Annulé",IF(AND(N(H1034)&gt;0,N(T1034)&gt;=N(H1034)),"Reçu",IF(N(S1034)=0,"Brouillon",IF(AND(ISNUMBER(R1034),R1034&lt;p_today),"En retard",IF(N(T1034)&gt;0,"Partiel","Envoyé"))))))</f>
        <v/>
      </c>
      <c r="Y1034" s="75" t="str">
        <f>IF(X1034="En retard",p_today-R1034,IF(AND(X1034="Reçu",ISNUMBER(R1034)),MAX(0,N(U1034)-R1034),""))</f>
        <v/>
      </c>
      <c r="Z1034" s="67" t="str">
        <f>IF(AND(A1034="",E1034=""),"",IF(A1034="","N° de bon manquant",IF(N(B1034)=0,"Date de commande manquante",IF(C1034="","Fournisseur manquant",IF(ISNA(MATCH($C1034,sup_code,0)),"Fournisseur inconnu",IF(E1034="","Article manquant",IF(ISNA(MATCH($E1034,art_ref,0)),"Article inconnu",IF(N(H1034)&lt;=0,"Quantité invalide",IF(J1034="","Prix manquant",IF(OR(N(K1034)&lt;0,N(K1034)&gt;=1),"Remise invalide",IF(M1034="","TVA manquante",IF(ISNA(MATCH(M1034,p_tva,0)),"Taux de TVA inconnu",IF(COUNTIFS(po_num,A1034,po_sup,"&lt;&gt;"&amp;C1034)&gt;0,"Fournisseur différent sur ce bon",IF(COUNTIFS(po_num,A1034,po_date,"&lt;&gt;"&amp;B1034)&gt;0,"Date différente sur ce bon",IF(COUNTIF(po_num,A1034)&gt;25,"Plus de 25 lignes sur ce bon",IF(R1034="","Date de livraison manquante",IF(R1034&lt;B1034,"Livraison avant la commande",IF(AND(N(T1034)&gt;0,N(S1034)=0),"Date d'envoi manquante",IF(N(T1034)&gt;N(H1034),"Reçu plus que commandé",IF(AND(N(T1034)&gt;0,N(U1034)=0),"Date de réception manquante",IF(AND(N(U1034)&gt;0,U1034&lt;B1034),"Réception avant la commande","OK")))))))))))))))))))))</f>
        <v/>
      </c>
      <c r="AA1034" s="66" t="str">
        <f>IF(AND(X1034="Reçu",ISNUMBER(R1034)),IF(N(U1034)&lt;=R1034,1,0),"")</f>
        <v/>
      </c>
      <c r="AB1034" s="76" t="str">
        <f>IF(OR(X1034="Envoyé",X1034="Partiel",X1034="En retard"),IF(ISNUMBER(R1034),R1034,100000)+ROW()/100000,"")</f>
        <v/>
      </c>
      <c r="AC1034" s="66" t="str">
        <f>IF(A1034="","",IF(COUNTIF($A$6:A1034,A1034)=1,1,""))</f>
        <v/>
      </c>
      <c r="AD1034" s="66" t="str">
        <f>IF(AC1034=1,COUNT($AC$6:AC1034),"")</f>
        <v/>
      </c>
      <c r="AE1034" s="66" t="str">
        <f>IFERROR(INDEX(po_num,MATCH(1029,po_seq,0))&amp;"","")</f>
        <v/>
      </c>
      <c r="AF1034" s="66" t="str">
        <f>IF(OR(A1034="",p_po=""),"",IF(A1034&amp;""=p_po,COUNTIF($A$6:A1034,A1034),""))</f>
        <v/>
      </c>
      <c r="AG1034" s="66" t="str">
        <f>IF(OR(AB1034="",A1034=""),"",IF(COUNTIFS($A$6:A1034,A1034,$AB$6:AB1034,"&gt;0")=1,1,""))</f>
        <v/>
      </c>
      <c r="AH1034" s="70" t="str">
        <f>IF(AB1034="","",ROUND(N(W1034)*N(J1034)*(1-N(K1034)),2))</f>
        <v/>
      </c>
      <c r="AI1034" s="70" t="str">
        <f>IF(OR(J1034="",N(T1034)&lt;=0,V1034="Oui"),"",ROUND(N(T1034)*J1034*(1-N(K1034)),2))</f>
        <v/>
      </c>
    </row>
    <row r="1035">
      <c r="A1035" s="63" t="n"/>
      <c r="B1035" s="64" t="n"/>
      <c r="C1035" s="65" t="n"/>
      <c r="D1035" s="66" t="str">
        <f>IF(C1035="","",IFERROR(INDEX(sup_name,MATCH($C1035,sup_code,0))&amp;"","Fournisseur inconnu"))</f>
        <v/>
      </c>
      <c r="E1035" s="63" t="n"/>
      <c r="F1035" s="66" t="str">
        <f>IF(E1035="","",IFERROR(INDEX(art_des,MATCH($E1035,art_ref,0))&amp;"","Article inconnu"))</f>
        <v/>
      </c>
      <c r="G1035" s="67" t="str">
        <f>IF(E1035="","",IFERROR(INDEX(art_unit,MATCH($E1035,art_ref,0))&amp;"",""))</f>
        <v/>
      </c>
      <c r="H1035" s="68" t="n"/>
      <c r="I1035" s="69" t="n"/>
      <c r="J1035" s="70" t="str">
        <f>IF(E1035="","",IF(ISNUMBER(I1035),I1035,IFERROR(IF(ISNUMBER(INDEX(art_price,MATCH($E1035,art_ref,0))),INDEX(art_price,MATCH($E1035,art_ref,0)),""),"")))</f>
        <v/>
      </c>
      <c r="K1035" s="71" t="n"/>
      <c r="L1035" s="72" t="n"/>
      <c r="M1035" s="72" t="str">
        <f>IF(E1035="","",IF(L1035&lt;&gt;"",L1035,IFERROR(IF(ISNUMBER(INDEX(art_tva,MATCH($E1035,art_ref,0))),INDEX(art_tva,MATCH($E1035,art_ref,0)),""),"")))</f>
        <v/>
      </c>
      <c r="N1035" s="70" t="str">
        <f>IF(OR(E1035="",J1035=""),"",ROUND(N(H1035)*J1035*(1-N(K1035)),2))</f>
        <v/>
      </c>
      <c r="O1035" s="70" t="str">
        <f>IF(OR(N1035="",NOT(ISNUMBER(M1035))),"",ROUND(N1035*M1035,2))</f>
        <v/>
      </c>
      <c r="P1035" s="70" t="str">
        <f>IF(N1035="","",N1035+N(O1035))</f>
        <v/>
      </c>
      <c r="Q1035" s="64" t="n"/>
      <c r="R1035" s="73" t="str">
        <f>IF(N(Q1035)&gt;0,Q1035,IF(OR(N(B1035)=0,ISNA(MATCH($C1035,sup_code,0))),"",IF(ISNUMBER(INDEX(sup_delay,MATCH($C1035,sup_code,0))),B1035+INDEX(sup_delay,MATCH($C1035,sup_code,0)),"")))</f>
        <v/>
      </c>
      <c r="S1035" s="64" t="n"/>
      <c r="T1035" s="68" t="n"/>
      <c r="U1035" s="64" t="n"/>
      <c r="V1035" s="65" t="n"/>
      <c r="W1035" s="74" t="str">
        <f>IF(AND(A1035="",E1035=""),"",IF(V1035="Oui",0,MAX(0,ROUND(N(H1035)-N(T1035),6))))</f>
        <v/>
      </c>
      <c r="X1035" s="67" t="str">
        <f>IF(AND(A1035="",E1035=""),"",IF(V1035="Oui","Annulé",IF(AND(N(H1035)&gt;0,N(T1035)&gt;=N(H1035)),"Reçu",IF(N(S1035)=0,"Brouillon",IF(AND(ISNUMBER(R1035),R1035&lt;p_today),"En retard",IF(N(T1035)&gt;0,"Partiel","Envoyé"))))))</f>
        <v/>
      </c>
      <c r="Y1035" s="75" t="str">
        <f>IF(X1035="En retard",p_today-R1035,IF(AND(X1035="Reçu",ISNUMBER(R1035)),MAX(0,N(U1035)-R1035),""))</f>
        <v/>
      </c>
      <c r="Z1035" s="67" t="str">
        <f>IF(AND(A1035="",E1035=""),"",IF(A1035="","N° de bon manquant",IF(N(B1035)=0,"Date de commande manquante",IF(C1035="","Fournisseur manquant",IF(ISNA(MATCH($C1035,sup_code,0)),"Fournisseur inconnu",IF(E1035="","Article manquant",IF(ISNA(MATCH($E1035,art_ref,0)),"Article inconnu",IF(N(H1035)&lt;=0,"Quantité invalide",IF(J1035="","Prix manquant",IF(OR(N(K1035)&lt;0,N(K1035)&gt;=1),"Remise invalide",IF(M1035="","TVA manquante",IF(ISNA(MATCH(M1035,p_tva,0)),"Taux de TVA inconnu",IF(COUNTIFS(po_num,A1035,po_sup,"&lt;&gt;"&amp;C1035)&gt;0,"Fournisseur différent sur ce bon",IF(COUNTIFS(po_num,A1035,po_date,"&lt;&gt;"&amp;B1035)&gt;0,"Date différente sur ce bon",IF(COUNTIF(po_num,A1035)&gt;25,"Plus de 25 lignes sur ce bon",IF(R1035="","Date de livraison manquante",IF(R1035&lt;B1035,"Livraison avant la commande",IF(AND(N(T1035)&gt;0,N(S1035)=0),"Date d'envoi manquante",IF(N(T1035)&gt;N(H1035),"Reçu plus que commandé",IF(AND(N(T1035)&gt;0,N(U1035)=0),"Date de réception manquante",IF(AND(N(U1035)&gt;0,U1035&lt;B1035),"Réception avant la commande","OK")))))))))))))))))))))</f>
        <v/>
      </c>
      <c r="AA1035" s="66" t="str">
        <f>IF(AND(X1035="Reçu",ISNUMBER(R1035)),IF(N(U1035)&lt;=R1035,1,0),"")</f>
        <v/>
      </c>
      <c r="AB1035" s="76" t="str">
        <f>IF(OR(X1035="Envoyé",X1035="Partiel",X1035="En retard"),IF(ISNUMBER(R1035),R1035,100000)+ROW()/100000,"")</f>
        <v/>
      </c>
      <c r="AC1035" s="66" t="str">
        <f>IF(A1035="","",IF(COUNTIF($A$6:A1035,A1035)=1,1,""))</f>
        <v/>
      </c>
      <c r="AD1035" s="66" t="str">
        <f>IF(AC1035=1,COUNT($AC$6:AC1035),"")</f>
        <v/>
      </c>
      <c r="AE1035" s="66" t="str">
        <f>IFERROR(INDEX(po_num,MATCH(1030,po_seq,0))&amp;"","")</f>
        <v/>
      </c>
      <c r="AF1035" s="66" t="str">
        <f>IF(OR(A1035="",p_po=""),"",IF(A1035&amp;""=p_po,COUNTIF($A$6:A1035,A1035),""))</f>
        <v/>
      </c>
      <c r="AG1035" s="66" t="str">
        <f>IF(OR(AB1035="",A1035=""),"",IF(COUNTIFS($A$6:A1035,A1035,$AB$6:AB1035,"&gt;0")=1,1,""))</f>
        <v/>
      </c>
      <c r="AH1035" s="70" t="str">
        <f>IF(AB1035="","",ROUND(N(W1035)*N(J1035)*(1-N(K1035)),2))</f>
        <v/>
      </c>
      <c r="AI1035" s="70" t="str">
        <f>IF(OR(J1035="",N(T1035)&lt;=0,V1035="Oui"),"",ROUND(N(T1035)*J1035*(1-N(K1035)),2))</f>
        <v/>
      </c>
    </row>
    <row r="1036">
      <c r="A1036" s="63" t="n"/>
      <c r="B1036" s="64" t="n"/>
      <c r="C1036" s="65" t="n"/>
      <c r="D1036" s="66" t="str">
        <f>IF(C1036="","",IFERROR(INDEX(sup_name,MATCH($C1036,sup_code,0))&amp;"","Fournisseur inconnu"))</f>
        <v/>
      </c>
      <c r="E1036" s="63" t="n"/>
      <c r="F1036" s="66" t="str">
        <f>IF(E1036="","",IFERROR(INDEX(art_des,MATCH($E1036,art_ref,0))&amp;"","Article inconnu"))</f>
        <v/>
      </c>
      <c r="G1036" s="67" t="str">
        <f>IF(E1036="","",IFERROR(INDEX(art_unit,MATCH($E1036,art_ref,0))&amp;"",""))</f>
        <v/>
      </c>
      <c r="H1036" s="68" t="n"/>
      <c r="I1036" s="69" t="n"/>
      <c r="J1036" s="70" t="str">
        <f>IF(E1036="","",IF(ISNUMBER(I1036),I1036,IFERROR(IF(ISNUMBER(INDEX(art_price,MATCH($E1036,art_ref,0))),INDEX(art_price,MATCH($E1036,art_ref,0)),""),"")))</f>
        <v/>
      </c>
      <c r="K1036" s="71" t="n"/>
      <c r="L1036" s="72" t="n"/>
      <c r="M1036" s="72" t="str">
        <f>IF(E1036="","",IF(L1036&lt;&gt;"",L1036,IFERROR(IF(ISNUMBER(INDEX(art_tva,MATCH($E1036,art_ref,0))),INDEX(art_tva,MATCH($E1036,art_ref,0)),""),"")))</f>
        <v/>
      </c>
      <c r="N1036" s="70" t="str">
        <f>IF(OR(E1036="",J1036=""),"",ROUND(N(H1036)*J1036*(1-N(K1036)),2))</f>
        <v/>
      </c>
      <c r="O1036" s="70" t="str">
        <f>IF(OR(N1036="",NOT(ISNUMBER(M1036))),"",ROUND(N1036*M1036,2))</f>
        <v/>
      </c>
      <c r="P1036" s="70" t="str">
        <f>IF(N1036="","",N1036+N(O1036))</f>
        <v/>
      </c>
      <c r="Q1036" s="64" t="n"/>
      <c r="R1036" s="73" t="str">
        <f>IF(N(Q1036)&gt;0,Q1036,IF(OR(N(B1036)=0,ISNA(MATCH($C1036,sup_code,0))),"",IF(ISNUMBER(INDEX(sup_delay,MATCH($C1036,sup_code,0))),B1036+INDEX(sup_delay,MATCH($C1036,sup_code,0)),"")))</f>
        <v/>
      </c>
      <c r="S1036" s="64" t="n"/>
      <c r="T1036" s="68" t="n"/>
      <c r="U1036" s="64" t="n"/>
      <c r="V1036" s="65" t="n"/>
      <c r="W1036" s="74" t="str">
        <f>IF(AND(A1036="",E1036=""),"",IF(V1036="Oui",0,MAX(0,ROUND(N(H1036)-N(T1036),6))))</f>
        <v/>
      </c>
      <c r="X1036" s="67" t="str">
        <f>IF(AND(A1036="",E1036=""),"",IF(V1036="Oui","Annulé",IF(AND(N(H1036)&gt;0,N(T1036)&gt;=N(H1036)),"Reçu",IF(N(S1036)=0,"Brouillon",IF(AND(ISNUMBER(R1036),R1036&lt;p_today),"En retard",IF(N(T1036)&gt;0,"Partiel","Envoyé"))))))</f>
        <v/>
      </c>
      <c r="Y1036" s="75" t="str">
        <f>IF(X1036="En retard",p_today-R1036,IF(AND(X1036="Reçu",ISNUMBER(R1036)),MAX(0,N(U1036)-R1036),""))</f>
        <v/>
      </c>
      <c r="Z1036" s="67" t="str">
        <f>IF(AND(A1036="",E1036=""),"",IF(A1036="","N° de bon manquant",IF(N(B1036)=0,"Date de commande manquante",IF(C1036="","Fournisseur manquant",IF(ISNA(MATCH($C1036,sup_code,0)),"Fournisseur inconnu",IF(E1036="","Article manquant",IF(ISNA(MATCH($E1036,art_ref,0)),"Article inconnu",IF(N(H1036)&lt;=0,"Quantité invalide",IF(J1036="","Prix manquant",IF(OR(N(K1036)&lt;0,N(K1036)&gt;=1),"Remise invalide",IF(M1036="","TVA manquante",IF(ISNA(MATCH(M1036,p_tva,0)),"Taux de TVA inconnu",IF(COUNTIFS(po_num,A1036,po_sup,"&lt;&gt;"&amp;C1036)&gt;0,"Fournisseur différent sur ce bon",IF(COUNTIFS(po_num,A1036,po_date,"&lt;&gt;"&amp;B1036)&gt;0,"Date différente sur ce bon",IF(COUNTIF(po_num,A1036)&gt;25,"Plus de 25 lignes sur ce bon",IF(R1036="","Date de livraison manquante",IF(R1036&lt;B1036,"Livraison avant la commande",IF(AND(N(T1036)&gt;0,N(S1036)=0),"Date d'envoi manquante",IF(N(T1036)&gt;N(H1036),"Reçu plus que commandé",IF(AND(N(T1036)&gt;0,N(U1036)=0),"Date de réception manquante",IF(AND(N(U1036)&gt;0,U1036&lt;B1036),"Réception avant la commande","OK")))))))))))))))))))))</f>
        <v/>
      </c>
      <c r="AA1036" s="66" t="str">
        <f>IF(AND(X1036="Reçu",ISNUMBER(R1036)),IF(N(U1036)&lt;=R1036,1,0),"")</f>
        <v/>
      </c>
      <c r="AB1036" s="76" t="str">
        <f>IF(OR(X1036="Envoyé",X1036="Partiel",X1036="En retard"),IF(ISNUMBER(R1036),R1036,100000)+ROW()/100000,"")</f>
        <v/>
      </c>
      <c r="AC1036" s="66" t="str">
        <f>IF(A1036="","",IF(COUNTIF($A$6:A1036,A1036)=1,1,""))</f>
        <v/>
      </c>
      <c r="AD1036" s="66" t="str">
        <f>IF(AC1036=1,COUNT($AC$6:AC1036),"")</f>
        <v/>
      </c>
      <c r="AE1036" s="66" t="str">
        <f>IFERROR(INDEX(po_num,MATCH(1031,po_seq,0))&amp;"","")</f>
        <v/>
      </c>
      <c r="AF1036" s="66" t="str">
        <f>IF(OR(A1036="",p_po=""),"",IF(A1036&amp;""=p_po,COUNTIF($A$6:A1036,A1036),""))</f>
        <v/>
      </c>
      <c r="AG1036" s="66" t="str">
        <f>IF(OR(AB1036="",A1036=""),"",IF(COUNTIFS($A$6:A1036,A1036,$AB$6:AB1036,"&gt;0")=1,1,""))</f>
        <v/>
      </c>
      <c r="AH1036" s="70" t="str">
        <f>IF(AB1036="","",ROUND(N(W1036)*N(J1036)*(1-N(K1036)),2))</f>
        <v/>
      </c>
      <c r="AI1036" s="70" t="str">
        <f>IF(OR(J1036="",N(T1036)&lt;=0,V1036="Oui"),"",ROUND(N(T1036)*J1036*(1-N(K1036)),2))</f>
        <v/>
      </c>
    </row>
    <row r="1037">
      <c r="A1037" s="63" t="n"/>
      <c r="B1037" s="64" t="n"/>
      <c r="C1037" s="65" t="n"/>
      <c r="D1037" s="66" t="str">
        <f>IF(C1037="","",IFERROR(INDEX(sup_name,MATCH($C1037,sup_code,0))&amp;"","Fournisseur inconnu"))</f>
        <v/>
      </c>
      <c r="E1037" s="63" t="n"/>
      <c r="F1037" s="66" t="str">
        <f>IF(E1037="","",IFERROR(INDEX(art_des,MATCH($E1037,art_ref,0))&amp;"","Article inconnu"))</f>
        <v/>
      </c>
      <c r="G1037" s="67" t="str">
        <f>IF(E1037="","",IFERROR(INDEX(art_unit,MATCH($E1037,art_ref,0))&amp;"",""))</f>
        <v/>
      </c>
      <c r="H1037" s="68" t="n"/>
      <c r="I1037" s="69" t="n"/>
      <c r="J1037" s="70" t="str">
        <f>IF(E1037="","",IF(ISNUMBER(I1037),I1037,IFERROR(IF(ISNUMBER(INDEX(art_price,MATCH($E1037,art_ref,0))),INDEX(art_price,MATCH($E1037,art_ref,0)),""),"")))</f>
        <v/>
      </c>
      <c r="K1037" s="71" t="n"/>
      <c r="L1037" s="72" t="n"/>
      <c r="M1037" s="72" t="str">
        <f>IF(E1037="","",IF(L1037&lt;&gt;"",L1037,IFERROR(IF(ISNUMBER(INDEX(art_tva,MATCH($E1037,art_ref,0))),INDEX(art_tva,MATCH($E1037,art_ref,0)),""),"")))</f>
        <v/>
      </c>
      <c r="N1037" s="70" t="str">
        <f>IF(OR(E1037="",J1037=""),"",ROUND(N(H1037)*J1037*(1-N(K1037)),2))</f>
        <v/>
      </c>
      <c r="O1037" s="70" t="str">
        <f>IF(OR(N1037="",NOT(ISNUMBER(M1037))),"",ROUND(N1037*M1037,2))</f>
        <v/>
      </c>
      <c r="P1037" s="70" t="str">
        <f>IF(N1037="","",N1037+N(O1037))</f>
        <v/>
      </c>
      <c r="Q1037" s="64" t="n"/>
      <c r="R1037" s="73" t="str">
        <f>IF(N(Q1037)&gt;0,Q1037,IF(OR(N(B1037)=0,ISNA(MATCH($C1037,sup_code,0))),"",IF(ISNUMBER(INDEX(sup_delay,MATCH($C1037,sup_code,0))),B1037+INDEX(sup_delay,MATCH($C1037,sup_code,0)),"")))</f>
        <v/>
      </c>
      <c r="S1037" s="64" t="n"/>
      <c r="T1037" s="68" t="n"/>
      <c r="U1037" s="64" t="n"/>
      <c r="V1037" s="65" t="n"/>
      <c r="W1037" s="74" t="str">
        <f>IF(AND(A1037="",E1037=""),"",IF(V1037="Oui",0,MAX(0,ROUND(N(H1037)-N(T1037),6))))</f>
        <v/>
      </c>
      <c r="X1037" s="67" t="str">
        <f>IF(AND(A1037="",E1037=""),"",IF(V1037="Oui","Annulé",IF(AND(N(H1037)&gt;0,N(T1037)&gt;=N(H1037)),"Reçu",IF(N(S1037)=0,"Brouillon",IF(AND(ISNUMBER(R1037),R1037&lt;p_today),"En retard",IF(N(T1037)&gt;0,"Partiel","Envoyé"))))))</f>
        <v/>
      </c>
      <c r="Y1037" s="75" t="str">
        <f>IF(X1037="En retard",p_today-R1037,IF(AND(X1037="Reçu",ISNUMBER(R1037)),MAX(0,N(U1037)-R1037),""))</f>
        <v/>
      </c>
      <c r="Z1037" s="67" t="str">
        <f>IF(AND(A1037="",E1037=""),"",IF(A1037="","N° de bon manquant",IF(N(B1037)=0,"Date de commande manquante",IF(C1037="","Fournisseur manquant",IF(ISNA(MATCH($C1037,sup_code,0)),"Fournisseur inconnu",IF(E1037="","Article manquant",IF(ISNA(MATCH($E1037,art_ref,0)),"Article inconnu",IF(N(H1037)&lt;=0,"Quantité invalide",IF(J1037="","Prix manquant",IF(OR(N(K1037)&lt;0,N(K1037)&gt;=1),"Remise invalide",IF(M1037="","TVA manquante",IF(ISNA(MATCH(M1037,p_tva,0)),"Taux de TVA inconnu",IF(COUNTIFS(po_num,A1037,po_sup,"&lt;&gt;"&amp;C1037)&gt;0,"Fournisseur différent sur ce bon",IF(COUNTIFS(po_num,A1037,po_date,"&lt;&gt;"&amp;B1037)&gt;0,"Date différente sur ce bon",IF(COUNTIF(po_num,A1037)&gt;25,"Plus de 25 lignes sur ce bon",IF(R1037="","Date de livraison manquante",IF(R1037&lt;B1037,"Livraison avant la commande",IF(AND(N(T1037)&gt;0,N(S1037)=0),"Date d'envoi manquante",IF(N(T1037)&gt;N(H1037),"Reçu plus que commandé",IF(AND(N(T1037)&gt;0,N(U1037)=0),"Date de réception manquante",IF(AND(N(U1037)&gt;0,U1037&lt;B1037),"Réception avant la commande","OK")))))))))))))))))))))</f>
        <v/>
      </c>
      <c r="AA1037" s="66" t="str">
        <f>IF(AND(X1037="Reçu",ISNUMBER(R1037)),IF(N(U1037)&lt;=R1037,1,0),"")</f>
        <v/>
      </c>
      <c r="AB1037" s="76" t="str">
        <f>IF(OR(X1037="Envoyé",X1037="Partiel",X1037="En retard"),IF(ISNUMBER(R1037),R1037,100000)+ROW()/100000,"")</f>
        <v/>
      </c>
      <c r="AC1037" s="66" t="str">
        <f>IF(A1037="","",IF(COUNTIF($A$6:A1037,A1037)=1,1,""))</f>
        <v/>
      </c>
      <c r="AD1037" s="66" t="str">
        <f>IF(AC1037=1,COUNT($AC$6:AC1037),"")</f>
        <v/>
      </c>
      <c r="AE1037" s="66" t="str">
        <f>IFERROR(INDEX(po_num,MATCH(1032,po_seq,0))&amp;"","")</f>
        <v/>
      </c>
      <c r="AF1037" s="66" t="str">
        <f>IF(OR(A1037="",p_po=""),"",IF(A1037&amp;""=p_po,COUNTIF($A$6:A1037,A1037),""))</f>
        <v/>
      </c>
      <c r="AG1037" s="66" t="str">
        <f>IF(OR(AB1037="",A1037=""),"",IF(COUNTIFS($A$6:A1037,A1037,$AB$6:AB1037,"&gt;0")=1,1,""))</f>
        <v/>
      </c>
      <c r="AH1037" s="70" t="str">
        <f>IF(AB1037="","",ROUND(N(W1037)*N(J1037)*(1-N(K1037)),2))</f>
        <v/>
      </c>
      <c r="AI1037" s="70" t="str">
        <f>IF(OR(J1037="",N(T1037)&lt;=0,V1037="Oui"),"",ROUND(N(T1037)*J1037*(1-N(K1037)),2))</f>
        <v/>
      </c>
    </row>
    <row r="1038">
      <c r="A1038" s="63" t="n"/>
      <c r="B1038" s="64" t="n"/>
      <c r="C1038" s="65" t="n"/>
      <c r="D1038" s="66" t="str">
        <f>IF(C1038="","",IFERROR(INDEX(sup_name,MATCH($C1038,sup_code,0))&amp;"","Fournisseur inconnu"))</f>
        <v/>
      </c>
      <c r="E1038" s="63" t="n"/>
      <c r="F1038" s="66" t="str">
        <f>IF(E1038="","",IFERROR(INDEX(art_des,MATCH($E1038,art_ref,0))&amp;"","Article inconnu"))</f>
        <v/>
      </c>
      <c r="G1038" s="67" t="str">
        <f>IF(E1038="","",IFERROR(INDEX(art_unit,MATCH($E1038,art_ref,0))&amp;"",""))</f>
        <v/>
      </c>
      <c r="H1038" s="68" t="n"/>
      <c r="I1038" s="69" t="n"/>
      <c r="J1038" s="70" t="str">
        <f>IF(E1038="","",IF(ISNUMBER(I1038),I1038,IFERROR(IF(ISNUMBER(INDEX(art_price,MATCH($E1038,art_ref,0))),INDEX(art_price,MATCH($E1038,art_ref,0)),""),"")))</f>
        <v/>
      </c>
      <c r="K1038" s="71" t="n"/>
      <c r="L1038" s="72" t="n"/>
      <c r="M1038" s="72" t="str">
        <f>IF(E1038="","",IF(L1038&lt;&gt;"",L1038,IFERROR(IF(ISNUMBER(INDEX(art_tva,MATCH($E1038,art_ref,0))),INDEX(art_tva,MATCH($E1038,art_ref,0)),""),"")))</f>
        <v/>
      </c>
      <c r="N1038" s="70" t="str">
        <f>IF(OR(E1038="",J1038=""),"",ROUND(N(H1038)*J1038*(1-N(K1038)),2))</f>
        <v/>
      </c>
      <c r="O1038" s="70" t="str">
        <f>IF(OR(N1038="",NOT(ISNUMBER(M1038))),"",ROUND(N1038*M1038,2))</f>
        <v/>
      </c>
      <c r="P1038" s="70" t="str">
        <f>IF(N1038="","",N1038+N(O1038))</f>
        <v/>
      </c>
      <c r="Q1038" s="64" t="n"/>
      <c r="R1038" s="73" t="str">
        <f>IF(N(Q1038)&gt;0,Q1038,IF(OR(N(B1038)=0,ISNA(MATCH($C1038,sup_code,0))),"",IF(ISNUMBER(INDEX(sup_delay,MATCH($C1038,sup_code,0))),B1038+INDEX(sup_delay,MATCH($C1038,sup_code,0)),"")))</f>
        <v/>
      </c>
      <c r="S1038" s="64" t="n"/>
      <c r="T1038" s="68" t="n"/>
      <c r="U1038" s="64" t="n"/>
      <c r="V1038" s="65" t="n"/>
      <c r="W1038" s="74" t="str">
        <f>IF(AND(A1038="",E1038=""),"",IF(V1038="Oui",0,MAX(0,ROUND(N(H1038)-N(T1038),6))))</f>
        <v/>
      </c>
      <c r="X1038" s="67" t="str">
        <f>IF(AND(A1038="",E1038=""),"",IF(V1038="Oui","Annulé",IF(AND(N(H1038)&gt;0,N(T1038)&gt;=N(H1038)),"Reçu",IF(N(S1038)=0,"Brouillon",IF(AND(ISNUMBER(R1038),R1038&lt;p_today),"En retard",IF(N(T1038)&gt;0,"Partiel","Envoyé"))))))</f>
        <v/>
      </c>
      <c r="Y1038" s="75" t="str">
        <f>IF(X1038="En retard",p_today-R1038,IF(AND(X1038="Reçu",ISNUMBER(R1038)),MAX(0,N(U1038)-R1038),""))</f>
        <v/>
      </c>
      <c r="Z1038" s="67" t="str">
        <f>IF(AND(A1038="",E1038=""),"",IF(A1038="","N° de bon manquant",IF(N(B1038)=0,"Date de commande manquante",IF(C1038="","Fournisseur manquant",IF(ISNA(MATCH($C1038,sup_code,0)),"Fournisseur inconnu",IF(E1038="","Article manquant",IF(ISNA(MATCH($E1038,art_ref,0)),"Article inconnu",IF(N(H1038)&lt;=0,"Quantité invalide",IF(J1038="","Prix manquant",IF(OR(N(K1038)&lt;0,N(K1038)&gt;=1),"Remise invalide",IF(M1038="","TVA manquante",IF(ISNA(MATCH(M1038,p_tva,0)),"Taux de TVA inconnu",IF(COUNTIFS(po_num,A1038,po_sup,"&lt;&gt;"&amp;C1038)&gt;0,"Fournisseur différent sur ce bon",IF(COUNTIFS(po_num,A1038,po_date,"&lt;&gt;"&amp;B1038)&gt;0,"Date différente sur ce bon",IF(COUNTIF(po_num,A1038)&gt;25,"Plus de 25 lignes sur ce bon",IF(R1038="","Date de livraison manquante",IF(R1038&lt;B1038,"Livraison avant la commande",IF(AND(N(T1038)&gt;0,N(S1038)=0),"Date d'envoi manquante",IF(N(T1038)&gt;N(H1038),"Reçu plus que commandé",IF(AND(N(T1038)&gt;0,N(U1038)=0),"Date de réception manquante",IF(AND(N(U1038)&gt;0,U1038&lt;B1038),"Réception avant la commande","OK")))))))))))))))))))))</f>
        <v/>
      </c>
      <c r="AA1038" s="66" t="str">
        <f>IF(AND(X1038="Reçu",ISNUMBER(R1038)),IF(N(U1038)&lt;=R1038,1,0),"")</f>
        <v/>
      </c>
      <c r="AB1038" s="76" t="str">
        <f>IF(OR(X1038="Envoyé",X1038="Partiel",X1038="En retard"),IF(ISNUMBER(R1038),R1038,100000)+ROW()/100000,"")</f>
        <v/>
      </c>
      <c r="AC1038" s="66" t="str">
        <f>IF(A1038="","",IF(COUNTIF($A$6:A1038,A1038)=1,1,""))</f>
        <v/>
      </c>
      <c r="AD1038" s="66" t="str">
        <f>IF(AC1038=1,COUNT($AC$6:AC1038),"")</f>
        <v/>
      </c>
      <c r="AE1038" s="66" t="str">
        <f>IFERROR(INDEX(po_num,MATCH(1033,po_seq,0))&amp;"","")</f>
        <v/>
      </c>
      <c r="AF1038" s="66" t="str">
        <f>IF(OR(A1038="",p_po=""),"",IF(A1038&amp;""=p_po,COUNTIF($A$6:A1038,A1038),""))</f>
        <v/>
      </c>
      <c r="AG1038" s="66" t="str">
        <f>IF(OR(AB1038="",A1038=""),"",IF(COUNTIFS($A$6:A1038,A1038,$AB$6:AB1038,"&gt;0")=1,1,""))</f>
        <v/>
      </c>
      <c r="AH1038" s="70" t="str">
        <f>IF(AB1038="","",ROUND(N(W1038)*N(J1038)*(1-N(K1038)),2))</f>
        <v/>
      </c>
      <c r="AI1038" s="70" t="str">
        <f>IF(OR(J1038="",N(T1038)&lt;=0,V1038="Oui"),"",ROUND(N(T1038)*J1038*(1-N(K1038)),2))</f>
        <v/>
      </c>
    </row>
    <row r="1039">
      <c r="A1039" s="63" t="n"/>
      <c r="B1039" s="64" t="n"/>
      <c r="C1039" s="65" t="n"/>
      <c r="D1039" s="66" t="str">
        <f>IF(C1039="","",IFERROR(INDEX(sup_name,MATCH($C1039,sup_code,0))&amp;"","Fournisseur inconnu"))</f>
        <v/>
      </c>
      <c r="E1039" s="63" t="n"/>
      <c r="F1039" s="66" t="str">
        <f>IF(E1039="","",IFERROR(INDEX(art_des,MATCH($E1039,art_ref,0))&amp;"","Article inconnu"))</f>
        <v/>
      </c>
      <c r="G1039" s="67" t="str">
        <f>IF(E1039="","",IFERROR(INDEX(art_unit,MATCH($E1039,art_ref,0))&amp;"",""))</f>
        <v/>
      </c>
      <c r="H1039" s="68" t="n"/>
      <c r="I1039" s="69" t="n"/>
      <c r="J1039" s="70" t="str">
        <f>IF(E1039="","",IF(ISNUMBER(I1039),I1039,IFERROR(IF(ISNUMBER(INDEX(art_price,MATCH($E1039,art_ref,0))),INDEX(art_price,MATCH($E1039,art_ref,0)),""),"")))</f>
        <v/>
      </c>
      <c r="K1039" s="71" t="n"/>
      <c r="L1039" s="72" t="n"/>
      <c r="M1039" s="72" t="str">
        <f>IF(E1039="","",IF(L1039&lt;&gt;"",L1039,IFERROR(IF(ISNUMBER(INDEX(art_tva,MATCH($E1039,art_ref,0))),INDEX(art_tva,MATCH($E1039,art_ref,0)),""),"")))</f>
        <v/>
      </c>
      <c r="N1039" s="70" t="str">
        <f>IF(OR(E1039="",J1039=""),"",ROUND(N(H1039)*J1039*(1-N(K1039)),2))</f>
        <v/>
      </c>
      <c r="O1039" s="70" t="str">
        <f>IF(OR(N1039="",NOT(ISNUMBER(M1039))),"",ROUND(N1039*M1039,2))</f>
        <v/>
      </c>
      <c r="P1039" s="70" t="str">
        <f>IF(N1039="","",N1039+N(O1039))</f>
        <v/>
      </c>
      <c r="Q1039" s="64" t="n"/>
      <c r="R1039" s="73" t="str">
        <f>IF(N(Q1039)&gt;0,Q1039,IF(OR(N(B1039)=0,ISNA(MATCH($C1039,sup_code,0))),"",IF(ISNUMBER(INDEX(sup_delay,MATCH($C1039,sup_code,0))),B1039+INDEX(sup_delay,MATCH($C1039,sup_code,0)),"")))</f>
        <v/>
      </c>
      <c r="S1039" s="64" t="n"/>
      <c r="T1039" s="68" t="n"/>
      <c r="U1039" s="64" t="n"/>
      <c r="V1039" s="65" t="n"/>
      <c r="W1039" s="74" t="str">
        <f>IF(AND(A1039="",E1039=""),"",IF(V1039="Oui",0,MAX(0,ROUND(N(H1039)-N(T1039),6))))</f>
        <v/>
      </c>
      <c r="X1039" s="67" t="str">
        <f>IF(AND(A1039="",E1039=""),"",IF(V1039="Oui","Annulé",IF(AND(N(H1039)&gt;0,N(T1039)&gt;=N(H1039)),"Reçu",IF(N(S1039)=0,"Brouillon",IF(AND(ISNUMBER(R1039),R1039&lt;p_today),"En retard",IF(N(T1039)&gt;0,"Partiel","Envoyé"))))))</f>
        <v/>
      </c>
      <c r="Y1039" s="75" t="str">
        <f>IF(X1039="En retard",p_today-R1039,IF(AND(X1039="Reçu",ISNUMBER(R1039)),MAX(0,N(U1039)-R1039),""))</f>
        <v/>
      </c>
      <c r="Z1039" s="67" t="str">
        <f>IF(AND(A1039="",E1039=""),"",IF(A1039="","N° de bon manquant",IF(N(B1039)=0,"Date de commande manquante",IF(C1039="","Fournisseur manquant",IF(ISNA(MATCH($C1039,sup_code,0)),"Fournisseur inconnu",IF(E1039="","Article manquant",IF(ISNA(MATCH($E1039,art_ref,0)),"Article inconnu",IF(N(H1039)&lt;=0,"Quantité invalide",IF(J1039="","Prix manquant",IF(OR(N(K1039)&lt;0,N(K1039)&gt;=1),"Remise invalide",IF(M1039="","TVA manquante",IF(ISNA(MATCH(M1039,p_tva,0)),"Taux de TVA inconnu",IF(COUNTIFS(po_num,A1039,po_sup,"&lt;&gt;"&amp;C1039)&gt;0,"Fournisseur différent sur ce bon",IF(COUNTIFS(po_num,A1039,po_date,"&lt;&gt;"&amp;B1039)&gt;0,"Date différente sur ce bon",IF(COUNTIF(po_num,A1039)&gt;25,"Plus de 25 lignes sur ce bon",IF(R1039="","Date de livraison manquante",IF(R1039&lt;B1039,"Livraison avant la commande",IF(AND(N(T1039)&gt;0,N(S1039)=0),"Date d'envoi manquante",IF(N(T1039)&gt;N(H1039),"Reçu plus que commandé",IF(AND(N(T1039)&gt;0,N(U1039)=0),"Date de réception manquante",IF(AND(N(U1039)&gt;0,U1039&lt;B1039),"Réception avant la commande","OK")))))))))))))))))))))</f>
        <v/>
      </c>
      <c r="AA1039" s="66" t="str">
        <f>IF(AND(X1039="Reçu",ISNUMBER(R1039)),IF(N(U1039)&lt;=R1039,1,0),"")</f>
        <v/>
      </c>
      <c r="AB1039" s="76" t="str">
        <f>IF(OR(X1039="Envoyé",X1039="Partiel",X1039="En retard"),IF(ISNUMBER(R1039),R1039,100000)+ROW()/100000,"")</f>
        <v/>
      </c>
      <c r="AC1039" s="66" t="str">
        <f>IF(A1039="","",IF(COUNTIF($A$6:A1039,A1039)=1,1,""))</f>
        <v/>
      </c>
      <c r="AD1039" s="66" t="str">
        <f>IF(AC1039=1,COUNT($AC$6:AC1039),"")</f>
        <v/>
      </c>
      <c r="AE1039" s="66" t="str">
        <f>IFERROR(INDEX(po_num,MATCH(1034,po_seq,0))&amp;"","")</f>
        <v/>
      </c>
      <c r="AF1039" s="66" t="str">
        <f>IF(OR(A1039="",p_po=""),"",IF(A1039&amp;""=p_po,COUNTIF($A$6:A1039,A1039),""))</f>
        <v/>
      </c>
      <c r="AG1039" s="66" t="str">
        <f>IF(OR(AB1039="",A1039=""),"",IF(COUNTIFS($A$6:A1039,A1039,$AB$6:AB1039,"&gt;0")=1,1,""))</f>
        <v/>
      </c>
      <c r="AH1039" s="70" t="str">
        <f>IF(AB1039="","",ROUND(N(W1039)*N(J1039)*(1-N(K1039)),2))</f>
        <v/>
      </c>
      <c r="AI1039" s="70" t="str">
        <f>IF(OR(J1039="",N(T1039)&lt;=0,V1039="Oui"),"",ROUND(N(T1039)*J1039*(1-N(K1039)),2))</f>
        <v/>
      </c>
    </row>
    <row r="1040">
      <c r="A1040" s="63" t="n"/>
      <c r="B1040" s="64" t="n"/>
      <c r="C1040" s="65" t="n"/>
      <c r="D1040" s="66" t="str">
        <f>IF(C1040="","",IFERROR(INDEX(sup_name,MATCH($C1040,sup_code,0))&amp;"","Fournisseur inconnu"))</f>
        <v/>
      </c>
      <c r="E1040" s="63" t="n"/>
      <c r="F1040" s="66" t="str">
        <f>IF(E1040="","",IFERROR(INDEX(art_des,MATCH($E1040,art_ref,0))&amp;"","Article inconnu"))</f>
        <v/>
      </c>
      <c r="G1040" s="67" t="str">
        <f>IF(E1040="","",IFERROR(INDEX(art_unit,MATCH($E1040,art_ref,0))&amp;"",""))</f>
        <v/>
      </c>
      <c r="H1040" s="68" t="n"/>
      <c r="I1040" s="69" t="n"/>
      <c r="J1040" s="70" t="str">
        <f>IF(E1040="","",IF(ISNUMBER(I1040),I1040,IFERROR(IF(ISNUMBER(INDEX(art_price,MATCH($E1040,art_ref,0))),INDEX(art_price,MATCH($E1040,art_ref,0)),""),"")))</f>
        <v/>
      </c>
      <c r="K1040" s="71" t="n"/>
      <c r="L1040" s="72" t="n"/>
      <c r="M1040" s="72" t="str">
        <f>IF(E1040="","",IF(L1040&lt;&gt;"",L1040,IFERROR(IF(ISNUMBER(INDEX(art_tva,MATCH($E1040,art_ref,0))),INDEX(art_tva,MATCH($E1040,art_ref,0)),""),"")))</f>
        <v/>
      </c>
      <c r="N1040" s="70" t="str">
        <f>IF(OR(E1040="",J1040=""),"",ROUND(N(H1040)*J1040*(1-N(K1040)),2))</f>
        <v/>
      </c>
      <c r="O1040" s="70" t="str">
        <f>IF(OR(N1040="",NOT(ISNUMBER(M1040))),"",ROUND(N1040*M1040,2))</f>
        <v/>
      </c>
      <c r="P1040" s="70" t="str">
        <f>IF(N1040="","",N1040+N(O1040))</f>
        <v/>
      </c>
      <c r="Q1040" s="64" t="n"/>
      <c r="R1040" s="73" t="str">
        <f>IF(N(Q1040)&gt;0,Q1040,IF(OR(N(B1040)=0,ISNA(MATCH($C1040,sup_code,0))),"",IF(ISNUMBER(INDEX(sup_delay,MATCH($C1040,sup_code,0))),B1040+INDEX(sup_delay,MATCH($C1040,sup_code,0)),"")))</f>
        <v/>
      </c>
      <c r="S1040" s="64" t="n"/>
      <c r="T1040" s="68" t="n"/>
      <c r="U1040" s="64" t="n"/>
      <c r="V1040" s="65" t="n"/>
      <c r="W1040" s="74" t="str">
        <f>IF(AND(A1040="",E1040=""),"",IF(V1040="Oui",0,MAX(0,ROUND(N(H1040)-N(T1040),6))))</f>
        <v/>
      </c>
      <c r="X1040" s="67" t="str">
        <f>IF(AND(A1040="",E1040=""),"",IF(V1040="Oui","Annulé",IF(AND(N(H1040)&gt;0,N(T1040)&gt;=N(H1040)),"Reçu",IF(N(S1040)=0,"Brouillon",IF(AND(ISNUMBER(R1040),R1040&lt;p_today),"En retard",IF(N(T1040)&gt;0,"Partiel","Envoyé"))))))</f>
        <v/>
      </c>
      <c r="Y1040" s="75" t="str">
        <f>IF(X1040="En retard",p_today-R1040,IF(AND(X1040="Reçu",ISNUMBER(R1040)),MAX(0,N(U1040)-R1040),""))</f>
        <v/>
      </c>
      <c r="Z1040" s="67" t="str">
        <f>IF(AND(A1040="",E1040=""),"",IF(A1040="","N° de bon manquant",IF(N(B1040)=0,"Date de commande manquante",IF(C1040="","Fournisseur manquant",IF(ISNA(MATCH($C1040,sup_code,0)),"Fournisseur inconnu",IF(E1040="","Article manquant",IF(ISNA(MATCH($E1040,art_ref,0)),"Article inconnu",IF(N(H1040)&lt;=0,"Quantité invalide",IF(J1040="","Prix manquant",IF(OR(N(K1040)&lt;0,N(K1040)&gt;=1),"Remise invalide",IF(M1040="","TVA manquante",IF(ISNA(MATCH(M1040,p_tva,0)),"Taux de TVA inconnu",IF(COUNTIFS(po_num,A1040,po_sup,"&lt;&gt;"&amp;C1040)&gt;0,"Fournisseur différent sur ce bon",IF(COUNTIFS(po_num,A1040,po_date,"&lt;&gt;"&amp;B1040)&gt;0,"Date différente sur ce bon",IF(COUNTIF(po_num,A1040)&gt;25,"Plus de 25 lignes sur ce bon",IF(R1040="","Date de livraison manquante",IF(R1040&lt;B1040,"Livraison avant la commande",IF(AND(N(T1040)&gt;0,N(S1040)=0),"Date d'envoi manquante",IF(N(T1040)&gt;N(H1040),"Reçu plus que commandé",IF(AND(N(T1040)&gt;0,N(U1040)=0),"Date de réception manquante",IF(AND(N(U1040)&gt;0,U1040&lt;B1040),"Réception avant la commande","OK")))))))))))))))))))))</f>
        <v/>
      </c>
      <c r="AA1040" s="66" t="str">
        <f>IF(AND(X1040="Reçu",ISNUMBER(R1040)),IF(N(U1040)&lt;=R1040,1,0),"")</f>
        <v/>
      </c>
      <c r="AB1040" s="76" t="str">
        <f>IF(OR(X1040="Envoyé",X1040="Partiel",X1040="En retard"),IF(ISNUMBER(R1040),R1040,100000)+ROW()/100000,"")</f>
        <v/>
      </c>
      <c r="AC1040" s="66" t="str">
        <f>IF(A1040="","",IF(COUNTIF($A$6:A1040,A1040)=1,1,""))</f>
        <v/>
      </c>
      <c r="AD1040" s="66" t="str">
        <f>IF(AC1040=1,COUNT($AC$6:AC1040),"")</f>
        <v/>
      </c>
      <c r="AE1040" s="66" t="str">
        <f>IFERROR(INDEX(po_num,MATCH(1035,po_seq,0))&amp;"","")</f>
        <v/>
      </c>
      <c r="AF1040" s="66" t="str">
        <f>IF(OR(A1040="",p_po=""),"",IF(A1040&amp;""=p_po,COUNTIF($A$6:A1040,A1040),""))</f>
        <v/>
      </c>
      <c r="AG1040" s="66" t="str">
        <f>IF(OR(AB1040="",A1040=""),"",IF(COUNTIFS($A$6:A1040,A1040,$AB$6:AB1040,"&gt;0")=1,1,""))</f>
        <v/>
      </c>
      <c r="AH1040" s="70" t="str">
        <f>IF(AB1040="","",ROUND(N(W1040)*N(J1040)*(1-N(K1040)),2))</f>
        <v/>
      </c>
      <c r="AI1040" s="70" t="str">
        <f>IF(OR(J1040="",N(T1040)&lt;=0,V1040="Oui"),"",ROUND(N(T1040)*J1040*(1-N(K1040)),2))</f>
        <v/>
      </c>
    </row>
    <row r="1041">
      <c r="A1041" s="63" t="n"/>
      <c r="B1041" s="64" t="n"/>
      <c r="C1041" s="65" t="n"/>
      <c r="D1041" s="66" t="str">
        <f>IF(C1041="","",IFERROR(INDEX(sup_name,MATCH($C1041,sup_code,0))&amp;"","Fournisseur inconnu"))</f>
        <v/>
      </c>
      <c r="E1041" s="63" t="n"/>
      <c r="F1041" s="66" t="str">
        <f>IF(E1041="","",IFERROR(INDEX(art_des,MATCH($E1041,art_ref,0))&amp;"","Article inconnu"))</f>
        <v/>
      </c>
      <c r="G1041" s="67" t="str">
        <f>IF(E1041="","",IFERROR(INDEX(art_unit,MATCH($E1041,art_ref,0))&amp;"",""))</f>
        <v/>
      </c>
      <c r="H1041" s="68" t="n"/>
      <c r="I1041" s="69" t="n"/>
      <c r="J1041" s="70" t="str">
        <f>IF(E1041="","",IF(ISNUMBER(I1041),I1041,IFERROR(IF(ISNUMBER(INDEX(art_price,MATCH($E1041,art_ref,0))),INDEX(art_price,MATCH($E1041,art_ref,0)),""),"")))</f>
        <v/>
      </c>
      <c r="K1041" s="71" t="n"/>
      <c r="L1041" s="72" t="n"/>
      <c r="M1041" s="72" t="str">
        <f>IF(E1041="","",IF(L1041&lt;&gt;"",L1041,IFERROR(IF(ISNUMBER(INDEX(art_tva,MATCH($E1041,art_ref,0))),INDEX(art_tva,MATCH($E1041,art_ref,0)),""),"")))</f>
        <v/>
      </c>
      <c r="N1041" s="70" t="str">
        <f>IF(OR(E1041="",J1041=""),"",ROUND(N(H1041)*J1041*(1-N(K1041)),2))</f>
        <v/>
      </c>
      <c r="O1041" s="70" t="str">
        <f>IF(OR(N1041="",NOT(ISNUMBER(M1041))),"",ROUND(N1041*M1041,2))</f>
        <v/>
      </c>
      <c r="P1041" s="70" t="str">
        <f>IF(N1041="","",N1041+N(O1041))</f>
        <v/>
      </c>
      <c r="Q1041" s="64" t="n"/>
      <c r="R1041" s="73" t="str">
        <f>IF(N(Q1041)&gt;0,Q1041,IF(OR(N(B1041)=0,ISNA(MATCH($C1041,sup_code,0))),"",IF(ISNUMBER(INDEX(sup_delay,MATCH($C1041,sup_code,0))),B1041+INDEX(sup_delay,MATCH($C1041,sup_code,0)),"")))</f>
        <v/>
      </c>
      <c r="S1041" s="64" t="n"/>
      <c r="T1041" s="68" t="n"/>
      <c r="U1041" s="64" t="n"/>
      <c r="V1041" s="65" t="n"/>
      <c r="W1041" s="74" t="str">
        <f>IF(AND(A1041="",E1041=""),"",IF(V1041="Oui",0,MAX(0,ROUND(N(H1041)-N(T1041),6))))</f>
        <v/>
      </c>
      <c r="X1041" s="67" t="str">
        <f>IF(AND(A1041="",E1041=""),"",IF(V1041="Oui","Annulé",IF(AND(N(H1041)&gt;0,N(T1041)&gt;=N(H1041)),"Reçu",IF(N(S1041)=0,"Brouillon",IF(AND(ISNUMBER(R1041),R1041&lt;p_today),"En retard",IF(N(T1041)&gt;0,"Partiel","Envoyé"))))))</f>
        <v/>
      </c>
      <c r="Y1041" s="75" t="str">
        <f>IF(X1041="En retard",p_today-R1041,IF(AND(X1041="Reçu",ISNUMBER(R1041)),MAX(0,N(U1041)-R1041),""))</f>
        <v/>
      </c>
      <c r="Z1041" s="67" t="str">
        <f>IF(AND(A1041="",E1041=""),"",IF(A1041="","N° de bon manquant",IF(N(B1041)=0,"Date de commande manquante",IF(C1041="","Fournisseur manquant",IF(ISNA(MATCH($C1041,sup_code,0)),"Fournisseur inconnu",IF(E1041="","Article manquant",IF(ISNA(MATCH($E1041,art_ref,0)),"Article inconnu",IF(N(H1041)&lt;=0,"Quantité invalide",IF(J1041="","Prix manquant",IF(OR(N(K1041)&lt;0,N(K1041)&gt;=1),"Remise invalide",IF(M1041="","TVA manquante",IF(ISNA(MATCH(M1041,p_tva,0)),"Taux de TVA inconnu",IF(COUNTIFS(po_num,A1041,po_sup,"&lt;&gt;"&amp;C1041)&gt;0,"Fournisseur différent sur ce bon",IF(COUNTIFS(po_num,A1041,po_date,"&lt;&gt;"&amp;B1041)&gt;0,"Date différente sur ce bon",IF(COUNTIF(po_num,A1041)&gt;25,"Plus de 25 lignes sur ce bon",IF(R1041="","Date de livraison manquante",IF(R1041&lt;B1041,"Livraison avant la commande",IF(AND(N(T1041)&gt;0,N(S1041)=0),"Date d'envoi manquante",IF(N(T1041)&gt;N(H1041),"Reçu plus que commandé",IF(AND(N(T1041)&gt;0,N(U1041)=0),"Date de réception manquante",IF(AND(N(U1041)&gt;0,U1041&lt;B1041),"Réception avant la commande","OK")))))))))))))))))))))</f>
        <v/>
      </c>
      <c r="AA1041" s="66" t="str">
        <f>IF(AND(X1041="Reçu",ISNUMBER(R1041)),IF(N(U1041)&lt;=R1041,1,0),"")</f>
        <v/>
      </c>
      <c r="AB1041" s="76" t="str">
        <f>IF(OR(X1041="Envoyé",X1041="Partiel",X1041="En retard"),IF(ISNUMBER(R1041),R1041,100000)+ROW()/100000,"")</f>
        <v/>
      </c>
      <c r="AC1041" s="66" t="str">
        <f>IF(A1041="","",IF(COUNTIF($A$6:A1041,A1041)=1,1,""))</f>
        <v/>
      </c>
      <c r="AD1041" s="66" t="str">
        <f>IF(AC1041=1,COUNT($AC$6:AC1041),"")</f>
        <v/>
      </c>
      <c r="AE1041" s="66" t="str">
        <f>IFERROR(INDEX(po_num,MATCH(1036,po_seq,0))&amp;"","")</f>
        <v/>
      </c>
      <c r="AF1041" s="66" t="str">
        <f>IF(OR(A1041="",p_po=""),"",IF(A1041&amp;""=p_po,COUNTIF($A$6:A1041,A1041),""))</f>
        <v/>
      </c>
      <c r="AG1041" s="66" t="str">
        <f>IF(OR(AB1041="",A1041=""),"",IF(COUNTIFS($A$6:A1041,A1041,$AB$6:AB1041,"&gt;0")=1,1,""))</f>
        <v/>
      </c>
      <c r="AH1041" s="70" t="str">
        <f>IF(AB1041="","",ROUND(N(W1041)*N(J1041)*(1-N(K1041)),2))</f>
        <v/>
      </c>
      <c r="AI1041" s="70" t="str">
        <f>IF(OR(J1041="",N(T1041)&lt;=0,V1041="Oui"),"",ROUND(N(T1041)*J1041*(1-N(K1041)),2))</f>
        <v/>
      </c>
    </row>
    <row r="1042">
      <c r="A1042" s="63" t="n"/>
      <c r="B1042" s="64" t="n"/>
      <c r="C1042" s="65" t="n"/>
      <c r="D1042" s="66" t="str">
        <f>IF(C1042="","",IFERROR(INDEX(sup_name,MATCH($C1042,sup_code,0))&amp;"","Fournisseur inconnu"))</f>
        <v/>
      </c>
      <c r="E1042" s="63" t="n"/>
      <c r="F1042" s="66" t="str">
        <f>IF(E1042="","",IFERROR(INDEX(art_des,MATCH($E1042,art_ref,0))&amp;"","Article inconnu"))</f>
        <v/>
      </c>
      <c r="G1042" s="67" t="str">
        <f>IF(E1042="","",IFERROR(INDEX(art_unit,MATCH($E1042,art_ref,0))&amp;"",""))</f>
        <v/>
      </c>
      <c r="H1042" s="68" t="n"/>
      <c r="I1042" s="69" t="n"/>
      <c r="J1042" s="70" t="str">
        <f>IF(E1042="","",IF(ISNUMBER(I1042),I1042,IFERROR(IF(ISNUMBER(INDEX(art_price,MATCH($E1042,art_ref,0))),INDEX(art_price,MATCH($E1042,art_ref,0)),""),"")))</f>
        <v/>
      </c>
      <c r="K1042" s="71" t="n"/>
      <c r="L1042" s="72" t="n"/>
      <c r="M1042" s="72" t="str">
        <f>IF(E1042="","",IF(L1042&lt;&gt;"",L1042,IFERROR(IF(ISNUMBER(INDEX(art_tva,MATCH($E1042,art_ref,0))),INDEX(art_tva,MATCH($E1042,art_ref,0)),""),"")))</f>
        <v/>
      </c>
      <c r="N1042" s="70" t="str">
        <f>IF(OR(E1042="",J1042=""),"",ROUND(N(H1042)*J1042*(1-N(K1042)),2))</f>
        <v/>
      </c>
      <c r="O1042" s="70" t="str">
        <f>IF(OR(N1042="",NOT(ISNUMBER(M1042))),"",ROUND(N1042*M1042,2))</f>
        <v/>
      </c>
      <c r="P1042" s="70" t="str">
        <f>IF(N1042="","",N1042+N(O1042))</f>
        <v/>
      </c>
      <c r="Q1042" s="64" t="n"/>
      <c r="R1042" s="73" t="str">
        <f>IF(N(Q1042)&gt;0,Q1042,IF(OR(N(B1042)=0,ISNA(MATCH($C1042,sup_code,0))),"",IF(ISNUMBER(INDEX(sup_delay,MATCH($C1042,sup_code,0))),B1042+INDEX(sup_delay,MATCH($C1042,sup_code,0)),"")))</f>
        <v/>
      </c>
      <c r="S1042" s="64" t="n"/>
      <c r="T1042" s="68" t="n"/>
      <c r="U1042" s="64" t="n"/>
      <c r="V1042" s="65" t="n"/>
      <c r="W1042" s="74" t="str">
        <f>IF(AND(A1042="",E1042=""),"",IF(V1042="Oui",0,MAX(0,ROUND(N(H1042)-N(T1042),6))))</f>
        <v/>
      </c>
      <c r="X1042" s="67" t="str">
        <f>IF(AND(A1042="",E1042=""),"",IF(V1042="Oui","Annulé",IF(AND(N(H1042)&gt;0,N(T1042)&gt;=N(H1042)),"Reçu",IF(N(S1042)=0,"Brouillon",IF(AND(ISNUMBER(R1042),R1042&lt;p_today),"En retard",IF(N(T1042)&gt;0,"Partiel","Envoyé"))))))</f>
        <v/>
      </c>
      <c r="Y1042" s="75" t="str">
        <f>IF(X1042="En retard",p_today-R1042,IF(AND(X1042="Reçu",ISNUMBER(R1042)),MAX(0,N(U1042)-R1042),""))</f>
        <v/>
      </c>
      <c r="Z1042" s="67" t="str">
        <f>IF(AND(A1042="",E1042=""),"",IF(A1042="","N° de bon manquant",IF(N(B1042)=0,"Date de commande manquante",IF(C1042="","Fournisseur manquant",IF(ISNA(MATCH($C1042,sup_code,0)),"Fournisseur inconnu",IF(E1042="","Article manquant",IF(ISNA(MATCH($E1042,art_ref,0)),"Article inconnu",IF(N(H1042)&lt;=0,"Quantité invalide",IF(J1042="","Prix manquant",IF(OR(N(K1042)&lt;0,N(K1042)&gt;=1),"Remise invalide",IF(M1042="","TVA manquante",IF(ISNA(MATCH(M1042,p_tva,0)),"Taux de TVA inconnu",IF(COUNTIFS(po_num,A1042,po_sup,"&lt;&gt;"&amp;C1042)&gt;0,"Fournisseur différent sur ce bon",IF(COUNTIFS(po_num,A1042,po_date,"&lt;&gt;"&amp;B1042)&gt;0,"Date différente sur ce bon",IF(COUNTIF(po_num,A1042)&gt;25,"Plus de 25 lignes sur ce bon",IF(R1042="","Date de livraison manquante",IF(R1042&lt;B1042,"Livraison avant la commande",IF(AND(N(T1042)&gt;0,N(S1042)=0),"Date d'envoi manquante",IF(N(T1042)&gt;N(H1042),"Reçu plus que commandé",IF(AND(N(T1042)&gt;0,N(U1042)=0),"Date de réception manquante",IF(AND(N(U1042)&gt;0,U1042&lt;B1042),"Réception avant la commande","OK")))))))))))))))))))))</f>
        <v/>
      </c>
      <c r="AA1042" s="66" t="str">
        <f>IF(AND(X1042="Reçu",ISNUMBER(R1042)),IF(N(U1042)&lt;=R1042,1,0),"")</f>
        <v/>
      </c>
      <c r="AB1042" s="76" t="str">
        <f>IF(OR(X1042="Envoyé",X1042="Partiel",X1042="En retard"),IF(ISNUMBER(R1042),R1042,100000)+ROW()/100000,"")</f>
        <v/>
      </c>
      <c r="AC1042" s="66" t="str">
        <f>IF(A1042="","",IF(COUNTIF($A$6:A1042,A1042)=1,1,""))</f>
        <v/>
      </c>
      <c r="AD1042" s="66" t="str">
        <f>IF(AC1042=1,COUNT($AC$6:AC1042),"")</f>
        <v/>
      </c>
      <c r="AE1042" s="66" t="str">
        <f>IFERROR(INDEX(po_num,MATCH(1037,po_seq,0))&amp;"","")</f>
        <v/>
      </c>
      <c r="AF1042" s="66" t="str">
        <f>IF(OR(A1042="",p_po=""),"",IF(A1042&amp;""=p_po,COUNTIF($A$6:A1042,A1042),""))</f>
        <v/>
      </c>
      <c r="AG1042" s="66" t="str">
        <f>IF(OR(AB1042="",A1042=""),"",IF(COUNTIFS($A$6:A1042,A1042,$AB$6:AB1042,"&gt;0")=1,1,""))</f>
        <v/>
      </c>
      <c r="AH1042" s="70" t="str">
        <f>IF(AB1042="","",ROUND(N(W1042)*N(J1042)*(1-N(K1042)),2))</f>
        <v/>
      </c>
      <c r="AI1042" s="70" t="str">
        <f>IF(OR(J1042="",N(T1042)&lt;=0,V1042="Oui"),"",ROUND(N(T1042)*J1042*(1-N(K1042)),2))</f>
        <v/>
      </c>
    </row>
    <row r="1043">
      <c r="A1043" s="63" t="n"/>
      <c r="B1043" s="64" t="n"/>
      <c r="C1043" s="65" t="n"/>
      <c r="D1043" s="66" t="str">
        <f>IF(C1043="","",IFERROR(INDEX(sup_name,MATCH($C1043,sup_code,0))&amp;"","Fournisseur inconnu"))</f>
        <v/>
      </c>
      <c r="E1043" s="63" t="n"/>
      <c r="F1043" s="66" t="str">
        <f>IF(E1043="","",IFERROR(INDEX(art_des,MATCH($E1043,art_ref,0))&amp;"","Article inconnu"))</f>
        <v/>
      </c>
      <c r="G1043" s="67" t="str">
        <f>IF(E1043="","",IFERROR(INDEX(art_unit,MATCH($E1043,art_ref,0))&amp;"",""))</f>
        <v/>
      </c>
      <c r="H1043" s="68" t="n"/>
      <c r="I1043" s="69" t="n"/>
      <c r="J1043" s="70" t="str">
        <f>IF(E1043="","",IF(ISNUMBER(I1043),I1043,IFERROR(IF(ISNUMBER(INDEX(art_price,MATCH($E1043,art_ref,0))),INDEX(art_price,MATCH($E1043,art_ref,0)),""),"")))</f>
        <v/>
      </c>
      <c r="K1043" s="71" t="n"/>
      <c r="L1043" s="72" t="n"/>
      <c r="M1043" s="72" t="str">
        <f>IF(E1043="","",IF(L1043&lt;&gt;"",L1043,IFERROR(IF(ISNUMBER(INDEX(art_tva,MATCH($E1043,art_ref,0))),INDEX(art_tva,MATCH($E1043,art_ref,0)),""),"")))</f>
        <v/>
      </c>
      <c r="N1043" s="70" t="str">
        <f>IF(OR(E1043="",J1043=""),"",ROUND(N(H1043)*J1043*(1-N(K1043)),2))</f>
        <v/>
      </c>
      <c r="O1043" s="70" t="str">
        <f>IF(OR(N1043="",NOT(ISNUMBER(M1043))),"",ROUND(N1043*M1043,2))</f>
        <v/>
      </c>
      <c r="P1043" s="70" t="str">
        <f>IF(N1043="","",N1043+N(O1043))</f>
        <v/>
      </c>
      <c r="Q1043" s="64" t="n"/>
      <c r="R1043" s="73" t="str">
        <f>IF(N(Q1043)&gt;0,Q1043,IF(OR(N(B1043)=0,ISNA(MATCH($C1043,sup_code,0))),"",IF(ISNUMBER(INDEX(sup_delay,MATCH($C1043,sup_code,0))),B1043+INDEX(sup_delay,MATCH($C1043,sup_code,0)),"")))</f>
        <v/>
      </c>
      <c r="S1043" s="64" t="n"/>
      <c r="T1043" s="68" t="n"/>
      <c r="U1043" s="64" t="n"/>
      <c r="V1043" s="65" t="n"/>
      <c r="W1043" s="74" t="str">
        <f>IF(AND(A1043="",E1043=""),"",IF(V1043="Oui",0,MAX(0,ROUND(N(H1043)-N(T1043),6))))</f>
        <v/>
      </c>
      <c r="X1043" s="67" t="str">
        <f>IF(AND(A1043="",E1043=""),"",IF(V1043="Oui","Annulé",IF(AND(N(H1043)&gt;0,N(T1043)&gt;=N(H1043)),"Reçu",IF(N(S1043)=0,"Brouillon",IF(AND(ISNUMBER(R1043),R1043&lt;p_today),"En retard",IF(N(T1043)&gt;0,"Partiel","Envoyé"))))))</f>
        <v/>
      </c>
      <c r="Y1043" s="75" t="str">
        <f>IF(X1043="En retard",p_today-R1043,IF(AND(X1043="Reçu",ISNUMBER(R1043)),MAX(0,N(U1043)-R1043),""))</f>
        <v/>
      </c>
      <c r="Z1043" s="67" t="str">
        <f>IF(AND(A1043="",E1043=""),"",IF(A1043="","N° de bon manquant",IF(N(B1043)=0,"Date de commande manquante",IF(C1043="","Fournisseur manquant",IF(ISNA(MATCH($C1043,sup_code,0)),"Fournisseur inconnu",IF(E1043="","Article manquant",IF(ISNA(MATCH($E1043,art_ref,0)),"Article inconnu",IF(N(H1043)&lt;=0,"Quantité invalide",IF(J1043="","Prix manquant",IF(OR(N(K1043)&lt;0,N(K1043)&gt;=1),"Remise invalide",IF(M1043="","TVA manquante",IF(ISNA(MATCH(M1043,p_tva,0)),"Taux de TVA inconnu",IF(COUNTIFS(po_num,A1043,po_sup,"&lt;&gt;"&amp;C1043)&gt;0,"Fournisseur différent sur ce bon",IF(COUNTIFS(po_num,A1043,po_date,"&lt;&gt;"&amp;B1043)&gt;0,"Date différente sur ce bon",IF(COUNTIF(po_num,A1043)&gt;25,"Plus de 25 lignes sur ce bon",IF(R1043="","Date de livraison manquante",IF(R1043&lt;B1043,"Livraison avant la commande",IF(AND(N(T1043)&gt;0,N(S1043)=0),"Date d'envoi manquante",IF(N(T1043)&gt;N(H1043),"Reçu plus que commandé",IF(AND(N(T1043)&gt;0,N(U1043)=0),"Date de réception manquante",IF(AND(N(U1043)&gt;0,U1043&lt;B1043),"Réception avant la commande","OK")))))))))))))))))))))</f>
        <v/>
      </c>
      <c r="AA1043" s="66" t="str">
        <f>IF(AND(X1043="Reçu",ISNUMBER(R1043)),IF(N(U1043)&lt;=R1043,1,0),"")</f>
        <v/>
      </c>
      <c r="AB1043" s="76" t="str">
        <f>IF(OR(X1043="Envoyé",X1043="Partiel",X1043="En retard"),IF(ISNUMBER(R1043),R1043,100000)+ROW()/100000,"")</f>
        <v/>
      </c>
      <c r="AC1043" s="66" t="str">
        <f>IF(A1043="","",IF(COUNTIF($A$6:A1043,A1043)=1,1,""))</f>
        <v/>
      </c>
      <c r="AD1043" s="66" t="str">
        <f>IF(AC1043=1,COUNT($AC$6:AC1043),"")</f>
        <v/>
      </c>
      <c r="AE1043" s="66" t="str">
        <f>IFERROR(INDEX(po_num,MATCH(1038,po_seq,0))&amp;"","")</f>
        <v/>
      </c>
      <c r="AF1043" s="66" t="str">
        <f>IF(OR(A1043="",p_po=""),"",IF(A1043&amp;""=p_po,COUNTIF($A$6:A1043,A1043),""))</f>
        <v/>
      </c>
      <c r="AG1043" s="66" t="str">
        <f>IF(OR(AB1043="",A1043=""),"",IF(COUNTIFS($A$6:A1043,A1043,$AB$6:AB1043,"&gt;0")=1,1,""))</f>
        <v/>
      </c>
      <c r="AH1043" s="70" t="str">
        <f>IF(AB1043="","",ROUND(N(W1043)*N(J1043)*(1-N(K1043)),2))</f>
        <v/>
      </c>
      <c r="AI1043" s="70" t="str">
        <f>IF(OR(J1043="",N(T1043)&lt;=0,V1043="Oui"),"",ROUND(N(T1043)*J1043*(1-N(K1043)),2))</f>
        <v/>
      </c>
    </row>
    <row r="1044">
      <c r="A1044" s="63" t="n"/>
      <c r="B1044" s="64" t="n"/>
      <c r="C1044" s="65" t="n"/>
      <c r="D1044" s="66" t="str">
        <f>IF(C1044="","",IFERROR(INDEX(sup_name,MATCH($C1044,sup_code,0))&amp;"","Fournisseur inconnu"))</f>
        <v/>
      </c>
      <c r="E1044" s="63" t="n"/>
      <c r="F1044" s="66" t="str">
        <f>IF(E1044="","",IFERROR(INDEX(art_des,MATCH($E1044,art_ref,0))&amp;"","Article inconnu"))</f>
        <v/>
      </c>
      <c r="G1044" s="67" t="str">
        <f>IF(E1044="","",IFERROR(INDEX(art_unit,MATCH($E1044,art_ref,0))&amp;"",""))</f>
        <v/>
      </c>
      <c r="H1044" s="68" t="n"/>
      <c r="I1044" s="69" t="n"/>
      <c r="J1044" s="70" t="str">
        <f>IF(E1044="","",IF(ISNUMBER(I1044),I1044,IFERROR(IF(ISNUMBER(INDEX(art_price,MATCH($E1044,art_ref,0))),INDEX(art_price,MATCH($E1044,art_ref,0)),""),"")))</f>
        <v/>
      </c>
      <c r="K1044" s="71" t="n"/>
      <c r="L1044" s="72" t="n"/>
      <c r="M1044" s="72" t="str">
        <f>IF(E1044="","",IF(L1044&lt;&gt;"",L1044,IFERROR(IF(ISNUMBER(INDEX(art_tva,MATCH($E1044,art_ref,0))),INDEX(art_tva,MATCH($E1044,art_ref,0)),""),"")))</f>
        <v/>
      </c>
      <c r="N1044" s="70" t="str">
        <f>IF(OR(E1044="",J1044=""),"",ROUND(N(H1044)*J1044*(1-N(K1044)),2))</f>
        <v/>
      </c>
      <c r="O1044" s="70" t="str">
        <f>IF(OR(N1044="",NOT(ISNUMBER(M1044))),"",ROUND(N1044*M1044,2))</f>
        <v/>
      </c>
      <c r="P1044" s="70" t="str">
        <f>IF(N1044="","",N1044+N(O1044))</f>
        <v/>
      </c>
      <c r="Q1044" s="64" t="n"/>
      <c r="R1044" s="73" t="str">
        <f>IF(N(Q1044)&gt;0,Q1044,IF(OR(N(B1044)=0,ISNA(MATCH($C1044,sup_code,0))),"",IF(ISNUMBER(INDEX(sup_delay,MATCH($C1044,sup_code,0))),B1044+INDEX(sup_delay,MATCH($C1044,sup_code,0)),"")))</f>
        <v/>
      </c>
      <c r="S1044" s="64" t="n"/>
      <c r="T1044" s="68" t="n"/>
      <c r="U1044" s="64" t="n"/>
      <c r="V1044" s="65" t="n"/>
      <c r="W1044" s="74" t="str">
        <f>IF(AND(A1044="",E1044=""),"",IF(V1044="Oui",0,MAX(0,ROUND(N(H1044)-N(T1044),6))))</f>
        <v/>
      </c>
      <c r="X1044" s="67" t="str">
        <f>IF(AND(A1044="",E1044=""),"",IF(V1044="Oui","Annulé",IF(AND(N(H1044)&gt;0,N(T1044)&gt;=N(H1044)),"Reçu",IF(N(S1044)=0,"Brouillon",IF(AND(ISNUMBER(R1044),R1044&lt;p_today),"En retard",IF(N(T1044)&gt;0,"Partiel","Envoyé"))))))</f>
        <v/>
      </c>
      <c r="Y1044" s="75" t="str">
        <f>IF(X1044="En retard",p_today-R1044,IF(AND(X1044="Reçu",ISNUMBER(R1044)),MAX(0,N(U1044)-R1044),""))</f>
        <v/>
      </c>
      <c r="Z1044" s="67" t="str">
        <f>IF(AND(A1044="",E1044=""),"",IF(A1044="","N° de bon manquant",IF(N(B1044)=0,"Date de commande manquante",IF(C1044="","Fournisseur manquant",IF(ISNA(MATCH($C1044,sup_code,0)),"Fournisseur inconnu",IF(E1044="","Article manquant",IF(ISNA(MATCH($E1044,art_ref,0)),"Article inconnu",IF(N(H1044)&lt;=0,"Quantité invalide",IF(J1044="","Prix manquant",IF(OR(N(K1044)&lt;0,N(K1044)&gt;=1),"Remise invalide",IF(M1044="","TVA manquante",IF(ISNA(MATCH(M1044,p_tva,0)),"Taux de TVA inconnu",IF(COUNTIFS(po_num,A1044,po_sup,"&lt;&gt;"&amp;C1044)&gt;0,"Fournisseur différent sur ce bon",IF(COUNTIFS(po_num,A1044,po_date,"&lt;&gt;"&amp;B1044)&gt;0,"Date différente sur ce bon",IF(COUNTIF(po_num,A1044)&gt;25,"Plus de 25 lignes sur ce bon",IF(R1044="","Date de livraison manquante",IF(R1044&lt;B1044,"Livraison avant la commande",IF(AND(N(T1044)&gt;0,N(S1044)=0),"Date d'envoi manquante",IF(N(T1044)&gt;N(H1044),"Reçu plus que commandé",IF(AND(N(T1044)&gt;0,N(U1044)=0),"Date de réception manquante",IF(AND(N(U1044)&gt;0,U1044&lt;B1044),"Réception avant la commande","OK")))))))))))))))))))))</f>
        <v/>
      </c>
      <c r="AA1044" s="66" t="str">
        <f>IF(AND(X1044="Reçu",ISNUMBER(R1044)),IF(N(U1044)&lt;=R1044,1,0),"")</f>
        <v/>
      </c>
      <c r="AB1044" s="76" t="str">
        <f>IF(OR(X1044="Envoyé",X1044="Partiel",X1044="En retard"),IF(ISNUMBER(R1044),R1044,100000)+ROW()/100000,"")</f>
        <v/>
      </c>
      <c r="AC1044" s="66" t="str">
        <f>IF(A1044="","",IF(COUNTIF($A$6:A1044,A1044)=1,1,""))</f>
        <v/>
      </c>
      <c r="AD1044" s="66" t="str">
        <f>IF(AC1044=1,COUNT($AC$6:AC1044),"")</f>
        <v/>
      </c>
      <c r="AE1044" s="66" t="str">
        <f>IFERROR(INDEX(po_num,MATCH(1039,po_seq,0))&amp;"","")</f>
        <v/>
      </c>
      <c r="AF1044" s="66" t="str">
        <f>IF(OR(A1044="",p_po=""),"",IF(A1044&amp;""=p_po,COUNTIF($A$6:A1044,A1044),""))</f>
        <v/>
      </c>
      <c r="AG1044" s="66" t="str">
        <f>IF(OR(AB1044="",A1044=""),"",IF(COUNTIFS($A$6:A1044,A1044,$AB$6:AB1044,"&gt;0")=1,1,""))</f>
        <v/>
      </c>
      <c r="AH1044" s="70" t="str">
        <f>IF(AB1044="","",ROUND(N(W1044)*N(J1044)*(1-N(K1044)),2))</f>
        <v/>
      </c>
      <c r="AI1044" s="70" t="str">
        <f>IF(OR(J1044="",N(T1044)&lt;=0,V1044="Oui"),"",ROUND(N(T1044)*J1044*(1-N(K1044)),2))</f>
        <v/>
      </c>
    </row>
    <row r="1045">
      <c r="A1045" s="63" t="n"/>
      <c r="B1045" s="64" t="n"/>
      <c r="C1045" s="65" t="n"/>
      <c r="D1045" s="66" t="str">
        <f>IF(C1045="","",IFERROR(INDEX(sup_name,MATCH($C1045,sup_code,0))&amp;"","Fournisseur inconnu"))</f>
        <v/>
      </c>
      <c r="E1045" s="63" t="n"/>
      <c r="F1045" s="66" t="str">
        <f>IF(E1045="","",IFERROR(INDEX(art_des,MATCH($E1045,art_ref,0))&amp;"","Article inconnu"))</f>
        <v/>
      </c>
      <c r="G1045" s="67" t="str">
        <f>IF(E1045="","",IFERROR(INDEX(art_unit,MATCH($E1045,art_ref,0))&amp;"",""))</f>
        <v/>
      </c>
      <c r="H1045" s="68" t="n"/>
      <c r="I1045" s="69" t="n"/>
      <c r="J1045" s="70" t="str">
        <f>IF(E1045="","",IF(ISNUMBER(I1045),I1045,IFERROR(IF(ISNUMBER(INDEX(art_price,MATCH($E1045,art_ref,0))),INDEX(art_price,MATCH($E1045,art_ref,0)),""),"")))</f>
        <v/>
      </c>
      <c r="K1045" s="71" t="n"/>
      <c r="L1045" s="72" t="n"/>
      <c r="M1045" s="72" t="str">
        <f>IF(E1045="","",IF(L1045&lt;&gt;"",L1045,IFERROR(IF(ISNUMBER(INDEX(art_tva,MATCH($E1045,art_ref,0))),INDEX(art_tva,MATCH($E1045,art_ref,0)),""),"")))</f>
        <v/>
      </c>
      <c r="N1045" s="70" t="str">
        <f>IF(OR(E1045="",J1045=""),"",ROUND(N(H1045)*J1045*(1-N(K1045)),2))</f>
        <v/>
      </c>
      <c r="O1045" s="70" t="str">
        <f>IF(OR(N1045="",NOT(ISNUMBER(M1045))),"",ROUND(N1045*M1045,2))</f>
        <v/>
      </c>
      <c r="P1045" s="70" t="str">
        <f>IF(N1045="","",N1045+N(O1045))</f>
        <v/>
      </c>
      <c r="Q1045" s="64" t="n"/>
      <c r="R1045" s="73" t="str">
        <f>IF(N(Q1045)&gt;0,Q1045,IF(OR(N(B1045)=0,ISNA(MATCH($C1045,sup_code,0))),"",IF(ISNUMBER(INDEX(sup_delay,MATCH($C1045,sup_code,0))),B1045+INDEX(sup_delay,MATCH($C1045,sup_code,0)),"")))</f>
        <v/>
      </c>
      <c r="S1045" s="64" t="n"/>
      <c r="T1045" s="68" t="n"/>
      <c r="U1045" s="64" t="n"/>
      <c r="V1045" s="65" t="n"/>
      <c r="W1045" s="74" t="str">
        <f>IF(AND(A1045="",E1045=""),"",IF(V1045="Oui",0,MAX(0,ROUND(N(H1045)-N(T1045),6))))</f>
        <v/>
      </c>
      <c r="X1045" s="67" t="str">
        <f>IF(AND(A1045="",E1045=""),"",IF(V1045="Oui","Annulé",IF(AND(N(H1045)&gt;0,N(T1045)&gt;=N(H1045)),"Reçu",IF(N(S1045)=0,"Brouillon",IF(AND(ISNUMBER(R1045),R1045&lt;p_today),"En retard",IF(N(T1045)&gt;0,"Partiel","Envoyé"))))))</f>
        <v/>
      </c>
      <c r="Y1045" s="75" t="str">
        <f>IF(X1045="En retard",p_today-R1045,IF(AND(X1045="Reçu",ISNUMBER(R1045)),MAX(0,N(U1045)-R1045),""))</f>
        <v/>
      </c>
      <c r="Z1045" s="67" t="str">
        <f>IF(AND(A1045="",E1045=""),"",IF(A1045="","N° de bon manquant",IF(N(B1045)=0,"Date de commande manquante",IF(C1045="","Fournisseur manquant",IF(ISNA(MATCH($C1045,sup_code,0)),"Fournisseur inconnu",IF(E1045="","Article manquant",IF(ISNA(MATCH($E1045,art_ref,0)),"Article inconnu",IF(N(H1045)&lt;=0,"Quantité invalide",IF(J1045="","Prix manquant",IF(OR(N(K1045)&lt;0,N(K1045)&gt;=1),"Remise invalide",IF(M1045="","TVA manquante",IF(ISNA(MATCH(M1045,p_tva,0)),"Taux de TVA inconnu",IF(COUNTIFS(po_num,A1045,po_sup,"&lt;&gt;"&amp;C1045)&gt;0,"Fournisseur différent sur ce bon",IF(COUNTIFS(po_num,A1045,po_date,"&lt;&gt;"&amp;B1045)&gt;0,"Date différente sur ce bon",IF(COUNTIF(po_num,A1045)&gt;25,"Plus de 25 lignes sur ce bon",IF(R1045="","Date de livraison manquante",IF(R1045&lt;B1045,"Livraison avant la commande",IF(AND(N(T1045)&gt;0,N(S1045)=0),"Date d'envoi manquante",IF(N(T1045)&gt;N(H1045),"Reçu plus que commandé",IF(AND(N(T1045)&gt;0,N(U1045)=0),"Date de réception manquante",IF(AND(N(U1045)&gt;0,U1045&lt;B1045),"Réception avant la commande","OK")))))))))))))))))))))</f>
        <v/>
      </c>
      <c r="AA1045" s="66" t="str">
        <f>IF(AND(X1045="Reçu",ISNUMBER(R1045)),IF(N(U1045)&lt;=R1045,1,0),"")</f>
        <v/>
      </c>
      <c r="AB1045" s="76" t="str">
        <f>IF(OR(X1045="Envoyé",X1045="Partiel",X1045="En retard"),IF(ISNUMBER(R1045),R1045,100000)+ROW()/100000,"")</f>
        <v/>
      </c>
      <c r="AC1045" s="66" t="str">
        <f>IF(A1045="","",IF(COUNTIF($A$6:A1045,A1045)=1,1,""))</f>
        <v/>
      </c>
      <c r="AD1045" s="66" t="str">
        <f>IF(AC1045=1,COUNT($AC$6:AC1045),"")</f>
        <v/>
      </c>
      <c r="AE1045" s="66" t="str">
        <f>IFERROR(INDEX(po_num,MATCH(1040,po_seq,0))&amp;"","")</f>
        <v/>
      </c>
      <c r="AF1045" s="66" t="str">
        <f>IF(OR(A1045="",p_po=""),"",IF(A1045&amp;""=p_po,COUNTIF($A$6:A1045,A1045),""))</f>
        <v/>
      </c>
      <c r="AG1045" s="66" t="str">
        <f>IF(OR(AB1045="",A1045=""),"",IF(COUNTIFS($A$6:A1045,A1045,$AB$6:AB1045,"&gt;0")=1,1,""))</f>
        <v/>
      </c>
      <c r="AH1045" s="70" t="str">
        <f>IF(AB1045="","",ROUND(N(W1045)*N(J1045)*(1-N(K1045)),2))</f>
        <v/>
      </c>
      <c r="AI1045" s="70" t="str">
        <f>IF(OR(J1045="",N(T1045)&lt;=0,V1045="Oui"),"",ROUND(N(T1045)*J1045*(1-N(K1045)),2))</f>
        <v/>
      </c>
    </row>
    <row r="1046">
      <c r="A1046" s="63" t="n"/>
      <c r="B1046" s="64" t="n"/>
      <c r="C1046" s="65" t="n"/>
      <c r="D1046" s="66" t="str">
        <f>IF(C1046="","",IFERROR(INDEX(sup_name,MATCH($C1046,sup_code,0))&amp;"","Fournisseur inconnu"))</f>
        <v/>
      </c>
      <c r="E1046" s="63" t="n"/>
      <c r="F1046" s="66" t="str">
        <f>IF(E1046="","",IFERROR(INDEX(art_des,MATCH($E1046,art_ref,0))&amp;"","Article inconnu"))</f>
        <v/>
      </c>
      <c r="G1046" s="67" t="str">
        <f>IF(E1046="","",IFERROR(INDEX(art_unit,MATCH($E1046,art_ref,0))&amp;"",""))</f>
        <v/>
      </c>
      <c r="H1046" s="68" t="n"/>
      <c r="I1046" s="69" t="n"/>
      <c r="J1046" s="70" t="str">
        <f>IF(E1046="","",IF(ISNUMBER(I1046),I1046,IFERROR(IF(ISNUMBER(INDEX(art_price,MATCH($E1046,art_ref,0))),INDEX(art_price,MATCH($E1046,art_ref,0)),""),"")))</f>
        <v/>
      </c>
      <c r="K1046" s="71" t="n"/>
      <c r="L1046" s="72" t="n"/>
      <c r="M1046" s="72" t="str">
        <f>IF(E1046="","",IF(L1046&lt;&gt;"",L1046,IFERROR(IF(ISNUMBER(INDEX(art_tva,MATCH($E1046,art_ref,0))),INDEX(art_tva,MATCH($E1046,art_ref,0)),""),"")))</f>
        <v/>
      </c>
      <c r="N1046" s="70" t="str">
        <f>IF(OR(E1046="",J1046=""),"",ROUND(N(H1046)*J1046*(1-N(K1046)),2))</f>
        <v/>
      </c>
      <c r="O1046" s="70" t="str">
        <f>IF(OR(N1046="",NOT(ISNUMBER(M1046))),"",ROUND(N1046*M1046,2))</f>
        <v/>
      </c>
      <c r="P1046" s="70" t="str">
        <f>IF(N1046="","",N1046+N(O1046))</f>
        <v/>
      </c>
      <c r="Q1046" s="64" t="n"/>
      <c r="R1046" s="73" t="str">
        <f>IF(N(Q1046)&gt;0,Q1046,IF(OR(N(B1046)=0,ISNA(MATCH($C1046,sup_code,0))),"",IF(ISNUMBER(INDEX(sup_delay,MATCH($C1046,sup_code,0))),B1046+INDEX(sup_delay,MATCH($C1046,sup_code,0)),"")))</f>
        <v/>
      </c>
      <c r="S1046" s="64" t="n"/>
      <c r="T1046" s="68" t="n"/>
      <c r="U1046" s="64" t="n"/>
      <c r="V1046" s="65" t="n"/>
      <c r="W1046" s="74" t="str">
        <f>IF(AND(A1046="",E1046=""),"",IF(V1046="Oui",0,MAX(0,ROUND(N(H1046)-N(T1046),6))))</f>
        <v/>
      </c>
      <c r="X1046" s="67" t="str">
        <f>IF(AND(A1046="",E1046=""),"",IF(V1046="Oui","Annulé",IF(AND(N(H1046)&gt;0,N(T1046)&gt;=N(H1046)),"Reçu",IF(N(S1046)=0,"Brouillon",IF(AND(ISNUMBER(R1046),R1046&lt;p_today),"En retard",IF(N(T1046)&gt;0,"Partiel","Envoyé"))))))</f>
        <v/>
      </c>
      <c r="Y1046" s="75" t="str">
        <f>IF(X1046="En retard",p_today-R1046,IF(AND(X1046="Reçu",ISNUMBER(R1046)),MAX(0,N(U1046)-R1046),""))</f>
        <v/>
      </c>
      <c r="Z1046" s="67" t="str">
        <f>IF(AND(A1046="",E1046=""),"",IF(A1046="","N° de bon manquant",IF(N(B1046)=0,"Date de commande manquante",IF(C1046="","Fournisseur manquant",IF(ISNA(MATCH($C1046,sup_code,0)),"Fournisseur inconnu",IF(E1046="","Article manquant",IF(ISNA(MATCH($E1046,art_ref,0)),"Article inconnu",IF(N(H1046)&lt;=0,"Quantité invalide",IF(J1046="","Prix manquant",IF(OR(N(K1046)&lt;0,N(K1046)&gt;=1),"Remise invalide",IF(M1046="","TVA manquante",IF(ISNA(MATCH(M1046,p_tva,0)),"Taux de TVA inconnu",IF(COUNTIFS(po_num,A1046,po_sup,"&lt;&gt;"&amp;C1046)&gt;0,"Fournisseur différent sur ce bon",IF(COUNTIFS(po_num,A1046,po_date,"&lt;&gt;"&amp;B1046)&gt;0,"Date différente sur ce bon",IF(COUNTIF(po_num,A1046)&gt;25,"Plus de 25 lignes sur ce bon",IF(R1046="","Date de livraison manquante",IF(R1046&lt;B1046,"Livraison avant la commande",IF(AND(N(T1046)&gt;0,N(S1046)=0),"Date d'envoi manquante",IF(N(T1046)&gt;N(H1046),"Reçu plus que commandé",IF(AND(N(T1046)&gt;0,N(U1046)=0),"Date de réception manquante",IF(AND(N(U1046)&gt;0,U1046&lt;B1046),"Réception avant la commande","OK")))))))))))))))))))))</f>
        <v/>
      </c>
      <c r="AA1046" s="66" t="str">
        <f>IF(AND(X1046="Reçu",ISNUMBER(R1046)),IF(N(U1046)&lt;=R1046,1,0),"")</f>
        <v/>
      </c>
      <c r="AB1046" s="76" t="str">
        <f>IF(OR(X1046="Envoyé",X1046="Partiel",X1046="En retard"),IF(ISNUMBER(R1046),R1046,100000)+ROW()/100000,"")</f>
        <v/>
      </c>
      <c r="AC1046" s="66" t="str">
        <f>IF(A1046="","",IF(COUNTIF($A$6:A1046,A1046)=1,1,""))</f>
        <v/>
      </c>
      <c r="AD1046" s="66" t="str">
        <f>IF(AC1046=1,COUNT($AC$6:AC1046),"")</f>
        <v/>
      </c>
      <c r="AE1046" s="66" t="str">
        <f>IFERROR(INDEX(po_num,MATCH(1041,po_seq,0))&amp;"","")</f>
        <v/>
      </c>
      <c r="AF1046" s="66" t="str">
        <f>IF(OR(A1046="",p_po=""),"",IF(A1046&amp;""=p_po,COUNTIF($A$6:A1046,A1046),""))</f>
        <v/>
      </c>
      <c r="AG1046" s="66" t="str">
        <f>IF(OR(AB1046="",A1046=""),"",IF(COUNTIFS($A$6:A1046,A1046,$AB$6:AB1046,"&gt;0")=1,1,""))</f>
        <v/>
      </c>
      <c r="AH1046" s="70" t="str">
        <f>IF(AB1046="","",ROUND(N(W1046)*N(J1046)*(1-N(K1046)),2))</f>
        <v/>
      </c>
      <c r="AI1046" s="70" t="str">
        <f>IF(OR(J1046="",N(T1046)&lt;=0,V1046="Oui"),"",ROUND(N(T1046)*J1046*(1-N(K1046)),2))</f>
        <v/>
      </c>
    </row>
    <row r="1047">
      <c r="A1047" s="63" t="n"/>
      <c r="B1047" s="64" t="n"/>
      <c r="C1047" s="65" t="n"/>
      <c r="D1047" s="66" t="str">
        <f>IF(C1047="","",IFERROR(INDEX(sup_name,MATCH($C1047,sup_code,0))&amp;"","Fournisseur inconnu"))</f>
        <v/>
      </c>
      <c r="E1047" s="63" t="n"/>
      <c r="F1047" s="66" t="str">
        <f>IF(E1047="","",IFERROR(INDEX(art_des,MATCH($E1047,art_ref,0))&amp;"","Article inconnu"))</f>
        <v/>
      </c>
      <c r="G1047" s="67" t="str">
        <f>IF(E1047="","",IFERROR(INDEX(art_unit,MATCH($E1047,art_ref,0))&amp;"",""))</f>
        <v/>
      </c>
      <c r="H1047" s="68" t="n"/>
      <c r="I1047" s="69" t="n"/>
      <c r="J1047" s="70" t="str">
        <f>IF(E1047="","",IF(ISNUMBER(I1047),I1047,IFERROR(IF(ISNUMBER(INDEX(art_price,MATCH($E1047,art_ref,0))),INDEX(art_price,MATCH($E1047,art_ref,0)),""),"")))</f>
        <v/>
      </c>
      <c r="K1047" s="71" t="n"/>
      <c r="L1047" s="72" t="n"/>
      <c r="M1047" s="72" t="str">
        <f>IF(E1047="","",IF(L1047&lt;&gt;"",L1047,IFERROR(IF(ISNUMBER(INDEX(art_tva,MATCH($E1047,art_ref,0))),INDEX(art_tva,MATCH($E1047,art_ref,0)),""),"")))</f>
        <v/>
      </c>
      <c r="N1047" s="70" t="str">
        <f>IF(OR(E1047="",J1047=""),"",ROUND(N(H1047)*J1047*(1-N(K1047)),2))</f>
        <v/>
      </c>
      <c r="O1047" s="70" t="str">
        <f>IF(OR(N1047="",NOT(ISNUMBER(M1047))),"",ROUND(N1047*M1047,2))</f>
        <v/>
      </c>
      <c r="P1047" s="70" t="str">
        <f>IF(N1047="","",N1047+N(O1047))</f>
        <v/>
      </c>
      <c r="Q1047" s="64" t="n"/>
      <c r="R1047" s="73" t="str">
        <f>IF(N(Q1047)&gt;0,Q1047,IF(OR(N(B1047)=0,ISNA(MATCH($C1047,sup_code,0))),"",IF(ISNUMBER(INDEX(sup_delay,MATCH($C1047,sup_code,0))),B1047+INDEX(sup_delay,MATCH($C1047,sup_code,0)),"")))</f>
        <v/>
      </c>
      <c r="S1047" s="64" t="n"/>
      <c r="T1047" s="68" t="n"/>
      <c r="U1047" s="64" t="n"/>
      <c r="V1047" s="65" t="n"/>
      <c r="W1047" s="74" t="str">
        <f>IF(AND(A1047="",E1047=""),"",IF(V1047="Oui",0,MAX(0,ROUND(N(H1047)-N(T1047),6))))</f>
        <v/>
      </c>
      <c r="X1047" s="67" t="str">
        <f>IF(AND(A1047="",E1047=""),"",IF(V1047="Oui","Annulé",IF(AND(N(H1047)&gt;0,N(T1047)&gt;=N(H1047)),"Reçu",IF(N(S1047)=0,"Brouillon",IF(AND(ISNUMBER(R1047),R1047&lt;p_today),"En retard",IF(N(T1047)&gt;0,"Partiel","Envoyé"))))))</f>
        <v/>
      </c>
      <c r="Y1047" s="75" t="str">
        <f>IF(X1047="En retard",p_today-R1047,IF(AND(X1047="Reçu",ISNUMBER(R1047)),MAX(0,N(U1047)-R1047),""))</f>
        <v/>
      </c>
      <c r="Z1047" s="67" t="str">
        <f>IF(AND(A1047="",E1047=""),"",IF(A1047="","N° de bon manquant",IF(N(B1047)=0,"Date de commande manquante",IF(C1047="","Fournisseur manquant",IF(ISNA(MATCH($C1047,sup_code,0)),"Fournisseur inconnu",IF(E1047="","Article manquant",IF(ISNA(MATCH($E1047,art_ref,0)),"Article inconnu",IF(N(H1047)&lt;=0,"Quantité invalide",IF(J1047="","Prix manquant",IF(OR(N(K1047)&lt;0,N(K1047)&gt;=1),"Remise invalide",IF(M1047="","TVA manquante",IF(ISNA(MATCH(M1047,p_tva,0)),"Taux de TVA inconnu",IF(COUNTIFS(po_num,A1047,po_sup,"&lt;&gt;"&amp;C1047)&gt;0,"Fournisseur différent sur ce bon",IF(COUNTIFS(po_num,A1047,po_date,"&lt;&gt;"&amp;B1047)&gt;0,"Date différente sur ce bon",IF(COUNTIF(po_num,A1047)&gt;25,"Plus de 25 lignes sur ce bon",IF(R1047="","Date de livraison manquante",IF(R1047&lt;B1047,"Livraison avant la commande",IF(AND(N(T1047)&gt;0,N(S1047)=0),"Date d'envoi manquante",IF(N(T1047)&gt;N(H1047),"Reçu plus que commandé",IF(AND(N(T1047)&gt;0,N(U1047)=0),"Date de réception manquante",IF(AND(N(U1047)&gt;0,U1047&lt;B1047),"Réception avant la commande","OK")))))))))))))))))))))</f>
        <v/>
      </c>
      <c r="AA1047" s="66" t="str">
        <f>IF(AND(X1047="Reçu",ISNUMBER(R1047)),IF(N(U1047)&lt;=R1047,1,0),"")</f>
        <v/>
      </c>
      <c r="AB1047" s="76" t="str">
        <f>IF(OR(X1047="Envoyé",X1047="Partiel",X1047="En retard"),IF(ISNUMBER(R1047),R1047,100000)+ROW()/100000,"")</f>
        <v/>
      </c>
      <c r="AC1047" s="66" t="str">
        <f>IF(A1047="","",IF(COUNTIF($A$6:A1047,A1047)=1,1,""))</f>
        <v/>
      </c>
      <c r="AD1047" s="66" t="str">
        <f>IF(AC1047=1,COUNT($AC$6:AC1047),"")</f>
        <v/>
      </c>
      <c r="AE1047" s="66" t="str">
        <f>IFERROR(INDEX(po_num,MATCH(1042,po_seq,0))&amp;"","")</f>
        <v/>
      </c>
      <c r="AF1047" s="66" t="str">
        <f>IF(OR(A1047="",p_po=""),"",IF(A1047&amp;""=p_po,COUNTIF($A$6:A1047,A1047),""))</f>
        <v/>
      </c>
      <c r="AG1047" s="66" t="str">
        <f>IF(OR(AB1047="",A1047=""),"",IF(COUNTIFS($A$6:A1047,A1047,$AB$6:AB1047,"&gt;0")=1,1,""))</f>
        <v/>
      </c>
      <c r="AH1047" s="70" t="str">
        <f>IF(AB1047="","",ROUND(N(W1047)*N(J1047)*(1-N(K1047)),2))</f>
        <v/>
      </c>
      <c r="AI1047" s="70" t="str">
        <f>IF(OR(J1047="",N(T1047)&lt;=0,V1047="Oui"),"",ROUND(N(T1047)*J1047*(1-N(K1047)),2))</f>
        <v/>
      </c>
    </row>
    <row r="1048">
      <c r="A1048" s="63" t="n"/>
      <c r="B1048" s="64" t="n"/>
      <c r="C1048" s="65" t="n"/>
      <c r="D1048" s="66" t="str">
        <f>IF(C1048="","",IFERROR(INDEX(sup_name,MATCH($C1048,sup_code,0))&amp;"","Fournisseur inconnu"))</f>
        <v/>
      </c>
      <c r="E1048" s="63" t="n"/>
      <c r="F1048" s="66" t="str">
        <f>IF(E1048="","",IFERROR(INDEX(art_des,MATCH($E1048,art_ref,0))&amp;"","Article inconnu"))</f>
        <v/>
      </c>
      <c r="G1048" s="67" t="str">
        <f>IF(E1048="","",IFERROR(INDEX(art_unit,MATCH($E1048,art_ref,0))&amp;"",""))</f>
        <v/>
      </c>
      <c r="H1048" s="68" t="n"/>
      <c r="I1048" s="69" t="n"/>
      <c r="J1048" s="70" t="str">
        <f>IF(E1048="","",IF(ISNUMBER(I1048),I1048,IFERROR(IF(ISNUMBER(INDEX(art_price,MATCH($E1048,art_ref,0))),INDEX(art_price,MATCH($E1048,art_ref,0)),""),"")))</f>
        <v/>
      </c>
      <c r="K1048" s="71" t="n"/>
      <c r="L1048" s="72" t="n"/>
      <c r="M1048" s="72" t="str">
        <f>IF(E1048="","",IF(L1048&lt;&gt;"",L1048,IFERROR(IF(ISNUMBER(INDEX(art_tva,MATCH($E1048,art_ref,0))),INDEX(art_tva,MATCH($E1048,art_ref,0)),""),"")))</f>
        <v/>
      </c>
      <c r="N1048" s="70" t="str">
        <f>IF(OR(E1048="",J1048=""),"",ROUND(N(H1048)*J1048*(1-N(K1048)),2))</f>
        <v/>
      </c>
      <c r="O1048" s="70" t="str">
        <f>IF(OR(N1048="",NOT(ISNUMBER(M1048))),"",ROUND(N1048*M1048,2))</f>
        <v/>
      </c>
      <c r="P1048" s="70" t="str">
        <f>IF(N1048="","",N1048+N(O1048))</f>
        <v/>
      </c>
      <c r="Q1048" s="64" t="n"/>
      <c r="R1048" s="73" t="str">
        <f>IF(N(Q1048)&gt;0,Q1048,IF(OR(N(B1048)=0,ISNA(MATCH($C1048,sup_code,0))),"",IF(ISNUMBER(INDEX(sup_delay,MATCH($C1048,sup_code,0))),B1048+INDEX(sup_delay,MATCH($C1048,sup_code,0)),"")))</f>
        <v/>
      </c>
      <c r="S1048" s="64" t="n"/>
      <c r="T1048" s="68" t="n"/>
      <c r="U1048" s="64" t="n"/>
      <c r="V1048" s="65" t="n"/>
      <c r="W1048" s="74" t="str">
        <f>IF(AND(A1048="",E1048=""),"",IF(V1048="Oui",0,MAX(0,ROUND(N(H1048)-N(T1048),6))))</f>
        <v/>
      </c>
      <c r="X1048" s="67" t="str">
        <f>IF(AND(A1048="",E1048=""),"",IF(V1048="Oui","Annulé",IF(AND(N(H1048)&gt;0,N(T1048)&gt;=N(H1048)),"Reçu",IF(N(S1048)=0,"Brouillon",IF(AND(ISNUMBER(R1048),R1048&lt;p_today),"En retard",IF(N(T1048)&gt;0,"Partiel","Envoyé"))))))</f>
        <v/>
      </c>
      <c r="Y1048" s="75" t="str">
        <f>IF(X1048="En retard",p_today-R1048,IF(AND(X1048="Reçu",ISNUMBER(R1048)),MAX(0,N(U1048)-R1048),""))</f>
        <v/>
      </c>
      <c r="Z1048" s="67" t="str">
        <f>IF(AND(A1048="",E1048=""),"",IF(A1048="","N° de bon manquant",IF(N(B1048)=0,"Date de commande manquante",IF(C1048="","Fournisseur manquant",IF(ISNA(MATCH($C1048,sup_code,0)),"Fournisseur inconnu",IF(E1048="","Article manquant",IF(ISNA(MATCH($E1048,art_ref,0)),"Article inconnu",IF(N(H1048)&lt;=0,"Quantité invalide",IF(J1048="","Prix manquant",IF(OR(N(K1048)&lt;0,N(K1048)&gt;=1),"Remise invalide",IF(M1048="","TVA manquante",IF(ISNA(MATCH(M1048,p_tva,0)),"Taux de TVA inconnu",IF(COUNTIFS(po_num,A1048,po_sup,"&lt;&gt;"&amp;C1048)&gt;0,"Fournisseur différent sur ce bon",IF(COUNTIFS(po_num,A1048,po_date,"&lt;&gt;"&amp;B1048)&gt;0,"Date différente sur ce bon",IF(COUNTIF(po_num,A1048)&gt;25,"Plus de 25 lignes sur ce bon",IF(R1048="","Date de livraison manquante",IF(R1048&lt;B1048,"Livraison avant la commande",IF(AND(N(T1048)&gt;0,N(S1048)=0),"Date d'envoi manquante",IF(N(T1048)&gt;N(H1048),"Reçu plus que commandé",IF(AND(N(T1048)&gt;0,N(U1048)=0),"Date de réception manquante",IF(AND(N(U1048)&gt;0,U1048&lt;B1048),"Réception avant la commande","OK")))))))))))))))))))))</f>
        <v/>
      </c>
      <c r="AA1048" s="66" t="str">
        <f>IF(AND(X1048="Reçu",ISNUMBER(R1048)),IF(N(U1048)&lt;=R1048,1,0),"")</f>
        <v/>
      </c>
      <c r="AB1048" s="76" t="str">
        <f>IF(OR(X1048="Envoyé",X1048="Partiel",X1048="En retard"),IF(ISNUMBER(R1048),R1048,100000)+ROW()/100000,"")</f>
        <v/>
      </c>
      <c r="AC1048" s="66" t="str">
        <f>IF(A1048="","",IF(COUNTIF($A$6:A1048,A1048)=1,1,""))</f>
        <v/>
      </c>
      <c r="AD1048" s="66" t="str">
        <f>IF(AC1048=1,COUNT($AC$6:AC1048),"")</f>
        <v/>
      </c>
      <c r="AE1048" s="66" t="str">
        <f>IFERROR(INDEX(po_num,MATCH(1043,po_seq,0))&amp;"","")</f>
        <v/>
      </c>
      <c r="AF1048" s="66" t="str">
        <f>IF(OR(A1048="",p_po=""),"",IF(A1048&amp;""=p_po,COUNTIF($A$6:A1048,A1048),""))</f>
        <v/>
      </c>
      <c r="AG1048" s="66" t="str">
        <f>IF(OR(AB1048="",A1048=""),"",IF(COUNTIFS($A$6:A1048,A1048,$AB$6:AB1048,"&gt;0")=1,1,""))</f>
        <v/>
      </c>
      <c r="AH1048" s="70" t="str">
        <f>IF(AB1048="","",ROUND(N(W1048)*N(J1048)*(1-N(K1048)),2))</f>
        <v/>
      </c>
      <c r="AI1048" s="70" t="str">
        <f>IF(OR(J1048="",N(T1048)&lt;=0,V1048="Oui"),"",ROUND(N(T1048)*J1048*(1-N(K1048)),2))</f>
        <v/>
      </c>
    </row>
    <row r="1049">
      <c r="A1049" s="63" t="n"/>
      <c r="B1049" s="64" t="n"/>
      <c r="C1049" s="65" t="n"/>
      <c r="D1049" s="66" t="str">
        <f>IF(C1049="","",IFERROR(INDEX(sup_name,MATCH($C1049,sup_code,0))&amp;"","Fournisseur inconnu"))</f>
        <v/>
      </c>
      <c r="E1049" s="63" t="n"/>
      <c r="F1049" s="66" t="str">
        <f>IF(E1049="","",IFERROR(INDEX(art_des,MATCH($E1049,art_ref,0))&amp;"","Article inconnu"))</f>
        <v/>
      </c>
      <c r="G1049" s="67" t="str">
        <f>IF(E1049="","",IFERROR(INDEX(art_unit,MATCH($E1049,art_ref,0))&amp;"",""))</f>
        <v/>
      </c>
      <c r="H1049" s="68" t="n"/>
      <c r="I1049" s="69" t="n"/>
      <c r="J1049" s="70" t="str">
        <f>IF(E1049="","",IF(ISNUMBER(I1049),I1049,IFERROR(IF(ISNUMBER(INDEX(art_price,MATCH($E1049,art_ref,0))),INDEX(art_price,MATCH($E1049,art_ref,0)),""),"")))</f>
        <v/>
      </c>
      <c r="K1049" s="71" t="n"/>
      <c r="L1049" s="72" t="n"/>
      <c r="M1049" s="72" t="str">
        <f>IF(E1049="","",IF(L1049&lt;&gt;"",L1049,IFERROR(IF(ISNUMBER(INDEX(art_tva,MATCH($E1049,art_ref,0))),INDEX(art_tva,MATCH($E1049,art_ref,0)),""),"")))</f>
        <v/>
      </c>
      <c r="N1049" s="70" t="str">
        <f>IF(OR(E1049="",J1049=""),"",ROUND(N(H1049)*J1049*(1-N(K1049)),2))</f>
        <v/>
      </c>
      <c r="O1049" s="70" t="str">
        <f>IF(OR(N1049="",NOT(ISNUMBER(M1049))),"",ROUND(N1049*M1049,2))</f>
        <v/>
      </c>
      <c r="P1049" s="70" t="str">
        <f>IF(N1049="","",N1049+N(O1049))</f>
        <v/>
      </c>
      <c r="Q1049" s="64" t="n"/>
      <c r="R1049" s="73" t="str">
        <f>IF(N(Q1049)&gt;0,Q1049,IF(OR(N(B1049)=0,ISNA(MATCH($C1049,sup_code,0))),"",IF(ISNUMBER(INDEX(sup_delay,MATCH($C1049,sup_code,0))),B1049+INDEX(sup_delay,MATCH($C1049,sup_code,0)),"")))</f>
        <v/>
      </c>
      <c r="S1049" s="64" t="n"/>
      <c r="T1049" s="68" t="n"/>
      <c r="U1049" s="64" t="n"/>
      <c r="V1049" s="65" t="n"/>
      <c r="W1049" s="74" t="str">
        <f>IF(AND(A1049="",E1049=""),"",IF(V1049="Oui",0,MAX(0,ROUND(N(H1049)-N(T1049),6))))</f>
        <v/>
      </c>
      <c r="X1049" s="67" t="str">
        <f>IF(AND(A1049="",E1049=""),"",IF(V1049="Oui","Annulé",IF(AND(N(H1049)&gt;0,N(T1049)&gt;=N(H1049)),"Reçu",IF(N(S1049)=0,"Brouillon",IF(AND(ISNUMBER(R1049),R1049&lt;p_today),"En retard",IF(N(T1049)&gt;0,"Partiel","Envoyé"))))))</f>
        <v/>
      </c>
      <c r="Y1049" s="75" t="str">
        <f>IF(X1049="En retard",p_today-R1049,IF(AND(X1049="Reçu",ISNUMBER(R1049)),MAX(0,N(U1049)-R1049),""))</f>
        <v/>
      </c>
      <c r="Z1049" s="67" t="str">
        <f>IF(AND(A1049="",E1049=""),"",IF(A1049="","N° de bon manquant",IF(N(B1049)=0,"Date de commande manquante",IF(C1049="","Fournisseur manquant",IF(ISNA(MATCH($C1049,sup_code,0)),"Fournisseur inconnu",IF(E1049="","Article manquant",IF(ISNA(MATCH($E1049,art_ref,0)),"Article inconnu",IF(N(H1049)&lt;=0,"Quantité invalide",IF(J1049="","Prix manquant",IF(OR(N(K1049)&lt;0,N(K1049)&gt;=1),"Remise invalide",IF(M1049="","TVA manquante",IF(ISNA(MATCH(M1049,p_tva,0)),"Taux de TVA inconnu",IF(COUNTIFS(po_num,A1049,po_sup,"&lt;&gt;"&amp;C1049)&gt;0,"Fournisseur différent sur ce bon",IF(COUNTIFS(po_num,A1049,po_date,"&lt;&gt;"&amp;B1049)&gt;0,"Date différente sur ce bon",IF(COUNTIF(po_num,A1049)&gt;25,"Plus de 25 lignes sur ce bon",IF(R1049="","Date de livraison manquante",IF(R1049&lt;B1049,"Livraison avant la commande",IF(AND(N(T1049)&gt;0,N(S1049)=0),"Date d'envoi manquante",IF(N(T1049)&gt;N(H1049),"Reçu plus que commandé",IF(AND(N(T1049)&gt;0,N(U1049)=0),"Date de réception manquante",IF(AND(N(U1049)&gt;0,U1049&lt;B1049),"Réception avant la commande","OK")))))))))))))))))))))</f>
        <v/>
      </c>
      <c r="AA1049" s="66" t="str">
        <f>IF(AND(X1049="Reçu",ISNUMBER(R1049)),IF(N(U1049)&lt;=R1049,1,0),"")</f>
        <v/>
      </c>
      <c r="AB1049" s="76" t="str">
        <f>IF(OR(X1049="Envoyé",X1049="Partiel",X1049="En retard"),IF(ISNUMBER(R1049),R1049,100000)+ROW()/100000,"")</f>
        <v/>
      </c>
      <c r="AC1049" s="66" t="str">
        <f>IF(A1049="","",IF(COUNTIF($A$6:A1049,A1049)=1,1,""))</f>
        <v/>
      </c>
      <c r="AD1049" s="66" t="str">
        <f>IF(AC1049=1,COUNT($AC$6:AC1049),"")</f>
        <v/>
      </c>
      <c r="AE1049" s="66" t="str">
        <f>IFERROR(INDEX(po_num,MATCH(1044,po_seq,0))&amp;"","")</f>
        <v/>
      </c>
      <c r="AF1049" s="66" t="str">
        <f>IF(OR(A1049="",p_po=""),"",IF(A1049&amp;""=p_po,COUNTIF($A$6:A1049,A1049),""))</f>
        <v/>
      </c>
      <c r="AG1049" s="66" t="str">
        <f>IF(OR(AB1049="",A1049=""),"",IF(COUNTIFS($A$6:A1049,A1049,$AB$6:AB1049,"&gt;0")=1,1,""))</f>
        <v/>
      </c>
      <c r="AH1049" s="70" t="str">
        <f>IF(AB1049="","",ROUND(N(W1049)*N(J1049)*(1-N(K1049)),2))</f>
        <v/>
      </c>
      <c r="AI1049" s="70" t="str">
        <f>IF(OR(J1049="",N(T1049)&lt;=0,V1049="Oui"),"",ROUND(N(T1049)*J1049*(1-N(K1049)),2))</f>
        <v/>
      </c>
    </row>
    <row r="1050">
      <c r="A1050" s="63" t="n"/>
      <c r="B1050" s="64" t="n"/>
      <c r="C1050" s="65" t="n"/>
      <c r="D1050" s="66" t="str">
        <f>IF(C1050="","",IFERROR(INDEX(sup_name,MATCH($C1050,sup_code,0))&amp;"","Fournisseur inconnu"))</f>
        <v/>
      </c>
      <c r="E1050" s="63" t="n"/>
      <c r="F1050" s="66" t="str">
        <f>IF(E1050="","",IFERROR(INDEX(art_des,MATCH($E1050,art_ref,0))&amp;"","Article inconnu"))</f>
        <v/>
      </c>
      <c r="G1050" s="67" t="str">
        <f>IF(E1050="","",IFERROR(INDEX(art_unit,MATCH($E1050,art_ref,0))&amp;"",""))</f>
        <v/>
      </c>
      <c r="H1050" s="68" t="n"/>
      <c r="I1050" s="69" t="n"/>
      <c r="J1050" s="70" t="str">
        <f>IF(E1050="","",IF(ISNUMBER(I1050),I1050,IFERROR(IF(ISNUMBER(INDEX(art_price,MATCH($E1050,art_ref,0))),INDEX(art_price,MATCH($E1050,art_ref,0)),""),"")))</f>
        <v/>
      </c>
      <c r="K1050" s="71" t="n"/>
      <c r="L1050" s="72" t="n"/>
      <c r="M1050" s="72" t="str">
        <f>IF(E1050="","",IF(L1050&lt;&gt;"",L1050,IFERROR(IF(ISNUMBER(INDEX(art_tva,MATCH($E1050,art_ref,0))),INDEX(art_tva,MATCH($E1050,art_ref,0)),""),"")))</f>
        <v/>
      </c>
      <c r="N1050" s="70" t="str">
        <f>IF(OR(E1050="",J1050=""),"",ROUND(N(H1050)*J1050*(1-N(K1050)),2))</f>
        <v/>
      </c>
      <c r="O1050" s="70" t="str">
        <f>IF(OR(N1050="",NOT(ISNUMBER(M1050))),"",ROUND(N1050*M1050,2))</f>
        <v/>
      </c>
      <c r="P1050" s="70" t="str">
        <f>IF(N1050="","",N1050+N(O1050))</f>
        <v/>
      </c>
      <c r="Q1050" s="64" t="n"/>
      <c r="R1050" s="73" t="str">
        <f>IF(N(Q1050)&gt;0,Q1050,IF(OR(N(B1050)=0,ISNA(MATCH($C1050,sup_code,0))),"",IF(ISNUMBER(INDEX(sup_delay,MATCH($C1050,sup_code,0))),B1050+INDEX(sup_delay,MATCH($C1050,sup_code,0)),"")))</f>
        <v/>
      </c>
      <c r="S1050" s="64" t="n"/>
      <c r="T1050" s="68" t="n"/>
      <c r="U1050" s="64" t="n"/>
      <c r="V1050" s="65" t="n"/>
      <c r="W1050" s="74" t="str">
        <f>IF(AND(A1050="",E1050=""),"",IF(V1050="Oui",0,MAX(0,ROUND(N(H1050)-N(T1050),6))))</f>
        <v/>
      </c>
      <c r="X1050" s="67" t="str">
        <f>IF(AND(A1050="",E1050=""),"",IF(V1050="Oui","Annulé",IF(AND(N(H1050)&gt;0,N(T1050)&gt;=N(H1050)),"Reçu",IF(N(S1050)=0,"Brouillon",IF(AND(ISNUMBER(R1050),R1050&lt;p_today),"En retard",IF(N(T1050)&gt;0,"Partiel","Envoyé"))))))</f>
        <v/>
      </c>
      <c r="Y1050" s="75" t="str">
        <f>IF(X1050="En retard",p_today-R1050,IF(AND(X1050="Reçu",ISNUMBER(R1050)),MAX(0,N(U1050)-R1050),""))</f>
        <v/>
      </c>
      <c r="Z1050" s="67" t="str">
        <f>IF(AND(A1050="",E1050=""),"",IF(A1050="","N° de bon manquant",IF(N(B1050)=0,"Date de commande manquante",IF(C1050="","Fournisseur manquant",IF(ISNA(MATCH($C1050,sup_code,0)),"Fournisseur inconnu",IF(E1050="","Article manquant",IF(ISNA(MATCH($E1050,art_ref,0)),"Article inconnu",IF(N(H1050)&lt;=0,"Quantité invalide",IF(J1050="","Prix manquant",IF(OR(N(K1050)&lt;0,N(K1050)&gt;=1),"Remise invalide",IF(M1050="","TVA manquante",IF(ISNA(MATCH(M1050,p_tva,0)),"Taux de TVA inconnu",IF(COUNTIFS(po_num,A1050,po_sup,"&lt;&gt;"&amp;C1050)&gt;0,"Fournisseur différent sur ce bon",IF(COUNTIFS(po_num,A1050,po_date,"&lt;&gt;"&amp;B1050)&gt;0,"Date différente sur ce bon",IF(COUNTIF(po_num,A1050)&gt;25,"Plus de 25 lignes sur ce bon",IF(R1050="","Date de livraison manquante",IF(R1050&lt;B1050,"Livraison avant la commande",IF(AND(N(T1050)&gt;0,N(S1050)=0),"Date d'envoi manquante",IF(N(T1050)&gt;N(H1050),"Reçu plus que commandé",IF(AND(N(T1050)&gt;0,N(U1050)=0),"Date de réception manquante",IF(AND(N(U1050)&gt;0,U1050&lt;B1050),"Réception avant la commande","OK")))))))))))))))))))))</f>
        <v/>
      </c>
      <c r="AA1050" s="66" t="str">
        <f>IF(AND(X1050="Reçu",ISNUMBER(R1050)),IF(N(U1050)&lt;=R1050,1,0),"")</f>
        <v/>
      </c>
      <c r="AB1050" s="76" t="str">
        <f>IF(OR(X1050="Envoyé",X1050="Partiel",X1050="En retard"),IF(ISNUMBER(R1050),R1050,100000)+ROW()/100000,"")</f>
        <v/>
      </c>
      <c r="AC1050" s="66" t="str">
        <f>IF(A1050="","",IF(COUNTIF($A$6:A1050,A1050)=1,1,""))</f>
        <v/>
      </c>
      <c r="AD1050" s="66" t="str">
        <f>IF(AC1050=1,COUNT($AC$6:AC1050),"")</f>
        <v/>
      </c>
      <c r="AE1050" s="66" t="str">
        <f>IFERROR(INDEX(po_num,MATCH(1045,po_seq,0))&amp;"","")</f>
        <v/>
      </c>
      <c r="AF1050" s="66" t="str">
        <f>IF(OR(A1050="",p_po=""),"",IF(A1050&amp;""=p_po,COUNTIF($A$6:A1050,A1050),""))</f>
        <v/>
      </c>
      <c r="AG1050" s="66" t="str">
        <f>IF(OR(AB1050="",A1050=""),"",IF(COUNTIFS($A$6:A1050,A1050,$AB$6:AB1050,"&gt;0")=1,1,""))</f>
        <v/>
      </c>
      <c r="AH1050" s="70" t="str">
        <f>IF(AB1050="","",ROUND(N(W1050)*N(J1050)*(1-N(K1050)),2))</f>
        <v/>
      </c>
      <c r="AI1050" s="70" t="str">
        <f>IF(OR(J1050="",N(T1050)&lt;=0,V1050="Oui"),"",ROUND(N(T1050)*J1050*(1-N(K1050)),2))</f>
        <v/>
      </c>
    </row>
    <row r="1051">
      <c r="A1051" s="63" t="n"/>
      <c r="B1051" s="64" t="n"/>
      <c r="C1051" s="65" t="n"/>
      <c r="D1051" s="66" t="str">
        <f>IF(C1051="","",IFERROR(INDEX(sup_name,MATCH($C1051,sup_code,0))&amp;"","Fournisseur inconnu"))</f>
        <v/>
      </c>
      <c r="E1051" s="63" t="n"/>
      <c r="F1051" s="66" t="str">
        <f>IF(E1051="","",IFERROR(INDEX(art_des,MATCH($E1051,art_ref,0))&amp;"","Article inconnu"))</f>
        <v/>
      </c>
      <c r="G1051" s="67" t="str">
        <f>IF(E1051="","",IFERROR(INDEX(art_unit,MATCH($E1051,art_ref,0))&amp;"",""))</f>
        <v/>
      </c>
      <c r="H1051" s="68" t="n"/>
      <c r="I1051" s="69" t="n"/>
      <c r="J1051" s="70" t="str">
        <f>IF(E1051="","",IF(ISNUMBER(I1051),I1051,IFERROR(IF(ISNUMBER(INDEX(art_price,MATCH($E1051,art_ref,0))),INDEX(art_price,MATCH($E1051,art_ref,0)),""),"")))</f>
        <v/>
      </c>
      <c r="K1051" s="71" t="n"/>
      <c r="L1051" s="72" t="n"/>
      <c r="M1051" s="72" t="str">
        <f>IF(E1051="","",IF(L1051&lt;&gt;"",L1051,IFERROR(IF(ISNUMBER(INDEX(art_tva,MATCH($E1051,art_ref,0))),INDEX(art_tva,MATCH($E1051,art_ref,0)),""),"")))</f>
        <v/>
      </c>
      <c r="N1051" s="70" t="str">
        <f>IF(OR(E1051="",J1051=""),"",ROUND(N(H1051)*J1051*(1-N(K1051)),2))</f>
        <v/>
      </c>
      <c r="O1051" s="70" t="str">
        <f>IF(OR(N1051="",NOT(ISNUMBER(M1051))),"",ROUND(N1051*M1051,2))</f>
        <v/>
      </c>
      <c r="P1051" s="70" t="str">
        <f>IF(N1051="","",N1051+N(O1051))</f>
        <v/>
      </c>
      <c r="Q1051" s="64" t="n"/>
      <c r="R1051" s="73" t="str">
        <f>IF(N(Q1051)&gt;0,Q1051,IF(OR(N(B1051)=0,ISNA(MATCH($C1051,sup_code,0))),"",IF(ISNUMBER(INDEX(sup_delay,MATCH($C1051,sup_code,0))),B1051+INDEX(sup_delay,MATCH($C1051,sup_code,0)),"")))</f>
        <v/>
      </c>
      <c r="S1051" s="64" t="n"/>
      <c r="T1051" s="68" t="n"/>
      <c r="U1051" s="64" t="n"/>
      <c r="V1051" s="65" t="n"/>
      <c r="W1051" s="74" t="str">
        <f>IF(AND(A1051="",E1051=""),"",IF(V1051="Oui",0,MAX(0,ROUND(N(H1051)-N(T1051),6))))</f>
        <v/>
      </c>
      <c r="X1051" s="67" t="str">
        <f>IF(AND(A1051="",E1051=""),"",IF(V1051="Oui","Annulé",IF(AND(N(H1051)&gt;0,N(T1051)&gt;=N(H1051)),"Reçu",IF(N(S1051)=0,"Brouillon",IF(AND(ISNUMBER(R1051),R1051&lt;p_today),"En retard",IF(N(T1051)&gt;0,"Partiel","Envoyé"))))))</f>
        <v/>
      </c>
      <c r="Y1051" s="75" t="str">
        <f>IF(X1051="En retard",p_today-R1051,IF(AND(X1051="Reçu",ISNUMBER(R1051)),MAX(0,N(U1051)-R1051),""))</f>
        <v/>
      </c>
      <c r="Z1051" s="67" t="str">
        <f>IF(AND(A1051="",E1051=""),"",IF(A1051="","N° de bon manquant",IF(N(B1051)=0,"Date de commande manquante",IF(C1051="","Fournisseur manquant",IF(ISNA(MATCH($C1051,sup_code,0)),"Fournisseur inconnu",IF(E1051="","Article manquant",IF(ISNA(MATCH($E1051,art_ref,0)),"Article inconnu",IF(N(H1051)&lt;=0,"Quantité invalide",IF(J1051="","Prix manquant",IF(OR(N(K1051)&lt;0,N(K1051)&gt;=1),"Remise invalide",IF(M1051="","TVA manquante",IF(ISNA(MATCH(M1051,p_tva,0)),"Taux de TVA inconnu",IF(COUNTIFS(po_num,A1051,po_sup,"&lt;&gt;"&amp;C1051)&gt;0,"Fournisseur différent sur ce bon",IF(COUNTIFS(po_num,A1051,po_date,"&lt;&gt;"&amp;B1051)&gt;0,"Date différente sur ce bon",IF(COUNTIF(po_num,A1051)&gt;25,"Plus de 25 lignes sur ce bon",IF(R1051="","Date de livraison manquante",IF(R1051&lt;B1051,"Livraison avant la commande",IF(AND(N(T1051)&gt;0,N(S1051)=0),"Date d'envoi manquante",IF(N(T1051)&gt;N(H1051),"Reçu plus que commandé",IF(AND(N(T1051)&gt;0,N(U1051)=0),"Date de réception manquante",IF(AND(N(U1051)&gt;0,U1051&lt;B1051),"Réception avant la commande","OK")))))))))))))))))))))</f>
        <v/>
      </c>
      <c r="AA1051" s="66" t="str">
        <f>IF(AND(X1051="Reçu",ISNUMBER(R1051)),IF(N(U1051)&lt;=R1051,1,0),"")</f>
        <v/>
      </c>
      <c r="AB1051" s="76" t="str">
        <f>IF(OR(X1051="Envoyé",X1051="Partiel",X1051="En retard"),IF(ISNUMBER(R1051),R1051,100000)+ROW()/100000,"")</f>
        <v/>
      </c>
      <c r="AC1051" s="66" t="str">
        <f>IF(A1051="","",IF(COUNTIF($A$6:A1051,A1051)=1,1,""))</f>
        <v/>
      </c>
      <c r="AD1051" s="66" t="str">
        <f>IF(AC1051=1,COUNT($AC$6:AC1051),"")</f>
        <v/>
      </c>
      <c r="AE1051" s="66" t="str">
        <f>IFERROR(INDEX(po_num,MATCH(1046,po_seq,0))&amp;"","")</f>
        <v/>
      </c>
      <c r="AF1051" s="66" t="str">
        <f>IF(OR(A1051="",p_po=""),"",IF(A1051&amp;""=p_po,COUNTIF($A$6:A1051,A1051),""))</f>
        <v/>
      </c>
      <c r="AG1051" s="66" t="str">
        <f>IF(OR(AB1051="",A1051=""),"",IF(COUNTIFS($A$6:A1051,A1051,$AB$6:AB1051,"&gt;0")=1,1,""))</f>
        <v/>
      </c>
      <c r="AH1051" s="70" t="str">
        <f>IF(AB1051="","",ROUND(N(W1051)*N(J1051)*(1-N(K1051)),2))</f>
        <v/>
      </c>
      <c r="AI1051" s="70" t="str">
        <f>IF(OR(J1051="",N(T1051)&lt;=0,V1051="Oui"),"",ROUND(N(T1051)*J1051*(1-N(K1051)),2))</f>
        <v/>
      </c>
    </row>
    <row r="1052">
      <c r="A1052" s="63" t="n"/>
      <c r="B1052" s="64" t="n"/>
      <c r="C1052" s="65" t="n"/>
      <c r="D1052" s="66" t="str">
        <f>IF(C1052="","",IFERROR(INDEX(sup_name,MATCH($C1052,sup_code,0))&amp;"","Fournisseur inconnu"))</f>
        <v/>
      </c>
      <c r="E1052" s="63" t="n"/>
      <c r="F1052" s="66" t="str">
        <f>IF(E1052="","",IFERROR(INDEX(art_des,MATCH($E1052,art_ref,0))&amp;"","Article inconnu"))</f>
        <v/>
      </c>
      <c r="G1052" s="67" t="str">
        <f>IF(E1052="","",IFERROR(INDEX(art_unit,MATCH($E1052,art_ref,0))&amp;"",""))</f>
        <v/>
      </c>
      <c r="H1052" s="68" t="n"/>
      <c r="I1052" s="69" t="n"/>
      <c r="J1052" s="70" t="str">
        <f>IF(E1052="","",IF(ISNUMBER(I1052),I1052,IFERROR(IF(ISNUMBER(INDEX(art_price,MATCH($E1052,art_ref,0))),INDEX(art_price,MATCH($E1052,art_ref,0)),""),"")))</f>
        <v/>
      </c>
      <c r="K1052" s="71" t="n"/>
      <c r="L1052" s="72" t="n"/>
      <c r="M1052" s="72" t="str">
        <f>IF(E1052="","",IF(L1052&lt;&gt;"",L1052,IFERROR(IF(ISNUMBER(INDEX(art_tva,MATCH($E1052,art_ref,0))),INDEX(art_tva,MATCH($E1052,art_ref,0)),""),"")))</f>
        <v/>
      </c>
      <c r="N1052" s="70" t="str">
        <f>IF(OR(E1052="",J1052=""),"",ROUND(N(H1052)*J1052*(1-N(K1052)),2))</f>
        <v/>
      </c>
      <c r="O1052" s="70" t="str">
        <f>IF(OR(N1052="",NOT(ISNUMBER(M1052))),"",ROUND(N1052*M1052,2))</f>
        <v/>
      </c>
      <c r="P1052" s="70" t="str">
        <f>IF(N1052="","",N1052+N(O1052))</f>
        <v/>
      </c>
      <c r="Q1052" s="64" t="n"/>
      <c r="R1052" s="73" t="str">
        <f>IF(N(Q1052)&gt;0,Q1052,IF(OR(N(B1052)=0,ISNA(MATCH($C1052,sup_code,0))),"",IF(ISNUMBER(INDEX(sup_delay,MATCH($C1052,sup_code,0))),B1052+INDEX(sup_delay,MATCH($C1052,sup_code,0)),"")))</f>
        <v/>
      </c>
      <c r="S1052" s="64" t="n"/>
      <c r="T1052" s="68" t="n"/>
      <c r="U1052" s="64" t="n"/>
      <c r="V1052" s="65" t="n"/>
      <c r="W1052" s="74" t="str">
        <f>IF(AND(A1052="",E1052=""),"",IF(V1052="Oui",0,MAX(0,ROUND(N(H1052)-N(T1052),6))))</f>
        <v/>
      </c>
      <c r="X1052" s="67" t="str">
        <f>IF(AND(A1052="",E1052=""),"",IF(V1052="Oui","Annulé",IF(AND(N(H1052)&gt;0,N(T1052)&gt;=N(H1052)),"Reçu",IF(N(S1052)=0,"Brouillon",IF(AND(ISNUMBER(R1052),R1052&lt;p_today),"En retard",IF(N(T1052)&gt;0,"Partiel","Envoyé"))))))</f>
        <v/>
      </c>
      <c r="Y1052" s="75" t="str">
        <f>IF(X1052="En retard",p_today-R1052,IF(AND(X1052="Reçu",ISNUMBER(R1052)),MAX(0,N(U1052)-R1052),""))</f>
        <v/>
      </c>
      <c r="Z1052" s="67" t="str">
        <f>IF(AND(A1052="",E1052=""),"",IF(A1052="","N° de bon manquant",IF(N(B1052)=0,"Date de commande manquante",IF(C1052="","Fournisseur manquant",IF(ISNA(MATCH($C1052,sup_code,0)),"Fournisseur inconnu",IF(E1052="","Article manquant",IF(ISNA(MATCH($E1052,art_ref,0)),"Article inconnu",IF(N(H1052)&lt;=0,"Quantité invalide",IF(J1052="","Prix manquant",IF(OR(N(K1052)&lt;0,N(K1052)&gt;=1),"Remise invalide",IF(M1052="","TVA manquante",IF(ISNA(MATCH(M1052,p_tva,0)),"Taux de TVA inconnu",IF(COUNTIFS(po_num,A1052,po_sup,"&lt;&gt;"&amp;C1052)&gt;0,"Fournisseur différent sur ce bon",IF(COUNTIFS(po_num,A1052,po_date,"&lt;&gt;"&amp;B1052)&gt;0,"Date différente sur ce bon",IF(COUNTIF(po_num,A1052)&gt;25,"Plus de 25 lignes sur ce bon",IF(R1052="","Date de livraison manquante",IF(R1052&lt;B1052,"Livraison avant la commande",IF(AND(N(T1052)&gt;0,N(S1052)=0),"Date d'envoi manquante",IF(N(T1052)&gt;N(H1052),"Reçu plus que commandé",IF(AND(N(T1052)&gt;0,N(U1052)=0),"Date de réception manquante",IF(AND(N(U1052)&gt;0,U1052&lt;B1052),"Réception avant la commande","OK")))))))))))))))))))))</f>
        <v/>
      </c>
      <c r="AA1052" s="66" t="str">
        <f>IF(AND(X1052="Reçu",ISNUMBER(R1052)),IF(N(U1052)&lt;=R1052,1,0),"")</f>
        <v/>
      </c>
      <c r="AB1052" s="76" t="str">
        <f>IF(OR(X1052="Envoyé",X1052="Partiel",X1052="En retard"),IF(ISNUMBER(R1052),R1052,100000)+ROW()/100000,"")</f>
        <v/>
      </c>
      <c r="AC1052" s="66" t="str">
        <f>IF(A1052="","",IF(COUNTIF($A$6:A1052,A1052)=1,1,""))</f>
        <v/>
      </c>
      <c r="AD1052" s="66" t="str">
        <f>IF(AC1052=1,COUNT($AC$6:AC1052),"")</f>
        <v/>
      </c>
      <c r="AE1052" s="66" t="str">
        <f>IFERROR(INDEX(po_num,MATCH(1047,po_seq,0))&amp;"","")</f>
        <v/>
      </c>
      <c r="AF1052" s="66" t="str">
        <f>IF(OR(A1052="",p_po=""),"",IF(A1052&amp;""=p_po,COUNTIF($A$6:A1052,A1052),""))</f>
        <v/>
      </c>
      <c r="AG1052" s="66" t="str">
        <f>IF(OR(AB1052="",A1052=""),"",IF(COUNTIFS($A$6:A1052,A1052,$AB$6:AB1052,"&gt;0")=1,1,""))</f>
        <v/>
      </c>
      <c r="AH1052" s="70" t="str">
        <f>IF(AB1052="","",ROUND(N(W1052)*N(J1052)*(1-N(K1052)),2))</f>
        <v/>
      </c>
      <c r="AI1052" s="70" t="str">
        <f>IF(OR(J1052="",N(T1052)&lt;=0,V1052="Oui"),"",ROUND(N(T1052)*J1052*(1-N(K1052)),2))</f>
        <v/>
      </c>
    </row>
    <row r="1053">
      <c r="A1053" s="63" t="n"/>
      <c r="B1053" s="64" t="n"/>
      <c r="C1053" s="65" t="n"/>
      <c r="D1053" s="66" t="str">
        <f>IF(C1053="","",IFERROR(INDEX(sup_name,MATCH($C1053,sup_code,0))&amp;"","Fournisseur inconnu"))</f>
        <v/>
      </c>
      <c r="E1053" s="63" t="n"/>
      <c r="F1053" s="66" t="str">
        <f>IF(E1053="","",IFERROR(INDEX(art_des,MATCH($E1053,art_ref,0))&amp;"","Article inconnu"))</f>
        <v/>
      </c>
      <c r="G1053" s="67" t="str">
        <f>IF(E1053="","",IFERROR(INDEX(art_unit,MATCH($E1053,art_ref,0))&amp;"",""))</f>
        <v/>
      </c>
      <c r="H1053" s="68" t="n"/>
      <c r="I1053" s="69" t="n"/>
      <c r="J1053" s="70" t="str">
        <f>IF(E1053="","",IF(ISNUMBER(I1053),I1053,IFERROR(IF(ISNUMBER(INDEX(art_price,MATCH($E1053,art_ref,0))),INDEX(art_price,MATCH($E1053,art_ref,0)),""),"")))</f>
        <v/>
      </c>
      <c r="K1053" s="71" t="n"/>
      <c r="L1053" s="72" t="n"/>
      <c r="M1053" s="72" t="str">
        <f>IF(E1053="","",IF(L1053&lt;&gt;"",L1053,IFERROR(IF(ISNUMBER(INDEX(art_tva,MATCH($E1053,art_ref,0))),INDEX(art_tva,MATCH($E1053,art_ref,0)),""),"")))</f>
        <v/>
      </c>
      <c r="N1053" s="70" t="str">
        <f>IF(OR(E1053="",J1053=""),"",ROUND(N(H1053)*J1053*(1-N(K1053)),2))</f>
        <v/>
      </c>
      <c r="O1053" s="70" t="str">
        <f>IF(OR(N1053="",NOT(ISNUMBER(M1053))),"",ROUND(N1053*M1053,2))</f>
        <v/>
      </c>
      <c r="P1053" s="70" t="str">
        <f>IF(N1053="","",N1053+N(O1053))</f>
        <v/>
      </c>
      <c r="Q1053" s="64" t="n"/>
      <c r="R1053" s="73" t="str">
        <f>IF(N(Q1053)&gt;0,Q1053,IF(OR(N(B1053)=0,ISNA(MATCH($C1053,sup_code,0))),"",IF(ISNUMBER(INDEX(sup_delay,MATCH($C1053,sup_code,0))),B1053+INDEX(sup_delay,MATCH($C1053,sup_code,0)),"")))</f>
        <v/>
      </c>
      <c r="S1053" s="64" t="n"/>
      <c r="T1053" s="68" t="n"/>
      <c r="U1053" s="64" t="n"/>
      <c r="V1053" s="65" t="n"/>
      <c r="W1053" s="74" t="str">
        <f>IF(AND(A1053="",E1053=""),"",IF(V1053="Oui",0,MAX(0,ROUND(N(H1053)-N(T1053),6))))</f>
        <v/>
      </c>
      <c r="X1053" s="67" t="str">
        <f>IF(AND(A1053="",E1053=""),"",IF(V1053="Oui","Annulé",IF(AND(N(H1053)&gt;0,N(T1053)&gt;=N(H1053)),"Reçu",IF(N(S1053)=0,"Brouillon",IF(AND(ISNUMBER(R1053),R1053&lt;p_today),"En retard",IF(N(T1053)&gt;0,"Partiel","Envoyé"))))))</f>
        <v/>
      </c>
      <c r="Y1053" s="75" t="str">
        <f>IF(X1053="En retard",p_today-R1053,IF(AND(X1053="Reçu",ISNUMBER(R1053)),MAX(0,N(U1053)-R1053),""))</f>
        <v/>
      </c>
      <c r="Z1053" s="67" t="str">
        <f>IF(AND(A1053="",E1053=""),"",IF(A1053="","N° de bon manquant",IF(N(B1053)=0,"Date de commande manquante",IF(C1053="","Fournisseur manquant",IF(ISNA(MATCH($C1053,sup_code,0)),"Fournisseur inconnu",IF(E1053="","Article manquant",IF(ISNA(MATCH($E1053,art_ref,0)),"Article inconnu",IF(N(H1053)&lt;=0,"Quantité invalide",IF(J1053="","Prix manquant",IF(OR(N(K1053)&lt;0,N(K1053)&gt;=1),"Remise invalide",IF(M1053="","TVA manquante",IF(ISNA(MATCH(M1053,p_tva,0)),"Taux de TVA inconnu",IF(COUNTIFS(po_num,A1053,po_sup,"&lt;&gt;"&amp;C1053)&gt;0,"Fournisseur différent sur ce bon",IF(COUNTIFS(po_num,A1053,po_date,"&lt;&gt;"&amp;B1053)&gt;0,"Date différente sur ce bon",IF(COUNTIF(po_num,A1053)&gt;25,"Plus de 25 lignes sur ce bon",IF(R1053="","Date de livraison manquante",IF(R1053&lt;B1053,"Livraison avant la commande",IF(AND(N(T1053)&gt;0,N(S1053)=0),"Date d'envoi manquante",IF(N(T1053)&gt;N(H1053),"Reçu plus que commandé",IF(AND(N(T1053)&gt;0,N(U1053)=0),"Date de réception manquante",IF(AND(N(U1053)&gt;0,U1053&lt;B1053),"Réception avant la commande","OK")))))))))))))))))))))</f>
        <v/>
      </c>
      <c r="AA1053" s="66" t="str">
        <f>IF(AND(X1053="Reçu",ISNUMBER(R1053)),IF(N(U1053)&lt;=R1053,1,0),"")</f>
        <v/>
      </c>
      <c r="AB1053" s="76" t="str">
        <f>IF(OR(X1053="Envoyé",X1053="Partiel",X1053="En retard"),IF(ISNUMBER(R1053),R1053,100000)+ROW()/100000,"")</f>
        <v/>
      </c>
      <c r="AC1053" s="66" t="str">
        <f>IF(A1053="","",IF(COUNTIF($A$6:A1053,A1053)=1,1,""))</f>
        <v/>
      </c>
      <c r="AD1053" s="66" t="str">
        <f>IF(AC1053=1,COUNT($AC$6:AC1053),"")</f>
        <v/>
      </c>
      <c r="AE1053" s="66" t="str">
        <f>IFERROR(INDEX(po_num,MATCH(1048,po_seq,0))&amp;"","")</f>
        <v/>
      </c>
      <c r="AF1053" s="66" t="str">
        <f>IF(OR(A1053="",p_po=""),"",IF(A1053&amp;""=p_po,COUNTIF($A$6:A1053,A1053),""))</f>
        <v/>
      </c>
      <c r="AG1053" s="66" t="str">
        <f>IF(OR(AB1053="",A1053=""),"",IF(COUNTIFS($A$6:A1053,A1053,$AB$6:AB1053,"&gt;0")=1,1,""))</f>
        <v/>
      </c>
      <c r="AH1053" s="70" t="str">
        <f>IF(AB1053="","",ROUND(N(W1053)*N(J1053)*(1-N(K1053)),2))</f>
        <v/>
      </c>
      <c r="AI1053" s="70" t="str">
        <f>IF(OR(J1053="",N(T1053)&lt;=0,V1053="Oui"),"",ROUND(N(T1053)*J1053*(1-N(K1053)),2))</f>
        <v/>
      </c>
    </row>
    <row r="1054">
      <c r="A1054" s="63" t="n"/>
      <c r="B1054" s="64" t="n"/>
      <c r="C1054" s="65" t="n"/>
      <c r="D1054" s="66" t="str">
        <f>IF(C1054="","",IFERROR(INDEX(sup_name,MATCH($C1054,sup_code,0))&amp;"","Fournisseur inconnu"))</f>
        <v/>
      </c>
      <c r="E1054" s="63" t="n"/>
      <c r="F1054" s="66" t="str">
        <f>IF(E1054="","",IFERROR(INDEX(art_des,MATCH($E1054,art_ref,0))&amp;"","Article inconnu"))</f>
        <v/>
      </c>
      <c r="G1054" s="67" t="str">
        <f>IF(E1054="","",IFERROR(INDEX(art_unit,MATCH($E1054,art_ref,0))&amp;"",""))</f>
        <v/>
      </c>
      <c r="H1054" s="68" t="n"/>
      <c r="I1054" s="69" t="n"/>
      <c r="J1054" s="70" t="str">
        <f>IF(E1054="","",IF(ISNUMBER(I1054),I1054,IFERROR(IF(ISNUMBER(INDEX(art_price,MATCH($E1054,art_ref,0))),INDEX(art_price,MATCH($E1054,art_ref,0)),""),"")))</f>
        <v/>
      </c>
      <c r="K1054" s="71" t="n"/>
      <c r="L1054" s="72" t="n"/>
      <c r="M1054" s="72" t="str">
        <f>IF(E1054="","",IF(L1054&lt;&gt;"",L1054,IFERROR(IF(ISNUMBER(INDEX(art_tva,MATCH($E1054,art_ref,0))),INDEX(art_tva,MATCH($E1054,art_ref,0)),""),"")))</f>
        <v/>
      </c>
      <c r="N1054" s="70" t="str">
        <f>IF(OR(E1054="",J1054=""),"",ROUND(N(H1054)*J1054*(1-N(K1054)),2))</f>
        <v/>
      </c>
      <c r="O1054" s="70" t="str">
        <f>IF(OR(N1054="",NOT(ISNUMBER(M1054))),"",ROUND(N1054*M1054,2))</f>
        <v/>
      </c>
      <c r="P1054" s="70" t="str">
        <f>IF(N1054="","",N1054+N(O1054))</f>
        <v/>
      </c>
      <c r="Q1054" s="64" t="n"/>
      <c r="R1054" s="73" t="str">
        <f>IF(N(Q1054)&gt;0,Q1054,IF(OR(N(B1054)=0,ISNA(MATCH($C1054,sup_code,0))),"",IF(ISNUMBER(INDEX(sup_delay,MATCH($C1054,sup_code,0))),B1054+INDEX(sup_delay,MATCH($C1054,sup_code,0)),"")))</f>
        <v/>
      </c>
      <c r="S1054" s="64" t="n"/>
      <c r="T1054" s="68" t="n"/>
      <c r="U1054" s="64" t="n"/>
      <c r="V1054" s="65" t="n"/>
      <c r="W1054" s="74" t="str">
        <f>IF(AND(A1054="",E1054=""),"",IF(V1054="Oui",0,MAX(0,ROUND(N(H1054)-N(T1054),6))))</f>
        <v/>
      </c>
      <c r="X1054" s="67" t="str">
        <f>IF(AND(A1054="",E1054=""),"",IF(V1054="Oui","Annulé",IF(AND(N(H1054)&gt;0,N(T1054)&gt;=N(H1054)),"Reçu",IF(N(S1054)=0,"Brouillon",IF(AND(ISNUMBER(R1054),R1054&lt;p_today),"En retard",IF(N(T1054)&gt;0,"Partiel","Envoyé"))))))</f>
        <v/>
      </c>
      <c r="Y1054" s="75" t="str">
        <f>IF(X1054="En retard",p_today-R1054,IF(AND(X1054="Reçu",ISNUMBER(R1054)),MAX(0,N(U1054)-R1054),""))</f>
        <v/>
      </c>
      <c r="Z1054" s="67" t="str">
        <f>IF(AND(A1054="",E1054=""),"",IF(A1054="","N° de bon manquant",IF(N(B1054)=0,"Date de commande manquante",IF(C1054="","Fournisseur manquant",IF(ISNA(MATCH($C1054,sup_code,0)),"Fournisseur inconnu",IF(E1054="","Article manquant",IF(ISNA(MATCH($E1054,art_ref,0)),"Article inconnu",IF(N(H1054)&lt;=0,"Quantité invalide",IF(J1054="","Prix manquant",IF(OR(N(K1054)&lt;0,N(K1054)&gt;=1),"Remise invalide",IF(M1054="","TVA manquante",IF(ISNA(MATCH(M1054,p_tva,0)),"Taux de TVA inconnu",IF(COUNTIFS(po_num,A1054,po_sup,"&lt;&gt;"&amp;C1054)&gt;0,"Fournisseur différent sur ce bon",IF(COUNTIFS(po_num,A1054,po_date,"&lt;&gt;"&amp;B1054)&gt;0,"Date différente sur ce bon",IF(COUNTIF(po_num,A1054)&gt;25,"Plus de 25 lignes sur ce bon",IF(R1054="","Date de livraison manquante",IF(R1054&lt;B1054,"Livraison avant la commande",IF(AND(N(T1054)&gt;0,N(S1054)=0),"Date d'envoi manquante",IF(N(T1054)&gt;N(H1054),"Reçu plus que commandé",IF(AND(N(T1054)&gt;0,N(U1054)=0),"Date de réception manquante",IF(AND(N(U1054)&gt;0,U1054&lt;B1054),"Réception avant la commande","OK")))))))))))))))))))))</f>
        <v/>
      </c>
      <c r="AA1054" s="66" t="str">
        <f>IF(AND(X1054="Reçu",ISNUMBER(R1054)),IF(N(U1054)&lt;=R1054,1,0),"")</f>
        <v/>
      </c>
      <c r="AB1054" s="76" t="str">
        <f>IF(OR(X1054="Envoyé",X1054="Partiel",X1054="En retard"),IF(ISNUMBER(R1054),R1054,100000)+ROW()/100000,"")</f>
        <v/>
      </c>
      <c r="AC1054" s="66" t="str">
        <f>IF(A1054="","",IF(COUNTIF($A$6:A1054,A1054)=1,1,""))</f>
        <v/>
      </c>
      <c r="AD1054" s="66" t="str">
        <f>IF(AC1054=1,COUNT($AC$6:AC1054),"")</f>
        <v/>
      </c>
      <c r="AE1054" s="66" t="str">
        <f>IFERROR(INDEX(po_num,MATCH(1049,po_seq,0))&amp;"","")</f>
        <v/>
      </c>
      <c r="AF1054" s="66" t="str">
        <f>IF(OR(A1054="",p_po=""),"",IF(A1054&amp;""=p_po,COUNTIF($A$6:A1054,A1054),""))</f>
        <v/>
      </c>
      <c r="AG1054" s="66" t="str">
        <f>IF(OR(AB1054="",A1054=""),"",IF(COUNTIFS($A$6:A1054,A1054,$AB$6:AB1054,"&gt;0")=1,1,""))</f>
        <v/>
      </c>
      <c r="AH1054" s="70" t="str">
        <f>IF(AB1054="","",ROUND(N(W1054)*N(J1054)*(1-N(K1054)),2))</f>
        <v/>
      </c>
      <c r="AI1054" s="70" t="str">
        <f>IF(OR(J1054="",N(T1054)&lt;=0,V1054="Oui"),"",ROUND(N(T1054)*J1054*(1-N(K1054)),2))</f>
        <v/>
      </c>
    </row>
    <row r="1055">
      <c r="A1055" s="63" t="n"/>
      <c r="B1055" s="64" t="n"/>
      <c r="C1055" s="65" t="n"/>
      <c r="D1055" s="66" t="str">
        <f>IF(C1055="","",IFERROR(INDEX(sup_name,MATCH($C1055,sup_code,0))&amp;"","Fournisseur inconnu"))</f>
        <v/>
      </c>
      <c r="E1055" s="63" t="n"/>
      <c r="F1055" s="66" t="str">
        <f>IF(E1055="","",IFERROR(INDEX(art_des,MATCH($E1055,art_ref,0))&amp;"","Article inconnu"))</f>
        <v/>
      </c>
      <c r="G1055" s="67" t="str">
        <f>IF(E1055="","",IFERROR(INDEX(art_unit,MATCH($E1055,art_ref,0))&amp;"",""))</f>
        <v/>
      </c>
      <c r="H1055" s="68" t="n"/>
      <c r="I1055" s="69" t="n"/>
      <c r="J1055" s="70" t="str">
        <f>IF(E1055="","",IF(ISNUMBER(I1055),I1055,IFERROR(IF(ISNUMBER(INDEX(art_price,MATCH($E1055,art_ref,0))),INDEX(art_price,MATCH($E1055,art_ref,0)),""),"")))</f>
        <v/>
      </c>
      <c r="K1055" s="71" t="n"/>
      <c r="L1055" s="72" t="n"/>
      <c r="M1055" s="72" t="str">
        <f>IF(E1055="","",IF(L1055&lt;&gt;"",L1055,IFERROR(IF(ISNUMBER(INDEX(art_tva,MATCH($E1055,art_ref,0))),INDEX(art_tva,MATCH($E1055,art_ref,0)),""),"")))</f>
        <v/>
      </c>
      <c r="N1055" s="70" t="str">
        <f>IF(OR(E1055="",J1055=""),"",ROUND(N(H1055)*J1055*(1-N(K1055)),2))</f>
        <v/>
      </c>
      <c r="O1055" s="70" t="str">
        <f>IF(OR(N1055="",NOT(ISNUMBER(M1055))),"",ROUND(N1055*M1055,2))</f>
        <v/>
      </c>
      <c r="P1055" s="70" t="str">
        <f>IF(N1055="","",N1055+N(O1055))</f>
        <v/>
      </c>
      <c r="Q1055" s="64" t="n"/>
      <c r="R1055" s="73" t="str">
        <f>IF(N(Q1055)&gt;0,Q1055,IF(OR(N(B1055)=0,ISNA(MATCH($C1055,sup_code,0))),"",IF(ISNUMBER(INDEX(sup_delay,MATCH($C1055,sup_code,0))),B1055+INDEX(sup_delay,MATCH($C1055,sup_code,0)),"")))</f>
        <v/>
      </c>
      <c r="S1055" s="64" t="n"/>
      <c r="T1055" s="68" t="n"/>
      <c r="U1055" s="64" t="n"/>
      <c r="V1055" s="65" t="n"/>
      <c r="W1055" s="74" t="str">
        <f>IF(AND(A1055="",E1055=""),"",IF(V1055="Oui",0,MAX(0,ROUND(N(H1055)-N(T1055),6))))</f>
        <v/>
      </c>
      <c r="X1055" s="67" t="str">
        <f>IF(AND(A1055="",E1055=""),"",IF(V1055="Oui","Annulé",IF(AND(N(H1055)&gt;0,N(T1055)&gt;=N(H1055)),"Reçu",IF(N(S1055)=0,"Brouillon",IF(AND(ISNUMBER(R1055),R1055&lt;p_today),"En retard",IF(N(T1055)&gt;0,"Partiel","Envoyé"))))))</f>
        <v/>
      </c>
      <c r="Y1055" s="75" t="str">
        <f>IF(X1055="En retard",p_today-R1055,IF(AND(X1055="Reçu",ISNUMBER(R1055)),MAX(0,N(U1055)-R1055),""))</f>
        <v/>
      </c>
      <c r="Z1055" s="67" t="str">
        <f>IF(AND(A1055="",E1055=""),"",IF(A1055="","N° de bon manquant",IF(N(B1055)=0,"Date de commande manquante",IF(C1055="","Fournisseur manquant",IF(ISNA(MATCH($C1055,sup_code,0)),"Fournisseur inconnu",IF(E1055="","Article manquant",IF(ISNA(MATCH($E1055,art_ref,0)),"Article inconnu",IF(N(H1055)&lt;=0,"Quantité invalide",IF(J1055="","Prix manquant",IF(OR(N(K1055)&lt;0,N(K1055)&gt;=1),"Remise invalide",IF(M1055="","TVA manquante",IF(ISNA(MATCH(M1055,p_tva,0)),"Taux de TVA inconnu",IF(COUNTIFS(po_num,A1055,po_sup,"&lt;&gt;"&amp;C1055)&gt;0,"Fournisseur différent sur ce bon",IF(COUNTIFS(po_num,A1055,po_date,"&lt;&gt;"&amp;B1055)&gt;0,"Date différente sur ce bon",IF(COUNTIF(po_num,A1055)&gt;25,"Plus de 25 lignes sur ce bon",IF(R1055="","Date de livraison manquante",IF(R1055&lt;B1055,"Livraison avant la commande",IF(AND(N(T1055)&gt;0,N(S1055)=0),"Date d'envoi manquante",IF(N(T1055)&gt;N(H1055),"Reçu plus que commandé",IF(AND(N(T1055)&gt;0,N(U1055)=0),"Date de réception manquante",IF(AND(N(U1055)&gt;0,U1055&lt;B1055),"Réception avant la commande","OK")))))))))))))))))))))</f>
        <v/>
      </c>
      <c r="AA1055" s="66" t="str">
        <f>IF(AND(X1055="Reçu",ISNUMBER(R1055)),IF(N(U1055)&lt;=R1055,1,0),"")</f>
        <v/>
      </c>
      <c r="AB1055" s="76" t="str">
        <f>IF(OR(X1055="Envoyé",X1055="Partiel",X1055="En retard"),IF(ISNUMBER(R1055),R1055,100000)+ROW()/100000,"")</f>
        <v/>
      </c>
      <c r="AC1055" s="66" t="str">
        <f>IF(A1055="","",IF(COUNTIF($A$6:A1055,A1055)=1,1,""))</f>
        <v/>
      </c>
      <c r="AD1055" s="66" t="str">
        <f>IF(AC1055=1,COUNT($AC$6:AC1055),"")</f>
        <v/>
      </c>
      <c r="AE1055" s="66" t="str">
        <f>IFERROR(INDEX(po_num,MATCH(1050,po_seq,0))&amp;"","")</f>
        <v/>
      </c>
      <c r="AF1055" s="66" t="str">
        <f>IF(OR(A1055="",p_po=""),"",IF(A1055&amp;""=p_po,COUNTIF($A$6:A1055,A1055),""))</f>
        <v/>
      </c>
      <c r="AG1055" s="66" t="str">
        <f>IF(OR(AB1055="",A1055=""),"",IF(COUNTIFS($A$6:A1055,A1055,$AB$6:AB1055,"&gt;0")=1,1,""))</f>
        <v/>
      </c>
      <c r="AH1055" s="70" t="str">
        <f>IF(AB1055="","",ROUND(N(W1055)*N(J1055)*(1-N(K1055)),2))</f>
        <v/>
      </c>
      <c r="AI1055" s="70" t="str">
        <f>IF(OR(J1055="",N(T1055)&lt;=0,V1055="Oui"),"",ROUND(N(T1055)*J1055*(1-N(K1055)),2))</f>
        <v/>
      </c>
    </row>
    <row r="1056">
      <c r="A1056" s="63" t="n"/>
      <c r="B1056" s="64" t="n"/>
      <c r="C1056" s="65" t="n"/>
      <c r="D1056" s="66" t="str">
        <f>IF(C1056="","",IFERROR(INDEX(sup_name,MATCH($C1056,sup_code,0))&amp;"","Fournisseur inconnu"))</f>
        <v/>
      </c>
      <c r="E1056" s="63" t="n"/>
      <c r="F1056" s="66" t="str">
        <f>IF(E1056="","",IFERROR(INDEX(art_des,MATCH($E1056,art_ref,0))&amp;"","Article inconnu"))</f>
        <v/>
      </c>
      <c r="G1056" s="67" t="str">
        <f>IF(E1056="","",IFERROR(INDEX(art_unit,MATCH($E1056,art_ref,0))&amp;"",""))</f>
        <v/>
      </c>
      <c r="H1056" s="68" t="n"/>
      <c r="I1056" s="69" t="n"/>
      <c r="J1056" s="70" t="str">
        <f>IF(E1056="","",IF(ISNUMBER(I1056),I1056,IFERROR(IF(ISNUMBER(INDEX(art_price,MATCH($E1056,art_ref,0))),INDEX(art_price,MATCH($E1056,art_ref,0)),""),"")))</f>
        <v/>
      </c>
      <c r="K1056" s="71" t="n"/>
      <c r="L1056" s="72" t="n"/>
      <c r="M1056" s="72" t="str">
        <f>IF(E1056="","",IF(L1056&lt;&gt;"",L1056,IFERROR(IF(ISNUMBER(INDEX(art_tva,MATCH($E1056,art_ref,0))),INDEX(art_tva,MATCH($E1056,art_ref,0)),""),"")))</f>
        <v/>
      </c>
      <c r="N1056" s="70" t="str">
        <f>IF(OR(E1056="",J1056=""),"",ROUND(N(H1056)*J1056*(1-N(K1056)),2))</f>
        <v/>
      </c>
      <c r="O1056" s="70" t="str">
        <f>IF(OR(N1056="",NOT(ISNUMBER(M1056))),"",ROUND(N1056*M1056,2))</f>
        <v/>
      </c>
      <c r="P1056" s="70" t="str">
        <f>IF(N1056="","",N1056+N(O1056))</f>
        <v/>
      </c>
      <c r="Q1056" s="64" t="n"/>
      <c r="R1056" s="73" t="str">
        <f>IF(N(Q1056)&gt;0,Q1056,IF(OR(N(B1056)=0,ISNA(MATCH($C1056,sup_code,0))),"",IF(ISNUMBER(INDEX(sup_delay,MATCH($C1056,sup_code,0))),B1056+INDEX(sup_delay,MATCH($C1056,sup_code,0)),"")))</f>
        <v/>
      </c>
      <c r="S1056" s="64" t="n"/>
      <c r="T1056" s="68" t="n"/>
      <c r="U1056" s="64" t="n"/>
      <c r="V1056" s="65" t="n"/>
      <c r="W1056" s="74" t="str">
        <f>IF(AND(A1056="",E1056=""),"",IF(V1056="Oui",0,MAX(0,ROUND(N(H1056)-N(T1056),6))))</f>
        <v/>
      </c>
      <c r="X1056" s="67" t="str">
        <f>IF(AND(A1056="",E1056=""),"",IF(V1056="Oui","Annulé",IF(AND(N(H1056)&gt;0,N(T1056)&gt;=N(H1056)),"Reçu",IF(N(S1056)=0,"Brouillon",IF(AND(ISNUMBER(R1056),R1056&lt;p_today),"En retard",IF(N(T1056)&gt;0,"Partiel","Envoyé"))))))</f>
        <v/>
      </c>
      <c r="Y1056" s="75" t="str">
        <f>IF(X1056="En retard",p_today-R1056,IF(AND(X1056="Reçu",ISNUMBER(R1056)),MAX(0,N(U1056)-R1056),""))</f>
        <v/>
      </c>
      <c r="Z1056" s="67" t="str">
        <f>IF(AND(A1056="",E1056=""),"",IF(A1056="","N° de bon manquant",IF(N(B1056)=0,"Date de commande manquante",IF(C1056="","Fournisseur manquant",IF(ISNA(MATCH($C1056,sup_code,0)),"Fournisseur inconnu",IF(E1056="","Article manquant",IF(ISNA(MATCH($E1056,art_ref,0)),"Article inconnu",IF(N(H1056)&lt;=0,"Quantité invalide",IF(J1056="","Prix manquant",IF(OR(N(K1056)&lt;0,N(K1056)&gt;=1),"Remise invalide",IF(M1056="","TVA manquante",IF(ISNA(MATCH(M1056,p_tva,0)),"Taux de TVA inconnu",IF(COUNTIFS(po_num,A1056,po_sup,"&lt;&gt;"&amp;C1056)&gt;0,"Fournisseur différent sur ce bon",IF(COUNTIFS(po_num,A1056,po_date,"&lt;&gt;"&amp;B1056)&gt;0,"Date différente sur ce bon",IF(COUNTIF(po_num,A1056)&gt;25,"Plus de 25 lignes sur ce bon",IF(R1056="","Date de livraison manquante",IF(R1056&lt;B1056,"Livraison avant la commande",IF(AND(N(T1056)&gt;0,N(S1056)=0),"Date d'envoi manquante",IF(N(T1056)&gt;N(H1056),"Reçu plus que commandé",IF(AND(N(T1056)&gt;0,N(U1056)=0),"Date de réception manquante",IF(AND(N(U1056)&gt;0,U1056&lt;B1056),"Réception avant la commande","OK")))))))))))))))))))))</f>
        <v/>
      </c>
      <c r="AA1056" s="66" t="str">
        <f>IF(AND(X1056="Reçu",ISNUMBER(R1056)),IF(N(U1056)&lt;=R1056,1,0),"")</f>
        <v/>
      </c>
      <c r="AB1056" s="76" t="str">
        <f>IF(OR(X1056="Envoyé",X1056="Partiel",X1056="En retard"),IF(ISNUMBER(R1056),R1056,100000)+ROW()/100000,"")</f>
        <v/>
      </c>
      <c r="AC1056" s="66" t="str">
        <f>IF(A1056="","",IF(COUNTIF($A$6:A1056,A1056)=1,1,""))</f>
        <v/>
      </c>
      <c r="AD1056" s="66" t="str">
        <f>IF(AC1056=1,COUNT($AC$6:AC1056),"")</f>
        <v/>
      </c>
      <c r="AE1056" s="66" t="str">
        <f>IFERROR(INDEX(po_num,MATCH(1051,po_seq,0))&amp;"","")</f>
        <v/>
      </c>
      <c r="AF1056" s="66" t="str">
        <f>IF(OR(A1056="",p_po=""),"",IF(A1056&amp;""=p_po,COUNTIF($A$6:A1056,A1056),""))</f>
        <v/>
      </c>
      <c r="AG1056" s="66" t="str">
        <f>IF(OR(AB1056="",A1056=""),"",IF(COUNTIFS($A$6:A1056,A1056,$AB$6:AB1056,"&gt;0")=1,1,""))</f>
        <v/>
      </c>
      <c r="AH1056" s="70" t="str">
        <f>IF(AB1056="","",ROUND(N(W1056)*N(J1056)*(1-N(K1056)),2))</f>
        <v/>
      </c>
      <c r="AI1056" s="70" t="str">
        <f>IF(OR(J1056="",N(T1056)&lt;=0,V1056="Oui"),"",ROUND(N(T1056)*J1056*(1-N(K1056)),2))</f>
        <v/>
      </c>
    </row>
    <row r="1057">
      <c r="A1057" s="63" t="n"/>
      <c r="B1057" s="64" t="n"/>
      <c r="C1057" s="65" t="n"/>
      <c r="D1057" s="66" t="str">
        <f>IF(C1057="","",IFERROR(INDEX(sup_name,MATCH($C1057,sup_code,0))&amp;"","Fournisseur inconnu"))</f>
        <v/>
      </c>
      <c r="E1057" s="63" t="n"/>
      <c r="F1057" s="66" t="str">
        <f>IF(E1057="","",IFERROR(INDEX(art_des,MATCH($E1057,art_ref,0))&amp;"","Article inconnu"))</f>
        <v/>
      </c>
      <c r="G1057" s="67" t="str">
        <f>IF(E1057="","",IFERROR(INDEX(art_unit,MATCH($E1057,art_ref,0))&amp;"",""))</f>
        <v/>
      </c>
      <c r="H1057" s="68" t="n"/>
      <c r="I1057" s="69" t="n"/>
      <c r="J1057" s="70" t="str">
        <f>IF(E1057="","",IF(ISNUMBER(I1057),I1057,IFERROR(IF(ISNUMBER(INDEX(art_price,MATCH($E1057,art_ref,0))),INDEX(art_price,MATCH($E1057,art_ref,0)),""),"")))</f>
        <v/>
      </c>
      <c r="K1057" s="71" t="n"/>
      <c r="L1057" s="72" t="n"/>
      <c r="M1057" s="72" t="str">
        <f>IF(E1057="","",IF(L1057&lt;&gt;"",L1057,IFERROR(IF(ISNUMBER(INDEX(art_tva,MATCH($E1057,art_ref,0))),INDEX(art_tva,MATCH($E1057,art_ref,0)),""),"")))</f>
        <v/>
      </c>
      <c r="N1057" s="70" t="str">
        <f>IF(OR(E1057="",J1057=""),"",ROUND(N(H1057)*J1057*(1-N(K1057)),2))</f>
        <v/>
      </c>
      <c r="O1057" s="70" t="str">
        <f>IF(OR(N1057="",NOT(ISNUMBER(M1057))),"",ROUND(N1057*M1057,2))</f>
        <v/>
      </c>
      <c r="P1057" s="70" t="str">
        <f>IF(N1057="","",N1057+N(O1057))</f>
        <v/>
      </c>
      <c r="Q1057" s="64" t="n"/>
      <c r="R1057" s="73" t="str">
        <f>IF(N(Q1057)&gt;0,Q1057,IF(OR(N(B1057)=0,ISNA(MATCH($C1057,sup_code,0))),"",IF(ISNUMBER(INDEX(sup_delay,MATCH($C1057,sup_code,0))),B1057+INDEX(sup_delay,MATCH($C1057,sup_code,0)),"")))</f>
        <v/>
      </c>
      <c r="S1057" s="64" t="n"/>
      <c r="T1057" s="68" t="n"/>
      <c r="U1057" s="64" t="n"/>
      <c r="V1057" s="65" t="n"/>
      <c r="W1057" s="74" t="str">
        <f>IF(AND(A1057="",E1057=""),"",IF(V1057="Oui",0,MAX(0,ROUND(N(H1057)-N(T1057),6))))</f>
        <v/>
      </c>
      <c r="X1057" s="67" t="str">
        <f>IF(AND(A1057="",E1057=""),"",IF(V1057="Oui","Annulé",IF(AND(N(H1057)&gt;0,N(T1057)&gt;=N(H1057)),"Reçu",IF(N(S1057)=0,"Brouillon",IF(AND(ISNUMBER(R1057),R1057&lt;p_today),"En retard",IF(N(T1057)&gt;0,"Partiel","Envoyé"))))))</f>
        <v/>
      </c>
      <c r="Y1057" s="75" t="str">
        <f>IF(X1057="En retard",p_today-R1057,IF(AND(X1057="Reçu",ISNUMBER(R1057)),MAX(0,N(U1057)-R1057),""))</f>
        <v/>
      </c>
      <c r="Z1057" s="67" t="str">
        <f>IF(AND(A1057="",E1057=""),"",IF(A1057="","N° de bon manquant",IF(N(B1057)=0,"Date de commande manquante",IF(C1057="","Fournisseur manquant",IF(ISNA(MATCH($C1057,sup_code,0)),"Fournisseur inconnu",IF(E1057="","Article manquant",IF(ISNA(MATCH($E1057,art_ref,0)),"Article inconnu",IF(N(H1057)&lt;=0,"Quantité invalide",IF(J1057="","Prix manquant",IF(OR(N(K1057)&lt;0,N(K1057)&gt;=1),"Remise invalide",IF(M1057="","TVA manquante",IF(ISNA(MATCH(M1057,p_tva,0)),"Taux de TVA inconnu",IF(COUNTIFS(po_num,A1057,po_sup,"&lt;&gt;"&amp;C1057)&gt;0,"Fournisseur différent sur ce bon",IF(COUNTIFS(po_num,A1057,po_date,"&lt;&gt;"&amp;B1057)&gt;0,"Date différente sur ce bon",IF(COUNTIF(po_num,A1057)&gt;25,"Plus de 25 lignes sur ce bon",IF(R1057="","Date de livraison manquante",IF(R1057&lt;B1057,"Livraison avant la commande",IF(AND(N(T1057)&gt;0,N(S1057)=0),"Date d'envoi manquante",IF(N(T1057)&gt;N(H1057),"Reçu plus que commandé",IF(AND(N(T1057)&gt;0,N(U1057)=0),"Date de réception manquante",IF(AND(N(U1057)&gt;0,U1057&lt;B1057),"Réception avant la commande","OK")))))))))))))))))))))</f>
        <v/>
      </c>
      <c r="AA1057" s="66" t="str">
        <f>IF(AND(X1057="Reçu",ISNUMBER(R1057)),IF(N(U1057)&lt;=R1057,1,0),"")</f>
        <v/>
      </c>
      <c r="AB1057" s="76" t="str">
        <f>IF(OR(X1057="Envoyé",X1057="Partiel",X1057="En retard"),IF(ISNUMBER(R1057),R1057,100000)+ROW()/100000,"")</f>
        <v/>
      </c>
      <c r="AC1057" s="66" t="str">
        <f>IF(A1057="","",IF(COUNTIF($A$6:A1057,A1057)=1,1,""))</f>
        <v/>
      </c>
      <c r="AD1057" s="66" t="str">
        <f>IF(AC1057=1,COUNT($AC$6:AC1057),"")</f>
        <v/>
      </c>
      <c r="AE1057" s="66" t="str">
        <f>IFERROR(INDEX(po_num,MATCH(1052,po_seq,0))&amp;"","")</f>
        <v/>
      </c>
      <c r="AF1057" s="66" t="str">
        <f>IF(OR(A1057="",p_po=""),"",IF(A1057&amp;""=p_po,COUNTIF($A$6:A1057,A1057),""))</f>
        <v/>
      </c>
      <c r="AG1057" s="66" t="str">
        <f>IF(OR(AB1057="",A1057=""),"",IF(COUNTIFS($A$6:A1057,A1057,$AB$6:AB1057,"&gt;0")=1,1,""))</f>
        <v/>
      </c>
      <c r="AH1057" s="70" t="str">
        <f>IF(AB1057="","",ROUND(N(W1057)*N(J1057)*(1-N(K1057)),2))</f>
        <v/>
      </c>
      <c r="AI1057" s="70" t="str">
        <f>IF(OR(J1057="",N(T1057)&lt;=0,V1057="Oui"),"",ROUND(N(T1057)*J1057*(1-N(K1057)),2))</f>
        <v/>
      </c>
    </row>
    <row r="1058">
      <c r="A1058" s="63" t="n"/>
      <c r="B1058" s="64" t="n"/>
      <c r="C1058" s="65" t="n"/>
      <c r="D1058" s="66" t="str">
        <f>IF(C1058="","",IFERROR(INDEX(sup_name,MATCH($C1058,sup_code,0))&amp;"","Fournisseur inconnu"))</f>
        <v/>
      </c>
      <c r="E1058" s="63" t="n"/>
      <c r="F1058" s="66" t="str">
        <f>IF(E1058="","",IFERROR(INDEX(art_des,MATCH($E1058,art_ref,0))&amp;"","Article inconnu"))</f>
        <v/>
      </c>
      <c r="G1058" s="67" t="str">
        <f>IF(E1058="","",IFERROR(INDEX(art_unit,MATCH($E1058,art_ref,0))&amp;"",""))</f>
        <v/>
      </c>
      <c r="H1058" s="68" t="n"/>
      <c r="I1058" s="69" t="n"/>
      <c r="J1058" s="70" t="str">
        <f>IF(E1058="","",IF(ISNUMBER(I1058),I1058,IFERROR(IF(ISNUMBER(INDEX(art_price,MATCH($E1058,art_ref,0))),INDEX(art_price,MATCH($E1058,art_ref,0)),""),"")))</f>
        <v/>
      </c>
      <c r="K1058" s="71" t="n"/>
      <c r="L1058" s="72" t="n"/>
      <c r="M1058" s="72" t="str">
        <f>IF(E1058="","",IF(L1058&lt;&gt;"",L1058,IFERROR(IF(ISNUMBER(INDEX(art_tva,MATCH($E1058,art_ref,0))),INDEX(art_tva,MATCH($E1058,art_ref,0)),""),"")))</f>
        <v/>
      </c>
      <c r="N1058" s="70" t="str">
        <f>IF(OR(E1058="",J1058=""),"",ROUND(N(H1058)*J1058*(1-N(K1058)),2))</f>
        <v/>
      </c>
      <c r="O1058" s="70" t="str">
        <f>IF(OR(N1058="",NOT(ISNUMBER(M1058))),"",ROUND(N1058*M1058,2))</f>
        <v/>
      </c>
      <c r="P1058" s="70" t="str">
        <f>IF(N1058="","",N1058+N(O1058))</f>
        <v/>
      </c>
      <c r="Q1058" s="64" t="n"/>
      <c r="R1058" s="73" t="str">
        <f>IF(N(Q1058)&gt;0,Q1058,IF(OR(N(B1058)=0,ISNA(MATCH($C1058,sup_code,0))),"",IF(ISNUMBER(INDEX(sup_delay,MATCH($C1058,sup_code,0))),B1058+INDEX(sup_delay,MATCH($C1058,sup_code,0)),"")))</f>
        <v/>
      </c>
      <c r="S1058" s="64" t="n"/>
      <c r="T1058" s="68" t="n"/>
      <c r="U1058" s="64" t="n"/>
      <c r="V1058" s="65" t="n"/>
      <c r="W1058" s="74" t="str">
        <f>IF(AND(A1058="",E1058=""),"",IF(V1058="Oui",0,MAX(0,ROUND(N(H1058)-N(T1058),6))))</f>
        <v/>
      </c>
      <c r="X1058" s="67" t="str">
        <f>IF(AND(A1058="",E1058=""),"",IF(V1058="Oui","Annulé",IF(AND(N(H1058)&gt;0,N(T1058)&gt;=N(H1058)),"Reçu",IF(N(S1058)=0,"Brouillon",IF(AND(ISNUMBER(R1058),R1058&lt;p_today),"En retard",IF(N(T1058)&gt;0,"Partiel","Envoyé"))))))</f>
        <v/>
      </c>
      <c r="Y1058" s="75" t="str">
        <f>IF(X1058="En retard",p_today-R1058,IF(AND(X1058="Reçu",ISNUMBER(R1058)),MAX(0,N(U1058)-R1058),""))</f>
        <v/>
      </c>
      <c r="Z1058" s="67" t="str">
        <f>IF(AND(A1058="",E1058=""),"",IF(A1058="","N° de bon manquant",IF(N(B1058)=0,"Date de commande manquante",IF(C1058="","Fournisseur manquant",IF(ISNA(MATCH($C1058,sup_code,0)),"Fournisseur inconnu",IF(E1058="","Article manquant",IF(ISNA(MATCH($E1058,art_ref,0)),"Article inconnu",IF(N(H1058)&lt;=0,"Quantité invalide",IF(J1058="","Prix manquant",IF(OR(N(K1058)&lt;0,N(K1058)&gt;=1),"Remise invalide",IF(M1058="","TVA manquante",IF(ISNA(MATCH(M1058,p_tva,0)),"Taux de TVA inconnu",IF(COUNTIFS(po_num,A1058,po_sup,"&lt;&gt;"&amp;C1058)&gt;0,"Fournisseur différent sur ce bon",IF(COUNTIFS(po_num,A1058,po_date,"&lt;&gt;"&amp;B1058)&gt;0,"Date différente sur ce bon",IF(COUNTIF(po_num,A1058)&gt;25,"Plus de 25 lignes sur ce bon",IF(R1058="","Date de livraison manquante",IF(R1058&lt;B1058,"Livraison avant la commande",IF(AND(N(T1058)&gt;0,N(S1058)=0),"Date d'envoi manquante",IF(N(T1058)&gt;N(H1058),"Reçu plus que commandé",IF(AND(N(T1058)&gt;0,N(U1058)=0),"Date de réception manquante",IF(AND(N(U1058)&gt;0,U1058&lt;B1058),"Réception avant la commande","OK")))))))))))))))))))))</f>
        <v/>
      </c>
      <c r="AA1058" s="66" t="str">
        <f>IF(AND(X1058="Reçu",ISNUMBER(R1058)),IF(N(U1058)&lt;=R1058,1,0),"")</f>
        <v/>
      </c>
      <c r="AB1058" s="76" t="str">
        <f>IF(OR(X1058="Envoyé",X1058="Partiel",X1058="En retard"),IF(ISNUMBER(R1058),R1058,100000)+ROW()/100000,"")</f>
        <v/>
      </c>
      <c r="AC1058" s="66" t="str">
        <f>IF(A1058="","",IF(COUNTIF($A$6:A1058,A1058)=1,1,""))</f>
        <v/>
      </c>
      <c r="AD1058" s="66" t="str">
        <f>IF(AC1058=1,COUNT($AC$6:AC1058),"")</f>
        <v/>
      </c>
      <c r="AE1058" s="66" t="str">
        <f>IFERROR(INDEX(po_num,MATCH(1053,po_seq,0))&amp;"","")</f>
        <v/>
      </c>
      <c r="AF1058" s="66" t="str">
        <f>IF(OR(A1058="",p_po=""),"",IF(A1058&amp;""=p_po,COUNTIF($A$6:A1058,A1058),""))</f>
        <v/>
      </c>
      <c r="AG1058" s="66" t="str">
        <f>IF(OR(AB1058="",A1058=""),"",IF(COUNTIFS($A$6:A1058,A1058,$AB$6:AB1058,"&gt;0")=1,1,""))</f>
        <v/>
      </c>
      <c r="AH1058" s="70" t="str">
        <f>IF(AB1058="","",ROUND(N(W1058)*N(J1058)*(1-N(K1058)),2))</f>
        <v/>
      </c>
      <c r="AI1058" s="70" t="str">
        <f>IF(OR(J1058="",N(T1058)&lt;=0,V1058="Oui"),"",ROUND(N(T1058)*J1058*(1-N(K1058)),2))</f>
        <v/>
      </c>
    </row>
    <row r="1059">
      <c r="A1059" s="63" t="n"/>
      <c r="B1059" s="64" t="n"/>
      <c r="C1059" s="65" t="n"/>
      <c r="D1059" s="66" t="str">
        <f>IF(C1059="","",IFERROR(INDEX(sup_name,MATCH($C1059,sup_code,0))&amp;"","Fournisseur inconnu"))</f>
        <v/>
      </c>
      <c r="E1059" s="63" t="n"/>
      <c r="F1059" s="66" t="str">
        <f>IF(E1059="","",IFERROR(INDEX(art_des,MATCH($E1059,art_ref,0))&amp;"","Article inconnu"))</f>
        <v/>
      </c>
      <c r="G1059" s="67" t="str">
        <f>IF(E1059="","",IFERROR(INDEX(art_unit,MATCH($E1059,art_ref,0))&amp;"",""))</f>
        <v/>
      </c>
      <c r="H1059" s="68" t="n"/>
      <c r="I1059" s="69" t="n"/>
      <c r="J1059" s="70" t="str">
        <f>IF(E1059="","",IF(ISNUMBER(I1059),I1059,IFERROR(IF(ISNUMBER(INDEX(art_price,MATCH($E1059,art_ref,0))),INDEX(art_price,MATCH($E1059,art_ref,0)),""),"")))</f>
        <v/>
      </c>
      <c r="K1059" s="71" t="n"/>
      <c r="L1059" s="72" t="n"/>
      <c r="M1059" s="72" t="str">
        <f>IF(E1059="","",IF(L1059&lt;&gt;"",L1059,IFERROR(IF(ISNUMBER(INDEX(art_tva,MATCH($E1059,art_ref,0))),INDEX(art_tva,MATCH($E1059,art_ref,0)),""),"")))</f>
        <v/>
      </c>
      <c r="N1059" s="70" t="str">
        <f>IF(OR(E1059="",J1059=""),"",ROUND(N(H1059)*J1059*(1-N(K1059)),2))</f>
        <v/>
      </c>
      <c r="O1059" s="70" t="str">
        <f>IF(OR(N1059="",NOT(ISNUMBER(M1059))),"",ROUND(N1059*M1059,2))</f>
        <v/>
      </c>
      <c r="P1059" s="70" t="str">
        <f>IF(N1059="","",N1059+N(O1059))</f>
        <v/>
      </c>
      <c r="Q1059" s="64" t="n"/>
      <c r="R1059" s="73" t="str">
        <f>IF(N(Q1059)&gt;0,Q1059,IF(OR(N(B1059)=0,ISNA(MATCH($C1059,sup_code,0))),"",IF(ISNUMBER(INDEX(sup_delay,MATCH($C1059,sup_code,0))),B1059+INDEX(sup_delay,MATCH($C1059,sup_code,0)),"")))</f>
        <v/>
      </c>
      <c r="S1059" s="64" t="n"/>
      <c r="T1059" s="68" t="n"/>
      <c r="U1059" s="64" t="n"/>
      <c r="V1059" s="65" t="n"/>
      <c r="W1059" s="74" t="str">
        <f>IF(AND(A1059="",E1059=""),"",IF(V1059="Oui",0,MAX(0,ROUND(N(H1059)-N(T1059),6))))</f>
        <v/>
      </c>
      <c r="X1059" s="67" t="str">
        <f>IF(AND(A1059="",E1059=""),"",IF(V1059="Oui","Annulé",IF(AND(N(H1059)&gt;0,N(T1059)&gt;=N(H1059)),"Reçu",IF(N(S1059)=0,"Brouillon",IF(AND(ISNUMBER(R1059),R1059&lt;p_today),"En retard",IF(N(T1059)&gt;0,"Partiel","Envoyé"))))))</f>
        <v/>
      </c>
      <c r="Y1059" s="75" t="str">
        <f>IF(X1059="En retard",p_today-R1059,IF(AND(X1059="Reçu",ISNUMBER(R1059)),MAX(0,N(U1059)-R1059),""))</f>
        <v/>
      </c>
      <c r="Z1059" s="67" t="str">
        <f>IF(AND(A1059="",E1059=""),"",IF(A1059="","N° de bon manquant",IF(N(B1059)=0,"Date de commande manquante",IF(C1059="","Fournisseur manquant",IF(ISNA(MATCH($C1059,sup_code,0)),"Fournisseur inconnu",IF(E1059="","Article manquant",IF(ISNA(MATCH($E1059,art_ref,0)),"Article inconnu",IF(N(H1059)&lt;=0,"Quantité invalide",IF(J1059="","Prix manquant",IF(OR(N(K1059)&lt;0,N(K1059)&gt;=1),"Remise invalide",IF(M1059="","TVA manquante",IF(ISNA(MATCH(M1059,p_tva,0)),"Taux de TVA inconnu",IF(COUNTIFS(po_num,A1059,po_sup,"&lt;&gt;"&amp;C1059)&gt;0,"Fournisseur différent sur ce bon",IF(COUNTIFS(po_num,A1059,po_date,"&lt;&gt;"&amp;B1059)&gt;0,"Date différente sur ce bon",IF(COUNTIF(po_num,A1059)&gt;25,"Plus de 25 lignes sur ce bon",IF(R1059="","Date de livraison manquante",IF(R1059&lt;B1059,"Livraison avant la commande",IF(AND(N(T1059)&gt;0,N(S1059)=0),"Date d'envoi manquante",IF(N(T1059)&gt;N(H1059),"Reçu plus que commandé",IF(AND(N(T1059)&gt;0,N(U1059)=0),"Date de réception manquante",IF(AND(N(U1059)&gt;0,U1059&lt;B1059),"Réception avant la commande","OK")))))))))))))))))))))</f>
        <v/>
      </c>
      <c r="AA1059" s="66" t="str">
        <f>IF(AND(X1059="Reçu",ISNUMBER(R1059)),IF(N(U1059)&lt;=R1059,1,0),"")</f>
        <v/>
      </c>
      <c r="AB1059" s="76" t="str">
        <f>IF(OR(X1059="Envoyé",X1059="Partiel",X1059="En retard"),IF(ISNUMBER(R1059),R1059,100000)+ROW()/100000,"")</f>
        <v/>
      </c>
      <c r="AC1059" s="66" t="str">
        <f>IF(A1059="","",IF(COUNTIF($A$6:A1059,A1059)=1,1,""))</f>
        <v/>
      </c>
      <c r="AD1059" s="66" t="str">
        <f>IF(AC1059=1,COUNT($AC$6:AC1059),"")</f>
        <v/>
      </c>
      <c r="AE1059" s="66" t="str">
        <f>IFERROR(INDEX(po_num,MATCH(1054,po_seq,0))&amp;"","")</f>
        <v/>
      </c>
      <c r="AF1059" s="66" t="str">
        <f>IF(OR(A1059="",p_po=""),"",IF(A1059&amp;""=p_po,COUNTIF($A$6:A1059,A1059),""))</f>
        <v/>
      </c>
      <c r="AG1059" s="66" t="str">
        <f>IF(OR(AB1059="",A1059=""),"",IF(COUNTIFS($A$6:A1059,A1059,$AB$6:AB1059,"&gt;0")=1,1,""))</f>
        <v/>
      </c>
      <c r="AH1059" s="70" t="str">
        <f>IF(AB1059="","",ROUND(N(W1059)*N(J1059)*(1-N(K1059)),2))</f>
        <v/>
      </c>
      <c r="AI1059" s="70" t="str">
        <f>IF(OR(J1059="",N(T1059)&lt;=0,V1059="Oui"),"",ROUND(N(T1059)*J1059*(1-N(K1059)),2))</f>
        <v/>
      </c>
    </row>
    <row r="1060">
      <c r="A1060" s="63" t="n"/>
      <c r="B1060" s="64" t="n"/>
      <c r="C1060" s="65" t="n"/>
      <c r="D1060" s="66" t="str">
        <f>IF(C1060="","",IFERROR(INDEX(sup_name,MATCH($C1060,sup_code,0))&amp;"","Fournisseur inconnu"))</f>
        <v/>
      </c>
      <c r="E1060" s="63" t="n"/>
      <c r="F1060" s="66" t="str">
        <f>IF(E1060="","",IFERROR(INDEX(art_des,MATCH($E1060,art_ref,0))&amp;"","Article inconnu"))</f>
        <v/>
      </c>
      <c r="G1060" s="67" t="str">
        <f>IF(E1060="","",IFERROR(INDEX(art_unit,MATCH($E1060,art_ref,0))&amp;"",""))</f>
        <v/>
      </c>
      <c r="H1060" s="68" t="n"/>
      <c r="I1060" s="69" t="n"/>
      <c r="J1060" s="70" t="str">
        <f>IF(E1060="","",IF(ISNUMBER(I1060),I1060,IFERROR(IF(ISNUMBER(INDEX(art_price,MATCH($E1060,art_ref,0))),INDEX(art_price,MATCH($E1060,art_ref,0)),""),"")))</f>
        <v/>
      </c>
      <c r="K1060" s="71" t="n"/>
      <c r="L1060" s="72" t="n"/>
      <c r="M1060" s="72" t="str">
        <f>IF(E1060="","",IF(L1060&lt;&gt;"",L1060,IFERROR(IF(ISNUMBER(INDEX(art_tva,MATCH($E1060,art_ref,0))),INDEX(art_tva,MATCH($E1060,art_ref,0)),""),"")))</f>
        <v/>
      </c>
      <c r="N1060" s="70" t="str">
        <f>IF(OR(E1060="",J1060=""),"",ROUND(N(H1060)*J1060*(1-N(K1060)),2))</f>
        <v/>
      </c>
      <c r="O1060" s="70" t="str">
        <f>IF(OR(N1060="",NOT(ISNUMBER(M1060))),"",ROUND(N1060*M1060,2))</f>
        <v/>
      </c>
      <c r="P1060" s="70" t="str">
        <f>IF(N1060="","",N1060+N(O1060))</f>
        <v/>
      </c>
      <c r="Q1060" s="64" t="n"/>
      <c r="R1060" s="73" t="str">
        <f>IF(N(Q1060)&gt;0,Q1060,IF(OR(N(B1060)=0,ISNA(MATCH($C1060,sup_code,0))),"",IF(ISNUMBER(INDEX(sup_delay,MATCH($C1060,sup_code,0))),B1060+INDEX(sup_delay,MATCH($C1060,sup_code,0)),"")))</f>
        <v/>
      </c>
      <c r="S1060" s="64" t="n"/>
      <c r="T1060" s="68" t="n"/>
      <c r="U1060" s="64" t="n"/>
      <c r="V1060" s="65" t="n"/>
      <c r="W1060" s="74" t="str">
        <f>IF(AND(A1060="",E1060=""),"",IF(V1060="Oui",0,MAX(0,ROUND(N(H1060)-N(T1060),6))))</f>
        <v/>
      </c>
      <c r="X1060" s="67" t="str">
        <f>IF(AND(A1060="",E1060=""),"",IF(V1060="Oui","Annulé",IF(AND(N(H1060)&gt;0,N(T1060)&gt;=N(H1060)),"Reçu",IF(N(S1060)=0,"Brouillon",IF(AND(ISNUMBER(R1060),R1060&lt;p_today),"En retard",IF(N(T1060)&gt;0,"Partiel","Envoyé"))))))</f>
        <v/>
      </c>
      <c r="Y1060" s="75" t="str">
        <f>IF(X1060="En retard",p_today-R1060,IF(AND(X1060="Reçu",ISNUMBER(R1060)),MAX(0,N(U1060)-R1060),""))</f>
        <v/>
      </c>
      <c r="Z1060" s="67" t="str">
        <f>IF(AND(A1060="",E1060=""),"",IF(A1060="","N° de bon manquant",IF(N(B1060)=0,"Date de commande manquante",IF(C1060="","Fournisseur manquant",IF(ISNA(MATCH($C1060,sup_code,0)),"Fournisseur inconnu",IF(E1060="","Article manquant",IF(ISNA(MATCH($E1060,art_ref,0)),"Article inconnu",IF(N(H1060)&lt;=0,"Quantité invalide",IF(J1060="","Prix manquant",IF(OR(N(K1060)&lt;0,N(K1060)&gt;=1),"Remise invalide",IF(M1060="","TVA manquante",IF(ISNA(MATCH(M1060,p_tva,0)),"Taux de TVA inconnu",IF(COUNTIFS(po_num,A1060,po_sup,"&lt;&gt;"&amp;C1060)&gt;0,"Fournisseur différent sur ce bon",IF(COUNTIFS(po_num,A1060,po_date,"&lt;&gt;"&amp;B1060)&gt;0,"Date différente sur ce bon",IF(COUNTIF(po_num,A1060)&gt;25,"Plus de 25 lignes sur ce bon",IF(R1060="","Date de livraison manquante",IF(R1060&lt;B1060,"Livraison avant la commande",IF(AND(N(T1060)&gt;0,N(S1060)=0),"Date d'envoi manquante",IF(N(T1060)&gt;N(H1060),"Reçu plus que commandé",IF(AND(N(T1060)&gt;0,N(U1060)=0),"Date de réception manquante",IF(AND(N(U1060)&gt;0,U1060&lt;B1060),"Réception avant la commande","OK")))))))))))))))))))))</f>
        <v/>
      </c>
      <c r="AA1060" s="66" t="str">
        <f>IF(AND(X1060="Reçu",ISNUMBER(R1060)),IF(N(U1060)&lt;=R1060,1,0),"")</f>
        <v/>
      </c>
      <c r="AB1060" s="76" t="str">
        <f>IF(OR(X1060="Envoyé",X1060="Partiel",X1060="En retard"),IF(ISNUMBER(R1060),R1060,100000)+ROW()/100000,"")</f>
        <v/>
      </c>
      <c r="AC1060" s="66" t="str">
        <f>IF(A1060="","",IF(COUNTIF($A$6:A1060,A1060)=1,1,""))</f>
        <v/>
      </c>
      <c r="AD1060" s="66" t="str">
        <f>IF(AC1060=1,COUNT($AC$6:AC1060),"")</f>
        <v/>
      </c>
      <c r="AE1060" s="66" t="str">
        <f>IFERROR(INDEX(po_num,MATCH(1055,po_seq,0))&amp;"","")</f>
        <v/>
      </c>
      <c r="AF1060" s="66" t="str">
        <f>IF(OR(A1060="",p_po=""),"",IF(A1060&amp;""=p_po,COUNTIF($A$6:A1060,A1060),""))</f>
        <v/>
      </c>
      <c r="AG1060" s="66" t="str">
        <f>IF(OR(AB1060="",A1060=""),"",IF(COUNTIFS($A$6:A1060,A1060,$AB$6:AB1060,"&gt;0")=1,1,""))</f>
        <v/>
      </c>
      <c r="AH1060" s="70" t="str">
        <f>IF(AB1060="","",ROUND(N(W1060)*N(J1060)*(1-N(K1060)),2))</f>
        <v/>
      </c>
      <c r="AI1060" s="70" t="str">
        <f>IF(OR(J1060="",N(T1060)&lt;=0,V1060="Oui"),"",ROUND(N(T1060)*J1060*(1-N(K1060)),2))</f>
        <v/>
      </c>
    </row>
    <row r="1061">
      <c r="A1061" s="63" t="n"/>
      <c r="B1061" s="64" t="n"/>
      <c r="C1061" s="65" t="n"/>
      <c r="D1061" s="66" t="str">
        <f>IF(C1061="","",IFERROR(INDEX(sup_name,MATCH($C1061,sup_code,0))&amp;"","Fournisseur inconnu"))</f>
        <v/>
      </c>
      <c r="E1061" s="63" t="n"/>
      <c r="F1061" s="66" t="str">
        <f>IF(E1061="","",IFERROR(INDEX(art_des,MATCH($E1061,art_ref,0))&amp;"","Article inconnu"))</f>
        <v/>
      </c>
      <c r="G1061" s="67" t="str">
        <f>IF(E1061="","",IFERROR(INDEX(art_unit,MATCH($E1061,art_ref,0))&amp;"",""))</f>
        <v/>
      </c>
      <c r="H1061" s="68" t="n"/>
      <c r="I1061" s="69" t="n"/>
      <c r="J1061" s="70" t="str">
        <f>IF(E1061="","",IF(ISNUMBER(I1061),I1061,IFERROR(IF(ISNUMBER(INDEX(art_price,MATCH($E1061,art_ref,0))),INDEX(art_price,MATCH($E1061,art_ref,0)),""),"")))</f>
        <v/>
      </c>
      <c r="K1061" s="71" t="n"/>
      <c r="L1061" s="72" t="n"/>
      <c r="M1061" s="72" t="str">
        <f>IF(E1061="","",IF(L1061&lt;&gt;"",L1061,IFERROR(IF(ISNUMBER(INDEX(art_tva,MATCH($E1061,art_ref,0))),INDEX(art_tva,MATCH($E1061,art_ref,0)),""),"")))</f>
        <v/>
      </c>
      <c r="N1061" s="70" t="str">
        <f>IF(OR(E1061="",J1061=""),"",ROUND(N(H1061)*J1061*(1-N(K1061)),2))</f>
        <v/>
      </c>
      <c r="O1061" s="70" t="str">
        <f>IF(OR(N1061="",NOT(ISNUMBER(M1061))),"",ROUND(N1061*M1061,2))</f>
        <v/>
      </c>
      <c r="P1061" s="70" t="str">
        <f>IF(N1061="","",N1061+N(O1061))</f>
        <v/>
      </c>
      <c r="Q1061" s="64" t="n"/>
      <c r="R1061" s="73" t="str">
        <f>IF(N(Q1061)&gt;0,Q1061,IF(OR(N(B1061)=0,ISNA(MATCH($C1061,sup_code,0))),"",IF(ISNUMBER(INDEX(sup_delay,MATCH($C1061,sup_code,0))),B1061+INDEX(sup_delay,MATCH($C1061,sup_code,0)),"")))</f>
        <v/>
      </c>
      <c r="S1061" s="64" t="n"/>
      <c r="T1061" s="68" t="n"/>
      <c r="U1061" s="64" t="n"/>
      <c r="V1061" s="65" t="n"/>
      <c r="W1061" s="74" t="str">
        <f>IF(AND(A1061="",E1061=""),"",IF(V1061="Oui",0,MAX(0,ROUND(N(H1061)-N(T1061),6))))</f>
        <v/>
      </c>
      <c r="X1061" s="67" t="str">
        <f>IF(AND(A1061="",E1061=""),"",IF(V1061="Oui","Annulé",IF(AND(N(H1061)&gt;0,N(T1061)&gt;=N(H1061)),"Reçu",IF(N(S1061)=0,"Brouillon",IF(AND(ISNUMBER(R1061),R1061&lt;p_today),"En retard",IF(N(T1061)&gt;0,"Partiel","Envoyé"))))))</f>
        <v/>
      </c>
      <c r="Y1061" s="75" t="str">
        <f>IF(X1061="En retard",p_today-R1061,IF(AND(X1061="Reçu",ISNUMBER(R1061)),MAX(0,N(U1061)-R1061),""))</f>
        <v/>
      </c>
      <c r="Z1061" s="67" t="str">
        <f>IF(AND(A1061="",E1061=""),"",IF(A1061="","N° de bon manquant",IF(N(B1061)=0,"Date de commande manquante",IF(C1061="","Fournisseur manquant",IF(ISNA(MATCH($C1061,sup_code,0)),"Fournisseur inconnu",IF(E1061="","Article manquant",IF(ISNA(MATCH($E1061,art_ref,0)),"Article inconnu",IF(N(H1061)&lt;=0,"Quantité invalide",IF(J1061="","Prix manquant",IF(OR(N(K1061)&lt;0,N(K1061)&gt;=1),"Remise invalide",IF(M1061="","TVA manquante",IF(ISNA(MATCH(M1061,p_tva,0)),"Taux de TVA inconnu",IF(COUNTIFS(po_num,A1061,po_sup,"&lt;&gt;"&amp;C1061)&gt;0,"Fournisseur différent sur ce bon",IF(COUNTIFS(po_num,A1061,po_date,"&lt;&gt;"&amp;B1061)&gt;0,"Date différente sur ce bon",IF(COUNTIF(po_num,A1061)&gt;25,"Plus de 25 lignes sur ce bon",IF(R1061="","Date de livraison manquante",IF(R1061&lt;B1061,"Livraison avant la commande",IF(AND(N(T1061)&gt;0,N(S1061)=0),"Date d'envoi manquante",IF(N(T1061)&gt;N(H1061),"Reçu plus que commandé",IF(AND(N(T1061)&gt;0,N(U1061)=0),"Date de réception manquante",IF(AND(N(U1061)&gt;0,U1061&lt;B1061),"Réception avant la commande","OK")))))))))))))))))))))</f>
        <v/>
      </c>
      <c r="AA1061" s="66" t="str">
        <f>IF(AND(X1061="Reçu",ISNUMBER(R1061)),IF(N(U1061)&lt;=R1061,1,0),"")</f>
        <v/>
      </c>
      <c r="AB1061" s="76" t="str">
        <f>IF(OR(X1061="Envoyé",X1061="Partiel",X1061="En retard"),IF(ISNUMBER(R1061),R1061,100000)+ROW()/100000,"")</f>
        <v/>
      </c>
      <c r="AC1061" s="66" t="str">
        <f>IF(A1061="","",IF(COUNTIF($A$6:A1061,A1061)=1,1,""))</f>
        <v/>
      </c>
      <c r="AD1061" s="66" t="str">
        <f>IF(AC1061=1,COUNT($AC$6:AC1061),"")</f>
        <v/>
      </c>
      <c r="AE1061" s="66" t="str">
        <f>IFERROR(INDEX(po_num,MATCH(1056,po_seq,0))&amp;"","")</f>
        <v/>
      </c>
      <c r="AF1061" s="66" t="str">
        <f>IF(OR(A1061="",p_po=""),"",IF(A1061&amp;""=p_po,COUNTIF($A$6:A1061,A1061),""))</f>
        <v/>
      </c>
      <c r="AG1061" s="66" t="str">
        <f>IF(OR(AB1061="",A1061=""),"",IF(COUNTIFS($A$6:A1061,A1061,$AB$6:AB1061,"&gt;0")=1,1,""))</f>
        <v/>
      </c>
      <c r="AH1061" s="70" t="str">
        <f>IF(AB1061="","",ROUND(N(W1061)*N(J1061)*(1-N(K1061)),2))</f>
        <v/>
      </c>
      <c r="AI1061" s="70" t="str">
        <f>IF(OR(J1061="",N(T1061)&lt;=0,V1061="Oui"),"",ROUND(N(T1061)*J1061*(1-N(K1061)),2))</f>
        <v/>
      </c>
    </row>
    <row r="1062">
      <c r="A1062" s="63" t="n"/>
      <c r="B1062" s="64" t="n"/>
      <c r="C1062" s="65" t="n"/>
      <c r="D1062" s="66" t="str">
        <f>IF(C1062="","",IFERROR(INDEX(sup_name,MATCH($C1062,sup_code,0))&amp;"","Fournisseur inconnu"))</f>
        <v/>
      </c>
      <c r="E1062" s="63" t="n"/>
      <c r="F1062" s="66" t="str">
        <f>IF(E1062="","",IFERROR(INDEX(art_des,MATCH($E1062,art_ref,0))&amp;"","Article inconnu"))</f>
        <v/>
      </c>
      <c r="G1062" s="67" t="str">
        <f>IF(E1062="","",IFERROR(INDEX(art_unit,MATCH($E1062,art_ref,0))&amp;"",""))</f>
        <v/>
      </c>
      <c r="H1062" s="68" t="n"/>
      <c r="I1062" s="69" t="n"/>
      <c r="J1062" s="70" t="str">
        <f>IF(E1062="","",IF(ISNUMBER(I1062),I1062,IFERROR(IF(ISNUMBER(INDEX(art_price,MATCH($E1062,art_ref,0))),INDEX(art_price,MATCH($E1062,art_ref,0)),""),"")))</f>
        <v/>
      </c>
      <c r="K1062" s="71" t="n"/>
      <c r="L1062" s="72" t="n"/>
      <c r="M1062" s="72" t="str">
        <f>IF(E1062="","",IF(L1062&lt;&gt;"",L1062,IFERROR(IF(ISNUMBER(INDEX(art_tva,MATCH($E1062,art_ref,0))),INDEX(art_tva,MATCH($E1062,art_ref,0)),""),"")))</f>
        <v/>
      </c>
      <c r="N1062" s="70" t="str">
        <f>IF(OR(E1062="",J1062=""),"",ROUND(N(H1062)*J1062*(1-N(K1062)),2))</f>
        <v/>
      </c>
      <c r="O1062" s="70" t="str">
        <f>IF(OR(N1062="",NOT(ISNUMBER(M1062))),"",ROUND(N1062*M1062,2))</f>
        <v/>
      </c>
      <c r="P1062" s="70" t="str">
        <f>IF(N1062="","",N1062+N(O1062))</f>
        <v/>
      </c>
      <c r="Q1062" s="64" t="n"/>
      <c r="R1062" s="73" t="str">
        <f>IF(N(Q1062)&gt;0,Q1062,IF(OR(N(B1062)=0,ISNA(MATCH($C1062,sup_code,0))),"",IF(ISNUMBER(INDEX(sup_delay,MATCH($C1062,sup_code,0))),B1062+INDEX(sup_delay,MATCH($C1062,sup_code,0)),"")))</f>
        <v/>
      </c>
      <c r="S1062" s="64" t="n"/>
      <c r="T1062" s="68" t="n"/>
      <c r="U1062" s="64" t="n"/>
      <c r="V1062" s="65" t="n"/>
      <c r="W1062" s="74" t="str">
        <f>IF(AND(A1062="",E1062=""),"",IF(V1062="Oui",0,MAX(0,ROUND(N(H1062)-N(T1062),6))))</f>
        <v/>
      </c>
      <c r="X1062" s="67" t="str">
        <f>IF(AND(A1062="",E1062=""),"",IF(V1062="Oui","Annulé",IF(AND(N(H1062)&gt;0,N(T1062)&gt;=N(H1062)),"Reçu",IF(N(S1062)=0,"Brouillon",IF(AND(ISNUMBER(R1062),R1062&lt;p_today),"En retard",IF(N(T1062)&gt;0,"Partiel","Envoyé"))))))</f>
        <v/>
      </c>
      <c r="Y1062" s="75" t="str">
        <f>IF(X1062="En retard",p_today-R1062,IF(AND(X1062="Reçu",ISNUMBER(R1062)),MAX(0,N(U1062)-R1062),""))</f>
        <v/>
      </c>
      <c r="Z1062" s="67" t="str">
        <f>IF(AND(A1062="",E1062=""),"",IF(A1062="","N° de bon manquant",IF(N(B1062)=0,"Date de commande manquante",IF(C1062="","Fournisseur manquant",IF(ISNA(MATCH($C1062,sup_code,0)),"Fournisseur inconnu",IF(E1062="","Article manquant",IF(ISNA(MATCH($E1062,art_ref,0)),"Article inconnu",IF(N(H1062)&lt;=0,"Quantité invalide",IF(J1062="","Prix manquant",IF(OR(N(K1062)&lt;0,N(K1062)&gt;=1),"Remise invalide",IF(M1062="","TVA manquante",IF(ISNA(MATCH(M1062,p_tva,0)),"Taux de TVA inconnu",IF(COUNTIFS(po_num,A1062,po_sup,"&lt;&gt;"&amp;C1062)&gt;0,"Fournisseur différent sur ce bon",IF(COUNTIFS(po_num,A1062,po_date,"&lt;&gt;"&amp;B1062)&gt;0,"Date différente sur ce bon",IF(COUNTIF(po_num,A1062)&gt;25,"Plus de 25 lignes sur ce bon",IF(R1062="","Date de livraison manquante",IF(R1062&lt;B1062,"Livraison avant la commande",IF(AND(N(T1062)&gt;0,N(S1062)=0),"Date d'envoi manquante",IF(N(T1062)&gt;N(H1062),"Reçu plus que commandé",IF(AND(N(T1062)&gt;0,N(U1062)=0),"Date de réception manquante",IF(AND(N(U1062)&gt;0,U1062&lt;B1062),"Réception avant la commande","OK")))))))))))))))))))))</f>
        <v/>
      </c>
      <c r="AA1062" s="66" t="str">
        <f>IF(AND(X1062="Reçu",ISNUMBER(R1062)),IF(N(U1062)&lt;=R1062,1,0),"")</f>
        <v/>
      </c>
      <c r="AB1062" s="76" t="str">
        <f>IF(OR(X1062="Envoyé",X1062="Partiel",X1062="En retard"),IF(ISNUMBER(R1062),R1062,100000)+ROW()/100000,"")</f>
        <v/>
      </c>
      <c r="AC1062" s="66" t="str">
        <f>IF(A1062="","",IF(COUNTIF($A$6:A1062,A1062)=1,1,""))</f>
        <v/>
      </c>
      <c r="AD1062" s="66" t="str">
        <f>IF(AC1062=1,COUNT($AC$6:AC1062),"")</f>
        <v/>
      </c>
      <c r="AE1062" s="66" t="str">
        <f>IFERROR(INDEX(po_num,MATCH(1057,po_seq,0))&amp;"","")</f>
        <v/>
      </c>
      <c r="AF1062" s="66" t="str">
        <f>IF(OR(A1062="",p_po=""),"",IF(A1062&amp;""=p_po,COUNTIF($A$6:A1062,A1062),""))</f>
        <v/>
      </c>
      <c r="AG1062" s="66" t="str">
        <f>IF(OR(AB1062="",A1062=""),"",IF(COUNTIFS($A$6:A1062,A1062,$AB$6:AB1062,"&gt;0")=1,1,""))</f>
        <v/>
      </c>
      <c r="AH1062" s="70" t="str">
        <f>IF(AB1062="","",ROUND(N(W1062)*N(J1062)*(1-N(K1062)),2))</f>
        <v/>
      </c>
      <c r="AI1062" s="70" t="str">
        <f>IF(OR(J1062="",N(T1062)&lt;=0,V1062="Oui"),"",ROUND(N(T1062)*J1062*(1-N(K1062)),2))</f>
        <v/>
      </c>
    </row>
    <row r="1063">
      <c r="A1063" s="63" t="n"/>
      <c r="B1063" s="64" t="n"/>
      <c r="C1063" s="65" t="n"/>
      <c r="D1063" s="66" t="str">
        <f>IF(C1063="","",IFERROR(INDEX(sup_name,MATCH($C1063,sup_code,0))&amp;"","Fournisseur inconnu"))</f>
        <v/>
      </c>
      <c r="E1063" s="63" t="n"/>
      <c r="F1063" s="66" t="str">
        <f>IF(E1063="","",IFERROR(INDEX(art_des,MATCH($E1063,art_ref,0))&amp;"","Article inconnu"))</f>
        <v/>
      </c>
      <c r="G1063" s="67" t="str">
        <f>IF(E1063="","",IFERROR(INDEX(art_unit,MATCH($E1063,art_ref,0))&amp;"",""))</f>
        <v/>
      </c>
      <c r="H1063" s="68" t="n"/>
      <c r="I1063" s="69" t="n"/>
      <c r="J1063" s="70" t="str">
        <f>IF(E1063="","",IF(ISNUMBER(I1063),I1063,IFERROR(IF(ISNUMBER(INDEX(art_price,MATCH($E1063,art_ref,0))),INDEX(art_price,MATCH($E1063,art_ref,0)),""),"")))</f>
        <v/>
      </c>
      <c r="K1063" s="71" t="n"/>
      <c r="L1063" s="72" t="n"/>
      <c r="M1063" s="72" t="str">
        <f>IF(E1063="","",IF(L1063&lt;&gt;"",L1063,IFERROR(IF(ISNUMBER(INDEX(art_tva,MATCH($E1063,art_ref,0))),INDEX(art_tva,MATCH($E1063,art_ref,0)),""),"")))</f>
        <v/>
      </c>
      <c r="N1063" s="70" t="str">
        <f>IF(OR(E1063="",J1063=""),"",ROUND(N(H1063)*J1063*(1-N(K1063)),2))</f>
        <v/>
      </c>
      <c r="O1063" s="70" t="str">
        <f>IF(OR(N1063="",NOT(ISNUMBER(M1063))),"",ROUND(N1063*M1063,2))</f>
        <v/>
      </c>
      <c r="P1063" s="70" t="str">
        <f>IF(N1063="","",N1063+N(O1063))</f>
        <v/>
      </c>
      <c r="Q1063" s="64" t="n"/>
      <c r="R1063" s="73" t="str">
        <f>IF(N(Q1063)&gt;0,Q1063,IF(OR(N(B1063)=0,ISNA(MATCH($C1063,sup_code,0))),"",IF(ISNUMBER(INDEX(sup_delay,MATCH($C1063,sup_code,0))),B1063+INDEX(sup_delay,MATCH($C1063,sup_code,0)),"")))</f>
        <v/>
      </c>
      <c r="S1063" s="64" t="n"/>
      <c r="T1063" s="68" t="n"/>
      <c r="U1063" s="64" t="n"/>
      <c r="V1063" s="65" t="n"/>
      <c r="W1063" s="74" t="str">
        <f>IF(AND(A1063="",E1063=""),"",IF(V1063="Oui",0,MAX(0,ROUND(N(H1063)-N(T1063),6))))</f>
        <v/>
      </c>
      <c r="X1063" s="67" t="str">
        <f>IF(AND(A1063="",E1063=""),"",IF(V1063="Oui","Annulé",IF(AND(N(H1063)&gt;0,N(T1063)&gt;=N(H1063)),"Reçu",IF(N(S1063)=0,"Brouillon",IF(AND(ISNUMBER(R1063),R1063&lt;p_today),"En retard",IF(N(T1063)&gt;0,"Partiel","Envoyé"))))))</f>
        <v/>
      </c>
      <c r="Y1063" s="75" t="str">
        <f>IF(X1063="En retard",p_today-R1063,IF(AND(X1063="Reçu",ISNUMBER(R1063)),MAX(0,N(U1063)-R1063),""))</f>
        <v/>
      </c>
      <c r="Z1063" s="67" t="str">
        <f>IF(AND(A1063="",E1063=""),"",IF(A1063="","N° de bon manquant",IF(N(B1063)=0,"Date de commande manquante",IF(C1063="","Fournisseur manquant",IF(ISNA(MATCH($C1063,sup_code,0)),"Fournisseur inconnu",IF(E1063="","Article manquant",IF(ISNA(MATCH($E1063,art_ref,0)),"Article inconnu",IF(N(H1063)&lt;=0,"Quantité invalide",IF(J1063="","Prix manquant",IF(OR(N(K1063)&lt;0,N(K1063)&gt;=1),"Remise invalide",IF(M1063="","TVA manquante",IF(ISNA(MATCH(M1063,p_tva,0)),"Taux de TVA inconnu",IF(COUNTIFS(po_num,A1063,po_sup,"&lt;&gt;"&amp;C1063)&gt;0,"Fournisseur différent sur ce bon",IF(COUNTIFS(po_num,A1063,po_date,"&lt;&gt;"&amp;B1063)&gt;0,"Date différente sur ce bon",IF(COUNTIF(po_num,A1063)&gt;25,"Plus de 25 lignes sur ce bon",IF(R1063="","Date de livraison manquante",IF(R1063&lt;B1063,"Livraison avant la commande",IF(AND(N(T1063)&gt;0,N(S1063)=0),"Date d'envoi manquante",IF(N(T1063)&gt;N(H1063),"Reçu plus que commandé",IF(AND(N(T1063)&gt;0,N(U1063)=0),"Date de réception manquante",IF(AND(N(U1063)&gt;0,U1063&lt;B1063),"Réception avant la commande","OK")))))))))))))))))))))</f>
        <v/>
      </c>
      <c r="AA1063" s="66" t="str">
        <f>IF(AND(X1063="Reçu",ISNUMBER(R1063)),IF(N(U1063)&lt;=R1063,1,0),"")</f>
        <v/>
      </c>
      <c r="AB1063" s="76" t="str">
        <f>IF(OR(X1063="Envoyé",X1063="Partiel",X1063="En retard"),IF(ISNUMBER(R1063),R1063,100000)+ROW()/100000,"")</f>
        <v/>
      </c>
      <c r="AC1063" s="66" t="str">
        <f>IF(A1063="","",IF(COUNTIF($A$6:A1063,A1063)=1,1,""))</f>
        <v/>
      </c>
      <c r="AD1063" s="66" t="str">
        <f>IF(AC1063=1,COUNT($AC$6:AC1063),"")</f>
        <v/>
      </c>
      <c r="AE1063" s="66" t="str">
        <f>IFERROR(INDEX(po_num,MATCH(1058,po_seq,0))&amp;"","")</f>
        <v/>
      </c>
      <c r="AF1063" s="66" t="str">
        <f>IF(OR(A1063="",p_po=""),"",IF(A1063&amp;""=p_po,COUNTIF($A$6:A1063,A1063),""))</f>
        <v/>
      </c>
      <c r="AG1063" s="66" t="str">
        <f>IF(OR(AB1063="",A1063=""),"",IF(COUNTIFS($A$6:A1063,A1063,$AB$6:AB1063,"&gt;0")=1,1,""))</f>
        <v/>
      </c>
      <c r="AH1063" s="70" t="str">
        <f>IF(AB1063="","",ROUND(N(W1063)*N(J1063)*(1-N(K1063)),2))</f>
        <v/>
      </c>
      <c r="AI1063" s="70" t="str">
        <f>IF(OR(J1063="",N(T1063)&lt;=0,V1063="Oui"),"",ROUND(N(T1063)*J1063*(1-N(K1063)),2))</f>
        <v/>
      </c>
    </row>
    <row r="1064">
      <c r="A1064" s="63" t="n"/>
      <c r="B1064" s="64" t="n"/>
      <c r="C1064" s="65" t="n"/>
      <c r="D1064" s="66" t="str">
        <f>IF(C1064="","",IFERROR(INDEX(sup_name,MATCH($C1064,sup_code,0))&amp;"","Fournisseur inconnu"))</f>
        <v/>
      </c>
      <c r="E1064" s="63" t="n"/>
      <c r="F1064" s="66" t="str">
        <f>IF(E1064="","",IFERROR(INDEX(art_des,MATCH($E1064,art_ref,0))&amp;"","Article inconnu"))</f>
        <v/>
      </c>
      <c r="G1064" s="67" t="str">
        <f>IF(E1064="","",IFERROR(INDEX(art_unit,MATCH($E1064,art_ref,0))&amp;"",""))</f>
        <v/>
      </c>
      <c r="H1064" s="68" t="n"/>
      <c r="I1064" s="69" t="n"/>
      <c r="J1064" s="70" t="str">
        <f>IF(E1064="","",IF(ISNUMBER(I1064),I1064,IFERROR(IF(ISNUMBER(INDEX(art_price,MATCH($E1064,art_ref,0))),INDEX(art_price,MATCH($E1064,art_ref,0)),""),"")))</f>
        <v/>
      </c>
      <c r="K1064" s="71" t="n"/>
      <c r="L1064" s="72" t="n"/>
      <c r="M1064" s="72" t="str">
        <f>IF(E1064="","",IF(L1064&lt;&gt;"",L1064,IFERROR(IF(ISNUMBER(INDEX(art_tva,MATCH($E1064,art_ref,0))),INDEX(art_tva,MATCH($E1064,art_ref,0)),""),"")))</f>
        <v/>
      </c>
      <c r="N1064" s="70" t="str">
        <f>IF(OR(E1064="",J1064=""),"",ROUND(N(H1064)*J1064*(1-N(K1064)),2))</f>
        <v/>
      </c>
      <c r="O1064" s="70" t="str">
        <f>IF(OR(N1064="",NOT(ISNUMBER(M1064))),"",ROUND(N1064*M1064,2))</f>
        <v/>
      </c>
      <c r="P1064" s="70" t="str">
        <f>IF(N1064="","",N1064+N(O1064))</f>
        <v/>
      </c>
      <c r="Q1064" s="64" t="n"/>
      <c r="R1064" s="73" t="str">
        <f>IF(N(Q1064)&gt;0,Q1064,IF(OR(N(B1064)=0,ISNA(MATCH($C1064,sup_code,0))),"",IF(ISNUMBER(INDEX(sup_delay,MATCH($C1064,sup_code,0))),B1064+INDEX(sup_delay,MATCH($C1064,sup_code,0)),"")))</f>
        <v/>
      </c>
      <c r="S1064" s="64" t="n"/>
      <c r="T1064" s="68" t="n"/>
      <c r="U1064" s="64" t="n"/>
      <c r="V1064" s="65" t="n"/>
      <c r="W1064" s="74" t="str">
        <f>IF(AND(A1064="",E1064=""),"",IF(V1064="Oui",0,MAX(0,ROUND(N(H1064)-N(T1064),6))))</f>
        <v/>
      </c>
      <c r="X1064" s="67" t="str">
        <f>IF(AND(A1064="",E1064=""),"",IF(V1064="Oui","Annulé",IF(AND(N(H1064)&gt;0,N(T1064)&gt;=N(H1064)),"Reçu",IF(N(S1064)=0,"Brouillon",IF(AND(ISNUMBER(R1064),R1064&lt;p_today),"En retard",IF(N(T1064)&gt;0,"Partiel","Envoyé"))))))</f>
        <v/>
      </c>
      <c r="Y1064" s="75" t="str">
        <f>IF(X1064="En retard",p_today-R1064,IF(AND(X1064="Reçu",ISNUMBER(R1064)),MAX(0,N(U1064)-R1064),""))</f>
        <v/>
      </c>
      <c r="Z1064" s="67" t="str">
        <f>IF(AND(A1064="",E1064=""),"",IF(A1064="","N° de bon manquant",IF(N(B1064)=0,"Date de commande manquante",IF(C1064="","Fournisseur manquant",IF(ISNA(MATCH($C1064,sup_code,0)),"Fournisseur inconnu",IF(E1064="","Article manquant",IF(ISNA(MATCH($E1064,art_ref,0)),"Article inconnu",IF(N(H1064)&lt;=0,"Quantité invalide",IF(J1064="","Prix manquant",IF(OR(N(K1064)&lt;0,N(K1064)&gt;=1),"Remise invalide",IF(M1064="","TVA manquante",IF(ISNA(MATCH(M1064,p_tva,0)),"Taux de TVA inconnu",IF(COUNTIFS(po_num,A1064,po_sup,"&lt;&gt;"&amp;C1064)&gt;0,"Fournisseur différent sur ce bon",IF(COUNTIFS(po_num,A1064,po_date,"&lt;&gt;"&amp;B1064)&gt;0,"Date différente sur ce bon",IF(COUNTIF(po_num,A1064)&gt;25,"Plus de 25 lignes sur ce bon",IF(R1064="","Date de livraison manquante",IF(R1064&lt;B1064,"Livraison avant la commande",IF(AND(N(T1064)&gt;0,N(S1064)=0),"Date d'envoi manquante",IF(N(T1064)&gt;N(H1064),"Reçu plus que commandé",IF(AND(N(T1064)&gt;0,N(U1064)=0),"Date de réception manquante",IF(AND(N(U1064)&gt;0,U1064&lt;B1064),"Réception avant la commande","OK")))))))))))))))))))))</f>
        <v/>
      </c>
      <c r="AA1064" s="66" t="str">
        <f>IF(AND(X1064="Reçu",ISNUMBER(R1064)),IF(N(U1064)&lt;=R1064,1,0),"")</f>
        <v/>
      </c>
      <c r="AB1064" s="76" t="str">
        <f>IF(OR(X1064="Envoyé",X1064="Partiel",X1064="En retard"),IF(ISNUMBER(R1064),R1064,100000)+ROW()/100000,"")</f>
        <v/>
      </c>
      <c r="AC1064" s="66" t="str">
        <f>IF(A1064="","",IF(COUNTIF($A$6:A1064,A1064)=1,1,""))</f>
        <v/>
      </c>
      <c r="AD1064" s="66" t="str">
        <f>IF(AC1064=1,COUNT($AC$6:AC1064),"")</f>
        <v/>
      </c>
      <c r="AE1064" s="66" t="str">
        <f>IFERROR(INDEX(po_num,MATCH(1059,po_seq,0))&amp;"","")</f>
        <v/>
      </c>
      <c r="AF1064" s="66" t="str">
        <f>IF(OR(A1064="",p_po=""),"",IF(A1064&amp;""=p_po,COUNTIF($A$6:A1064,A1064),""))</f>
        <v/>
      </c>
      <c r="AG1064" s="66" t="str">
        <f>IF(OR(AB1064="",A1064=""),"",IF(COUNTIFS($A$6:A1064,A1064,$AB$6:AB1064,"&gt;0")=1,1,""))</f>
        <v/>
      </c>
      <c r="AH1064" s="70" t="str">
        <f>IF(AB1064="","",ROUND(N(W1064)*N(J1064)*(1-N(K1064)),2))</f>
        <v/>
      </c>
      <c r="AI1064" s="70" t="str">
        <f>IF(OR(J1064="",N(T1064)&lt;=0,V1064="Oui"),"",ROUND(N(T1064)*J1064*(1-N(K1064)),2))</f>
        <v/>
      </c>
    </row>
    <row r="1065">
      <c r="A1065" s="63" t="n"/>
      <c r="B1065" s="64" t="n"/>
      <c r="C1065" s="65" t="n"/>
      <c r="D1065" s="66" t="str">
        <f>IF(C1065="","",IFERROR(INDEX(sup_name,MATCH($C1065,sup_code,0))&amp;"","Fournisseur inconnu"))</f>
        <v/>
      </c>
      <c r="E1065" s="63" t="n"/>
      <c r="F1065" s="66" t="str">
        <f>IF(E1065="","",IFERROR(INDEX(art_des,MATCH($E1065,art_ref,0))&amp;"","Article inconnu"))</f>
        <v/>
      </c>
      <c r="G1065" s="67" t="str">
        <f>IF(E1065="","",IFERROR(INDEX(art_unit,MATCH($E1065,art_ref,0))&amp;"",""))</f>
        <v/>
      </c>
      <c r="H1065" s="68" t="n"/>
      <c r="I1065" s="69" t="n"/>
      <c r="J1065" s="70" t="str">
        <f>IF(E1065="","",IF(ISNUMBER(I1065),I1065,IFERROR(IF(ISNUMBER(INDEX(art_price,MATCH($E1065,art_ref,0))),INDEX(art_price,MATCH($E1065,art_ref,0)),""),"")))</f>
        <v/>
      </c>
      <c r="K1065" s="71" t="n"/>
      <c r="L1065" s="72" t="n"/>
      <c r="M1065" s="72" t="str">
        <f>IF(E1065="","",IF(L1065&lt;&gt;"",L1065,IFERROR(IF(ISNUMBER(INDEX(art_tva,MATCH($E1065,art_ref,0))),INDEX(art_tva,MATCH($E1065,art_ref,0)),""),"")))</f>
        <v/>
      </c>
      <c r="N1065" s="70" t="str">
        <f>IF(OR(E1065="",J1065=""),"",ROUND(N(H1065)*J1065*(1-N(K1065)),2))</f>
        <v/>
      </c>
      <c r="O1065" s="70" t="str">
        <f>IF(OR(N1065="",NOT(ISNUMBER(M1065))),"",ROUND(N1065*M1065,2))</f>
        <v/>
      </c>
      <c r="P1065" s="70" t="str">
        <f>IF(N1065="","",N1065+N(O1065))</f>
        <v/>
      </c>
      <c r="Q1065" s="64" t="n"/>
      <c r="R1065" s="73" t="str">
        <f>IF(N(Q1065)&gt;0,Q1065,IF(OR(N(B1065)=0,ISNA(MATCH($C1065,sup_code,0))),"",IF(ISNUMBER(INDEX(sup_delay,MATCH($C1065,sup_code,0))),B1065+INDEX(sup_delay,MATCH($C1065,sup_code,0)),"")))</f>
        <v/>
      </c>
      <c r="S1065" s="64" t="n"/>
      <c r="T1065" s="68" t="n"/>
      <c r="U1065" s="64" t="n"/>
      <c r="V1065" s="65" t="n"/>
      <c r="W1065" s="74" t="str">
        <f>IF(AND(A1065="",E1065=""),"",IF(V1065="Oui",0,MAX(0,ROUND(N(H1065)-N(T1065),6))))</f>
        <v/>
      </c>
      <c r="X1065" s="67" t="str">
        <f>IF(AND(A1065="",E1065=""),"",IF(V1065="Oui","Annulé",IF(AND(N(H1065)&gt;0,N(T1065)&gt;=N(H1065)),"Reçu",IF(N(S1065)=0,"Brouillon",IF(AND(ISNUMBER(R1065),R1065&lt;p_today),"En retard",IF(N(T1065)&gt;0,"Partiel","Envoyé"))))))</f>
        <v/>
      </c>
      <c r="Y1065" s="75" t="str">
        <f>IF(X1065="En retard",p_today-R1065,IF(AND(X1065="Reçu",ISNUMBER(R1065)),MAX(0,N(U1065)-R1065),""))</f>
        <v/>
      </c>
      <c r="Z1065" s="67" t="str">
        <f>IF(AND(A1065="",E1065=""),"",IF(A1065="","N° de bon manquant",IF(N(B1065)=0,"Date de commande manquante",IF(C1065="","Fournisseur manquant",IF(ISNA(MATCH($C1065,sup_code,0)),"Fournisseur inconnu",IF(E1065="","Article manquant",IF(ISNA(MATCH($E1065,art_ref,0)),"Article inconnu",IF(N(H1065)&lt;=0,"Quantité invalide",IF(J1065="","Prix manquant",IF(OR(N(K1065)&lt;0,N(K1065)&gt;=1),"Remise invalide",IF(M1065="","TVA manquante",IF(ISNA(MATCH(M1065,p_tva,0)),"Taux de TVA inconnu",IF(COUNTIFS(po_num,A1065,po_sup,"&lt;&gt;"&amp;C1065)&gt;0,"Fournisseur différent sur ce bon",IF(COUNTIFS(po_num,A1065,po_date,"&lt;&gt;"&amp;B1065)&gt;0,"Date différente sur ce bon",IF(COUNTIF(po_num,A1065)&gt;25,"Plus de 25 lignes sur ce bon",IF(R1065="","Date de livraison manquante",IF(R1065&lt;B1065,"Livraison avant la commande",IF(AND(N(T1065)&gt;0,N(S1065)=0),"Date d'envoi manquante",IF(N(T1065)&gt;N(H1065),"Reçu plus que commandé",IF(AND(N(T1065)&gt;0,N(U1065)=0),"Date de réception manquante",IF(AND(N(U1065)&gt;0,U1065&lt;B1065),"Réception avant la commande","OK")))))))))))))))))))))</f>
        <v/>
      </c>
      <c r="AA1065" s="66" t="str">
        <f>IF(AND(X1065="Reçu",ISNUMBER(R1065)),IF(N(U1065)&lt;=R1065,1,0),"")</f>
        <v/>
      </c>
      <c r="AB1065" s="76" t="str">
        <f>IF(OR(X1065="Envoyé",X1065="Partiel",X1065="En retard"),IF(ISNUMBER(R1065),R1065,100000)+ROW()/100000,"")</f>
        <v/>
      </c>
      <c r="AC1065" s="66" t="str">
        <f>IF(A1065="","",IF(COUNTIF($A$6:A1065,A1065)=1,1,""))</f>
        <v/>
      </c>
      <c r="AD1065" s="66" t="str">
        <f>IF(AC1065=1,COUNT($AC$6:AC1065),"")</f>
        <v/>
      </c>
      <c r="AE1065" s="66" t="str">
        <f>IFERROR(INDEX(po_num,MATCH(1060,po_seq,0))&amp;"","")</f>
        <v/>
      </c>
      <c r="AF1065" s="66" t="str">
        <f>IF(OR(A1065="",p_po=""),"",IF(A1065&amp;""=p_po,COUNTIF($A$6:A1065,A1065),""))</f>
        <v/>
      </c>
      <c r="AG1065" s="66" t="str">
        <f>IF(OR(AB1065="",A1065=""),"",IF(COUNTIFS($A$6:A1065,A1065,$AB$6:AB1065,"&gt;0")=1,1,""))</f>
        <v/>
      </c>
      <c r="AH1065" s="70" t="str">
        <f>IF(AB1065="","",ROUND(N(W1065)*N(J1065)*(1-N(K1065)),2))</f>
        <v/>
      </c>
      <c r="AI1065" s="70" t="str">
        <f>IF(OR(J1065="",N(T1065)&lt;=0,V1065="Oui"),"",ROUND(N(T1065)*J1065*(1-N(K1065)),2))</f>
        <v/>
      </c>
    </row>
    <row r="1066">
      <c r="A1066" s="63" t="n"/>
      <c r="B1066" s="64" t="n"/>
      <c r="C1066" s="65" t="n"/>
      <c r="D1066" s="66" t="str">
        <f>IF(C1066="","",IFERROR(INDEX(sup_name,MATCH($C1066,sup_code,0))&amp;"","Fournisseur inconnu"))</f>
        <v/>
      </c>
      <c r="E1066" s="63" t="n"/>
      <c r="F1066" s="66" t="str">
        <f>IF(E1066="","",IFERROR(INDEX(art_des,MATCH($E1066,art_ref,0))&amp;"","Article inconnu"))</f>
        <v/>
      </c>
      <c r="G1066" s="67" t="str">
        <f>IF(E1066="","",IFERROR(INDEX(art_unit,MATCH($E1066,art_ref,0))&amp;"",""))</f>
        <v/>
      </c>
      <c r="H1066" s="68" t="n"/>
      <c r="I1066" s="69" t="n"/>
      <c r="J1066" s="70" t="str">
        <f>IF(E1066="","",IF(ISNUMBER(I1066),I1066,IFERROR(IF(ISNUMBER(INDEX(art_price,MATCH($E1066,art_ref,0))),INDEX(art_price,MATCH($E1066,art_ref,0)),""),"")))</f>
        <v/>
      </c>
      <c r="K1066" s="71" t="n"/>
      <c r="L1066" s="72" t="n"/>
      <c r="M1066" s="72" t="str">
        <f>IF(E1066="","",IF(L1066&lt;&gt;"",L1066,IFERROR(IF(ISNUMBER(INDEX(art_tva,MATCH($E1066,art_ref,0))),INDEX(art_tva,MATCH($E1066,art_ref,0)),""),"")))</f>
        <v/>
      </c>
      <c r="N1066" s="70" t="str">
        <f>IF(OR(E1066="",J1066=""),"",ROUND(N(H1066)*J1066*(1-N(K1066)),2))</f>
        <v/>
      </c>
      <c r="O1066" s="70" t="str">
        <f>IF(OR(N1066="",NOT(ISNUMBER(M1066))),"",ROUND(N1066*M1066,2))</f>
        <v/>
      </c>
      <c r="P1066" s="70" t="str">
        <f>IF(N1066="","",N1066+N(O1066))</f>
        <v/>
      </c>
      <c r="Q1066" s="64" t="n"/>
      <c r="R1066" s="73" t="str">
        <f>IF(N(Q1066)&gt;0,Q1066,IF(OR(N(B1066)=0,ISNA(MATCH($C1066,sup_code,0))),"",IF(ISNUMBER(INDEX(sup_delay,MATCH($C1066,sup_code,0))),B1066+INDEX(sup_delay,MATCH($C1066,sup_code,0)),"")))</f>
        <v/>
      </c>
      <c r="S1066" s="64" t="n"/>
      <c r="T1066" s="68" t="n"/>
      <c r="U1066" s="64" t="n"/>
      <c r="V1066" s="65" t="n"/>
      <c r="W1066" s="74" t="str">
        <f>IF(AND(A1066="",E1066=""),"",IF(V1066="Oui",0,MAX(0,ROUND(N(H1066)-N(T1066),6))))</f>
        <v/>
      </c>
      <c r="X1066" s="67" t="str">
        <f>IF(AND(A1066="",E1066=""),"",IF(V1066="Oui","Annulé",IF(AND(N(H1066)&gt;0,N(T1066)&gt;=N(H1066)),"Reçu",IF(N(S1066)=0,"Brouillon",IF(AND(ISNUMBER(R1066),R1066&lt;p_today),"En retard",IF(N(T1066)&gt;0,"Partiel","Envoyé"))))))</f>
        <v/>
      </c>
      <c r="Y1066" s="75" t="str">
        <f>IF(X1066="En retard",p_today-R1066,IF(AND(X1066="Reçu",ISNUMBER(R1066)),MAX(0,N(U1066)-R1066),""))</f>
        <v/>
      </c>
      <c r="Z1066" s="67" t="str">
        <f>IF(AND(A1066="",E1066=""),"",IF(A1066="","N° de bon manquant",IF(N(B1066)=0,"Date de commande manquante",IF(C1066="","Fournisseur manquant",IF(ISNA(MATCH($C1066,sup_code,0)),"Fournisseur inconnu",IF(E1066="","Article manquant",IF(ISNA(MATCH($E1066,art_ref,0)),"Article inconnu",IF(N(H1066)&lt;=0,"Quantité invalide",IF(J1066="","Prix manquant",IF(OR(N(K1066)&lt;0,N(K1066)&gt;=1),"Remise invalide",IF(M1066="","TVA manquante",IF(ISNA(MATCH(M1066,p_tva,0)),"Taux de TVA inconnu",IF(COUNTIFS(po_num,A1066,po_sup,"&lt;&gt;"&amp;C1066)&gt;0,"Fournisseur différent sur ce bon",IF(COUNTIFS(po_num,A1066,po_date,"&lt;&gt;"&amp;B1066)&gt;0,"Date différente sur ce bon",IF(COUNTIF(po_num,A1066)&gt;25,"Plus de 25 lignes sur ce bon",IF(R1066="","Date de livraison manquante",IF(R1066&lt;B1066,"Livraison avant la commande",IF(AND(N(T1066)&gt;0,N(S1066)=0),"Date d'envoi manquante",IF(N(T1066)&gt;N(H1066),"Reçu plus que commandé",IF(AND(N(T1066)&gt;0,N(U1066)=0),"Date de réception manquante",IF(AND(N(U1066)&gt;0,U1066&lt;B1066),"Réception avant la commande","OK")))))))))))))))))))))</f>
        <v/>
      </c>
      <c r="AA1066" s="66" t="str">
        <f>IF(AND(X1066="Reçu",ISNUMBER(R1066)),IF(N(U1066)&lt;=R1066,1,0),"")</f>
        <v/>
      </c>
      <c r="AB1066" s="76" t="str">
        <f>IF(OR(X1066="Envoyé",X1066="Partiel",X1066="En retard"),IF(ISNUMBER(R1066),R1066,100000)+ROW()/100000,"")</f>
        <v/>
      </c>
      <c r="AC1066" s="66" t="str">
        <f>IF(A1066="","",IF(COUNTIF($A$6:A1066,A1066)=1,1,""))</f>
        <v/>
      </c>
      <c r="AD1066" s="66" t="str">
        <f>IF(AC1066=1,COUNT($AC$6:AC1066),"")</f>
        <v/>
      </c>
      <c r="AE1066" s="66" t="str">
        <f>IFERROR(INDEX(po_num,MATCH(1061,po_seq,0))&amp;"","")</f>
        <v/>
      </c>
      <c r="AF1066" s="66" t="str">
        <f>IF(OR(A1066="",p_po=""),"",IF(A1066&amp;""=p_po,COUNTIF($A$6:A1066,A1066),""))</f>
        <v/>
      </c>
      <c r="AG1066" s="66" t="str">
        <f>IF(OR(AB1066="",A1066=""),"",IF(COUNTIFS($A$6:A1066,A1066,$AB$6:AB1066,"&gt;0")=1,1,""))</f>
        <v/>
      </c>
      <c r="AH1066" s="70" t="str">
        <f>IF(AB1066="","",ROUND(N(W1066)*N(J1066)*(1-N(K1066)),2))</f>
        <v/>
      </c>
      <c r="AI1066" s="70" t="str">
        <f>IF(OR(J1066="",N(T1066)&lt;=0,V1066="Oui"),"",ROUND(N(T1066)*J1066*(1-N(K1066)),2))</f>
        <v/>
      </c>
    </row>
    <row r="1067">
      <c r="A1067" s="63" t="n"/>
      <c r="B1067" s="64" t="n"/>
      <c r="C1067" s="65" t="n"/>
      <c r="D1067" s="66" t="str">
        <f>IF(C1067="","",IFERROR(INDEX(sup_name,MATCH($C1067,sup_code,0))&amp;"","Fournisseur inconnu"))</f>
        <v/>
      </c>
      <c r="E1067" s="63" t="n"/>
      <c r="F1067" s="66" t="str">
        <f>IF(E1067="","",IFERROR(INDEX(art_des,MATCH($E1067,art_ref,0))&amp;"","Article inconnu"))</f>
        <v/>
      </c>
      <c r="G1067" s="67" t="str">
        <f>IF(E1067="","",IFERROR(INDEX(art_unit,MATCH($E1067,art_ref,0))&amp;"",""))</f>
        <v/>
      </c>
      <c r="H1067" s="68" t="n"/>
      <c r="I1067" s="69" t="n"/>
      <c r="J1067" s="70" t="str">
        <f>IF(E1067="","",IF(ISNUMBER(I1067),I1067,IFERROR(IF(ISNUMBER(INDEX(art_price,MATCH($E1067,art_ref,0))),INDEX(art_price,MATCH($E1067,art_ref,0)),""),"")))</f>
        <v/>
      </c>
      <c r="K1067" s="71" t="n"/>
      <c r="L1067" s="72" t="n"/>
      <c r="M1067" s="72" t="str">
        <f>IF(E1067="","",IF(L1067&lt;&gt;"",L1067,IFERROR(IF(ISNUMBER(INDEX(art_tva,MATCH($E1067,art_ref,0))),INDEX(art_tva,MATCH($E1067,art_ref,0)),""),"")))</f>
        <v/>
      </c>
      <c r="N1067" s="70" t="str">
        <f>IF(OR(E1067="",J1067=""),"",ROUND(N(H1067)*J1067*(1-N(K1067)),2))</f>
        <v/>
      </c>
      <c r="O1067" s="70" t="str">
        <f>IF(OR(N1067="",NOT(ISNUMBER(M1067))),"",ROUND(N1067*M1067,2))</f>
        <v/>
      </c>
      <c r="P1067" s="70" t="str">
        <f>IF(N1067="","",N1067+N(O1067))</f>
        <v/>
      </c>
      <c r="Q1067" s="64" t="n"/>
      <c r="R1067" s="73" t="str">
        <f>IF(N(Q1067)&gt;0,Q1067,IF(OR(N(B1067)=0,ISNA(MATCH($C1067,sup_code,0))),"",IF(ISNUMBER(INDEX(sup_delay,MATCH($C1067,sup_code,0))),B1067+INDEX(sup_delay,MATCH($C1067,sup_code,0)),"")))</f>
        <v/>
      </c>
      <c r="S1067" s="64" t="n"/>
      <c r="T1067" s="68" t="n"/>
      <c r="U1067" s="64" t="n"/>
      <c r="V1067" s="65" t="n"/>
      <c r="W1067" s="74" t="str">
        <f>IF(AND(A1067="",E1067=""),"",IF(V1067="Oui",0,MAX(0,ROUND(N(H1067)-N(T1067),6))))</f>
        <v/>
      </c>
      <c r="X1067" s="67" t="str">
        <f>IF(AND(A1067="",E1067=""),"",IF(V1067="Oui","Annulé",IF(AND(N(H1067)&gt;0,N(T1067)&gt;=N(H1067)),"Reçu",IF(N(S1067)=0,"Brouillon",IF(AND(ISNUMBER(R1067),R1067&lt;p_today),"En retard",IF(N(T1067)&gt;0,"Partiel","Envoyé"))))))</f>
        <v/>
      </c>
      <c r="Y1067" s="75" t="str">
        <f>IF(X1067="En retard",p_today-R1067,IF(AND(X1067="Reçu",ISNUMBER(R1067)),MAX(0,N(U1067)-R1067),""))</f>
        <v/>
      </c>
      <c r="Z1067" s="67" t="str">
        <f>IF(AND(A1067="",E1067=""),"",IF(A1067="","N° de bon manquant",IF(N(B1067)=0,"Date de commande manquante",IF(C1067="","Fournisseur manquant",IF(ISNA(MATCH($C1067,sup_code,0)),"Fournisseur inconnu",IF(E1067="","Article manquant",IF(ISNA(MATCH($E1067,art_ref,0)),"Article inconnu",IF(N(H1067)&lt;=0,"Quantité invalide",IF(J1067="","Prix manquant",IF(OR(N(K1067)&lt;0,N(K1067)&gt;=1),"Remise invalide",IF(M1067="","TVA manquante",IF(ISNA(MATCH(M1067,p_tva,0)),"Taux de TVA inconnu",IF(COUNTIFS(po_num,A1067,po_sup,"&lt;&gt;"&amp;C1067)&gt;0,"Fournisseur différent sur ce bon",IF(COUNTIFS(po_num,A1067,po_date,"&lt;&gt;"&amp;B1067)&gt;0,"Date différente sur ce bon",IF(COUNTIF(po_num,A1067)&gt;25,"Plus de 25 lignes sur ce bon",IF(R1067="","Date de livraison manquante",IF(R1067&lt;B1067,"Livraison avant la commande",IF(AND(N(T1067)&gt;0,N(S1067)=0),"Date d'envoi manquante",IF(N(T1067)&gt;N(H1067),"Reçu plus que commandé",IF(AND(N(T1067)&gt;0,N(U1067)=0),"Date de réception manquante",IF(AND(N(U1067)&gt;0,U1067&lt;B1067),"Réception avant la commande","OK")))))))))))))))))))))</f>
        <v/>
      </c>
      <c r="AA1067" s="66" t="str">
        <f>IF(AND(X1067="Reçu",ISNUMBER(R1067)),IF(N(U1067)&lt;=R1067,1,0),"")</f>
        <v/>
      </c>
      <c r="AB1067" s="76" t="str">
        <f>IF(OR(X1067="Envoyé",X1067="Partiel",X1067="En retard"),IF(ISNUMBER(R1067),R1067,100000)+ROW()/100000,"")</f>
        <v/>
      </c>
      <c r="AC1067" s="66" t="str">
        <f>IF(A1067="","",IF(COUNTIF($A$6:A1067,A1067)=1,1,""))</f>
        <v/>
      </c>
      <c r="AD1067" s="66" t="str">
        <f>IF(AC1067=1,COUNT($AC$6:AC1067),"")</f>
        <v/>
      </c>
      <c r="AE1067" s="66" t="str">
        <f>IFERROR(INDEX(po_num,MATCH(1062,po_seq,0))&amp;"","")</f>
        <v/>
      </c>
      <c r="AF1067" s="66" t="str">
        <f>IF(OR(A1067="",p_po=""),"",IF(A1067&amp;""=p_po,COUNTIF($A$6:A1067,A1067),""))</f>
        <v/>
      </c>
      <c r="AG1067" s="66" t="str">
        <f>IF(OR(AB1067="",A1067=""),"",IF(COUNTIFS($A$6:A1067,A1067,$AB$6:AB1067,"&gt;0")=1,1,""))</f>
        <v/>
      </c>
      <c r="AH1067" s="70" t="str">
        <f>IF(AB1067="","",ROUND(N(W1067)*N(J1067)*(1-N(K1067)),2))</f>
        <v/>
      </c>
      <c r="AI1067" s="70" t="str">
        <f>IF(OR(J1067="",N(T1067)&lt;=0,V1067="Oui"),"",ROUND(N(T1067)*J1067*(1-N(K1067)),2))</f>
        <v/>
      </c>
    </row>
    <row r="1068">
      <c r="A1068" s="63" t="n"/>
      <c r="B1068" s="64" t="n"/>
      <c r="C1068" s="65" t="n"/>
      <c r="D1068" s="66" t="str">
        <f>IF(C1068="","",IFERROR(INDEX(sup_name,MATCH($C1068,sup_code,0))&amp;"","Fournisseur inconnu"))</f>
        <v/>
      </c>
      <c r="E1068" s="63" t="n"/>
      <c r="F1068" s="66" t="str">
        <f>IF(E1068="","",IFERROR(INDEX(art_des,MATCH($E1068,art_ref,0))&amp;"","Article inconnu"))</f>
        <v/>
      </c>
      <c r="G1068" s="67" t="str">
        <f>IF(E1068="","",IFERROR(INDEX(art_unit,MATCH($E1068,art_ref,0))&amp;"",""))</f>
        <v/>
      </c>
      <c r="H1068" s="68" t="n"/>
      <c r="I1068" s="69" t="n"/>
      <c r="J1068" s="70" t="str">
        <f>IF(E1068="","",IF(ISNUMBER(I1068),I1068,IFERROR(IF(ISNUMBER(INDEX(art_price,MATCH($E1068,art_ref,0))),INDEX(art_price,MATCH($E1068,art_ref,0)),""),"")))</f>
        <v/>
      </c>
      <c r="K1068" s="71" t="n"/>
      <c r="L1068" s="72" t="n"/>
      <c r="M1068" s="72" t="str">
        <f>IF(E1068="","",IF(L1068&lt;&gt;"",L1068,IFERROR(IF(ISNUMBER(INDEX(art_tva,MATCH($E1068,art_ref,0))),INDEX(art_tva,MATCH($E1068,art_ref,0)),""),"")))</f>
        <v/>
      </c>
      <c r="N1068" s="70" t="str">
        <f>IF(OR(E1068="",J1068=""),"",ROUND(N(H1068)*J1068*(1-N(K1068)),2))</f>
        <v/>
      </c>
      <c r="O1068" s="70" t="str">
        <f>IF(OR(N1068="",NOT(ISNUMBER(M1068))),"",ROUND(N1068*M1068,2))</f>
        <v/>
      </c>
      <c r="P1068" s="70" t="str">
        <f>IF(N1068="","",N1068+N(O1068))</f>
        <v/>
      </c>
      <c r="Q1068" s="64" t="n"/>
      <c r="R1068" s="73" t="str">
        <f>IF(N(Q1068)&gt;0,Q1068,IF(OR(N(B1068)=0,ISNA(MATCH($C1068,sup_code,0))),"",IF(ISNUMBER(INDEX(sup_delay,MATCH($C1068,sup_code,0))),B1068+INDEX(sup_delay,MATCH($C1068,sup_code,0)),"")))</f>
        <v/>
      </c>
      <c r="S1068" s="64" t="n"/>
      <c r="T1068" s="68" t="n"/>
      <c r="U1068" s="64" t="n"/>
      <c r="V1068" s="65" t="n"/>
      <c r="W1068" s="74" t="str">
        <f>IF(AND(A1068="",E1068=""),"",IF(V1068="Oui",0,MAX(0,ROUND(N(H1068)-N(T1068),6))))</f>
        <v/>
      </c>
      <c r="X1068" s="67" t="str">
        <f>IF(AND(A1068="",E1068=""),"",IF(V1068="Oui","Annulé",IF(AND(N(H1068)&gt;0,N(T1068)&gt;=N(H1068)),"Reçu",IF(N(S1068)=0,"Brouillon",IF(AND(ISNUMBER(R1068),R1068&lt;p_today),"En retard",IF(N(T1068)&gt;0,"Partiel","Envoyé"))))))</f>
        <v/>
      </c>
      <c r="Y1068" s="75" t="str">
        <f>IF(X1068="En retard",p_today-R1068,IF(AND(X1068="Reçu",ISNUMBER(R1068)),MAX(0,N(U1068)-R1068),""))</f>
        <v/>
      </c>
      <c r="Z1068" s="67" t="str">
        <f>IF(AND(A1068="",E1068=""),"",IF(A1068="","N° de bon manquant",IF(N(B1068)=0,"Date de commande manquante",IF(C1068="","Fournisseur manquant",IF(ISNA(MATCH($C1068,sup_code,0)),"Fournisseur inconnu",IF(E1068="","Article manquant",IF(ISNA(MATCH($E1068,art_ref,0)),"Article inconnu",IF(N(H1068)&lt;=0,"Quantité invalide",IF(J1068="","Prix manquant",IF(OR(N(K1068)&lt;0,N(K1068)&gt;=1),"Remise invalide",IF(M1068="","TVA manquante",IF(ISNA(MATCH(M1068,p_tva,0)),"Taux de TVA inconnu",IF(COUNTIFS(po_num,A1068,po_sup,"&lt;&gt;"&amp;C1068)&gt;0,"Fournisseur différent sur ce bon",IF(COUNTIFS(po_num,A1068,po_date,"&lt;&gt;"&amp;B1068)&gt;0,"Date différente sur ce bon",IF(COUNTIF(po_num,A1068)&gt;25,"Plus de 25 lignes sur ce bon",IF(R1068="","Date de livraison manquante",IF(R1068&lt;B1068,"Livraison avant la commande",IF(AND(N(T1068)&gt;0,N(S1068)=0),"Date d'envoi manquante",IF(N(T1068)&gt;N(H1068),"Reçu plus que commandé",IF(AND(N(T1068)&gt;0,N(U1068)=0),"Date de réception manquante",IF(AND(N(U1068)&gt;0,U1068&lt;B1068),"Réception avant la commande","OK")))))))))))))))))))))</f>
        <v/>
      </c>
      <c r="AA1068" s="66" t="str">
        <f>IF(AND(X1068="Reçu",ISNUMBER(R1068)),IF(N(U1068)&lt;=R1068,1,0),"")</f>
        <v/>
      </c>
      <c r="AB1068" s="76" t="str">
        <f>IF(OR(X1068="Envoyé",X1068="Partiel",X1068="En retard"),IF(ISNUMBER(R1068),R1068,100000)+ROW()/100000,"")</f>
        <v/>
      </c>
      <c r="AC1068" s="66" t="str">
        <f>IF(A1068="","",IF(COUNTIF($A$6:A1068,A1068)=1,1,""))</f>
        <v/>
      </c>
      <c r="AD1068" s="66" t="str">
        <f>IF(AC1068=1,COUNT($AC$6:AC1068),"")</f>
        <v/>
      </c>
      <c r="AE1068" s="66" t="str">
        <f>IFERROR(INDEX(po_num,MATCH(1063,po_seq,0))&amp;"","")</f>
        <v/>
      </c>
      <c r="AF1068" s="66" t="str">
        <f>IF(OR(A1068="",p_po=""),"",IF(A1068&amp;""=p_po,COUNTIF($A$6:A1068,A1068),""))</f>
        <v/>
      </c>
      <c r="AG1068" s="66" t="str">
        <f>IF(OR(AB1068="",A1068=""),"",IF(COUNTIFS($A$6:A1068,A1068,$AB$6:AB1068,"&gt;0")=1,1,""))</f>
        <v/>
      </c>
      <c r="AH1068" s="70" t="str">
        <f>IF(AB1068="","",ROUND(N(W1068)*N(J1068)*(1-N(K1068)),2))</f>
        <v/>
      </c>
      <c r="AI1068" s="70" t="str">
        <f>IF(OR(J1068="",N(T1068)&lt;=0,V1068="Oui"),"",ROUND(N(T1068)*J1068*(1-N(K1068)),2))</f>
        <v/>
      </c>
    </row>
    <row r="1069">
      <c r="A1069" s="63" t="n"/>
      <c r="B1069" s="64" t="n"/>
      <c r="C1069" s="65" t="n"/>
      <c r="D1069" s="66" t="str">
        <f>IF(C1069="","",IFERROR(INDEX(sup_name,MATCH($C1069,sup_code,0))&amp;"","Fournisseur inconnu"))</f>
        <v/>
      </c>
      <c r="E1069" s="63" t="n"/>
      <c r="F1069" s="66" t="str">
        <f>IF(E1069="","",IFERROR(INDEX(art_des,MATCH($E1069,art_ref,0))&amp;"","Article inconnu"))</f>
        <v/>
      </c>
      <c r="G1069" s="67" t="str">
        <f>IF(E1069="","",IFERROR(INDEX(art_unit,MATCH($E1069,art_ref,0))&amp;"",""))</f>
        <v/>
      </c>
      <c r="H1069" s="68" t="n"/>
      <c r="I1069" s="69" t="n"/>
      <c r="J1069" s="70" t="str">
        <f>IF(E1069="","",IF(ISNUMBER(I1069),I1069,IFERROR(IF(ISNUMBER(INDEX(art_price,MATCH($E1069,art_ref,0))),INDEX(art_price,MATCH($E1069,art_ref,0)),""),"")))</f>
        <v/>
      </c>
      <c r="K1069" s="71" t="n"/>
      <c r="L1069" s="72" t="n"/>
      <c r="M1069" s="72" t="str">
        <f>IF(E1069="","",IF(L1069&lt;&gt;"",L1069,IFERROR(IF(ISNUMBER(INDEX(art_tva,MATCH($E1069,art_ref,0))),INDEX(art_tva,MATCH($E1069,art_ref,0)),""),"")))</f>
        <v/>
      </c>
      <c r="N1069" s="70" t="str">
        <f>IF(OR(E1069="",J1069=""),"",ROUND(N(H1069)*J1069*(1-N(K1069)),2))</f>
        <v/>
      </c>
      <c r="O1069" s="70" t="str">
        <f>IF(OR(N1069="",NOT(ISNUMBER(M1069))),"",ROUND(N1069*M1069,2))</f>
        <v/>
      </c>
      <c r="P1069" s="70" t="str">
        <f>IF(N1069="","",N1069+N(O1069))</f>
        <v/>
      </c>
      <c r="Q1069" s="64" t="n"/>
      <c r="R1069" s="73" t="str">
        <f>IF(N(Q1069)&gt;0,Q1069,IF(OR(N(B1069)=0,ISNA(MATCH($C1069,sup_code,0))),"",IF(ISNUMBER(INDEX(sup_delay,MATCH($C1069,sup_code,0))),B1069+INDEX(sup_delay,MATCH($C1069,sup_code,0)),"")))</f>
        <v/>
      </c>
      <c r="S1069" s="64" t="n"/>
      <c r="T1069" s="68" t="n"/>
      <c r="U1069" s="64" t="n"/>
      <c r="V1069" s="65" t="n"/>
      <c r="W1069" s="74" t="str">
        <f>IF(AND(A1069="",E1069=""),"",IF(V1069="Oui",0,MAX(0,ROUND(N(H1069)-N(T1069),6))))</f>
        <v/>
      </c>
      <c r="X1069" s="67" t="str">
        <f>IF(AND(A1069="",E1069=""),"",IF(V1069="Oui","Annulé",IF(AND(N(H1069)&gt;0,N(T1069)&gt;=N(H1069)),"Reçu",IF(N(S1069)=0,"Brouillon",IF(AND(ISNUMBER(R1069),R1069&lt;p_today),"En retard",IF(N(T1069)&gt;0,"Partiel","Envoyé"))))))</f>
        <v/>
      </c>
      <c r="Y1069" s="75" t="str">
        <f>IF(X1069="En retard",p_today-R1069,IF(AND(X1069="Reçu",ISNUMBER(R1069)),MAX(0,N(U1069)-R1069),""))</f>
        <v/>
      </c>
      <c r="Z1069" s="67" t="str">
        <f>IF(AND(A1069="",E1069=""),"",IF(A1069="","N° de bon manquant",IF(N(B1069)=0,"Date de commande manquante",IF(C1069="","Fournisseur manquant",IF(ISNA(MATCH($C1069,sup_code,0)),"Fournisseur inconnu",IF(E1069="","Article manquant",IF(ISNA(MATCH($E1069,art_ref,0)),"Article inconnu",IF(N(H1069)&lt;=0,"Quantité invalide",IF(J1069="","Prix manquant",IF(OR(N(K1069)&lt;0,N(K1069)&gt;=1),"Remise invalide",IF(M1069="","TVA manquante",IF(ISNA(MATCH(M1069,p_tva,0)),"Taux de TVA inconnu",IF(COUNTIFS(po_num,A1069,po_sup,"&lt;&gt;"&amp;C1069)&gt;0,"Fournisseur différent sur ce bon",IF(COUNTIFS(po_num,A1069,po_date,"&lt;&gt;"&amp;B1069)&gt;0,"Date différente sur ce bon",IF(COUNTIF(po_num,A1069)&gt;25,"Plus de 25 lignes sur ce bon",IF(R1069="","Date de livraison manquante",IF(R1069&lt;B1069,"Livraison avant la commande",IF(AND(N(T1069)&gt;0,N(S1069)=0),"Date d'envoi manquante",IF(N(T1069)&gt;N(H1069),"Reçu plus que commandé",IF(AND(N(T1069)&gt;0,N(U1069)=0),"Date de réception manquante",IF(AND(N(U1069)&gt;0,U1069&lt;B1069),"Réception avant la commande","OK")))))))))))))))))))))</f>
        <v/>
      </c>
      <c r="AA1069" s="66" t="str">
        <f>IF(AND(X1069="Reçu",ISNUMBER(R1069)),IF(N(U1069)&lt;=R1069,1,0),"")</f>
        <v/>
      </c>
      <c r="AB1069" s="76" t="str">
        <f>IF(OR(X1069="Envoyé",X1069="Partiel",X1069="En retard"),IF(ISNUMBER(R1069),R1069,100000)+ROW()/100000,"")</f>
        <v/>
      </c>
      <c r="AC1069" s="66" t="str">
        <f>IF(A1069="","",IF(COUNTIF($A$6:A1069,A1069)=1,1,""))</f>
        <v/>
      </c>
      <c r="AD1069" s="66" t="str">
        <f>IF(AC1069=1,COUNT($AC$6:AC1069),"")</f>
        <v/>
      </c>
      <c r="AE1069" s="66" t="str">
        <f>IFERROR(INDEX(po_num,MATCH(1064,po_seq,0))&amp;"","")</f>
        <v/>
      </c>
      <c r="AF1069" s="66" t="str">
        <f>IF(OR(A1069="",p_po=""),"",IF(A1069&amp;""=p_po,COUNTIF($A$6:A1069,A1069),""))</f>
        <v/>
      </c>
      <c r="AG1069" s="66" t="str">
        <f>IF(OR(AB1069="",A1069=""),"",IF(COUNTIFS($A$6:A1069,A1069,$AB$6:AB1069,"&gt;0")=1,1,""))</f>
        <v/>
      </c>
      <c r="AH1069" s="70" t="str">
        <f>IF(AB1069="","",ROUND(N(W1069)*N(J1069)*(1-N(K1069)),2))</f>
        <v/>
      </c>
      <c r="AI1069" s="70" t="str">
        <f>IF(OR(J1069="",N(T1069)&lt;=0,V1069="Oui"),"",ROUND(N(T1069)*J1069*(1-N(K1069)),2))</f>
        <v/>
      </c>
    </row>
    <row r="1070">
      <c r="A1070" s="63" t="n"/>
      <c r="B1070" s="64" t="n"/>
      <c r="C1070" s="65" t="n"/>
      <c r="D1070" s="66" t="str">
        <f>IF(C1070="","",IFERROR(INDEX(sup_name,MATCH($C1070,sup_code,0))&amp;"","Fournisseur inconnu"))</f>
        <v/>
      </c>
      <c r="E1070" s="63" t="n"/>
      <c r="F1070" s="66" t="str">
        <f>IF(E1070="","",IFERROR(INDEX(art_des,MATCH($E1070,art_ref,0))&amp;"","Article inconnu"))</f>
        <v/>
      </c>
      <c r="G1070" s="67" t="str">
        <f>IF(E1070="","",IFERROR(INDEX(art_unit,MATCH($E1070,art_ref,0))&amp;"",""))</f>
        <v/>
      </c>
      <c r="H1070" s="68" t="n"/>
      <c r="I1070" s="69" t="n"/>
      <c r="J1070" s="70" t="str">
        <f>IF(E1070="","",IF(ISNUMBER(I1070),I1070,IFERROR(IF(ISNUMBER(INDEX(art_price,MATCH($E1070,art_ref,0))),INDEX(art_price,MATCH($E1070,art_ref,0)),""),"")))</f>
        <v/>
      </c>
      <c r="K1070" s="71" t="n"/>
      <c r="L1070" s="72" t="n"/>
      <c r="M1070" s="72" t="str">
        <f>IF(E1070="","",IF(L1070&lt;&gt;"",L1070,IFERROR(IF(ISNUMBER(INDEX(art_tva,MATCH($E1070,art_ref,0))),INDEX(art_tva,MATCH($E1070,art_ref,0)),""),"")))</f>
        <v/>
      </c>
      <c r="N1070" s="70" t="str">
        <f>IF(OR(E1070="",J1070=""),"",ROUND(N(H1070)*J1070*(1-N(K1070)),2))</f>
        <v/>
      </c>
      <c r="O1070" s="70" t="str">
        <f>IF(OR(N1070="",NOT(ISNUMBER(M1070))),"",ROUND(N1070*M1070,2))</f>
        <v/>
      </c>
      <c r="P1070" s="70" t="str">
        <f>IF(N1070="","",N1070+N(O1070))</f>
        <v/>
      </c>
      <c r="Q1070" s="64" t="n"/>
      <c r="R1070" s="73" t="str">
        <f>IF(N(Q1070)&gt;0,Q1070,IF(OR(N(B1070)=0,ISNA(MATCH($C1070,sup_code,0))),"",IF(ISNUMBER(INDEX(sup_delay,MATCH($C1070,sup_code,0))),B1070+INDEX(sup_delay,MATCH($C1070,sup_code,0)),"")))</f>
        <v/>
      </c>
      <c r="S1070" s="64" t="n"/>
      <c r="T1070" s="68" t="n"/>
      <c r="U1070" s="64" t="n"/>
      <c r="V1070" s="65" t="n"/>
      <c r="W1070" s="74" t="str">
        <f>IF(AND(A1070="",E1070=""),"",IF(V1070="Oui",0,MAX(0,ROUND(N(H1070)-N(T1070),6))))</f>
        <v/>
      </c>
      <c r="X1070" s="67" t="str">
        <f>IF(AND(A1070="",E1070=""),"",IF(V1070="Oui","Annulé",IF(AND(N(H1070)&gt;0,N(T1070)&gt;=N(H1070)),"Reçu",IF(N(S1070)=0,"Brouillon",IF(AND(ISNUMBER(R1070),R1070&lt;p_today),"En retard",IF(N(T1070)&gt;0,"Partiel","Envoyé"))))))</f>
        <v/>
      </c>
      <c r="Y1070" s="75" t="str">
        <f>IF(X1070="En retard",p_today-R1070,IF(AND(X1070="Reçu",ISNUMBER(R1070)),MAX(0,N(U1070)-R1070),""))</f>
        <v/>
      </c>
      <c r="Z1070" s="67" t="str">
        <f>IF(AND(A1070="",E1070=""),"",IF(A1070="","N° de bon manquant",IF(N(B1070)=0,"Date de commande manquante",IF(C1070="","Fournisseur manquant",IF(ISNA(MATCH($C1070,sup_code,0)),"Fournisseur inconnu",IF(E1070="","Article manquant",IF(ISNA(MATCH($E1070,art_ref,0)),"Article inconnu",IF(N(H1070)&lt;=0,"Quantité invalide",IF(J1070="","Prix manquant",IF(OR(N(K1070)&lt;0,N(K1070)&gt;=1),"Remise invalide",IF(M1070="","TVA manquante",IF(ISNA(MATCH(M1070,p_tva,0)),"Taux de TVA inconnu",IF(COUNTIFS(po_num,A1070,po_sup,"&lt;&gt;"&amp;C1070)&gt;0,"Fournisseur différent sur ce bon",IF(COUNTIFS(po_num,A1070,po_date,"&lt;&gt;"&amp;B1070)&gt;0,"Date différente sur ce bon",IF(COUNTIF(po_num,A1070)&gt;25,"Plus de 25 lignes sur ce bon",IF(R1070="","Date de livraison manquante",IF(R1070&lt;B1070,"Livraison avant la commande",IF(AND(N(T1070)&gt;0,N(S1070)=0),"Date d'envoi manquante",IF(N(T1070)&gt;N(H1070),"Reçu plus que commandé",IF(AND(N(T1070)&gt;0,N(U1070)=0),"Date de réception manquante",IF(AND(N(U1070)&gt;0,U1070&lt;B1070),"Réception avant la commande","OK")))))))))))))))))))))</f>
        <v/>
      </c>
      <c r="AA1070" s="66" t="str">
        <f>IF(AND(X1070="Reçu",ISNUMBER(R1070)),IF(N(U1070)&lt;=R1070,1,0),"")</f>
        <v/>
      </c>
      <c r="AB1070" s="76" t="str">
        <f>IF(OR(X1070="Envoyé",X1070="Partiel",X1070="En retard"),IF(ISNUMBER(R1070),R1070,100000)+ROW()/100000,"")</f>
        <v/>
      </c>
      <c r="AC1070" s="66" t="str">
        <f>IF(A1070="","",IF(COUNTIF($A$6:A1070,A1070)=1,1,""))</f>
        <v/>
      </c>
      <c r="AD1070" s="66" t="str">
        <f>IF(AC1070=1,COUNT($AC$6:AC1070),"")</f>
        <v/>
      </c>
      <c r="AE1070" s="66" t="str">
        <f>IFERROR(INDEX(po_num,MATCH(1065,po_seq,0))&amp;"","")</f>
        <v/>
      </c>
      <c r="AF1070" s="66" t="str">
        <f>IF(OR(A1070="",p_po=""),"",IF(A1070&amp;""=p_po,COUNTIF($A$6:A1070,A1070),""))</f>
        <v/>
      </c>
      <c r="AG1070" s="66" t="str">
        <f>IF(OR(AB1070="",A1070=""),"",IF(COUNTIFS($A$6:A1070,A1070,$AB$6:AB1070,"&gt;0")=1,1,""))</f>
        <v/>
      </c>
      <c r="AH1070" s="70" t="str">
        <f>IF(AB1070="","",ROUND(N(W1070)*N(J1070)*(1-N(K1070)),2))</f>
        <v/>
      </c>
      <c r="AI1070" s="70" t="str">
        <f>IF(OR(J1070="",N(T1070)&lt;=0,V1070="Oui"),"",ROUND(N(T1070)*J1070*(1-N(K1070)),2))</f>
        <v/>
      </c>
    </row>
    <row r="1071">
      <c r="A1071" s="63" t="n"/>
      <c r="B1071" s="64" t="n"/>
      <c r="C1071" s="65" t="n"/>
      <c r="D1071" s="66" t="str">
        <f>IF(C1071="","",IFERROR(INDEX(sup_name,MATCH($C1071,sup_code,0))&amp;"","Fournisseur inconnu"))</f>
        <v/>
      </c>
      <c r="E1071" s="63" t="n"/>
      <c r="F1071" s="66" t="str">
        <f>IF(E1071="","",IFERROR(INDEX(art_des,MATCH($E1071,art_ref,0))&amp;"","Article inconnu"))</f>
        <v/>
      </c>
      <c r="G1071" s="67" t="str">
        <f>IF(E1071="","",IFERROR(INDEX(art_unit,MATCH($E1071,art_ref,0))&amp;"",""))</f>
        <v/>
      </c>
      <c r="H1071" s="68" t="n"/>
      <c r="I1071" s="69" t="n"/>
      <c r="J1071" s="70" t="str">
        <f>IF(E1071="","",IF(ISNUMBER(I1071),I1071,IFERROR(IF(ISNUMBER(INDEX(art_price,MATCH($E1071,art_ref,0))),INDEX(art_price,MATCH($E1071,art_ref,0)),""),"")))</f>
        <v/>
      </c>
      <c r="K1071" s="71" t="n"/>
      <c r="L1071" s="72" t="n"/>
      <c r="M1071" s="72" t="str">
        <f>IF(E1071="","",IF(L1071&lt;&gt;"",L1071,IFERROR(IF(ISNUMBER(INDEX(art_tva,MATCH($E1071,art_ref,0))),INDEX(art_tva,MATCH($E1071,art_ref,0)),""),"")))</f>
        <v/>
      </c>
      <c r="N1071" s="70" t="str">
        <f>IF(OR(E1071="",J1071=""),"",ROUND(N(H1071)*J1071*(1-N(K1071)),2))</f>
        <v/>
      </c>
      <c r="O1071" s="70" t="str">
        <f>IF(OR(N1071="",NOT(ISNUMBER(M1071))),"",ROUND(N1071*M1071,2))</f>
        <v/>
      </c>
      <c r="P1071" s="70" t="str">
        <f>IF(N1071="","",N1071+N(O1071))</f>
        <v/>
      </c>
      <c r="Q1071" s="64" t="n"/>
      <c r="R1071" s="73" t="str">
        <f>IF(N(Q1071)&gt;0,Q1071,IF(OR(N(B1071)=0,ISNA(MATCH($C1071,sup_code,0))),"",IF(ISNUMBER(INDEX(sup_delay,MATCH($C1071,sup_code,0))),B1071+INDEX(sup_delay,MATCH($C1071,sup_code,0)),"")))</f>
        <v/>
      </c>
      <c r="S1071" s="64" t="n"/>
      <c r="T1071" s="68" t="n"/>
      <c r="U1071" s="64" t="n"/>
      <c r="V1071" s="65" t="n"/>
      <c r="W1071" s="74" t="str">
        <f>IF(AND(A1071="",E1071=""),"",IF(V1071="Oui",0,MAX(0,ROUND(N(H1071)-N(T1071),6))))</f>
        <v/>
      </c>
      <c r="X1071" s="67" t="str">
        <f>IF(AND(A1071="",E1071=""),"",IF(V1071="Oui","Annulé",IF(AND(N(H1071)&gt;0,N(T1071)&gt;=N(H1071)),"Reçu",IF(N(S1071)=0,"Brouillon",IF(AND(ISNUMBER(R1071),R1071&lt;p_today),"En retard",IF(N(T1071)&gt;0,"Partiel","Envoyé"))))))</f>
        <v/>
      </c>
      <c r="Y1071" s="75" t="str">
        <f>IF(X1071="En retard",p_today-R1071,IF(AND(X1071="Reçu",ISNUMBER(R1071)),MAX(0,N(U1071)-R1071),""))</f>
        <v/>
      </c>
      <c r="Z1071" s="67" t="str">
        <f>IF(AND(A1071="",E1071=""),"",IF(A1071="","N° de bon manquant",IF(N(B1071)=0,"Date de commande manquante",IF(C1071="","Fournisseur manquant",IF(ISNA(MATCH($C1071,sup_code,0)),"Fournisseur inconnu",IF(E1071="","Article manquant",IF(ISNA(MATCH($E1071,art_ref,0)),"Article inconnu",IF(N(H1071)&lt;=0,"Quantité invalide",IF(J1071="","Prix manquant",IF(OR(N(K1071)&lt;0,N(K1071)&gt;=1),"Remise invalide",IF(M1071="","TVA manquante",IF(ISNA(MATCH(M1071,p_tva,0)),"Taux de TVA inconnu",IF(COUNTIFS(po_num,A1071,po_sup,"&lt;&gt;"&amp;C1071)&gt;0,"Fournisseur différent sur ce bon",IF(COUNTIFS(po_num,A1071,po_date,"&lt;&gt;"&amp;B1071)&gt;0,"Date différente sur ce bon",IF(COUNTIF(po_num,A1071)&gt;25,"Plus de 25 lignes sur ce bon",IF(R1071="","Date de livraison manquante",IF(R1071&lt;B1071,"Livraison avant la commande",IF(AND(N(T1071)&gt;0,N(S1071)=0),"Date d'envoi manquante",IF(N(T1071)&gt;N(H1071),"Reçu plus que commandé",IF(AND(N(T1071)&gt;0,N(U1071)=0),"Date de réception manquante",IF(AND(N(U1071)&gt;0,U1071&lt;B1071),"Réception avant la commande","OK")))))))))))))))))))))</f>
        <v/>
      </c>
      <c r="AA1071" s="66" t="str">
        <f>IF(AND(X1071="Reçu",ISNUMBER(R1071)),IF(N(U1071)&lt;=R1071,1,0),"")</f>
        <v/>
      </c>
      <c r="AB1071" s="76" t="str">
        <f>IF(OR(X1071="Envoyé",X1071="Partiel",X1071="En retard"),IF(ISNUMBER(R1071),R1071,100000)+ROW()/100000,"")</f>
        <v/>
      </c>
      <c r="AC1071" s="66" t="str">
        <f>IF(A1071="","",IF(COUNTIF($A$6:A1071,A1071)=1,1,""))</f>
        <v/>
      </c>
      <c r="AD1071" s="66" t="str">
        <f>IF(AC1071=1,COUNT($AC$6:AC1071),"")</f>
        <v/>
      </c>
      <c r="AE1071" s="66" t="str">
        <f>IFERROR(INDEX(po_num,MATCH(1066,po_seq,0))&amp;"","")</f>
        <v/>
      </c>
      <c r="AF1071" s="66" t="str">
        <f>IF(OR(A1071="",p_po=""),"",IF(A1071&amp;""=p_po,COUNTIF($A$6:A1071,A1071),""))</f>
        <v/>
      </c>
      <c r="AG1071" s="66" t="str">
        <f>IF(OR(AB1071="",A1071=""),"",IF(COUNTIFS($A$6:A1071,A1071,$AB$6:AB1071,"&gt;0")=1,1,""))</f>
        <v/>
      </c>
      <c r="AH1071" s="70" t="str">
        <f>IF(AB1071="","",ROUND(N(W1071)*N(J1071)*(1-N(K1071)),2))</f>
        <v/>
      </c>
      <c r="AI1071" s="70" t="str">
        <f>IF(OR(J1071="",N(T1071)&lt;=0,V1071="Oui"),"",ROUND(N(T1071)*J1071*(1-N(K1071)),2))</f>
        <v/>
      </c>
    </row>
    <row r="1072">
      <c r="A1072" s="63" t="n"/>
      <c r="B1072" s="64" t="n"/>
      <c r="C1072" s="65" t="n"/>
      <c r="D1072" s="66" t="str">
        <f>IF(C1072="","",IFERROR(INDEX(sup_name,MATCH($C1072,sup_code,0))&amp;"","Fournisseur inconnu"))</f>
        <v/>
      </c>
      <c r="E1072" s="63" t="n"/>
      <c r="F1072" s="66" t="str">
        <f>IF(E1072="","",IFERROR(INDEX(art_des,MATCH($E1072,art_ref,0))&amp;"","Article inconnu"))</f>
        <v/>
      </c>
      <c r="G1072" s="67" t="str">
        <f>IF(E1072="","",IFERROR(INDEX(art_unit,MATCH($E1072,art_ref,0))&amp;"",""))</f>
        <v/>
      </c>
      <c r="H1072" s="68" t="n"/>
      <c r="I1072" s="69" t="n"/>
      <c r="J1072" s="70" t="str">
        <f>IF(E1072="","",IF(ISNUMBER(I1072),I1072,IFERROR(IF(ISNUMBER(INDEX(art_price,MATCH($E1072,art_ref,0))),INDEX(art_price,MATCH($E1072,art_ref,0)),""),"")))</f>
        <v/>
      </c>
      <c r="K1072" s="71" t="n"/>
      <c r="L1072" s="72" t="n"/>
      <c r="M1072" s="72" t="str">
        <f>IF(E1072="","",IF(L1072&lt;&gt;"",L1072,IFERROR(IF(ISNUMBER(INDEX(art_tva,MATCH($E1072,art_ref,0))),INDEX(art_tva,MATCH($E1072,art_ref,0)),""),"")))</f>
        <v/>
      </c>
      <c r="N1072" s="70" t="str">
        <f>IF(OR(E1072="",J1072=""),"",ROUND(N(H1072)*J1072*(1-N(K1072)),2))</f>
        <v/>
      </c>
      <c r="O1072" s="70" t="str">
        <f>IF(OR(N1072="",NOT(ISNUMBER(M1072))),"",ROUND(N1072*M1072,2))</f>
        <v/>
      </c>
      <c r="P1072" s="70" t="str">
        <f>IF(N1072="","",N1072+N(O1072))</f>
        <v/>
      </c>
      <c r="Q1072" s="64" t="n"/>
      <c r="R1072" s="73" t="str">
        <f>IF(N(Q1072)&gt;0,Q1072,IF(OR(N(B1072)=0,ISNA(MATCH($C1072,sup_code,0))),"",IF(ISNUMBER(INDEX(sup_delay,MATCH($C1072,sup_code,0))),B1072+INDEX(sup_delay,MATCH($C1072,sup_code,0)),"")))</f>
        <v/>
      </c>
      <c r="S1072" s="64" t="n"/>
      <c r="T1072" s="68" t="n"/>
      <c r="U1072" s="64" t="n"/>
      <c r="V1072" s="65" t="n"/>
      <c r="W1072" s="74" t="str">
        <f>IF(AND(A1072="",E1072=""),"",IF(V1072="Oui",0,MAX(0,ROUND(N(H1072)-N(T1072),6))))</f>
        <v/>
      </c>
      <c r="X1072" s="67" t="str">
        <f>IF(AND(A1072="",E1072=""),"",IF(V1072="Oui","Annulé",IF(AND(N(H1072)&gt;0,N(T1072)&gt;=N(H1072)),"Reçu",IF(N(S1072)=0,"Brouillon",IF(AND(ISNUMBER(R1072),R1072&lt;p_today),"En retard",IF(N(T1072)&gt;0,"Partiel","Envoyé"))))))</f>
        <v/>
      </c>
      <c r="Y1072" s="75" t="str">
        <f>IF(X1072="En retard",p_today-R1072,IF(AND(X1072="Reçu",ISNUMBER(R1072)),MAX(0,N(U1072)-R1072),""))</f>
        <v/>
      </c>
      <c r="Z1072" s="67" t="str">
        <f>IF(AND(A1072="",E1072=""),"",IF(A1072="","N° de bon manquant",IF(N(B1072)=0,"Date de commande manquante",IF(C1072="","Fournisseur manquant",IF(ISNA(MATCH($C1072,sup_code,0)),"Fournisseur inconnu",IF(E1072="","Article manquant",IF(ISNA(MATCH($E1072,art_ref,0)),"Article inconnu",IF(N(H1072)&lt;=0,"Quantité invalide",IF(J1072="","Prix manquant",IF(OR(N(K1072)&lt;0,N(K1072)&gt;=1),"Remise invalide",IF(M1072="","TVA manquante",IF(ISNA(MATCH(M1072,p_tva,0)),"Taux de TVA inconnu",IF(COUNTIFS(po_num,A1072,po_sup,"&lt;&gt;"&amp;C1072)&gt;0,"Fournisseur différent sur ce bon",IF(COUNTIFS(po_num,A1072,po_date,"&lt;&gt;"&amp;B1072)&gt;0,"Date différente sur ce bon",IF(COUNTIF(po_num,A1072)&gt;25,"Plus de 25 lignes sur ce bon",IF(R1072="","Date de livraison manquante",IF(R1072&lt;B1072,"Livraison avant la commande",IF(AND(N(T1072)&gt;0,N(S1072)=0),"Date d'envoi manquante",IF(N(T1072)&gt;N(H1072),"Reçu plus que commandé",IF(AND(N(T1072)&gt;0,N(U1072)=0),"Date de réception manquante",IF(AND(N(U1072)&gt;0,U1072&lt;B1072),"Réception avant la commande","OK")))))))))))))))))))))</f>
        <v/>
      </c>
      <c r="AA1072" s="66" t="str">
        <f>IF(AND(X1072="Reçu",ISNUMBER(R1072)),IF(N(U1072)&lt;=R1072,1,0),"")</f>
        <v/>
      </c>
      <c r="AB1072" s="76" t="str">
        <f>IF(OR(X1072="Envoyé",X1072="Partiel",X1072="En retard"),IF(ISNUMBER(R1072),R1072,100000)+ROW()/100000,"")</f>
        <v/>
      </c>
      <c r="AC1072" s="66" t="str">
        <f>IF(A1072="","",IF(COUNTIF($A$6:A1072,A1072)=1,1,""))</f>
        <v/>
      </c>
      <c r="AD1072" s="66" t="str">
        <f>IF(AC1072=1,COUNT($AC$6:AC1072),"")</f>
        <v/>
      </c>
      <c r="AE1072" s="66" t="str">
        <f>IFERROR(INDEX(po_num,MATCH(1067,po_seq,0))&amp;"","")</f>
        <v/>
      </c>
      <c r="AF1072" s="66" t="str">
        <f>IF(OR(A1072="",p_po=""),"",IF(A1072&amp;""=p_po,COUNTIF($A$6:A1072,A1072),""))</f>
        <v/>
      </c>
      <c r="AG1072" s="66" t="str">
        <f>IF(OR(AB1072="",A1072=""),"",IF(COUNTIFS($A$6:A1072,A1072,$AB$6:AB1072,"&gt;0")=1,1,""))</f>
        <v/>
      </c>
      <c r="AH1072" s="70" t="str">
        <f>IF(AB1072="","",ROUND(N(W1072)*N(J1072)*(1-N(K1072)),2))</f>
        <v/>
      </c>
      <c r="AI1072" s="70" t="str">
        <f>IF(OR(J1072="",N(T1072)&lt;=0,V1072="Oui"),"",ROUND(N(T1072)*J1072*(1-N(K1072)),2))</f>
        <v/>
      </c>
    </row>
    <row r="1073">
      <c r="A1073" s="63" t="n"/>
      <c r="B1073" s="64" t="n"/>
      <c r="C1073" s="65" t="n"/>
      <c r="D1073" s="66" t="str">
        <f>IF(C1073="","",IFERROR(INDEX(sup_name,MATCH($C1073,sup_code,0))&amp;"","Fournisseur inconnu"))</f>
        <v/>
      </c>
      <c r="E1073" s="63" t="n"/>
      <c r="F1073" s="66" t="str">
        <f>IF(E1073="","",IFERROR(INDEX(art_des,MATCH($E1073,art_ref,0))&amp;"","Article inconnu"))</f>
        <v/>
      </c>
      <c r="G1073" s="67" t="str">
        <f>IF(E1073="","",IFERROR(INDEX(art_unit,MATCH($E1073,art_ref,0))&amp;"",""))</f>
        <v/>
      </c>
      <c r="H1073" s="68" t="n"/>
      <c r="I1073" s="69" t="n"/>
      <c r="J1073" s="70" t="str">
        <f>IF(E1073="","",IF(ISNUMBER(I1073),I1073,IFERROR(IF(ISNUMBER(INDEX(art_price,MATCH($E1073,art_ref,0))),INDEX(art_price,MATCH($E1073,art_ref,0)),""),"")))</f>
        <v/>
      </c>
      <c r="K1073" s="71" t="n"/>
      <c r="L1073" s="72" t="n"/>
      <c r="M1073" s="72" t="str">
        <f>IF(E1073="","",IF(L1073&lt;&gt;"",L1073,IFERROR(IF(ISNUMBER(INDEX(art_tva,MATCH($E1073,art_ref,0))),INDEX(art_tva,MATCH($E1073,art_ref,0)),""),"")))</f>
        <v/>
      </c>
      <c r="N1073" s="70" t="str">
        <f>IF(OR(E1073="",J1073=""),"",ROUND(N(H1073)*J1073*(1-N(K1073)),2))</f>
        <v/>
      </c>
      <c r="O1073" s="70" t="str">
        <f>IF(OR(N1073="",NOT(ISNUMBER(M1073))),"",ROUND(N1073*M1073,2))</f>
        <v/>
      </c>
      <c r="P1073" s="70" t="str">
        <f>IF(N1073="","",N1073+N(O1073))</f>
        <v/>
      </c>
      <c r="Q1073" s="64" t="n"/>
      <c r="R1073" s="73" t="str">
        <f>IF(N(Q1073)&gt;0,Q1073,IF(OR(N(B1073)=0,ISNA(MATCH($C1073,sup_code,0))),"",IF(ISNUMBER(INDEX(sup_delay,MATCH($C1073,sup_code,0))),B1073+INDEX(sup_delay,MATCH($C1073,sup_code,0)),"")))</f>
        <v/>
      </c>
      <c r="S1073" s="64" t="n"/>
      <c r="T1073" s="68" t="n"/>
      <c r="U1073" s="64" t="n"/>
      <c r="V1073" s="65" t="n"/>
      <c r="W1073" s="74" t="str">
        <f>IF(AND(A1073="",E1073=""),"",IF(V1073="Oui",0,MAX(0,ROUND(N(H1073)-N(T1073),6))))</f>
        <v/>
      </c>
      <c r="X1073" s="67" t="str">
        <f>IF(AND(A1073="",E1073=""),"",IF(V1073="Oui","Annulé",IF(AND(N(H1073)&gt;0,N(T1073)&gt;=N(H1073)),"Reçu",IF(N(S1073)=0,"Brouillon",IF(AND(ISNUMBER(R1073),R1073&lt;p_today),"En retard",IF(N(T1073)&gt;0,"Partiel","Envoyé"))))))</f>
        <v/>
      </c>
      <c r="Y1073" s="75" t="str">
        <f>IF(X1073="En retard",p_today-R1073,IF(AND(X1073="Reçu",ISNUMBER(R1073)),MAX(0,N(U1073)-R1073),""))</f>
        <v/>
      </c>
      <c r="Z1073" s="67" t="str">
        <f>IF(AND(A1073="",E1073=""),"",IF(A1073="","N° de bon manquant",IF(N(B1073)=0,"Date de commande manquante",IF(C1073="","Fournisseur manquant",IF(ISNA(MATCH($C1073,sup_code,0)),"Fournisseur inconnu",IF(E1073="","Article manquant",IF(ISNA(MATCH($E1073,art_ref,0)),"Article inconnu",IF(N(H1073)&lt;=0,"Quantité invalide",IF(J1073="","Prix manquant",IF(OR(N(K1073)&lt;0,N(K1073)&gt;=1),"Remise invalide",IF(M1073="","TVA manquante",IF(ISNA(MATCH(M1073,p_tva,0)),"Taux de TVA inconnu",IF(COUNTIFS(po_num,A1073,po_sup,"&lt;&gt;"&amp;C1073)&gt;0,"Fournisseur différent sur ce bon",IF(COUNTIFS(po_num,A1073,po_date,"&lt;&gt;"&amp;B1073)&gt;0,"Date différente sur ce bon",IF(COUNTIF(po_num,A1073)&gt;25,"Plus de 25 lignes sur ce bon",IF(R1073="","Date de livraison manquante",IF(R1073&lt;B1073,"Livraison avant la commande",IF(AND(N(T1073)&gt;0,N(S1073)=0),"Date d'envoi manquante",IF(N(T1073)&gt;N(H1073),"Reçu plus que commandé",IF(AND(N(T1073)&gt;0,N(U1073)=0),"Date de réception manquante",IF(AND(N(U1073)&gt;0,U1073&lt;B1073),"Réception avant la commande","OK")))))))))))))))))))))</f>
        <v/>
      </c>
      <c r="AA1073" s="66" t="str">
        <f>IF(AND(X1073="Reçu",ISNUMBER(R1073)),IF(N(U1073)&lt;=R1073,1,0),"")</f>
        <v/>
      </c>
      <c r="AB1073" s="76" t="str">
        <f>IF(OR(X1073="Envoyé",X1073="Partiel",X1073="En retard"),IF(ISNUMBER(R1073),R1073,100000)+ROW()/100000,"")</f>
        <v/>
      </c>
      <c r="AC1073" s="66" t="str">
        <f>IF(A1073="","",IF(COUNTIF($A$6:A1073,A1073)=1,1,""))</f>
        <v/>
      </c>
      <c r="AD1073" s="66" t="str">
        <f>IF(AC1073=1,COUNT($AC$6:AC1073),"")</f>
        <v/>
      </c>
      <c r="AE1073" s="66" t="str">
        <f>IFERROR(INDEX(po_num,MATCH(1068,po_seq,0))&amp;"","")</f>
        <v/>
      </c>
      <c r="AF1073" s="66" t="str">
        <f>IF(OR(A1073="",p_po=""),"",IF(A1073&amp;""=p_po,COUNTIF($A$6:A1073,A1073),""))</f>
        <v/>
      </c>
      <c r="AG1073" s="66" t="str">
        <f>IF(OR(AB1073="",A1073=""),"",IF(COUNTIFS($A$6:A1073,A1073,$AB$6:AB1073,"&gt;0")=1,1,""))</f>
        <v/>
      </c>
      <c r="AH1073" s="70" t="str">
        <f>IF(AB1073="","",ROUND(N(W1073)*N(J1073)*(1-N(K1073)),2))</f>
        <v/>
      </c>
      <c r="AI1073" s="70" t="str">
        <f>IF(OR(J1073="",N(T1073)&lt;=0,V1073="Oui"),"",ROUND(N(T1073)*J1073*(1-N(K1073)),2))</f>
        <v/>
      </c>
    </row>
    <row r="1074">
      <c r="A1074" s="63" t="n"/>
      <c r="B1074" s="64" t="n"/>
      <c r="C1074" s="65" t="n"/>
      <c r="D1074" s="66" t="str">
        <f>IF(C1074="","",IFERROR(INDEX(sup_name,MATCH($C1074,sup_code,0))&amp;"","Fournisseur inconnu"))</f>
        <v/>
      </c>
      <c r="E1074" s="63" t="n"/>
      <c r="F1074" s="66" t="str">
        <f>IF(E1074="","",IFERROR(INDEX(art_des,MATCH($E1074,art_ref,0))&amp;"","Article inconnu"))</f>
        <v/>
      </c>
      <c r="G1074" s="67" t="str">
        <f>IF(E1074="","",IFERROR(INDEX(art_unit,MATCH($E1074,art_ref,0))&amp;"",""))</f>
        <v/>
      </c>
      <c r="H1074" s="68" t="n"/>
      <c r="I1074" s="69" t="n"/>
      <c r="J1074" s="70" t="str">
        <f>IF(E1074="","",IF(ISNUMBER(I1074),I1074,IFERROR(IF(ISNUMBER(INDEX(art_price,MATCH($E1074,art_ref,0))),INDEX(art_price,MATCH($E1074,art_ref,0)),""),"")))</f>
        <v/>
      </c>
      <c r="K1074" s="71" t="n"/>
      <c r="L1074" s="72" t="n"/>
      <c r="M1074" s="72" t="str">
        <f>IF(E1074="","",IF(L1074&lt;&gt;"",L1074,IFERROR(IF(ISNUMBER(INDEX(art_tva,MATCH($E1074,art_ref,0))),INDEX(art_tva,MATCH($E1074,art_ref,0)),""),"")))</f>
        <v/>
      </c>
      <c r="N1074" s="70" t="str">
        <f>IF(OR(E1074="",J1074=""),"",ROUND(N(H1074)*J1074*(1-N(K1074)),2))</f>
        <v/>
      </c>
      <c r="O1074" s="70" t="str">
        <f>IF(OR(N1074="",NOT(ISNUMBER(M1074))),"",ROUND(N1074*M1074,2))</f>
        <v/>
      </c>
      <c r="P1074" s="70" t="str">
        <f>IF(N1074="","",N1074+N(O1074))</f>
        <v/>
      </c>
      <c r="Q1074" s="64" t="n"/>
      <c r="R1074" s="73" t="str">
        <f>IF(N(Q1074)&gt;0,Q1074,IF(OR(N(B1074)=0,ISNA(MATCH($C1074,sup_code,0))),"",IF(ISNUMBER(INDEX(sup_delay,MATCH($C1074,sup_code,0))),B1074+INDEX(sup_delay,MATCH($C1074,sup_code,0)),"")))</f>
        <v/>
      </c>
      <c r="S1074" s="64" t="n"/>
      <c r="T1074" s="68" t="n"/>
      <c r="U1074" s="64" t="n"/>
      <c r="V1074" s="65" t="n"/>
      <c r="W1074" s="74" t="str">
        <f>IF(AND(A1074="",E1074=""),"",IF(V1074="Oui",0,MAX(0,ROUND(N(H1074)-N(T1074),6))))</f>
        <v/>
      </c>
      <c r="X1074" s="67" t="str">
        <f>IF(AND(A1074="",E1074=""),"",IF(V1074="Oui","Annulé",IF(AND(N(H1074)&gt;0,N(T1074)&gt;=N(H1074)),"Reçu",IF(N(S1074)=0,"Brouillon",IF(AND(ISNUMBER(R1074),R1074&lt;p_today),"En retard",IF(N(T1074)&gt;0,"Partiel","Envoyé"))))))</f>
        <v/>
      </c>
      <c r="Y1074" s="75" t="str">
        <f>IF(X1074="En retard",p_today-R1074,IF(AND(X1074="Reçu",ISNUMBER(R1074)),MAX(0,N(U1074)-R1074),""))</f>
        <v/>
      </c>
      <c r="Z1074" s="67" t="str">
        <f>IF(AND(A1074="",E1074=""),"",IF(A1074="","N° de bon manquant",IF(N(B1074)=0,"Date de commande manquante",IF(C1074="","Fournisseur manquant",IF(ISNA(MATCH($C1074,sup_code,0)),"Fournisseur inconnu",IF(E1074="","Article manquant",IF(ISNA(MATCH($E1074,art_ref,0)),"Article inconnu",IF(N(H1074)&lt;=0,"Quantité invalide",IF(J1074="","Prix manquant",IF(OR(N(K1074)&lt;0,N(K1074)&gt;=1),"Remise invalide",IF(M1074="","TVA manquante",IF(ISNA(MATCH(M1074,p_tva,0)),"Taux de TVA inconnu",IF(COUNTIFS(po_num,A1074,po_sup,"&lt;&gt;"&amp;C1074)&gt;0,"Fournisseur différent sur ce bon",IF(COUNTIFS(po_num,A1074,po_date,"&lt;&gt;"&amp;B1074)&gt;0,"Date différente sur ce bon",IF(COUNTIF(po_num,A1074)&gt;25,"Plus de 25 lignes sur ce bon",IF(R1074="","Date de livraison manquante",IF(R1074&lt;B1074,"Livraison avant la commande",IF(AND(N(T1074)&gt;0,N(S1074)=0),"Date d'envoi manquante",IF(N(T1074)&gt;N(H1074),"Reçu plus que commandé",IF(AND(N(T1074)&gt;0,N(U1074)=0),"Date de réception manquante",IF(AND(N(U1074)&gt;0,U1074&lt;B1074),"Réception avant la commande","OK")))))))))))))))))))))</f>
        <v/>
      </c>
      <c r="AA1074" s="66" t="str">
        <f>IF(AND(X1074="Reçu",ISNUMBER(R1074)),IF(N(U1074)&lt;=R1074,1,0),"")</f>
        <v/>
      </c>
      <c r="AB1074" s="76" t="str">
        <f>IF(OR(X1074="Envoyé",X1074="Partiel",X1074="En retard"),IF(ISNUMBER(R1074),R1074,100000)+ROW()/100000,"")</f>
        <v/>
      </c>
      <c r="AC1074" s="66" t="str">
        <f>IF(A1074="","",IF(COUNTIF($A$6:A1074,A1074)=1,1,""))</f>
        <v/>
      </c>
      <c r="AD1074" s="66" t="str">
        <f>IF(AC1074=1,COUNT($AC$6:AC1074),"")</f>
        <v/>
      </c>
      <c r="AE1074" s="66" t="str">
        <f>IFERROR(INDEX(po_num,MATCH(1069,po_seq,0))&amp;"","")</f>
        <v/>
      </c>
      <c r="AF1074" s="66" t="str">
        <f>IF(OR(A1074="",p_po=""),"",IF(A1074&amp;""=p_po,COUNTIF($A$6:A1074,A1074),""))</f>
        <v/>
      </c>
      <c r="AG1074" s="66" t="str">
        <f>IF(OR(AB1074="",A1074=""),"",IF(COUNTIFS($A$6:A1074,A1074,$AB$6:AB1074,"&gt;0")=1,1,""))</f>
        <v/>
      </c>
      <c r="AH1074" s="70" t="str">
        <f>IF(AB1074="","",ROUND(N(W1074)*N(J1074)*(1-N(K1074)),2))</f>
        <v/>
      </c>
      <c r="AI1074" s="70" t="str">
        <f>IF(OR(J1074="",N(T1074)&lt;=0,V1074="Oui"),"",ROUND(N(T1074)*J1074*(1-N(K1074)),2))</f>
        <v/>
      </c>
    </row>
    <row r="1075">
      <c r="A1075" s="63" t="n"/>
      <c r="B1075" s="64" t="n"/>
      <c r="C1075" s="65" t="n"/>
      <c r="D1075" s="66" t="str">
        <f>IF(C1075="","",IFERROR(INDEX(sup_name,MATCH($C1075,sup_code,0))&amp;"","Fournisseur inconnu"))</f>
        <v/>
      </c>
      <c r="E1075" s="63" t="n"/>
      <c r="F1075" s="66" t="str">
        <f>IF(E1075="","",IFERROR(INDEX(art_des,MATCH($E1075,art_ref,0))&amp;"","Article inconnu"))</f>
        <v/>
      </c>
      <c r="G1075" s="67" t="str">
        <f>IF(E1075="","",IFERROR(INDEX(art_unit,MATCH($E1075,art_ref,0))&amp;"",""))</f>
        <v/>
      </c>
      <c r="H1075" s="68" t="n"/>
      <c r="I1075" s="69" t="n"/>
      <c r="J1075" s="70" t="str">
        <f>IF(E1075="","",IF(ISNUMBER(I1075),I1075,IFERROR(IF(ISNUMBER(INDEX(art_price,MATCH($E1075,art_ref,0))),INDEX(art_price,MATCH($E1075,art_ref,0)),""),"")))</f>
        <v/>
      </c>
      <c r="K1075" s="71" t="n"/>
      <c r="L1075" s="72" t="n"/>
      <c r="M1075" s="72" t="str">
        <f>IF(E1075="","",IF(L1075&lt;&gt;"",L1075,IFERROR(IF(ISNUMBER(INDEX(art_tva,MATCH($E1075,art_ref,0))),INDEX(art_tva,MATCH($E1075,art_ref,0)),""),"")))</f>
        <v/>
      </c>
      <c r="N1075" s="70" t="str">
        <f>IF(OR(E1075="",J1075=""),"",ROUND(N(H1075)*J1075*(1-N(K1075)),2))</f>
        <v/>
      </c>
      <c r="O1075" s="70" t="str">
        <f>IF(OR(N1075="",NOT(ISNUMBER(M1075))),"",ROUND(N1075*M1075,2))</f>
        <v/>
      </c>
      <c r="P1075" s="70" t="str">
        <f>IF(N1075="","",N1075+N(O1075))</f>
        <v/>
      </c>
      <c r="Q1075" s="64" t="n"/>
      <c r="R1075" s="73" t="str">
        <f>IF(N(Q1075)&gt;0,Q1075,IF(OR(N(B1075)=0,ISNA(MATCH($C1075,sup_code,0))),"",IF(ISNUMBER(INDEX(sup_delay,MATCH($C1075,sup_code,0))),B1075+INDEX(sup_delay,MATCH($C1075,sup_code,0)),"")))</f>
        <v/>
      </c>
      <c r="S1075" s="64" t="n"/>
      <c r="T1075" s="68" t="n"/>
      <c r="U1075" s="64" t="n"/>
      <c r="V1075" s="65" t="n"/>
      <c r="W1075" s="74" t="str">
        <f>IF(AND(A1075="",E1075=""),"",IF(V1075="Oui",0,MAX(0,ROUND(N(H1075)-N(T1075),6))))</f>
        <v/>
      </c>
      <c r="X1075" s="67" t="str">
        <f>IF(AND(A1075="",E1075=""),"",IF(V1075="Oui","Annulé",IF(AND(N(H1075)&gt;0,N(T1075)&gt;=N(H1075)),"Reçu",IF(N(S1075)=0,"Brouillon",IF(AND(ISNUMBER(R1075),R1075&lt;p_today),"En retard",IF(N(T1075)&gt;0,"Partiel","Envoyé"))))))</f>
        <v/>
      </c>
      <c r="Y1075" s="75" t="str">
        <f>IF(X1075="En retard",p_today-R1075,IF(AND(X1075="Reçu",ISNUMBER(R1075)),MAX(0,N(U1075)-R1075),""))</f>
        <v/>
      </c>
      <c r="Z1075" s="67" t="str">
        <f>IF(AND(A1075="",E1075=""),"",IF(A1075="","N° de bon manquant",IF(N(B1075)=0,"Date de commande manquante",IF(C1075="","Fournisseur manquant",IF(ISNA(MATCH($C1075,sup_code,0)),"Fournisseur inconnu",IF(E1075="","Article manquant",IF(ISNA(MATCH($E1075,art_ref,0)),"Article inconnu",IF(N(H1075)&lt;=0,"Quantité invalide",IF(J1075="","Prix manquant",IF(OR(N(K1075)&lt;0,N(K1075)&gt;=1),"Remise invalide",IF(M1075="","TVA manquante",IF(ISNA(MATCH(M1075,p_tva,0)),"Taux de TVA inconnu",IF(COUNTIFS(po_num,A1075,po_sup,"&lt;&gt;"&amp;C1075)&gt;0,"Fournisseur différent sur ce bon",IF(COUNTIFS(po_num,A1075,po_date,"&lt;&gt;"&amp;B1075)&gt;0,"Date différente sur ce bon",IF(COUNTIF(po_num,A1075)&gt;25,"Plus de 25 lignes sur ce bon",IF(R1075="","Date de livraison manquante",IF(R1075&lt;B1075,"Livraison avant la commande",IF(AND(N(T1075)&gt;0,N(S1075)=0),"Date d'envoi manquante",IF(N(T1075)&gt;N(H1075),"Reçu plus que commandé",IF(AND(N(T1075)&gt;0,N(U1075)=0),"Date de réception manquante",IF(AND(N(U1075)&gt;0,U1075&lt;B1075),"Réception avant la commande","OK")))))))))))))))))))))</f>
        <v/>
      </c>
      <c r="AA1075" s="66" t="str">
        <f>IF(AND(X1075="Reçu",ISNUMBER(R1075)),IF(N(U1075)&lt;=R1075,1,0),"")</f>
        <v/>
      </c>
      <c r="AB1075" s="76" t="str">
        <f>IF(OR(X1075="Envoyé",X1075="Partiel",X1075="En retard"),IF(ISNUMBER(R1075),R1075,100000)+ROW()/100000,"")</f>
        <v/>
      </c>
      <c r="AC1075" s="66" t="str">
        <f>IF(A1075="","",IF(COUNTIF($A$6:A1075,A1075)=1,1,""))</f>
        <v/>
      </c>
      <c r="AD1075" s="66" t="str">
        <f>IF(AC1075=1,COUNT($AC$6:AC1075),"")</f>
        <v/>
      </c>
      <c r="AE1075" s="66" t="str">
        <f>IFERROR(INDEX(po_num,MATCH(1070,po_seq,0))&amp;"","")</f>
        <v/>
      </c>
      <c r="AF1075" s="66" t="str">
        <f>IF(OR(A1075="",p_po=""),"",IF(A1075&amp;""=p_po,COUNTIF($A$6:A1075,A1075),""))</f>
        <v/>
      </c>
      <c r="AG1075" s="66" t="str">
        <f>IF(OR(AB1075="",A1075=""),"",IF(COUNTIFS($A$6:A1075,A1075,$AB$6:AB1075,"&gt;0")=1,1,""))</f>
        <v/>
      </c>
      <c r="AH1075" s="70" t="str">
        <f>IF(AB1075="","",ROUND(N(W1075)*N(J1075)*(1-N(K1075)),2))</f>
        <v/>
      </c>
      <c r="AI1075" s="70" t="str">
        <f>IF(OR(J1075="",N(T1075)&lt;=0,V1075="Oui"),"",ROUND(N(T1075)*J1075*(1-N(K1075)),2))</f>
        <v/>
      </c>
    </row>
    <row r="1076">
      <c r="A1076" s="63" t="n"/>
      <c r="B1076" s="64" t="n"/>
      <c r="C1076" s="65" t="n"/>
      <c r="D1076" s="66" t="str">
        <f>IF(C1076="","",IFERROR(INDEX(sup_name,MATCH($C1076,sup_code,0))&amp;"","Fournisseur inconnu"))</f>
        <v/>
      </c>
      <c r="E1076" s="63" t="n"/>
      <c r="F1076" s="66" t="str">
        <f>IF(E1076="","",IFERROR(INDEX(art_des,MATCH($E1076,art_ref,0))&amp;"","Article inconnu"))</f>
        <v/>
      </c>
      <c r="G1076" s="67" t="str">
        <f>IF(E1076="","",IFERROR(INDEX(art_unit,MATCH($E1076,art_ref,0))&amp;"",""))</f>
        <v/>
      </c>
      <c r="H1076" s="68" t="n"/>
      <c r="I1076" s="69" t="n"/>
      <c r="J1076" s="70" t="str">
        <f>IF(E1076="","",IF(ISNUMBER(I1076),I1076,IFERROR(IF(ISNUMBER(INDEX(art_price,MATCH($E1076,art_ref,0))),INDEX(art_price,MATCH($E1076,art_ref,0)),""),"")))</f>
        <v/>
      </c>
      <c r="K1076" s="71" t="n"/>
      <c r="L1076" s="72" t="n"/>
      <c r="M1076" s="72" t="str">
        <f>IF(E1076="","",IF(L1076&lt;&gt;"",L1076,IFERROR(IF(ISNUMBER(INDEX(art_tva,MATCH($E1076,art_ref,0))),INDEX(art_tva,MATCH($E1076,art_ref,0)),""),"")))</f>
        <v/>
      </c>
      <c r="N1076" s="70" t="str">
        <f>IF(OR(E1076="",J1076=""),"",ROUND(N(H1076)*J1076*(1-N(K1076)),2))</f>
        <v/>
      </c>
      <c r="O1076" s="70" t="str">
        <f>IF(OR(N1076="",NOT(ISNUMBER(M1076))),"",ROUND(N1076*M1076,2))</f>
        <v/>
      </c>
      <c r="P1076" s="70" t="str">
        <f>IF(N1076="","",N1076+N(O1076))</f>
        <v/>
      </c>
      <c r="Q1076" s="64" t="n"/>
      <c r="R1076" s="73" t="str">
        <f>IF(N(Q1076)&gt;0,Q1076,IF(OR(N(B1076)=0,ISNA(MATCH($C1076,sup_code,0))),"",IF(ISNUMBER(INDEX(sup_delay,MATCH($C1076,sup_code,0))),B1076+INDEX(sup_delay,MATCH($C1076,sup_code,0)),"")))</f>
        <v/>
      </c>
      <c r="S1076" s="64" t="n"/>
      <c r="T1076" s="68" t="n"/>
      <c r="U1076" s="64" t="n"/>
      <c r="V1076" s="65" t="n"/>
      <c r="W1076" s="74" t="str">
        <f>IF(AND(A1076="",E1076=""),"",IF(V1076="Oui",0,MAX(0,ROUND(N(H1076)-N(T1076),6))))</f>
        <v/>
      </c>
      <c r="X1076" s="67" t="str">
        <f>IF(AND(A1076="",E1076=""),"",IF(V1076="Oui","Annulé",IF(AND(N(H1076)&gt;0,N(T1076)&gt;=N(H1076)),"Reçu",IF(N(S1076)=0,"Brouillon",IF(AND(ISNUMBER(R1076),R1076&lt;p_today),"En retard",IF(N(T1076)&gt;0,"Partiel","Envoyé"))))))</f>
        <v/>
      </c>
      <c r="Y1076" s="75" t="str">
        <f>IF(X1076="En retard",p_today-R1076,IF(AND(X1076="Reçu",ISNUMBER(R1076)),MAX(0,N(U1076)-R1076),""))</f>
        <v/>
      </c>
      <c r="Z1076" s="67" t="str">
        <f>IF(AND(A1076="",E1076=""),"",IF(A1076="","N° de bon manquant",IF(N(B1076)=0,"Date de commande manquante",IF(C1076="","Fournisseur manquant",IF(ISNA(MATCH($C1076,sup_code,0)),"Fournisseur inconnu",IF(E1076="","Article manquant",IF(ISNA(MATCH($E1076,art_ref,0)),"Article inconnu",IF(N(H1076)&lt;=0,"Quantité invalide",IF(J1076="","Prix manquant",IF(OR(N(K1076)&lt;0,N(K1076)&gt;=1),"Remise invalide",IF(M1076="","TVA manquante",IF(ISNA(MATCH(M1076,p_tva,0)),"Taux de TVA inconnu",IF(COUNTIFS(po_num,A1076,po_sup,"&lt;&gt;"&amp;C1076)&gt;0,"Fournisseur différent sur ce bon",IF(COUNTIFS(po_num,A1076,po_date,"&lt;&gt;"&amp;B1076)&gt;0,"Date différente sur ce bon",IF(COUNTIF(po_num,A1076)&gt;25,"Plus de 25 lignes sur ce bon",IF(R1076="","Date de livraison manquante",IF(R1076&lt;B1076,"Livraison avant la commande",IF(AND(N(T1076)&gt;0,N(S1076)=0),"Date d'envoi manquante",IF(N(T1076)&gt;N(H1076),"Reçu plus que commandé",IF(AND(N(T1076)&gt;0,N(U1076)=0),"Date de réception manquante",IF(AND(N(U1076)&gt;0,U1076&lt;B1076),"Réception avant la commande","OK")))))))))))))))))))))</f>
        <v/>
      </c>
      <c r="AA1076" s="66" t="str">
        <f>IF(AND(X1076="Reçu",ISNUMBER(R1076)),IF(N(U1076)&lt;=R1076,1,0),"")</f>
        <v/>
      </c>
      <c r="AB1076" s="76" t="str">
        <f>IF(OR(X1076="Envoyé",X1076="Partiel",X1076="En retard"),IF(ISNUMBER(R1076),R1076,100000)+ROW()/100000,"")</f>
        <v/>
      </c>
      <c r="AC1076" s="66" t="str">
        <f>IF(A1076="","",IF(COUNTIF($A$6:A1076,A1076)=1,1,""))</f>
        <v/>
      </c>
      <c r="AD1076" s="66" t="str">
        <f>IF(AC1076=1,COUNT($AC$6:AC1076),"")</f>
        <v/>
      </c>
      <c r="AE1076" s="66" t="str">
        <f>IFERROR(INDEX(po_num,MATCH(1071,po_seq,0))&amp;"","")</f>
        <v/>
      </c>
      <c r="AF1076" s="66" t="str">
        <f>IF(OR(A1076="",p_po=""),"",IF(A1076&amp;""=p_po,COUNTIF($A$6:A1076,A1076),""))</f>
        <v/>
      </c>
      <c r="AG1076" s="66" t="str">
        <f>IF(OR(AB1076="",A1076=""),"",IF(COUNTIFS($A$6:A1076,A1076,$AB$6:AB1076,"&gt;0")=1,1,""))</f>
        <v/>
      </c>
      <c r="AH1076" s="70" t="str">
        <f>IF(AB1076="","",ROUND(N(W1076)*N(J1076)*(1-N(K1076)),2))</f>
        <v/>
      </c>
      <c r="AI1076" s="70" t="str">
        <f>IF(OR(J1076="",N(T1076)&lt;=0,V1076="Oui"),"",ROUND(N(T1076)*J1076*(1-N(K1076)),2))</f>
        <v/>
      </c>
    </row>
    <row r="1077">
      <c r="A1077" s="63" t="n"/>
      <c r="B1077" s="64" t="n"/>
      <c r="C1077" s="65" t="n"/>
      <c r="D1077" s="66" t="str">
        <f>IF(C1077="","",IFERROR(INDEX(sup_name,MATCH($C1077,sup_code,0))&amp;"","Fournisseur inconnu"))</f>
        <v/>
      </c>
      <c r="E1077" s="63" t="n"/>
      <c r="F1077" s="66" t="str">
        <f>IF(E1077="","",IFERROR(INDEX(art_des,MATCH($E1077,art_ref,0))&amp;"","Article inconnu"))</f>
        <v/>
      </c>
      <c r="G1077" s="67" t="str">
        <f>IF(E1077="","",IFERROR(INDEX(art_unit,MATCH($E1077,art_ref,0))&amp;"",""))</f>
        <v/>
      </c>
      <c r="H1077" s="68" t="n"/>
      <c r="I1077" s="69" t="n"/>
      <c r="J1077" s="70" t="str">
        <f>IF(E1077="","",IF(ISNUMBER(I1077),I1077,IFERROR(IF(ISNUMBER(INDEX(art_price,MATCH($E1077,art_ref,0))),INDEX(art_price,MATCH($E1077,art_ref,0)),""),"")))</f>
        <v/>
      </c>
      <c r="K1077" s="71" t="n"/>
      <c r="L1077" s="72" t="n"/>
      <c r="M1077" s="72" t="str">
        <f>IF(E1077="","",IF(L1077&lt;&gt;"",L1077,IFERROR(IF(ISNUMBER(INDEX(art_tva,MATCH($E1077,art_ref,0))),INDEX(art_tva,MATCH($E1077,art_ref,0)),""),"")))</f>
        <v/>
      </c>
      <c r="N1077" s="70" t="str">
        <f>IF(OR(E1077="",J1077=""),"",ROUND(N(H1077)*J1077*(1-N(K1077)),2))</f>
        <v/>
      </c>
      <c r="O1077" s="70" t="str">
        <f>IF(OR(N1077="",NOT(ISNUMBER(M1077))),"",ROUND(N1077*M1077,2))</f>
        <v/>
      </c>
      <c r="P1077" s="70" t="str">
        <f>IF(N1077="","",N1077+N(O1077))</f>
        <v/>
      </c>
      <c r="Q1077" s="64" t="n"/>
      <c r="R1077" s="73" t="str">
        <f>IF(N(Q1077)&gt;0,Q1077,IF(OR(N(B1077)=0,ISNA(MATCH($C1077,sup_code,0))),"",IF(ISNUMBER(INDEX(sup_delay,MATCH($C1077,sup_code,0))),B1077+INDEX(sup_delay,MATCH($C1077,sup_code,0)),"")))</f>
        <v/>
      </c>
      <c r="S1077" s="64" t="n"/>
      <c r="T1077" s="68" t="n"/>
      <c r="U1077" s="64" t="n"/>
      <c r="V1077" s="65" t="n"/>
      <c r="W1077" s="74" t="str">
        <f>IF(AND(A1077="",E1077=""),"",IF(V1077="Oui",0,MAX(0,ROUND(N(H1077)-N(T1077),6))))</f>
        <v/>
      </c>
      <c r="X1077" s="67" t="str">
        <f>IF(AND(A1077="",E1077=""),"",IF(V1077="Oui","Annulé",IF(AND(N(H1077)&gt;0,N(T1077)&gt;=N(H1077)),"Reçu",IF(N(S1077)=0,"Brouillon",IF(AND(ISNUMBER(R1077),R1077&lt;p_today),"En retard",IF(N(T1077)&gt;0,"Partiel","Envoyé"))))))</f>
        <v/>
      </c>
      <c r="Y1077" s="75" t="str">
        <f>IF(X1077="En retard",p_today-R1077,IF(AND(X1077="Reçu",ISNUMBER(R1077)),MAX(0,N(U1077)-R1077),""))</f>
        <v/>
      </c>
      <c r="Z1077" s="67" t="str">
        <f>IF(AND(A1077="",E1077=""),"",IF(A1077="","N° de bon manquant",IF(N(B1077)=0,"Date de commande manquante",IF(C1077="","Fournisseur manquant",IF(ISNA(MATCH($C1077,sup_code,0)),"Fournisseur inconnu",IF(E1077="","Article manquant",IF(ISNA(MATCH($E1077,art_ref,0)),"Article inconnu",IF(N(H1077)&lt;=0,"Quantité invalide",IF(J1077="","Prix manquant",IF(OR(N(K1077)&lt;0,N(K1077)&gt;=1),"Remise invalide",IF(M1077="","TVA manquante",IF(ISNA(MATCH(M1077,p_tva,0)),"Taux de TVA inconnu",IF(COUNTIFS(po_num,A1077,po_sup,"&lt;&gt;"&amp;C1077)&gt;0,"Fournisseur différent sur ce bon",IF(COUNTIFS(po_num,A1077,po_date,"&lt;&gt;"&amp;B1077)&gt;0,"Date différente sur ce bon",IF(COUNTIF(po_num,A1077)&gt;25,"Plus de 25 lignes sur ce bon",IF(R1077="","Date de livraison manquante",IF(R1077&lt;B1077,"Livraison avant la commande",IF(AND(N(T1077)&gt;0,N(S1077)=0),"Date d'envoi manquante",IF(N(T1077)&gt;N(H1077),"Reçu plus que commandé",IF(AND(N(T1077)&gt;0,N(U1077)=0),"Date de réception manquante",IF(AND(N(U1077)&gt;0,U1077&lt;B1077),"Réception avant la commande","OK")))))))))))))))))))))</f>
        <v/>
      </c>
      <c r="AA1077" s="66" t="str">
        <f>IF(AND(X1077="Reçu",ISNUMBER(R1077)),IF(N(U1077)&lt;=R1077,1,0),"")</f>
        <v/>
      </c>
      <c r="AB1077" s="76" t="str">
        <f>IF(OR(X1077="Envoyé",X1077="Partiel",X1077="En retard"),IF(ISNUMBER(R1077),R1077,100000)+ROW()/100000,"")</f>
        <v/>
      </c>
      <c r="AC1077" s="66" t="str">
        <f>IF(A1077="","",IF(COUNTIF($A$6:A1077,A1077)=1,1,""))</f>
        <v/>
      </c>
      <c r="AD1077" s="66" t="str">
        <f>IF(AC1077=1,COUNT($AC$6:AC1077),"")</f>
        <v/>
      </c>
      <c r="AE1077" s="66" t="str">
        <f>IFERROR(INDEX(po_num,MATCH(1072,po_seq,0))&amp;"","")</f>
        <v/>
      </c>
      <c r="AF1077" s="66" t="str">
        <f>IF(OR(A1077="",p_po=""),"",IF(A1077&amp;""=p_po,COUNTIF($A$6:A1077,A1077),""))</f>
        <v/>
      </c>
      <c r="AG1077" s="66" t="str">
        <f>IF(OR(AB1077="",A1077=""),"",IF(COUNTIFS($A$6:A1077,A1077,$AB$6:AB1077,"&gt;0")=1,1,""))</f>
        <v/>
      </c>
      <c r="AH1077" s="70" t="str">
        <f>IF(AB1077="","",ROUND(N(W1077)*N(J1077)*(1-N(K1077)),2))</f>
        <v/>
      </c>
      <c r="AI1077" s="70" t="str">
        <f>IF(OR(J1077="",N(T1077)&lt;=0,V1077="Oui"),"",ROUND(N(T1077)*J1077*(1-N(K1077)),2))</f>
        <v/>
      </c>
    </row>
    <row r="1078">
      <c r="A1078" s="63" t="n"/>
      <c r="B1078" s="64" t="n"/>
      <c r="C1078" s="65" t="n"/>
      <c r="D1078" s="66" t="str">
        <f>IF(C1078="","",IFERROR(INDEX(sup_name,MATCH($C1078,sup_code,0))&amp;"","Fournisseur inconnu"))</f>
        <v/>
      </c>
      <c r="E1078" s="63" t="n"/>
      <c r="F1078" s="66" t="str">
        <f>IF(E1078="","",IFERROR(INDEX(art_des,MATCH($E1078,art_ref,0))&amp;"","Article inconnu"))</f>
        <v/>
      </c>
      <c r="G1078" s="67" t="str">
        <f>IF(E1078="","",IFERROR(INDEX(art_unit,MATCH($E1078,art_ref,0))&amp;"",""))</f>
        <v/>
      </c>
      <c r="H1078" s="68" t="n"/>
      <c r="I1078" s="69" t="n"/>
      <c r="J1078" s="70" t="str">
        <f>IF(E1078="","",IF(ISNUMBER(I1078),I1078,IFERROR(IF(ISNUMBER(INDEX(art_price,MATCH($E1078,art_ref,0))),INDEX(art_price,MATCH($E1078,art_ref,0)),""),"")))</f>
        <v/>
      </c>
      <c r="K1078" s="71" t="n"/>
      <c r="L1078" s="72" t="n"/>
      <c r="M1078" s="72" t="str">
        <f>IF(E1078="","",IF(L1078&lt;&gt;"",L1078,IFERROR(IF(ISNUMBER(INDEX(art_tva,MATCH($E1078,art_ref,0))),INDEX(art_tva,MATCH($E1078,art_ref,0)),""),"")))</f>
        <v/>
      </c>
      <c r="N1078" s="70" t="str">
        <f>IF(OR(E1078="",J1078=""),"",ROUND(N(H1078)*J1078*(1-N(K1078)),2))</f>
        <v/>
      </c>
      <c r="O1078" s="70" t="str">
        <f>IF(OR(N1078="",NOT(ISNUMBER(M1078))),"",ROUND(N1078*M1078,2))</f>
        <v/>
      </c>
      <c r="P1078" s="70" t="str">
        <f>IF(N1078="","",N1078+N(O1078))</f>
        <v/>
      </c>
      <c r="Q1078" s="64" t="n"/>
      <c r="R1078" s="73" t="str">
        <f>IF(N(Q1078)&gt;0,Q1078,IF(OR(N(B1078)=0,ISNA(MATCH($C1078,sup_code,0))),"",IF(ISNUMBER(INDEX(sup_delay,MATCH($C1078,sup_code,0))),B1078+INDEX(sup_delay,MATCH($C1078,sup_code,0)),"")))</f>
        <v/>
      </c>
      <c r="S1078" s="64" t="n"/>
      <c r="T1078" s="68" t="n"/>
      <c r="U1078" s="64" t="n"/>
      <c r="V1078" s="65" t="n"/>
      <c r="W1078" s="74" t="str">
        <f>IF(AND(A1078="",E1078=""),"",IF(V1078="Oui",0,MAX(0,ROUND(N(H1078)-N(T1078),6))))</f>
        <v/>
      </c>
      <c r="X1078" s="67" t="str">
        <f>IF(AND(A1078="",E1078=""),"",IF(V1078="Oui","Annulé",IF(AND(N(H1078)&gt;0,N(T1078)&gt;=N(H1078)),"Reçu",IF(N(S1078)=0,"Brouillon",IF(AND(ISNUMBER(R1078),R1078&lt;p_today),"En retard",IF(N(T1078)&gt;0,"Partiel","Envoyé"))))))</f>
        <v/>
      </c>
      <c r="Y1078" s="75" t="str">
        <f>IF(X1078="En retard",p_today-R1078,IF(AND(X1078="Reçu",ISNUMBER(R1078)),MAX(0,N(U1078)-R1078),""))</f>
        <v/>
      </c>
      <c r="Z1078" s="67" t="str">
        <f>IF(AND(A1078="",E1078=""),"",IF(A1078="","N° de bon manquant",IF(N(B1078)=0,"Date de commande manquante",IF(C1078="","Fournisseur manquant",IF(ISNA(MATCH($C1078,sup_code,0)),"Fournisseur inconnu",IF(E1078="","Article manquant",IF(ISNA(MATCH($E1078,art_ref,0)),"Article inconnu",IF(N(H1078)&lt;=0,"Quantité invalide",IF(J1078="","Prix manquant",IF(OR(N(K1078)&lt;0,N(K1078)&gt;=1),"Remise invalide",IF(M1078="","TVA manquante",IF(ISNA(MATCH(M1078,p_tva,0)),"Taux de TVA inconnu",IF(COUNTIFS(po_num,A1078,po_sup,"&lt;&gt;"&amp;C1078)&gt;0,"Fournisseur différent sur ce bon",IF(COUNTIFS(po_num,A1078,po_date,"&lt;&gt;"&amp;B1078)&gt;0,"Date différente sur ce bon",IF(COUNTIF(po_num,A1078)&gt;25,"Plus de 25 lignes sur ce bon",IF(R1078="","Date de livraison manquante",IF(R1078&lt;B1078,"Livraison avant la commande",IF(AND(N(T1078)&gt;0,N(S1078)=0),"Date d'envoi manquante",IF(N(T1078)&gt;N(H1078),"Reçu plus que commandé",IF(AND(N(T1078)&gt;0,N(U1078)=0),"Date de réception manquante",IF(AND(N(U1078)&gt;0,U1078&lt;B1078),"Réception avant la commande","OK")))))))))))))))))))))</f>
        <v/>
      </c>
      <c r="AA1078" s="66" t="str">
        <f>IF(AND(X1078="Reçu",ISNUMBER(R1078)),IF(N(U1078)&lt;=R1078,1,0),"")</f>
        <v/>
      </c>
      <c r="AB1078" s="76" t="str">
        <f>IF(OR(X1078="Envoyé",X1078="Partiel",X1078="En retard"),IF(ISNUMBER(R1078),R1078,100000)+ROW()/100000,"")</f>
        <v/>
      </c>
      <c r="AC1078" s="66" t="str">
        <f>IF(A1078="","",IF(COUNTIF($A$6:A1078,A1078)=1,1,""))</f>
        <v/>
      </c>
      <c r="AD1078" s="66" t="str">
        <f>IF(AC1078=1,COUNT($AC$6:AC1078),"")</f>
        <v/>
      </c>
      <c r="AE1078" s="66" t="str">
        <f>IFERROR(INDEX(po_num,MATCH(1073,po_seq,0))&amp;"","")</f>
        <v/>
      </c>
      <c r="AF1078" s="66" t="str">
        <f>IF(OR(A1078="",p_po=""),"",IF(A1078&amp;""=p_po,COUNTIF($A$6:A1078,A1078),""))</f>
        <v/>
      </c>
      <c r="AG1078" s="66" t="str">
        <f>IF(OR(AB1078="",A1078=""),"",IF(COUNTIFS($A$6:A1078,A1078,$AB$6:AB1078,"&gt;0")=1,1,""))</f>
        <v/>
      </c>
      <c r="AH1078" s="70" t="str">
        <f>IF(AB1078="","",ROUND(N(W1078)*N(J1078)*(1-N(K1078)),2))</f>
        <v/>
      </c>
      <c r="AI1078" s="70" t="str">
        <f>IF(OR(J1078="",N(T1078)&lt;=0,V1078="Oui"),"",ROUND(N(T1078)*J1078*(1-N(K1078)),2))</f>
        <v/>
      </c>
    </row>
    <row r="1079">
      <c r="A1079" s="63" t="n"/>
      <c r="B1079" s="64" t="n"/>
      <c r="C1079" s="65" t="n"/>
      <c r="D1079" s="66" t="str">
        <f>IF(C1079="","",IFERROR(INDEX(sup_name,MATCH($C1079,sup_code,0))&amp;"","Fournisseur inconnu"))</f>
        <v/>
      </c>
      <c r="E1079" s="63" t="n"/>
      <c r="F1079" s="66" t="str">
        <f>IF(E1079="","",IFERROR(INDEX(art_des,MATCH($E1079,art_ref,0))&amp;"","Article inconnu"))</f>
        <v/>
      </c>
      <c r="G1079" s="67" t="str">
        <f>IF(E1079="","",IFERROR(INDEX(art_unit,MATCH($E1079,art_ref,0))&amp;"",""))</f>
        <v/>
      </c>
      <c r="H1079" s="68" t="n"/>
      <c r="I1079" s="69" t="n"/>
      <c r="J1079" s="70" t="str">
        <f>IF(E1079="","",IF(ISNUMBER(I1079),I1079,IFERROR(IF(ISNUMBER(INDEX(art_price,MATCH($E1079,art_ref,0))),INDEX(art_price,MATCH($E1079,art_ref,0)),""),"")))</f>
        <v/>
      </c>
      <c r="K1079" s="71" t="n"/>
      <c r="L1079" s="72" t="n"/>
      <c r="M1079" s="72" t="str">
        <f>IF(E1079="","",IF(L1079&lt;&gt;"",L1079,IFERROR(IF(ISNUMBER(INDEX(art_tva,MATCH($E1079,art_ref,0))),INDEX(art_tva,MATCH($E1079,art_ref,0)),""),"")))</f>
        <v/>
      </c>
      <c r="N1079" s="70" t="str">
        <f>IF(OR(E1079="",J1079=""),"",ROUND(N(H1079)*J1079*(1-N(K1079)),2))</f>
        <v/>
      </c>
      <c r="O1079" s="70" t="str">
        <f>IF(OR(N1079="",NOT(ISNUMBER(M1079))),"",ROUND(N1079*M1079,2))</f>
        <v/>
      </c>
      <c r="P1079" s="70" t="str">
        <f>IF(N1079="","",N1079+N(O1079))</f>
        <v/>
      </c>
      <c r="Q1079" s="64" t="n"/>
      <c r="R1079" s="73" t="str">
        <f>IF(N(Q1079)&gt;0,Q1079,IF(OR(N(B1079)=0,ISNA(MATCH($C1079,sup_code,0))),"",IF(ISNUMBER(INDEX(sup_delay,MATCH($C1079,sup_code,0))),B1079+INDEX(sup_delay,MATCH($C1079,sup_code,0)),"")))</f>
        <v/>
      </c>
      <c r="S1079" s="64" t="n"/>
      <c r="T1079" s="68" t="n"/>
      <c r="U1079" s="64" t="n"/>
      <c r="V1079" s="65" t="n"/>
      <c r="W1079" s="74" t="str">
        <f>IF(AND(A1079="",E1079=""),"",IF(V1079="Oui",0,MAX(0,ROUND(N(H1079)-N(T1079),6))))</f>
        <v/>
      </c>
      <c r="X1079" s="67" t="str">
        <f>IF(AND(A1079="",E1079=""),"",IF(V1079="Oui","Annulé",IF(AND(N(H1079)&gt;0,N(T1079)&gt;=N(H1079)),"Reçu",IF(N(S1079)=0,"Brouillon",IF(AND(ISNUMBER(R1079),R1079&lt;p_today),"En retard",IF(N(T1079)&gt;0,"Partiel","Envoyé"))))))</f>
        <v/>
      </c>
      <c r="Y1079" s="75" t="str">
        <f>IF(X1079="En retard",p_today-R1079,IF(AND(X1079="Reçu",ISNUMBER(R1079)),MAX(0,N(U1079)-R1079),""))</f>
        <v/>
      </c>
      <c r="Z1079" s="67" t="str">
        <f>IF(AND(A1079="",E1079=""),"",IF(A1079="","N° de bon manquant",IF(N(B1079)=0,"Date de commande manquante",IF(C1079="","Fournisseur manquant",IF(ISNA(MATCH($C1079,sup_code,0)),"Fournisseur inconnu",IF(E1079="","Article manquant",IF(ISNA(MATCH($E1079,art_ref,0)),"Article inconnu",IF(N(H1079)&lt;=0,"Quantité invalide",IF(J1079="","Prix manquant",IF(OR(N(K1079)&lt;0,N(K1079)&gt;=1),"Remise invalide",IF(M1079="","TVA manquante",IF(ISNA(MATCH(M1079,p_tva,0)),"Taux de TVA inconnu",IF(COUNTIFS(po_num,A1079,po_sup,"&lt;&gt;"&amp;C1079)&gt;0,"Fournisseur différent sur ce bon",IF(COUNTIFS(po_num,A1079,po_date,"&lt;&gt;"&amp;B1079)&gt;0,"Date différente sur ce bon",IF(COUNTIF(po_num,A1079)&gt;25,"Plus de 25 lignes sur ce bon",IF(R1079="","Date de livraison manquante",IF(R1079&lt;B1079,"Livraison avant la commande",IF(AND(N(T1079)&gt;0,N(S1079)=0),"Date d'envoi manquante",IF(N(T1079)&gt;N(H1079),"Reçu plus que commandé",IF(AND(N(T1079)&gt;0,N(U1079)=0),"Date de réception manquante",IF(AND(N(U1079)&gt;0,U1079&lt;B1079),"Réception avant la commande","OK")))))))))))))))))))))</f>
        <v/>
      </c>
      <c r="AA1079" s="66" t="str">
        <f>IF(AND(X1079="Reçu",ISNUMBER(R1079)),IF(N(U1079)&lt;=R1079,1,0),"")</f>
        <v/>
      </c>
      <c r="AB1079" s="76" t="str">
        <f>IF(OR(X1079="Envoyé",X1079="Partiel",X1079="En retard"),IF(ISNUMBER(R1079),R1079,100000)+ROW()/100000,"")</f>
        <v/>
      </c>
      <c r="AC1079" s="66" t="str">
        <f>IF(A1079="","",IF(COUNTIF($A$6:A1079,A1079)=1,1,""))</f>
        <v/>
      </c>
      <c r="AD1079" s="66" t="str">
        <f>IF(AC1079=1,COUNT($AC$6:AC1079),"")</f>
        <v/>
      </c>
      <c r="AE1079" s="66" t="str">
        <f>IFERROR(INDEX(po_num,MATCH(1074,po_seq,0))&amp;"","")</f>
        <v/>
      </c>
      <c r="AF1079" s="66" t="str">
        <f>IF(OR(A1079="",p_po=""),"",IF(A1079&amp;""=p_po,COUNTIF($A$6:A1079,A1079),""))</f>
        <v/>
      </c>
      <c r="AG1079" s="66" t="str">
        <f>IF(OR(AB1079="",A1079=""),"",IF(COUNTIFS($A$6:A1079,A1079,$AB$6:AB1079,"&gt;0")=1,1,""))</f>
        <v/>
      </c>
      <c r="AH1079" s="70" t="str">
        <f>IF(AB1079="","",ROUND(N(W1079)*N(J1079)*(1-N(K1079)),2))</f>
        <v/>
      </c>
      <c r="AI1079" s="70" t="str">
        <f>IF(OR(J1079="",N(T1079)&lt;=0,V1079="Oui"),"",ROUND(N(T1079)*J1079*(1-N(K1079)),2))</f>
        <v/>
      </c>
    </row>
    <row r="1080">
      <c r="A1080" s="63" t="n"/>
      <c r="B1080" s="64" t="n"/>
      <c r="C1080" s="65" t="n"/>
      <c r="D1080" s="66" t="str">
        <f>IF(C1080="","",IFERROR(INDEX(sup_name,MATCH($C1080,sup_code,0))&amp;"","Fournisseur inconnu"))</f>
        <v/>
      </c>
      <c r="E1080" s="63" t="n"/>
      <c r="F1080" s="66" t="str">
        <f>IF(E1080="","",IFERROR(INDEX(art_des,MATCH($E1080,art_ref,0))&amp;"","Article inconnu"))</f>
        <v/>
      </c>
      <c r="G1080" s="67" t="str">
        <f>IF(E1080="","",IFERROR(INDEX(art_unit,MATCH($E1080,art_ref,0))&amp;"",""))</f>
        <v/>
      </c>
      <c r="H1080" s="68" t="n"/>
      <c r="I1080" s="69" t="n"/>
      <c r="J1080" s="70" t="str">
        <f>IF(E1080="","",IF(ISNUMBER(I1080),I1080,IFERROR(IF(ISNUMBER(INDEX(art_price,MATCH($E1080,art_ref,0))),INDEX(art_price,MATCH($E1080,art_ref,0)),""),"")))</f>
        <v/>
      </c>
      <c r="K1080" s="71" t="n"/>
      <c r="L1080" s="72" t="n"/>
      <c r="M1080" s="72" t="str">
        <f>IF(E1080="","",IF(L1080&lt;&gt;"",L1080,IFERROR(IF(ISNUMBER(INDEX(art_tva,MATCH($E1080,art_ref,0))),INDEX(art_tva,MATCH($E1080,art_ref,0)),""),"")))</f>
        <v/>
      </c>
      <c r="N1080" s="70" t="str">
        <f>IF(OR(E1080="",J1080=""),"",ROUND(N(H1080)*J1080*(1-N(K1080)),2))</f>
        <v/>
      </c>
      <c r="O1080" s="70" t="str">
        <f>IF(OR(N1080="",NOT(ISNUMBER(M1080))),"",ROUND(N1080*M1080,2))</f>
        <v/>
      </c>
      <c r="P1080" s="70" t="str">
        <f>IF(N1080="","",N1080+N(O1080))</f>
        <v/>
      </c>
      <c r="Q1080" s="64" t="n"/>
      <c r="R1080" s="73" t="str">
        <f>IF(N(Q1080)&gt;0,Q1080,IF(OR(N(B1080)=0,ISNA(MATCH($C1080,sup_code,0))),"",IF(ISNUMBER(INDEX(sup_delay,MATCH($C1080,sup_code,0))),B1080+INDEX(sup_delay,MATCH($C1080,sup_code,0)),"")))</f>
        <v/>
      </c>
      <c r="S1080" s="64" t="n"/>
      <c r="T1080" s="68" t="n"/>
      <c r="U1080" s="64" t="n"/>
      <c r="V1080" s="65" t="n"/>
      <c r="W1080" s="74" t="str">
        <f>IF(AND(A1080="",E1080=""),"",IF(V1080="Oui",0,MAX(0,ROUND(N(H1080)-N(T1080),6))))</f>
        <v/>
      </c>
      <c r="X1080" s="67" t="str">
        <f>IF(AND(A1080="",E1080=""),"",IF(V1080="Oui","Annulé",IF(AND(N(H1080)&gt;0,N(T1080)&gt;=N(H1080)),"Reçu",IF(N(S1080)=0,"Brouillon",IF(AND(ISNUMBER(R1080),R1080&lt;p_today),"En retard",IF(N(T1080)&gt;0,"Partiel","Envoyé"))))))</f>
        <v/>
      </c>
      <c r="Y1080" s="75" t="str">
        <f>IF(X1080="En retard",p_today-R1080,IF(AND(X1080="Reçu",ISNUMBER(R1080)),MAX(0,N(U1080)-R1080),""))</f>
        <v/>
      </c>
      <c r="Z1080" s="67" t="str">
        <f>IF(AND(A1080="",E1080=""),"",IF(A1080="","N° de bon manquant",IF(N(B1080)=0,"Date de commande manquante",IF(C1080="","Fournisseur manquant",IF(ISNA(MATCH($C1080,sup_code,0)),"Fournisseur inconnu",IF(E1080="","Article manquant",IF(ISNA(MATCH($E1080,art_ref,0)),"Article inconnu",IF(N(H1080)&lt;=0,"Quantité invalide",IF(J1080="","Prix manquant",IF(OR(N(K1080)&lt;0,N(K1080)&gt;=1),"Remise invalide",IF(M1080="","TVA manquante",IF(ISNA(MATCH(M1080,p_tva,0)),"Taux de TVA inconnu",IF(COUNTIFS(po_num,A1080,po_sup,"&lt;&gt;"&amp;C1080)&gt;0,"Fournisseur différent sur ce bon",IF(COUNTIFS(po_num,A1080,po_date,"&lt;&gt;"&amp;B1080)&gt;0,"Date différente sur ce bon",IF(COUNTIF(po_num,A1080)&gt;25,"Plus de 25 lignes sur ce bon",IF(R1080="","Date de livraison manquante",IF(R1080&lt;B1080,"Livraison avant la commande",IF(AND(N(T1080)&gt;0,N(S1080)=0),"Date d'envoi manquante",IF(N(T1080)&gt;N(H1080),"Reçu plus que commandé",IF(AND(N(T1080)&gt;0,N(U1080)=0),"Date de réception manquante",IF(AND(N(U1080)&gt;0,U1080&lt;B1080),"Réception avant la commande","OK")))))))))))))))))))))</f>
        <v/>
      </c>
      <c r="AA1080" s="66" t="str">
        <f>IF(AND(X1080="Reçu",ISNUMBER(R1080)),IF(N(U1080)&lt;=R1080,1,0),"")</f>
        <v/>
      </c>
      <c r="AB1080" s="76" t="str">
        <f>IF(OR(X1080="Envoyé",X1080="Partiel",X1080="En retard"),IF(ISNUMBER(R1080),R1080,100000)+ROW()/100000,"")</f>
        <v/>
      </c>
      <c r="AC1080" s="66" t="str">
        <f>IF(A1080="","",IF(COUNTIF($A$6:A1080,A1080)=1,1,""))</f>
        <v/>
      </c>
      <c r="AD1080" s="66" t="str">
        <f>IF(AC1080=1,COUNT($AC$6:AC1080),"")</f>
        <v/>
      </c>
      <c r="AE1080" s="66" t="str">
        <f>IFERROR(INDEX(po_num,MATCH(1075,po_seq,0))&amp;"","")</f>
        <v/>
      </c>
      <c r="AF1080" s="66" t="str">
        <f>IF(OR(A1080="",p_po=""),"",IF(A1080&amp;""=p_po,COUNTIF($A$6:A1080,A1080),""))</f>
        <v/>
      </c>
      <c r="AG1080" s="66" t="str">
        <f>IF(OR(AB1080="",A1080=""),"",IF(COUNTIFS($A$6:A1080,A1080,$AB$6:AB1080,"&gt;0")=1,1,""))</f>
        <v/>
      </c>
      <c r="AH1080" s="70" t="str">
        <f>IF(AB1080="","",ROUND(N(W1080)*N(J1080)*(1-N(K1080)),2))</f>
        <v/>
      </c>
      <c r="AI1080" s="70" t="str">
        <f>IF(OR(J1080="",N(T1080)&lt;=0,V1080="Oui"),"",ROUND(N(T1080)*J1080*(1-N(K1080)),2))</f>
        <v/>
      </c>
    </row>
    <row r="1081">
      <c r="A1081" s="63" t="n"/>
      <c r="B1081" s="64" t="n"/>
      <c r="C1081" s="65" t="n"/>
      <c r="D1081" s="66" t="str">
        <f>IF(C1081="","",IFERROR(INDEX(sup_name,MATCH($C1081,sup_code,0))&amp;"","Fournisseur inconnu"))</f>
        <v/>
      </c>
      <c r="E1081" s="63" t="n"/>
      <c r="F1081" s="66" t="str">
        <f>IF(E1081="","",IFERROR(INDEX(art_des,MATCH($E1081,art_ref,0))&amp;"","Article inconnu"))</f>
        <v/>
      </c>
      <c r="G1081" s="67" t="str">
        <f>IF(E1081="","",IFERROR(INDEX(art_unit,MATCH($E1081,art_ref,0))&amp;"",""))</f>
        <v/>
      </c>
      <c r="H1081" s="68" t="n"/>
      <c r="I1081" s="69" t="n"/>
      <c r="J1081" s="70" t="str">
        <f>IF(E1081="","",IF(ISNUMBER(I1081),I1081,IFERROR(IF(ISNUMBER(INDEX(art_price,MATCH($E1081,art_ref,0))),INDEX(art_price,MATCH($E1081,art_ref,0)),""),"")))</f>
        <v/>
      </c>
      <c r="K1081" s="71" t="n"/>
      <c r="L1081" s="72" t="n"/>
      <c r="M1081" s="72" t="str">
        <f>IF(E1081="","",IF(L1081&lt;&gt;"",L1081,IFERROR(IF(ISNUMBER(INDEX(art_tva,MATCH($E1081,art_ref,0))),INDEX(art_tva,MATCH($E1081,art_ref,0)),""),"")))</f>
        <v/>
      </c>
      <c r="N1081" s="70" t="str">
        <f>IF(OR(E1081="",J1081=""),"",ROUND(N(H1081)*J1081*(1-N(K1081)),2))</f>
        <v/>
      </c>
      <c r="O1081" s="70" t="str">
        <f>IF(OR(N1081="",NOT(ISNUMBER(M1081))),"",ROUND(N1081*M1081,2))</f>
        <v/>
      </c>
      <c r="P1081" s="70" t="str">
        <f>IF(N1081="","",N1081+N(O1081))</f>
        <v/>
      </c>
      <c r="Q1081" s="64" t="n"/>
      <c r="R1081" s="73" t="str">
        <f>IF(N(Q1081)&gt;0,Q1081,IF(OR(N(B1081)=0,ISNA(MATCH($C1081,sup_code,0))),"",IF(ISNUMBER(INDEX(sup_delay,MATCH($C1081,sup_code,0))),B1081+INDEX(sup_delay,MATCH($C1081,sup_code,0)),"")))</f>
        <v/>
      </c>
      <c r="S1081" s="64" t="n"/>
      <c r="T1081" s="68" t="n"/>
      <c r="U1081" s="64" t="n"/>
      <c r="V1081" s="65" t="n"/>
      <c r="W1081" s="74" t="str">
        <f>IF(AND(A1081="",E1081=""),"",IF(V1081="Oui",0,MAX(0,ROUND(N(H1081)-N(T1081),6))))</f>
        <v/>
      </c>
      <c r="X1081" s="67" t="str">
        <f>IF(AND(A1081="",E1081=""),"",IF(V1081="Oui","Annulé",IF(AND(N(H1081)&gt;0,N(T1081)&gt;=N(H1081)),"Reçu",IF(N(S1081)=0,"Brouillon",IF(AND(ISNUMBER(R1081),R1081&lt;p_today),"En retard",IF(N(T1081)&gt;0,"Partiel","Envoyé"))))))</f>
        <v/>
      </c>
      <c r="Y1081" s="75" t="str">
        <f>IF(X1081="En retard",p_today-R1081,IF(AND(X1081="Reçu",ISNUMBER(R1081)),MAX(0,N(U1081)-R1081),""))</f>
        <v/>
      </c>
      <c r="Z1081" s="67" t="str">
        <f>IF(AND(A1081="",E1081=""),"",IF(A1081="","N° de bon manquant",IF(N(B1081)=0,"Date de commande manquante",IF(C1081="","Fournisseur manquant",IF(ISNA(MATCH($C1081,sup_code,0)),"Fournisseur inconnu",IF(E1081="","Article manquant",IF(ISNA(MATCH($E1081,art_ref,0)),"Article inconnu",IF(N(H1081)&lt;=0,"Quantité invalide",IF(J1081="","Prix manquant",IF(OR(N(K1081)&lt;0,N(K1081)&gt;=1),"Remise invalide",IF(M1081="","TVA manquante",IF(ISNA(MATCH(M1081,p_tva,0)),"Taux de TVA inconnu",IF(COUNTIFS(po_num,A1081,po_sup,"&lt;&gt;"&amp;C1081)&gt;0,"Fournisseur différent sur ce bon",IF(COUNTIFS(po_num,A1081,po_date,"&lt;&gt;"&amp;B1081)&gt;0,"Date différente sur ce bon",IF(COUNTIF(po_num,A1081)&gt;25,"Plus de 25 lignes sur ce bon",IF(R1081="","Date de livraison manquante",IF(R1081&lt;B1081,"Livraison avant la commande",IF(AND(N(T1081)&gt;0,N(S1081)=0),"Date d'envoi manquante",IF(N(T1081)&gt;N(H1081),"Reçu plus que commandé",IF(AND(N(T1081)&gt;0,N(U1081)=0),"Date de réception manquante",IF(AND(N(U1081)&gt;0,U1081&lt;B1081),"Réception avant la commande","OK")))))))))))))))))))))</f>
        <v/>
      </c>
      <c r="AA1081" s="66" t="str">
        <f>IF(AND(X1081="Reçu",ISNUMBER(R1081)),IF(N(U1081)&lt;=R1081,1,0),"")</f>
        <v/>
      </c>
      <c r="AB1081" s="76" t="str">
        <f>IF(OR(X1081="Envoyé",X1081="Partiel",X1081="En retard"),IF(ISNUMBER(R1081),R1081,100000)+ROW()/100000,"")</f>
        <v/>
      </c>
      <c r="AC1081" s="66" t="str">
        <f>IF(A1081="","",IF(COUNTIF($A$6:A1081,A1081)=1,1,""))</f>
        <v/>
      </c>
      <c r="AD1081" s="66" t="str">
        <f>IF(AC1081=1,COUNT($AC$6:AC1081),"")</f>
        <v/>
      </c>
      <c r="AE1081" s="66" t="str">
        <f>IFERROR(INDEX(po_num,MATCH(1076,po_seq,0))&amp;"","")</f>
        <v/>
      </c>
      <c r="AF1081" s="66" t="str">
        <f>IF(OR(A1081="",p_po=""),"",IF(A1081&amp;""=p_po,COUNTIF($A$6:A1081,A1081),""))</f>
        <v/>
      </c>
      <c r="AG1081" s="66" t="str">
        <f>IF(OR(AB1081="",A1081=""),"",IF(COUNTIFS($A$6:A1081,A1081,$AB$6:AB1081,"&gt;0")=1,1,""))</f>
        <v/>
      </c>
      <c r="AH1081" s="70" t="str">
        <f>IF(AB1081="","",ROUND(N(W1081)*N(J1081)*(1-N(K1081)),2))</f>
        <v/>
      </c>
      <c r="AI1081" s="70" t="str">
        <f>IF(OR(J1081="",N(T1081)&lt;=0,V1081="Oui"),"",ROUND(N(T1081)*J1081*(1-N(K1081)),2))</f>
        <v/>
      </c>
    </row>
    <row r="1082">
      <c r="A1082" s="63" t="n"/>
      <c r="B1082" s="64" t="n"/>
      <c r="C1082" s="65" t="n"/>
      <c r="D1082" s="66" t="str">
        <f>IF(C1082="","",IFERROR(INDEX(sup_name,MATCH($C1082,sup_code,0))&amp;"","Fournisseur inconnu"))</f>
        <v/>
      </c>
      <c r="E1082" s="63" t="n"/>
      <c r="F1082" s="66" t="str">
        <f>IF(E1082="","",IFERROR(INDEX(art_des,MATCH($E1082,art_ref,0))&amp;"","Article inconnu"))</f>
        <v/>
      </c>
      <c r="G1082" s="67" t="str">
        <f>IF(E1082="","",IFERROR(INDEX(art_unit,MATCH($E1082,art_ref,0))&amp;"",""))</f>
        <v/>
      </c>
      <c r="H1082" s="68" t="n"/>
      <c r="I1082" s="69" t="n"/>
      <c r="J1082" s="70" t="str">
        <f>IF(E1082="","",IF(ISNUMBER(I1082),I1082,IFERROR(IF(ISNUMBER(INDEX(art_price,MATCH($E1082,art_ref,0))),INDEX(art_price,MATCH($E1082,art_ref,0)),""),"")))</f>
        <v/>
      </c>
      <c r="K1082" s="71" t="n"/>
      <c r="L1082" s="72" t="n"/>
      <c r="M1082" s="72" t="str">
        <f>IF(E1082="","",IF(L1082&lt;&gt;"",L1082,IFERROR(IF(ISNUMBER(INDEX(art_tva,MATCH($E1082,art_ref,0))),INDEX(art_tva,MATCH($E1082,art_ref,0)),""),"")))</f>
        <v/>
      </c>
      <c r="N1082" s="70" t="str">
        <f>IF(OR(E1082="",J1082=""),"",ROUND(N(H1082)*J1082*(1-N(K1082)),2))</f>
        <v/>
      </c>
      <c r="O1082" s="70" t="str">
        <f>IF(OR(N1082="",NOT(ISNUMBER(M1082))),"",ROUND(N1082*M1082,2))</f>
        <v/>
      </c>
      <c r="P1082" s="70" t="str">
        <f>IF(N1082="","",N1082+N(O1082))</f>
        <v/>
      </c>
      <c r="Q1082" s="64" t="n"/>
      <c r="R1082" s="73" t="str">
        <f>IF(N(Q1082)&gt;0,Q1082,IF(OR(N(B1082)=0,ISNA(MATCH($C1082,sup_code,0))),"",IF(ISNUMBER(INDEX(sup_delay,MATCH($C1082,sup_code,0))),B1082+INDEX(sup_delay,MATCH($C1082,sup_code,0)),"")))</f>
        <v/>
      </c>
      <c r="S1082" s="64" t="n"/>
      <c r="T1082" s="68" t="n"/>
      <c r="U1082" s="64" t="n"/>
      <c r="V1082" s="65" t="n"/>
      <c r="W1082" s="74" t="str">
        <f>IF(AND(A1082="",E1082=""),"",IF(V1082="Oui",0,MAX(0,ROUND(N(H1082)-N(T1082),6))))</f>
        <v/>
      </c>
      <c r="X1082" s="67" t="str">
        <f>IF(AND(A1082="",E1082=""),"",IF(V1082="Oui","Annulé",IF(AND(N(H1082)&gt;0,N(T1082)&gt;=N(H1082)),"Reçu",IF(N(S1082)=0,"Brouillon",IF(AND(ISNUMBER(R1082),R1082&lt;p_today),"En retard",IF(N(T1082)&gt;0,"Partiel","Envoyé"))))))</f>
        <v/>
      </c>
      <c r="Y1082" s="75" t="str">
        <f>IF(X1082="En retard",p_today-R1082,IF(AND(X1082="Reçu",ISNUMBER(R1082)),MAX(0,N(U1082)-R1082),""))</f>
        <v/>
      </c>
      <c r="Z1082" s="67" t="str">
        <f>IF(AND(A1082="",E1082=""),"",IF(A1082="","N° de bon manquant",IF(N(B1082)=0,"Date de commande manquante",IF(C1082="","Fournisseur manquant",IF(ISNA(MATCH($C1082,sup_code,0)),"Fournisseur inconnu",IF(E1082="","Article manquant",IF(ISNA(MATCH($E1082,art_ref,0)),"Article inconnu",IF(N(H1082)&lt;=0,"Quantité invalide",IF(J1082="","Prix manquant",IF(OR(N(K1082)&lt;0,N(K1082)&gt;=1),"Remise invalide",IF(M1082="","TVA manquante",IF(ISNA(MATCH(M1082,p_tva,0)),"Taux de TVA inconnu",IF(COUNTIFS(po_num,A1082,po_sup,"&lt;&gt;"&amp;C1082)&gt;0,"Fournisseur différent sur ce bon",IF(COUNTIFS(po_num,A1082,po_date,"&lt;&gt;"&amp;B1082)&gt;0,"Date différente sur ce bon",IF(COUNTIF(po_num,A1082)&gt;25,"Plus de 25 lignes sur ce bon",IF(R1082="","Date de livraison manquante",IF(R1082&lt;B1082,"Livraison avant la commande",IF(AND(N(T1082)&gt;0,N(S1082)=0),"Date d'envoi manquante",IF(N(T1082)&gt;N(H1082),"Reçu plus que commandé",IF(AND(N(T1082)&gt;0,N(U1082)=0),"Date de réception manquante",IF(AND(N(U1082)&gt;0,U1082&lt;B1082),"Réception avant la commande","OK")))))))))))))))))))))</f>
        <v/>
      </c>
      <c r="AA1082" s="66" t="str">
        <f>IF(AND(X1082="Reçu",ISNUMBER(R1082)),IF(N(U1082)&lt;=R1082,1,0),"")</f>
        <v/>
      </c>
      <c r="AB1082" s="76" t="str">
        <f>IF(OR(X1082="Envoyé",X1082="Partiel",X1082="En retard"),IF(ISNUMBER(R1082),R1082,100000)+ROW()/100000,"")</f>
        <v/>
      </c>
      <c r="AC1082" s="66" t="str">
        <f>IF(A1082="","",IF(COUNTIF($A$6:A1082,A1082)=1,1,""))</f>
        <v/>
      </c>
      <c r="AD1082" s="66" t="str">
        <f>IF(AC1082=1,COUNT($AC$6:AC1082),"")</f>
        <v/>
      </c>
      <c r="AE1082" s="66" t="str">
        <f>IFERROR(INDEX(po_num,MATCH(1077,po_seq,0))&amp;"","")</f>
        <v/>
      </c>
      <c r="AF1082" s="66" t="str">
        <f>IF(OR(A1082="",p_po=""),"",IF(A1082&amp;""=p_po,COUNTIF($A$6:A1082,A1082),""))</f>
        <v/>
      </c>
      <c r="AG1082" s="66" t="str">
        <f>IF(OR(AB1082="",A1082=""),"",IF(COUNTIFS($A$6:A1082,A1082,$AB$6:AB1082,"&gt;0")=1,1,""))</f>
        <v/>
      </c>
      <c r="AH1082" s="70" t="str">
        <f>IF(AB1082="","",ROUND(N(W1082)*N(J1082)*(1-N(K1082)),2))</f>
        <v/>
      </c>
      <c r="AI1082" s="70" t="str">
        <f>IF(OR(J1082="",N(T1082)&lt;=0,V1082="Oui"),"",ROUND(N(T1082)*J1082*(1-N(K1082)),2))</f>
        <v/>
      </c>
    </row>
    <row r="1083">
      <c r="A1083" s="63" t="n"/>
      <c r="B1083" s="64" t="n"/>
      <c r="C1083" s="65" t="n"/>
      <c r="D1083" s="66" t="str">
        <f>IF(C1083="","",IFERROR(INDEX(sup_name,MATCH($C1083,sup_code,0))&amp;"","Fournisseur inconnu"))</f>
        <v/>
      </c>
      <c r="E1083" s="63" t="n"/>
      <c r="F1083" s="66" t="str">
        <f>IF(E1083="","",IFERROR(INDEX(art_des,MATCH($E1083,art_ref,0))&amp;"","Article inconnu"))</f>
        <v/>
      </c>
      <c r="G1083" s="67" t="str">
        <f>IF(E1083="","",IFERROR(INDEX(art_unit,MATCH($E1083,art_ref,0))&amp;"",""))</f>
        <v/>
      </c>
      <c r="H1083" s="68" t="n"/>
      <c r="I1083" s="69" t="n"/>
      <c r="J1083" s="70" t="str">
        <f>IF(E1083="","",IF(ISNUMBER(I1083),I1083,IFERROR(IF(ISNUMBER(INDEX(art_price,MATCH($E1083,art_ref,0))),INDEX(art_price,MATCH($E1083,art_ref,0)),""),"")))</f>
        <v/>
      </c>
      <c r="K1083" s="71" t="n"/>
      <c r="L1083" s="72" t="n"/>
      <c r="M1083" s="72" t="str">
        <f>IF(E1083="","",IF(L1083&lt;&gt;"",L1083,IFERROR(IF(ISNUMBER(INDEX(art_tva,MATCH($E1083,art_ref,0))),INDEX(art_tva,MATCH($E1083,art_ref,0)),""),"")))</f>
        <v/>
      </c>
      <c r="N1083" s="70" t="str">
        <f>IF(OR(E1083="",J1083=""),"",ROUND(N(H1083)*J1083*(1-N(K1083)),2))</f>
        <v/>
      </c>
      <c r="O1083" s="70" t="str">
        <f>IF(OR(N1083="",NOT(ISNUMBER(M1083))),"",ROUND(N1083*M1083,2))</f>
        <v/>
      </c>
      <c r="P1083" s="70" t="str">
        <f>IF(N1083="","",N1083+N(O1083))</f>
        <v/>
      </c>
      <c r="Q1083" s="64" t="n"/>
      <c r="R1083" s="73" t="str">
        <f>IF(N(Q1083)&gt;0,Q1083,IF(OR(N(B1083)=0,ISNA(MATCH($C1083,sup_code,0))),"",IF(ISNUMBER(INDEX(sup_delay,MATCH($C1083,sup_code,0))),B1083+INDEX(sup_delay,MATCH($C1083,sup_code,0)),"")))</f>
        <v/>
      </c>
      <c r="S1083" s="64" t="n"/>
      <c r="T1083" s="68" t="n"/>
      <c r="U1083" s="64" t="n"/>
      <c r="V1083" s="65" t="n"/>
      <c r="W1083" s="74" t="str">
        <f>IF(AND(A1083="",E1083=""),"",IF(V1083="Oui",0,MAX(0,ROUND(N(H1083)-N(T1083),6))))</f>
        <v/>
      </c>
      <c r="X1083" s="67" t="str">
        <f>IF(AND(A1083="",E1083=""),"",IF(V1083="Oui","Annulé",IF(AND(N(H1083)&gt;0,N(T1083)&gt;=N(H1083)),"Reçu",IF(N(S1083)=0,"Brouillon",IF(AND(ISNUMBER(R1083),R1083&lt;p_today),"En retard",IF(N(T1083)&gt;0,"Partiel","Envoyé"))))))</f>
        <v/>
      </c>
      <c r="Y1083" s="75" t="str">
        <f>IF(X1083="En retard",p_today-R1083,IF(AND(X1083="Reçu",ISNUMBER(R1083)),MAX(0,N(U1083)-R1083),""))</f>
        <v/>
      </c>
      <c r="Z1083" s="67" t="str">
        <f>IF(AND(A1083="",E1083=""),"",IF(A1083="","N° de bon manquant",IF(N(B1083)=0,"Date de commande manquante",IF(C1083="","Fournisseur manquant",IF(ISNA(MATCH($C1083,sup_code,0)),"Fournisseur inconnu",IF(E1083="","Article manquant",IF(ISNA(MATCH($E1083,art_ref,0)),"Article inconnu",IF(N(H1083)&lt;=0,"Quantité invalide",IF(J1083="","Prix manquant",IF(OR(N(K1083)&lt;0,N(K1083)&gt;=1),"Remise invalide",IF(M1083="","TVA manquante",IF(ISNA(MATCH(M1083,p_tva,0)),"Taux de TVA inconnu",IF(COUNTIFS(po_num,A1083,po_sup,"&lt;&gt;"&amp;C1083)&gt;0,"Fournisseur différent sur ce bon",IF(COUNTIFS(po_num,A1083,po_date,"&lt;&gt;"&amp;B1083)&gt;0,"Date différente sur ce bon",IF(COUNTIF(po_num,A1083)&gt;25,"Plus de 25 lignes sur ce bon",IF(R1083="","Date de livraison manquante",IF(R1083&lt;B1083,"Livraison avant la commande",IF(AND(N(T1083)&gt;0,N(S1083)=0),"Date d'envoi manquante",IF(N(T1083)&gt;N(H1083),"Reçu plus que commandé",IF(AND(N(T1083)&gt;0,N(U1083)=0),"Date de réception manquante",IF(AND(N(U1083)&gt;0,U1083&lt;B1083),"Réception avant la commande","OK")))))))))))))))))))))</f>
        <v/>
      </c>
      <c r="AA1083" s="66" t="str">
        <f>IF(AND(X1083="Reçu",ISNUMBER(R1083)),IF(N(U1083)&lt;=R1083,1,0),"")</f>
        <v/>
      </c>
      <c r="AB1083" s="76" t="str">
        <f>IF(OR(X1083="Envoyé",X1083="Partiel",X1083="En retard"),IF(ISNUMBER(R1083),R1083,100000)+ROW()/100000,"")</f>
        <v/>
      </c>
      <c r="AC1083" s="66" t="str">
        <f>IF(A1083="","",IF(COUNTIF($A$6:A1083,A1083)=1,1,""))</f>
        <v/>
      </c>
      <c r="AD1083" s="66" t="str">
        <f>IF(AC1083=1,COUNT($AC$6:AC1083),"")</f>
        <v/>
      </c>
      <c r="AE1083" s="66" t="str">
        <f>IFERROR(INDEX(po_num,MATCH(1078,po_seq,0))&amp;"","")</f>
        <v/>
      </c>
      <c r="AF1083" s="66" t="str">
        <f>IF(OR(A1083="",p_po=""),"",IF(A1083&amp;""=p_po,COUNTIF($A$6:A1083,A1083),""))</f>
        <v/>
      </c>
      <c r="AG1083" s="66" t="str">
        <f>IF(OR(AB1083="",A1083=""),"",IF(COUNTIFS($A$6:A1083,A1083,$AB$6:AB1083,"&gt;0")=1,1,""))</f>
        <v/>
      </c>
      <c r="AH1083" s="70" t="str">
        <f>IF(AB1083="","",ROUND(N(W1083)*N(J1083)*(1-N(K1083)),2))</f>
        <v/>
      </c>
      <c r="AI1083" s="70" t="str">
        <f>IF(OR(J1083="",N(T1083)&lt;=0,V1083="Oui"),"",ROUND(N(T1083)*J1083*(1-N(K1083)),2))</f>
        <v/>
      </c>
    </row>
    <row r="1084">
      <c r="A1084" s="63" t="n"/>
      <c r="B1084" s="64" t="n"/>
      <c r="C1084" s="65" t="n"/>
      <c r="D1084" s="66" t="str">
        <f>IF(C1084="","",IFERROR(INDEX(sup_name,MATCH($C1084,sup_code,0))&amp;"","Fournisseur inconnu"))</f>
        <v/>
      </c>
      <c r="E1084" s="63" t="n"/>
      <c r="F1084" s="66" t="str">
        <f>IF(E1084="","",IFERROR(INDEX(art_des,MATCH($E1084,art_ref,0))&amp;"","Article inconnu"))</f>
        <v/>
      </c>
      <c r="G1084" s="67" t="str">
        <f>IF(E1084="","",IFERROR(INDEX(art_unit,MATCH($E1084,art_ref,0))&amp;"",""))</f>
        <v/>
      </c>
      <c r="H1084" s="68" t="n"/>
      <c r="I1084" s="69" t="n"/>
      <c r="J1084" s="70" t="str">
        <f>IF(E1084="","",IF(ISNUMBER(I1084),I1084,IFERROR(IF(ISNUMBER(INDEX(art_price,MATCH($E1084,art_ref,0))),INDEX(art_price,MATCH($E1084,art_ref,0)),""),"")))</f>
        <v/>
      </c>
      <c r="K1084" s="71" t="n"/>
      <c r="L1084" s="72" t="n"/>
      <c r="M1084" s="72" t="str">
        <f>IF(E1084="","",IF(L1084&lt;&gt;"",L1084,IFERROR(IF(ISNUMBER(INDEX(art_tva,MATCH($E1084,art_ref,0))),INDEX(art_tva,MATCH($E1084,art_ref,0)),""),"")))</f>
        <v/>
      </c>
      <c r="N1084" s="70" t="str">
        <f>IF(OR(E1084="",J1084=""),"",ROUND(N(H1084)*J1084*(1-N(K1084)),2))</f>
        <v/>
      </c>
      <c r="O1084" s="70" t="str">
        <f>IF(OR(N1084="",NOT(ISNUMBER(M1084))),"",ROUND(N1084*M1084,2))</f>
        <v/>
      </c>
      <c r="P1084" s="70" t="str">
        <f>IF(N1084="","",N1084+N(O1084))</f>
        <v/>
      </c>
      <c r="Q1084" s="64" t="n"/>
      <c r="R1084" s="73" t="str">
        <f>IF(N(Q1084)&gt;0,Q1084,IF(OR(N(B1084)=0,ISNA(MATCH($C1084,sup_code,0))),"",IF(ISNUMBER(INDEX(sup_delay,MATCH($C1084,sup_code,0))),B1084+INDEX(sup_delay,MATCH($C1084,sup_code,0)),"")))</f>
        <v/>
      </c>
      <c r="S1084" s="64" t="n"/>
      <c r="T1084" s="68" t="n"/>
      <c r="U1084" s="64" t="n"/>
      <c r="V1084" s="65" t="n"/>
      <c r="W1084" s="74" t="str">
        <f>IF(AND(A1084="",E1084=""),"",IF(V1084="Oui",0,MAX(0,ROUND(N(H1084)-N(T1084),6))))</f>
        <v/>
      </c>
      <c r="X1084" s="67" t="str">
        <f>IF(AND(A1084="",E1084=""),"",IF(V1084="Oui","Annulé",IF(AND(N(H1084)&gt;0,N(T1084)&gt;=N(H1084)),"Reçu",IF(N(S1084)=0,"Brouillon",IF(AND(ISNUMBER(R1084),R1084&lt;p_today),"En retard",IF(N(T1084)&gt;0,"Partiel","Envoyé"))))))</f>
        <v/>
      </c>
      <c r="Y1084" s="75" t="str">
        <f>IF(X1084="En retard",p_today-R1084,IF(AND(X1084="Reçu",ISNUMBER(R1084)),MAX(0,N(U1084)-R1084),""))</f>
        <v/>
      </c>
      <c r="Z1084" s="67" t="str">
        <f>IF(AND(A1084="",E1084=""),"",IF(A1084="","N° de bon manquant",IF(N(B1084)=0,"Date de commande manquante",IF(C1084="","Fournisseur manquant",IF(ISNA(MATCH($C1084,sup_code,0)),"Fournisseur inconnu",IF(E1084="","Article manquant",IF(ISNA(MATCH($E1084,art_ref,0)),"Article inconnu",IF(N(H1084)&lt;=0,"Quantité invalide",IF(J1084="","Prix manquant",IF(OR(N(K1084)&lt;0,N(K1084)&gt;=1),"Remise invalide",IF(M1084="","TVA manquante",IF(ISNA(MATCH(M1084,p_tva,0)),"Taux de TVA inconnu",IF(COUNTIFS(po_num,A1084,po_sup,"&lt;&gt;"&amp;C1084)&gt;0,"Fournisseur différent sur ce bon",IF(COUNTIFS(po_num,A1084,po_date,"&lt;&gt;"&amp;B1084)&gt;0,"Date différente sur ce bon",IF(COUNTIF(po_num,A1084)&gt;25,"Plus de 25 lignes sur ce bon",IF(R1084="","Date de livraison manquante",IF(R1084&lt;B1084,"Livraison avant la commande",IF(AND(N(T1084)&gt;0,N(S1084)=0),"Date d'envoi manquante",IF(N(T1084)&gt;N(H1084),"Reçu plus que commandé",IF(AND(N(T1084)&gt;0,N(U1084)=0),"Date de réception manquante",IF(AND(N(U1084)&gt;0,U1084&lt;B1084),"Réception avant la commande","OK")))))))))))))))))))))</f>
        <v/>
      </c>
      <c r="AA1084" s="66" t="str">
        <f>IF(AND(X1084="Reçu",ISNUMBER(R1084)),IF(N(U1084)&lt;=R1084,1,0),"")</f>
        <v/>
      </c>
      <c r="AB1084" s="76" t="str">
        <f>IF(OR(X1084="Envoyé",X1084="Partiel",X1084="En retard"),IF(ISNUMBER(R1084),R1084,100000)+ROW()/100000,"")</f>
        <v/>
      </c>
      <c r="AC1084" s="66" t="str">
        <f>IF(A1084="","",IF(COUNTIF($A$6:A1084,A1084)=1,1,""))</f>
        <v/>
      </c>
      <c r="AD1084" s="66" t="str">
        <f>IF(AC1084=1,COUNT($AC$6:AC1084),"")</f>
        <v/>
      </c>
      <c r="AE1084" s="66" t="str">
        <f>IFERROR(INDEX(po_num,MATCH(1079,po_seq,0))&amp;"","")</f>
        <v/>
      </c>
      <c r="AF1084" s="66" t="str">
        <f>IF(OR(A1084="",p_po=""),"",IF(A1084&amp;""=p_po,COUNTIF($A$6:A1084,A1084),""))</f>
        <v/>
      </c>
      <c r="AG1084" s="66" t="str">
        <f>IF(OR(AB1084="",A1084=""),"",IF(COUNTIFS($A$6:A1084,A1084,$AB$6:AB1084,"&gt;0")=1,1,""))</f>
        <v/>
      </c>
      <c r="AH1084" s="70" t="str">
        <f>IF(AB1084="","",ROUND(N(W1084)*N(J1084)*(1-N(K1084)),2))</f>
        <v/>
      </c>
      <c r="AI1084" s="70" t="str">
        <f>IF(OR(J1084="",N(T1084)&lt;=0,V1084="Oui"),"",ROUND(N(T1084)*J1084*(1-N(K1084)),2))</f>
        <v/>
      </c>
    </row>
    <row r="1085">
      <c r="A1085" s="63" t="n"/>
      <c r="B1085" s="64" t="n"/>
      <c r="C1085" s="65" t="n"/>
      <c r="D1085" s="66" t="str">
        <f>IF(C1085="","",IFERROR(INDEX(sup_name,MATCH($C1085,sup_code,0))&amp;"","Fournisseur inconnu"))</f>
        <v/>
      </c>
      <c r="E1085" s="63" t="n"/>
      <c r="F1085" s="66" t="str">
        <f>IF(E1085="","",IFERROR(INDEX(art_des,MATCH($E1085,art_ref,0))&amp;"","Article inconnu"))</f>
        <v/>
      </c>
      <c r="G1085" s="67" t="str">
        <f>IF(E1085="","",IFERROR(INDEX(art_unit,MATCH($E1085,art_ref,0))&amp;"",""))</f>
        <v/>
      </c>
      <c r="H1085" s="68" t="n"/>
      <c r="I1085" s="69" t="n"/>
      <c r="J1085" s="70" t="str">
        <f>IF(E1085="","",IF(ISNUMBER(I1085),I1085,IFERROR(IF(ISNUMBER(INDEX(art_price,MATCH($E1085,art_ref,0))),INDEX(art_price,MATCH($E1085,art_ref,0)),""),"")))</f>
        <v/>
      </c>
      <c r="K1085" s="71" t="n"/>
      <c r="L1085" s="72" t="n"/>
      <c r="M1085" s="72" t="str">
        <f>IF(E1085="","",IF(L1085&lt;&gt;"",L1085,IFERROR(IF(ISNUMBER(INDEX(art_tva,MATCH($E1085,art_ref,0))),INDEX(art_tva,MATCH($E1085,art_ref,0)),""),"")))</f>
        <v/>
      </c>
      <c r="N1085" s="70" t="str">
        <f>IF(OR(E1085="",J1085=""),"",ROUND(N(H1085)*J1085*(1-N(K1085)),2))</f>
        <v/>
      </c>
      <c r="O1085" s="70" t="str">
        <f>IF(OR(N1085="",NOT(ISNUMBER(M1085))),"",ROUND(N1085*M1085,2))</f>
        <v/>
      </c>
      <c r="P1085" s="70" t="str">
        <f>IF(N1085="","",N1085+N(O1085))</f>
        <v/>
      </c>
      <c r="Q1085" s="64" t="n"/>
      <c r="R1085" s="73" t="str">
        <f>IF(N(Q1085)&gt;0,Q1085,IF(OR(N(B1085)=0,ISNA(MATCH($C1085,sup_code,0))),"",IF(ISNUMBER(INDEX(sup_delay,MATCH($C1085,sup_code,0))),B1085+INDEX(sup_delay,MATCH($C1085,sup_code,0)),"")))</f>
        <v/>
      </c>
      <c r="S1085" s="64" t="n"/>
      <c r="T1085" s="68" t="n"/>
      <c r="U1085" s="64" t="n"/>
      <c r="V1085" s="65" t="n"/>
      <c r="W1085" s="74" t="str">
        <f>IF(AND(A1085="",E1085=""),"",IF(V1085="Oui",0,MAX(0,ROUND(N(H1085)-N(T1085),6))))</f>
        <v/>
      </c>
      <c r="X1085" s="67" t="str">
        <f>IF(AND(A1085="",E1085=""),"",IF(V1085="Oui","Annulé",IF(AND(N(H1085)&gt;0,N(T1085)&gt;=N(H1085)),"Reçu",IF(N(S1085)=0,"Brouillon",IF(AND(ISNUMBER(R1085),R1085&lt;p_today),"En retard",IF(N(T1085)&gt;0,"Partiel","Envoyé"))))))</f>
        <v/>
      </c>
      <c r="Y1085" s="75" t="str">
        <f>IF(X1085="En retard",p_today-R1085,IF(AND(X1085="Reçu",ISNUMBER(R1085)),MAX(0,N(U1085)-R1085),""))</f>
        <v/>
      </c>
      <c r="Z1085" s="67" t="str">
        <f>IF(AND(A1085="",E1085=""),"",IF(A1085="","N° de bon manquant",IF(N(B1085)=0,"Date de commande manquante",IF(C1085="","Fournisseur manquant",IF(ISNA(MATCH($C1085,sup_code,0)),"Fournisseur inconnu",IF(E1085="","Article manquant",IF(ISNA(MATCH($E1085,art_ref,0)),"Article inconnu",IF(N(H1085)&lt;=0,"Quantité invalide",IF(J1085="","Prix manquant",IF(OR(N(K1085)&lt;0,N(K1085)&gt;=1),"Remise invalide",IF(M1085="","TVA manquante",IF(ISNA(MATCH(M1085,p_tva,0)),"Taux de TVA inconnu",IF(COUNTIFS(po_num,A1085,po_sup,"&lt;&gt;"&amp;C1085)&gt;0,"Fournisseur différent sur ce bon",IF(COUNTIFS(po_num,A1085,po_date,"&lt;&gt;"&amp;B1085)&gt;0,"Date différente sur ce bon",IF(COUNTIF(po_num,A1085)&gt;25,"Plus de 25 lignes sur ce bon",IF(R1085="","Date de livraison manquante",IF(R1085&lt;B1085,"Livraison avant la commande",IF(AND(N(T1085)&gt;0,N(S1085)=0),"Date d'envoi manquante",IF(N(T1085)&gt;N(H1085),"Reçu plus que commandé",IF(AND(N(T1085)&gt;0,N(U1085)=0),"Date de réception manquante",IF(AND(N(U1085)&gt;0,U1085&lt;B1085),"Réception avant la commande","OK")))))))))))))))))))))</f>
        <v/>
      </c>
      <c r="AA1085" s="66" t="str">
        <f>IF(AND(X1085="Reçu",ISNUMBER(R1085)),IF(N(U1085)&lt;=R1085,1,0),"")</f>
        <v/>
      </c>
      <c r="AB1085" s="76" t="str">
        <f>IF(OR(X1085="Envoyé",X1085="Partiel",X1085="En retard"),IF(ISNUMBER(R1085),R1085,100000)+ROW()/100000,"")</f>
        <v/>
      </c>
      <c r="AC1085" s="66" t="str">
        <f>IF(A1085="","",IF(COUNTIF($A$6:A1085,A1085)=1,1,""))</f>
        <v/>
      </c>
      <c r="AD1085" s="66" t="str">
        <f>IF(AC1085=1,COUNT($AC$6:AC1085),"")</f>
        <v/>
      </c>
      <c r="AE1085" s="66" t="str">
        <f>IFERROR(INDEX(po_num,MATCH(1080,po_seq,0))&amp;"","")</f>
        <v/>
      </c>
      <c r="AF1085" s="66" t="str">
        <f>IF(OR(A1085="",p_po=""),"",IF(A1085&amp;""=p_po,COUNTIF($A$6:A1085,A1085),""))</f>
        <v/>
      </c>
      <c r="AG1085" s="66" t="str">
        <f>IF(OR(AB1085="",A1085=""),"",IF(COUNTIFS($A$6:A1085,A1085,$AB$6:AB1085,"&gt;0")=1,1,""))</f>
        <v/>
      </c>
      <c r="AH1085" s="70" t="str">
        <f>IF(AB1085="","",ROUND(N(W1085)*N(J1085)*(1-N(K1085)),2))</f>
        <v/>
      </c>
      <c r="AI1085" s="70" t="str">
        <f>IF(OR(J1085="",N(T1085)&lt;=0,V1085="Oui"),"",ROUND(N(T1085)*J1085*(1-N(K1085)),2))</f>
        <v/>
      </c>
    </row>
    <row r="1086">
      <c r="A1086" s="63" t="n"/>
      <c r="B1086" s="64" t="n"/>
      <c r="C1086" s="65" t="n"/>
      <c r="D1086" s="66" t="str">
        <f>IF(C1086="","",IFERROR(INDEX(sup_name,MATCH($C1086,sup_code,0))&amp;"","Fournisseur inconnu"))</f>
        <v/>
      </c>
      <c r="E1086" s="63" t="n"/>
      <c r="F1086" s="66" t="str">
        <f>IF(E1086="","",IFERROR(INDEX(art_des,MATCH($E1086,art_ref,0))&amp;"","Article inconnu"))</f>
        <v/>
      </c>
      <c r="G1086" s="67" t="str">
        <f>IF(E1086="","",IFERROR(INDEX(art_unit,MATCH($E1086,art_ref,0))&amp;"",""))</f>
        <v/>
      </c>
      <c r="H1086" s="68" t="n"/>
      <c r="I1086" s="69" t="n"/>
      <c r="J1086" s="70" t="str">
        <f>IF(E1086="","",IF(ISNUMBER(I1086),I1086,IFERROR(IF(ISNUMBER(INDEX(art_price,MATCH($E1086,art_ref,0))),INDEX(art_price,MATCH($E1086,art_ref,0)),""),"")))</f>
        <v/>
      </c>
      <c r="K1086" s="71" t="n"/>
      <c r="L1086" s="72" t="n"/>
      <c r="M1086" s="72" t="str">
        <f>IF(E1086="","",IF(L1086&lt;&gt;"",L1086,IFERROR(IF(ISNUMBER(INDEX(art_tva,MATCH($E1086,art_ref,0))),INDEX(art_tva,MATCH($E1086,art_ref,0)),""),"")))</f>
        <v/>
      </c>
      <c r="N1086" s="70" t="str">
        <f>IF(OR(E1086="",J1086=""),"",ROUND(N(H1086)*J1086*(1-N(K1086)),2))</f>
        <v/>
      </c>
      <c r="O1086" s="70" t="str">
        <f>IF(OR(N1086="",NOT(ISNUMBER(M1086))),"",ROUND(N1086*M1086,2))</f>
        <v/>
      </c>
      <c r="P1086" s="70" t="str">
        <f>IF(N1086="","",N1086+N(O1086))</f>
        <v/>
      </c>
      <c r="Q1086" s="64" t="n"/>
      <c r="R1086" s="73" t="str">
        <f>IF(N(Q1086)&gt;0,Q1086,IF(OR(N(B1086)=0,ISNA(MATCH($C1086,sup_code,0))),"",IF(ISNUMBER(INDEX(sup_delay,MATCH($C1086,sup_code,0))),B1086+INDEX(sup_delay,MATCH($C1086,sup_code,0)),"")))</f>
        <v/>
      </c>
      <c r="S1086" s="64" t="n"/>
      <c r="T1086" s="68" t="n"/>
      <c r="U1086" s="64" t="n"/>
      <c r="V1086" s="65" t="n"/>
      <c r="W1086" s="74" t="str">
        <f>IF(AND(A1086="",E1086=""),"",IF(V1086="Oui",0,MAX(0,ROUND(N(H1086)-N(T1086),6))))</f>
        <v/>
      </c>
      <c r="X1086" s="67" t="str">
        <f>IF(AND(A1086="",E1086=""),"",IF(V1086="Oui","Annulé",IF(AND(N(H1086)&gt;0,N(T1086)&gt;=N(H1086)),"Reçu",IF(N(S1086)=0,"Brouillon",IF(AND(ISNUMBER(R1086),R1086&lt;p_today),"En retard",IF(N(T1086)&gt;0,"Partiel","Envoyé"))))))</f>
        <v/>
      </c>
      <c r="Y1086" s="75" t="str">
        <f>IF(X1086="En retard",p_today-R1086,IF(AND(X1086="Reçu",ISNUMBER(R1086)),MAX(0,N(U1086)-R1086),""))</f>
        <v/>
      </c>
      <c r="Z1086" s="67" t="str">
        <f>IF(AND(A1086="",E1086=""),"",IF(A1086="","N° de bon manquant",IF(N(B1086)=0,"Date de commande manquante",IF(C1086="","Fournisseur manquant",IF(ISNA(MATCH($C1086,sup_code,0)),"Fournisseur inconnu",IF(E1086="","Article manquant",IF(ISNA(MATCH($E1086,art_ref,0)),"Article inconnu",IF(N(H1086)&lt;=0,"Quantité invalide",IF(J1086="","Prix manquant",IF(OR(N(K1086)&lt;0,N(K1086)&gt;=1),"Remise invalide",IF(M1086="","TVA manquante",IF(ISNA(MATCH(M1086,p_tva,0)),"Taux de TVA inconnu",IF(COUNTIFS(po_num,A1086,po_sup,"&lt;&gt;"&amp;C1086)&gt;0,"Fournisseur différent sur ce bon",IF(COUNTIFS(po_num,A1086,po_date,"&lt;&gt;"&amp;B1086)&gt;0,"Date différente sur ce bon",IF(COUNTIF(po_num,A1086)&gt;25,"Plus de 25 lignes sur ce bon",IF(R1086="","Date de livraison manquante",IF(R1086&lt;B1086,"Livraison avant la commande",IF(AND(N(T1086)&gt;0,N(S1086)=0),"Date d'envoi manquante",IF(N(T1086)&gt;N(H1086),"Reçu plus que commandé",IF(AND(N(T1086)&gt;0,N(U1086)=0),"Date de réception manquante",IF(AND(N(U1086)&gt;0,U1086&lt;B1086),"Réception avant la commande","OK")))))))))))))))))))))</f>
        <v/>
      </c>
      <c r="AA1086" s="66" t="str">
        <f>IF(AND(X1086="Reçu",ISNUMBER(R1086)),IF(N(U1086)&lt;=R1086,1,0),"")</f>
        <v/>
      </c>
      <c r="AB1086" s="76" t="str">
        <f>IF(OR(X1086="Envoyé",X1086="Partiel",X1086="En retard"),IF(ISNUMBER(R1086),R1086,100000)+ROW()/100000,"")</f>
        <v/>
      </c>
      <c r="AC1086" s="66" t="str">
        <f>IF(A1086="","",IF(COUNTIF($A$6:A1086,A1086)=1,1,""))</f>
        <v/>
      </c>
      <c r="AD1086" s="66" t="str">
        <f>IF(AC1086=1,COUNT($AC$6:AC1086),"")</f>
        <v/>
      </c>
      <c r="AE1086" s="66" t="str">
        <f>IFERROR(INDEX(po_num,MATCH(1081,po_seq,0))&amp;"","")</f>
        <v/>
      </c>
      <c r="AF1086" s="66" t="str">
        <f>IF(OR(A1086="",p_po=""),"",IF(A1086&amp;""=p_po,COUNTIF($A$6:A1086,A1086),""))</f>
        <v/>
      </c>
      <c r="AG1086" s="66" t="str">
        <f>IF(OR(AB1086="",A1086=""),"",IF(COUNTIFS($A$6:A1086,A1086,$AB$6:AB1086,"&gt;0")=1,1,""))</f>
        <v/>
      </c>
      <c r="AH1086" s="70" t="str">
        <f>IF(AB1086="","",ROUND(N(W1086)*N(J1086)*(1-N(K1086)),2))</f>
        <v/>
      </c>
      <c r="AI1086" s="70" t="str">
        <f>IF(OR(J1086="",N(T1086)&lt;=0,V1086="Oui"),"",ROUND(N(T1086)*J1086*(1-N(K1086)),2))</f>
        <v/>
      </c>
    </row>
    <row r="1087">
      <c r="A1087" s="63" t="n"/>
      <c r="B1087" s="64" t="n"/>
      <c r="C1087" s="65" t="n"/>
      <c r="D1087" s="66" t="str">
        <f>IF(C1087="","",IFERROR(INDEX(sup_name,MATCH($C1087,sup_code,0))&amp;"","Fournisseur inconnu"))</f>
        <v/>
      </c>
      <c r="E1087" s="63" t="n"/>
      <c r="F1087" s="66" t="str">
        <f>IF(E1087="","",IFERROR(INDEX(art_des,MATCH($E1087,art_ref,0))&amp;"","Article inconnu"))</f>
        <v/>
      </c>
      <c r="G1087" s="67" t="str">
        <f>IF(E1087="","",IFERROR(INDEX(art_unit,MATCH($E1087,art_ref,0))&amp;"",""))</f>
        <v/>
      </c>
      <c r="H1087" s="68" t="n"/>
      <c r="I1087" s="69" t="n"/>
      <c r="J1087" s="70" t="str">
        <f>IF(E1087="","",IF(ISNUMBER(I1087),I1087,IFERROR(IF(ISNUMBER(INDEX(art_price,MATCH($E1087,art_ref,0))),INDEX(art_price,MATCH($E1087,art_ref,0)),""),"")))</f>
        <v/>
      </c>
      <c r="K1087" s="71" t="n"/>
      <c r="L1087" s="72" t="n"/>
      <c r="M1087" s="72" t="str">
        <f>IF(E1087="","",IF(L1087&lt;&gt;"",L1087,IFERROR(IF(ISNUMBER(INDEX(art_tva,MATCH($E1087,art_ref,0))),INDEX(art_tva,MATCH($E1087,art_ref,0)),""),"")))</f>
        <v/>
      </c>
      <c r="N1087" s="70" t="str">
        <f>IF(OR(E1087="",J1087=""),"",ROUND(N(H1087)*J1087*(1-N(K1087)),2))</f>
        <v/>
      </c>
      <c r="O1087" s="70" t="str">
        <f>IF(OR(N1087="",NOT(ISNUMBER(M1087))),"",ROUND(N1087*M1087,2))</f>
        <v/>
      </c>
      <c r="P1087" s="70" t="str">
        <f>IF(N1087="","",N1087+N(O1087))</f>
        <v/>
      </c>
      <c r="Q1087" s="64" t="n"/>
      <c r="R1087" s="73" t="str">
        <f>IF(N(Q1087)&gt;0,Q1087,IF(OR(N(B1087)=0,ISNA(MATCH($C1087,sup_code,0))),"",IF(ISNUMBER(INDEX(sup_delay,MATCH($C1087,sup_code,0))),B1087+INDEX(sup_delay,MATCH($C1087,sup_code,0)),"")))</f>
        <v/>
      </c>
      <c r="S1087" s="64" t="n"/>
      <c r="T1087" s="68" t="n"/>
      <c r="U1087" s="64" t="n"/>
      <c r="V1087" s="65" t="n"/>
      <c r="W1087" s="74" t="str">
        <f>IF(AND(A1087="",E1087=""),"",IF(V1087="Oui",0,MAX(0,ROUND(N(H1087)-N(T1087),6))))</f>
        <v/>
      </c>
      <c r="X1087" s="67" t="str">
        <f>IF(AND(A1087="",E1087=""),"",IF(V1087="Oui","Annulé",IF(AND(N(H1087)&gt;0,N(T1087)&gt;=N(H1087)),"Reçu",IF(N(S1087)=0,"Brouillon",IF(AND(ISNUMBER(R1087),R1087&lt;p_today),"En retard",IF(N(T1087)&gt;0,"Partiel","Envoyé"))))))</f>
        <v/>
      </c>
      <c r="Y1087" s="75" t="str">
        <f>IF(X1087="En retard",p_today-R1087,IF(AND(X1087="Reçu",ISNUMBER(R1087)),MAX(0,N(U1087)-R1087),""))</f>
        <v/>
      </c>
      <c r="Z1087" s="67" t="str">
        <f>IF(AND(A1087="",E1087=""),"",IF(A1087="","N° de bon manquant",IF(N(B1087)=0,"Date de commande manquante",IF(C1087="","Fournisseur manquant",IF(ISNA(MATCH($C1087,sup_code,0)),"Fournisseur inconnu",IF(E1087="","Article manquant",IF(ISNA(MATCH($E1087,art_ref,0)),"Article inconnu",IF(N(H1087)&lt;=0,"Quantité invalide",IF(J1087="","Prix manquant",IF(OR(N(K1087)&lt;0,N(K1087)&gt;=1),"Remise invalide",IF(M1087="","TVA manquante",IF(ISNA(MATCH(M1087,p_tva,0)),"Taux de TVA inconnu",IF(COUNTIFS(po_num,A1087,po_sup,"&lt;&gt;"&amp;C1087)&gt;0,"Fournisseur différent sur ce bon",IF(COUNTIFS(po_num,A1087,po_date,"&lt;&gt;"&amp;B1087)&gt;0,"Date différente sur ce bon",IF(COUNTIF(po_num,A1087)&gt;25,"Plus de 25 lignes sur ce bon",IF(R1087="","Date de livraison manquante",IF(R1087&lt;B1087,"Livraison avant la commande",IF(AND(N(T1087)&gt;0,N(S1087)=0),"Date d'envoi manquante",IF(N(T1087)&gt;N(H1087),"Reçu plus que commandé",IF(AND(N(T1087)&gt;0,N(U1087)=0),"Date de réception manquante",IF(AND(N(U1087)&gt;0,U1087&lt;B1087),"Réception avant la commande","OK")))))))))))))))))))))</f>
        <v/>
      </c>
      <c r="AA1087" s="66" t="str">
        <f>IF(AND(X1087="Reçu",ISNUMBER(R1087)),IF(N(U1087)&lt;=R1087,1,0),"")</f>
        <v/>
      </c>
      <c r="AB1087" s="76" t="str">
        <f>IF(OR(X1087="Envoyé",X1087="Partiel",X1087="En retard"),IF(ISNUMBER(R1087),R1087,100000)+ROW()/100000,"")</f>
        <v/>
      </c>
      <c r="AC1087" s="66" t="str">
        <f>IF(A1087="","",IF(COUNTIF($A$6:A1087,A1087)=1,1,""))</f>
        <v/>
      </c>
      <c r="AD1087" s="66" t="str">
        <f>IF(AC1087=1,COUNT($AC$6:AC1087),"")</f>
        <v/>
      </c>
      <c r="AE1087" s="66" t="str">
        <f>IFERROR(INDEX(po_num,MATCH(1082,po_seq,0))&amp;"","")</f>
        <v/>
      </c>
      <c r="AF1087" s="66" t="str">
        <f>IF(OR(A1087="",p_po=""),"",IF(A1087&amp;""=p_po,COUNTIF($A$6:A1087,A1087),""))</f>
        <v/>
      </c>
      <c r="AG1087" s="66" t="str">
        <f>IF(OR(AB1087="",A1087=""),"",IF(COUNTIFS($A$6:A1087,A1087,$AB$6:AB1087,"&gt;0")=1,1,""))</f>
        <v/>
      </c>
      <c r="AH1087" s="70" t="str">
        <f>IF(AB1087="","",ROUND(N(W1087)*N(J1087)*(1-N(K1087)),2))</f>
        <v/>
      </c>
      <c r="AI1087" s="70" t="str">
        <f>IF(OR(J1087="",N(T1087)&lt;=0,V1087="Oui"),"",ROUND(N(T1087)*J1087*(1-N(K1087)),2))</f>
        <v/>
      </c>
    </row>
    <row r="1088">
      <c r="A1088" s="63" t="n"/>
      <c r="B1088" s="64" t="n"/>
      <c r="C1088" s="65" t="n"/>
      <c r="D1088" s="66" t="str">
        <f>IF(C1088="","",IFERROR(INDEX(sup_name,MATCH($C1088,sup_code,0))&amp;"","Fournisseur inconnu"))</f>
        <v/>
      </c>
      <c r="E1088" s="63" t="n"/>
      <c r="F1088" s="66" t="str">
        <f>IF(E1088="","",IFERROR(INDEX(art_des,MATCH($E1088,art_ref,0))&amp;"","Article inconnu"))</f>
        <v/>
      </c>
      <c r="G1088" s="67" t="str">
        <f>IF(E1088="","",IFERROR(INDEX(art_unit,MATCH($E1088,art_ref,0))&amp;"",""))</f>
        <v/>
      </c>
      <c r="H1088" s="68" t="n"/>
      <c r="I1088" s="69" t="n"/>
      <c r="J1088" s="70" t="str">
        <f>IF(E1088="","",IF(ISNUMBER(I1088),I1088,IFERROR(IF(ISNUMBER(INDEX(art_price,MATCH($E1088,art_ref,0))),INDEX(art_price,MATCH($E1088,art_ref,0)),""),"")))</f>
        <v/>
      </c>
      <c r="K1088" s="71" t="n"/>
      <c r="L1088" s="72" t="n"/>
      <c r="M1088" s="72" t="str">
        <f>IF(E1088="","",IF(L1088&lt;&gt;"",L1088,IFERROR(IF(ISNUMBER(INDEX(art_tva,MATCH($E1088,art_ref,0))),INDEX(art_tva,MATCH($E1088,art_ref,0)),""),"")))</f>
        <v/>
      </c>
      <c r="N1088" s="70" t="str">
        <f>IF(OR(E1088="",J1088=""),"",ROUND(N(H1088)*J1088*(1-N(K1088)),2))</f>
        <v/>
      </c>
      <c r="O1088" s="70" t="str">
        <f>IF(OR(N1088="",NOT(ISNUMBER(M1088))),"",ROUND(N1088*M1088,2))</f>
        <v/>
      </c>
      <c r="P1088" s="70" t="str">
        <f>IF(N1088="","",N1088+N(O1088))</f>
        <v/>
      </c>
      <c r="Q1088" s="64" t="n"/>
      <c r="R1088" s="73" t="str">
        <f>IF(N(Q1088)&gt;0,Q1088,IF(OR(N(B1088)=0,ISNA(MATCH($C1088,sup_code,0))),"",IF(ISNUMBER(INDEX(sup_delay,MATCH($C1088,sup_code,0))),B1088+INDEX(sup_delay,MATCH($C1088,sup_code,0)),"")))</f>
        <v/>
      </c>
      <c r="S1088" s="64" t="n"/>
      <c r="T1088" s="68" t="n"/>
      <c r="U1088" s="64" t="n"/>
      <c r="V1088" s="65" t="n"/>
      <c r="W1088" s="74" t="str">
        <f>IF(AND(A1088="",E1088=""),"",IF(V1088="Oui",0,MAX(0,ROUND(N(H1088)-N(T1088),6))))</f>
        <v/>
      </c>
      <c r="X1088" s="67" t="str">
        <f>IF(AND(A1088="",E1088=""),"",IF(V1088="Oui","Annulé",IF(AND(N(H1088)&gt;0,N(T1088)&gt;=N(H1088)),"Reçu",IF(N(S1088)=0,"Brouillon",IF(AND(ISNUMBER(R1088),R1088&lt;p_today),"En retard",IF(N(T1088)&gt;0,"Partiel","Envoyé"))))))</f>
        <v/>
      </c>
      <c r="Y1088" s="75" t="str">
        <f>IF(X1088="En retard",p_today-R1088,IF(AND(X1088="Reçu",ISNUMBER(R1088)),MAX(0,N(U1088)-R1088),""))</f>
        <v/>
      </c>
      <c r="Z1088" s="67" t="str">
        <f>IF(AND(A1088="",E1088=""),"",IF(A1088="","N° de bon manquant",IF(N(B1088)=0,"Date de commande manquante",IF(C1088="","Fournisseur manquant",IF(ISNA(MATCH($C1088,sup_code,0)),"Fournisseur inconnu",IF(E1088="","Article manquant",IF(ISNA(MATCH($E1088,art_ref,0)),"Article inconnu",IF(N(H1088)&lt;=0,"Quantité invalide",IF(J1088="","Prix manquant",IF(OR(N(K1088)&lt;0,N(K1088)&gt;=1),"Remise invalide",IF(M1088="","TVA manquante",IF(ISNA(MATCH(M1088,p_tva,0)),"Taux de TVA inconnu",IF(COUNTIFS(po_num,A1088,po_sup,"&lt;&gt;"&amp;C1088)&gt;0,"Fournisseur différent sur ce bon",IF(COUNTIFS(po_num,A1088,po_date,"&lt;&gt;"&amp;B1088)&gt;0,"Date différente sur ce bon",IF(COUNTIF(po_num,A1088)&gt;25,"Plus de 25 lignes sur ce bon",IF(R1088="","Date de livraison manquante",IF(R1088&lt;B1088,"Livraison avant la commande",IF(AND(N(T1088)&gt;0,N(S1088)=0),"Date d'envoi manquante",IF(N(T1088)&gt;N(H1088),"Reçu plus que commandé",IF(AND(N(T1088)&gt;0,N(U1088)=0),"Date de réception manquante",IF(AND(N(U1088)&gt;0,U1088&lt;B1088),"Réception avant la commande","OK")))))))))))))))))))))</f>
        <v/>
      </c>
      <c r="AA1088" s="66" t="str">
        <f>IF(AND(X1088="Reçu",ISNUMBER(R1088)),IF(N(U1088)&lt;=R1088,1,0),"")</f>
        <v/>
      </c>
      <c r="AB1088" s="76" t="str">
        <f>IF(OR(X1088="Envoyé",X1088="Partiel",X1088="En retard"),IF(ISNUMBER(R1088),R1088,100000)+ROW()/100000,"")</f>
        <v/>
      </c>
      <c r="AC1088" s="66" t="str">
        <f>IF(A1088="","",IF(COUNTIF($A$6:A1088,A1088)=1,1,""))</f>
        <v/>
      </c>
      <c r="AD1088" s="66" t="str">
        <f>IF(AC1088=1,COUNT($AC$6:AC1088),"")</f>
        <v/>
      </c>
      <c r="AE1088" s="66" t="str">
        <f>IFERROR(INDEX(po_num,MATCH(1083,po_seq,0))&amp;"","")</f>
        <v/>
      </c>
      <c r="AF1088" s="66" t="str">
        <f>IF(OR(A1088="",p_po=""),"",IF(A1088&amp;""=p_po,COUNTIF($A$6:A1088,A1088),""))</f>
        <v/>
      </c>
      <c r="AG1088" s="66" t="str">
        <f>IF(OR(AB1088="",A1088=""),"",IF(COUNTIFS($A$6:A1088,A1088,$AB$6:AB1088,"&gt;0")=1,1,""))</f>
        <v/>
      </c>
      <c r="AH1088" s="70" t="str">
        <f>IF(AB1088="","",ROUND(N(W1088)*N(J1088)*(1-N(K1088)),2))</f>
        <v/>
      </c>
      <c r="AI1088" s="70" t="str">
        <f>IF(OR(J1088="",N(T1088)&lt;=0,V1088="Oui"),"",ROUND(N(T1088)*J1088*(1-N(K1088)),2))</f>
        <v/>
      </c>
    </row>
    <row r="1089">
      <c r="A1089" s="63" t="n"/>
      <c r="B1089" s="64" t="n"/>
      <c r="C1089" s="65" t="n"/>
      <c r="D1089" s="66" t="str">
        <f>IF(C1089="","",IFERROR(INDEX(sup_name,MATCH($C1089,sup_code,0))&amp;"","Fournisseur inconnu"))</f>
        <v/>
      </c>
      <c r="E1089" s="63" t="n"/>
      <c r="F1089" s="66" t="str">
        <f>IF(E1089="","",IFERROR(INDEX(art_des,MATCH($E1089,art_ref,0))&amp;"","Article inconnu"))</f>
        <v/>
      </c>
      <c r="G1089" s="67" t="str">
        <f>IF(E1089="","",IFERROR(INDEX(art_unit,MATCH($E1089,art_ref,0))&amp;"",""))</f>
        <v/>
      </c>
      <c r="H1089" s="68" t="n"/>
      <c r="I1089" s="69" t="n"/>
      <c r="J1089" s="70" t="str">
        <f>IF(E1089="","",IF(ISNUMBER(I1089),I1089,IFERROR(IF(ISNUMBER(INDEX(art_price,MATCH($E1089,art_ref,0))),INDEX(art_price,MATCH($E1089,art_ref,0)),""),"")))</f>
        <v/>
      </c>
      <c r="K1089" s="71" t="n"/>
      <c r="L1089" s="72" t="n"/>
      <c r="M1089" s="72" t="str">
        <f>IF(E1089="","",IF(L1089&lt;&gt;"",L1089,IFERROR(IF(ISNUMBER(INDEX(art_tva,MATCH($E1089,art_ref,0))),INDEX(art_tva,MATCH($E1089,art_ref,0)),""),"")))</f>
        <v/>
      </c>
      <c r="N1089" s="70" t="str">
        <f>IF(OR(E1089="",J1089=""),"",ROUND(N(H1089)*J1089*(1-N(K1089)),2))</f>
        <v/>
      </c>
      <c r="O1089" s="70" t="str">
        <f>IF(OR(N1089="",NOT(ISNUMBER(M1089))),"",ROUND(N1089*M1089,2))</f>
        <v/>
      </c>
      <c r="P1089" s="70" t="str">
        <f>IF(N1089="","",N1089+N(O1089))</f>
        <v/>
      </c>
      <c r="Q1089" s="64" t="n"/>
      <c r="R1089" s="73" t="str">
        <f>IF(N(Q1089)&gt;0,Q1089,IF(OR(N(B1089)=0,ISNA(MATCH($C1089,sup_code,0))),"",IF(ISNUMBER(INDEX(sup_delay,MATCH($C1089,sup_code,0))),B1089+INDEX(sup_delay,MATCH($C1089,sup_code,0)),"")))</f>
        <v/>
      </c>
      <c r="S1089" s="64" t="n"/>
      <c r="T1089" s="68" t="n"/>
      <c r="U1089" s="64" t="n"/>
      <c r="V1089" s="65" t="n"/>
      <c r="W1089" s="74" t="str">
        <f>IF(AND(A1089="",E1089=""),"",IF(V1089="Oui",0,MAX(0,ROUND(N(H1089)-N(T1089),6))))</f>
        <v/>
      </c>
      <c r="X1089" s="67" t="str">
        <f>IF(AND(A1089="",E1089=""),"",IF(V1089="Oui","Annulé",IF(AND(N(H1089)&gt;0,N(T1089)&gt;=N(H1089)),"Reçu",IF(N(S1089)=0,"Brouillon",IF(AND(ISNUMBER(R1089),R1089&lt;p_today),"En retard",IF(N(T1089)&gt;0,"Partiel","Envoyé"))))))</f>
        <v/>
      </c>
      <c r="Y1089" s="75" t="str">
        <f>IF(X1089="En retard",p_today-R1089,IF(AND(X1089="Reçu",ISNUMBER(R1089)),MAX(0,N(U1089)-R1089),""))</f>
        <v/>
      </c>
      <c r="Z1089" s="67" t="str">
        <f>IF(AND(A1089="",E1089=""),"",IF(A1089="","N° de bon manquant",IF(N(B1089)=0,"Date de commande manquante",IF(C1089="","Fournisseur manquant",IF(ISNA(MATCH($C1089,sup_code,0)),"Fournisseur inconnu",IF(E1089="","Article manquant",IF(ISNA(MATCH($E1089,art_ref,0)),"Article inconnu",IF(N(H1089)&lt;=0,"Quantité invalide",IF(J1089="","Prix manquant",IF(OR(N(K1089)&lt;0,N(K1089)&gt;=1),"Remise invalide",IF(M1089="","TVA manquante",IF(ISNA(MATCH(M1089,p_tva,0)),"Taux de TVA inconnu",IF(COUNTIFS(po_num,A1089,po_sup,"&lt;&gt;"&amp;C1089)&gt;0,"Fournisseur différent sur ce bon",IF(COUNTIFS(po_num,A1089,po_date,"&lt;&gt;"&amp;B1089)&gt;0,"Date différente sur ce bon",IF(COUNTIF(po_num,A1089)&gt;25,"Plus de 25 lignes sur ce bon",IF(R1089="","Date de livraison manquante",IF(R1089&lt;B1089,"Livraison avant la commande",IF(AND(N(T1089)&gt;0,N(S1089)=0),"Date d'envoi manquante",IF(N(T1089)&gt;N(H1089),"Reçu plus que commandé",IF(AND(N(T1089)&gt;0,N(U1089)=0),"Date de réception manquante",IF(AND(N(U1089)&gt;0,U1089&lt;B1089),"Réception avant la commande","OK")))))))))))))))))))))</f>
        <v/>
      </c>
      <c r="AA1089" s="66" t="str">
        <f>IF(AND(X1089="Reçu",ISNUMBER(R1089)),IF(N(U1089)&lt;=R1089,1,0),"")</f>
        <v/>
      </c>
      <c r="AB1089" s="76" t="str">
        <f>IF(OR(X1089="Envoyé",X1089="Partiel",X1089="En retard"),IF(ISNUMBER(R1089),R1089,100000)+ROW()/100000,"")</f>
        <v/>
      </c>
      <c r="AC1089" s="66" t="str">
        <f>IF(A1089="","",IF(COUNTIF($A$6:A1089,A1089)=1,1,""))</f>
        <v/>
      </c>
      <c r="AD1089" s="66" t="str">
        <f>IF(AC1089=1,COUNT($AC$6:AC1089),"")</f>
        <v/>
      </c>
      <c r="AE1089" s="66" t="str">
        <f>IFERROR(INDEX(po_num,MATCH(1084,po_seq,0))&amp;"","")</f>
        <v/>
      </c>
      <c r="AF1089" s="66" t="str">
        <f>IF(OR(A1089="",p_po=""),"",IF(A1089&amp;""=p_po,COUNTIF($A$6:A1089,A1089),""))</f>
        <v/>
      </c>
      <c r="AG1089" s="66" t="str">
        <f>IF(OR(AB1089="",A1089=""),"",IF(COUNTIFS($A$6:A1089,A1089,$AB$6:AB1089,"&gt;0")=1,1,""))</f>
        <v/>
      </c>
      <c r="AH1089" s="70" t="str">
        <f>IF(AB1089="","",ROUND(N(W1089)*N(J1089)*(1-N(K1089)),2))</f>
        <v/>
      </c>
      <c r="AI1089" s="70" t="str">
        <f>IF(OR(J1089="",N(T1089)&lt;=0,V1089="Oui"),"",ROUND(N(T1089)*J1089*(1-N(K1089)),2))</f>
        <v/>
      </c>
    </row>
    <row r="1090">
      <c r="A1090" s="63" t="n"/>
      <c r="B1090" s="64" t="n"/>
      <c r="C1090" s="65" t="n"/>
      <c r="D1090" s="66" t="str">
        <f>IF(C1090="","",IFERROR(INDEX(sup_name,MATCH($C1090,sup_code,0))&amp;"","Fournisseur inconnu"))</f>
        <v/>
      </c>
      <c r="E1090" s="63" t="n"/>
      <c r="F1090" s="66" t="str">
        <f>IF(E1090="","",IFERROR(INDEX(art_des,MATCH($E1090,art_ref,0))&amp;"","Article inconnu"))</f>
        <v/>
      </c>
      <c r="G1090" s="67" t="str">
        <f>IF(E1090="","",IFERROR(INDEX(art_unit,MATCH($E1090,art_ref,0))&amp;"",""))</f>
        <v/>
      </c>
      <c r="H1090" s="68" t="n"/>
      <c r="I1090" s="69" t="n"/>
      <c r="J1090" s="70" t="str">
        <f>IF(E1090="","",IF(ISNUMBER(I1090),I1090,IFERROR(IF(ISNUMBER(INDEX(art_price,MATCH($E1090,art_ref,0))),INDEX(art_price,MATCH($E1090,art_ref,0)),""),"")))</f>
        <v/>
      </c>
      <c r="K1090" s="71" t="n"/>
      <c r="L1090" s="72" t="n"/>
      <c r="M1090" s="72" t="str">
        <f>IF(E1090="","",IF(L1090&lt;&gt;"",L1090,IFERROR(IF(ISNUMBER(INDEX(art_tva,MATCH($E1090,art_ref,0))),INDEX(art_tva,MATCH($E1090,art_ref,0)),""),"")))</f>
        <v/>
      </c>
      <c r="N1090" s="70" t="str">
        <f>IF(OR(E1090="",J1090=""),"",ROUND(N(H1090)*J1090*(1-N(K1090)),2))</f>
        <v/>
      </c>
      <c r="O1090" s="70" t="str">
        <f>IF(OR(N1090="",NOT(ISNUMBER(M1090))),"",ROUND(N1090*M1090,2))</f>
        <v/>
      </c>
      <c r="P1090" s="70" t="str">
        <f>IF(N1090="","",N1090+N(O1090))</f>
        <v/>
      </c>
      <c r="Q1090" s="64" t="n"/>
      <c r="R1090" s="73" t="str">
        <f>IF(N(Q1090)&gt;0,Q1090,IF(OR(N(B1090)=0,ISNA(MATCH($C1090,sup_code,0))),"",IF(ISNUMBER(INDEX(sup_delay,MATCH($C1090,sup_code,0))),B1090+INDEX(sup_delay,MATCH($C1090,sup_code,0)),"")))</f>
        <v/>
      </c>
      <c r="S1090" s="64" t="n"/>
      <c r="T1090" s="68" t="n"/>
      <c r="U1090" s="64" t="n"/>
      <c r="V1090" s="65" t="n"/>
      <c r="W1090" s="74" t="str">
        <f>IF(AND(A1090="",E1090=""),"",IF(V1090="Oui",0,MAX(0,ROUND(N(H1090)-N(T1090),6))))</f>
        <v/>
      </c>
      <c r="X1090" s="67" t="str">
        <f>IF(AND(A1090="",E1090=""),"",IF(V1090="Oui","Annulé",IF(AND(N(H1090)&gt;0,N(T1090)&gt;=N(H1090)),"Reçu",IF(N(S1090)=0,"Brouillon",IF(AND(ISNUMBER(R1090),R1090&lt;p_today),"En retard",IF(N(T1090)&gt;0,"Partiel","Envoyé"))))))</f>
        <v/>
      </c>
      <c r="Y1090" s="75" t="str">
        <f>IF(X1090="En retard",p_today-R1090,IF(AND(X1090="Reçu",ISNUMBER(R1090)),MAX(0,N(U1090)-R1090),""))</f>
        <v/>
      </c>
      <c r="Z1090" s="67" t="str">
        <f>IF(AND(A1090="",E1090=""),"",IF(A1090="","N° de bon manquant",IF(N(B1090)=0,"Date de commande manquante",IF(C1090="","Fournisseur manquant",IF(ISNA(MATCH($C1090,sup_code,0)),"Fournisseur inconnu",IF(E1090="","Article manquant",IF(ISNA(MATCH($E1090,art_ref,0)),"Article inconnu",IF(N(H1090)&lt;=0,"Quantité invalide",IF(J1090="","Prix manquant",IF(OR(N(K1090)&lt;0,N(K1090)&gt;=1),"Remise invalide",IF(M1090="","TVA manquante",IF(ISNA(MATCH(M1090,p_tva,0)),"Taux de TVA inconnu",IF(COUNTIFS(po_num,A1090,po_sup,"&lt;&gt;"&amp;C1090)&gt;0,"Fournisseur différent sur ce bon",IF(COUNTIFS(po_num,A1090,po_date,"&lt;&gt;"&amp;B1090)&gt;0,"Date différente sur ce bon",IF(COUNTIF(po_num,A1090)&gt;25,"Plus de 25 lignes sur ce bon",IF(R1090="","Date de livraison manquante",IF(R1090&lt;B1090,"Livraison avant la commande",IF(AND(N(T1090)&gt;0,N(S1090)=0),"Date d'envoi manquante",IF(N(T1090)&gt;N(H1090),"Reçu plus que commandé",IF(AND(N(T1090)&gt;0,N(U1090)=0),"Date de réception manquante",IF(AND(N(U1090)&gt;0,U1090&lt;B1090),"Réception avant la commande","OK")))))))))))))))))))))</f>
        <v/>
      </c>
      <c r="AA1090" s="66" t="str">
        <f>IF(AND(X1090="Reçu",ISNUMBER(R1090)),IF(N(U1090)&lt;=R1090,1,0),"")</f>
        <v/>
      </c>
      <c r="AB1090" s="76" t="str">
        <f>IF(OR(X1090="Envoyé",X1090="Partiel",X1090="En retard"),IF(ISNUMBER(R1090),R1090,100000)+ROW()/100000,"")</f>
        <v/>
      </c>
      <c r="AC1090" s="66" t="str">
        <f>IF(A1090="","",IF(COUNTIF($A$6:A1090,A1090)=1,1,""))</f>
        <v/>
      </c>
      <c r="AD1090" s="66" t="str">
        <f>IF(AC1090=1,COUNT($AC$6:AC1090),"")</f>
        <v/>
      </c>
      <c r="AE1090" s="66" t="str">
        <f>IFERROR(INDEX(po_num,MATCH(1085,po_seq,0))&amp;"","")</f>
        <v/>
      </c>
      <c r="AF1090" s="66" t="str">
        <f>IF(OR(A1090="",p_po=""),"",IF(A1090&amp;""=p_po,COUNTIF($A$6:A1090,A1090),""))</f>
        <v/>
      </c>
      <c r="AG1090" s="66" t="str">
        <f>IF(OR(AB1090="",A1090=""),"",IF(COUNTIFS($A$6:A1090,A1090,$AB$6:AB1090,"&gt;0")=1,1,""))</f>
        <v/>
      </c>
      <c r="AH1090" s="70" t="str">
        <f>IF(AB1090="","",ROUND(N(W1090)*N(J1090)*(1-N(K1090)),2))</f>
        <v/>
      </c>
      <c r="AI1090" s="70" t="str">
        <f>IF(OR(J1090="",N(T1090)&lt;=0,V1090="Oui"),"",ROUND(N(T1090)*J1090*(1-N(K1090)),2))</f>
        <v/>
      </c>
    </row>
    <row r="1091">
      <c r="A1091" s="63" t="n"/>
      <c r="B1091" s="64" t="n"/>
      <c r="C1091" s="65" t="n"/>
      <c r="D1091" s="66" t="str">
        <f>IF(C1091="","",IFERROR(INDEX(sup_name,MATCH($C1091,sup_code,0))&amp;"","Fournisseur inconnu"))</f>
        <v/>
      </c>
      <c r="E1091" s="63" t="n"/>
      <c r="F1091" s="66" t="str">
        <f>IF(E1091="","",IFERROR(INDEX(art_des,MATCH($E1091,art_ref,0))&amp;"","Article inconnu"))</f>
        <v/>
      </c>
      <c r="G1091" s="67" t="str">
        <f>IF(E1091="","",IFERROR(INDEX(art_unit,MATCH($E1091,art_ref,0))&amp;"",""))</f>
        <v/>
      </c>
      <c r="H1091" s="68" t="n"/>
      <c r="I1091" s="69" t="n"/>
      <c r="J1091" s="70" t="str">
        <f>IF(E1091="","",IF(ISNUMBER(I1091),I1091,IFERROR(IF(ISNUMBER(INDEX(art_price,MATCH($E1091,art_ref,0))),INDEX(art_price,MATCH($E1091,art_ref,0)),""),"")))</f>
        <v/>
      </c>
      <c r="K1091" s="71" t="n"/>
      <c r="L1091" s="72" t="n"/>
      <c r="M1091" s="72" t="str">
        <f>IF(E1091="","",IF(L1091&lt;&gt;"",L1091,IFERROR(IF(ISNUMBER(INDEX(art_tva,MATCH($E1091,art_ref,0))),INDEX(art_tva,MATCH($E1091,art_ref,0)),""),"")))</f>
        <v/>
      </c>
      <c r="N1091" s="70" t="str">
        <f>IF(OR(E1091="",J1091=""),"",ROUND(N(H1091)*J1091*(1-N(K1091)),2))</f>
        <v/>
      </c>
      <c r="O1091" s="70" t="str">
        <f>IF(OR(N1091="",NOT(ISNUMBER(M1091))),"",ROUND(N1091*M1091,2))</f>
        <v/>
      </c>
      <c r="P1091" s="70" t="str">
        <f>IF(N1091="","",N1091+N(O1091))</f>
        <v/>
      </c>
      <c r="Q1091" s="64" t="n"/>
      <c r="R1091" s="73" t="str">
        <f>IF(N(Q1091)&gt;0,Q1091,IF(OR(N(B1091)=0,ISNA(MATCH($C1091,sup_code,0))),"",IF(ISNUMBER(INDEX(sup_delay,MATCH($C1091,sup_code,0))),B1091+INDEX(sup_delay,MATCH($C1091,sup_code,0)),"")))</f>
        <v/>
      </c>
      <c r="S1091" s="64" t="n"/>
      <c r="T1091" s="68" t="n"/>
      <c r="U1091" s="64" t="n"/>
      <c r="V1091" s="65" t="n"/>
      <c r="W1091" s="74" t="str">
        <f>IF(AND(A1091="",E1091=""),"",IF(V1091="Oui",0,MAX(0,ROUND(N(H1091)-N(T1091),6))))</f>
        <v/>
      </c>
      <c r="X1091" s="67" t="str">
        <f>IF(AND(A1091="",E1091=""),"",IF(V1091="Oui","Annulé",IF(AND(N(H1091)&gt;0,N(T1091)&gt;=N(H1091)),"Reçu",IF(N(S1091)=0,"Brouillon",IF(AND(ISNUMBER(R1091),R1091&lt;p_today),"En retard",IF(N(T1091)&gt;0,"Partiel","Envoyé"))))))</f>
        <v/>
      </c>
      <c r="Y1091" s="75" t="str">
        <f>IF(X1091="En retard",p_today-R1091,IF(AND(X1091="Reçu",ISNUMBER(R1091)),MAX(0,N(U1091)-R1091),""))</f>
        <v/>
      </c>
      <c r="Z1091" s="67" t="str">
        <f>IF(AND(A1091="",E1091=""),"",IF(A1091="","N° de bon manquant",IF(N(B1091)=0,"Date de commande manquante",IF(C1091="","Fournisseur manquant",IF(ISNA(MATCH($C1091,sup_code,0)),"Fournisseur inconnu",IF(E1091="","Article manquant",IF(ISNA(MATCH($E1091,art_ref,0)),"Article inconnu",IF(N(H1091)&lt;=0,"Quantité invalide",IF(J1091="","Prix manquant",IF(OR(N(K1091)&lt;0,N(K1091)&gt;=1),"Remise invalide",IF(M1091="","TVA manquante",IF(ISNA(MATCH(M1091,p_tva,0)),"Taux de TVA inconnu",IF(COUNTIFS(po_num,A1091,po_sup,"&lt;&gt;"&amp;C1091)&gt;0,"Fournisseur différent sur ce bon",IF(COUNTIFS(po_num,A1091,po_date,"&lt;&gt;"&amp;B1091)&gt;0,"Date différente sur ce bon",IF(COUNTIF(po_num,A1091)&gt;25,"Plus de 25 lignes sur ce bon",IF(R1091="","Date de livraison manquante",IF(R1091&lt;B1091,"Livraison avant la commande",IF(AND(N(T1091)&gt;0,N(S1091)=0),"Date d'envoi manquante",IF(N(T1091)&gt;N(H1091),"Reçu plus que commandé",IF(AND(N(T1091)&gt;0,N(U1091)=0),"Date de réception manquante",IF(AND(N(U1091)&gt;0,U1091&lt;B1091),"Réception avant la commande","OK")))))))))))))))))))))</f>
        <v/>
      </c>
      <c r="AA1091" s="66" t="str">
        <f>IF(AND(X1091="Reçu",ISNUMBER(R1091)),IF(N(U1091)&lt;=R1091,1,0),"")</f>
        <v/>
      </c>
      <c r="AB1091" s="76" t="str">
        <f>IF(OR(X1091="Envoyé",X1091="Partiel",X1091="En retard"),IF(ISNUMBER(R1091),R1091,100000)+ROW()/100000,"")</f>
        <v/>
      </c>
      <c r="AC1091" s="66" t="str">
        <f>IF(A1091="","",IF(COUNTIF($A$6:A1091,A1091)=1,1,""))</f>
        <v/>
      </c>
      <c r="AD1091" s="66" t="str">
        <f>IF(AC1091=1,COUNT($AC$6:AC1091),"")</f>
        <v/>
      </c>
      <c r="AE1091" s="66" t="str">
        <f>IFERROR(INDEX(po_num,MATCH(1086,po_seq,0))&amp;"","")</f>
        <v/>
      </c>
      <c r="AF1091" s="66" t="str">
        <f>IF(OR(A1091="",p_po=""),"",IF(A1091&amp;""=p_po,COUNTIF($A$6:A1091,A1091),""))</f>
        <v/>
      </c>
      <c r="AG1091" s="66" t="str">
        <f>IF(OR(AB1091="",A1091=""),"",IF(COUNTIFS($A$6:A1091,A1091,$AB$6:AB1091,"&gt;0")=1,1,""))</f>
        <v/>
      </c>
      <c r="AH1091" s="70" t="str">
        <f>IF(AB1091="","",ROUND(N(W1091)*N(J1091)*(1-N(K1091)),2))</f>
        <v/>
      </c>
      <c r="AI1091" s="70" t="str">
        <f>IF(OR(J1091="",N(T1091)&lt;=0,V1091="Oui"),"",ROUND(N(T1091)*J1091*(1-N(K1091)),2))</f>
        <v/>
      </c>
    </row>
    <row r="1092">
      <c r="A1092" s="63" t="n"/>
      <c r="B1092" s="64" t="n"/>
      <c r="C1092" s="65" t="n"/>
      <c r="D1092" s="66" t="str">
        <f>IF(C1092="","",IFERROR(INDEX(sup_name,MATCH($C1092,sup_code,0))&amp;"","Fournisseur inconnu"))</f>
        <v/>
      </c>
      <c r="E1092" s="63" t="n"/>
      <c r="F1092" s="66" t="str">
        <f>IF(E1092="","",IFERROR(INDEX(art_des,MATCH($E1092,art_ref,0))&amp;"","Article inconnu"))</f>
        <v/>
      </c>
      <c r="G1092" s="67" t="str">
        <f>IF(E1092="","",IFERROR(INDEX(art_unit,MATCH($E1092,art_ref,0))&amp;"",""))</f>
        <v/>
      </c>
      <c r="H1092" s="68" t="n"/>
      <c r="I1092" s="69" t="n"/>
      <c r="J1092" s="70" t="str">
        <f>IF(E1092="","",IF(ISNUMBER(I1092),I1092,IFERROR(IF(ISNUMBER(INDEX(art_price,MATCH($E1092,art_ref,0))),INDEX(art_price,MATCH($E1092,art_ref,0)),""),"")))</f>
        <v/>
      </c>
      <c r="K1092" s="71" t="n"/>
      <c r="L1092" s="72" t="n"/>
      <c r="M1092" s="72" t="str">
        <f>IF(E1092="","",IF(L1092&lt;&gt;"",L1092,IFERROR(IF(ISNUMBER(INDEX(art_tva,MATCH($E1092,art_ref,0))),INDEX(art_tva,MATCH($E1092,art_ref,0)),""),"")))</f>
        <v/>
      </c>
      <c r="N1092" s="70" t="str">
        <f>IF(OR(E1092="",J1092=""),"",ROUND(N(H1092)*J1092*(1-N(K1092)),2))</f>
        <v/>
      </c>
      <c r="O1092" s="70" t="str">
        <f>IF(OR(N1092="",NOT(ISNUMBER(M1092))),"",ROUND(N1092*M1092,2))</f>
        <v/>
      </c>
      <c r="P1092" s="70" t="str">
        <f>IF(N1092="","",N1092+N(O1092))</f>
        <v/>
      </c>
      <c r="Q1092" s="64" t="n"/>
      <c r="R1092" s="73" t="str">
        <f>IF(N(Q1092)&gt;0,Q1092,IF(OR(N(B1092)=0,ISNA(MATCH($C1092,sup_code,0))),"",IF(ISNUMBER(INDEX(sup_delay,MATCH($C1092,sup_code,0))),B1092+INDEX(sup_delay,MATCH($C1092,sup_code,0)),"")))</f>
        <v/>
      </c>
      <c r="S1092" s="64" t="n"/>
      <c r="T1092" s="68" t="n"/>
      <c r="U1092" s="64" t="n"/>
      <c r="V1092" s="65" t="n"/>
      <c r="W1092" s="74" t="str">
        <f>IF(AND(A1092="",E1092=""),"",IF(V1092="Oui",0,MAX(0,ROUND(N(H1092)-N(T1092),6))))</f>
        <v/>
      </c>
      <c r="X1092" s="67" t="str">
        <f>IF(AND(A1092="",E1092=""),"",IF(V1092="Oui","Annulé",IF(AND(N(H1092)&gt;0,N(T1092)&gt;=N(H1092)),"Reçu",IF(N(S1092)=0,"Brouillon",IF(AND(ISNUMBER(R1092),R1092&lt;p_today),"En retard",IF(N(T1092)&gt;0,"Partiel","Envoyé"))))))</f>
        <v/>
      </c>
      <c r="Y1092" s="75" t="str">
        <f>IF(X1092="En retard",p_today-R1092,IF(AND(X1092="Reçu",ISNUMBER(R1092)),MAX(0,N(U1092)-R1092),""))</f>
        <v/>
      </c>
      <c r="Z1092" s="67" t="str">
        <f>IF(AND(A1092="",E1092=""),"",IF(A1092="","N° de bon manquant",IF(N(B1092)=0,"Date de commande manquante",IF(C1092="","Fournisseur manquant",IF(ISNA(MATCH($C1092,sup_code,0)),"Fournisseur inconnu",IF(E1092="","Article manquant",IF(ISNA(MATCH($E1092,art_ref,0)),"Article inconnu",IF(N(H1092)&lt;=0,"Quantité invalide",IF(J1092="","Prix manquant",IF(OR(N(K1092)&lt;0,N(K1092)&gt;=1),"Remise invalide",IF(M1092="","TVA manquante",IF(ISNA(MATCH(M1092,p_tva,0)),"Taux de TVA inconnu",IF(COUNTIFS(po_num,A1092,po_sup,"&lt;&gt;"&amp;C1092)&gt;0,"Fournisseur différent sur ce bon",IF(COUNTIFS(po_num,A1092,po_date,"&lt;&gt;"&amp;B1092)&gt;0,"Date différente sur ce bon",IF(COUNTIF(po_num,A1092)&gt;25,"Plus de 25 lignes sur ce bon",IF(R1092="","Date de livraison manquante",IF(R1092&lt;B1092,"Livraison avant la commande",IF(AND(N(T1092)&gt;0,N(S1092)=0),"Date d'envoi manquante",IF(N(T1092)&gt;N(H1092),"Reçu plus que commandé",IF(AND(N(T1092)&gt;0,N(U1092)=0),"Date de réception manquante",IF(AND(N(U1092)&gt;0,U1092&lt;B1092),"Réception avant la commande","OK")))))))))))))))))))))</f>
        <v/>
      </c>
      <c r="AA1092" s="66" t="str">
        <f>IF(AND(X1092="Reçu",ISNUMBER(R1092)),IF(N(U1092)&lt;=R1092,1,0),"")</f>
        <v/>
      </c>
      <c r="AB1092" s="76" t="str">
        <f>IF(OR(X1092="Envoyé",X1092="Partiel",X1092="En retard"),IF(ISNUMBER(R1092),R1092,100000)+ROW()/100000,"")</f>
        <v/>
      </c>
      <c r="AC1092" s="66" t="str">
        <f>IF(A1092="","",IF(COUNTIF($A$6:A1092,A1092)=1,1,""))</f>
        <v/>
      </c>
      <c r="AD1092" s="66" t="str">
        <f>IF(AC1092=1,COUNT($AC$6:AC1092),"")</f>
        <v/>
      </c>
      <c r="AE1092" s="66" t="str">
        <f>IFERROR(INDEX(po_num,MATCH(1087,po_seq,0))&amp;"","")</f>
        <v/>
      </c>
      <c r="AF1092" s="66" t="str">
        <f>IF(OR(A1092="",p_po=""),"",IF(A1092&amp;""=p_po,COUNTIF($A$6:A1092,A1092),""))</f>
        <v/>
      </c>
      <c r="AG1092" s="66" t="str">
        <f>IF(OR(AB1092="",A1092=""),"",IF(COUNTIFS($A$6:A1092,A1092,$AB$6:AB1092,"&gt;0")=1,1,""))</f>
        <v/>
      </c>
      <c r="AH1092" s="70" t="str">
        <f>IF(AB1092="","",ROUND(N(W1092)*N(J1092)*(1-N(K1092)),2))</f>
        <v/>
      </c>
      <c r="AI1092" s="70" t="str">
        <f>IF(OR(J1092="",N(T1092)&lt;=0,V1092="Oui"),"",ROUND(N(T1092)*J1092*(1-N(K1092)),2))</f>
        <v/>
      </c>
    </row>
    <row r="1093">
      <c r="A1093" s="63" t="n"/>
      <c r="B1093" s="64" t="n"/>
      <c r="C1093" s="65" t="n"/>
      <c r="D1093" s="66" t="str">
        <f>IF(C1093="","",IFERROR(INDEX(sup_name,MATCH($C1093,sup_code,0))&amp;"","Fournisseur inconnu"))</f>
        <v/>
      </c>
      <c r="E1093" s="63" t="n"/>
      <c r="F1093" s="66" t="str">
        <f>IF(E1093="","",IFERROR(INDEX(art_des,MATCH($E1093,art_ref,0))&amp;"","Article inconnu"))</f>
        <v/>
      </c>
      <c r="G1093" s="67" t="str">
        <f>IF(E1093="","",IFERROR(INDEX(art_unit,MATCH($E1093,art_ref,0))&amp;"",""))</f>
        <v/>
      </c>
      <c r="H1093" s="68" t="n"/>
      <c r="I1093" s="69" t="n"/>
      <c r="J1093" s="70" t="str">
        <f>IF(E1093="","",IF(ISNUMBER(I1093),I1093,IFERROR(IF(ISNUMBER(INDEX(art_price,MATCH($E1093,art_ref,0))),INDEX(art_price,MATCH($E1093,art_ref,0)),""),"")))</f>
        <v/>
      </c>
      <c r="K1093" s="71" t="n"/>
      <c r="L1093" s="72" t="n"/>
      <c r="M1093" s="72" t="str">
        <f>IF(E1093="","",IF(L1093&lt;&gt;"",L1093,IFERROR(IF(ISNUMBER(INDEX(art_tva,MATCH($E1093,art_ref,0))),INDEX(art_tva,MATCH($E1093,art_ref,0)),""),"")))</f>
        <v/>
      </c>
      <c r="N1093" s="70" t="str">
        <f>IF(OR(E1093="",J1093=""),"",ROUND(N(H1093)*J1093*(1-N(K1093)),2))</f>
        <v/>
      </c>
      <c r="O1093" s="70" t="str">
        <f>IF(OR(N1093="",NOT(ISNUMBER(M1093))),"",ROUND(N1093*M1093,2))</f>
        <v/>
      </c>
      <c r="P1093" s="70" t="str">
        <f>IF(N1093="","",N1093+N(O1093))</f>
        <v/>
      </c>
      <c r="Q1093" s="64" t="n"/>
      <c r="R1093" s="73" t="str">
        <f>IF(N(Q1093)&gt;0,Q1093,IF(OR(N(B1093)=0,ISNA(MATCH($C1093,sup_code,0))),"",IF(ISNUMBER(INDEX(sup_delay,MATCH($C1093,sup_code,0))),B1093+INDEX(sup_delay,MATCH($C1093,sup_code,0)),"")))</f>
        <v/>
      </c>
      <c r="S1093" s="64" t="n"/>
      <c r="T1093" s="68" t="n"/>
      <c r="U1093" s="64" t="n"/>
      <c r="V1093" s="65" t="n"/>
      <c r="W1093" s="74" t="str">
        <f>IF(AND(A1093="",E1093=""),"",IF(V1093="Oui",0,MAX(0,ROUND(N(H1093)-N(T1093),6))))</f>
        <v/>
      </c>
      <c r="X1093" s="67" t="str">
        <f>IF(AND(A1093="",E1093=""),"",IF(V1093="Oui","Annulé",IF(AND(N(H1093)&gt;0,N(T1093)&gt;=N(H1093)),"Reçu",IF(N(S1093)=0,"Brouillon",IF(AND(ISNUMBER(R1093),R1093&lt;p_today),"En retard",IF(N(T1093)&gt;0,"Partiel","Envoyé"))))))</f>
        <v/>
      </c>
      <c r="Y1093" s="75" t="str">
        <f>IF(X1093="En retard",p_today-R1093,IF(AND(X1093="Reçu",ISNUMBER(R1093)),MAX(0,N(U1093)-R1093),""))</f>
        <v/>
      </c>
      <c r="Z1093" s="67" t="str">
        <f>IF(AND(A1093="",E1093=""),"",IF(A1093="","N° de bon manquant",IF(N(B1093)=0,"Date de commande manquante",IF(C1093="","Fournisseur manquant",IF(ISNA(MATCH($C1093,sup_code,0)),"Fournisseur inconnu",IF(E1093="","Article manquant",IF(ISNA(MATCH($E1093,art_ref,0)),"Article inconnu",IF(N(H1093)&lt;=0,"Quantité invalide",IF(J1093="","Prix manquant",IF(OR(N(K1093)&lt;0,N(K1093)&gt;=1),"Remise invalide",IF(M1093="","TVA manquante",IF(ISNA(MATCH(M1093,p_tva,0)),"Taux de TVA inconnu",IF(COUNTIFS(po_num,A1093,po_sup,"&lt;&gt;"&amp;C1093)&gt;0,"Fournisseur différent sur ce bon",IF(COUNTIFS(po_num,A1093,po_date,"&lt;&gt;"&amp;B1093)&gt;0,"Date différente sur ce bon",IF(COUNTIF(po_num,A1093)&gt;25,"Plus de 25 lignes sur ce bon",IF(R1093="","Date de livraison manquante",IF(R1093&lt;B1093,"Livraison avant la commande",IF(AND(N(T1093)&gt;0,N(S1093)=0),"Date d'envoi manquante",IF(N(T1093)&gt;N(H1093),"Reçu plus que commandé",IF(AND(N(T1093)&gt;0,N(U1093)=0),"Date de réception manquante",IF(AND(N(U1093)&gt;0,U1093&lt;B1093),"Réception avant la commande","OK")))))))))))))))))))))</f>
        <v/>
      </c>
      <c r="AA1093" s="66" t="str">
        <f>IF(AND(X1093="Reçu",ISNUMBER(R1093)),IF(N(U1093)&lt;=R1093,1,0),"")</f>
        <v/>
      </c>
      <c r="AB1093" s="76" t="str">
        <f>IF(OR(X1093="Envoyé",X1093="Partiel",X1093="En retard"),IF(ISNUMBER(R1093),R1093,100000)+ROW()/100000,"")</f>
        <v/>
      </c>
      <c r="AC1093" s="66" t="str">
        <f>IF(A1093="","",IF(COUNTIF($A$6:A1093,A1093)=1,1,""))</f>
        <v/>
      </c>
      <c r="AD1093" s="66" t="str">
        <f>IF(AC1093=1,COUNT($AC$6:AC1093),"")</f>
        <v/>
      </c>
      <c r="AE1093" s="66" t="str">
        <f>IFERROR(INDEX(po_num,MATCH(1088,po_seq,0))&amp;"","")</f>
        <v/>
      </c>
      <c r="AF1093" s="66" t="str">
        <f>IF(OR(A1093="",p_po=""),"",IF(A1093&amp;""=p_po,COUNTIF($A$6:A1093,A1093),""))</f>
        <v/>
      </c>
      <c r="AG1093" s="66" t="str">
        <f>IF(OR(AB1093="",A1093=""),"",IF(COUNTIFS($A$6:A1093,A1093,$AB$6:AB1093,"&gt;0")=1,1,""))</f>
        <v/>
      </c>
      <c r="AH1093" s="70" t="str">
        <f>IF(AB1093="","",ROUND(N(W1093)*N(J1093)*(1-N(K1093)),2))</f>
        <v/>
      </c>
      <c r="AI1093" s="70" t="str">
        <f>IF(OR(J1093="",N(T1093)&lt;=0,V1093="Oui"),"",ROUND(N(T1093)*J1093*(1-N(K1093)),2))</f>
        <v/>
      </c>
    </row>
    <row r="1094">
      <c r="A1094" s="63" t="n"/>
      <c r="B1094" s="64" t="n"/>
      <c r="C1094" s="65" t="n"/>
      <c r="D1094" s="66" t="str">
        <f>IF(C1094="","",IFERROR(INDEX(sup_name,MATCH($C1094,sup_code,0))&amp;"","Fournisseur inconnu"))</f>
        <v/>
      </c>
      <c r="E1094" s="63" t="n"/>
      <c r="F1094" s="66" t="str">
        <f>IF(E1094="","",IFERROR(INDEX(art_des,MATCH($E1094,art_ref,0))&amp;"","Article inconnu"))</f>
        <v/>
      </c>
      <c r="G1094" s="67" t="str">
        <f>IF(E1094="","",IFERROR(INDEX(art_unit,MATCH($E1094,art_ref,0))&amp;"",""))</f>
        <v/>
      </c>
      <c r="H1094" s="68" t="n"/>
      <c r="I1094" s="69" t="n"/>
      <c r="J1094" s="70" t="str">
        <f>IF(E1094="","",IF(ISNUMBER(I1094),I1094,IFERROR(IF(ISNUMBER(INDEX(art_price,MATCH($E1094,art_ref,0))),INDEX(art_price,MATCH($E1094,art_ref,0)),""),"")))</f>
        <v/>
      </c>
      <c r="K1094" s="71" t="n"/>
      <c r="L1094" s="72" t="n"/>
      <c r="M1094" s="72" t="str">
        <f>IF(E1094="","",IF(L1094&lt;&gt;"",L1094,IFERROR(IF(ISNUMBER(INDEX(art_tva,MATCH($E1094,art_ref,0))),INDEX(art_tva,MATCH($E1094,art_ref,0)),""),"")))</f>
        <v/>
      </c>
      <c r="N1094" s="70" t="str">
        <f>IF(OR(E1094="",J1094=""),"",ROUND(N(H1094)*J1094*(1-N(K1094)),2))</f>
        <v/>
      </c>
      <c r="O1094" s="70" t="str">
        <f>IF(OR(N1094="",NOT(ISNUMBER(M1094))),"",ROUND(N1094*M1094,2))</f>
        <v/>
      </c>
      <c r="P1094" s="70" t="str">
        <f>IF(N1094="","",N1094+N(O1094))</f>
        <v/>
      </c>
      <c r="Q1094" s="64" t="n"/>
      <c r="R1094" s="73" t="str">
        <f>IF(N(Q1094)&gt;0,Q1094,IF(OR(N(B1094)=0,ISNA(MATCH($C1094,sup_code,0))),"",IF(ISNUMBER(INDEX(sup_delay,MATCH($C1094,sup_code,0))),B1094+INDEX(sup_delay,MATCH($C1094,sup_code,0)),"")))</f>
        <v/>
      </c>
      <c r="S1094" s="64" t="n"/>
      <c r="T1094" s="68" t="n"/>
      <c r="U1094" s="64" t="n"/>
      <c r="V1094" s="65" t="n"/>
      <c r="W1094" s="74" t="str">
        <f>IF(AND(A1094="",E1094=""),"",IF(V1094="Oui",0,MAX(0,ROUND(N(H1094)-N(T1094),6))))</f>
        <v/>
      </c>
      <c r="X1094" s="67" t="str">
        <f>IF(AND(A1094="",E1094=""),"",IF(V1094="Oui","Annulé",IF(AND(N(H1094)&gt;0,N(T1094)&gt;=N(H1094)),"Reçu",IF(N(S1094)=0,"Brouillon",IF(AND(ISNUMBER(R1094),R1094&lt;p_today),"En retard",IF(N(T1094)&gt;0,"Partiel","Envoyé"))))))</f>
        <v/>
      </c>
      <c r="Y1094" s="75" t="str">
        <f>IF(X1094="En retard",p_today-R1094,IF(AND(X1094="Reçu",ISNUMBER(R1094)),MAX(0,N(U1094)-R1094),""))</f>
        <v/>
      </c>
      <c r="Z1094" s="67" t="str">
        <f>IF(AND(A1094="",E1094=""),"",IF(A1094="","N° de bon manquant",IF(N(B1094)=0,"Date de commande manquante",IF(C1094="","Fournisseur manquant",IF(ISNA(MATCH($C1094,sup_code,0)),"Fournisseur inconnu",IF(E1094="","Article manquant",IF(ISNA(MATCH($E1094,art_ref,0)),"Article inconnu",IF(N(H1094)&lt;=0,"Quantité invalide",IF(J1094="","Prix manquant",IF(OR(N(K1094)&lt;0,N(K1094)&gt;=1),"Remise invalide",IF(M1094="","TVA manquante",IF(ISNA(MATCH(M1094,p_tva,0)),"Taux de TVA inconnu",IF(COUNTIFS(po_num,A1094,po_sup,"&lt;&gt;"&amp;C1094)&gt;0,"Fournisseur différent sur ce bon",IF(COUNTIFS(po_num,A1094,po_date,"&lt;&gt;"&amp;B1094)&gt;0,"Date différente sur ce bon",IF(COUNTIF(po_num,A1094)&gt;25,"Plus de 25 lignes sur ce bon",IF(R1094="","Date de livraison manquante",IF(R1094&lt;B1094,"Livraison avant la commande",IF(AND(N(T1094)&gt;0,N(S1094)=0),"Date d'envoi manquante",IF(N(T1094)&gt;N(H1094),"Reçu plus que commandé",IF(AND(N(T1094)&gt;0,N(U1094)=0),"Date de réception manquante",IF(AND(N(U1094)&gt;0,U1094&lt;B1094),"Réception avant la commande","OK")))))))))))))))))))))</f>
        <v/>
      </c>
      <c r="AA1094" s="66" t="str">
        <f>IF(AND(X1094="Reçu",ISNUMBER(R1094)),IF(N(U1094)&lt;=R1094,1,0),"")</f>
        <v/>
      </c>
      <c r="AB1094" s="76" t="str">
        <f>IF(OR(X1094="Envoyé",X1094="Partiel",X1094="En retard"),IF(ISNUMBER(R1094),R1094,100000)+ROW()/100000,"")</f>
        <v/>
      </c>
      <c r="AC1094" s="66" t="str">
        <f>IF(A1094="","",IF(COUNTIF($A$6:A1094,A1094)=1,1,""))</f>
        <v/>
      </c>
      <c r="AD1094" s="66" t="str">
        <f>IF(AC1094=1,COUNT($AC$6:AC1094),"")</f>
        <v/>
      </c>
      <c r="AE1094" s="66" t="str">
        <f>IFERROR(INDEX(po_num,MATCH(1089,po_seq,0))&amp;"","")</f>
        <v/>
      </c>
      <c r="AF1094" s="66" t="str">
        <f>IF(OR(A1094="",p_po=""),"",IF(A1094&amp;""=p_po,COUNTIF($A$6:A1094,A1094),""))</f>
        <v/>
      </c>
      <c r="AG1094" s="66" t="str">
        <f>IF(OR(AB1094="",A1094=""),"",IF(COUNTIFS($A$6:A1094,A1094,$AB$6:AB1094,"&gt;0")=1,1,""))</f>
        <v/>
      </c>
      <c r="AH1094" s="70" t="str">
        <f>IF(AB1094="","",ROUND(N(W1094)*N(J1094)*(1-N(K1094)),2))</f>
        <v/>
      </c>
      <c r="AI1094" s="70" t="str">
        <f>IF(OR(J1094="",N(T1094)&lt;=0,V1094="Oui"),"",ROUND(N(T1094)*J1094*(1-N(K1094)),2))</f>
        <v/>
      </c>
    </row>
    <row r="1095">
      <c r="A1095" s="63" t="n"/>
      <c r="B1095" s="64" t="n"/>
      <c r="C1095" s="65" t="n"/>
      <c r="D1095" s="66" t="str">
        <f>IF(C1095="","",IFERROR(INDEX(sup_name,MATCH($C1095,sup_code,0))&amp;"","Fournisseur inconnu"))</f>
        <v/>
      </c>
      <c r="E1095" s="63" t="n"/>
      <c r="F1095" s="66" t="str">
        <f>IF(E1095="","",IFERROR(INDEX(art_des,MATCH($E1095,art_ref,0))&amp;"","Article inconnu"))</f>
        <v/>
      </c>
      <c r="G1095" s="67" t="str">
        <f>IF(E1095="","",IFERROR(INDEX(art_unit,MATCH($E1095,art_ref,0))&amp;"",""))</f>
        <v/>
      </c>
      <c r="H1095" s="68" t="n"/>
      <c r="I1095" s="69" t="n"/>
      <c r="J1095" s="70" t="str">
        <f>IF(E1095="","",IF(ISNUMBER(I1095),I1095,IFERROR(IF(ISNUMBER(INDEX(art_price,MATCH($E1095,art_ref,0))),INDEX(art_price,MATCH($E1095,art_ref,0)),""),"")))</f>
        <v/>
      </c>
      <c r="K1095" s="71" t="n"/>
      <c r="L1095" s="72" t="n"/>
      <c r="M1095" s="72" t="str">
        <f>IF(E1095="","",IF(L1095&lt;&gt;"",L1095,IFERROR(IF(ISNUMBER(INDEX(art_tva,MATCH($E1095,art_ref,0))),INDEX(art_tva,MATCH($E1095,art_ref,0)),""),"")))</f>
        <v/>
      </c>
      <c r="N1095" s="70" t="str">
        <f>IF(OR(E1095="",J1095=""),"",ROUND(N(H1095)*J1095*(1-N(K1095)),2))</f>
        <v/>
      </c>
      <c r="O1095" s="70" t="str">
        <f>IF(OR(N1095="",NOT(ISNUMBER(M1095))),"",ROUND(N1095*M1095,2))</f>
        <v/>
      </c>
      <c r="P1095" s="70" t="str">
        <f>IF(N1095="","",N1095+N(O1095))</f>
        <v/>
      </c>
      <c r="Q1095" s="64" t="n"/>
      <c r="R1095" s="73" t="str">
        <f>IF(N(Q1095)&gt;0,Q1095,IF(OR(N(B1095)=0,ISNA(MATCH($C1095,sup_code,0))),"",IF(ISNUMBER(INDEX(sup_delay,MATCH($C1095,sup_code,0))),B1095+INDEX(sup_delay,MATCH($C1095,sup_code,0)),"")))</f>
        <v/>
      </c>
      <c r="S1095" s="64" t="n"/>
      <c r="T1095" s="68" t="n"/>
      <c r="U1095" s="64" t="n"/>
      <c r="V1095" s="65" t="n"/>
      <c r="W1095" s="74" t="str">
        <f>IF(AND(A1095="",E1095=""),"",IF(V1095="Oui",0,MAX(0,ROUND(N(H1095)-N(T1095),6))))</f>
        <v/>
      </c>
      <c r="X1095" s="67" t="str">
        <f>IF(AND(A1095="",E1095=""),"",IF(V1095="Oui","Annulé",IF(AND(N(H1095)&gt;0,N(T1095)&gt;=N(H1095)),"Reçu",IF(N(S1095)=0,"Brouillon",IF(AND(ISNUMBER(R1095),R1095&lt;p_today),"En retard",IF(N(T1095)&gt;0,"Partiel","Envoyé"))))))</f>
        <v/>
      </c>
      <c r="Y1095" s="75" t="str">
        <f>IF(X1095="En retard",p_today-R1095,IF(AND(X1095="Reçu",ISNUMBER(R1095)),MAX(0,N(U1095)-R1095),""))</f>
        <v/>
      </c>
      <c r="Z1095" s="67" t="str">
        <f>IF(AND(A1095="",E1095=""),"",IF(A1095="","N° de bon manquant",IF(N(B1095)=0,"Date de commande manquante",IF(C1095="","Fournisseur manquant",IF(ISNA(MATCH($C1095,sup_code,0)),"Fournisseur inconnu",IF(E1095="","Article manquant",IF(ISNA(MATCH($E1095,art_ref,0)),"Article inconnu",IF(N(H1095)&lt;=0,"Quantité invalide",IF(J1095="","Prix manquant",IF(OR(N(K1095)&lt;0,N(K1095)&gt;=1),"Remise invalide",IF(M1095="","TVA manquante",IF(ISNA(MATCH(M1095,p_tva,0)),"Taux de TVA inconnu",IF(COUNTIFS(po_num,A1095,po_sup,"&lt;&gt;"&amp;C1095)&gt;0,"Fournisseur différent sur ce bon",IF(COUNTIFS(po_num,A1095,po_date,"&lt;&gt;"&amp;B1095)&gt;0,"Date différente sur ce bon",IF(COUNTIF(po_num,A1095)&gt;25,"Plus de 25 lignes sur ce bon",IF(R1095="","Date de livraison manquante",IF(R1095&lt;B1095,"Livraison avant la commande",IF(AND(N(T1095)&gt;0,N(S1095)=0),"Date d'envoi manquante",IF(N(T1095)&gt;N(H1095),"Reçu plus que commandé",IF(AND(N(T1095)&gt;0,N(U1095)=0),"Date de réception manquante",IF(AND(N(U1095)&gt;0,U1095&lt;B1095),"Réception avant la commande","OK")))))))))))))))))))))</f>
        <v/>
      </c>
      <c r="AA1095" s="66" t="str">
        <f>IF(AND(X1095="Reçu",ISNUMBER(R1095)),IF(N(U1095)&lt;=R1095,1,0),"")</f>
        <v/>
      </c>
      <c r="AB1095" s="76" t="str">
        <f>IF(OR(X1095="Envoyé",X1095="Partiel",X1095="En retard"),IF(ISNUMBER(R1095),R1095,100000)+ROW()/100000,"")</f>
        <v/>
      </c>
      <c r="AC1095" s="66" t="str">
        <f>IF(A1095="","",IF(COUNTIF($A$6:A1095,A1095)=1,1,""))</f>
        <v/>
      </c>
      <c r="AD1095" s="66" t="str">
        <f>IF(AC1095=1,COUNT($AC$6:AC1095),"")</f>
        <v/>
      </c>
      <c r="AE1095" s="66" t="str">
        <f>IFERROR(INDEX(po_num,MATCH(1090,po_seq,0))&amp;"","")</f>
        <v/>
      </c>
      <c r="AF1095" s="66" t="str">
        <f>IF(OR(A1095="",p_po=""),"",IF(A1095&amp;""=p_po,COUNTIF($A$6:A1095,A1095),""))</f>
        <v/>
      </c>
      <c r="AG1095" s="66" t="str">
        <f>IF(OR(AB1095="",A1095=""),"",IF(COUNTIFS($A$6:A1095,A1095,$AB$6:AB1095,"&gt;0")=1,1,""))</f>
        <v/>
      </c>
      <c r="AH1095" s="70" t="str">
        <f>IF(AB1095="","",ROUND(N(W1095)*N(J1095)*(1-N(K1095)),2))</f>
        <v/>
      </c>
      <c r="AI1095" s="70" t="str">
        <f>IF(OR(J1095="",N(T1095)&lt;=0,V1095="Oui"),"",ROUND(N(T1095)*J1095*(1-N(K1095)),2))</f>
        <v/>
      </c>
    </row>
    <row r="1096">
      <c r="A1096" s="63" t="n"/>
      <c r="B1096" s="64" t="n"/>
      <c r="C1096" s="65" t="n"/>
      <c r="D1096" s="66" t="str">
        <f>IF(C1096="","",IFERROR(INDEX(sup_name,MATCH($C1096,sup_code,0))&amp;"","Fournisseur inconnu"))</f>
        <v/>
      </c>
      <c r="E1096" s="63" t="n"/>
      <c r="F1096" s="66" t="str">
        <f>IF(E1096="","",IFERROR(INDEX(art_des,MATCH($E1096,art_ref,0))&amp;"","Article inconnu"))</f>
        <v/>
      </c>
      <c r="G1096" s="67" t="str">
        <f>IF(E1096="","",IFERROR(INDEX(art_unit,MATCH($E1096,art_ref,0))&amp;"",""))</f>
        <v/>
      </c>
      <c r="H1096" s="68" t="n"/>
      <c r="I1096" s="69" t="n"/>
      <c r="J1096" s="70" t="str">
        <f>IF(E1096="","",IF(ISNUMBER(I1096),I1096,IFERROR(IF(ISNUMBER(INDEX(art_price,MATCH($E1096,art_ref,0))),INDEX(art_price,MATCH($E1096,art_ref,0)),""),"")))</f>
        <v/>
      </c>
      <c r="K1096" s="71" t="n"/>
      <c r="L1096" s="72" t="n"/>
      <c r="M1096" s="72" t="str">
        <f>IF(E1096="","",IF(L1096&lt;&gt;"",L1096,IFERROR(IF(ISNUMBER(INDEX(art_tva,MATCH($E1096,art_ref,0))),INDEX(art_tva,MATCH($E1096,art_ref,0)),""),"")))</f>
        <v/>
      </c>
      <c r="N1096" s="70" t="str">
        <f>IF(OR(E1096="",J1096=""),"",ROUND(N(H1096)*J1096*(1-N(K1096)),2))</f>
        <v/>
      </c>
      <c r="O1096" s="70" t="str">
        <f>IF(OR(N1096="",NOT(ISNUMBER(M1096))),"",ROUND(N1096*M1096,2))</f>
        <v/>
      </c>
      <c r="P1096" s="70" t="str">
        <f>IF(N1096="","",N1096+N(O1096))</f>
        <v/>
      </c>
      <c r="Q1096" s="64" t="n"/>
      <c r="R1096" s="73" t="str">
        <f>IF(N(Q1096)&gt;0,Q1096,IF(OR(N(B1096)=0,ISNA(MATCH($C1096,sup_code,0))),"",IF(ISNUMBER(INDEX(sup_delay,MATCH($C1096,sup_code,0))),B1096+INDEX(sup_delay,MATCH($C1096,sup_code,0)),"")))</f>
        <v/>
      </c>
      <c r="S1096" s="64" t="n"/>
      <c r="T1096" s="68" t="n"/>
      <c r="U1096" s="64" t="n"/>
      <c r="V1096" s="65" t="n"/>
      <c r="W1096" s="74" t="str">
        <f>IF(AND(A1096="",E1096=""),"",IF(V1096="Oui",0,MAX(0,ROUND(N(H1096)-N(T1096),6))))</f>
        <v/>
      </c>
      <c r="X1096" s="67" t="str">
        <f>IF(AND(A1096="",E1096=""),"",IF(V1096="Oui","Annulé",IF(AND(N(H1096)&gt;0,N(T1096)&gt;=N(H1096)),"Reçu",IF(N(S1096)=0,"Brouillon",IF(AND(ISNUMBER(R1096),R1096&lt;p_today),"En retard",IF(N(T1096)&gt;0,"Partiel","Envoyé"))))))</f>
        <v/>
      </c>
      <c r="Y1096" s="75" t="str">
        <f>IF(X1096="En retard",p_today-R1096,IF(AND(X1096="Reçu",ISNUMBER(R1096)),MAX(0,N(U1096)-R1096),""))</f>
        <v/>
      </c>
      <c r="Z1096" s="67" t="str">
        <f>IF(AND(A1096="",E1096=""),"",IF(A1096="","N° de bon manquant",IF(N(B1096)=0,"Date de commande manquante",IF(C1096="","Fournisseur manquant",IF(ISNA(MATCH($C1096,sup_code,0)),"Fournisseur inconnu",IF(E1096="","Article manquant",IF(ISNA(MATCH($E1096,art_ref,0)),"Article inconnu",IF(N(H1096)&lt;=0,"Quantité invalide",IF(J1096="","Prix manquant",IF(OR(N(K1096)&lt;0,N(K1096)&gt;=1),"Remise invalide",IF(M1096="","TVA manquante",IF(ISNA(MATCH(M1096,p_tva,0)),"Taux de TVA inconnu",IF(COUNTIFS(po_num,A1096,po_sup,"&lt;&gt;"&amp;C1096)&gt;0,"Fournisseur différent sur ce bon",IF(COUNTIFS(po_num,A1096,po_date,"&lt;&gt;"&amp;B1096)&gt;0,"Date différente sur ce bon",IF(COUNTIF(po_num,A1096)&gt;25,"Plus de 25 lignes sur ce bon",IF(R1096="","Date de livraison manquante",IF(R1096&lt;B1096,"Livraison avant la commande",IF(AND(N(T1096)&gt;0,N(S1096)=0),"Date d'envoi manquante",IF(N(T1096)&gt;N(H1096),"Reçu plus que commandé",IF(AND(N(T1096)&gt;0,N(U1096)=0),"Date de réception manquante",IF(AND(N(U1096)&gt;0,U1096&lt;B1096),"Réception avant la commande","OK")))))))))))))))))))))</f>
        <v/>
      </c>
      <c r="AA1096" s="66" t="str">
        <f>IF(AND(X1096="Reçu",ISNUMBER(R1096)),IF(N(U1096)&lt;=R1096,1,0),"")</f>
        <v/>
      </c>
      <c r="AB1096" s="76" t="str">
        <f>IF(OR(X1096="Envoyé",X1096="Partiel",X1096="En retard"),IF(ISNUMBER(R1096),R1096,100000)+ROW()/100000,"")</f>
        <v/>
      </c>
      <c r="AC1096" s="66" t="str">
        <f>IF(A1096="","",IF(COUNTIF($A$6:A1096,A1096)=1,1,""))</f>
        <v/>
      </c>
      <c r="AD1096" s="66" t="str">
        <f>IF(AC1096=1,COUNT($AC$6:AC1096),"")</f>
        <v/>
      </c>
      <c r="AE1096" s="66" t="str">
        <f>IFERROR(INDEX(po_num,MATCH(1091,po_seq,0))&amp;"","")</f>
        <v/>
      </c>
      <c r="AF1096" s="66" t="str">
        <f>IF(OR(A1096="",p_po=""),"",IF(A1096&amp;""=p_po,COUNTIF($A$6:A1096,A1096),""))</f>
        <v/>
      </c>
      <c r="AG1096" s="66" t="str">
        <f>IF(OR(AB1096="",A1096=""),"",IF(COUNTIFS($A$6:A1096,A1096,$AB$6:AB1096,"&gt;0")=1,1,""))</f>
        <v/>
      </c>
      <c r="AH1096" s="70" t="str">
        <f>IF(AB1096="","",ROUND(N(W1096)*N(J1096)*(1-N(K1096)),2))</f>
        <v/>
      </c>
      <c r="AI1096" s="70" t="str">
        <f>IF(OR(J1096="",N(T1096)&lt;=0,V1096="Oui"),"",ROUND(N(T1096)*J1096*(1-N(K1096)),2))</f>
        <v/>
      </c>
    </row>
    <row r="1097">
      <c r="A1097" s="63" t="n"/>
      <c r="B1097" s="64" t="n"/>
      <c r="C1097" s="65" t="n"/>
      <c r="D1097" s="66" t="str">
        <f>IF(C1097="","",IFERROR(INDEX(sup_name,MATCH($C1097,sup_code,0))&amp;"","Fournisseur inconnu"))</f>
        <v/>
      </c>
      <c r="E1097" s="63" t="n"/>
      <c r="F1097" s="66" t="str">
        <f>IF(E1097="","",IFERROR(INDEX(art_des,MATCH($E1097,art_ref,0))&amp;"","Article inconnu"))</f>
        <v/>
      </c>
      <c r="G1097" s="67" t="str">
        <f>IF(E1097="","",IFERROR(INDEX(art_unit,MATCH($E1097,art_ref,0))&amp;"",""))</f>
        <v/>
      </c>
      <c r="H1097" s="68" t="n"/>
      <c r="I1097" s="69" t="n"/>
      <c r="J1097" s="70" t="str">
        <f>IF(E1097="","",IF(ISNUMBER(I1097),I1097,IFERROR(IF(ISNUMBER(INDEX(art_price,MATCH($E1097,art_ref,0))),INDEX(art_price,MATCH($E1097,art_ref,0)),""),"")))</f>
        <v/>
      </c>
      <c r="K1097" s="71" t="n"/>
      <c r="L1097" s="72" t="n"/>
      <c r="M1097" s="72" t="str">
        <f>IF(E1097="","",IF(L1097&lt;&gt;"",L1097,IFERROR(IF(ISNUMBER(INDEX(art_tva,MATCH($E1097,art_ref,0))),INDEX(art_tva,MATCH($E1097,art_ref,0)),""),"")))</f>
        <v/>
      </c>
      <c r="N1097" s="70" t="str">
        <f>IF(OR(E1097="",J1097=""),"",ROUND(N(H1097)*J1097*(1-N(K1097)),2))</f>
        <v/>
      </c>
      <c r="O1097" s="70" t="str">
        <f>IF(OR(N1097="",NOT(ISNUMBER(M1097))),"",ROUND(N1097*M1097,2))</f>
        <v/>
      </c>
      <c r="P1097" s="70" t="str">
        <f>IF(N1097="","",N1097+N(O1097))</f>
        <v/>
      </c>
      <c r="Q1097" s="64" t="n"/>
      <c r="R1097" s="73" t="str">
        <f>IF(N(Q1097)&gt;0,Q1097,IF(OR(N(B1097)=0,ISNA(MATCH($C1097,sup_code,0))),"",IF(ISNUMBER(INDEX(sup_delay,MATCH($C1097,sup_code,0))),B1097+INDEX(sup_delay,MATCH($C1097,sup_code,0)),"")))</f>
        <v/>
      </c>
      <c r="S1097" s="64" t="n"/>
      <c r="T1097" s="68" t="n"/>
      <c r="U1097" s="64" t="n"/>
      <c r="V1097" s="65" t="n"/>
      <c r="W1097" s="74" t="str">
        <f>IF(AND(A1097="",E1097=""),"",IF(V1097="Oui",0,MAX(0,ROUND(N(H1097)-N(T1097),6))))</f>
        <v/>
      </c>
      <c r="X1097" s="67" t="str">
        <f>IF(AND(A1097="",E1097=""),"",IF(V1097="Oui","Annulé",IF(AND(N(H1097)&gt;0,N(T1097)&gt;=N(H1097)),"Reçu",IF(N(S1097)=0,"Brouillon",IF(AND(ISNUMBER(R1097),R1097&lt;p_today),"En retard",IF(N(T1097)&gt;0,"Partiel","Envoyé"))))))</f>
        <v/>
      </c>
      <c r="Y1097" s="75" t="str">
        <f>IF(X1097="En retard",p_today-R1097,IF(AND(X1097="Reçu",ISNUMBER(R1097)),MAX(0,N(U1097)-R1097),""))</f>
        <v/>
      </c>
      <c r="Z1097" s="67" t="str">
        <f>IF(AND(A1097="",E1097=""),"",IF(A1097="","N° de bon manquant",IF(N(B1097)=0,"Date de commande manquante",IF(C1097="","Fournisseur manquant",IF(ISNA(MATCH($C1097,sup_code,0)),"Fournisseur inconnu",IF(E1097="","Article manquant",IF(ISNA(MATCH($E1097,art_ref,0)),"Article inconnu",IF(N(H1097)&lt;=0,"Quantité invalide",IF(J1097="","Prix manquant",IF(OR(N(K1097)&lt;0,N(K1097)&gt;=1),"Remise invalide",IF(M1097="","TVA manquante",IF(ISNA(MATCH(M1097,p_tva,0)),"Taux de TVA inconnu",IF(COUNTIFS(po_num,A1097,po_sup,"&lt;&gt;"&amp;C1097)&gt;0,"Fournisseur différent sur ce bon",IF(COUNTIFS(po_num,A1097,po_date,"&lt;&gt;"&amp;B1097)&gt;0,"Date différente sur ce bon",IF(COUNTIF(po_num,A1097)&gt;25,"Plus de 25 lignes sur ce bon",IF(R1097="","Date de livraison manquante",IF(R1097&lt;B1097,"Livraison avant la commande",IF(AND(N(T1097)&gt;0,N(S1097)=0),"Date d'envoi manquante",IF(N(T1097)&gt;N(H1097),"Reçu plus que commandé",IF(AND(N(T1097)&gt;0,N(U1097)=0),"Date de réception manquante",IF(AND(N(U1097)&gt;0,U1097&lt;B1097),"Réception avant la commande","OK")))))))))))))))))))))</f>
        <v/>
      </c>
      <c r="AA1097" s="66" t="str">
        <f>IF(AND(X1097="Reçu",ISNUMBER(R1097)),IF(N(U1097)&lt;=R1097,1,0),"")</f>
        <v/>
      </c>
      <c r="AB1097" s="76" t="str">
        <f>IF(OR(X1097="Envoyé",X1097="Partiel",X1097="En retard"),IF(ISNUMBER(R1097),R1097,100000)+ROW()/100000,"")</f>
        <v/>
      </c>
      <c r="AC1097" s="66" t="str">
        <f>IF(A1097="","",IF(COUNTIF($A$6:A1097,A1097)=1,1,""))</f>
        <v/>
      </c>
      <c r="AD1097" s="66" t="str">
        <f>IF(AC1097=1,COUNT($AC$6:AC1097),"")</f>
        <v/>
      </c>
      <c r="AE1097" s="66" t="str">
        <f>IFERROR(INDEX(po_num,MATCH(1092,po_seq,0))&amp;"","")</f>
        <v/>
      </c>
      <c r="AF1097" s="66" t="str">
        <f>IF(OR(A1097="",p_po=""),"",IF(A1097&amp;""=p_po,COUNTIF($A$6:A1097,A1097),""))</f>
        <v/>
      </c>
      <c r="AG1097" s="66" t="str">
        <f>IF(OR(AB1097="",A1097=""),"",IF(COUNTIFS($A$6:A1097,A1097,$AB$6:AB1097,"&gt;0")=1,1,""))</f>
        <v/>
      </c>
      <c r="AH1097" s="70" t="str">
        <f>IF(AB1097="","",ROUND(N(W1097)*N(J1097)*(1-N(K1097)),2))</f>
        <v/>
      </c>
      <c r="AI1097" s="70" t="str">
        <f>IF(OR(J1097="",N(T1097)&lt;=0,V1097="Oui"),"",ROUND(N(T1097)*J1097*(1-N(K1097)),2))</f>
        <v/>
      </c>
    </row>
    <row r="1098">
      <c r="A1098" s="63" t="n"/>
      <c r="B1098" s="64" t="n"/>
      <c r="C1098" s="65" t="n"/>
      <c r="D1098" s="66" t="str">
        <f>IF(C1098="","",IFERROR(INDEX(sup_name,MATCH($C1098,sup_code,0))&amp;"","Fournisseur inconnu"))</f>
        <v/>
      </c>
      <c r="E1098" s="63" t="n"/>
      <c r="F1098" s="66" t="str">
        <f>IF(E1098="","",IFERROR(INDEX(art_des,MATCH($E1098,art_ref,0))&amp;"","Article inconnu"))</f>
        <v/>
      </c>
      <c r="G1098" s="67" t="str">
        <f>IF(E1098="","",IFERROR(INDEX(art_unit,MATCH($E1098,art_ref,0))&amp;"",""))</f>
        <v/>
      </c>
      <c r="H1098" s="68" t="n"/>
      <c r="I1098" s="69" t="n"/>
      <c r="J1098" s="70" t="str">
        <f>IF(E1098="","",IF(ISNUMBER(I1098),I1098,IFERROR(IF(ISNUMBER(INDEX(art_price,MATCH($E1098,art_ref,0))),INDEX(art_price,MATCH($E1098,art_ref,0)),""),"")))</f>
        <v/>
      </c>
      <c r="K1098" s="71" t="n"/>
      <c r="L1098" s="72" t="n"/>
      <c r="M1098" s="72" t="str">
        <f>IF(E1098="","",IF(L1098&lt;&gt;"",L1098,IFERROR(IF(ISNUMBER(INDEX(art_tva,MATCH($E1098,art_ref,0))),INDEX(art_tva,MATCH($E1098,art_ref,0)),""),"")))</f>
        <v/>
      </c>
      <c r="N1098" s="70" t="str">
        <f>IF(OR(E1098="",J1098=""),"",ROUND(N(H1098)*J1098*(1-N(K1098)),2))</f>
        <v/>
      </c>
      <c r="O1098" s="70" t="str">
        <f>IF(OR(N1098="",NOT(ISNUMBER(M1098))),"",ROUND(N1098*M1098,2))</f>
        <v/>
      </c>
      <c r="P1098" s="70" t="str">
        <f>IF(N1098="","",N1098+N(O1098))</f>
        <v/>
      </c>
      <c r="Q1098" s="64" t="n"/>
      <c r="R1098" s="73" t="str">
        <f>IF(N(Q1098)&gt;0,Q1098,IF(OR(N(B1098)=0,ISNA(MATCH($C1098,sup_code,0))),"",IF(ISNUMBER(INDEX(sup_delay,MATCH($C1098,sup_code,0))),B1098+INDEX(sup_delay,MATCH($C1098,sup_code,0)),"")))</f>
        <v/>
      </c>
      <c r="S1098" s="64" t="n"/>
      <c r="T1098" s="68" t="n"/>
      <c r="U1098" s="64" t="n"/>
      <c r="V1098" s="65" t="n"/>
      <c r="W1098" s="74" t="str">
        <f>IF(AND(A1098="",E1098=""),"",IF(V1098="Oui",0,MAX(0,ROUND(N(H1098)-N(T1098),6))))</f>
        <v/>
      </c>
      <c r="X1098" s="67" t="str">
        <f>IF(AND(A1098="",E1098=""),"",IF(V1098="Oui","Annulé",IF(AND(N(H1098)&gt;0,N(T1098)&gt;=N(H1098)),"Reçu",IF(N(S1098)=0,"Brouillon",IF(AND(ISNUMBER(R1098),R1098&lt;p_today),"En retard",IF(N(T1098)&gt;0,"Partiel","Envoyé"))))))</f>
        <v/>
      </c>
      <c r="Y1098" s="75" t="str">
        <f>IF(X1098="En retard",p_today-R1098,IF(AND(X1098="Reçu",ISNUMBER(R1098)),MAX(0,N(U1098)-R1098),""))</f>
        <v/>
      </c>
      <c r="Z1098" s="67" t="str">
        <f>IF(AND(A1098="",E1098=""),"",IF(A1098="","N° de bon manquant",IF(N(B1098)=0,"Date de commande manquante",IF(C1098="","Fournisseur manquant",IF(ISNA(MATCH($C1098,sup_code,0)),"Fournisseur inconnu",IF(E1098="","Article manquant",IF(ISNA(MATCH($E1098,art_ref,0)),"Article inconnu",IF(N(H1098)&lt;=0,"Quantité invalide",IF(J1098="","Prix manquant",IF(OR(N(K1098)&lt;0,N(K1098)&gt;=1),"Remise invalide",IF(M1098="","TVA manquante",IF(ISNA(MATCH(M1098,p_tva,0)),"Taux de TVA inconnu",IF(COUNTIFS(po_num,A1098,po_sup,"&lt;&gt;"&amp;C1098)&gt;0,"Fournisseur différent sur ce bon",IF(COUNTIFS(po_num,A1098,po_date,"&lt;&gt;"&amp;B1098)&gt;0,"Date différente sur ce bon",IF(COUNTIF(po_num,A1098)&gt;25,"Plus de 25 lignes sur ce bon",IF(R1098="","Date de livraison manquante",IF(R1098&lt;B1098,"Livraison avant la commande",IF(AND(N(T1098)&gt;0,N(S1098)=0),"Date d'envoi manquante",IF(N(T1098)&gt;N(H1098),"Reçu plus que commandé",IF(AND(N(T1098)&gt;0,N(U1098)=0),"Date de réception manquante",IF(AND(N(U1098)&gt;0,U1098&lt;B1098),"Réception avant la commande","OK")))))))))))))))))))))</f>
        <v/>
      </c>
      <c r="AA1098" s="66" t="str">
        <f>IF(AND(X1098="Reçu",ISNUMBER(R1098)),IF(N(U1098)&lt;=R1098,1,0),"")</f>
        <v/>
      </c>
      <c r="AB1098" s="76" t="str">
        <f>IF(OR(X1098="Envoyé",X1098="Partiel",X1098="En retard"),IF(ISNUMBER(R1098),R1098,100000)+ROW()/100000,"")</f>
        <v/>
      </c>
      <c r="AC1098" s="66" t="str">
        <f>IF(A1098="","",IF(COUNTIF($A$6:A1098,A1098)=1,1,""))</f>
        <v/>
      </c>
      <c r="AD1098" s="66" t="str">
        <f>IF(AC1098=1,COUNT($AC$6:AC1098),"")</f>
        <v/>
      </c>
      <c r="AE1098" s="66" t="str">
        <f>IFERROR(INDEX(po_num,MATCH(1093,po_seq,0))&amp;"","")</f>
        <v/>
      </c>
      <c r="AF1098" s="66" t="str">
        <f>IF(OR(A1098="",p_po=""),"",IF(A1098&amp;""=p_po,COUNTIF($A$6:A1098,A1098),""))</f>
        <v/>
      </c>
      <c r="AG1098" s="66" t="str">
        <f>IF(OR(AB1098="",A1098=""),"",IF(COUNTIFS($A$6:A1098,A1098,$AB$6:AB1098,"&gt;0")=1,1,""))</f>
        <v/>
      </c>
      <c r="AH1098" s="70" t="str">
        <f>IF(AB1098="","",ROUND(N(W1098)*N(J1098)*(1-N(K1098)),2))</f>
        <v/>
      </c>
      <c r="AI1098" s="70" t="str">
        <f>IF(OR(J1098="",N(T1098)&lt;=0,V1098="Oui"),"",ROUND(N(T1098)*J1098*(1-N(K1098)),2))</f>
        <v/>
      </c>
    </row>
    <row r="1099">
      <c r="A1099" s="63" t="n"/>
      <c r="B1099" s="64" t="n"/>
      <c r="C1099" s="65" t="n"/>
      <c r="D1099" s="66" t="str">
        <f>IF(C1099="","",IFERROR(INDEX(sup_name,MATCH($C1099,sup_code,0))&amp;"","Fournisseur inconnu"))</f>
        <v/>
      </c>
      <c r="E1099" s="63" t="n"/>
      <c r="F1099" s="66" t="str">
        <f>IF(E1099="","",IFERROR(INDEX(art_des,MATCH($E1099,art_ref,0))&amp;"","Article inconnu"))</f>
        <v/>
      </c>
      <c r="G1099" s="67" t="str">
        <f>IF(E1099="","",IFERROR(INDEX(art_unit,MATCH($E1099,art_ref,0))&amp;"",""))</f>
        <v/>
      </c>
      <c r="H1099" s="68" t="n"/>
      <c r="I1099" s="69" t="n"/>
      <c r="J1099" s="70" t="str">
        <f>IF(E1099="","",IF(ISNUMBER(I1099),I1099,IFERROR(IF(ISNUMBER(INDEX(art_price,MATCH($E1099,art_ref,0))),INDEX(art_price,MATCH($E1099,art_ref,0)),""),"")))</f>
        <v/>
      </c>
      <c r="K1099" s="71" t="n"/>
      <c r="L1099" s="72" t="n"/>
      <c r="M1099" s="72" t="str">
        <f>IF(E1099="","",IF(L1099&lt;&gt;"",L1099,IFERROR(IF(ISNUMBER(INDEX(art_tva,MATCH($E1099,art_ref,0))),INDEX(art_tva,MATCH($E1099,art_ref,0)),""),"")))</f>
        <v/>
      </c>
      <c r="N1099" s="70" t="str">
        <f>IF(OR(E1099="",J1099=""),"",ROUND(N(H1099)*J1099*(1-N(K1099)),2))</f>
        <v/>
      </c>
      <c r="O1099" s="70" t="str">
        <f>IF(OR(N1099="",NOT(ISNUMBER(M1099))),"",ROUND(N1099*M1099,2))</f>
        <v/>
      </c>
      <c r="P1099" s="70" t="str">
        <f>IF(N1099="","",N1099+N(O1099))</f>
        <v/>
      </c>
      <c r="Q1099" s="64" t="n"/>
      <c r="R1099" s="73" t="str">
        <f>IF(N(Q1099)&gt;0,Q1099,IF(OR(N(B1099)=0,ISNA(MATCH($C1099,sup_code,0))),"",IF(ISNUMBER(INDEX(sup_delay,MATCH($C1099,sup_code,0))),B1099+INDEX(sup_delay,MATCH($C1099,sup_code,0)),"")))</f>
        <v/>
      </c>
      <c r="S1099" s="64" t="n"/>
      <c r="T1099" s="68" t="n"/>
      <c r="U1099" s="64" t="n"/>
      <c r="V1099" s="65" t="n"/>
      <c r="W1099" s="74" t="str">
        <f>IF(AND(A1099="",E1099=""),"",IF(V1099="Oui",0,MAX(0,ROUND(N(H1099)-N(T1099),6))))</f>
        <v/>
      </c>
      <c r="X1099" s="67" t="str">
        <f>IF(AND(A1099="",E1099=""),"",IF(V1099="Oui","Annulé",IF(AND(N(H1099)&gt;0,N(T1099)&gt;=N(H1099)),"Reçu",IF(N(S1099)=0,"Brouillon",IF(AND(ISNUMBER(R1099),R1099&lt;p_today),"En retard",IF(N(T1099)&gt;0,"Partiel","Envoyé"))))))</f>
        <v/>
      </c>
      <c r="Y1099" s="75" t="str">
        <f>IF(X1099="En retard",p_today-R1099,IF(AND(X1099="Reçu",ISNUMBER(R1099)),MAX(0,N(U1099)-R1099),""))</f>
        <v/>
      </c>
      <c r="Z1099" s="67" t="str">
        <f>IF(AND(A1099="",E1099=""),"",IF(A1099="","N° de bon manquant",IF(N(B1099)=0,"Date de commande manquante",IF(C1099="","Fournisseur manquant",IF(ISNA(MATCH($C1099,sup_code,0)),"Fournisseur inconnu",IF(E1099="","Article manquant",IF(ISNA(MATCH($E1099,art_ref,0)),"Article inconnu",IF(N(H1099)&lt;=0,"Quantité invalide",IF(J1099="","Prix manquant",IF(OR(N(K1099)&lt;0,N(K1099)&gt;=1),"Remise invalide",IF(M1099="","TVA manquante",IF(ISNA(MATCH(M1099,p_tva,0)),"Taux de TVA inconnu",IF(COUNTIFS(po_num,A1099,po_sup,"&lt;&gt;"&amp;C1099)&gt;0,"Fournisseur différent sur ce bon",IF(COUNTIFS(po_num,A1099,po_date,"&lt;&gt;"&amp;B1099)&gt;0,"Date différente sur ce bon",IF(COUNTIF(po_num,A1099)&gt;25,"Plus de 25 lignes sur ce bon",IF(R1099="","Date de livraison manquante",IF(R1099&lt;B1099,"Livraison avant la commande",IF(AND(N(T1099)&gt;0,N(S1099)=0),"Date d'envoi manquante",IF(N(T1099)&gt;N(H1099),"Reçu plus que commandé",IF(AND(N(T1099)&gt;0,N(U1099)=0),"Date de réception manquante",IF(AND(N(U1099)&gt;0,U1099&lt;B1099),"Réception avant la commande","OK")))))))))))))))))))))</f>
        <v/>
      </c>
      <c r="AA1099" s="66" t="str">
        <f>IF(AND(X1099="Reçu",ISNUMBER(R1099)),IF(N(U1099)&lt;=R1099,1,0),"")</f>
        <v/>
      </c>
      <c r="AB1099" s="76" t="str">
        <f>IF(OR(X1099="Envoyé",X1099="Partiel",X1099="En retard"),IF(ISNUMBER(R1099),R1099,100000)+ROW()/100000,"")</f>
        <v/>
      </c>
      <c r="AC1099" s="66" t="str">
        <f>IF(A1099="","",IF(COUNTIF($A$6:A1099,A1099)=1,1,""))</f>
        <v/>
      </c>
      <c r="AD1099" s="66" t="str">
        <f>IF(AC1099=1,COUNT($AC$6:AC1099),"")</f>
        <v/>
      </c>
      <c r="AE1099" s="66" t="str">
        <f>IFERROR(INDEX(po_num,MATCH(1094,po_seq,0))&amp;"","")</f>
        <v/>
      </c>
      <c r="AF1099" s="66" t="str">
        <f>IF(OR(A1099="",p_po=""),"",IF(A1099&amp;""=p_po,COUNTIF($A$6:A1099,A1099),""))</f>
        <v/>
      </c>
      <c r="AG1099" s="66" t="str">
        <f>IF(OR(AB1099="",A1099=""),"",IF(COUNTIFS($A$6:A1099,A1099,$AB$6:AB1099,"&gt;0")=1,1,""))</f>
        <v/>
      </c>
      <c r="AH1099" s="70" t="str">
        <f>IF(AB1099="","",ROUND(N(W1099)*N(J1099)*(1-N(K1099)),2))</f>
        <v/>
      </c>
      <c r="AI1099" s="70" t="str">
        <f>IF(OR(J1099="",N(T1099)&lt;=0,V1099="Oui"),"",ROUND(N(T1099)*J1099*(1-N(K1099)),2))</f>
        <v/>
      </c>
    </row>
    <row r="1100">
      <c r="A1100" s="63" t="n"/>
      <c r="B1100" s="64" t="n"/>
      <c r="C1100" s="65" t="n"/>
      <c r="D1100" s="66" t="str">
        <f>IF(C1100="","",IFERROR(INDEX(sup_name,MATCH($C1100,sup_code,0))&amp;"","Fournisseur inconnu"))</f>
        <v/>
      </c>
      <c r="E1100" s="63" t="n"/>
      <c r="F1100" s="66" t="str">
        <f>IF(E1100="","",IFERROR(INDEX(art_des,MATCH($E1100,art_ref,0))&amp;"","Article inconnu"))</f>
        <v/>
      </c>
      <c r="G1100" s="67" t="str">
        <f>IF(E1100="","",IFERROR(INDEX(art_unit,MATCH($E1100,art_ref,0))&amp;"",""))</f>
        <v/>
      </c>
      <c r="H1100" s="68" t="n"/>
      <c r="I1100" s="69" t="n"/>
      <c r="J1100" s="70" t="str">
        <f>IF(E1100="","",IF(ISNUMBER(I1100),I1100,IFERROR(IF(ISNUMBER(INDEX(art_price,MATCH($E1100,art_ref,0))),INDEX(art_price,MATCH($E1100,art_ref,0)),""),"")))</f>
        <v/>
      </c>
      <c r="K1100" s="71" t="n"/>
      <c r="L1100" s="72" t="n"/>
      <c r="M1100" s="72" t="str">
        <f>IF(E1100="","",IF(L1100&lt;&gt;"",L1100,IFERROR(IF(ISNUMBER(INDEX(art_tva,MATCH($E1100,art_ref,0))),INDEX(art_tva,MATCH($E1100,art_ref,0)),""),"")))</f>
        <v/>
      </c>
      <c r="N1100" s="70" t="str">
        <f>IF(OR(E1100="",J1100=""),"",ROUND(N(H1100)*J1100*(1-N(K1100)),2))</f>
        <v/>
      </c>
      <c r="O1100" s="70" t="str">
        <f>IF(OR(N1100="",NOT(ISNUMBER(M1100))),"",ROUND(N1100*M1100,2))</f>
        <v/>
      </c>
      <c r="P1100" s="70" t="str">
        <f>IF(N1100="","",N1100+N(O1100))</f>
        <v/>
      </c>
      <c r="Q1100" s="64" t="n"/>
      <c r="R1100" s="73" t="str">
        <f>IF(N(Q1100)&gt;0,Q1100,IF(OR(N(B1100)=0,ISNA(MATCH($C1100,sup_code,0))),"",IF(ISNUMBER(INDEX(sup_delay,MATCH($C1100,sup_code,0))),B1100+INDEX(sup_delay,MATCH($C1100,sup_code,0)),"")))</f>
        <v/>
      </c>
      <c r="S1100" s="64" t="n"/>
      <c r="T1100" s="68" t="n"/>
      <c r="U1100" s="64" t="n"/>
      <c r="V1100" s="65" t="n"/>
      <c r="W1100" s="74" t="str">
        <f>IF(AND(A1100="",E1100=""),"",IF(V1100="Oui",0,MAX(0,ROUND(N(H1100)-N(T1100),6))))</f>
        <v/>
      </c>
      <c r="X1100" s="67" t="str">
        <f>IF(AND(A1100="",E1100=""),"",IF(V1100="Oui","Annulé",IF(AND(N(H1100)&gt;0,N(T1100)&gt;=N(H1100)),"Reçu",IF(N(S1100)=0,"Brouillon",IF(AND(ISNUMBER(R1100),R1100&lt;p_today),"En retard",IF(N(T1100)&gt;0,"Partiel","Envoyé"))))))</f>
        <v/>
      </c>
      <c r="Y1100" s="75" t="str">
        <f>IF(X1100="En retard",p_today-R1100,IF(AND(X1100="Reçu",ISNUMBER(R1100)),MAX(0,N(U1100)-R1100),""))</f>
        <v/>
      </c>
      <c r="Z1100" s="67" t="str">
        <f>IF(AND(A1100="",E1100=""),"",IF(A1100="","N° de bon manquant",IF(N(B1100)=0,"Date de commande manquante",IF(C1100="","Fournisseur manquant",IF(ISNA(MATCH($C1100,sup_code,0)),"Fournisseur inconnu",IF(E1100="","Article manquant",IF(ISNA(MATCH($E1100,art_ref,0)),"Article inconnu",IF(N(H1100)&lt;=0,"Quantité invalide",IF(J1100="","Prix manquant",IF(OR(N(K1100)&lt;0,N(K1100)&gt;=1),"Remise invalide",IF(M1100="","TVA manquante",IF(ISNA(MATCH(M1100,p_tva,0)),"Taux de TVA inconnu",IF(COUNTIFS(po_num,A1100,po_sup,"&lt;&gt;"&amp;C1100)&gt;0,"Fournisseur différent sur ce bon",IF(COUNTIFS(po_num,A1100,po_date,"&lt;&gt;"&amp;B1100)&gt;0,"Date différente sur ce bon",IF(COUNTIF(po_num,A1100)&gt;25,"Plus de 25 lignes sur ce bon",IF(R1100="","Date de livraison manquante",IF(R1100&lt;B1100,"Livraison avant la commande",IF(AND(N(T1100)&gt;0,N(S1100)=0),"Date d'envoi manquante",IF(N(T1100)&gt;N(H1100),"Reçu plus que commandé",IF(AND(N(T1100)&gt;0,N(U1100)=0),"Date de réception manquante",IF(AND(N(U1100)&gt;0,U1100&lt;B1100),"Réception avant la commande","OK")))))))))))))))))))))</f>
        <v/>
      </c>
      <c r="AA1100" s="66" t="str">
        <f>IF(AND(X1100="Reçu",ISNUMBER(R1100)),IF(N(U1100)&lt;=R1100,1,0),"")</f>
        <v/>
      </c>
      <c r="AB1100" s="76" t="str">
        <f>IF(OR(X1100="Envoyé",X1100="Partiel",X1100="En retard"),IF(ISNUMBER(R1100),R1100,100000)+ROW()/100000,"")</f>
        <v/>
      </c>
      <c r="AC1100" s="66" t="str">
        <f>IF(A1100="","",IF(COUNTIF($A$6:A1100,A1100)=1,1,""))</f>
        <v/>
      </c>
      <c r="AD1100" s="66" t="str">
        <f>IF(AC1100=1,COUNT($AC$6:AC1100),"")</f>
        <v/>
      </c>
      <c r="AE1100" s="66" t="str">
        <f>IFERROR(INDEX(po_num,MATCH(1095,po_seq,0))&amp;"","")</f>
        <v/>
      </c>
      <c r="AF1100" s="66" t="str">
        <f>IF(OR(A1100="",p_po=""),"",IF(A1100&amp;""=p_po,COUNTIF($A$6:A1100,A1100),""))</f>
        <v/>
      </c>
      <c r="AG1100" s="66" t="str">
        <f>IF(OR(AB1100="",A1100=""),"",IF(COUNTIFS($A$6:A1100,A1100,$AB$6:AB1100,"&gt;0")=1,1,""))</f>
        <v/>
      </c>
      <c r="AH1100" s="70" t="str">
        <f>IF(AB1100="","",ROUND(N(W1100)*N(J1100)*(1-N(K1100)),2))</f>
        <v/>
      </c>
      <c r="AI1100" s="70" t="str">
        <f>IF(OR(J1100="",N(T1100)&lt;=0,V1100="Oui"),"",ROUND(N(T1100)*J1100*(1-N(K1100)),2))</f>
        <v/>
      </c>
    </row>
    <row r="1101">
      <c r="A1101" s="63" t="n"/>
      <c r="B1101" s="64" t="n"/>
      <c r="C1101" s="65" t="n"/>
      <c r="D1101" s="66" t="str">
        <f>IF(C1101="","",IFERROR(INDEX(sup_name,MATCH($C1101,sup_code,0))&amp;"","Fournisseur inconnu"))</f>
        <v/>
      </c>
      <c r="E1101" s="63" t="n"/>
      <c r="F1101" s="66" t="str">
        <f>IF(E1101="","",IFERROR(INDEX(art_des,MATCH($E1101,art_ref,0))&amp;"","Article inconnu"))</f>
        <v/>
      </c>
      <c r="G1101" s="67" t="str">
        <f>IF(E1101="","",IFERROR(INDEX(art_unit,MATCH($E1101,art_ref,0))&amp;"",""))</f>
        <v/>
      </c>
      <c r="H1101" s="68" t="n"/>
      <c r="I1101" s="69" t="n"/>
      <c r="J1101" s="70" t="str">
        <f>IF(E1101="","",IF(ISNUMBER(I1101),I1101,IFERROR(IF(ISNUMBER(INDEX(art_price,MATCH($E1101,art_ref,0))),INDEX(art_price,MATCH($E1101,art_ref,0)),""),"")))</f>
        <v/>
      </c>
      <c r="K1101" s="71" t="n"/>
      <c r="L1101" s="72" t="n"/>
      <c r="M1101" s="72" t="str">
        <f>IF(E1101="","",IF(L1101&lt;&gt;"",L1101,IFERROR(IF(ISNUMBER(INDEX(art_tva,MATCH($E1101,art_ref,0))),INDEX(art_tva,MATCH($E1101,art_ref,0)),""),"")))</f>
        <v/>
      </c>
      <c r="N1101" s="70" t="str">
        <f>IF(OR(E1101="",J1101=""),"",ROUND(N(H1101)*J1101*(1-N(K1101)),2))</f>
        <v/>
      </c>
      <c r="O1101" s="70" t="str">
        <f>IF(OR(N1101="",NOT(ISNUMBER(M1101))),"",ROUND(N1101*M1101,2))</f>
        <v/>
      </c>
      <c r="P1101" s="70" t="str">
        <f>IF(N1101="","",N1101+N(O1101))</f>
        <v/>
      </c>
      <c r="Q1101" s="64" t="n"/>
      <c r="R1101" s="73" t="str">
        <f>IF(N(Q1101)&gt;0,Q1101,IF(OR(N(B1101)=0,ISNA(MATCH($C1101,sup_code,0))),"",IF(ISNUMBER(INDEX(sup_delay,MATCH($C1101,sup_code,0))),B1101+INDEX(sup_delay,MATCH($C1101,sup_code,0)),"")))</f>
        <v/>
      </c>
      <c r="S1101" s="64" t="n"/>
      <c r="T1101" s="68" t="n"/>
      <c r="U1101" s="64" t="n"/>
      <c r="V1101" s="65" t="n"/>
      <c r="W1101" s="74" t="str">
        <f>IF(AND(A1101="",E1101=""),"",IF(V1101="Oui",0,MAX(0,ROUND(N(H1101)-N(T1101),6))))</f>
        <v/>
      </c>
      <c r="X1101" s="67" t="str">
        <f>IF(AND(A1101="",E1101=""),"",IF(V1101="Oui","Annulé",IF(AND(N(H1101)&gt;0,N(T1101)&gt;=N(H1101)),"Reçu",IF(N(S1101)=0,"Brouillon",IF(AND(ISNUMBER(R1101),R1101&lt;p_today),"En retard",IF(N(T1101)&gt;0,"Partiel","Envoyé"))))))</f>
        <v/>
      </c>
      <c r="Y1101" s="75" t="str">
        <f>IF(X1101="En retard",p_today-R1101,IF(AND(X1101="Reçu",ISNUMBER(R1101)),MAX(0,N(U1101)-R1101),""))</f>
        <v/>
      </c>
      <c r="Z1101" s="67" t="str">
        <f>IF(AND(A1101="",E1101=""),"",IF(A1101="","N° de bon manquant",IF(N(B1101)=0,"Date de commande manquante",IF(C1101="","Fournisseur manquant",IF(ISNA(MATCH($C1101,sup_code,0)),"Fournisseur inconnu",IF(E1101="","Article manquant",IF(ISNA(MATCH($E1101,art_ref,0)),"Article inconnu",IF(N(H1101)&lt;=0,"Quantité invalide",IF(J1101="","Prix manquant",IF(OR(N(K1101)&lt;0,N(K1101)&gt;=1),"Remise invalide",IF(M1101="","TVA manquante",IF(ISNA(MATCH(M1101,p_tva,0)),"Taux de TVA inconnu",IF(COUNTIFS(po_num,A1101,po_sup,"&lt;&gt;"&amp;C1101)&gt;0,"Fournisseur différent sur ce bon",IF(COUNTIFS(po_num,A1101,po_date,"&lt;&gt;"&amp;B1101)&gt;0,"Date différente sur ce bon",IF(COUNTIF(po_num,A1101)&gt;25,"Plus de 25 lignes sur ce bon",IF(R1101="","Date de livraison manquante",IF(R1101&lt;B1101,"Livraison avant la commande",IF(AND(N(T1101)&gt;0,N(S1101)=0),"Date d'envoi manquante",IF(N(T1101)&gt;N(H1101),"Reçu plus que commandé",IF(AND(N(T1101)&gt;0,N(U1101)=0),"Date de réception manquante",IF(AND(N(U1101)&gt;0,U1101&lt;B1101),"Réception avant la commande","OK")))))))))))))))))))))</f>
        <v/>
      </c>
      <c r="AA1101" s="66" t="str">
        <f>IF(AND(X1101="Reçu",ISNUMBER(R1101)),IF(N(U1101)&lt;=R1101,1,0),"")</f>
        <v/>
      </c>
      <c r="AB1101" s="76" t="str">
        <f>IF(OR(X1101="Envoyé",X1101="Partiel",X1101="En retard"),IF(ISNUMBER(R1101),R1101,100000)+ROW()/100000,"")</f>
        <v/>
      </c>
      <c r="AC1101" s="66" t="str">
        <f>IF(A1101="","",IF(COUNTIF($A$6:A1101,A1101)=1,1,""))</f>
        <v/>
      </c>
      <c r="AD1101" s="66" t="str">
        <f>IF(AC1101=1,COUNT($AC$6:AC1101),"")</f>
        <v/>
      </c>
      <c r="AE1101" s="66" t="str">
        <f>IFERROR(INDEX(po_num,MATCH(1096,po_seq,0))&amp;"","")</f>
        <v/>
      </c>
      <c r="AF1101" s="66" t="str">
        <f>IF(OR(A1101="",p_po=""),"",IF(A1101&amp;""=p_po,COUNTIF($A$6:A1101,A1101),""))</f>
        <v/>
      </c>
      <c r="AG1101" s="66" t="str">
        <f>IF(OR(AB1101="",A1101=""),"",IF(COUNTIFS($A$6:A1101,A1101,$AB$6:AB1101,"&gt;0")=1,1,""))</f>
        <v/>
      </c>
      <c r="AH1101" s="70" t="str">
        <f>IF(AB1101="","",ROUND(N(W1101)*N(J1101)*(1-N(K1101)),2))</f>
        <v/>
      </c>
      <c r="AI1101" s="70" t="str">
        <f>IF(OR(J1101="",N(T1101)&lt;=0,V1101="Oui"),"",ROUND(N(T1101)*J1101*(1-N(K1101)),2))</f>
        <v/>
      </c>
    </row>
    <row r="1102">
      <c r="A1102" s="63" t="n"/>
      <c r="B1102" s="64" t="n"/>
      <c r="C1102" s="65" t="n"/>
      <c r="D1102" s="66" t="str">
        <f>IF(C1102="","",IFERROR(INDEX(sup_name,MATCH($C1102,sup_code,0))&amp;"","Fournisseur inconnu"))</f>
        <v/>
      </c>
      <c r="E1102" s="63" t="n"/>
      <c r="F1102" s="66" t="str">
        <f>IF(E1102="","",IFERROR(INDEX(art_des,MATCH($E1102,art_ref,0))&amp;"","Article inconnu"))</f>
        <v/>
      </c>
      <c r="G1102" s="67" t="str">
        <f>IF(E1102="","",IFERROR(INDEX(art_unit,MATCH($E1102,art_ref,0))&amp;"",""))</f>
        <v/>
      </c>
      <c r="H1102" s="68" t="n"/>
      <c r="I1102" s="69" t="n"/>
      <c r="J1102" s="70" t="str">
        <f>IF(E1102="","",IF(ISNUMBER(I1102),I1102,IFERROR(IF(ISNUMBER(INDEX(art_price,MATCH($E1102,art_ref,0))),INDEX(art_price,MATCH($E1102,art_ref,0)),""),"")))</f>
        <v/>
      </c>
      <c r="K1102" s="71" t="n"/>
      <c r="L1102" s="72" t="n"/>
      <c r="M1102" s="72" t="str">
        <f>IF(E1102="","",IF(L1102&lt;&gt;"",L1102,IFERROR(IF(ISNUMBER(INDEX(art_tva,MATCH($E1102,art_ref,0))),INDEX(art_tva,MATCH($E1102,art_ref,0)),""),"")))</f>
        <v/>
      </c>
      <c r="N1102" s="70" t="str">
        <f>IF(OR(E1102="",J1102=""),"",ROUND(N(H1102)*J1102*(1-N(K1102)),2))</f>
        <v/>
      </c>
      <c r="O1102" s="70" t="str">
        <f>IF(OR(N1102="",NOT(ISNUMBER(M1102))),"",ROUND(N1102*M1102,2))</f>
        <v/>
      </c>
      <c r="P1102" s="70" t="str">
        <f>IF(N1102="","",N1102+N(O1102))</f>
        <v/>
      </c>
      <c r="Q1102" s="64" t="n"/>
      <c r="R1102" s="73" t="str">
        <f>IF(N(Q1102)&gt;0,Q1102,IF(OR(N(B1102)=0,ISNA(MATCH($C1102,sup_code,0))),"",IF(ISNUMBER(INDEX(sup_delay,MATCH($C1102,sup_code,0))),B1102+INDEX(sup_delay,MATCH($C1102,sup_code,0)),"")))</f>
        <v/>
      </c>
      <c r="S1102" s="64" t="n"/>
      <c r="T1102" s="68" t="n"/>
      <c r="U1102" s="64" t="n"/>
      <c r="V1102" s="65" t="n"/>
      <c r="W1102" s="74" t="str">
        <f>IF(AND(A1102="",E1102=""),"",IF(V1102="Oui",0,MAX(0,ROUND(N(H1102)-N(T1102),6))))</f>
        <v/>
      </c>
      <c r="X1102" s="67" t="str">
        <f>IF(AND(A1102="",E1102=""),"",IF(V1102="Oui","Annulé",IF(AND(N(H1102)&gt;0,N(T1102)&gt;=N(H1102)),"Reçu",IF(N(S1102)=0,"Brouillon",IF(AND(ISNUMBER(R1102),R1102&lt;p_today),"En retard",IF(N(T1102)&gt;0,"Partiel","Envoyé"))))))</f>
        <v/>
      </c>
      <c r="Y1102" s="75" t="str">
        <f>IF(X1102="En retard",p_today-R1102,IF(AND(X1102="Reçu",ISNUMBER(R1102)),MAX(0,N(U1102)-R1102),""))</f>
        <v/>
      </c>
      <c r="Z1102" s="67" t="str">
        <f>IF(AND(A1102="",E1102=""),"",IF(A1102="","N° de bon manquant",IF(N(B1102)=0,"Date de commande manquante",IF(C1102="","Fournisseur manquant",IF(ISNA(MATCH($C1102,sup_code,0)),"Fournisseur inconnu",IF(E1102="","Article manquant",IF(ISNA(MATCH($E1102,art_ref,0)),"Article inconnu",IF(N(H1102)&lt;=0,"Quantité invalide",IF(J1102="","Prix manquant",IF(OR(N(K1102)&lt;0,N(K1102)&gt;=1),"Remise invalide",IF(M1102="","TVA manquante",IF(ISNA(MATCH(M1102,p_tva,0)),"Taux de TVA inconnu",IF(COUNTIFS(po_num,A1102,po_sup,"&lt;&gt;"&amp;C1102)&gt;0,"Fournisseur différent sur ce bon",IF(COUNTIFS(po_num,A1102,po_date,"&lt;&gt;"&amp;B1102)&gt;0,"Date différente sur ce bon",IF(COUNTIF(po_num,A1102)&gt;25,"Plus de 25 lignes sur ce bon",IF(R1102="","Date de livraison manquante",IF(R1102&lt;B1102,"Livraison avant la commande",IF(AND(N(T1102)&gt;0,N(S1102)=0),"Date d'envoi manquante",IF(N(T1102)&gt;N(H1102),"Reçu plus que commandé",IF(AND(N(T1102)&gt;0,N(U1102)=0),"Date de réception manquante",IF(AND(N(U1102)&gt;0,U1102&lt;B1102),"Réception avant la commande","OK")))))))))))))))))))))</f>
        <v/>
      </c>
      <c r="AA1102" s="66" t="str">
        <f>IF(AND(X1102="Reçu",ISNUMBER(R1102)),IF(N(U1102)&lt;=R1102,1,0),"")</f>
        <v/>
      </c>
      <c r="AB1102" s="76" t="str">
        <f>IF(OR(X1102="Envoyé",X1102="Partiel",X1102="En retard"),IF(ISNUMBER(R1102),R1102,100000)+ROW()/100000,"")</f>
        <v/>
      </c>
      <c r="AC1102" s="66" t="str">
        <f>IF(A1102="","",IF(COUNTIF($A$6:A1102,A1102)=1,1,""))</f>
        <v/>
      </c>
      <c r="AD1102" s="66" t="str">
        <f>IF(AC1102=1,COUNT($AC$6:AC1102),"")</f>
        <v/>
      </c>
      <c r="AE1102" s="66" t="str">
        <f>IFERROR(INDEX(po_num,MATCH(1097,po_seq,0))&amp;"","")</f>
        <v/>
      </c>
      <c r="AF1102" s="66" t="str">
        <f>IF(OR(A1102="",p_po=""),"",IF(A1102&amp;""=p_po,COUNTIF($A$6:A1102,A1102),""))</f>
        <v/>
      </c>
      <c r="AG1102" s="66" t="str">
        <f>IF(OR(AB1102="",A1102=""),"",IF(COUNTIFS($A$6:A1102,A1102,$AB$6:AB1102,"&gt;0")=1,1,""))</f>
        <v/>
      </c>
      <c r="AH1102" s="70" t="str">
        <f>IF(AB1102="","",ROUND(N(W1102)*N(J1102)*(1-N(K1102)),2))</f>
        <v/>
      </c>
      <c r="AI1102" s="70" t="str">
        <f>IF(OR(J1102="",N(T1102)&lt;=0,V1102="Oui"),"",ROUND(N(T1102)*J1102*(1-N(K1102)),2))</f>
        <v/>
      </c>
    </row>
    <row r="1103">
      <c r="A1103" s="63" t="n"/>
      <c r="B1103" s="64" t="n"/>
      <c r="C1103" s="65" t="n"/>
      <c r="D1103" s="66" t="str">
        <f>IF(C1103="","",IFERROR(INDEX(sup_name,MATCH($C1103,sup_code,0))&amp;"","Fournisseur inconnu"))</f>
        <v/>
      </c>
      <c r="E1103" s="63" t="n"/>
      <c r="F1103" s="66" t="str">
        <f>IF(E1103="","",IFERROR(INDEX(art_des,MATCH($E1103,art_ref,0))&amp;"","Article inconnu"))</f>
        <v/>
      </c>
      <c r="G1103" s="67" t="str">
        <f>IF(E1103="","",IFERROR(INDEX(art_unit,MATCH($E1103,art_ref,0))&amp;"",""))</f>
        <v/>
      </c>
      <c r="H1103" s="68" t="n"/>
      <c r="I1103" s="69" t="n"/>
      <c r="J1103" s="70" t="str">
        <f>IF(E1103="","",IF(ISNUMBER(I1103),I1103,IFERROR(IF(ISNUMBER(INDEX(art_price,MATCH($E1103,art_ref,0))),INDEX(art_price,MATCH($E1103,art_ref,0)),""),"")))</f>
        <v/>
      </c>
      <c r="K1103" s="71" t="n"/>
      <c r="L1103" s="72" t="n"/>
      <c r="M1103" s="72" t="str">
        <f>IF(E1103="","",IF(L1103&lt;&gt;"",L1103,IFERROR(IF(ISNUMBER(INDEX(art_tva,MATCH($E1103,art_ref,0))),INDEX(art_tva,MATCH($E1103,art_ref,0)),""),"")))</f>
        <v/>
      </c>
      <c r="N1103" s="70" t="str">
        <f>IF(OR(E1103="",J1103=""),"",ROUND(N(H1103)*J1103*(1-N(K1103)),2))</f>
        <v/>
      </c>
      <c r="O1103" s="70" t="str">
        <f>IF(OR(N1103="",NOT(ISNUMBER(M1103))),"",ROUND(N1103*M1103,2))</f>
        <v/>
      </c>
      <c r="P1103" s="70" t="str">
        <f>IF(N1103="","",N1103+N(O1103))</f>
        <v/>
      </c>
      <c r="Q1103" s="64" t="n"/>
      <c r="R1103" s="73" t="str">
        <f>IF(N(Q1103)&gt;0,Q1103,IF(OR(N(B1103)=0,ISNA(MATCH($C1103,sup_code,0))),"",IF(ISNUMBER(INDEX(sup_delay,MATCH($C1103,sup_code,0))),B1103+INDEX(sup_delay,MATCH($C1103,sup_code,0)),"")))</f>
        <v/>
      </c>
      <c r="S1103" s="64" t="n"/>
      <c r="T1103" s="68" t="n"/>
      <c r="U1103" s="64" t="n"/>
      <c r="V1103" s="65" t="n"/>
      <c r="W1103" s="74" t="str">
        <f>IF(AND(A1103="",E1103=""),"",IF(V1103="Oui",0,MAX(0,ROUND(N(H1103)-N(T1103),6))))</f>
        <v/>
      </c>
      <c r="X1103" s="67" t="str">
        <f>IF(AND(A1103="",E1103=""),"",IF(V1103="Oui","Annulé",IF(AND(N(H1103)&gt;0,N(T1103)&gt;=N(H1103)),"Reçu",IF(N(S1103)=0,"Brouillon",IF(AND(ISNUMBER(R1103),R1103&lt;p_today),"En retard",IF(N(T1103)&gt;0,"Partiel","Envoyé"))))))</f>
        <v/>
      </c>
      <c r="Y1103" s="75" t="str">
        <f>IF(X1103="En retard",p_today-R1103,IF(AND(X1103="Reçu",ISNUMBER(R1103)),MAX(0,N(U1103)-R1103),""))</f>
        <v/>
      </c>
      <c r="Z1103" s="67" t="str">
        <f>IF(AND(A1103="",E1103=""),"",IF(A1103="","N° de bon manquant",IF(N(B1103)=0,"Date de commande manquante",IF(C1103="","Fournisseur manquant",IF(ISNA(MATCH($C1103,sup_code,0)),"Fournisseur inconnu",IF(E1103="","Article manquant",IF(ISNA(MATCH($E1103,art_ref,0)),"Article inconnu",IF(N(H1103)&lt;=0,"Quantité invalide",IF(J1103="","Prix manquant",IF(OR(N(K1103)&lt;0,N(K1103)&gt;=1),"Remise invalide",IF(M1103="","TVA manquante",IF(ISNA(MATCH(M1103,p_tva,0)),"Taux de TVA inconnu",IF(COUNTIFS(po_num,A1103,po_sup,"&lt;&gt;"&amp;C1103)&gt;0,"Fournisseur différent sur ce bon",IF(COUNTIFS(po_num,A1103,po_date,"&lt;&gt;"&amp;B1103)&gt;0,"Date différente sur ce bon",IF(COUNTIF(po_num,A1103)&gt;25,"Plus de 25 lignes sur ce bon",IF(R1103="","Date de livraison manquante",IF(R1103&lt;B1103,"Livraison avant la commande",IF(AND(N(T1103)&gt;0,N(S1103)=0),"Date d'envoi manquante",IF(N(T1103)&gt;N(H1103),"Reçu plus que commandé",IF(AND(N(T1103)&gt;0,N(U1103)=0),"Date de réception manquante",IF(AND(N(U1103)&gt;0,U1103&lt;B1103),"Réception avant la commande","OK")))))))))))))))))))))</f>
        <v/>
      </c>
      <c r="AA1103" s="66" t="str">
        <f>IF(AND(X1103="Reçu",ISNUMBER(R1103)),IF(N(U1103)&lt;=R1103,1,0),"")</f>
        <v/>
      </c>
      <c r="AB1103" s="76" t="str">
        <f>IF(OR(X1103="Envoyé",X1103="Partiel",X1103="En retard"),IF(ISNUMBER(R1103),R1103,100000)+ROW()/100000,"")</f>
        <v/>
      </c>
      <c r="AC1103" s="66" t="str">
        <f>IF(A1103="","",IF(COUNTIF($A$6:A1103,A1103)=1,1,""))</f>
        <v/>
      </c>
      <c r="AD1103" s="66" t="str">
        <f>IF(AC1103=1,COUNT($AC$6:AC1103),"")</f>
        <v/>
      </c>
      <c r="AE1103" s="66" t="str">
        <f>IFERROR(INDEX(po_num,MATCH(1098,po_seq,0))&amp;"","")</f>
        <v/>
      </c>
      <c r="AF1103" s="66" t="str">
        <f>IF(OR(A1103="",p_po=""),"",IF(A1103&amp;""=p_po,COUNTIF($A$6:A1103,A1103),""))</f>
        <v/>
      </c>
      <c r="AG1103" s="66" t="str">
        <f>IF(OR(AB1103="",A1103=""),"",IF(COUNTIFS($A$6:A1103,A1103,$AB$6:AB1103,"&gt;0")=1,1,""))</f>
        <v/>
      </c>
      <c r="AH1103" s="70" t="str">
        <f>IF(AB1103="","",ROUND(N(W1103)*N(J1103)*(1-N(K1103)),2))</f>
        <v/>
      </c>
      <c r="AI1103" s="70" t="str">
        <f>IF(OR(J1103="",N(T1103)&lt;=0,V1103="Oui"),"",ROUND(N(T1103)*J1103*(1-N(K1103)),2))</f>
        <v/>
      </c>
    </row>
    <row r="1104">
      <c r="A1104" s="63" t="n"/>
      <c r="B1104" s="64" t="n"/>
      <c r="C1104" s="65" t="n"/>
      <c r="D1104" s="66" t="str">
        <f>IF(C1104="","",IFERROR(INDEX(sup_name,MATCH($C1104,sup_code,0))&amp;"","Fournisseur inconnu"))</f>
        <v/>
      </c>
      <c r="E1104" s="63" t="n"/>
      <c r="F1104" s="66" t="str">
        <f>IF(E1104="","",IFERROR(INDEX(art_des,MATCH($E1104,art_ref,0))&amp;"","Article inconnu"))</f>
        <v/>
      </c>
      <c r="G1104" s="67" t="str">
        <f>IF(E1104="","",IFERROR(INDEX(art_unit,MATCH($E1104,art_ref,0))&amp;"",""))</f>
        <v/>
      </c>
      <c r="H1104" s="68" t="n"/>
      <c r="I1104" s="69" t="n"/>
      <c r="J1104" s="70" t="str">
        <f>IF(E1104="","",IF(ISNUMBER(I1104),I1104,IFERROR(IF(ISNUMBER(INDEX(art_price,MATCH($E1104,art_ref,0))),INDEX(art_price,MATCH($E1104,art_ref,0)),""),"")))</f>
        <v/>
      </c>
      <c r="K1104" s="71" t="n"/>
      <c r="L1104" s="72" t="n"/>
      <c r="M1104" s="72" t="str">
        <f>IF(E1104="","",IF(L1104&lt;&gt;"",L1104,IFERROR(IF(ISNUMBER(INDEX(art_tva,MATCH($E1104,art_ref,0))),INDEX(art_tva,MATCH($E1104,art_ref,0)),""),"")))</f>
        <v/>
      </c>
      <c r="N1104" s="70" t="str">
        <f>IF(OR(E1104="",J1104=""),"",ROUND(N(H1104)*J1104*(1-N(K1104)),2))</f>
        <v/>
      </c>
      <c r="O1104" s="70" t="str">
        <f>IF(OR(N1104="",NOT(ISNUMBER(M1104))),"",ROUND(N1104*M1104,2))</f>
        <v/>
      </c>
      <c r="P1104" s="70" t="str">
        <f>IF(N1104="","",N1104+N(O1104))</f>
        <v/>
      </c>
      <c r="Q1104" s="64" t="n"/>
      <c r="R1104" s="73" t="str">
        <f>IF(N(Q1104)&gt;0,Q1104,IF(OR(N(B1104)=0,ISNA(MATCH($C1104,sup_code,0))),"",IF(ISNUMBER(INDEX(sup_delay,MATCH($C1104,sup_code,0))),B1104+INDEX(sup_delay,MATCH($C1104,sup_code,0)),"")))</f>
        <v/>
      </c>
      <c r="S1104" s="64" t="n"/>
      <c r="T1104" s="68" t="n"/>
      <c r="U1104" s="64" t="n"/>
      <c r="V1104" s="65" t="n"/>
      <c r="W1104" s="74" t="str">
        <f>IF(AND(A1104="",E1104=""),"",IF(V1104="Oui",0,MAX(0,ROUND(N(H1104)-N(T1104),6))))</f>
        <v/>
      </c>
      <c r="X1104" s="67" t="str">
        <f>IF(AND(A1104="",E1104=""),"",IF(V1104="Oui","Annulé",IF(AND(N(H1104)&gt;0,N(T1104)&gt;=N(H1104)),"Reçu",IF(N(S1104)=0,"Brouillon",IF(AND(ISNUMBER(R1104),R1104&lt;p_today),"En retard",IF(N(T1104)&gt;0,"Partiel","Envoyé"))))))</f>
        <v/>
      </c>
      <c r="Y1104" s="75" t="str">
        <f>IF(X1104="En retard",p_today-R1104,IF(AND(X1104="Reçu",ISNUMBER(R1104)),MAX(0,N(U1104)-R1104),""))</f>
        <v/>
      </c>
      <c r="Z1104" s="67" t="str">
        <f>IF(AND(A1104="",E1104=""),"",IF(A1104="","N° de bon manquant",IF(N(B1104)=0,"Date de commande manquante",IF(C1104="","Fournisseur manquant",IF(ISNA(MATCH($C1104,sup_code,0)),"Fournisseur inconnu",IF(E1104="","Article manquant",IF(ISNA(MATCH($E1104,art_ref,0)),"Article inconnu",IF(N(H1104)&lt;=0,"Quantité invalide",IF(J1104="","Prix manquant",IF(OR(N(K1104)&lt;0,N(K1104)&gt;=1),"Remise invalide",IF(M1104="","TVA manquante",IF(ISNA(MATCH(M1104,p_tva,0)),"Taux de TVA inconnu",IF(COUNTIFS(po_num,A1104,po_sup,"&lt;&gt;"&amp;C1104)&gt;0,"Fournisseur différent sur ce bon",IF(COUNTIFS(po_num,A1104,po_date,"&lt;&gt;"&amp;B1104)&gt;0,"Date différente sur ce bon",IF(COUNTIF(po_num,A1104)&gt;25,"Plus de 25 lignes sur ce bon",IF(R1104="","Date de livraison manquante",IF(R1104&lt;B1104,"Livraison avant la commande",IF(AND(N(T1104)&gt;0,N(S1104)=0),"Date d'envoi manquante",IF(N(T1104)&gt;N(H1104),"Reçu plus que commandé",IF(AND(N(T1104)&gt;0,N(U1104)=0),"Date de réception manquante",IF(AND(N(U1104)&gt;0,U1104&lt;B1104),"Réception avant la commande","OK")))))))))))))))))))))</f>
        <v/>
      </c>
      <c r="AA1104" s="66" t="str">
        <f>IF(AND(X1104="Reçu",ISNUMBER(R1104)),IF(N(U1104)&lt;=R1104,1,0),"")</f>
        <v/>
      </c>
      <c r="AB1104" s="76" t="str">
        <f>IF(OR(X1104="Envoyé",X1104="Partiel",X1104="En retard"),IF(ISNUMBER(R1104),R1104,100000)+ROW()/100000,"")</f>
        <v/>
      </c>
      <c r="AC1104" s="66" t="str">
        <f>IF(A1104="","",IF(COUNTIF($A$6:A1104,A1104)=1,1,""))</f>
        <v/>
      </c>
      <c r="AD1104" s="66" t="str">
        <f>IF(AC1104=1,COUNT($AC$6:AC1104),"")</f>
        <v/>
      </c>
      <c r="AE1104" s="66" t="str">
        <f>IFERROR(INDEX(po_num,MATCH(1099,po_seq,0))&amp;"","")</f>
        <v/>
      </c>
      <c r="AF1104" s="66" t="str">
        <f>IF(OR(A1104="",p_po=""),"",IF(A1104&amp;""=p_po,COUNTIF($A$6:A1104,A1104),""))</f>
        <v/>
      </c>
      <c r="AG1104" s="66" t="str">
        <f>IF(OR(AB1104="",A1104=""),"",IF(COUNTIFS($A$6:A1104,A1104,$AB$6:AB1104,"&gt;0")=1,1,""))</f>
        <v/>
      </c>
      <c r="AH1104" s="70" t="str">
        <f>IF(AB1104="","",ROUND(N(W1104)*N(J1104)*(1-N(K1104)),2))</f>
        <v/>
      </c>
      <c r="AI1104" s="70" t="str">
        <f>IF(OR(J1104="",N(T1104)&lt;=0,V1104="Oui"),"",ROUND(N(T1104)*J1104*(1-N(K1104)),2))</f>
        <v/>
      </c>
    </row>
    <row r="1105">
      <c r="A1105" s="63" t="n"/>
      <c r="B1105" s="64" t="n"/>
      <c r="C1105" s="65" t="n"/>
      <c r="D1105" s="66" t="str">
        <f>IF(C1105="","",IFERROR(INDEX(sup_name,MATCH($C1105,sup_code,0))&amp;"","Fournisseur inconnu"))</f>
        <v/>
      </c>
      <c r="E1105" s="63" t="n"/>
      <c r="F1105" s="66" t="str">
        <f>IF(E1105="","",IFERROR(INDEX(art_des,MATCH($E1105,art_ref,0))&amp;"","Article inconnu"))</f>
        <v/>
      </c>
      <c r="G1105" s="67" t="str">
        <f>IF(E1105="","",IFERROR(INDEX(art_unit,MATCH($E1105,art_ref,0))&amp;"",""))</f>
        <v/>
      </c>
      <c r="H1105" s="68" t="n"/>
      <c r="I1105" s="69" t="n"/>
      <c r="J1105" s="70" t="str">
        <f>IF(E1105="","",IF(ISNUMBER(I1105),I1105,IFERROR(IF(ISNUMBER(INDEX(art_price,MATCH($E1105,art_ref,0))),INDEX(art_price,MATCH($E1105,art_ref,0)),""),"")))</f>
        <v/>
      </c>
      <c r="K1105" s="71" t="n"/>
      <c r="L1105" s="72" t="n"/>
      <c r="M1105" s="72" t="str">
        <f>IF(E1105="","",IF(L1105&lt;&gt;"",L1105,IFERROR(IF(ISNUMBER(INDEX(art_tva,MATCH($E1105,art_ref,0))),INDEX(art_tva,MATCH($E1105,art_ref,0)),""),"")))</f>
        <v/>
      </c>
      <c r="N1105" s="70" t="str">
        <f>IF(OR(E1105="",J1105=""),"",ROUND(N(H1105)*J1105*(1-N(K1105)),2))</f>
        <v/>
      </c>
      <c r="O1105" s="70" t="str">
        <f>IF(OR(N1105="",NOT(ISNUMBER(M1105))),"",ROUND(N1105*M1105,2))</f>
        <v/>
      </c>
      <c r="P1105" s="70" t="str">
        <f>IF(N1105="","",N1105+N(O1105))</f>
        <v/>
      </c>
      <c r="Q1105" s="64" t="n"/>
      <c r="R1105" s="73" t="str">
        <f>IF(N(Q1105)&gt;0,Q1105,IF(OR(N(B1105)=0,ISNA(MATCH($C1105,sup_code,0))),"",IF(ISNUMBER(INDEX(sup_delay,MATCH($C1105,sup_code,0))),B1105+INDEX(sup_delay,MATCH($C1105,sup_code,0)),"")))</f>
        <v/>
      </c>
      <c r="S1105" s="64" t="n"/>
      <c r="T1105" s="68" t="n"/>
      <c r="U1105" s="64" t="n"/>
      <c r="V1105" s="65" t="n"/>
      <c r="W1105" s="74" t="str">
        <f>IF(AND(A1105="",E1105=""),"",IF(V1105="Oui",0,MAX(0,ROUND(N(H1105)-N(T1105),6))))</f>
        <v/>
      </c>
      <c r="X1105" s="67" t="str">
        <f>IF(AND(A1105="",E1105=""),"",IF(V1105="Oui","Annulé",IF(AND(N(H1105)&gt;0,N(T1105)&gt;=N(H1105)),"Reçu",IF(N(S1105)=0,"Brouillon",IF(AND(ISNUMBER(R1105),R1105&lt;p_today),"En retard",IF(N(T1105)&gt;0,"Partiel","Envoyé"))))))</f>
        <v/>
      </c>
      <c r="Y1105" s="75" t="str">
        <f>IF(X1105="En retard",p_today-R1105,IF(AND(X1105="Reçu",ISNUMBER(R1105)),MAX(0,N(U1105)-R1105),""))</f>
        <v/>
      </c>
      <c r="Z1105" s="67" t="str">
        <f>IF(AND(A1105="",E1105=""),"",IF(A1105="","N° de bon manquant",IF(N(B1105)=0,"Date de commande manquante",IF(C1105="","Fournisseur manquant",IF(ISNA(MATCH($C1105,sup_code,0)),"Fournisseur inconnu",IF(E1105="","Article manquant",IF(ISNA(MATCH($E1105,art_ref,0)),"Article inconnu",IF(N(H1105)&lt;=0,"Quantité invalide",IF(J1105="","Prix manquant",IF(OR(N(K1105)&lt;0,N(K1105)&gt;=1),"Remise invalide",IF(M1105="","TVA manquante",IF(ISNA(MATCH(M1105,p_tva,0)),"Taux de TVA inconnu",IF(COUNTIFS(po_num,A1105,po_sup,"&lt;&gt;"&amp;C1105)&gt;0,"Fournisseur différent sur ce bon",IF(COUNTIFS(po_num,A1105,po_date,"&lt;&gt;"&amp;B1105)&gt;0,"Date différente sur ce bon",IF(COUNTIF(po_num,A1105)&gt;25,"Plus de 25 lignes sur ce bon",IF(R1105="","Date de livraison manquante",IF(R1105&lt;B1105,"Livraison avant la commande",IF(AND(N(T1105)&gt;0,N(S1105)=0),"Date d'envoi manquante",IF(N(T1105)&gt;N(H1105),"Reçu plus que commandé",IF(AND(N(T1105)&gt;0,N(U1105)=0),"Date de réception manquante",IF(AND(N(U1105)&gt;0,U1105&lt;B1105),"Réception avant la commande","OK")))))))))))))))))))))</f>
        <v/>
      </c>
      <c r="AA1105" s="66" t="str">
        <f>IF(AND(X1105="Reçu",ISNUMBER(R1105)),IF(N(U1105)&lt;=R1105,1,0),"")</f>
        <v/>
      </c>
      <c r="AB1105" s="76" t="str">
        <f>IF(OR(X1105="Envoyé",X1105="Partiel",X1105="En retard"),IF(ISNUMBER(R1105),R1105,100000)+ROW()/100000,"")</f>
        <v/>
      </c>
      <c r="AC1105" s="66" t="str">
        <f>IF(A1105="","",IF(COUNTIF($A$6:A1105,A1105)=1,1,""))</f>
        <v/>
      </c>
      <c r="AD1105" s="66" t="str">
        <f>IF(AC1105=1,COUNT($AC$6:AC1105),"")</f>
        <v/>
      </c>
      <c r="AE1105" s="66" t="str">
        <f>IFERROR(INDEX(po_num,MATCH(1100,po_seq,0))&amp;"","")</f>
        <v/>
      </c>
      <c r="AF1105" s="66" t="str">
        <f>IF(OR(A1105="",p_po=""),"",IF(A1105&amp;""=p_po,COUNTIF($A$6:A1105,A1105),""))</f>
        <v/>
      </c>
      <c r="AG1105" s="66" t="str">
        <f>IF(OR(AB1105="",A1105=""),"",IF(COUNTIFS($A$6:A1105,A1105,$AB$6:AB1105,"&gt;0")=1,1,""))</f>
        <v/>
      </c>
      <c r="AH1105" s="70" t="str">
        <f>IF(AB1105="","",ROUND(N(W1105)*N(J1105)*(1-N(K1105)),2))</f>
        <v/>
      </c>
      <c r="AI1105" s="70" t="str">
        <f>IF(OR(J1105="",N(T1105)&lt;=0,V1105="Oui"),"",ROUND(N(T1105)*J1105*(1-N(K1105)),2))</f>
        <v/>
      </c>
    </row>
    <row r="1106">
      <c r="A1106" s="63" t="n"/>
      <c r="B1106" s="64" t="n"/>
      <c r="C1106" s="65" t="n"/>
      <c r="D1106" s="66" t="str">
        <f>IF(C1106="","",IFERROR(INDEX(sup_name,MATCH($C1106,sup_code,0))&amp;"","Fournisseur inconnu"))</f>
        <v/>
      </c>
      <c r="E1106" s="63" t="n"/>
      <c r="F1106" s="66" t="str">
        <f>IF(E1106="","",IFERROR(INDEX(art_des,MATCH($E1106,art_ref,0))&amp;"","Article inconnu"))</f>
        <v/>
      </c>
      <c r="G1106" s="67" t="str">
        <f>IF(E1106="","",IFERROR(INDEX(art_unit,MATCH($E1106,art_ref,0))&amp;"",""))</f>
        <v/>
      </c>
      <c r="H1106" s="68" t="n"/>
      <c r="I1106" s="69" t="n"/>
      <c r="J1106" s="70" t="str">
        <f>IF(E1106="","",IF(ISNUMBER(I1106),I1106,IFERROR(IF(ISNUMBER(INDEX(art_price,MATCH($E1106,art_ref,0))),INDEX(art_price,MATCH($E1106,art_ref,0)),""),"")))</f>
        <v/>
      </c>
      <c r="K1106" s="71" t="n"/>
      <c r="L1106" s="72" t="n"/>
      <c r="M1106" s="72" t="str">
        <f>IF(E1106="","",IF(L1106&lt;&gt;"",L1106,IFERROR(IF(ISNUMBER(INDEX(art_tva,MATCH($E1106,art_ref,0))),INDEX(art_tva,MATCH($E1106,art_ref,0)),""),"")))</f>
        <v/>
      </c>
      <c r="N1106" s="70" t="str">
        <f>IF(OR(E1106="",J1106=""),"",ROUND(N(H1106)*J1106*(1-N(K1106)),2))</f>
        <v/>
      </c>
      <c r="O1106" s="70" t="str">
        <f>IF(OR(N1106="",NOT(ISNUMBER(M1106))),"",ROUND(N1106*M1106,2))</f>
        <v/>
      </c>
      <c r="P1106" s="70" t="str">
        <f>IF(N1106="","",N1106+N(O1106))</f>
        <v/>
      </c>
      <c r="Q1106" s="64" t="n"/>
      <c r="R1106" s="73" t="str">
        <f>IF(N(Q1106)&gt;0,Q1106,IF(OR(N(B1106)=0,ISNA(MATCH($C1106,sup_code,0))),"",IF(ISNUMBER(INDEX(sup_delay,MATCH($C1106,sup_code,0))),B1106+INDEX(sup_delay,MATCH($C1106,sup_code,0)),"")))</f>
        <v/>
      </c>
      <c r="S1106" s="64" t="n"/>
      <c r="T1106" s="68" t="n"/>
      <c r="U1106" s="64" t="n"/>
      <c r="V1106" s="65" t="n"/>
      <c r="W1106" s="74" t="str">
        <f>IF(AND(A1106="",E1106=""),"",IF(V1106="Oui",0,MAX(0,ROUND(N(H1106)-N(T1106),6))))</f>
        <v/>
      </c>
      <c r="X1106" s="67" t="str">
        <f>IF(AND(A1106="",E1106=""),"",IF(V1106="Oui","Annulé",IF(AND(N(H1106)&gt;0,N(T1106)&gt;=N(H1106)),"Reçu",IF(N(S1106)=0,"Brouillon",IF(AND(ISNUMBER(R1106),R1106&lt;p_today),"En retard",IF(N(T1106)&gt;0,"Partiel","Envoyé"))))))</f>
        <v/>
      </c>
      <c r="Y1106" s="75" t="str">
        <f>IF(X1106="En retard",p_today-R1106,IF(AND(X1106="Reçu",ISNUMBER(R1106)),MAX(0,N(U1106)-R1106),""))</f>
        <v/>
      </c>
      <c r="Z1106" s="67" t="str">
        <f>IF(AND(A1106="",E1106=""),"",IF(A1106="","N° de bon manquant",IF(N(B1106)=0,"Date de commande manquante",IF(C1106="","Fournisseur manquant",IF(ISNA(MATCH($C1106,sup_code,0)),"Fournisseur inconnu",IF(E1106="","Article manquant",IF(ISNA(MATCH($E1106,art_ref,0)),"Article inconnu",IF(N(H1106)&lt;=0,"Quantité invalide",IF(J1106="","Prix manquant",IF(OR(N(K1106)&lt;0,N(K1106)&gt;=1),"Remise invalide",IF(M1106="","TVA manquante",IF(ISNA(MATCH(M1106,p_tva,0)),"Taux de TVA inconnu",IF(COUNTIFS(po_num,A1106,po_sup,"&lt;&gt;"&amp;C1106)&gt;0,"Fournisseur différent sur ce bon",IF(COUNTIFS(po_num,A1106,po_date,"&lt;&gt;"&amp;B1106)&gt;0,"Date différente sur ce bon",IF(COUNTIF(po_num,A1106)&gt;25,"Plus de 25 lignes sur ce bon",IF(R1106="","Date de livraison manquante",IF(R1106&lt;B1106,"Livraison avant la commande",IF(AND(N(T1106)&gt;0,N(S1106)=0),"Date d'envoi manquante",IF(N(T1106)&gt;N(H1106),"Reçu plus que commandé",IF(AND(N(T1106)&gt;0,N(U1106)=0),"Date de réception manquante",IF(AND(N(U1106)&gt;0,U1106&lt;B1106),"Réception avant la commande","OK")))))))))))))))))))))</f>
        <v/>
      </c>
      <c r="AA1106" s="66" t="str">
        <f>IF(AND(X1106="Reçu",ISNUMBER(R1106)),IF(N(U1106)&lt;=R1106,1,0),"")</f>
        <v/>
      </c>
      <c r="AB1106" s="76" t="str">
        <f>IF(OR(X1106="Envoyé",X1106="Partiel",X1106="En retard"),IF(ISNUMBER(R1106),R1106,100000)+ROW()/100000,"")</f>
        <v/>
      </c>
      <c r="AC1106" s="66" t="str">
        <f>IF(A1106="","",IF(COUNTIF($A$6:A1106,A1106)=1,1,""))</f>
        <v/>
      </c>
      <c r="AD1106" s="66" t="str">
        <f>IF(AC1106=1,COUNT($AC$6:AC1106),"")</f>
        <v/>
      </c>
      <c r="AE1106" s="66" t="str">
        <f>IFERROR(INDEX(po_num,MATCH(1101,po_seq,0))&amp;"","")</f>
        <v/>
      </c>
      <c r="AF1106" s="66" t="str">
        <f>IF(OR(A1106="",p_po=""),"",IF(A1106&amp;""=p_po,COUNTIF($A$6:A1106,A1106),""))</f>
        <v/>
      </c>
      <c r="AG1106" s="66" t="str">
        <f>IF(OR(AB1106="",A1106=""),"",IF(COUNTIFS($A$6:A1106,A1106,$AB$6:AB1106,"&gt;0")=1,1,""))</f>
        <v/>
      </c>
      <c r="AH1106" s="70" t="str">
        <f>IF(AB1106="","",ROUND(N(W1106)*N(J1106)*(1-N(K1106)),2))</f>
        <v/>
      </c>
      <c r="AI1106" s="70" t="str">
        <f>IF(OR(J1106="",N(T1106)&lt;=0,V1106="Oui"),"",ROUND(N(T1106)*J1106*(1-N(K1106)),2))</f>
        <v/>
      </c>
    </row>
    <row r="1107">
      <c r="A1107" s="63" t="n"/>
      <c r="B1107" s="64" t="n"/>
      <c r="C1107" s="65" t="n"/>
      <c r="D1107" s="66" t="str">
        <f>IF(C1107="","",IFERROR(INDEX(sup_name,MATCH($C1107,sup_code,0))&amp;"","Fournisseur inconnu"))</f>
        <v/>
      </c>
      <c r="E1107" s="63" t="n"/>
      <c r="F1107" s="66" t="str">
        <f>IF(E1107="","",IFERROR(INDEX(art_des,MATCH($E1107,art_ref,0))&amp;"","Article inconnu"))</f>
        <v/>
      </c>
      <c r="G1107" s="67" t="str">
        <f>IF(E1107="","",IFERROR(INDEX(art_unit,MATCH($E1107,art_ref,0))&amp;"",""))</f>
        <v/>
      </c>
      <c r="H1107" s="68" t="n"/>
      <c r="I1107" s="69" t="n"/>
      <c r="J1107" s="70" t="str">
        <f>IF(E1107="","",IF(ISNUMBER(I1107),I1107,IFERROR(IF(ISNUMBER(INDEX(art_price,MATCH($E1107,art_ref,0))),INDEX(art_price,MATCH($E1107,art_ref,0)),""),"")))</f>
        <v/>
      </c>
      <c r="K1107" s="71" t="n"/>
      <c r="L1107" s="72" t="n"/>
      <c r="M1107" s="72" t="str">
        <f>IF(E1107="","",IF(L1107&lt;&gt;"",L1107,IFERROR(IF(ISNUMBER(INDEX(art_tva,MATCH($E1107,art_ref,0))),INDEX(art_tva,MATCH($E1107,art_ref,0)),""),"")))</f>
        <v/>
      </c>
      <c r="N1107" s="70" t="str">
        <f>IF(OR(E1107="",J1107=""),"",ROUND(N(H1107)*J1107*(1-N(K1107)),2))</f>
        <v/>
      </c>
      <c r="O1107" s="70" t="str">
        <f>IF(OR(N1107="",NOT(ISNUMBER(M1107))),"",ROUND(N1107*M1107,2))</f>
        <v/>
      </c>
      <c r="P1107" s="70" t="str">
        <f>IF(N1107="","",N1107+N(O1107))</f>
        <v/>
      </c>
      <c r="Q1107" s="64" t="n"/>
      <c r="R1107" s="73" t="str">
        <f>IF(N(Q1107)&gt;0,Q1107,IF(OR(N(B1107)=0,ISNA(MATCH($C1107,sup_code,0))),"",IF(ISNUMBER(INDEX(sup_delay,MATCH($C1107,sup_code,0))),B1107+INDEX(sup_delay,MATCH($C1107,sup_code,0)),"")))</f>
        <v/>
      </c>
      <c r="S1107" s="64" t="n"/>
      <c r="T1107" s="68" t="n"/>
      <c r="U1107" s="64" t="n"/>
      <c r="V1107" s="65" t="n"/>
      <c r="W1107" s="74" t="str">
        <f>IF(AND(A1107="",E1107=""),"",IF(V1107="Oui",0,MAX(0,ROUND(N(H1107)-N(T1107),6))))</f>
        <v/>
      </c>
      <c r="X1107" s="67" t="str">
        <f>IF(AND(A1107="",E1107=""),"",IF(V1107="Oui","Annulé",IF(AND(N(H1107)&gt;0,N(T1107)&gt;=N(H1107)),"Reçu",IF(N(S1107)=0,"Brouillon",IF(AND(ISNUMBER(R1107),R1107&lt;p_today),"En retard",IF(N(T1107)&gt;0,"Partiel","Envoyé"))))))</f>
        <v/>
      </c>
      <c r="Y1107" s="75" t="str">
        <f>IF(X1107="En retard",p_today-R1107,IF(AND(X1107="Reçu",ISNUMBER(R1107)),MAX(0,N(U1107)-R1107),""))</f>
        <v/>
      </c>
      <c r="Z1107" s="67" t="str">
        <f>IF(AND(A1107="",E1107=""),"",IF(A1107="","N° de bon manquant",IF(N(B1107)=0,"Date de commande manquante",IF(C1107="","Fournisseur manquant",IF(ISNA(MATCH($C1107,sup_code,0)),"Fournisseur inconnu",IF(E1107="","Article manquant",IF(ISNA(MATCH($E1107,art_ref,0)),"Article inconnu",IF(N(H1107)&lt;=0,"Quantité invalide",IF(J1107="","Prix manquant",IF(OR(N(K1107)&lt;0,N(K1107)&gt;=1),"Remise invalide",IF(M1107="","TVA manquante",IF(ISNA(MATCH(M1107,p_tva,0)),"Taux de TVA inconnu",IF(COUNTIFS(po_num,A1107,po_sup,"&lt;&gt;"&amp;C1107)&gt;0,"Fournisseur différent sur ce bon",IF(COUNTIFS(po_num,A1107,po_date,"&lt;&gt;"&amp;B1107)&gt;0,"Date différente sur ce bon",IF(COUNTIF(po_num,A1107)&gt;25,"Plus de 25 lignes sur ce bon",IF(R1107="","Date de livraison manquante",IF(R1107&lt;B1107,"Livraison avant la commande",IF(AND(N(T1107)&gt;0,N(S1107)=0),"Date d'envoi manquante",IF(N(T1107)&gt;N(H1107),"Reçu plus que commandé",IF(AND(N(T1107)&gt;0,N(U1107)=0),"Date de réception manquante",IF(AND(N(U1107)&gt;0,U1107&lt;B1107),"Réception avant la commande","OK")))))))))))))))))))))</f>
        <v/>
      </c>
      <c r="AA1107" s="66" t="str">
        <f>IF(AND(X1107="Reçu",ISNUMBER(R1107)),IF(N(U1107)&lt;=R1107,1,0),"")</f>
        <v/>
      </c>
      <c r="AB1107" s="76" t="str">
        <f>IF(OR(X1107="Envoyé",X1107="Partiel",X1107="En retard"),IF(ISNUMBER(R1107),R1107,100000)+ROW()/100000,"")</f>
        <v/>
      </c>
      <c r="AC1107" s="66" t="str">
        <f>IF(A1107="","",IF(COUNTIF($A$6:A1107,A1107)=1,1,""))</f>
        <v/>
      </c>
      <c r="AD1107" s="66" t="str">
        <f>IF(AC1107=1,COUNT($AC$6:AC1107),"")</f>
        <v/>
      </c>
      <c r="AE1107" s="66" t="str">
        <f>IFERROR(INDEX(po_num,MATCH(1102,po_seq,0))&amp;"","")</f>
        <v/>
      </c>
      <c r="AF1107" s="66" t="str">
        <f>IF(OR(A1107="",p_po=""),"",IF(A1107&amp;""=p_po,COUNTIF($A$6:A1107,A1107),""))</f>
        <v/>
      </c>
      <c r="AG1107" s="66" t="str">
        <f>IF(OR(AB1107="",A1107=""),"",IF(COUNTIFS($A$6:A1107,A1107,$AB$6:AB1107,"&gt;0")=1,1,""))</f>
        <v/>
      </c>
      <c r="AH1107" s="70" t="str">
        <f>IF(AB1107="","",ROUND(N(W1107)*N(J1107)*(1-N(K1107)),2))</f>
        <v/>
      </c>
      <c r="AI1107" s="70" t="str">
        <f>IF(OR(J1107="",N(T1107)&lt;=0,V1107="Oui"),"",ROUND(N(T1107)*J1107*(1-N(K1107)),2))</f>
        <v/>
      </c>
    </row>
    <row r="1108">
      <c r="A1108" s="63" t="n"/>
      <c r="B1108" s="64" t="n"/>
      <c r="C1108" s="65" t="n"/>
      <c r="D1108" s="66" t="str">
        <f>IF(C1108="","",IFERROR(INDEX(sup_name,MATCH($C1108,sup_code,0))&amp;"","Fournisseur inconnu"))</f>
        <v/>
      </c>
      <c r="E1108" s="63" t="n"/>
      <c r="F1108" s="66" t="str">
        <f>IF(E1108="","",IFERROR(INDEX(art_des,MATCH($E1108,art_ref,0))&amp;"","Article inconnu"))</f>
        <v/>
      </c>
      <c r="G1108" s="67" t="str">
        <f>IF(E1108="","",IFERROR(INDEX(art_unit,MATCH($E1108,art_ref,0))&amp;"",""))</f>
        <v/>
      </c>
      <c r="H1108" s="68" t="n"/>
      <c r="I1108" s="69" t="n"/>
      <c r="J1108" s="70" t="str">
        <f>IF(E1108="","",IF(ISNUMBER(I1108),I1108,IFERROR(IF(ISNUMBER(INDEX(art_price,MATCH($E1108,art_ref,0))),INDEX(art_price,MATCH($E1108,art_ref,0)),""),"")))</f>
        <v/>
      </c>
      <c r="K1108" s="71" t="n"/>
      <c r="L1108" s="72" t="n"/>
      <c r="M1108" s="72" t="str">
        <f>IF(E1108="","",IF(L1108&lt;&gt;"",L1108,IFERROR(IF(ISNUMBER(INDEX(art_tva,MATCH($E1108,art_ref,0))),INDEX(art_tva,MATCH($E1108,art_ref,0)),""),"")))</f>
        <v/>
      </c>
      <c r="N1108" s="70" t="str">
        <f>IF(OR(E1108="",J1108=""),"",ROUND(N(H1108)*J1108*(1-N(K1108)),2))</f>
        <v/>
      </c>
      <c r="O1108" s="70" t="str">
        <f>IF(OR(N1108="",NOT(ISNUMBER(M1108))),"",ROUND(N1108*M1108,2))</f>
        <v/>
      </c>
      <c r="P1108" s="70" t="str">
        <f>IF(N1108="","",N1108+N(O1108))</f>
        <v/>
      </c>
      <c r="Q1108" s="64" t="n"/>
      <c r="R1108" s="73" t="str">
        <f>IF(N(Q1108)&gt;0,Q1108,IF(OR(N(B1108)=0,ISNA(MATCH($C1108,sup_code,0))),"",IF(ISNUMBER(INDEX(sup_delay,MATCH($C1108,sup_code,0))),B1108+INDEX(sup_delay,MATCH($C1108,sup_code,0)),"")))</f>
        <v/>
      </c>
      <c r="S1108" s="64" t="n"/>
      <c r="T1108" s="68" t="n"/>
      <c r="U1108" s="64" t="n"/>
      <c r="V1108" s="65" t="n"/>
      <c r="W1108" s="74" t="str">
        <f>IF(AND(A1108="",E1108=""),"",IF(V1108="Oui",0,MAX(0,ROUND(N(H1108)-N(T1108),6))))</f>
        <v/>
      </c>
      <c r="X1108" s="67" t="str">
        <f>IF(AND(A1108="",E1108=""),"",IF(V1108="Oui","Annulé",IF(AND(N(H1108)&gt;0,N(T1108)&gt;=N(H1108)),"Reçu",IF(N(S1108)=0,"Brouillon",IF(AND(ISNUMBER(R1108),R1108&lt;p_today),"En retard",IF(N(T1108)&gt;0,"Partiel","Envoyé"))))))</f>
        <v/>
      </c>
      <c r="Y1108" s="75" t="str">
        <f>IF(X1108="En retard",p_today-R1108,IF(AND(X1108="Reçu",ISNUMBER(R1108)),MAX(0,N(U1108)-R1108),""))</f>
        <v/>
      </c>
      <c r="Z1108" s="67" t="str">
        <f>IF(AND(A1108="",E1108=""),"",IF(A1108="","N° de bon manquant",IF(N(B1108)=0,"Date de commande manquante",IF(C1108="","Fournisseur manquant",IF(ISNA(MATCH($C1108,sup_code,0)),"Fournisseur inconnu",IF(E1108="","Article manquant",IF(ISNA(MATCH($E1108,art_ref,0)),"Article inconnu",IF(N(H1108)&lt;=0,"Quantité invalide",IF(J1108="","Prix manquant",IF(OR(N(K1108)&lt;0,N(K1108)&gt;=1),"Remise invalide",IF(M1108="","TVA manquante",IF(ISNA(MATCH(M1108,p_tva,0)),"Taux de TVA inconnu",IF(COUNTIFS(po_num,A1108,po_sup,"&lt;&gt;"&amp;C1108)&gt;0,"Fournisseur différent sur ce bon",IF(COUNTIFS(po_num,A1108,po_date,"&lt;&gt;"&amp;B1108)&gt;0,"Date différente sur ce bon",IF(COUNTIF(po_num,A1108)&gt;25,"Plus de 25 lignes sur ce bon",IF(R1108="","Date de livraison manquante",IF(R1108&lt;B1108,"Livraison avant la commande",IF(AND(N(T1108)&gt;0,N(S1108)=0),"Date d'envoi manquante",IF(N(T1108)&gt;N(H1108),"Reçu plus que commandé",IF(AND(N(T1108)&gt;0,N(U1108)=0),"Date de réception manquante",IF(AND(N(U1108)&gt;0,U1108&lt;B1108),"Réception avant la commande","OK")))))))))))))))))))))</f>
        <v/>
      </c>
      <c r="AA1108" s="66" t="str">
        <f>IF(AND(X1108="Reçu",ISNUMBER(R1108)),IF(N(U1108)&lt;=R1108,1,0),"")</f>
        <v/>
      </c>
      <c r="AB1108" s="76" t="str">
        <f>IF(OR(X1108="Envoyé",X1108="Partiel",X1108="En retard"),IF(ISNUMBER(R1108),R1108,100000)+ROW()/100000,"")</f>
        <v/>
      </c>
      <c r="AC1108" s="66" t="str">
        <f>IF(A1108="","",IF(COUNTIF($A$6:A1108,A1108)=1,1,""))</f>
        <v/>
      </c>
      <c r="AD1108" s="66" t="str">
        <f>IF(AC1108=1,COUNT($AC$6:AC1108),"")</f>
        <v/>
      </c>
      <c r="AE1108" s="66" t="str">
        <f>IFERROR(INDEX(po_num,MATCH(1103,po_seq,0))&amp;"","")</f>
        <v/>
      </c>
      <c r="AF1108" s="66" t="str">
        <f>IF(OR(A1108="",p_po=""),"",IF(A1108&amp;""=p_po,COUNTIF($A$6:A1108,A1108),""))</f>
        <v/>
      </c>
      <c r="AG1108" s="66" t="str">
        <f>IF(OR(AB1108="",A1108=""),"",IF(COUNTIFS($A$6:A1108,A1108,$AB$6:AB1108,"&gt;0")=1,1,""))</f>
        <v/>
      </c>
      <c r="AH1108" s="70" t="str">
        <f>IF(AB1108="","",ROUND(N(W1108)*N(J1108)*(1-N(K1108)),2))</f>
        <v/>
      </c>
      <c r="AI1108" s="70" t="str">
        <f>IF(OR(J1108="",N(T1108)&lt;=0,V1108="Oui"),"",ROUND(N(T1108)*J1108*(1-N(K1108)),2))</f>
        <v/>
      </c>
    </row>
    <row r="1109">
      <c r="A1109" s="63" t="n"/>
      <c r="B1109" s="64" t="n"/>
      <c r="C1109" s="65" t="n"/>
      <c r="D1109" s="66" t="str">
        <f>IF(C1109="","",IFERROR(INDEX(sup_name,MATCH($C1109,sup_code,0))&amp;"","Fournisseur inconnu"))</f>
        <v/>
      </c>
      <c r="E1109" s="63" t="n"/>
      <c r="F1109" s="66" t="str">
        <f>IF(E1109="","",IFERROR(INDEX(art_des,MATCH($E1109,art_ref,0))&amp;"","Article inconnu"))</f>
        <v/>
      </c>
      <c r="G1109" s="67" t="str">
        <f>IF(E1109="","",IFERROR(INDEX(art_unit,MATCH($E1109,art_ref,0))&amp;"",""))</f>
        <v/>
      </c>
      <c r="H1109" s="68" t="n"/>
      <c r="I1109" s="69" t="n"/>
      <c r="J1109" s="70" t="str">
        <f>IF(E1109="","",IF(ISNUMBER(I1109),I1109,IFERROR(IF(ISNUMBER(INDEX(art_price,MATCH($E1109,art_ref,0))),INDEX(art_price,MATCH($E1109,art_ref,0)),""),"")))</f>
        <v/>
      </c>
      <c r="K1109" s="71" t="n"/>
      <c r="L1109" s="72" t="n"/>
      <c r="M1109" s="72" t="str">
        <f>IF(E1109="","",IF(L1109&lt;&gt;"",L1109,IFERROR(IF(ISNUMBER(INDEX(art_tva,MATCH($E1109,art_ref,0))),INDEX(art_tva,MATCH($E1109,art_ref,0)),""),"")))</f>
        <v/>
      </c>
      <c r="N1109" s="70" t="str">
        <f>IF(OR(E1109="",J1109=""),"",ROUND(N(H1109)*J1109*(1-N(K1109)),2))</f>
        <v/>
      </c>
      <c r="O1109" s="70" t="str">
        <f>IF(OR(N1109="",NOT(ISNUMBER(M1109))),"",ROUND(N1109*M1109,2))</f>
        <v/>
      </c>
      <c r="P1109" s="70" t="str">
        <f>IF(N1109="","",N1109+N(O1109))</f>
        <v/>
      </c>
      <c r="Q1109" s="64" t="n"/>
      <c r="R1109" s="73" t="str">
        <f>IF(N(Q1109)&gt;0,Q1109,IF(OR(N(B1109)=0,ISNA(MATCH($C1109,sup_code,0))),"",IF(ISNUMBER(INDEX(sup_delay,MATCH($C1109,sup_code,0))),B1109+INDEX(sup_delay,MATCH($C1109,sup_code,0)),"")))</f>
        <v/>
      </c>
      <c r="S1109" s="64" t="n"/>
      <c r="T1109" s="68" t="n"/>
      <c r="U1109" s="64" t="n"/>
      <c r="V1109" s="65" t="n"/>
      <c r="W1109" s="74" t="str">
        <f>IF(AND(A1109="",E1109=""),"",IF(V1109="Oui",0,MAX(0,ROUND(N(H1109)-N(T1109),6))))</f>
        <v/>
      </c>
      <c r="X1109" s="67" t="str">
        <f>IF(AND(A1109="",E1109=""),"",IF(V1109="Oui","Annulé",IF(AND(N(H1109)&gt;0,N(T1109)&gt;=N(H1109)),"Reçu",IF(N(S1109)=0,"Brouillon",IF(AND(ISNUMBER(R1109),R1109&lt;p_today),"En retard",IF(N(T1109)&gt;0,"Partiel","Envoyé"))))))</f>
        <v/>
      </c>
      <c r="Y1109" s="75" t="str">
        <f>IF(X1109="En retard",p_today-R1109,IF(AND(X1109="Reçu",ISNUMBER(R1109)),MAX(0,N(U1109)-R1109),""))</f>
        <v/>
      </c>
      <c r="Z1109" s="67" t="str">
        <f>IF(AND(A1109="",E1109=""),"",IF(A1109="","N° de bon manquant",IF(N(B1109)=0,"Date de commande manquante",IF(C1109="","Fournisseur manquant",IF(ISNA(MATCH($C1109,sup_code,0)),"Fournisseur inconnu",IF(E1109="","Article manquant",IF(ISNA(MATCH($E1109,art_ref,0)),"Article inconnu",IF(N(H1109)&lt;=0,"Quantité invalide",IF(J1109="","Prix manquant",IF(OR(N(K1109)&lt;0,N(K1109)&gt;=1),"Remise invalide",IF(M1109="","TVA manquante",IF(ISNA(MATCH(M1109,p_tva,0)),"Taux de TVA inconnu",IF(COUNTIFS(po_num,A1109,po_sup,"&lt;&gt;"&amp;C1109)&gt;0,"Fournisseur différent sur ce bon",IF(COUNTIFS(po_num,A1109,po_date,"&lt;&gt;"&amp;B1109)&gt;0,"Date différente sur ce bon",IF(COUNTIF(po_num,A1109)&gt;25,"Plus de 25 lignes sur ce bon",IF(R1109="","Date de livraison manquante",IF(R1109&lt;B1109,"Livraison avant la commande",IF(AND(N(T1109)&gt;0,N(S1109)=0),"Date d'envoi manquante",IF(N(T1109)&gt;N(H1109),"Reçu plus que commandé",IF(AND(N(T1109)&gt;0,N(U1109)=0),"Date de réception manquante",IF(AND(N(U1109)&gt;0,U1109&lt;B1109),"Réception avant la commande","OK")))))))))))))))))))))</f>
        <v/>
      </c>
      <c r="AA1109" s="66" t="str">
        <f>IF(AND(X1109="Reçu",ISNUMBER(R1109)),IF(N(U1109)&lt;=R1109,1,0),"")</f>
        <v/>
      </c>
      <c r="AB1109" s="76" t="str">
        <f>IF(OR(X1109="Envoyé",X1109="Partiel",X1109="En retard"),IF(ISNUMBER(R1109),R1109,100000)+ROW()/100000,"")</f>
        <v/>
      </c>
      <c r="AC1109" s="66" t="str">
        <f>IF(A1109="","",IF(COUNTIF($A$6:A1109,A1109)=1,1,""))</f>
        <v/>
      </c>
      <c r="AD1109" s="66" t="str">
        <f>IF(AC1109=1,COUNT($AC$6:AC1109),"")</f>
        <v/>
      </c>
      <c r="AE1109" s="66" t="str">
        <f>IFERROR(INDEX(po_num,MATCH(1104,po_seq,0))&amp;"","")</f>
        <v/>
      </c>
      <c r="AF1109" s="66" t="str">
        <f>IF(OR(A1109="",p_po=""),"",IF(A1109&amp;""=p_po,COUNTIF($A$6:A1109,A1109),""))</f>
        <v/>
      </c>
      <c r="AG1109" s="66" t="str">
        <f>IF(OR(AB1109="",A1109=""),"",IF(COUNTIFS($A$6:A1109,A1109,$AB$6:AB1109,"&gt;0")=1,1,""))</f>
        <v/>
      </c>
      <c r="AH1109" s="70" t="str">
        <f>IF(AB1109="","",ROUND(N(W1109)*N(J1109)*(1-N(K1109)),2))</f>
        <v/>
      </c>
      <c r="AI1109" s="70" t="str">
        <f>IF(OR(J1109="",N(T1109)&lt;=0,V1109="Oui"),"",ROUND(N(T1109)*J1109*(1-N(K1109)),2))</f>
        <v/>
      </c>
    </row>
    <row r="1110">
      <c r="A1110" s="63" t="n"/>
      <c r="B1110" s="64" t="n"/>
      <c r="C1110" s="65" t="n"/>
      <c r="D1110" s="66" t="str">
        <f>IF(C1110="","",IFERROR(INDEX(sup_name,MATCH($C1110,sup_code,0))&amp;"","Fournisseur inconnu"))</f>
        <v/>
      </c>
      <c r="E1110" s="63" t="n"/>
      <c r="F1110" s="66" t="str">
        <f>IF(E1110="","",IFERROR(INDEX(art_des,MATCH($E1110,art_ref,0))&amp;"","Article inconnu"))</f>
        <v/>
      </c>
      <c r="G1110" s="67" t="str">
        <f>IF(E1110="","",IFERROR(INDEX(art_unit,MATCH($E1110,art_ref,0))&amp;"",""))</f>
        <v/>
      </c>
      <c r="H1110" s="68" t="n"/>
      <c r="I1110" s="69" t="n"/>
      <c r="J1110" s="70" t="str">
        <f>IF(E1110="","",IF(ISNUMBER(I1110),I1110,IFERROR(IF(ISNUMBER(INDEX(art_price,MATCH($E1110,art_ref,0))),INDEX(art_price,MATCH($E1110,art_ref,0)),""),"")))</f>
        <v/>
      </c>
      <c r="K1110" s="71" t="n"/>
      <c r="L1110" s="72" t="n"/>
      <c r="M1110" s="72" t="str">
        <f>IF(E1110="","",IF(L1110&lt;&gt;"",L1110,IFERROR(IF(ISNUMBER(INDEX(art_tva,MATCH($E1110,art_ref,0))),INDEX(art_tva,MATCH($E1110,art_ref,0)),""),"")))</f>
        <v/>
      </c>
      <c r="N1110" s="70" t="str">
        <f>IF(OR(E1110="",J1110=""),"",ROUND(N(H1110)*J1110*(1-N(K1110)),2))</f>
        <v/>
      </c>
      <c r="O1110" s="70" t="str">
        <f>IF(OR(N1110="",NOT(ISNUMBER(M1110))),"",ROUND(N1110*M1110,2))</f>
        <v/>
      </c>
      <c r="P1110" s="70" t="str">
        <f>IF(N1110="","",N1110+N(O1110))</f>
        <v/>
      </c>
      <c r="Q1110" s="64" t="n"/>
      <c r="R1110" s="73" t="str">
        <f>IF(N(Q1110)&gt;0,Q1110,IF(OR(N(B1110)=0,ISNA(MATCH($C1110,sup_code,0))),"",IF(ISNUMBER(INDEX(sup_delay,MATCH($C1110,sup_code,0))),B1110+INDEX(sup_delay,MATCH($C1110,sup_code,0)),"")))</f>
        <v/>
      </c>
      <c r="S1110" s="64" t="n"/>
      <c r="T1110" s="68" t="n"/>
      <c r="U1110" s="64" t="n"/>
      <c r="V1110" s="65" t="n"/>
      <c r="W1110" s="74" t="str">
        <f>IF(AND(A1110="",E1110=""),"",IF(V1110="Oui",0,MAX(0,ROUND(N(H1110)-N(T1110),6))))</f>
        <v/>
      </c>
      <c r="X1110" s="67" t="str">
        <f>IF(AND(A1110="",E1110=""),"",IF(V1110="Oui","Annulé",IF(AND(N(H1110)&gt;0,N(T1110)&gt;=N(H1110)),"Reçu",IF(N(S1110)=0,"Brouillon",IF(AND(ISNUMBER(R1110),R1110&lt;p_today),"En retard",IF(N(T1110)&gt;0,"Partiel","Envoyé"))))))</f>
        <v/>
      </c>
      <c r="Y1110" s="75" t="str">
        <f>IF(X1110="En retard",p_today-R1110,IF(AND(X1110="Reçu",ISNUMBER(R1110)),MAX(0,N(U1110)-R1110),""))</f>
        <v/>
      </c>
      <c r="Z1110" s="67" t="str">
        <f>IF(AND(A1110="",E1110=""),"",IF(A1110="","N° de bon manquant",IF(N(B1110)=0,"Date de commande manquante",IF(C1110="","Fournisseur manquant",IF(ISNA(MATCH($C1110,sup_code,0)),"Fournisseur inconnu",IF(E1110="","Article manquant",IF(ISNA(MATCH($E1110,art_ref,0)),"Article inconnu",IF(N(H1110)&lt;=0,"Quantité invalide",IF(J1110="","Prix manquant",IF(OR(N(K1110)&lt;0,N(K1110)&gt;=1),"Remise invalide",IF(M1110="","TVA manquante",IF(ISNA(MATCH(M1110,p_tva,0)),"Taux de TVA inconnu",IF(COUNTIFS(po_num,A1110,po_sup,"&lt;&gt;"&amp;C1110)&gt;0,"Fournisseur différent sur ce bon",IF(COUNTIFS(po_num,A1110,po_date,"&lt;&gt;"&amp;B1110)&gt;0,"Date différente sur ce bon",IF(COUNTIF(po_num,A1110)&gt;25,"Plus de 25 lignes sur ce bon",IF(R1110="","Date de livraison manquante",IF(R1110&lt;B1110,"Livraison avant la commande",IF(AND(N(T1110)&gt;0,N(S1110)=0),"Date d'envoi manquante",IF(N(T1110)&gt;N(H1110),"Reçu plus que commandé",IF(AND(N(T1110)&gt;0,N(U1110)=0),"Date de réception manquante",IF(AND(N(U1110)&gt;0,U1110&lt;B1110),"Réception avant la commande","OK")))))))))))))))))))))</f>
        <v/>
      </c>
      <c r="AA1110" s="66" t="str">
        <f>IF(AND(X1110="Reçu",ISNUMBER(R1110)),IF(N(U1110)&lt;=R1110,1,0),"")</f>
        <v/>
      </c>
      <c r="AB1110" s="76" t="str">
        <f>IF(OR(X1110="Envoyé",X1110="Partiel",X1110="En retard"),IF(ISNUMBER(R1110),R1110,100000)+ROW()/100000,"")</f>
        <v/>
      </c>
      <c r="AC1110" s="66" t="str">
        <f>IF(A1110="","",IF(COUNTIF($A$6:A1110,A1110)=1,1,""))</f>
        <v/>
      </c>
      <c r="AD1110" s="66" t="str">
        <f>IF(AC1110=1,COUNT($AC$6:AC1110),"")</f>
        <v/>
      </c>
      <c r="AE1110" s="66" t="str">
        <f>IFERROR(INDEX(po_num,MATCH(1105,po_seq,0))&amp;"","")</f>
        <v/>
      </c>
      <c r="AF1110" s="66" t="str">
        <f>IF(OR(A1110="",p_po=""),"",IF(A1110&amp;""=p_po,COUNTIF($A$6:A1110,A1110),""))</f>
        <v/>
      </c>
      <c r="AG1110" s="66" t="str">
        <f>IF(OR(AB1110="",A1110=""),"",IF(COUNTIFS($A$6:A1110,A1110,$AB$6:AB1110,"&gt;0")=1,1,""))</f>
        <v/>
      </c>
      <c r="AH1110" s="70" t="str">
        <f>IF(AB1110="","",ROUND(N(W1110)*N(J1110)*(1-N(K1110)),2))</f>
        <v/>
      </c>
      <c r="AI1110" s="70" t="str">
        <f>IF(OR(J1110="",N(T1110)&lt;=0,V1110="Oui"),"",ROUND(N(T1110)*J1110*(1-N(K1110)),2))</f>
        <v/>
      </c>
    </row>
    <row r="1111">
      <c r="A1111" s="63" t="n"/>
      <c r="B1111" s="64" t="n"/>
      <c r="C1111" s="65" t="n"/>
      <c r="D1111" s="66" t="str">
        <f>IF(C1111="","",IFERROR(INDEX(sup_name,MATCH($C1111,sup_code,0))&amp;"","Fournisseur inconnu"))</f>
        <v/>
      </c>
      <c r="E1111" s="63" t="n"/>
      <c r="F1111" s="66" t="str">
        <f>IF(E1111="","",IFERROR(INDEX(art_des,MATCH($E1111,art_ref,0))&amp;"","Article inconnu"))</f>
        <v/>
      </c>
      <c r="G1111" s="67" t="str">
        <f>IF(E1111="","",IFERROR(INDEX(art_unit,MATCH($E1111,art_ref,0))&amp;"",""))</f>
        <v/>
      </c>
      <c r="H1111" s="68" t="n"/>
      <c r="I1111" s="69" t="n"/>
      <c r="J1111" s="70" t="str">
        <f>IF(E1111="","",IF(ISNUMBER(I1111),I1111,IFERROR(IF(ISNUMBER(INDEX(art_price,MATCH($E1111,art_ref,0))),INDEX(art_price,MATCH($E1111,art_ref,0)),""),"")))</f>
        <v/>
      </c>
      <c r="K1111" s="71" t="n"/>
      <c r="L1111" s="72" t="n"/>
      <c r="M1111" s="72" t="str">
        <f>IF(E1111="","",IF(L1111&lt;&gt;"",L1111,IFERROR(IF(ISNUMBER(INDEX(art_tva,MATCH($E1111,art_ref,0))),INDEX(art_tva,MATCH($E1111,art_ref,0)),""),"")))</f>
        <v/>
      </c>
      <c r="N1111" s="70" t="str">
        <f>IF(OR(E1111="",J1111=""),"",ROUND(N(H1111)*J1111*(1-N(K1111)),2))</f>
        <v/>
      </c>
      <c r="O1111" s="70" t="str">
        <f>IF(OR(N1111="",NOT(ISNUMBER(M1111))),"",ROUND(N1111*M1111,2))</f>
        <v/>
      </c>
      <c r="P1111" s="70" t="str">
        <f>IF(N1111="","",N1111+N(O1111))</f>
        <v/>
      </c>
      <c r="Q1111" s="64" t="n"/>
      <c r="R1111" s="73" t="str">
        <f>IF(N(Q1111)&gt;0,Q1111,IF(OR(N(B1111)=0,ISNA(MATCH($C1111,sup_code,0))),"",IF(ISNUMBER(INDEX(sup_delay,MATCH($C1111,sup_code,0))),B1111+INDEX(sup_delay,MATCH($C1111,sup_code,0)),"")))</f>
        <v/>
      </c>
      <c r="S1111" s="64" t="n"/>
      <c r="T1111" s="68" t="n"/>
      <c r="U1111" s="64" t="n"/>
      <c r="V1111" s="65" t="n"/>
      <c r="W1111" s="74" t="str">
        <f>IF(AND(A1111="",E1111=""),"",IF(V1111="Oui",0,MAX(0,ROUND(N(H1111)-N(T1111),6))))</f>
        <v/>
      </c>
      <c r="X1111" s="67" t="str">
        <f>IF(AND(A1111="",E1111=""),"",IF(V1111="Oui","Annulé",IF(AND(N(H1111)&gt;0,N(T1111)&gt;=N(H1111)),"Reçu",IF(N(S1111)=0,"Brouillon",IF(AND(ISNUMBER(R1111),R1111&lt;p_today),"En retard",IF(N(T1111)&gt;0,"Partiel","Envoyé"))))))</f>
        <v/>
      </c>
      <c r="Y1111" s="75" t="str">
        <f>IF(X1111="En retard",p_today-R1111,IF(AND(X1111="Reçu",ISNUMBER(R1111)),MAX(0,N(U1111)-R1111),""))</f>
        <v/>
      </c>
      <c r="Z1111" s="67" t="str">
        <f>IF(AND(A1111="",E1111=""),"",IF(A1111="","N° de bon manquant",IF(N(B1111)=0,"Date de commande manquante",IF(C1111="","Fournisseur manquant",IF(ISNA(MATCH($C1111,sup_code,0)),"Fournisseur inconnu",IF(E1111="","Article manquant",IF(ISNA(MATCH($E1111,art_ref,0)),"Article inconnu",IF(N(H1111)&lt;=0,"Quantité invalide",IF(J1111="","Prix manquant",IF(OR(N(K1111)&lt;0,N(K1111)&gt;=1),"Remise invalide",IF(M1111="","TVA manquante",IF(ISNA(MATCH(M1111,p_tva,0)),"Taux de TVA inconnu",IF(COUNTIFS(po_num,A1111,po_sup,"&lt;&gt;"&amp;C1111)&gt;0,"Fournisseur différent sur ce bon",IF(COUNTIFS(po_num,A1111,po_date,"&lt;&gt;"&amp;B1111)&gt;0,"Date différente sur ce bon",IF(COUNTIF(po_num,A1111)&gt;25,"Plus de 25 lignes sur ce bon",IF(R1111="","Date de livraison manquante",IF(R1111&lt;B1111,"Livraison avant la commande",IF(AND(N(T1111)&gt;0,N(S1111)=0),"Date d'envoi manquante",IF(N(T1111)&gt;N(H1111),"Reçu plus que commandé",IF(AND(N(T1111)&gt;0,N(U1111)=0),"Date de réception manquante",IF(AND(N(U1111)&gt;0,U1111&lt;B1111),"Réception avant la commande","OK")))))))))))))))))))))</f>
        <v/>
      </c>
      <c r="AA1111" s="66" t="str">
        <f>IF(AND(X1111="Reçu",ISNUMBER(R1111)),IF(N(U1111)&lt;=R1111,1,0),"")</f>
        <v/>
      </c>
      <c r="AB1111" s="76" t="str">
        <f>IF(OR(X1111="Envoyé",X1111="Partiel",X1111="En retard"),IF(ISNUMBER(R1111),R1111,100000)+ROW()/100000,"")</f>
        <v/>
      </c>
      <c r="AC1111" s="66" t="str">
        <f>IF(A1111="","",IF(COUNTIF($A$6:A1111,A1111)=1,1,""))</f>
        <v/>
      </c>
      <c r="AD1111" s="66" t="str">
        <f>IF(AC1111=1,COUNT($AC$6:AC1111),"")</f>
        <v/>
      </c>
      <c r="AE1111" s="66" t="str">
        <f>IFERROR(INDEX(po_num,MATCH(1106,po_seq,0))&amp;"","")</f>
        <v/>
      </c>
      <c r="AF1111" s="66" t="str">
        <f>IF(OR(A1111="",p_po=""),"",IF(A1111&amp;""=p_po,COUNTIF($A$6:A1111,A1111),""))</f>
        <v/>
      </c>
      <c r="AG1111" s="66" t="str">
        <f>IF(OR(AB1111="",A1111=""),"",IF(COUNTIFS($A$6:A1111,A1111,$AB$6:AB1111,"&gt;0")=1,1,""))</f>
        <v/>
      </c>
      <c r="AH1111" s="70" t="str">
        <f>IF(AB1111="","",ROUND(N(W1111)*N(J1111)*(1-N(K1111)),2))</f>
        <v/>
      </c>
      <c r="AI1111" s="70" t="str">
        <f>IF(OR(J1111="",N(T1111)&lt;=0,V1111="Oui"),"",ROUND(N(T1111)*J1111*(1-N(K1111)),2))</f>
        <v/>
      </c>
    </row>
    <row r="1112">
      <c r="A1112" s="63" t="n"/>
      <c r="B1112" s="64" t="n"/>
      <c r="C1112" s="65" t="n"/>
      <c r="D1112" s="66" t="str">
        <f>IF(C1112="","",IFERROR(INDEX(sup_name,MATCH($C1112,sup_code,0))&amp;"","Fournisseur inconnu"))</f>
        <v/>
      </c>
      <c r="E1112" s="63" t="n"/>
      <c r="F1112" s="66" t="str">
        <f>IF(E1112="","",IFERROR(INDEX(art_des,MATCH($E1112,art_ref,0))&amp;"","Article inconnu"))</f>
        <v/>
      </c>
      <c r="G1112" s="67" t="str">
        <f>IF(E1112="","",IFERROR(INDEX(art_unit,MATCH($E1112,art_ref,0))&amp;"",""))</f>
        <v/>
      </c>
      <c r="H1112" s="68" t="n"/>
      <c r="I1112" s="69" t="n"/>
      <c r="J1112" s="70" t="str">
        <f>IF(E1112="","",IF(ISNUMBER(I1112),I1112,IFERROR(IF(ISNUMBER(INDEX(art_price,MATCH($E1112,art_ref,0))),INDEX(art_price,MATCH($E1112,art_ref,0)),""),"")))</f>
        <v/>
      </c>
      <c r="K1112" s="71" t="n"/>
      <c r="L1112" s="72" t="n"/>
      <c r="M1112" s="72" t="str">
        <f>IF(E1112="","",IF(L1112&lt;&gt;"",L1112,IFERROR(IF(ISNUMBER(INDEX(art_tva,MATCH($E1112,art_ref,0))),INDEX(art_tva,MATCH($E1112,art_ref,0)),""),"")))</f>
        <v/>
      </c>
      <c r="N1112" s="70" t="str">
        <f>IF(OR(E1112="",J1112=""),"",ROUND(N(H1112)*J1112*(1-N(K1112)),2))</f>
        <v/>
      </c>
      <c r="O1112" s="70" t="str">
        <f>IF(OR(N1112="",NOT(ISNUMBER(M1112))),"",ROUND(N1112*M1112,2))</f>
        <v/>
      </c>
      <c r="P1112" s="70" t="str">
        <f>IF(N1112="","",N1112+N(O1112))</f>
        <v/>
      </c>
      <c r="Q1112" s="64" t="n"/>
      <c r="R1112" s="73" t="str">
        <f>IF(N(Q1112)&gt;0,Q1112,IF(OR(N(B1112)=0,ISNA(MATCH($C1112,sup_code,0))),"",IF(ISNUMBER(INDEX(sup_delay,MATCH($C1112,sup_code,0))),B1112+INDEX(sup_delay,MATCH($C1112,sup_code,0)),"")))</f>
        <v/>
      </c>
      <c r="S1112" s="64" t="n"/>
      <c r="T1112" s="68" t="n"/>
      <c r="U1112" s="64" t="n"/>
      <c r="V1112" s="65" t="n"/>
      <c r="W1112" s="74" t="str">
        <f>IF(AND(A1112="",E1112=""),"",IF(V1112="Oui",0,MAX(0,ROUND(N(H1112)-N(T1112),6))))</f>
        <v/>
      </c>
      <c r="X1112" s="67" t="str">
        <f>IF(AND(A1112="",E1112=""),"",IF(V1112="Oui","Annulé",IF(AND(N(H1112)&gt;0,N(T1112)&gt;=N(H1112)),"Reçu",IF(N(S1112)=0,"Brouillon",IF(AND(ISNUMBER(R1112),R1112&lt;p_today),"En retard",IF(N(T1112)&gt;0,"Partiel","Envoyé"))))))</f>
        <v/>
      </c>
      <c r="Y1112" s="75" t="str">
        <f>IF(X1112="En retard",p_today-R1112,IF(AND(X1112="Reçu",ISNUMBER(R1112)),MAX(0,N(U1112)-R1112),""))</f>
        <v/>
      </c>
      <c r="Z1112" s="67" t="str">
        <f>IF(AND(A1112="",E1112=""),"",IF(A1112="","N° de bon manquant",IF(N(B1112)=0,"Date de commande manquante",IF(C1112="","Fournisseur manquant",IF(ISNA(MATCH($C1112,sup_code,0)),"Fournisseur inconnu",IF(E1112="","Article manquant",IF(ISNA(MATCH($E1112,art_ref,0)),"Article inconnu",IF(N(H1112)&lt;=0,"Quantité invalide",IF(J1112="","Prix manquant",IF(OR(N(K1112)&lt;0,N(K1112)&gt;=1),"Remise invalide",IF(M1112="","TVA manquante",IF(ISNA(MATCH(M1112,p_tva,0)),"Taux de TVA inconnu",IF(COUNTIFS(po_num,A1112,po_sup,"&lt;&gt;"&amp;C1112)&gt;0,"Fournisseur différent sur ce bon",IF(COUNTIFS(po_num,A1112,po_date,"&lt;&gt;"&amp;B1112)&gt;0,"Date différente sur ce bon",IF(COUNTIF(po_num,A1112)&gt;25,"Plus de 25 lignes sur ce bon",IF(R1112="","Date de livraison manquante",IF(R1112&lt;B1112,"Livraison avant la commande",IF(AND(N(T1112)&gt;0,N(S1112)=0),"Date d'envoi manquante",IF(N(T1112)&gt;N(H1112),"Reçu plus que commandé",IF(AND(N(T1112)&gt;0,N(U1112)=0),"Date de réception manquante",IF(AND(N(U1112)&gt;0,U1112&lt;B1112),"Réception avant la commande","OK")))))))))))))))))))))</f>
        <v/>
      </c>
      <c r="AA1112" s="66" t="str">
        <f>IF(AND(X1112="Reçu",ISNUMBER(R1112)),IF(N(U1112)&lt;=R1112,1,0),"")</f>
        <v/>
      </c>
      <c r="AB1112" s="76" t="str">
        <f>IF(OR(X1112="Envoyé",X1112="Partiel",X1112="En retard"),IF(ISNUMBER(R1112),R1112,100000)+ROW()/100000,"")</f>
        <v/>
      </c>
      <c r="AC1112" s="66" t="str">
        <f>IF(A1112="","",IF(COUNTIF($A$6:A1112,A1112)=1,1,""))</f>
        <v/>
      </c>
      <c r="AD1112" s="66" t="str">
        <f>IF(AC1112=1,COUNT($AC$6:AC1112),"")</f>
        <v/>
      </c>
      <c r="AE1112" s="66" t="str">
        <f>IFERROR(INDEX(po_num,MATCH(1107,po_seq,0))&amp;"","")</f>
        <v/>
      </c>
      <c r="AF1112" s="66" t="str">
        <f>IF(OR(A1112="",p_po=""),"",IF(A1112&amp;""=p_po,COUNTIF($A$6:A1112,A1112),""))</f>
        <v/>
      </c>
      <c r="AG1112" s="66" t="str">
        <f>IF(OR(AB1112="",A1112=""),"",IF(COUNTIFS($A$6:A1112,A1112,$AB$6:AB1112,"&gt;0")=1,1,""))</f>
        <v/>
      </c>
      <c r="AH1112" s="70" t="str">
        <f>IF(AB1112="","",ROUND(N(W1112)*N(J1112)*(1-N(K1112)),2))</f>
        <v/>
      </c>
      <c r="AI1112" s="70" t="str">
        <f>IF(OR(J1112="",N(T1112)&lt;=0,V1112="Oui"),"",ROUND(N(T1112)*J1112*(1-N(K1112)),2))</f>
        <v/>
      </c>
    </row>
    <row r="1113">
      <c r="A1113" s="63" t="n"/>
      <c r="B1113" s="64" t="n"/>
      <c r="C1113" s="65" t="n"/>
      <c r="D1113" s="66" t="str">
        <f>IF(C1113="","",IFERROR(INDEX(sup_name,MATCH($C1113,sup_code,0))&amp;"","Fournisseur inconnu"))</f>
        <v/>
      </c>
      <c r="E1113" s="63" t="n"/>
      <c r="F1113" s="66" t="str">
        <f>IF(E1113="","",IFERROR(INDEX(art_des,MATCH($E1113,art_ref,0))&amp;"","Article inconnu"))</f>
        <v/>
      </c>
      <c r="G1113" s="67" t="str">
        <f>IF(E1113="","",IFERROR(INDEX(art_unit,MATCH($E1113,art_ref,0))&amp;"",""))</f>
        <v/>
      </c>
      <c r="H1113" s="68" t="n"/>
      <c r="I1113" s="69" t="n"/>
      <c r="J1113" s="70" t="str">
        <f>IF(E1113="","",IF(ISNUMBER(I1113),I1113,IFERROR(IF(ISNUMBER(INDEX(art_price,MATCH($E1113,art_ref,0))),INDEX(art_price,MATCH($E1113,art_ref,0)),""),"")))</f>
        <v/>
      </c>
      <c r="K1113" s="71" t="n"/>
      <c r="L1113" s="72" t="n"/>
      <c r="M1113" s="72" t="str">
        <f>IF(E1113="","",IF(L1113&lt;&gt;"",L1113,IFERROR(IF(ISNUMBER(INDEX(art_tva,MATCH($E1113,art_ref,0))),INDEX(art_tva,MATCH($E1113,art_ref,0)),""),"")))</f>
        <v/>
      </c>
      <c r="N1113" s="70" t="str">
        <f>IF(OR(E1113="",J1113=""),"",ROUND(N(H1113)*J1113*(1-N(K1113)),2))</f>
        <v/>
      </c>
      <c r="O1113" s="70" t="str">
        <f>IF(OR(N1113="",NOT(ISNUMBER(M1113))),"",ROUND(N1113*M1113,2))</f>
        <v/>
      </c>
      <c r="P1113" s="70" t="str">
        <f>IF(N1113="","",N1113+N(O1113))</f>
        <v/>
      </c>
      <c r="Q1113" s="64" t="n"/>
      <c r="R1113" s="73" t="str">
        <f>IF(N(Q1113)&gt;0,Q1113,IF(OR(N(B1113)=0,ISNA(MATCH($C1113,sup_code,0))),"",IF(ISNUMBER(INDEX(sup_delay,MATCH($C1113,sup_code,0))),B1113+INDEX(sup_delay,MATCH($C1113,sup_code,0)),"")))</f>
        <v/>
      </c>
      <c r="S1113" s="64" t="n"/>
      <c r="T1113" s="68" t="n"/>
      <c r="U1113" s="64" t="n"/>
      <c r="V1113" s="65" t="n"/>
      <c r="W1113" s="74" t="str">
        <f>IF(AND(A1113="",E1113=""),"",IF(V1113="Oui",0,MAX(0,ROUND(N(H1113)-N(T1113),6))))</f>
        <v/>
      </c>
      <c r="X1113" s="67" t="str">
        <f>IF(AND(A1113="",E1113=""),"",IF(V1113="Oui","Annulé",IF(AND(N(H1113)&gt;0,N(T1113)&gt;=N(H1113)),"Reçu",IF(N(S1113)=0,"Brouillon",IF(AND(ISNUMBER(R1113),R1113&lt;p_today),"En retard",IF(N(T1113)&gt;0,"Partiel","Envoyé"))))))</f>
        <v/>
      </c>
      <c r="Y1113" s="75" t="str">
        <f>IF(X1113="En retard",p_today-R1113,IF(AND(X1113="Reçu",ISNUMBER(R1113)),MAX(0,N(U1113)-R1113),""))</f>
        <v/>
      </c>
      <c r="Z1113" s="67" t="str">
        <f>IF(AND(A1113="",E1113=""),"",IF(A1113="","N° de bon manquant",IF(N(B1113)=0,"Date de commande manquante",IF(C1113="","Fournisseur manquant",IF(ISNA(MATCH($C1113,sup_code,0)),"Fournisseur inconnu",IF(E1113="","Article manquant",IF(ISNA(MATCH($E1113,art_ref,0)),"Article inconnu",IF(N(H1113)&lt;=0,"Quantité invalide",IF(J1113="","Prix manquant",IF(OR(N(K1113)&lt;0,N(K1113)&gt;=1),"Remise invalide",IF(M1113="","TVA manquante",IF(ISNA(MATCH(M1113,p_tva,0)),"Taux de TVA inconnu",IF(COUNTIFS(po_num,A1113,po_sup,"&lt;&gt;"&amp;C1113)&gt;0,"Fournisseur différent sur ce bon",IF(COUNTIFS(po_num,A1113,po_date,"&lt;&gt;"&amp;B1113)&gt;0,"Date différente sur ce bon",IF(COUNTIF(po_num,A1113)&gt;25,"Plus de 25 lignes sur ce bon",IF(R1113="","Date de livraison manquante",IF(R1113&lt;B1113,"Livraison avant la commande",IF(AND(N(T1113)&gt;0,N(S1113)=0),"Date d'envoi manquante",IF(N(T1113)&gt;N(H1113),"Reçu plus que commandé",IF(AND(N(T1113)&gt;0,N(U1113)=0),"Date de réception manquante",IF(AND(N(U1113)&gt;0,U1113&lt;B1113),"Réception avant la commande","OK")))))))))))))))))))))</f>
        <v/>
      </c>
      <c r="AA1113" s="66" t="str">
        <f>IF(AND(X1113="Reçu",ISNUMBER(R1113)),IF(N(U1113)&lt;=R1113,1,0),"")</f>
        <v/>
      </c>
      <c r="AB1113" s="76" t="str">
        <f>IF(OR(X1113="Envoyé",X1113="Partiel",X1113="En retard"),IF(ISNUMBER(R1113),R1113,100000)+ROW()/100000,"")</f>
        <v/>
      </c>
      <c r="AC1113" s="66" t="str">
        <f>IF(A1113="","",IF(COUNTIF($A$6:A1113,A1113)=1,1,""))</f>
        <v/>
      </c>
      <c r="AD1113" s="66" t="str">
        <f>IF(AC1113=1,COUNT($AC$6:AC1113),"")</f>
        <v/>
      </c>
      <c r="AE1113" s="66" t="str">
        <f>IFERROR(INDEX(po_num,MATCH(1108,po_seq,0))&amp;"","")</f>
        <v/>
      </c>
      <c r="AF1113" s="66" t="str">
        <f>IF(OR(A1113="",p_po=""),"",IF(A1113&amp;""=p_po,COUNTIF($A$6:A1113,A1113),""))</f>
        <v/>
      </c>
      <c r="AG1113" s="66" t="str">
        <f>IF(OR(AB1113="",A1113=""),"",IF(COUNTIFS($A$6:A1113,A1113,$AB$6:AB1113,"&gt;0")=1,1,""))</f>
        <v/>
      </c>
      <c r="AH1113" s="70" t="str">
        <f>IF(AB1113="","",ROUND(N(W1113)*N(J1113)*(1-N(K1113)),2))</f>
        <v/>
      </c>
      <c r="AI1113" s="70" t="str">
        <f>IF(OR(J1113="",N(T1113)&lt;=0,V1113="Oui"),"",ROUND(N(T1113)*J1113*(1-N(K1113)),2))</f>
        <v/>
      </c>
    </row>
    <row r="1114">
      <c r="A1114" s="63" t="n"/>
      <c r="B1114" s="64" t="n"/>
      <c r="C1114" s="65" t="n"/>
      <c r="D1114" s="66" t="str">
        <f>IF(C1114="","",IFERROR(INDEX(sup_name,MATCH($C1114,sup_code,0))&amp;"","Fournisseur inconnu"))</f>
        <v/>
      </c>
      <c r="E1114" s="63" t="n"/>
      <c r="F1114" s="66" t="str">
        <f>IF(E1114="","",IFERROR(INDEX(art_des,MATCH($E1114,art_ref,0))&amp;"","Article inconnu"))</f>
        <v/>
      </c>
      <c r="G1114" s="67" t="str">
        <f>IF(E1114="","",IFERROR(INDEX(art_unit,MATCH($E1114,art_ref,0))&amp;"",""))</f>
        <v/>
      </c>
      <c r="H1114" s="68" t="n"/>
      <c r="I1114" s="69" t="n"/>
      <c r="J1114" s="70" t="str">
        <f>IF(E1114="","",IF(ISNUMBER(I1114),I1114,IFERROR(IF(ISNUMBER(INDEX(art_price,MATCH($E1114,art_ref,0))),INDEX(art_price,MATCH($E1114,art_ref,0)),""),"")))</f>
        <v/>
      </c>
      <c r="K1114" s="71" t="n"/>
      <c r="L1114" s="72" t="n"/>
      <c r="M1114" s="72" t="str">
        <f>IF(E1114="","",IF(L1114&lt;&gt;"",L1114,IFERROR(IF(ISNUMBER(INDEX(art_tva,MATCH($E1114,art_ref,0))),INDEX(art_tva,MATCH($E1114,art_ref,0)),""),"")))</f>
        <v/>
      </c>
      <c r="N1114" s="70" t="str">
        <f>IF(OR(E1114="",J1114=""),"",ROUND(N(H1114)*J1114*(1-N(K1114)),2))</f>
        <v/>
      </c>
      <c r="O1114" s="70" t="str">
        <f>IF(OR(N1114="",NOT(ISNUMBER(M1114))),"",ROUND(N1114*M1114,2))</f>
        <v/>
      </c>
      <c r="P1114" s="70" t="str">
        <f>IF(N1114="","",N1114+N(O1114))</f>
        <v/>
      </c>
      <c r="Q1114" s="64" t="n"/>
      <c r="R1114" s="73" t="str">
        <f>IF(N(Q1114)&gt;0,Q1114,IF(OR(N(B1114)=0,ISNA(MATCH($C1114,sup_code,0))),"",IF(ISNUMBER(INDEX(sup_delay,MATCH($C1114,sup_code,0))),B1114+INDEX(sup_delay,MATCH($C1114,sup_code,0)),"")))</f>
        <v/>
      </c>
      <c r="S1114" s="64" t="n"/>
      <c r="T1114" s="68" t="n"/>
      <c r="U1114" s="64" t="n"/>
      <c r="V1114" s="65" t="n"/>
      <c r="W1114" s="74" t="str">
        <f>IF(AND(A1114="",E1114=""),"",IF(V1114="Oui",0,MAX(0,ROUND(N(H1114)-N(T1114),6))))</f>
        <v/>
      </c>
      <c r="X1114" s="67" t="str">
        <f>IF(AND(A1114="",E1114=""),"",IF(V1114="Oui","Annulé",IF(AND(N(H1114)&gt;0,N(T1114)&gt;=N(H1114)),"Reçu",IF(N(S1114)=0,"Brouillon",IF(AND(ISNUMBER(R1114),R1114&lt;p_today),"En retard",IF(N(T1114)&gt;0,"Partiel","Envoyé"))))))</f>
        <v/>
      </c>
      <c r="Y1114" s="75" t="str">
        <f>IF(X1114="En retard",p_today-R1114,IF(AND(X1114="Reçu",ISNUMBER(R1114)),MAX(0,N(U1114)-R1114),""))</f>
        <v/>
      </c>
      <c r="Z1114" s="67" t="str">
        <f>IF(AND(A1114="",E1114=""),"",IF(A1114="","N° de bon manquant",IF(N(B1114)=0,"Date de commande manquante",IF(C1114="","Fournisseur manquant",IF(ISNA(MATCH($C1114,sup_code,0)),"Fournisseur inconnu",IF(E1114="","Article manquant",IF(ISNA(MATCH($E1114,art_ref,0)),"Article inconnu",IF(N(H1114)&lt;=0,"Quantité invalide",IF(J1114="","Prix manquant",IF(OR(N(K1114)&lt;0,N(K1114)&gt;=1),"Remise invalide",IF(M1114="","TVA manquante",IF(ISNA(MATCH(M1114,p_tva,0)),"Taux de TVA inconnu",IF(COUNTIFS(po_num,A1114,po_sup,"&lt;&gt;"&amp;C1114)&gt;0,"Fournisseur différent sur ce bon",IF(COUNTIFS(po_num,A1114,po_date,"&lt;&gt;"&amp;B1114)&gt;0,"Date différente sur ce bon",IF(COUNTIF(po_num,A1114)&gt;25,"Plus de 25 lignes sur ce bon",IF(R1114="","Date de livraison manquante",IF(R1114&lt;B1114,"Livraison avant la commande",IF(AND(N(T1114)&gt;0,N(S1114)=0),"Date d'envoi manquante",IF(N(T1114)&gt;N(H1114),"Reçu plus que commandé",IF(AND(N(T1114)&gt;0,N(U1114)=0),"Date de réception manquante",IF(AND(N(U1114)&gt;0,U1114&lt;B1114),"Réception avant la commande","OK")))))))))))))))))))))</f>
        <v/>
      </c>
      <c r="AA1114" s="66" t="str">
        <f>IF(AND(X1114="Reçu",ISNUMBER(R1114)),IF(N(U1114)&lt;=R1114,1,0),"")</f>
        <v/>
      </c>
      <c r="AB1114" s="76" t="str">
        <f>IF(OR(X1114="Envoyé",X1114="Partiel",X1114="En retard"),IF(ISNUMBER(R1114),R1114,100000)+ROW()/100000,"")</f>
        <v/>
      </c>
      <c r="AC1114" s="66" t="str">
        <f>IF(A1114="","",IF(COUNTIF($A$6:A1114,A1114)=1,1,""))</f>
        <v/>
      </c>
      <c r="AD1114" s="66" t="str">
        <f>IF(AC1114=1,COUNT($AC$6:AC1114),"")</f>
        <v/>
      </c>
      <c r="AE1114" s="66" t="str">
        <f>IFERROR(INDEX(po_num,MATCH(1109,po_seq,0))&amp;"","")</f>
        <v/>
      </c>
      <c r="AF1114" s="66" t="str">
        <f>IF(OR(A1114="",p_po=""),"",IF(A1114&amp;""=p_po,COUNTIF($A$6:A1114,A1114),""))</f>
        <v/>
      </c>
      <c r="AG1114" s="66" t="str">
        <f>IF(OR(AB1114="",A1114=""),"",IF(COUNTIFS($A$6:A1114,A1114,$AB$6:AB1114,"&gt;0")=1,1,""))</f>
        <v/>
      </c>
      <c r="AH1114" s="70" t="str">
        <f>IF(AB1114="","",ROUND(N(W1114)*N(J1114)*(1-N(K1114)),2))</f>
        <v/>
      </c>
      <c r="AI1114" s="70" t="str">
        <f>IF(OR(J1114="",N(T1114)&lt;=0,V1114="Oui"),"",ROUND(N(T1114)*J1114*(1-N(K1114)),2))</f>
        <v/>
      </c>
    </row>
    <row r="1115">
      <c r="A1115" s="63" t="n"/>
      <c r="B1115" s="64" t="n"/>
      <c r="C1115" s="65" t="n"/>
      <c r="D1115" s="66" t="str">
        <f>IF(C1115="","",IFERROR(INDEX(sup_name,MATCH($C1115,sup_code,0))&amp;"","Fournisseur inconnu"))</f>
        <v/>
      </c>
      <c r="E1115" s="63" t="n"/>
      <c r="F1115" s="66" t="str">
        <f>IF(E1115="","",IFERROR(INDEX(art_des,MATCH($E1115,art_ref,0))&amp;"","Article inconnu"))</f>
        <v/>
      </c>
      <c r="G1115" s="67" t="str">
        <f>IF(E1115="","",IFERROR(INDEX(art_unit,MATCH($E1115,art_ref,0))&amp;"",""))</f>
        <v/>
      </c>
      <c r="H1115" s="68" t="n"/>
      <c r="I1115" s="69" t="n"/>
      <c r="J1115" s="70" t="str">
        <f>IF(E1115="","",IF(ISNUMBER(I1115),I1115,IFERROR(IF(ISNUMBER(INDEX(art_price,MATCH($E1115,art_ref,0))),INDEX(art_price,MATCH($E1115,art_ref,0)),""),"")))</f>
        <v/>
      </c>
      <c r="K1115" s="71" t="n"/>
      <c r="L1115" s="72" t="n"/>
      <c r="M1115" s="72" t="str">
        <f>IF(E1115="","",IF(L1115&lt;&gt;"",L1115,IFERROR(IF(ISNUMBER(INDEX(art_tva,MATCH($E1115,art_ref,0))),INDEX(art_tva,MATCH($E1115,art_ref,0)),""),"")))</f>
        <v/>
      </c>
      <c r="N1115" s="70" t="str">
        <f>IF(OR(E1115="",J1115=""),"",ROUND(N(H1115)*J1115*(1-N(K1115)),2))</f>
        <v/>
      </c>
      <c r="O1115" s="70" t="str">
        <f>IF(OR(N1115="",NOT(ISNUMBER(M1115))),"",ROUND(N1115*M1115,2))</f>
        <v/>
      </c>
      <c r="P1115" s="70" t="str">
        <f>IF(N1115="","",N1115+N(O1115))</f>
        <v/>
      </c>
      <c r="Q1115" s="64" t="n"/>
      <c r="R1115" s="73" t="str">
        <f>IF(N(Q1115)&gt;0,Q1115,IF(OR(N(B1115)=0,ISNA(MATCH($C1115,sup_code,0))),"",IF(ISNUMBER(INDEX(sup_delay,MATCH($C1115,sup_code,0))),B1115+INDEX(sup_delay,MATCH($C1115,sup_code,0)),"")))</f>
        <v/>
      </c>
      <c r="S1115" s="64" t="n"/>
      <c r="T1115" s="68" t="n"/>
      <c r="U1115" s="64" t="n"/>
      <c r="V1115" s="65" t="n"/>
      <c r="W1115" s="74" t="str">
        <f>IF(AND(A1115="",E1115=""),"",IF(V1115="Oui",0,MAX(0,ROUND(N(H1115)-N(T1115),6))))</f>
        <v/>
      </c>
      <c r="X1115" s="67" t="str">
        <f>IF(AND(A1115="",E1115=""),"",IF(V1115="Oui","Annulé",IF(AND(N(H1115)&gt;0,N(T1115)&gt;=N(H1115)),"Reçu",IF(N(S1115)=0,"Brouillon",IF(AND(ISNUMBER(R1115),R1115&lt;p_today),"En retard",IF(N(T1115)&gt;0,"Partiel","Envoyé"))))))</f>
        <v/>
      </c>
      <c r="Y1115" s="75" t="str">
        <f>IF(X1115="En retard",p_today-R1115,IF(AND(X1115="Reçu",ISNUMBER(R1115)),MAX(0,N(U1115)-R1115),""))</f>
        <v/>
      </c>
      <c r="Z1115" s="67" t="str">
        <f>IF(AND(A1115="",E1115=""),"",IF(A1115="","N° de bon manquant",IF(N(B1115)=0,"Date de commande manquante",IF(C1115="","Fournisseur manquant",IF(ISNA(MATCH($C1115,sup_code,0)),"Fournisseur inconnu",IF(E1115="","Article manquant",IF(ISNA(MATCH($E1115,art_ref,0)),"Article inconnu",IF(N(H1115)&lt;=0,"Quantité invalide",IF(J1115="","Prix manquant",IF(OR(N(K1115)&lt;0,N(K1115)&gt;=1),"Remise invalide",IF(M1115="","TVA manquante",IF(ISNA(MATCH(M1115,p_tva,0)),"Taux de TVA inconnu",IF(COUNTIFS(po_num,A1115,po_sup,"&lt;&gt;"&amp;C1115)&gt;0,"Fournisseur différent sur ce bon",IF(COUNTIFS(po_num,A1115,po_date,"&lt;&gt;"&amp;B1115)&gt;0,"Date différente sur ce bon",IF(COUNTIF(po_num,A1115)&gt;25,"Plus de 25 lignes sur ce bon",IF(R1115="","Date de livraison manquante",IF(R1115&lt;B1115,"Livraison avant la commande",IF(AND(N(T1115)&gt;0,N(S1115)=0),"Date d'envoi manquante",IF(N(T1115)&gt;N(H1115),"Reçu plus que commandé",IF(AND(N(T1115)&gt;0,N(U1115)=0),"Date de réception manquante",IF(AND(N(U1115)&gt;0,U1115&lt;B1115),"Réception avant la commande","OK")))))))))))))))))))))</f>
        <v/>
      </c>
      <c r="AA1115" s="66" t="str">
        <f>IF(AND(X1115="Reçu",ISNUMBER(R1115)),IF(N(U1115)&lt;=R1115,1,0),"")</f>
        <v/>
      </c>
      <c r="AB1115" s="76" t="str">
        <f>IF(OR(X1115="Envoyé",X1115="Partiel",X1115="En retard"),IF(ISNUMBER(R1115),R1115,100000)+ROW()/100000,"")</f>
        <v/>
      </c>
      <c r="AC1115" s="66" t="str">
        <f>IF(A1115="","",IF(COUNTIF($A$6:A1115,A1115)=1,1,""))</f>
        <v/>
      </c>
      <c r="AD1115" s="66" t="str">
        <f>IF(AC1115=1,COUNT($AC$6:AC1115),"")</f>
        <v/>
      </c>
      <c r="AE1115" s="66" t="str">
        <f>IFERROR(INDEX(po_num,MATCH(1110,po_seq,0))&amp;"","")</f>
        <v/>
      </c>
      <c r="AF1115" s="66" t="str">
        <f>IF(OR(A1115="",p_po=""),"",IF(A1115&amp;""=p_po,COUNTIF($A$6:A1115,A1115),""))</f>
        <v/>
      </c>
      <c r="AG1115" s="66" t="str">
        <f>IF(OR(AB1115="",A1115=""),"",IF(COUNTIFS($A$6:A1115,A1115,$AB$6:AB1115,"&gt;0")=1,1,""))</f>
        <v/>
      </c>
      <c r="AH1115" s="70" t="str">
        <f>IF(AB1115="","",ROUND(N(W1115)*N(J1115)*(1-N(K1115)),2))</f>
        <v/>
      </c>
      <c r="AI1115" s="70" t="str">
        <f>IF(OR(J1115="",N(T1115)&lt;=0,V1115="Oui"),"",ROUND(N(T1115)*J1115*(1-N(K1115)),2))</f>
        <v/>
      </c>
    </row>
    <row r="1116">
      <c r="A1116" s="63" t="n"/>
      <c r="B1116" s="64" t="n"/>
      <c r="C1116" s="65" t="n"/>
      <c r="D1116" s="66" t="str">
        <f>IF(C1116="","",IFERROR(INDEX(sup_name,MATCH($C1116,sup_code,0))&amp;"","Fournisseur inconnu"))</f>
        <v/>
      </c>
      <c r="E1116" s="63" t="n"/>
      <c r="F1116" s="66" t="str">
        <f>IF(E1116="","",IFERROR(INDEX(art_des,MATCH($E1116,art_ref,0))&amp;"","Article inconnu"))</f>
        <v/>
      </c>
      <c r="G1116" s="67" t="str">
        <f>IF(E1116="","",IFERROR(INDEX(art_unit,MATCH($E1116,art_ref,0))&amp;"",""))</f>
        <v/>
      </c>
      <c r="H1116" s="68" t="n"/>
      <c r="I1116" s="69" t="n"/>
      <c r="J1116" s="70" t="str">
        <f>IF(E1116="","",IF(ISNUMBER(I1116),I1116,IFERROR(IF(ISNUMBER(INDEX(art_price,MATCH($E1116,art_ref,0))),INDEX(art_price,MATCH($E1116,art_ref,0)),""),"")))</f>
        <v/>
      </c>
      <c r="K1116" s="71" t="n"/>
      <c r="L1116" s="72" t="n"/>
      <c r="M1116" s="72" t="str">
        <f>IF(E1116="","",IF(L1116&lt;&gt;"",L1116,IFERROR(IF(ISNUMBER(INDEX(art_tva,MATCH($E1116,art_ref,0))),INDEX(art_tva,MATCH($E1116,art_ref,0)),""),"")))</f>
        <v/>
      </c>
      <c r="N1116" s="70" t="str">
        <f>IF(OR(E1116="",J1116=""),"",ROUND(N(H1116)*J1116*(1-N(K1116)),2))</f>
        <v/>
      </c>
      <c r="O1116" s="70" t="str">
        <f>IF(OR(N1116="",NOT(ISNUMBER(M1116))),"",ROUND(N1116*M1116,2))</f>
        <v/>
      </c>
      <c r="P1116" s="70" t="str">
        <f>IF(N1116="","",N1116+N(O1116))</f>
        <v/>
      </c>
      <c r="Q1116" s="64" t="n"/>
      <c r="R1116" s="73" t="str">
        <f>IF(N(Q1116)&gt;0,Q1116,IF(OR(N(B1116)=0,ISNA(MATCH($C1116,sup_code,0))),"",IF(ISNUMBER(INDEX(sup_delay,MATCH($C1116,sup_code,0))),B1116+INDEX(sup_delay,MATCH($C1116,sup_code,0)),"")))</f>
        <v/>
      </c>
      <c r="S1116" s="64" t="n"/>
      <c r="T1116" s="68" t="n"/>
      <c r="U1116" s="64" t="n"/>
      <c r="V1116" s="65" t="n"/>
      <c r="W1116" s="74" t="str">
        <f>IF(AND(A1116="",E1116=""),"",IF(V1116="Oui",0,MAX(0,ROUND(N(H1116)-N(T1116),6))))</f>
        <v/>
      </c>
      <c r="X1116" s="67" t="str">
        <f>IF(AND(A1116="",E1116=""),"",IF(V1116="Oui","Annulé",IF(AND(N(H1116)&gt;0,N(T1116)&gt;=N(H1116)),"Reçu",IF(N(S1116)=0,"Brouillon",IF(AND(ISNUMBER(R1116),R1116&lt;p_today),"En retard",IF(N(T1116)&gt;0,"Partiel","Envoyé"))))))</f>
        <v/>
      </c>
      <c r="Y1116" s="75" t="str">
        <f>IF(X1116="En retard",p_today-R1116,IF(AND(X1116="Reçu",ISNUMBER(R1116)),MAX(0,N(U1116)-R1116),""))</f>
        <v/>
      </c>
      <c r="Z1116" s="67" t="str">
        <f>IF(AND(A1116="",E1116=""),"",IF(A1116="","N° de bon manquant",IF(N(B1116)=0,"Date de commande manquante",IF(C1116="","Fournisseur manquant",IF(ISNA(MATCH($C1116,sup_code,0)),"Fournisseur inconnu",IF(E1116="","Article manquant",IF(ISNA(MATCH($E1116,art_ref,0)),"Article inconnu",IF(N(H1116)&lt;=0,"Quantité invalide",IF(J1116="","Prix manquant",IF(OR(N(K1116)&lt;0,N(K1116)&gt;=1),"Remise invalide",IF(M1116="","TVA manquante",IF(ISNA(MATCH(M1116,p_tva,0)),"Taux de TVA inconnu",IF(COUNTIFS(po_num,A1116,po_sup,"&lt;&gt;"&amp;C1116)&gt;0,"Fournisseur différent sur ce bon",IF(COUNTIFS(po_num,A1116,po_date,"&lt;&gt;"&amp;B1116)&gt;0,"Date différente sur ce bon",IF(COUNTIF(po_num,A1116)&gt;25,"Plus de 25 lignes sur ce bon",IF(R1116="","Date de livraison manquante",IF(R1116&lt;B1116,"Livraison avant la commande",IF(AND(N(T1116)&gt;0,N(S1116)=0),"Date d'envoi manquante",IF(N(T1116)&gt;N(H1116),"Reçu plus que commandé",IF(AND(N(T1116)&gt;0,N(U1116)=0),"Date de réception manquante",IF(AND(N(U1116)&gt;0,U1116&lt;B1116),"Réception avant la commande","OK")))))))))))))))))))))</f>
        <v/>
      </c>
      <c r="AA1116" s="66" t="str">
        <f>IF(AND(X1116="Reçu",ISNUMBER(R1116)),IF(N(U1116)&lt;=R1116,1,0),"")</f>
        <v/>
      </c>
      <c r="AB1116" s="76" t="str">
        <f>IF(OR(X1116="Envoyé",X1116="Partiel",X1116="En retard"),IF(ISNUMBER(R1116),R1116,100000)+ROW()/100000,"")</f>
        <v/>
      </c>
      <c r="AC1116" s="66" t="str">
        <f>IF(A1116="","",IF(COUNTIF($A$6:A1116,A1116)=1,1,""))</f>
        <v/>
      </c>
      <c r="AD1116" s="66" t="str">
        <f>IF(AC1116=1,COUNT($AC$6:AC1116),"")</f>
        <v/>
      </c>
      <c r="AE1116" s="66" t="str">
        <f>IFERROR(INDEX(po_num,MATCH(1111,po_seq,0))&amp;"","")</f>
        <v/>
      </c>
      <c r="AF1116" s="66" t="str">
        <f>IF(OR(A1116="",p_po=""),"",IF(A1116&amp;""=p_po,COUNTIF($A$6:A1116,A1116),""))</f>
        <v/>
      </c>
      <c r="AG1116" s="66" t="str">
        <f>IF(OR(AB1116="",A1116=""),"",IF(COUNTIFS($A$6:A1116,A1116,$AB$6:AB1116,"&gt;0")=1,1,""))</f>
        <v/>
      </c>
      <c r="AH1116" s="70" t="str">
        <f>IF(AB1116="","",ROUND(N(W1116)*N(J1116)*(1-N(K1116)),2))</f>
        <v/>
      </c>
      <c r="AI1116" s="70" t="str">
        <f>IF(OR(J1116="",N(T1116)&lt;=0,V1116="Oui"),"",ROUND(N(T1116)*J1116*(1-N(K1116)),2))</f>
        <v/>
      </c>
    </row>
    <row r="1117">
      <c r="A1117" s="63" t="n"/>
      <c r="B1117" s="64" t="n"/>
      <c r="C1117" s="65" t="n"/>
      <c r="D1117" s="66" t="str">
        <f>IF(C1117="","",IFERROR(INDEX(sup_name,MATCH($C1117,sup_code,0))&amp;"","Fournisseur inconnu"))</f>
        <v/>
      </c>
      <c r="E1117" s="63" t="n"/>
      <c r="F1117" s="66" t="str">
        <f>IF(E1117="","",IFERROR(INDEX(art_des,MATCH($E1117,art_ref,0))&amp;"","Article inconnu"))</f>
        <v/>
      </c>
      <c r="G1117" s="67" t="str">
        <f>IF(E1117="","",IFERROR(INDEX(art_unit,MATCH($E1117,art_ref,0))&amp;"",""))</f>
        <v/>
      </c>
      <c r="H1117" s="68" t="n"/>
      <c r="I1117" s="69" t="n"/>
      <c r="J1117" s="70" t="str">
        <f>IF(E1117="","",IF(ISNUMBER(I1117),I1117,IFERROR(IF(ISNUMBER(INDEX(art_price,MATCH($E1117,art_ref,0))),INDEX(art_price,MATCH($E1117,art_ref,0)),""),"")))</f>
        <v/>
      </c>
      <c r="K1117" s="71" t="n"/>
      <c r="L1117" s="72" t="n"/>
      <c r="M1117" s="72" t="str">
        <f>IF(E1117="","",IF(L1117&lt;&gt;"",L1117,IFERROR(IF(ISNUMBER(INDEX(art_tva,MATCH($E1117,art_ref,0))),INDEX(art_tva,MATCH($E1117,art_ref,0)),""),"")))</f>
        <v/>
      </c>
      <c r="N1117" s="70" t="str">
        <f>IF(OR(E1117="",J1117=""),"",ROUND(N(H1117)*J1117*(1-N(K1117)),2))</f>
        <v/>
      </c>
      <c r="O1117" s="70" t="str">
        <f>IF(OR(N1117="",NOT(ISNUMBER(M1117))),"",ROUND(N1117*M1117,2))</f>
        <v/>
      </c>
      <c r="P1117" s="70" t="str">
        <f>IF(N1117="","",N1117+N(O1117))</f>
        <v/>
      </c>
      <c r="Q1117" s="64" t="n"/>
      <c r="R1117" s="73" t="str">
        <f>IF(N(Q1117)&gt;0,Q1117,IF(OR(N(B1117)=0,ISNA(MATCH($C1117,sup_code,0))),"",IF(ISNUMBER(INDEX(sup_delay,MATCH($C1117,sup_code,0))),B1117+INDEX(sup_delay,MATCH($C1117,sup_code,0)),"")))</f>
        <v/>
      </c>
      <c r="S1117" s="64" t="n"/>
      <c r="T1117" s="68" t="n"/>
      <c r="U1117" s="64" t="n"/>
      <c r="V1117" s="65" t="n"/>
      <c r="W1117" s="74" t="str">
        <f>IF(AND(A1117="",E1117=""),"",IF(V1117="Oui",0,MAX(0,ROUND(N(H1117)-N(T1117),6))))</f>
        <v/>
      </c>
      <c r="X1117" s="67" t="str">
        <f>IF(AND(A1117="",E1117=""),"",IF(V1117="Oui","Annulé",IF(AND(N(H1117)&gt;0,N(T1117)&gt;=N(H1117)),"Reçu",IF(N(S1117)=0,"Brouillon",IF(AND(ISNUMBER(R1117),R1117&lt;p_today),"En retard",IF(N(T1117)&gt;0,"Partiel","Envoyé"))))))</f>
        <v/>
      </c>
      <c r="Y1117" s="75" t="str">
        <f>IF(X1117="En retard",p_today-R1117,IF(AND(X1117="Reçu",ISNUMBER(R1117)),MAX(0,N(U1117)-R1117),""))</f>
        <v/>
      </c>
      <c r="Z1117" s="67" t="str">
        <f>IF(AND(A1117="",E1117=""),"",IF(A1117="","N° de bon manquant",IF(N(B1117)=0,"Date de commande manquante",IF(C1117="","Fournisseur manquant",IF(ISNA(MATCH($C1117,sup_code,0)),"Fournisseur inconnu",IF(E1117="","Article manquant",IF(ISNA(MATCH($E1117,art_ref,0)),"Article inconnu",IF(N(H1117)&lt;=0,"Quantité invalide",IF(J1117="","Prix manquant",IF(OR(N(K1117)&lt;0,N(K1117)&gt;=1),"Remise invalide",IF(M1117="","TVA manquante",IF(ISNA(MATCH(M1117,p_tva,0)),"Taux de TVA inconnu",IF(COUNTIFS(po_num,A1117,po_sup,"&lt;&gt;"&amp;C1117)&gt;0,"Fournisseur différent sur ce bon",IF(COUNTIFS(po_num,A1117,po_date,"&lt;&gt;"&amp;B1117)&gt;0,"Date différente sur ce bon",IF(COUNTIF(po_num,A1117)&gt;25,"Plus de 25 lignes sur ce bon",IF(R1117="","Date de livraison manquante",IF(R1117&lt;B1117,"Livraison avant la commande",IF(AND(N(T1117)&gt;0,N(S1117)=0),"Date d'envoi manquante",IF(N(T1117)&gt;N(H1117),"Reçu plus que commandé",IF(AND(N(T1117)&gt;0,N(U1117)=0),"Date de réception manquante",IF(AND(N(U1117)&gt;0,U1117&lt;B1117),"Réception avant la commande","OK")))))))))))))))))))))</f>
        <v/>
      </c>
      <c r="AA1117" s="66" t="str">
        <f>IF(AND(X1117="Reçu",ISNUMBER(R1117)),IF(N(U1117)&lt;=R1117,1,0),"")</f>
        <v/>
      </c>
      <c r="AB1117" s="76" t="str">
        <f>IF(OR(X1117="Envoyé",X1117="Partiel",X1117="En retard"),IF(ISNUMBER(R1117),R1117,100000)+ROW()/100000,"")</f>
        <v/>
      </c>
      <c r="AC1117" s="66" t="str">
        <f>IF(A1117="","",IF(COUNTIF($A$6:A1117,A1117)=1,1,""))</f>
        <v/>
      </c>
      <c r="AD1117" s="66" t="str">
        <f>IF(AC1117=1,COUNT($AC$6:AC1117),"")</f>
        <v/>
      </c>
      <c r="AE1117" s="66" t="str">
        <f>IFERROR(INDEX(po_num,MATCH(1112,po_seq,0))&amp;"","")</f>
        <v/>
      </c>
      <c r="AF1117" s="66" t="str">
        <f>IF(OR(A1117="",p_po=""),"",IF(A1117&amp;""=p_po,COUNTIF($A$6:A1117,A1117),""))</f>
        <v/>
      </c>
      <c r="AG1117" s="66" t="str">
        <f>IF(OR(AB1117="",A1117=""),"",IF(COUNTIFS($A$6:A1117,A1117,$AB$6:AB1117,"&gt;0")=1,1,""))</f>
        <v/>
      </c>
      <c r="AH1117" s="70" t="str">
        <f>IF(AB1117="","",ROUND(N(W1117)*N(J1117)*(1-N(K1117)),2))</f>
        <v/>
      </c>
      <c r="AI1117" s="70" t="str">
        <f>IF(OR(J1117="",N(T1117)&lt;=0,V1117="Oui"),"",ROUND(N(T1117)*J1117*(1-N(K1117)),2))</f>
        <v/>
      </c>
    </row>
    <row r="1118">
      <c r="A1118" s="63" t="n"/>
      <c r="B1118" s="64" t="n"/>
      <c r="C1118" s="65" t="n"/>
      <c r="D1118" s="66" t="str">
        <f>IF(C1118="","",IFERROR(INDEX(sup_name,MATCH($C1118,sup_code,0))&amp;"","Fournisseur inconnu"))</f>
        <v/>
      </c>
      <c r="E1118" s="63" t="n"/>
      <c r="F1118" s="66" t="str">
        <f>IF(E1118="","",IFERROR(INDEX(art_des,MATCH($E1118,art_ref,0))&amp;"","Article inconnu"))</f>
        <v/>
      </c>
      <c r="G1118" s="67" t="str">
        <f>IF(E1118="","",IFERROR(INDEX(art_unit,MATCH($E1118,art_ref,0))&amp;"",""))</f>
        <v/>
      </c>
      <c r="H1118" s="68" t="n"/>
      <c r="I1118" s="69" t="n"/>
      <c r="J1118" s="70" t="str">
        <f>IF(E1118="","",IF(ISNUMBER(I1118),I1118,IFERROR(IF(ISNUMBER(INDEX(art_price,MATCH($E1118,art_ref,0))),INDEX(art_price,MATCH($E1118,art_ref,0)),""),"")))</f>
        <v/>
      </c>
      <c r="K1118" s="71" t="n"/>
      <c r="L1118" s="72" t="n"/>
      <c r="M1118" s="72" t="str">
        <f>IF(E1118="","",IF(L1118&lt;&gt;"",L1118,IFERROR(IF(ISNUMBER(INDEX(art_tva,MATCH($E1118,art_ref,0))),INDEX(art_tva,MATCH($E1118,art_ref,0)),""),"")))</f>
        <v/>
      </c>
      <c r="N1118" s="70" t="str">
        <f>IF(OR(E1118="",J1118=""),"",ROUND(N(H1118)*J1118*(1-N(K1118)),2))</f>
        <v/>
      </c>
      <c r="O1118" s="70" t="str">
        <f>IF(OR(N1118="",NOT(ISNUMBER(M1118))),"",ROUND(N1118*M1118,2))</f>
        <v/>
      </c>
      <c r="P1118" s="70" t="str">
        <f>IF(N1118="","",N1118+N(O1118))</f>
        <v/>
      </c>
      <c r="Q1118" s="64" t="n"/>
      <c r="R1118" s="73" t="str">
        <f>IF(N(Q1118)&gt;0,Q1118,IF(OR(N(B1118)=0,ISNA(MATCH($C1118,sup_code,0))),"",IF(ISNUMBER(INDEX(sup_delay,MATCH($C1118,sup_code,0))),B1118+INDEX(sup_delay,MATCH($C1118,sup_code,0)),"")))</f>
        <v/>
      </c>
      <c r="S1118" s="64" t="n"/>
      <c r="T1118" s="68" t="n"/>
      <c r="U1118" s="64" t="n"/>
      <c r="V1118" s="65" t="n"/>
      <c r="W1118" s="74" t="str">
        <f>IF(AND(A1118="",E1118=""),"",IF(V1118="Oui",0,MAX(0,ROUND(N(H1118)-N(T1118),6))))</f>
        <v/>
      </c>
      <c r="X1118" s="67" t="str">
        <f>IF(AND(A1118="",E1118=""),"",IF(V1118="Oui","Annulé",IF(AND(N(H1118)&gt;0,N(T1118)&gt;=N(H1118)),"Reçu",IF(N(S1118)=0,"Brouillon",IF(AND(ISNUMBER(R1118),R1118&lt;p_today),"En retard",IF(N(T1118)&gt;0,"Partiel","Envoyé"))))))</f>
        <v/>
      </c>
      <c r="Y1118" s="75" t="str">
        <f>IF(X1118="En retard",p_today-R1118,IF(AND(X1118="Reçu",ISNUMBER(R1118)),MAX(0,N(U1118)-R1118),""))</f>
        <v/>
      </c>
      <c r="Z1118" s="67" t="str">
        <f>IF(AND(A1118="",E1118=""),"",IF(A1118="","N° de bon manquant",IF(N(B1118)=0,"Date de commande manquante",IF(C1118="","Fournisseur manquant",IF(ISNA(MATCH($C1118,sup_code,0)),"Fournisseur inconnu",IF(E1118="","Article manquant",IF(ISNA(MATCH($E1118,art_ref,0)),"Article inconnu",IF(N(H1118)&lt;=0,"Quantité invalide",IF(J1118="","Prix manquant",IF(OR(N(K1118)&lt;0,N(K1118)&gt;=1),"Remise invalide",IF(M1118="","TVA manquante",IF(ISNA(MATCH(M1118,p_tva,0)),"Taux de TVA inconnu",IF(COUNTIFS(po_num,A1118,po_sup,"&lt;&gt;"&amp;C1118)&gt;0,"Fournisseur différent sur ce bon",IF(COUNTIFS(po_num,A1118,po_date,"&lt;&gt;"&amp;B1118)&gt;0,"Date différente sur ce bon",IF(COUNTIF(po_num,A1118)&gt;25,"Plus de 25 lignes sur ce bon",IF(R1118="","Date de livraison manquante",IF(R1118&lt;B1118,"Livraison avant la commande",IF(AND(N(T1118)&gt;0,N(S1118)=0),"Date d'envoi manquante",IF(N(T1118)&gt;N(H1118),"Reçu plus que commandé",IF(AND(N(T1118)&gt;0,N(U1118)=0),"Date de réception manquante",IF(AND(N(U1118)&gt;0,U1118&lt;B1118),"Réception avant la commande","OK")))))))))))))))))))))</f>
        <v/>
      </c>
      <c r="AA1118" s="66" t="str">
        <f>IF(AND(X1118="Reçu",ISNUMBER(R1118)),IF(N(U1118)&lt;=R1118,1,0),"")</f>
        <v/>
      </c>
      <c r="AB1118" s="76" t="str">
        <f>IF(OR(X1118="Envoyé",X1118="Partiel",X1118="En retard"),IF(ISNUMBER(R1118),R1118,100000)+ROW()/100000,"")</f>
        <v/>
      </c>
      <c r="AC1118" s="66" t="str">
        <f>IF(A1118="","",IF(COUNTIF($A$6:A1118,A1118)=1,1,""))</f>
        <v/>
      </c>
      <c r="AD1118" s="66" t="str">
        <f>IF(AC1118=1,COUNT($AC$6:AC1118),"")</f>
        <v/>
      </c>
      <c r="AE1118" s="66" t="str">
        <f>IFERROR(INDEX(po_num,MATCH(1113,po_seq,0))&amp;"","")</f>
        <v/>
      </c>
      <c r="AF1118" s="66" t="str">
        <f>IF(OR(A1118="",p_po=""),"",IF(A1118&amp;""=p_po,COUNTIF($A$6:A1118,A1118),""))</f>
        <v/>
      </c>
      <c r="AG1118" s="66" t="str">
        <f>IF(OR(AB1118="",A1118=""),"",IF(COUNTIFS($A$6:A1118,A1118,$AB$6:AB1118,"&gt;0")=1,1,""))</f>
        <v/>
      </c>
      <c r="AH1118" s="70" t="str">
        <f>IF(AB1118="","",ROUND(N(W1118)*N(J1118)*(1-N(K1118)),2))</f>
        <v/>
      </c>
      <c r="AI1118" s="70" t="str">
        <f>IF(OR(J1118="",N(T1118)&lt;=0,V1118="Oui"),"",ROUND(N(T1118)*J1118*(1-N(K1118)),2))</f>
        <v/>
      </c>
    </row>
    <row r="1119">
      <c r="A1119" s="63" t="n"/>
      <c r="B1119" s="64" t="n"/>
      <c r="C1119" s="65" t="n"/>
      <c r="D1119" s="66" t="str">
        <f>IF(C1119="","",IFERROR(INDEX(sup_name,MATCH($C1119,sup_code,0))&amp;"","Fournisseur inconnu"))</f>
        <v/>
      </c>
      <c r="E1119" s="63" t="n"/>
      <c r="F1119" s="66" t="str">
        <f>IF(E1119="","",IFERROR(INDEX(art_des,MATCH($E1119,art_ref,0))&amp;"","Article inconnu"))</f>
        <v/>
      </c>
      <c r="G1119" s="67" t="str">
        <f>IF(E1119="","",IFERROR(INDEX(art_unit,MATCH($E1119,art_ref,0))&amp;"",""))</f>
        <v/>
      </c>
      <c r="H1119" s="68" t="n"/>
      <c r="I1119" s="69" t="n"/>
      <c r="J1119" s="70" t="str">
        <f>IF(E1119="","",IF(ISNUMBER(I1119),I1119,IFERROR(IF(ISNUMBER(INDEX(art_price,MATCH($E1119,art_ref,0))),INDEX(art_price,MATCH($E1119,art_ref,0)),""),"")))</f>
        <v/>
      </c>
      <c r="K1119" s="71" t="n"/>
      <c r="L1119" s="72" t="n"/>
      <c r="M1119" s="72" t="str">
        <f>IF(E1119="","",IF(L1119&lt;&gt;"",L1119,IFERROR(IF(ISNUMBER(INDEX(art_tva,MATCH($E1119,art_ref,0))),INDEX(art_tva,MATCH($E1119,art_ref,0)),""),"")))</f>
        <v/>
      </c>
      <c r="N1119" s="70" t="str">
        <f>IF(OR(E1119="",J1119=""),"",ROUND(N(H1119)*J1119*(1-N(K1119)),2))</f>
        <v/>
      </c>
      <c r="O1119" s="70" t="str">
        <f>IF(OR(N1119="",NOT(ISNUMBER(M1119))),"",ROUND(N1119*M1119,2))</f>
        <v/>
      </c>
      <c r="P1119" s="70" t="str">
        <f>IF(N1119="","",N1119+N(O1119))</f>
        <v/>
      </c>
      <c r="Q1119" s="64" t="n"/>
      <c r="R1119" s="73" t="str">
        <f>IF(N(Q1119)&gt;0,Q1119,IF(OR(N(B1119)=0,ISNA(MATCH($C1119,sup_code,0))),"",IF(ISNUMBER(INDEX(sup_delay,MATCH($C1119,sup_code,0))),B1119+INDEX(sup_delay,MATCH($C1119,sup_code,0)),"")))</f>
        <v/>
      </c>
      <c r="S1119" s="64" t="n"/>
      <c r="T1119" s="68" t="n"/>
      <c r="U1119" s="64" t="n"/>
      <c r="V1119" s="65" t="n"/>
      <c r="W1119" s="74" t="str">
        <f>IF(AND(A1119="",E1119=""),"",IF(V1119="Oui",0,MAX(0,ROUND(N(H1119)-N(T1119),6))))</f>
        <v/>
      </c>
      <c r="X1119" s="67" t="str">
        <f>IF(AND(A1119="",E1119=""),"",IF(V1119="Oui","Annulé",IF(AND(N(H1119)&gt;0,N(T1119)&gt;=N(H1119)),"Reçu",IF(N(S1119)=0,"Brouillon",IF(AND(ISNUMBER(R1119),R1119&lt;p_today),"En retard",IF(N(T1119)&gt;0,"Partiel","Envoyé"))))))</f>
        <v/>
      </c>
      <c r="Y1119" s="75" t="str">
        <f>IF(X1119="En retard",p_today-R1119,IF(AND(X1119="Reçu",ISNUMBER(R1119)),MAX(0,N(U1119)-R1119),""))</f>
        <v/>
      </c>
      <c r="Z1119" s="67" t="str">
        <f>IF(AND(A1119="",E1119=""),"",IF(A1119="","N° de bon manquant",IF(N(B1119)=0,"Date de commande manquante",IF(C1119="","Fournisseur manquant",IF(ISNA(MATCH($C1119,sup_code,0)),"Fournisseur inconnu",IF(E1119="","Article manquant",IF(ISNA(MATCH($E1119,art_ref,0)),"Article inconnu",IF(N(H1119)&lt;=0,"Quantité invalide",IF(J1119="","Prix manquant",IF(OR(N(K1119)&lt;0,N(K1119)&gt;=1),"Remise invalide",IF(M1119="","TVA manquante",IF(ISNA(MATCH(M1119,p_tva,0)),"Taux de TVA inconnu",IF(COUNTIFS(po_num,A1119,po_sup,"&lt;&gt;"&amp;C1119)&gt;0,"Fournisseur différent sur ce bon",IF(COUNTIFS(po_num,A1119,po_date,"&lt;&gt;"&amp;B1119)&gt;0,"Date différente sur ce bon",IF(COUNTIF(po_num,A1119)&gt;25,"Plus de 25 lignes sur ce bon",IF(R1119="","Date de livraison manquante",IF(R1119&lt;B1119,"Livraison avant la commande",IF(AND(N(T1119)&gt;0,N(S1119)=0),"Date d'envoi manquante",IF(N(T1119)&gt;N(H1119),"Reçu plus que commandé",IF(AND(N(T1119)&gt;0,N(U1119)=0),"Date de réception manquante",IF(AND(N(U1119)&gt;0,U1119&lt;B1119),"Réception avant la commande","OK")))))))))))))))))))))</f>
        <v/>
      </c>
      <c r="AA1119" s="66" t="str">
        <f>IF(AND(X1119="Reçu",ISNUMBER(R1119)),IF(N(U1119)&lt;=R1119,1,0),"")</f>
        <v/>
      </c>
      <c r="AB1119" s="76" t="str">
        <f>IF(OR(X1119="Envoyé",X1119="Partiel",X1119="En retard"),IF(ISNUMBER(R1119),R1119,100000)+ROW()/100000,"")</f>
        <v/>
      </c>
      <c r="AC1119" s="66" t="str">
        <f>IF(A1119="","",IF(COUNTIF($A$6:A1119,A1119)=1,1,""))</f>
        <v/>
      </c>
      <c r="AD1119" s="66" t="str">
        <f>IF(AC1119=1,COUNT($AC$6:AC1119),"")</f>
        <v/>
      </c>
      <c r="AE1119" s="66" t="str">
        <f>IFERROR(INDEX(po_num,MATCH(1114,po_seq,0))&amp;"","")</f>
        <v/>
      </c>
      <c r="AF1119" s="66" t="str">
        <f>IF(OR(A1119="",p_po=""),"",IF(A1119&amp;""=p_po,COUNTIF($A$6:A1119,A1119),""))</f>
        <v/>
      </c>
      <c r="AG1119" s="66" t="str">
        <f>IF(OR(AB1119="",A1119=""),"",IF(COUNTIFS($A$6:A1119,A1119,$AB$6:AB1119,"&gt;0")=1,1,""))</f>
        <v/>
      </c>
      <c r="AH1119" s="70" t="str">
        <f>IF(AB1119="","",ROUND(N(W1119)*N(J1119)*(1-N(K1119)),2))</f>
        <v/>
      </c>
      <c r="AI1119" s="70" t="str">
        <f>IF(OR(J1119="",N(T1119)&lt;=0,V1119="Oui"),"",ROUND(N(T1119)*J1119*(1-N(K1119)),2))</f>
        <v/>
      </c>
    </row>
    <row r="1120">
      <c r="A1120" s="63" t="n"/>
      <c r="B1120" s="64" t="n"/>
      <c r="C1120" s="65" t="n"/>
      <c r="D1120" s="66" t="str">
        <f>IF(C1120="","",IFERROR(INDEX(sup_name,MATCH($C1120,sup_code,0))&amp;"","Fournisseur inconnu"))</f>
        <v/>
      </c>
      <c r="E1120" s="63" t="n"/>
      <c r="F1120" s="66" t="str">
        <f>IF(E1120="","",IFERROR(INDEX(art_des,MATCH($E1120,art_ref,0))&amp;"","Article inconnu"))</f>
        <v/>
      </c>
      <c r="G1120" s="67" t="str">
        <f>IF(E1120="","",IFERROR(INDEX(art_unit,MATCH($E1120,art_ref,0))&amp;"",""))</f>
        <v/>
      </c>
      <c r="H1120" s="68" t="n"/>
      <c r="I1120" s="69" t="n"/>
      <c r="J1120" s="70" t="str">
        <f>IF(E1120="","",IF(ISNUMBER(I1120),I1120,IFERROR(IF(ISNUMBER(INDEX(art_price,MATCH($E1120,art_ref,0))),INDEX(art_price,MATCH($E1120,art_ref,0)),""),"")))</f>
        <v/>
      </c>
      <c r="K1120" s="71" t="n"/>
      <c r="L1120" s="72" t="n"/>
      <c r="M1120" s="72" t="str">
        <f>IF(E1120="","",IF(L1120&lt;&gt;"",L1120,IFERROR(IF(ISNUMBER(INDEX(art_tva,MATCH($E1120,art_ref,0))),INDEX(art_tva,MATCH($E1120,art_ref,0)),""),"")))</f>
        <v/>
      </c>
      <c r="N1120" s="70" t="str">
        <f>IF(OR(E1120="",J1120=""),"",ROUND(N(H1120)*J1120*(1-N(K1120)),2))</f>
        <v/>
      </c>
      <c r="O1120" s="70" t="str">
        <f>IF(OR(N1120="",NOT(ISNUMBER(M1120))),"",ROUND(N1120*M1120,2))</f>
        <v/>
      </c>
      <c r="P1120" s="70" t="str">
        <f>IF(N1120="","",N1120+N(O1120))</f>
        <v/>
      </c>
      <c r="Q1120" s="64" t="n"/>
      <c r="R1120" s="73" t="str">
        <f>IF(N(Q1120)&gt;0,Q1120,IF(OR(N(B1120)=0,ISNA(MATCH($C1120,sup_code,0))),"",IF(ISNUMBER(INDEX(sup_delay,MATCH($C1120,sup_code,0))),B1120+INDEX(sup_delay,MATCH($C1120,sup_code,0)),"")))</f>
        <v/>
      </c>
      <c r="S1120" s="64" t="n"/>
      <c r="T1120" s="68" t="n"/>
      <c r="U1120" s="64" t="n"/>
      <c r="V1120" s="65" t="n"/>
      <c r="W1120" s="74" t="str">
        <f>IF(AND(A1120="",E1120=""),"",IF(V1120="Oui",0,MAX(0,ROUND(N(H1120)-N(T1120),6))))</f>
        <v/>
      </c>
      <c r="X1120" s="67" t="str">
        <f>IF(AND(A1120="",E1120=""),"",IF(V1120="Oui","Annulé",IF(AND(N(H1120)&gt;0,N(T1120)&gt;=N(H1120)),"Reçu",IF(N(S1120)=0,"Brouillon",IF(AND(ISNUMBER(R1120),R1120&lt;p_today),"En retard",IF(N(T1120)&gt;0,"Partiel","Envoyé"))))))</f>
        <v/>
      </c>
      <c r="Y1120" s="75" t="str">
        <f>IF(X1120="En retard",p_today-R1120,IF(AND(X1120="Reçu",ISNUMBER(R1120)),MAX(0,N(U1120)-R1120),""))</f>
        <v/>
      </c>
      <c r="Z1120" s="67" t="str">
        <f>IF(AND(A1120="",E1120=""),"",IF(A1120="","N° de bon manquant",IF(N(B1120)=0,"Date de commande manquante",IF(C1120="","Fournisseur manquant",IF(ISNA(MATCH($C1120,sup_code,0)),"Fournisseur inconnu",IF(E1120="","Article manquant",IF(ISNA(MATCH($E1120,art_ref,0)),"Article inconnu",IF(N(H1120)&lt;=0,"Quantité invalide",IF(J1120="","Prix manquant",IF(OR(N(K1120)&lt;0,N(K1120)&gt;=1),"Remise invalide",IF(M1120="","TVA manquante",IF(ISNA(MATCH(M1120,p_tva,0)),"Taux de TVA inconnu",IF(COUNTIFS(po_num,A1120,po_sup,"&lt;&gt;"&amp;C1120)&gt;0,"Fournisseur différent sur ce bon",IF(COUNTIFS(po_num,A1120,po_date,"&lt;&gt;"&amp;B1120)&gt;0,"Date différente sur ce bon",IF(COUNTIF(po_num,A1120)&gt;25,"Plus de 25 lignes sur ce bon",IF(R1120="","Date de livraison manquante",IF(R1120&lt;B1120,"Livraison avant la commande",IF(AND(N(T1120)&gt;0,N(S1120)=0),"Date d'envoi manquante",IF(N(T1120)&gt;N(H1120),"Reçu plus que commandé",IF(AND(N(T1120)&gt;0,N(U1120)=0),"Date de réception manquante",IF(AND(N(U1120)&gt;0,U1120&lt;B1120),"Réception avant la commande","OK")))))))))))))))))))))</f>
        <v/>
      </c>
      <c r="AA1120" s="66" t="str">
        <f>IF(AND(X1120="Reçu",ISNUMBER(R1120)),IF(N(U1120)&lt;=R1120,1,0),"")</f>
        <v/>
      </c>
      <c r="AB1120" s="76" t="str">
        <f>IF(OR(X1120="Envoyé",X1120="Partiel",X1120="En retard"),IF(ISNUMBER(R1120),R1120,100000)+ROW()/100000,"")</f>
        <v/>
      </c>
      <c r="AC1120" s="66" t="str">
        <f>IF(A1120="","",IF(COUNTIF($A$6:A1120,A1120)=1,1,""))</f>
        <v/>
      </c>
      <c r="AD1120" s="66" t="str">
        <f>IF(AC1120=1,COUNT($AC$6:AC1120),"")</f>
        <v/>
      </c>
      <c r="AE1120" s="66" t="str">
        <f>IFERROR(INDEX(po_num,MATCH(1115,po_seq,0))&amp;"","")</f>
        <v/>
      </c>
      <c r="AF1120" s="66" t="str">
        <f>IF(OR(A1120="",p_po=""),"",IF(A1120&amp;""=p_po,COUNTIF($A$6:A1120,A1120),""))</f>
        <v/>
      </c>
      <c r="AG1120" s="66" t="str">
        <f>IF(OR(AB1120="",A1120=""),"",IF(COUNTIFS($A$6:A1120,A1120,$AB$6:AB1120,"&gt;0")=1,1,""))</f>
        <v/>
      </c>
      <c r="AH1120" s="70" t="str">
        <f>IF(AB1120="","",ROUND(N(W1120)*N(J1120)*(1-N(K1120)),2))</f>
        <v/>
      </c>
      <c r="AI1120" s="70" t="str">
        <f>IF(OR(J1120="",N(T1120)&lt;=0,V1120="Oui"),"",ROUND(N(T1120)*J1120*(1-N(K1120)),2))</f>
        <v/>
      </c>
    </row>
    <row r="1121">
      <c r="A1121" s="63" t="n"/>
      <c r="B1121" s="64" t="n"/>
      <c r="C1121" s="65" t="n"/>
      <c r="D1121" s="66" t="str">
        <f>IF(C1121="","",IFERROR(INDEX(sup_name,MATCH($C1121,sup_code,0))&amp;"","Fournisseur inconnu"))</f>
        <v/>
      </c>
      <c r="E1121" s="63" t="n"/>
      <c r="F1121" s="66" t="str">
        <f>IF(E1121="","",IFERROR(INDEX(art_des,MATCH($E1121,art_ref,0))&amp;"","Article inconnu"))</f>
        <v/>
      </c>
      <c r="G1121" s="67" t="str">
        <f>IF(E1121="","",IFERROR(INDEX(art_unit,MATCH($E1121,art_ref,0))&amp;"",""))</f>
        <v/>
      </c>
      <c r="H1121" s="68" t="n"/>
      <c r="I1121" s="69" t="n"/>
      <c r="J1121" s="70" t="str">
        <f>IF(E1121="","",IF(ISNUMBER(I1121),I1121,IFERROR(IF(ISNUMBER(INDEX(art_price,MATCH($E1121,art_ref,0))),INDEX(art_price,MATCH($E1121,art_ref,0)),""),"")))</f>
        <v/>
      </c>
      <c r="K1121" s="71" t="n"/>
      <c r="L1121" s="72" t="n"/>
      <c r="M1121" s="72" t="str">
        <f>IF(E1121="","",IF(L1121&lt;&gt;"",L1121,IFERROR(IF(ISNUMBER(INDEX(art_tva,MATCH($E1121,art_ref,0))),INDEX(art_tva,MATCH($E1121,art_ref,0)),""),"")))</f>
        <v/>
      </c>
      <c r="N1121" s="70" t="str">
        <f>IF(OR(E1121="",J1121=""),"",ROUND(N(H1121)*J1121*(1-N(K1121)),2))</f>
        <v/>
      </c>
      <c r="O1121" s="70" t="str">
        <f>IF(OR(N1121="",NOT(ISNUMBER(M1121))),"",ROUND(N1121*M1121,2))</f>
        <v/>
      </c>
      <c r="P1121" s="70" t="str">
        <f>IF(N1121="","",N1121+N(O1121))</f>
        <v/>
      </c>
      <c r="Q1121" s="64" t="n"/>
      <c r="R1121" s="73" t="str">
        <f>IF(N(Q1121)&gt;0,Q1121,IF(OR(N(B1121)=0,ISNA(MATCH($C1121,sup_code,0))),"",IF(ISNUMBER(INDEX(sup_delay,MATCH($C1121,sup_code,0))),B1121+INDEX(sup_delay,MATCH($C1121,sup_code,0)),"")))</f>
        <v/>
      </c>
      <c r="S1121" s="64" t="n"/>
      <c r="T1121" s="68" t="n"/>
      <c r="U1121" s="64" t="n"/>
      <c r="V1121" s="65" t="n"/>
      <c r="W1121" s="74" t="str">
        <f>IF(AND(A1121="",E1121=""),"",IF(V1121="Oui",0,MAX(0,ROUND(N(H1121)-N(T1121),6))))</f>
        <v/>
      </c>
      <c r="X1121" s="67" t="str">
        <f>IF(AND(A1121="",E1121=""),"",IF(V1121="Oui","Annulé",IF(AND(N(H1121)&gt;0,N(T1121)&gt;=N(H1121)),"Reçu",IF(N(S1121)=0,"Brouillon",IF(AND(ISNUMBER(R1121),R1121&lt;p_today),"En retard",IF(N(T1121)&gt;0,"Partiel","Envoyé"))))))</f>
        <v/>
      </c>
      <c r="Y1121" s="75" t="str">
        <f>IF(X1121="En retard",p_today-R1121,IF(AND(X1121="Reçu",ISNUMBER(R1121)),MAX(0,N(U1121)-R1121),""))</f>
        <v/>
      </c>
      <c r="Z1121" s="67" t="str">
        <f>IF(AND(A1121="",E1121=""),"",IF(A1121="","N° de bon manquant",IF(N(B1121)=0,"Date de commande manquante",IF(C1121="","Fournisseur manquant",IF(ISNA(MATCH($C1121,sup_code,0)),"Fournisseur inconnu",IF(E1121="","Article manquant",IF(ISNA(MATCH($E1121,art_ref,0)),"Article inconnu",IF(N(H1121)&lt;=0,"Quantité invalide",IF(J1121="","Prix manquant",IF(OR(N(K1121)&lt;0,N(K1121)&gt;=1),"Remise invalide",IF(M1121="","TVA manquante",IF(ISNA(MATCH(M1121,p_tva,0)),"Taux de TVA inconnu",IF(COUNTIFS(po_num,A1121,po_sup,"&lt;&gt;"&amp;C1121)&gt;0,"Fournisseur différent sur ce bon",IF(COUNTIFS(po_num,A1121,po_date,"&lt;&gt;"&amp;B1121)&gt;0,"Date différente sur ce bon",IF(COUNTIF(po_num,A1121)&gt;25,"Plus de 25 lignes sur ce bon",IF(R1121="","Date de livraison manquante",IF(R1121&lt;B1121,"Livraison avant la commande",IF(AND(N(T1121)&gt;0,N(S1121)=0),"Date d'envoi manquante",IF(N(T1121)&gt;N(H1121),"Reçu plus que commandé",IF(AND(N(T1121)&gt;0,N(U1121)=0),"Date de réception manquante",IF(AND(N(U1121)&gt;0,U1121&lt;B1121),"Réception avant la commande","OK")))))))))))))))))))))</f>
        <v/>
      </c>
      <c r="AA1121" s="66" t="str">
        <f>IF(AND(X1121="Reçu",ISNUMBER(R1121)),IF(N(U1121)&lt;=R1121,1,0),"")</f>
        <v/>
      </c>
      <c r="AB1121" s="76" t="str">
        <f>IF(OR(X1121="Envoyé",X1121="Partiel",X1121="En retard"),IF(ISNUMBER(R1121),R1121,100000)+ROW()/100000,"")</f>
        <v/>
      </c>
      <c r="AC1121" s="66" t="str">
        <f>IF(A1121="","",IF(COUNTIF($A$6:A1121,A1121)=1,1,""))</f>
        <v/>
      </c>
      <c r="AD1121" s="66" t="str">
        <f>IF(AC1121=1,COUNT($AC$6:AC1121),"")</f>
        <v/>
      </c>
      <c r="AE1121" s="66" t="str">
        <f>IFERROR(INDEX(po_num,MATCH(1116,po_seq,0))&amp;"","")</f>
        <v/>
      </c>
      <c r="AF1121" s="66" t="str">
        <f>IF(OR(A1121="",p_po=""),"",IF(A1121&amp;""=p_po,COUNTIF($A$6:A1121,A1121),""))</f>
        <v/>
      </c>
      <c r="AG1121" s="66" t="str">
        <f>IF(OR(AB1121="",A1121=""),"",IF(COUNTIFS($A$6:A1121,A1121,$AB$6:AB1121,"&gt;0")=1,1,""))</f>
        <v/>
      </c>
      <c r="AH1121" s="70" t="str">
        <f>IF(AB1121="","",ROUND(N(W1121)*N(J1121)*(1-N(K1121)),2))</f>
        <v/>
      </c>
      <c r="AI1121" s="70" t="str">
        <f>IF(OR(J1121="",N(T1121)&lt;=0,V1121="Oui"),"",ROUND(N(T1121)*J1121*(1-N(K1121)),2))</f>
        <v/>
      </c>
    </row>
    <row r="1122">
      <c r="A1122" s="63" t="n"/>
      <c r="B1122" s="64" t="n"/>
      <c r="C1122" s="65" t="n"/>
      <c r="D1122" s="66" t="str">
        <f>IF(C1122="","",IFERROR(INDEX(sup_name,MATCH($C1122,sup_code,0))&amp;"","Fournisseur inconnu"))</f>
        <v/>
      </c>
      <c r="E1122" s="63" t="n"/>
      <c r="F1122" s="66" t="str">
        <f>IF(E1122="","",IFERROR(INDEX(art_des,MATCH($E1122,art_ref,0))&amp;"","Article inconnu"))</f>
        <v/>
      </c>
      <c r="G1122" s="67" t="str">
        <f>IF(E1122="","",IFERROR(INDEX(art_unit,MATCH($E1122,art_ref,0))&amp;"",""))</f>
        <v/>
      </c>
      <c r="H1122" s="68" t="n"/>
      <c r="I1122" s="69" t="n"/>
      <c r="J1122" s="70" t="str">
        <f>IF(E1122="","",IF(ISNUMBER(I1122),I1122,IFERROR(IF(ISNUMBER(INDEX(art_price,MATCH($E1122,art_ref,0))),INDEX(art_price,MATCH($E1122,art_ref,0)),""),"")))</f>
        <v/>
      </c>
      <c r="K1122" s="71" t="n"/>
      <c r="L1122" s="72" t="n"/>
      <c r="M1122" s="72" t="str">
        <f>IF(E1122="","",IF(L1122&lt;&gt;"",L1122,IFERROR(IF(ISNUMBER(INDEX(art_tva,MATCH($E1122,art_ref,0))),INDEX(art_tva,MATCH($E1122,art_ref,0)),""),"")))</f>
        <v/>
      </c>
      <c r="N1122" s="70" t="str">
        <f>IF(OR(E1122="",J1122=""),"",ROUND(N(H1122)*J1122*(1-N(K1122)),2))</f>
        <v/>
      </c>
      <c r="O1122" s="70" t="str">
        <f>IF(OR(N1122="",NOT(ISNUMBER(M1122))),"",ROUND(N1122*M1122,2))</f>
        <v/>
      </c>
      <c r="P1122" s="70" t="str">
        <f>IF(N1122="","",N1122+N(O1122))</f>
        <v/>
      </c>
      <c r="Q1122" s="64" t="n"/>
      <c r="R1122" s="73" t="str">
        <f>IF(N(Q1122)&gt;0,Q1122,IF(OR(N(B1122)=0,ISNA(MATCH($C1122,sup_code,0))),"",IF(ISNUMBER(INDEX(sup_delay,MATCH($C1122,sup_code,0))),B1122+INDEX(sup_delay,MATCH($C1122,sup_code,0)),"")))</f>
        <v/>
      </c>
      <c r="S1122" s="64" t="n"/>
      <c r="T1122" s="68" t="n"/>
      <c r="U1122" s="64" t="n"/>
      <c r="V1122" s="65" t="n"/>
      <c r="W1122" s="74" t="str">
        <f>IF(AND(A1122="",E1122=""),"",IF(V1122="Oui",0,MAX(0,ROUND(N(H1122)-N(T1122),6))))</f>
        <v/>
      </c>
      <c r="X1122" s="67" t="str">
        <f>IF(AND(A1122="",E1122=""),"",IF(V1122="Oui","Annulé",IF(AND(N(H1122)&gt;0,N(T1122)&gt;=N(H1122)),"Reçu",IF(N(S1122)=0,"Brouillon",IF(AND(ISNUMBER(R1122),R1122&lt;p_today),"En retard",IF(N(T1122)&gt;0,"Partiel","Envoyé"))))))</f>
        <v/>
      </c>
      <c r="Y1122" s="75" t="str">
        <f>IF(X1122="En retard",p_today-R1122,IF(AND(X1122="Reçu",ISNUMBER(R1122)),MAX(0,N(U1122)-R1122),""))</f>
        <v/>
      </c>
      <c r="Z1122" s="67" t="str">
        <f>IF(AND(A1122="",E1122=""),"",IF(A1122="","N° de bon manquant",IF(N(B1122)=0,"Date de commande manquante",IF(C1122="","Fournisseur manquant",IF(ISNA(MATCH($C1122,sup_code,0)),"Fournisseur inconnu",IF(E1122="","Article manquant",IF(ISNA(MATCH($E1122,art_ref,0)),"Article inconnu",IF(N(H1122)&lt;=0,"Quantité invalide",IF(J1122="","Prix manquant",IF(OR(N(K1122)&lt;0,N(K1122)&gt;=1),"Remise invalide",IF(M1122="","TVA manquante",IF(ISNA(MATCH(M1122,p_tva,0)),"Taux de TVA inconnu",IF(COUNTIFS(po_num,A1122,po_sup,"&lt;&gt;"&amp;C1122)&gt;0,"Fournisseur différent sur ce bon",IF(COUNTIFS(po_num,A1122,po_date,"&lt;&gt;"&amp;B1122)&gt;0,"Date différente sur ce bon",IF(COUNTIF(po_num,A1122)&gt;25,"Plus de 25 lignes sur ce bon",IF(R1122="","Date de livraison manquante",IF(R1122&lt;B1122,"Livraison avant la commande",IF(AND(N(T1122)&gt;0,N(S1122)=0),"Date d'envoi manquante",IF(N(T1122)&gt;N(H1122),"Reçu plus que commandé",IF(AND(N(T1122)&gt;0,N(U1122)=0),"Date de réception manquante",IF(AND(N(U1122)&gt;0,U1122&lt;B1122),"Réception avant la commande","OK")))))))))))))))))))))</f>
        <v/>
      </c>
      <c r="AA1122" s="66" t="str">
        <f>IF(AND(X1122="Reçu",ISNUMBER(R1122)),IF(N(U1122)&lt;=R1122,1,0),"")</f>
        <v/>
      </c>
      <c r="AB1122" s="76" t="str">
        <f>IF(OR(X1122="Envoyé",X1122="Partiel",X1122="En retard"),IF(ISNUMBER(R1122),R1122,100000)+ROW()/100000,"")</f>
        <v/>
      </c>
      <c r="AC1122" s="66" t="str">
        <f>IF(A1122="","",IF(COUNTIF($A$6:A1122,A1122)=1,1,""))</f>
        <v/>
      </c>
      <c r="AD1122" s="66" t="str">
        <f>IF(AC1122=1,COUNT($AC$6:AC1122),"")</f>
        <v/>
      </c>
      <c r="AE1122" s="66" t="str">
        <f>IFERROR(INDEX(po_num,MATCH(1117,po_seq,0))&amp;"","")</f>
        <v/>
      </c>
      <c r="AF1122" s="66" t="str">
        <f>IF(OR(A1122="",p_po=""),"",IF(A1122&amp;""=p_po,COUNTIF($A$6:A1122,A1122),""))</f>
        <v/>
      </c>
      <c r="AG1122" s="66" t="str">
        <f>IF(OR(AB1122="",A1122=""),"",IF(COUNTIFS($A$6:A1122,A1122,$AB$6:AB1122,"&gt;0")=1,1,""))</f>
        <v/>
      </c>
      <c r="AH1122" s="70" t="str">
        <f>IF(AB1122="","",ROUND(N(W1122)*N(J1122)*(1-N(K1122)),2))</f>
        <v/>
      </c>
      <c r="AI1122" s="70" t="str">
        <f>IF(OR(J1122="",N(T1122)&lt;=0,V1122="Oui"),"",ROUND(N(T1122)*J1122*(1-N(K1122)),2))</f>
        <v/>
      </c>
    </row>
    <row r="1123">
      <c r="A1123" s="63" t="n"/>
      <c r="B1123" s="64" t="n"/>
      <c r="C1123" s="65" t="n"/>
      <c r="D1123" s="66" t="str">
        <f>IF(C1123="","",IFERROR(INDEX(sup_name,MATCH($C1123,sup_code,0))&amp;"","Fournisseur inconnu"))</f>
        <v/>
      </c>
      <c r="E1123" s="63" t="n"/>
      <c r="F1123" s="66" t="str">
        <f>IF(E1123="","",IFERROR(INDEX(art_des,MATCH($E1123,art_ref,0))&amp;"","Article inconnu"))</f>
        <v/>
      </c>
      <c r="G1123" s="67" t="str">
        <f>IF(E1123="","",IFERROR(INDEX(art_unit,MATCH($E1123,art_ref,0))&amp;"",""))</f>
        <v/>
      </c>
      <c r="H1123" s="68" t="n"/>
      <c r="I1123" s="69" t="n"/>
      <c r="J1123" s="70" t="str">
        <f>IF(E1123="","",IF(ISNUMBER(I1123),I1123,IFERROR(IF(ISNUMBER(INDEX(art_price,MATCH($E1123,art_ref,0))),INDEX(art_price,MATCH($E1123,art_ref,0)),""),"")))</f>
        <v/>
      </c>
      <c r="K1123" s="71" t="n"/>
      <c r="L1123" s="72" t="n"/>
      <c r="M1123" s="72" t="str">
        <f>IF(E1123="","",IF(L1123&lt;&gt;"",L1123,IFERROR(IF(ISNUMBER(INDEX(art_tva,MATCH($E1123,art_ref,0))),INDEX(art_tva,MATCH($E1123,art_ref,0)),""),"")))</f>
        <v/>
      </c>
      <c r="N1123" s="70" t="str">
        <f>IF(OR(E1123="",J1123=""),"",ROUND(N(H1123)*J1123*(1-N(K1123)),2))</f>
        <v/>
      </c>
      <c r="O1123" s="70" t="str">
        <f>IF(OR(N1123="",NOT(ISNUMBER(M1123))),"",ROUND(N1123*M1123,2))</f>
        <v/>
      </c>
      <c r="P1123" s="70" t="str">
        <f>IF(N1123="","",N1123+N(O1123))</f>
        <v/>
      </c>
      <c r="Q1123" s="64" t="n"/>
      <c r="R1123" s="73" t="str">
        <f>IF(N(Q1123)&gt;0,Q1123,IF(OR(N(B1123)=0,ISNA(MATCH($C1123,sup_code,0))),"",IF(ISNUMBER(INDEX(sup_delay,MATCH($C1123,sup_code,0))),B1123+INDEX(sup_delay,MATCH($C1123,sup_code,0)),"")))</f>
        <v/>
      </c>
      <c r="S1123" s="64" t="n"/>
      <c r="T1123" s="68" t="n"/>
      <c r="U1123" s="64" t="n"/>
      <c r="V1123" s="65" t="n"/>
      <c r="W1123" s="74" t="str">
        <f>IF(AND(A1123="",E1123=""),"",IF(V1123="Oui",0,MAX(0,ROUND(N(H1123)-N(T1123),6))))</f>
        <v/>
      </c>
      <c r="X1123" s="67" t="str">
        <f>IF(AND(A1123="",E1123=""),"",IF(V1123="Oui","Annulé",IF(AND(N(H1123)&gt;0,N(T1123)&gt;=N(H1123)),"Reçu",IF(N(S1123)=0,"Brouillon",IF(AND(ISNUMBER(R1123),R1123&lt;p_today),"En retard",IF(N(T1123)&gt;0,"Partiel","Envoyé"))))))</f>
        <v/>
      </c>
      <c r="Y1123" s="75" t="str">
        <f>IF(X1123="En retard",p_today-R1123,IF(AND(X1123="Reçu",ISNUMBER(R1123)),MAX(0,N(U1123)-R1123),""))</f>
        <v/>
      </c>
      <c r="Z1123" s="67" t="str">
        <f>IF(AND(A1123="",E1123=""),"",IF(A1123="","N° de bon manquant",IF(N(B1123)=0,"Date de commande manquante",IF(C1123="","Fournisseur manquant",IF(ISNA(MATCH($C1123,sup_code,0)),"Fournisseur inconnu",IF(E1123="","Article manquant",IF(ISNA(MATCH($E1123,art_ref,0)),"Article inconnu",IF(N(H1123)&lt;=0,"Quantité invalide",IF(J1123="","Prix manquant",IF(OR(N(K1123)&lt;0,N(K1123)&gt;=1),"Remise invalide",IF(M1123="","TVA manquante",IF(ISNA(MATCH(M1123,p_tva,0)),"Taux de TVA inconnu",IF(COUNTIFS(po_num,A1123,po_sup,"&lt;&gt;"&amp;C1123)&gt;0,"Fournisseur différent sur ce bon",IF(COUNTIFS(po_num,A1123,po_date,"&lt;&gt;"&amp;B1123)&gt;0,"Date différente sur ce bon",IF(COUNTIF(po_num,A1123)&gt;25,"Plus de 25 lignes sur ce bon",IF(R1123="","Date de livraison manquante",IF(R1123&lt;B1123,"Livraison avant la commande",IF(AND(N(T1123)&gt;0,N(S1123)=0),"Date d'envoi manquante",IF(N(T1123)&gt;N(H1123),"Reçu plus que commandé",IF(AND(N(T1123)&gt;0,N(U1123)=0),"Date de réception manquante",IF(AND(N(U1123)&gt;0,U1123&lt;B1123),"Réception avant la commande","OK")))))))))))))))))))))</f>
        <v/>
      </c>
      <c r="AA1123" s="66" t="str">
        <f>IF(AND(X1123="Reçu",ISNUMBER(R1123)),IF(N(U1123)&lt;=R1123,1,0),"")</f>
        <v/>
      </c>
      <c r="AB1123" s="76" t="str">
        <f>IF(OR(X1123="Envoyé",X1123="Partiel",X1123="En retard"),IF(ISNUMBER(R1123),R1123,100000)+ROW()/100000,"")</f>
        <v/>
      </c>
      <c r="AC1123" s="66" t="str">
        <f>IF(A1123="","",IF(COUNTIF($A$6:A1123,A1123)=1,1,""))</f>
        <v/>
      </c>
      <c r="AD1123" s="66" t="str">
        <f>IF(AC1123=1,COUNT($AC$6:AC1123),"")</f>
        <v/>
      </c>
      <c r="AE1123" s="66" t="str">
        <f>IFERROR(INDEX(po_num,MATCH(1118,po_seq,0))&amp;"","")</f>
        <v/>
      </c>
      <c r="AF1123" s="66" t="str">
        <f>IF(OR(A1123="",p_po=""),"",IF(A1123&amp;""=p_po,COUNTIF($A$6:A1123,A1123),""))</f>
        <v/>
      </c>
      <c r="AG1123" s="66" t="str">
        <f>IF(OR(AB1123="",A1123=""),"",IF(COUNTIFS($A$6:A1123,A1123,$AB$6:AB1123,"&gt;0")=1,1,""))</f>
        <v/>
      </c>
      <c r="AH1123" s="70" t="str">
        <f>IF(AB1123="","",ROUND(N(W1123)*N(J1123)*(1-N(K1123)),2))</f>
        <v/>
      </c>
      <c r="AI1123" s="70" t="str">
        <f>IF(OR(J1123="",N(T1123)&lt;=0,V1123="Oui"),"",ROUND(N(T1123)*J1123*(1-N(K1123)),2))</f>
        <v/>
      </c>
    </row>
    <row r="1124">
      <c r="A1124" s="63" t="n"/>
      <c r="B1124" s="64" t="n"/>
      <c r="C1124" s="65" t="n"/>
      <c r="D1124" s="66" t="str">
        <f>IF(C1124="","",IFERROR(INDEX(sup_name,MATCH($C1124,sup_code,0))&amp;"","Fournisseur inconnu"))</f>
        <v/>
      </c>
      <c r="E1124" s="63" t="n"/>
      <c r="F1124" s="66" t="str">
        <f>IF(E1124="","",IFERROR(INDEX(art_des,MATCH($E1124,art_ref,0))&amp;"","Article inconnu"))</f>
        <v/>
      </c>
      <c r="G1124" s="67" t="str">
        <f>IF(E1124="","",IFERROR(INDEX(art_unit,MATCH($E1124,art_ref,0))&amp;"",""))</f>
        <v/>
      </c>
      <c r="H1124" s="68" t="n"/>
      <c r="I1124" s="69" t="n"/>
      <c r="J1124" s="70" t="str">
        <f>IF(E1124="","",IF(ISNUMBER(I1124),I1124,IFERROR(IF(ISNUMBER(INDEX(art_price,MATCH($E1124,art_ref,0))),INDEX(art_price,MATCH($E1124,art_ref,0)),""),"")))</f>
        <v/>
      </c>
      <c r="K1124" s="71" t="n"/>
      <c r="L1124" s="72" t="n"/>
      <c r="M1124" s="72" t="str">
        <f>IF(E1124="","",IF(L1124&lt;&gt;"",L1124,IFERROR(IF(ISNUMBER(INDEX(art_tva,MATCH($E1124,art_ref,0))),INDEX(art_tva,MATCH($E1124,art_ref,0)),""),"")))</f>
        <v/>
      </c>
      <c r="N1124" s="70" t="str">
        <f>IF(OR(E1124="",J1124=""),"",ROUND(N(H1124)*J1124*(1-N(K1124)),2))</f>
        <v/>
      </c>
      <c r="O1124" s="70" t="str">
        <f>IF(OR(N1124="",NOT(ISNUMBER(M1124))),"",ROUND(N1124*M1124,2))</f>
        <v/>
      </c>
      <c r="P1124" s="70" t="str">
        <f>IF(N1124="","",N1124+N(O1124))</f>
        <v/>
      </c>
      <c r="Q1124" s="64" t="n"/>
      <c r="R1124" s="73" t="str">
        <f>IF(N(Q1124)&gt;0,Q1124,IF(OR(N(B1124)=0,ISNA(MATCH($C1124,sup_code,0))),"",IF(ISNUMBER(INDEX(sup_delay,MATCH($C1124,sup_code,0))),B1124+INDEX(sup_delay,MATCH($C1124,sup_code,0)),"")))</f>
        <v/>
      </c>
      <c r="S1124" s="64" t="n"/>
      <c r="T1124" s="68" t="n"/>
      <c r="U1124" s="64" t="n"/>
      <c r="V1124" s="65" t="n"/>
      <c r="W1124" s="74" t="str">
        <f>IF(AND(A1124="",E1124=""),"",IF(V1124="Oui",0,MAX(0,ROUND(N(H1124)-N(T1124),6))))</f>
        <v/>
      </c>
      <c r="X1124" s="67" t="str">
        <f>IF(AND(A1124="",E1124=""),"",IF(V1124="Oui","Annulé",IF(AND(N(H1124)&gt;0,N(T1124)&gt;=N(H1124)),"Reçu",IF(N(S1124)=0,"Brouillon",IF(AND(ISNUMBER(R1124),R1124&lt;p_today),"En retard",IF(N(T1124)&gt;0,"Partiel","Envoyé"))))))</f>
        <v/>
      </c>
      <c r="Y1124" s="75" t="str">
        <f>IF(X1124="En retard",p_today-R1124,IF(AND(X1124="Reçu",ISNUMBER(R1124)),MAX(0,N(U1124)-R1124),""))</f>
        <v/>
      </c>
      <c r="Z1124" s="67" t="str">
        <f>IF(AND(A1124="",E1124=""),"",IF(A1124="","N° de bon manquant",IF(N(B1124)=0,"Date de commande manquante",IF(C1124="","Fournisseur manquant",IF(ISNA(MATCH($C1124,sup_code,0)),"Fournisseur inconnu",IF(E1124="","Article manquant",IF(ISNA(MATCH($E1124,art_ref,0)),"Article inconnu",IF(N(H1124)&lt;=0,"Quantité invalide",IF(J1124="","Prix manquant",IF(OR(N(K1124)&lt;0,N(K1124)&gt;=1),"Remise invalide",IF(M1124="","TVA manquante",IF(ISNA(MATCH(M1124,p_tva,0)),"Taux de TVA inconnu",IF(COUNTIFS(po_num,A1124,po_sup,"&lt;&gt;"&amp;C1124)&gt;0,"Fournisseur différent sur ce bon",IF(COUNTIFS(po_num,A1124,po_date,"&lt;&gt;"&amp;B1124)&gt;0,"Date différente sur ce bon",IF(COUNTIF(po_num,A1124)&gt;25,"Plus de 25 lignes sur ce bon",IF(R1124="","Date de livraison manquante",IF(R1124&lt;B1124,"Livraison avant la commande",IF(AND(N(T1124)&gt;0,N(S1124)=0),"Date d'envoi manquante",IF(N(T1124)&gt;N(H1124),"Reçu plus que commandé",IF(AND(N(T1124)&gt;0,N(U1124)=0),"Date de réception manquante",IF(AND(N(U1124)&gt;0,U1124&lt;B1124),"Réception avant la commande","OK")))))))))))))))))))))</f>
        <v/>
      </c>
      <c r="AA1124" s="66" t="str">
        <f>IF(AND(X1124="Reçu",ISNUMBER(R1124)),IF(N(U1124)&lt;=R1124,1,0),"")</f>
        <v/>
      </c>
      <c r="AB1124" s="76" t="str">
        <f>IF(OR(X1124="Envoyé",X1124="Partiel",X1124="En retard"),IF(ISNUMBER(R1124),R1124,100000)+ROW()/100000,"")</f>
        <v/>
      </c>
      <c r="AC1124" s="66" t="str">
        <f>IF(A1124="","",IF(COUNTIF($A$6:A1124,A1124)=1,1,""))</f>
        <v/>
      </c>
      <c r="AD1124" s="66" t="str">
        <f>IF(AC1124=1,COUNT($AC$6:AC1124),"")</f>
        <v/>
      </c>
      <c r="AE1124" s="66" t="str">
        <f>IFERROR(INDEX(po_num,MATCH(1119,po_seq,0))&amp;"","")</f>
        <v/>
      </c>
      <c r="AF1124" s="66" t="str">
        <f>IF(OR(A1124="",p_po=""),"",IF(A1124&amp;""=p_po,COUNTIF($A$6:A1124,A1124),""))</f>
        <v/>
      </c>
      <c r="AG1124" s="66" t="str">
        <f>IF(OR(AB1124="",A1124=""),"",IF(COUNTIFS($A$6:A1124,A1124,$AB$6:AB1124,"&gt;0")=1,1,""))</f>
        <v/>
      </c>
      <c r="AH1124" s="70" t="str">
        <f>IF(AB1124="","",ROUND(N(W1124)*N(J1124)*(1-N(K1124)),2))</f>
        <v/>
      </c>
      <c r="AI1124" s="70" t="str">
        <f>IF(OR(J1124="",N(T1124)&lt;=0,V1124="Oui"),"",ROUND(N(T1124)*J1124*(1-N(K1124)),2))</f>
        <v/>
      </c>
    </row>
    <row r="1125">
      <c r="A1125" s="63" t="n"/>
      <c r="B1125" s="64" t="n"/>
      <c r="C1125" s="65" t="n"/>
      <c r="D1125" s="66" t="str">
        <f>IF(C1125="","",IFERROR(INDEX(sup_name,MATCH($C1125,sup_code,0))&amp;"","Fournisseur inconnu"))</f>
        <v/>
      </c>
      <c r="E1125" s="63" t="n"/>
      <c r="F1125" s="66" t="str">
        <f>IF(E1125="","",IFERROR(INDEX(art_des,MATCH($E1125,art_ref,0))&amp;"","Article inconnu"))</f>
        <v/>
      </c>
      <c r="G1125" s="67" t="str">
        <f>IF(E1125="","",IFERROR(INDEX(art_unit,MATCH($E1125,art_ref,0))&amp;"",""))</f>
        <v/>
      </c>
      <c r="H1125" s="68" t="n"/>
      <c r="I1125" s="69" t="n"/>
      <c r="J1125" s="70" t="str">
        <f>IF(E1125="","",IF(ISNUMBER(I1125),I1125,IFERROR(IF(ISNUMBER(INDEX(art_price,MATCH($E1125,art_ref,0))),INDEX(art_price,MATCH($E1125,art_ref,0)),""),"")))</f>
        <v/>
      </c>
      <c r="K1125" s="71" t="n"/>
      <c r="L1125" s="72" t="n"/>
      <c r="M1125" s="72" t="str">
        <f>IF(E1125="","",IF(L1125&lt;&gt;"",L1125,IFERROR(IF(ISNUMBER(INDEX(art_tva,MATCH($E1125,art_ref,0))),INDEX(art_tva,MATCH($E1125,art_ref,0)),""),"")))</f>
        <v/>
      </c>
      <c r="N1125" s="70" t="str">
        <f>IF(OR(E1125="",J1125=""),"",ROUND(N(H1125)*J1125*(1-N(K1125)),2))</f>
        <v/>
      </c>
      <c r="O1125" s="70" t="str">
        <f>IF(OR(N1125="",NOT(ISNUMBER(M1125))),"",ROUND(N1125*M1125,2))</f>
        <v/>
      </c>
      <c r="P1125" s="70" t="str">
        <f>IF(N1125="","",N1125+N(O1125))</f>
        <v/>
      </c>
      <c r="Q1125" s="64" t="n"/>
      <c r="R1125" s="73" t="str">
        <f>IF(N(Q1125)&gt;0,Q1125,IF(OR(N(B1125)=0,ISNA(MATCH($C1125,sup_code,0))),"",IF(ISNUMBER(INDEX(sup_delay,MATCH($C1125,sup_code,0))),B1125+INDEX(sup_delay,MATCH($C1125,sup_code,0)),"")))</f>
        <v/>
      </c>
      <c r="S1125" s="64" t="n"/>
      <c r="T1125" s="68" t="n"/>
      <c r="U1125" s="64" t="n"/>
      <c r="V1125" s="65" t="n"/>
      <c r="W1125" s="74" t="str">
        <f>IF(AND(A1125="",E1125=""),"",IF(V1125="Oui",0,MAX(0,ROUND(N(H1125)-N(T1125),6))))</f>
        <v/>
      </c>
      <c r="X1125" s="67" t="str">
        <f>IF(AND(A1125="",E1125=""),"",IF(V1125="Oui","Annulé",IF(AND(N(H1125)&gt;0,N(T1125)&gt;=N(H1125)),"Reçu",IF(N(S1125)=0,"Brouillon",IF(AND(ISNUMBER(R1125),R1125&lt;p_today),"En retard",IF(N(T1125)&gt;0,"Partiel","Envoyé"))))))</f>
        <v/>
      </c>
      <c r="Y1125" s="75" t="str">
        <f>IF(X1125="En retard",p_today-R1125,IF(AND(X1125="Reçu",ISNUMBER(R1125)),MAX(0,N(U1125)-R1125),""))</f>
        <v/>
      </c>
      <c r="Z1125" s="67" t="str">
        <f>IF(AND(A1125="",E1125=""),"",IF(A1125="","N° de bon manquant",IF(N(B1125)=0,"Date de commande manquante",IF(C1125="","Fournisseur manquant",IF(ISNA(MATCH($C1125,sup_code,0)),"Fournisseur inconnu",IF(E1125="","Article manquant",IF(ISNA(MATCH($E1125,art_ref,0)),"Article inconnu",IF(N(H1125)&lt;=0,"Quantité invalide",IF(J1125="","Prix manquant",IF(OR(N(K1125)&lt;0,N(K1125)&gt;=1),"Remise invalide",IF(M1125="","TVA manquante",IF(ISNA(MATCH(M1125,p_tva,0)),"Taux de TVA inconnu",IF(COUNTIFS(po_num,A1125,po_sup,"&lt;&gt;"&amp;C1125)&gt;0,"Fournisseur différent sur ce bon",IF(COUNTIFS(po_num,A1125,po_date,"&lt;&gt;"&amp;B1125)&gt;0,"Date différente sur ce bon",IF(COUNTIF(po_num,A1125)&gt;25,"Plus de 25 lignes sur ce bon",IF(R1125="","Date de livraison manquante",IF(R1125&lt;B1125,"Livraison avant la commande",IF(AND(N(T1125)&gt;0,N(S1125)=0),"Date d'envoi manquante",IF(N(T1125)&gt;N(H1125),"Reçu plus que commandé",IF(AND(N(T1125)&gt;0,N(U1125)=0),"Date de réception manquante",IF(AND(N(U1125)&gt;0,U1125&lt;B1125),"Réception avant la commande","OK")))))))))))))))))))))</f>
        <v/>
      </c>
      <c r="AA1125" s="66" t="str">
        <f>IF(AND(X1125="Reçu",ISNUMBER(R1125)),IF(N(U1125)&lt;=R1125,1,0),"")</f>
        <v/>
      </c>
      <c r="AB1125" s="76" t="str">
        <f>IF(OR(X1125="Envoyé",X1125="Partiel",X1125="En retard"),IF(ISNUMBER(R1125),R1125,100000)+ROW()/100000,"")</f>
        <v/>
      </c>
      <c r="AC1125" s="66" t="str">
        <f>IF(A1125="","",IF(COUNTIF($A$6:A1125,A1125)=1,1,""))</f>
        <v/>
      </c>
      <c r="AD1125" s="66" t="str">
        <f>IF(AC1125=1,COUNT($AC$6:AC1125),"")</f>
        <v/>
      </c>
      <c r="AE1125" s="66" t="str">
        <f>IFERROR(INDEX(po_num,MATCH(1120,po_seq,0))&amp;"","")</f>
        <v/>
      </c>
      <c r="AF1125" s="66" t="str">
        <f>IF(OR(A1125="",p_po=""),"",IF(A1125&amp;""=p_po,COUNTIF($A$6:A1125,A1125),""))</f>
        <v/>
      </c>
      <c r="AG1125" s="66" t="str">
        <f>IF(OR(AB1125="",A1125=""),"",IF(COUNTIFS($A$6:A1125,A1125,$AB$6:AB1125,"&gt;0")=1,1,""))</f>
        <v/>
      </c>
      <c r="AH1125" s="70" t="str">
        <f>IF(AB1125="","",ROUND(N(W1125)*N(J1125)*(1-N(K1125)),2))</f>
        <v/>
      </c>
      <c r="AI1125" s="70" t="str">
        <f>IF(OR(J1125="",N(T1125)&lt;=0,V1125="Oui"),"",ROUND(N(T1125)*J1125*(1-N(K1125)),2))</f>
        <v/>
      </c>
    </row>
    <row r="1126">
      <c r="A1126" s="63" t="n"/>
      <c r="B1126" s="64" t="n"/>
      <c r="C1126" s="65" t="n"/>
      <c r="D1126" s="66" t="str">
        <f>IF(C1126="","",IFERROR(INDEX(sup_name,MATCH($C1126,sup_code,0))&amp;"","Fournisseur inconnu"))</f>
        <v/>
      </c>
      <c r="E1126" s="63" t="n"/>
      <c r="F1126" s="66" t="str">
        <f>IF(E1126="","",IFERROR(INDEX(art_des,MATCH($E1126,art_ref,0))&amp;"","Article inconnu"))</f>
        <v/>
      </c>
      <c r="G1126" s="67" t="str">
        <f>IF(E1126="","",IFERROR(INDEX(art_unit,MATCH($E1126,art_ref,0))&amp;"",""))</f>
        <v/>
      </c>
      <c r="H1126" s="68" t="n"/>
      <c r="I1126" s="69" t="n"/>
      <c r="J1126" s="70" t="str">
        <f>IF(E1126="","",IF(ISNUMBER(I1126),I1126,IFERROR(IF(ISNUMBER(INDEX(art_price,MATCH($E1126,art_ref,0))),INDEX(art_price,MATCH($E1126,art_ref,0)),""),"")))</f>
        <v/>
      </c>
      <c r="K1126" s="71" t="n"/>
      <c r="L1126" s="72" t="n"/>
      <c r="M1126" s="72" t="str">
        <f>IF(E1126="","",IF(L1126&lt;&gt;"",L1126,IFERROR(IF(ISNUMBER(INDEX(art_tva,MATCH($E1126,art_ref,0))),INDEX(art_tva,MATCH($E1126,art_ref,0)),""),"")))</f>
        <v/>
      </c>
      <c r="N1126" s="70" t="str">
        <f>IF(OR(E1126="",J1126=""),"",ROUND(N(H1126)*J1126*(1-N(K1126)),2))</f>
        <v/>
      </c>
      <c r="O1126" s="70" t="str">
        <f>IF(OR(N1126="",NOT(ISNUMBER(M1126))),"",ROUND(N1126*M1126,2))</f>
        <v/>
      </c>
      <c r="P1126" s="70" t="str">
        <f>IF(N1126="","",N1126+N(O1126))</f>
        <v/>
      </c>
      <c r="Q1126" s="64" t="n"/>
      <c r="R1126" s="73" t="str">
        <f>IF(N(Q1126)&gt;0,Q1126,IF(OR(N(B1126)=0,ISNA(MATCH($C1126,sup_code,0))),"",IF(ISNUMBER(INDEX(sup_delay,MATCH($C1126,sup_code,0))),B1126+INDEX(sup_delay,MATCH($C1126,sup_code,0)),"")))</f>
        <v/>
      </c>
      <c r="S1126" s="64" t="n"/>
      <c r="T1126" s="68" t="n"/>
      <c r="U1126" s="64" t="n"/>
      <c r="V1126" s="65" t="n"/>
      <c r="W1126" s="74" t="str">
        <f>IF(AND(A1126="",E1126=""),"",IF(V1126="Oui",0,MAX(0,ROUND(N(H1126)-N(T1126),6))))</f>
        <v/>
      </c>
      <c r="X1126" s="67" t="str">
        <f>IF(AND(A1126="",E1126=""),"",IF(V1126="Oui","Annulé",IF(AND(N(H1126)&gt;0,N(T1126)&gt;=N(H1126)),"Reçu",IF(N(S1126)=0,"Brouillon",IF(AND(ISNUMBER(R1126),R1126&lt;p_today),"En retard",IF(N(T1126)&gt;0,"Partiel","Envoyé"))))))</f>
        <v/>
      </c>
      <c r="Y1126" s="75" t="str">
        <f>IF(X1126="En retard",p_today-R1126,IF(AND(X1126="Reçu",ISNUMBER(R1126)),MAX(0,N(U1126)-R1126),""))</f>
        <v/>
      </c>
      <c r="Z1126" s="67" t="str">
        <f>IF(AND(A1126="",E1126=""),"",IF(A1126="","N° de bon manquant",IF(N(B1126)=0,"Date de commande manquante",IF(C1126="","Fournisseur manquant",IF(ISNA(MATCH($C1126,sup_code,0)),"Fournisseur inconnu",IF(E1126="","Article manquant",IF(ISNA(MATCH($E1126,art_ref,0)),"Article inconnu",IF(N(H1126)&lt;=0,"Quantité invalide",IF(J1126="","Prix manquant",IF(OR(N(K1126)&lt;0,N(K1126)&gt;=1),"Remise invalide",IF(M1126="","TVA manquante",IF(ISNA(MATCH(M1126,p_tva,0)),"Taux de TVA inconnu",IF(COUNTIFS(po_num,A1126,po_sup,"&lt;&gt;"&amp;C1126)&gt;0,"Fournisseur différent sur ce bon",IF(COUNTIFS(po_num,A1126,po_date,"&lt;&gt;"&amp;B1126)&gt;0,"Date différente sur ce bon",IF(COUNTIF(po_num,A1126)&gt;25,"Plus de 25 lignes sur ce bon",IF(R1126="","Date de livraison manquante",IF(R1126&lt;B1126,"Livraison avant la commande",IF(AND(N(T1126)&gt;0,N(S1126)=0),"Date d'envoi manquante",IF(N(T1126)&gt;N(H1126),"Reçu plus que commandé",IF(AND(N(T1126)&gt;0,N(U1126)=0),"Date de réception manquante",IF(AND(N(U1126)&gt;0,U1126&lt;B1126),"Réception avant la commande","OK")))))))))))))))))))))</f>
        <v/>
      </c>
      <c r="AA1126" s="66" t="str">
        <f>IF(AND(X1126="Reçu",ISNUMBER(R1126)),IF(N(U1126)&lt;=R1126,1,0),"")</f>
        <v/>
      </c>
      <c r="AB1126" s="76" t="str">
        <f>IF(OR(X1126="Envoyé",X1126="Partiel",X1126="En retard"),IF(ISNUMBER(R1126),R1126,100000)+ROW()/100000,"")</f>
        <v/>
      </c>
      <c r="AC1126" s="66" t="str">
        <f>IF(A1126="","",IF(COUNTIF($A$6:A1126,A1126)=1,1,""))</f>
        <v/>
      </c>
      <c r="AD1126" s="66" t="str">
        <f>IF(AC1126=1,COUNT($AC$6:AC1126),"")</f>
        <v/>
      </c>
      <c r="AE1126" s="66" t="str">
        <f>IFERROR(INDEX(po_num,MATCH(1121,po_seq,0))&amp;"","")</f>
        <v/>
      </c>
      <c r="AF1126" s="66" t="str">
        <f>IF(OR(A1126="",p_po=""),"",IF(A1126&amp;""=p_po,COUNTIF($A$6:A1126,A1126),""))</f>
        <v/>
      </c>
      <c r="AG1126" s="66" t="str">
        <f>IF(OR(AB1126="",A1126=""),"",IF(COUNTIFS($A$6:A1126,A1126,$AB$6:AB1126,"&gt;0")=1,1,""))</f>
        <v/>
      </c>
      <c r="AH1126" s="70" t="str">
        <f>IF(AB1126="","",ROUND(N(W1126)*N(J1126)*(1-N(K1126)),2))</f>
        <v/>
      </c>
      <c r="AI1126" s="70" t="str">
        <f>IF(OR(J1126="",N(T1126)&lt;=0,V1126="Oui"),"",ROUND(N(T1126)*J1126*(1-N(K1126)),2))</f>
        <v/>
      </c>
    </row>
    <row r="1127">
      <c r="A1127" s="63" t="n"/>
      <c r="B1127" s="64" t="n"/>
      <c r="C1127" s="65" t="n"/>
      <c r="D1127" s="66" t="str">
        <f>IF(C1127="","",IFERROR(INDEX(sup_name,MATCH($C1127,sup_code,0))&amp;"","Fournisseur inconnu"))</f>
        <v/>
      </c>
      <c r="E1127" s="63" t="n"/>
      <c r="F1127" s="66" t="str">
        <f>IF(E1127="","",IFERROR(INDEX(art_des,MATCH($E1127,art_ref,0))&amp;"","Article inconnu"))</f>
        <v/>
      </c>
      <c r="G1127" s="67" t="str">
        <f>IF(E1127="","",IFERROR(INDEX(art_unit,MATCH($E1127,art_ref,0))&amp;"",""))</f>
        <v/>
      </c>
      <c r="H1127" s="68" t="n"/>
      <c r="I1127" s="69" t="n"/>
      <c r="J1127" s="70" t="str">
        <f>IF(E1127="","",IF(ISNUMBER(I1127),I1127,IFERROR(IF(ISNUMBER(INDEX(art_price,MATCH($E1127,art_ref,0))),INDEX(art_price,MATCH($E1127,art_ref,0)),""),"")))</f>
        <v/>
      </c>
      <c r="K1127" s="71" t="n"/>
      <c r="L1127" s="72" t="n"/>
      <c r="M1127" s="72" t="str">
        <f>IF(E1127="","",IF(L1127&lt;&gt;"",L1127,IFERROR(IF(ISNUMBER(INDEX(art_tva,MATCH($E1127,art_ref,0))),INDEX(art_tva,MATCH($E1127,art_ref,0)),""),"")))</f>
        <v/>
      </c>
      <c r="N1127" s="70" t="str">
        <f>IF(OR(E1127="",J1127=""),"",ROUND(N(H1127)*J1127*(1-N(K1127)),2))</f>
        <v/>
      </c>
      <c r="O1127" s="70" t="str">
        <f>IF(OR(N1127="",NOT(ISNUMBER(M1127))),"",ROUND(N1127*M1127,2))</f>
        <v/>
      </c>
      <c r="P1127" s="70" t="str">
        <f>IF(N1127="","",N1127+N(O1127))</f>
        <v/>
      </c>
      <c r="Q1127" s="64" t="n"/>
      <c r="R1127" s="73" t="str">
        <f>IF(N(Q1127)&gt;0,Q1127,IF(OR(N(B1127)=0,ISNA(MATCH($C1127,sup_code,0))),"",IF(ISNUMBER(INDEX(sup_delay,MATCH($C1127,sup_code,0))),B1127+INDEX(sup_delay,MATCH($C1127,sup_code,0)),"")))</f>
        <v/>
      </c>
      <c r="S1127" s="64" t="n"/>
      <c r="T1127" s="68" t="n"/>
      <c r="U1127" s="64" t="n"/>
      <c r="V1127" s="65" t="n"/>
      <c r="W1127" s="74" t="str">
        <f>IF(AND(A1127="",E1127=""),"",IF(V1127="Oui",0,MAX(0,ROUND(N(H1127)-N(T1127),6))))</f>
        <v/>
      </c>
      <c r="X1127" s="67" t="str">
        <f>IF(AND(A1127="",E1127=""),"",IF(V1127="Oui","Annulé",IF(AND(N(H1127)&gt;0,N(T1127)&gt;=N(H1127)),"Reçu",IF(N(S1127)=0,"Brouillon",IF(AND(ISNUMBER(R1127),R1127&lt;p_today),"En retard",IF(N(T1127)&gt;0,"Partiel","Envoyé"))))))</f>
        <v/>
      </c>
      <c r="Y1127" s="75" t="str">
        <f>IF(X1127="En retard",p_today-R1127,IF(AND(X1127="Reçu",ISNUMBER(R1127)),MAX(0,N(U1127)-R1127),""))</f>
        <v/>
      </c>
      <c r="Z1127" s="67" t="str">
        <f>IF(AND(A1127="",E1127=""),"",IF(A1127="","N° de bon manquant",IF(N(B1127)=0,"Date de commande manquante",IF(C1127="","Fournisseur manquant",IF(ISNA(MATCH($C1127,sup_code,0)),"Fournisseur inconnu",IF(E1127="","Article manquant",IF(ISNA(MATCH($E1127,art_ref,0)),"Article inconnu",IF(N(H1127)&lt;=0,"Quantité invalide",IF(J1127="","Prix manquant",IF(OR(N(K1127)&lt;0,N(K1127)&gt;=1),"Remise invalide",IF(M1127="","TVA manquante",IF(ISNA(MATCH(M1127,p_tva,0)),"Taux de TVA inconnu",IF(COUNTIFS(po_num,A1127,po_sup,"&lt;&gt;"&amp;C1127)&gt;0,"Fournisseur différent sur ce bon",IF(COUNTIFS(po_num,A1127,po_date,"&lt;&gt;"&amp;B1127)&gt;0,"Date différente sur ce bon",IF(COUNTIF(po_num,A1127)&gt;25,"Plus de 25 lignes sur ce bon",IF(R1127="","Date de livraison manquante",IF(R1127&lt;B1127,"Livraison avant la commande",IF(AND(N(T1127)&gt;0,N(S1127)=0),"Date d'envoi manquante",IF(N(T1127)&gt;N(H1127),"Reçu plus que commandé",IF(AND(N(T1127)&gt;0,N(U1127)=0),"Date de réception manquante",IF(AND(N(U1127)&gt;0,U1127&lt;B1127),"Réception avant la commande","OK")))))))))))))))))))))</f>
        <v/>
      </c>
      <c r="AA1127" s="66" t="str">
        <f>IF(AND(X1127="Reçu",ISNUMBER(R1127)),IF(N(U1127)&lt;=R1127,1,0),"")</f>
        <v/>
      </c>
      <c r="AB1127" s="76" t="str">
        <f>IF(OR(X1127="Envoyé",X1127="Partiel",X1127="En retard"),IF(ISNUMBER(R1127),R1127,100000)+ROW()/100000,"")</f>
        <v/>
      </c>
      <c r="AC1127" s="66" t="str">
        <f>IF(A1127="","",IF(COUNTIF($A$6:A1127,A1127)=1,1,""))</f>
        <v/>
      </c>
      <c r="AD1127" s="66" t="str">
        <f>IF(AC1127=1,COUNT($AC$6:AC1127),"")</f>
        <v/>
      </c>
      <c r="AE1127" s="66" t="str">
        <f>IFERROR(INDEX(po_num,MATCH(1122,po_seq,0))&amp;"","")</f>
        <v/>
      </c>
      <c r="AF1127" s="66" t="str">
        <f>IF(OR(A1127="",p_po=""),"",IF(A1127&amp;""=p_po,COUNTIF($A$6:A1127,A1127),""))</f>
        <v/>
      </c>
      <c r="AG1127" s="66" t="str">
        <f>IF(OR(AB1127="",A1127=""),"",IF(COUNTIFS($A$6:A1127,A1127,$AB$6:AB1127,"&gt;0")=1,1,""))</f>
        <v/>
      </c>
      <c r="AH1127" s="70" t="str">
        <f>IF(AB1127="","",ROUND(N(W1127)*N(J1127)*(1-N(K1127)),2))</f>
        <v/>
      </c>
      <c r="AI1127" s="70" t="str">
        <f>IF(OR(J1127="",N(T1127)&lt;=0,V1127="Oui"),"",ROUND(N(T1127)*J1127*(1-N(K1127)),2))</f>
        <v/>
      </c>
    </row>
    <row r="1128">
      <c r="A1128" s="63" t="n"/>
      <c r="B1128" s="64" t="n"/>
      <c r="C1128" s="65" t="n"/>
      <c r="D1128" s="66" t="str">
        <f>IF(C1128="","",IFERROR(INDEX(sup_name,MATCH($C1128,sup_code,0))&amp;"","Fournisseur inconnu"))</f>
        <v/>
      </c>
      <c r="E1128" s="63" t="n"/>
      <c r="F1128" s="66" t="str">
        <f>IF(E1128="","",IFERROR(INDEX(art_des,MATCH($E1128,art_ref,0))&amp;"","Article inconnu"))</f>
        <v/>
      </c>
      <c r="G1128" s="67" t="str">
        <f>IF(E1128="","",IFERROR(INDEX(art_unit,MATCH($E1128,art_ref,0))&amp;"",""))</f>
        <v/>
      </c>
      <c r="H1128" s="68" t="n"/>
      <c r="I1128" s="69" t="n"/>
      <c r="J1128" s="70" t="str">
        <f>IF(E1128="","",IF(ISNUMBER(I1128),I1128,IFERROR(IF(ISNUMBER(INDEX(art_price,MATCH($E1128,art_ref,0))),INDEX(art_price,MATCH($E1128,art_ref,0)),""),"")))</f>
        <v/>
      </c>
      <c r="K1128" s="71" t="n"/>
      <c r="L1128" s="72" t="n"/>
      <c r="M1128" s="72" t="str">
        <f>IF(E1128="","",IF(L1128&lt;&gt;"",L1128,IFERROR(IF(ISNUMBER(INDEX(art_tva,MATCH($E1128,art_ref,0))),INDEX(art_tva,MATCH($E1128,art_ref,0)),""),"")))</f>
        <v/>
      </c>
      <c r="N1128" s="70" t="str">
        <f>IF(OR(E1128="",J1128=""),"",ROUND(N(H1128)*J1128*(1-N(K1128)),2))</f>
        <v/>
      </c>
      <c r="O1128" s="70" t="str">
        <f>IF(OR(N1128="",NOT(ISNUMBER(M1128))),"",ROUND(N1128*M1128,2))</f>
        <v/>
      </c>
      <c r="P1128" s="70" t="str">
        <f>IF(N1128="","",N1128+N(O1128))</f>
        <v/>
      </c>
      <c r="Q1128" s="64" t="n"/>
      <c r="R1128" s="73" t="str">
        <f>IF(N(Q1128)&gt;0,Q1128,IF(OR(N(B1128)=0,ISNA(MATCH($C1128,sup_code,0))),"",IF(ISNUMBER(INDEX(sup_delay,MATCH($C1128,sup_code,0))),B1128+INDEX(sup_delay,MATCH($C1128,sup_code,0)),"")))</f>
        <v/>
      </c>
      <c r="S1128" s="64" t="n"/>
      <c r="T1128" s="68" t="n"/>
      <c r="U1128" s="64" t="n"/>
      <c r="V1128" s="65" t="n"/>
      <c r="W1128" s="74" t="str">
        <f>IF(AND(A1128="",E1128=""),"",IF(V1128="Oui",0,MAX(0,ROUND(N(H1128)-N(T1128),6))))</f>
        <v/>
      </c>
      <c r="X1128" s="67" t="str">
        <f>IF(AND(A1128="",E1128=""),"",IF(V1128="Oui","Annulé",IF(AND(N(H1128)&gt;0,N(T1128)&gt;=N(H1128)),"Reçu",IF(N(S1128)=0,"Brouillon",IF(AND(ISNUMBER(R1128),R1128&lt;p_today),"En retard",IF(N(T1128)&gt;0,"Partiel","Envoyé"))))))</f>
        <v/>
      </c>
      <c r="Y1128" s="75" t="str">
        <f>IF(X1128="En retard",p_today-R1128,IF(AND(X1128="Reçu",ISNUMBER(R1128)),MAX(0,N(U1128)-R1128),""))</f>
        <v/>
      </c>
      <c r="Z1128" s="67" t="str">
        <f>IF(AND(A1128="",E1128=""),"",IF(A1128="","N° de bon manquant",IF(N(B1128)=0,"Date de commande manquante",IF(C1128="","Fournisseur manquant",IF(ISNA(MATCH($C1128,sup_code,0)),"Fournisseur inconnu",IF(E1128="","Article manquant",IF(ISNA(MATCH($E1128,art_ref,0)),"Article inconnu",IF(N(H1128)&lt;=0,"Quantité invalide",IF(J1128="","Prix manquant",IF(OR(N(K1128)&lt;0,N(K1128)&gt;=1),"Remise invalide",IF(M1128="","TVA manquante",IF(ISNA(MATCH(M1128,p_tva,0)),"Taux de TVA inconnu",IF(COUNTIFS(po_num,A1128,po_sup,"&lt;&gt;"&amp;C1128)&gt;0,"Fournisseur différent sur ce bon",IF(COUNTIFS(po_num,A1128,po_date,"&lt;&gt;"&amp;B1128)&gt;0,"Date différente sur ce bon",IF(COUNTIF(po_num,A1128)&gt;25,"Plus de 25 lignes sur ce bon",IF(R1128="","Date de livraison manquante",IF(R1128&lt;B1128,"Livraison avant la commande",IF(AND(N(T1128)&gt;0,N(S1128)=0),"Date d'envoi manquante",IF(N(T1128)&gt;N(H1128),"Reçu plus que commandé",IF(AND(N(T1128)&gt;0,N(U1128)=0),"Date de réception manquante",IF(AND(N(U1128)&gt;0,U1128&lt;B1128),"Réception avant la commande","OK")))))))))))))))))))))</f>
        <v/>
      </c>
      <c r="AA1128" s="66" t="str">
        <f>IF(AND(X1128="Reçu",ISNUMBER(R1128)),IF(N(U1128)&lt;=R1128,1,0),"")</f>
        <v/>
      </c>
      <c r="AB1128" s="76" t="str">
        <f>IF(OR(X1128="Envoyé",X1128="Partiel",X1128="En retard"),IF(ISNUMBER(R1128),R1128,100000)+ROW()/100000,"")</f>
        <v/>
      </c>
      <c r="AC1128" s="66" t="str">
        <f>IF(A1128="","",IF(COUNTIF($A$6:A1128,A1128)=1,1,""))</f>
        <v/>
      </c>
      <c r="AD1128" s="66" t="str">
        <f>IF(AC1128=1,COUNT($AC$6:AC1128),"")</f>
        <v/>
      </c>
      <c r="AE1128" s="66" t="str">
        <f>IFERROR(INDEX(po_num,MATCH(1123,po_seq,0))&amp;"","")</f>
        <v/>
      </c>
      <c r="AF1128" s="66" t="str">
        <f>IF(OR(A1128="",p_po=""),"",IF(A1128&amp;""=p_po,COUNTIF($A$6:A1128,A1128),""))</f>
        <v/>
      </c>
      <c r="AG1128" s="66" t="str">
        <f>IF(OR(AB1128="",A1128=""),"",IF(COUNTIFS($A$6:A1128,A1128,$AB$6:AB1128,"&gt;0")=1,1,""))</f>
        <v/>
      </c>
      <c r="AH1128" s="70" t="str">
        <f>IF(AB1128="","",ROUND(N(W1128)*N(J1128)*(1-N(K1128)),2))</f>
        <v/>
      </c>
      <c r="AI1128" s="70" t="str">
        <f>IF(OR(J1128="",N(T1128)&lt;=0,V1128="Oui"),"",ROUND(N(T1128)*J1128*(1-N(K1128)),2))</f>
        <v/>
      </c>
    </row>
    <row r="1129">
      <c r="A1129" s="63" t="n"/>
      <c r="B1129" s="64" t="n"/>
      <c r="C1129" s="65" t="n"/>
      <c r="D1129" s="66" t="str">
        <f>IF(C1129="","",IFERROR(INDEX(sup_name,MATCH($C1129,sup_code,0))&amp;"","Fournisseur inconnu"))</f>
        <v/>
      </c>
      <c r="E1129" s="63" t="n"/>
      <c r="F1129" s="66" t="str">
        <f>IF(E1129="","",IFERROR(INDEX(art_des,MATCH($E1129,art_ref,0))&amp;"","Article inconnu"))</f>
        <v/>
      </c>
      <c r="G1129" s="67" t="str">
        <f>IF(E1129="","",IFERROR(INDEX(art_unit,MATCH($E1129,art_ref,0))&amp;"",""))</f>
        <v/>
      </c>
      <c r="H1129" s="68" t="n"/>
      <c r="I1129" s="69" t="n"/>
      <c r="J1129" s="70" t="str">
        <f>IF(E1129="","",IF(ISNUMBER(I1129),I1129,IFERROR(IF(ISNUMBER(INDEX(art_price,MATCH($E1129,art_ref,0))),INDEX(art_price,MATCH($E1129,art_ref,0)),""),"")))</f>
        <v/>
      </c>
      <c r="K1129" s="71" t="n"/>
      <c r="L1129" s="72" t="n"/>
      <c r="M1129" s="72" t="str">
        <f>IF(E1129="","",IF(L1129&lt;&gt;"",L1129,IFERROR(IF(ISNUMBER(INDEX(art_tva,MATCH($E1129,art_ref,0))),INDEX(art_tva,MATCH($E1129,art_ref,0)),""),"")))</f>
        <v/>
      </c>
      <c r="N1129" s="70" t="str">
        <f>IF(OR(E1129="",J1129=""),"",ROUND(N(H1129)*J1129*(1-N(K1129)),2))</f>
        <v/>
      </c>
      <c r="O1129" s="70" t="str">
        <f>IF(OR(N1129="",NOT(ISNUMBER(M1129))),"",ROUND(N1129*M1129,2))</f>
        <v/>
      </c>
      <c r="P1129" s="70" t="str">
        <f>IF(N1129="","",N1129+N(O1129))</f>
        <v/>
      </c>
      <c r="Q1129" s="64" t="n"/>
      <c r="R1129" s="73" t="str">
        <f>IF(N(Q1129)&gt;0,Q1129,IF(OR(N(B1129)=0,ISNA(MATCH($C1129,sup_code,0))),"",IF(ISNUMBER(INDEX(sup_delay,MATCH($C1129,sup_code,0))),B1129+INDEX(sup_delay,MATCH($C1129,sup_code,0)),"")))</f>
        <v/>
      </c>
      <c r="S1129" s="64" t="n"/>
      <c r="T1129" s="68" t="n"/>
      <c r="U1129" s="64" t="n"/>
      <c r="V1129" s="65" t="n"/>
      <c r="W1129" s="74" t="str">
        <f>IF(AND(A1129="",E1129=""),"",IF(V1129="Oui",0,MAX(0,ROUND(N(H1129)-N(T1129),6))))</f>
        <v/>
      </c>
      <c r="X1129" s="67" t="str">
        <f>IF(AND(A1129="",E1129=""),"",IF(V1129="Oui","Annulé",IF(AND(N(H1129)&gt;0,N(T1129)&gt;=N(H1129)),"Reçu",IF(N(S1129)=0,"Brouillon",IF(AND(ISNUMBER(R1129),R1129&lt;p_today),"En retard",IF(N(T1129)&gt;0,"Partiel","Envoyé"))))))</f>
        <v/>
      </c>
      <c r="Y1129" s="75" t="str">
        <f>IF(X1129="En retard",p_today-R1129,IF(AND(X1129="Reçu",ISNUMBER(R1129)),MAX(0,N(U1129)-R1129),""))</f>
        <v/>
      </c>
      <c r="Z1129" s="67" t="str">
        <f>IF(AND(A1129="",E1129=""),"",IF(A1129="","N° de bon manquant",IF(N(B1129)=0,"Date de commande manquante",IF(C1129="","Fournisseur manquant",IF(ISNA(MATCH($C1129,sup_code,0)),"Fournisseur inconnu",IF(E1129="","Article manquant",IF(ISNA(MATCH($E1129,art_ref,0)),"Article inconnu",IF(N(H1129)&lt;=0,"Quantité invalide",IF(J1129="","Prix manquant",IF(OR(N(K1129)&lt;0,N(K1129)&gt;=1),"Remise invalide",IF(M1129="","TVA manquante",IF(ISNA(MATCH(M1129,p_tva,0)),"Taux de TVA inconnu",IF(COUNTIFS(po_num,A1129,po_sup,"&lt;&gt;"&amp;C1129)&gt;0,"Fournisseur différent sur ce bon",IF(COUNTIFS(po_num,A1129,po_date,"&lt;&gt;"&amp;B1129)&gt;0,"Date différente sur ce bon",IF(COUNTIF(po_num,A1129)&gt;25,"Plus de 25 lignes sur ce bon",IF(R1129="","Date de livraison manquante",IF(R1129&lt;B1129,"Livraison avant la commande",IF(AND(N(T1129)&gt;0,N(S1129)=0),"Date d'envoi manquante",IF(N(T1129)&gt;N(H1129),"Reçu plus que commandé",IF(AND(N(T1129)&gt;0,N(U1129)=0),"Date de réception manquante",IF(AND(N(U1129)&gt;0,U1129&lt;B1129),"Réception avant la commande","OK")))))))))))))))))))))</f>
        <v/>
      </c>
      <c r="AA1129" s="66" t="str">
        <f>IF(AND(X1129="Reçu",ISNUMBER(R1129)),IF(N(U1129)&lt;=R1129,1,0),"")</f>
        <v/>
      </c>
      <c r="AB1129" s="76" t="str">
        <f>IF(OR(X1129="Envoyé",X1129="Partiel",X1129="En retard"),IF(ISNUMBER(R1129),R1129,100000)+ROW()/100000,"")</f>
        <v/>
      </c>
      <c r="AC1129" s="66" t="str">
        <f>IF(A1129="","",IF(COUNTIF($A$6:A1129,A1129)=1,1,""))</f>
        <v/>
      </c>
      <c r="AD1129" s="66" t="str">
        <f>IF(AC1129=1,COUNT($AC$6:AC1129),"")</f>
        <v/>
      </c>
      <c r="AE1129" s="66" t="str">
        <f>IFERROR(INDEX(po_num,MATCH(1124,po_seq,0))&amp;"","")</f>
        <v/>
      </c>
      <c r="AF1129" s="66" t="str">
        <f>IF(OR(A1129="",p_po=""),"",IF(A1129&amp;""=p_po,COUNTIF($A$6:A1129,A1129),""))</f>
        <v/>
      </c>
      <c r="AG1129" s="66" t="str">
        <f>IF(OR(AB1129="",A1129=""),"",IF(COUNTIFS($A$6:A1129,A1129,$AB$6:AB1129,"&gt;0")=1,1,""))</f>
        <v/>
      </c>
      <c r="AH1129" s="70" t="str">
        <f>IF(AB1129="","",ROUND(N(W1129)*N(J1129)*(1-N(K1129)),2))</f>
        <v/>
      </c>
      <c r="AI1129" s="70" t="str">
        <f>IF(OR(J1129="",N(T1129)&lt;=0,V1129="Oui"),"",ROUND(N(T1129)*J1129*(1-N(K1129)),2))</f>
        <v/>
      </c>
    </row>
    <row r="1130">
      <c r="A1130" s="63" t="n"/>
      <c r="B1130" s="64" t="n"/>
      <c r="C1130" s="65" t="n"/>
      <c r="D1130" s="66" t="str">
        <f>IF(C1130="","",IFERROR(INDEX(sup_name,MATCH($C1130,sup_code,0))&amp;"","Fournisseur inconnu"))</f>
        <v/>
      </c>
      <c r="E1130" s="63" t="n"/>
      <c r="F1130" s="66" t="str">
        <f>IF(E1130="","",IFERROR(INDEX(art_des,MATCH($E1130,art_ref,0))&amp;"","Article inconnu"))</f>
        <v/>
      </c>
      <c r="G1130" s="67" t="str">
        <f>IF(E1130="","",IFERROR(INDEX(art_unit,MATCH($E1130,art_ref,0))&amp;"",""))</f>
        <v/>
      </c>
      <c r="H1130" s="68" t="n"/>
      <c r="I1130" s="69" t="n"/>
      <c r="J1130" s="70" t="str">
        <f>IF(E1130="","",IF(ISNUMBER(I1130),I1130,IFERROR(IF(ISNUMBER(INDEX(art_price,MATCH($E1130,art_ref,0))),INDEX(art_price,MATCH($E1130,art_ref,0)),""),"")))</f>
        <v/>
      </c>
      <c r="K1130" s="71" t="n"/>
      <c r="L1130" s="72" t="n"/>
      <c r="M1130" s="72" t="str">
        <f>IF(E1130="","",IF(L1130&lt;&gt;"",L1130,IFERROR(IF(ISNUMBER(INDEX(art_tva,MATCH($E1130,art_ref,0))),INDEX(art_tva,MATCH($E1130,art_ref,0)),""),"")))</f>
        <v/>
      </c>
      <c r="N1130" s="70" t="str">
        <f>IF(OR(E1130="",J1130=""),"",ROUND(N(H1130)*J1130*(1-N(K1130)),2))</f>
        <v/>
      </c>
      <c r="O1130" s="70" t="str">
        <f>IF(OR(N1130="",NOT(ISNUMBER(M1130))),"",ROUND(N1130*M1130,2))</f>
        <v/>
      </c>
      <c r="P1130" s="70" t="str">
        <f>IF(N1130="","",N1130+N(O1130))</f>
        <v/>
      </c>
      <c r="Q1130" s="64" t="n"/>
      <c r="R1130" s="73" t="str">
        <f>IF(N(Q1130)&gt;0,Q1130,IF(OR(N(B1130)=0,ISNA(MATCH($C1130,sup_code,0))),"",IF(ISNUMBER(INDEX(sup_delay,MATCH($C1130,sup_code,0))),B1130+INDEX(sup_delay,MATCH($C1130,sup_code,0)),"")))</f>
        <v/>
      </c>
      <c r="S1130" s="64" t="n"/>
      <c r="T1130" s="68" t="n"/>
      <c r="U1130" s="64" t="n"/>
      <c r="V1130" s="65" t="n"/>
      <c r="W1130" s="74" t="str">
        <f>IF(AND(A1130="",E1130=""),"",IF(V1130="Oui",0,MAX(0,ROUND(N(H1130)-N(T1130),6))))</f>
        <v/>
      </c>
      <c r="X1130" s="67" t="str">
        <f>IF(AND(A1130="",E1130=""),"",IF(V1130="Oui","Annulé",IF(AND(N(H1130)&gt;0,N(T1130)&gt;=N(H1130)),"Reçu",IF(N(S1130)=0,"Brouillon",IF(AND(ISNUMBER(R1130),R1130&lt;p_today),"En retard",IF(N(T1130)&gt;0,"Partiel","Envoyé"))))))</f>
        <v/>
      </c>
      <c r="Y1130" s="75" t="str">
        <f>IF(X1130="En retard",p_today-R1130,IF(AND(X1130="Reçu",ISNUMBER(R1130)),MAX(0,N(U1130)-R1130),""))</f>
        <v/>
      </c>
      <c r="Z1130" s="67" t="str">
        <f>IF(AND(A1130="",E1130=""),"",IF(A1130="","N° de bon manquant",IF(N(B1130)=0,"Date de commande manquante",IF(C1130="","Fournisseur manquant",IF(ISNA(MATCH($C1130,sup_code,0)),"Fournisseur inconnu",IF(E1130="","Article manquant",IF(ISNA(MATCH($E1130,art_ref,0)),"Article inconnu",IF(N(H1130)&lt;=0,"Quantité invalide",IF(J1130="","Prix manquant",IF(OR(N(K1130)&lt;0,N(K1130)&gt;=1),"Remise invalide",IF(M1130="","TVA manquante",IF(ISNA(MATCH(M1130,p_tva,0)),"Taux de TVA inconnu",IF(COUNTIFS(po_num,A1130,po_sup,"&lt;&gt;"&amp;C1130)&gt;0,"Fournisseur différent sur ce bon",IF(COUNTIFS(po_num,A1130,po_date,"&lt;&gt;"&amp;B1130)&gt;0,"Date différente sur ce bon",IF(COUNTIF(po_num,A1130)&gt;25,"Plus de 25 lignes sur ce bon",IF(R1130="","Date de livraison manquante",IF(R1130&lt;B1130,"Livraison avant la commande",IF(AND(N(T1130)&gt;0,N(S1130)=0),"Date d'envoi manquante",IF(N(T1130)&gt;N(H1130),"Reçu plus que commandé",IF(AND(N(T1130)&gt;0,N(U1130)=0),"Date de réception manquante",IF(AND(N(U1130)&gt;0,U1130&lt;B1130),"Réception avant la commande","OK")))))))))))))))))))))</f>
        <v/>
      </c>
      <c r="AA1130" s="66" t="str">
        <f>IF(AND(X1130="Reçu",ISNUMBER(R1130)),IF(N(U1130)&lt;=R1130,1,0),"")</f>
        <v/>
      </c>
      <c r="AB1130" s="76" t="str">
        <f>IF(OR(X1130="Envoyé",X1130="Partiel",X1130="En retard"),IF(ISNUMBER(R1130),R1130,100000)+ROW()/100000,"")</f>
        <v/>
      </c>
      <c r="AC1130" s="66" t="str">
        <f>IF(A1130="","",IF(COUNTIF($A$6:A1130,A1130)=1,1,""))</f>
        <v/>
      </c>
      <c r="AD1130" s="66" t="str">
        <f>IF(AC1130=1,COUNT($AC$6:AC1130),"")</f>
        <v/>
      </c>
      <c r="AE1130" s="66" t="str">
        <f>IFERROR(INDEX(po_num,MATCH(1125,po_seq,0))&amp;"","")</f>
        <v/>
      </c>
      <c r="AF1130" s="66" t="str">
        <f>IF(OR(A1130="",p_po=""),"",IF(A1130&amp;""=p_po,COUNTIF($A$6:A1130,A1130),""))</f>
        <v/>
      </c>
      <c r="AG1130" s="66" t="str">
        <f>IF(OR(AB1130="",A1130=""),"",IF(COUNTIFS($A$6:A1130,A1130,$AB$6:AB1130,"&gt;0")=1,1,""))</f>
        <v/>
      </c>
      <c r="AH1130" s="70" t="str">
        <f>IF(AB1130="","",ROUND(N(W1130)*N(J1130)*(1-N(K1130)),2))</f>
        <v/>
      </c>
      <c r="AI1130" s="70" t="str">
        <f>IF(OR(J1130="",N(T1130)&lt;=0,V1130="Oui"),"",ROUND(N(T1130)*J1130*(1-N(K1130)),2))</f>
        <v/>
      </c>
    </row>
    <row r="1131">
      <c r="A1131" s="63" t="n"/>
      <c r="B1131" s="64" t="n"/>
      <c r="C1131" s="65" t="n"/>
      <c r="D1131" s="66" t="str">
        <f>IF(C1131="","",IFERROR(INDEX(sup_name,MATCH($C1131,sup_code,0))&amp;"","Fournisseur inconnu"))</f>
        <v/>
      </c>
      <c r="E1131" s="63" t="n"/>
      <c r="F1131" s="66" t="str">
        <f>IF(E1131="","",IFERROR(INDEX(art_des,MATCH($E1131,art_ref,0))&amp;"","Article inconnu"))</f>
        <v/>
      </c>
      <c r="G1131" s="67" t="str">
        <f>IF(E1131="","",IFERROR(INDEX(art_unit,MATCH($E1131,art_ref,0))&amp;"",""))</f>
        <v/>
      </c>
      <c r="H1131" s="68" t="n"/>
      <c r="I1131" s="69" t="n"/>
      <c r="J1131" s="70" t="str">
        <f>IF(E1131="","",IF(ISNUMBER(I1131),I1131,IFERROR(IF(ISNUMBER(INDEX(art_price,MATCH($E1131,art_ref,0))),INDEX(art_price,MATCH($E1131,art_ref,0)),""),"")))</f>
        <v/>
      </c>
      <c r="K1131" s="71" t="n"/>
      <c r="L1131" s="72" t="n"/>
      <c r="M1131" s="72" t="str">
        <f>IF(E1131="","",IF(L1131&lt;&gt;"",L1131,IFERROR(IF(ISNUMBER(INDEX(art_tva,MATCH($E1131,art_ref,0))),INDEX(art_tva,MATCH($E1131,art_ref,0)),""),"")))</f>
        <v/>
      </c>
      <c r="N1131" s="70" t="str">
        <f>IF(OR(E1131="",J1131=""),"",ROUND(N(H1131)*J1131*(1-N(K1131)),2))</f>
        <v/>
      </c>
      <c r="O1131" s="70" t="str">
        <f>IF(OR(N1131="",NOT(ISNUMBER(M1131))),"",ROUND(N1131*M1131,2))</f>
        <v/>
      </c>
      <c r="P1131" s="70" t="str">
        <f>IF(N1131="","",N1131+N(O1131))</f>
        <v/>
      </c>
      <c r="Q1131" s="64" t="n"/>
      <c r="R1131" s="73" t="str">
        <f>IF(N(Q1131)&gt;0,Q1131,IF(OR(N(B1131)=0,ISNA(MATCH($C1131,sup_code,0))),"",IF(ISNUMBER(INDEX(sup_delay,MATCH($C1131,sup_code,0))),B1131+INDEX(sup_delay,MATCH($C1131,sup_code,0)),"")))</f>
        <v/>
      </c>
      <c r="S1131" s="64" t="n"/>
      <c r="T1131" s="68" t="n"/>
      <c r="U1131" s="64" t="n"/>
      <c r="V1131" s="65" t="n"/>
      <c r="W1131" s="74" t="str">
        <f>IF(AND(A1131="",E1131=""),"",IF(V1131="Oui",0,MAX(0,ROUND(N(H1131)-N(T1131),6))))</f>
        <v/>
      </c>
      <c r="X1131" s="67" t="str">
        <f>IF(AND(A1131="",E1131=""),"",IF(V1131="Oui","Annulé",IF(AND(N(H1131)&gt;0,N(T1131)&gt;=N(H1131)),"Reçu",IF(N(S1131)=0,"Brouillon",IF(AND(ISNUMBER(R1131),R1131&lt;p_today),"En retard",IF(N(T1131)&gt;0,"Partiel","Envoyé"))))))</f>
        <v/>
      </c>
      <c r="Y1131" s="75" t="str">
        <f>IF(X1131="En retard",p_today-R1131,IF(AND(X1131="Reçu",ISNUMBER(R1131)),MAX(0,N(U1131)-R1131),""))</f>
        <v/>
      </c>
      <c r="Z1131" s="67" t="str">
        <f>IF(AND(A1131="",E1131=""),"",IF(A1131="","N° de bon manquant",IF(N(B1131)=0,"Date de commande manquante",IF(C1131="","Fournisseur manquant",IF(ISNA(MATCH($C1131,sup_code,0)),"Fournisseur inconnu",IF(E1131="","Article manquant",IF(ISNA(MATCH($E1131,art_ref,0)),"Article inconnu",IF(N(H1131)&lt;=0,"Quantité invalide",IF(J1131="","Prix manquant",IF(OR(N(K1131)&lt;0,N(K1131)&gt;=1),"Remise invalide",IF(M1131="","TVA manquante",IF(ISNA(MATCH(M1131,p_tva,0)),"Taux de TVA inconnu",IF(COUNTIFS(po_num,A1131,po_sup,"&lt;&gt;"&amp;C1131)&gt;0,"Fournisseur différent sur ce bon",IF(COUNTIFS(po_num,A1131,po_date,"&lt;&gt;"&amp;B1131)&gt;0,"Date différente sur ce bon",IF(COUNTIF(po_num,A1131)&gt;25,"Plus de 25 lignes sur ce bon",IF(R1131="","Date de livraison manquante",IF(R1131&lt;B1131,"Livraison avant la commande",IF(AND(N(T1131)&gt;0,N(S1131)=0),"Date d'envoi manquante",IF(N(T1131)&gt;N(H1131),"Reçu plus que commandé",IF(AND(N(T1131)&gt;0,N(U1131)=0),"Date de réception manquante",IF(AND(N(U1131)&gt;0,U1131&lt;B1131),"Réception avant la commande","OK")))))))))))))))))))))</f>
        <v/>
      </c>
      <c r="AA1131" s="66" t="str">
        <f>IF(AND(X1131="Reçu",ISNUMBER(R1131)),IF(N(U1131)&lt;=R1131,1,0),"")</f>
        <v/>
      </c>
      <c r="AB1131" s="76" t="str">
        <f>IF(OR(X1131="Envoyé",X1131="Partiel",X1131="En retard"),IF(ISNUMBER(R1131),R1131,100000)+ROW()/100000,"")</f>
        <v/>
      </c>
      <c r="AC1131" s="66" t="str">
        <f>IF(A1131="","",IF(COUNTIF($A$6:A1131,A1131)=1,1,""))</f>
        <v/>
      </c>
      <c r="AD1131" s="66" t="str">
        <f>IF(AC1131=1,COUNT($AC$6:AC1131),"")</f>
        <v/>
      </c>
      <c r="AE1131" s="66" t="str">
        <f>IFERROR(INDEX(po_num,MATCH(1126,po_seq,0))&amp;"","")</f>
        <v/>
      </c>
      <c r="AF1131" s="66" t="str">
        <f>IF(OR(A1131="",p_po=""),"",IF(A1131&amp;""=p_po,COUNTIF($A$6:A1131,A1131),""))</f>
        <v/>
      </c>
      <c r="AG1131" s="66" t="str">
        <f>IF(OR(AB1131="",A1131=""),"",IF(COUNTIFS($A$6:A1131,A1131,$AB$6:AB1131,"&gt;0")=1,1,""))</f>
        <v/>
      </c>
      <c r="AH1131" s="70" t="str">
        <f>IF(AB1131="","",ROUND(N(W1131)*N(J1131)*(1-N(K1131)),2))</f>
        <v/>
      </c>
      <c r="AI1131" s="70" t="str">
        <f>IF(OR(J1131="",N(T1131)&lt;=0,V1131="Oui"),"",ROUND(N(T1131)*J1131*(1-N(K1131)),2))</f>
        <v/>
      </c>
    </row>
    <row r="1132">
      <c r="A1132" s="63" t="n"/>
      <c r="B1132" s="64" t="n"/>
      <c r="C1132" s="65" t="n"/>
      <c r="D1132" s="66" t="str">
        <f>IF(C1132="","",IFERROR(INDEX(sup_name,MATCH($C1132,sup_code,0))&amp;"","Fournisseur inconnu"))</f>
        <v/>
      </c>
      <c r="E1132" s="63" t="n"/>
      <c r="F1132" s="66" t="str">
        <f>IF(E1132="","",IFERROR(INDEX(art_des,MATCH($E1132,art_ref,0))&amp;"","Article inconnu"))</f>
        <v/>
      </c>
      <c r="G1132" s="67" t="str">
        <f>IF(E1132="","",IFERROR(INDEX(art_unit,MATCH($E1132,art_ref,0))&amp;"",""))</f>
        <v/>
      </c>
      <c r="H1132" s="68" t="n"/>
      <c r="I1132" s="69" t="n"/>
      <c r="J1132" s="70" t="str">
        <f>IF(E1132="","",IF(ISNUMBER(I1132),I1132,IFERROR(IF(ISNUMBER(INDEX(art_price,MATCH($E1132,art_ref,0))),INDEX(art_price,MATCH($E1132,art_ref,0)),""),"")))</f>
        <v/>
      </c>
      <c r="K1132" s="71" t="n"/>
      <c r="L1132" s="72" t="n"/>
      <c r="M1132" s="72" t="str">
        <f>IF(E1132="","",IF(L1132&lt;&gt;"",L1132,IFERROR(IF(ISNUMBER(INDEX(art_tva,MATCH($E1132,art_ref,0))),INDEX(art_tva,MATCH($E1132,art_ref,0)),""),"")))</f>
        <v/>
      </c>
      <c r="N1132" s="70" t="str">
        <f>IF(OR(E1132="",J1132=""),"",ROUND(N(H1132)*J1132*(1-N(K1132)),2))</f>
        <v/>
      </c>
      <c r="O1132" s="70" t="str">
        <f>IF(OR(N1132="",NOT(ISNUMBER(M1132))),"",ROUND(N1132*M1132,2))</f>
        <v/>
      </c>
      <c r="P1132" s="70" t="str">
        <f>IF(N1132="","",N1132+N(O1132))</f>
        <v/>
      </c>
      <c r="Q1132" s="64" t="n"/>
      <c r="R1132" s="73" t="str">
        <f>IF(N(Q1132)&gt;0,Q1132,IF(OR(N(B1132)=0,ISNA(MATCH($C1132,sup_code,0))),"",IF(ISNUMBER(INDEX(sup_delay,MATCH($C1132,sup_code,0))),B1132+INDEX(sup_delay,MATCH($C1132,sup_code,0)),"")))</f>
        <v/>
      </c>
      <c r="S1132" s="64" t="n"/>
      <c r="T1132" s="68" t="n"/>
      <c r="U1132" s="64" t="n"/>
      <c r="V1132" s="65" t="n"/>
      <c r="W1132" s="74" t="str">
        <f>IF(AND(A1132="",E1132=""),"",IF(V1132="Oui",0,MAX(0,ROUND(N(H1132)-N(T1132),6))))</f>
        <v/>
      </c>
      <c r="X1132" s="67" t="str">
        <f>IF(AND(A1132="",E1132=""),"",IF(V1132="Oui","Annulé",IF(AND(N(H1132)&gt;0,N(T1132)&gt;=N(H1132)),"Reçu",IF(N(S1132)=0,"Brouillon",IF(AND(ISNUMBER(R1132),R1132&lt;p_today),"En retard",IF(N(T1132)&gt;0,"Partiel","Envoyé"))))))</f>
        <v/>
      </c>
      <c r="Y1132" s="75" t="str">
        <f>IF(X1132="En retard",p_today-R1132,IF(AND(X1132="Reçu",ISNUMBER(R1132)),MAX(0,N(U1132)-R1132),""))</f>
        <v/>
      </c>
      <c r="Z1132" s="67" t="str">
        <f>IF(AND(A1132="",E1132=""),"",IF(A1132="","N° de bon manquant",IF(N(B1132)=0,"Date de commande manquante",IF(C1132="","Fournisseur manquant",IF(ISNA(MATCH($C1132,sup_code,0)),"Fournisseur inconnu",IF(E1132="","Article manquant",IF(ISNA(MATCH($E1132,art_ref,0)),"Article inconnu",IF(N(H1132)&lt;=0,"Quantité invalide",IF(J1132="","Prix manquant",IF(OR(N(K1132)&lt;0,N(K1132)&gt;=1),"Remise invalide",IF(M1132="","TVA manquante",IF(ISNA(MATCH(M1132,p_tva,0)),"Taux de TVA inconnu",IF(COUNTIFS(po_num,A1132,po_sup,"&lt;&gt;"&amp;C1132)&gt;0,"Fournisseur différent sur ce bon",IF(COUNTIFS(po_num,A1132,po_date,"&lt;&gt;"&amp;B1132)&gt;0,"Date différente sur ce bon",IF(COUNTIF(po_num,A1132)&gt;25,"Plus de 25 lignes sur ce bon",IF(R1132="","Date de livraison manquante",IF(R1132&lt;B1132,"Livraison avant la commande",IF(AND(N(T1132)&gt;0,N(S1132)=0),"Date d'envoi manquante",IF(N(T1132)&gt;N(H1132),"Reçu plus que commandé",IF(AND(N(T1132)&gt;0,N(U1132)=0),"Date de réception manquante",IF(AND(N(U1132)&gt;0,U1132&lt;B1132),"Réception avant la commande","OK")))))))))))))))))))))</f>
        <v/>
      </c>
      <c r="AA1132" s="66" t="str">
        <f>IF(AND(X1132="Reçu",ISNUMBER(R1132)),IF(N(U1132)&lt;=R1132,1,0),"")</f>
        <v/>
      </c>
      <c r="AB1132" s="76" t="str">
        <f>IF(OR(X1132="Envoyé",X1132="Partiel",X1132="En retard"),IF(ISNUMBER(R1132),R1132,100000)+ROW()/100000,"")</f>
        <v/>
      </c>
      <c r="AC1132" s="66" t="str">
        <f>IF(A1132="","",IF(COUNTIF($A$6:A1132,A1132)=1,1,""))</f>
        <v/>
      </c>
      <c r="AD1132" s="66" t="str">
        <f>IF(AC1132=1,COUNT($AC$6:AC1132),"")</f>
        <v/>
      </c>
      <c r="AE1132" s="66" t="str">
        <f>IFERROR(INDEX(po_num,MATCH(1127,po_seq,0))&amp;"","")</f>
        <v/>
      </c>
      <c r="AF1132" s="66" t="str">
        <f>IF(OR(A1132="",p_po=""),"",IF(A1132&amp;""=p_po,COUNTIF($A$6:A1132,A1132),""))</f>
        <v/>
      </c>
      <c r="AG1132" s="66" t="str">
        <f>IF(OR(AB1132="",A1132=""),"",IF(COUNTIFS($A$6:A1132,A1132,$AB$6:AB1132,"&gt;0")=1,1,""))</f>
        <v/>
      </c>
      <c r="AH1132" s="70" t="str">
        <f>IF(AB1132="","",ROUND(N(W1132)*N(J1132)*(1-N(K1132)),2))</f>
        <v/>
      </c>
      <c r="AI1132" s="70" t="str">
        <f>IF(OR(J1132="",N(T1132)&lt;=0,V1132="Oui"),"",ROUND(N(T1132)*J1132*(1-N(K1132)),2))</f>
        <v/>
      </c>
    </row>
    <row r="1133">
      <c r="A1133" s="63" t="n"/>
      <c r="B1133" s="64" t="n"/>
      <c r="C1133" s="65" t="n"/>
      <c r="D1133" s="66" t="str">
        <f>IF(C1133="","",IFERROR(INDEX(sup_name,MATCH($C1133,sup_code,0))&amp;"","Fournisseur inconnu"))</f>
        <v/>
      </c>
      <c r="E1133" s="63" t="n"/>
      <c r="F1133" s="66" t="str">
        <f>IF(E1133="","",IFERROR(INDEX(art_des,MATCH($E1133,art_ref,0))&amp;"","Article inconnu"))</f>
        <v/>
      </c>
      <c r="G1133" s="67" t="str">
        <f>IF(E1133="","",IFERROR(INDEX(art_unit,MATCH($E1133,art_ref,0))&amp;"",""))</f>
        <v/>
      </c>
      <c r="H1133" s="68" t="n"/>
      <c r="I1133" s="69" t="n"/>
      <c r="J1133" s="70" t="str">
        <f>IF(E1133="","",IF(ISNUMBER(I1133),I1133,IFERROR(IF(ISNUMBER(INDEX(art_price,MATCH($E1133,art_ref,0))),INDEX(art_price,MATCH($E1133,art_ref,0)),""),"")))</f>
        <v/>
      </c>
      <c r="K1133" s="71" t="n"/>
      <c r="L1133" s="72" t="n"/>
      <c r="M1133" s="72" t="str">
        <f>IF(E1133="","",IF(L1133&lt;&gt;"",L1133,IFERROR(IF(ISNUMBER(INDEX(art_tva,MATCH($E1133,art_ref,0))),INDEX(art_tva,MATCH($E1133,art_ref,0)),""),"")))</f>
        <v/>
      </c>
      <c r="N1133" s="70" t="str">
        <f>IF(OR(E1133="",J1133=""),"",ROUND(N(H1133)*J1133*(1-N(K1133)),2))</f>
        <v/>
      </c>
      <c r="O1133" s="70" t="str">
        <f>IF(OR(N1133="",NOT(ISNUMBER(M1133))),"",ROUND(N1133*M1133,2))</f>
        <v/>
      </c>
      <c r="P1133" s="70" t="str">
        <f>IF(N1133="","",N1133+N(O1133))</f>
        <v/>
      </c>
      <c r="Q1133" s="64" t="n"/>
      <c r="R1133" s="73" t="str">
        <f>IF(N(Q1133)&gt;0,Q1133,IF(OR(N(B1133)=0,ISNA(MATCH($C1133,sup_code,0))),"",IF(ISNUMBER(INDEX(sup_delay,MATCH($C1133,sup_code,0))),B1133+INDEX(sup_delay,MATCH($C1133,sup_code,0)),"")))</f>
        <v/>
      </c>
      <c r="S1133" s="64" t="n"/>
      <c r="T1133" s="68" t="n"/>
      <c r="U1133" s="64" t="n"/>
      <c r="V1133" s="65" t="n"/>
      <c r="W1133" s="74" t="str">
        <f>IF(AND(A1133="",E1133=""),"",IF(V1133="Oui",0,MAX(0,ROUND(N(H1133)-N(T1133),6))))</f>
        <v/>
      </c>
      <c r="X1133" s="67" t="str">
        <f>IF(AND(A1133="",E1133=""),"",IF(V1133="Oui","Annulé",IF(AND(N(H1133)&gt;0,N(T1133)&gt;=N(H1133)),"Reçu",IF(N(S1133)=0,"Brouillon",IF(AND(ISNUMBER(R1133),R1133&lt;p_today),"En retard",IF(N(T1133)&gt;0,"Partiel","Envoyé"))))))</f>
        <v/>
      </c>
      <c r="Y1133" s="75" t="str">
        <f>IF(X1133="En retard",p_today-R1133,IF(AND(X1133="Reçu",ISNUMBER(R1133)),MAX(0,N(U1133)-R1133),""))</f>
        <v/>
      </c>
      <c r="Z1133" s="67" t="str">
        <f>IF(AND(A1133="",E1133=""),"",IF(A1133="","N° de bon manquant",IF(N(B1133)=0,"Date de commande manquante",IF(C1133="","Fournisseur manquant",IF(ISNA(MATCH($C1133,sup_code,0)),"Fournisseur inconnu",IF(E1133="","Article manquant",IF(ISNA(MATCH($E1133,art_ref,0)),"Article inconnu",IF(N(H1133)&lt;=0,"Quantité invalide",IF(J1133="","Prix manquant",IF(OR(N(K1133)&lt;0,N(K1133)&gt;=1),"Remise invalide",IF(M1133="","TVA manquante",IF(ISNA(MATCH(M1133,p_tva,0)),"Taux de TVA inconnu",IF(COUNTIFS(po_num,A1133,po_sup,"&lt;&gt;"&amp;C1133)&gt;0,"Fournisseur différent sur ce bon",IF(COUNTIFS(po_num,A1133,po_date,"&lt;&gt;"&amp;B1133)&gt;0,"Date différente sur ce bon",IF(COUNTIF(po_num,A1133)&gt;25,"Plus de 25 lignes sur ce bon",IF(R1133="","Date de livraison manquante",IF(R1133&lt;B1133,"Livraison avant la commande",IF(AND(N(T1133)&gt;0,N(S1133)=0),"Date d'envoi manquante",IF(N(T1133)&gt;N(H1133),"Reçu plus que commandé",IF(AND(N(T1133)&gt;0,N(U1133)=0),"Date de réception manquante",IF(AND(N(U1133)&gt;0,U1133&lt;B1133),"Réception avant la commande","OK")))))))))))))))))))))</f>
        <v/>
      </c>
      <c r="AA1133" s="66" t="str">
        <f>IF(AND(X1133="Reçu",ISNUMBER(R1133)),IF(N(U1133)&lt;=R1133,1,0),"")</f>
        <v/>
      </c>
      <c r="AB1133" s="76" t="str">
        <f>IF(OR(X1133="Envoyé",X1133="Partiel",X1133="En retard"),IF(ISNUMBER(R1133),R1133,100000)+ROW()/100000,"")</f>
        <v/>
      </c>
      <c r="AC1133" s="66" t="str">
        <f>IF(A1133="","",IF(COUNTIF($A$6:A1133,A1133)=1,1,""))</f>
        <v/>
      </c>
      <c r="AD1133" s="66" t="str">
        <f>IF(AC1133=1,COUNT($AC$6:AC1133),"")</f>
        <v/>
      </c>
      <c r="AE1133" s="66" t="str">
        <f>IFERROR(INDEX(po_num,MATCH(1128,po_seq,0))&amp;"","")</f>
        <v/>
      </c>
      <c r="AF1133" s="66" t="str">
        <f>IF(OR(A1133="",p_po=""),"",IF(A1133&amp;""=p_po,COUNTIF($A$6:A1133,A1133),""))</f>
        <v/>
      </c>
      <c r="AG1133" s="66" t="str">
        <f>IF(OR(AB1133="",A1133=""),"",IF(COUNTIFS($A$6:A1133,A1133,$AB$6:AB1133,"&gt;0")=1,1,""))</f>
        <v/>
      </c>
      <c r="AH1133" s="70" t="str">
        <f>IF(AB1133="","",ROUND(N(W1133)*N(J1133)*(1-N(K1133)),2))</f>
        <v/>
      </c>
      <c r="AI1133" s="70" t="str">
        <f>IF(OR(J1133="",N(T1133)&lt;=0,V1133="Oui"),"",ROUND(N(T1133)*J1133*(1-N(K1133)),2))</f>
        <v/>
      </c>
    </row>
    <row r="1134">
      <c r="A1134" s="63" t="n"/>
      <c r="B1134" s="64" t="n"/>
      <c r="C1134" s="65" t="n"/>
      <c r="D1134" s="66" t="str">
        <f>IF(C1134="","",IFERROR(INDEX(sup_name,MATCH($C1134,sup_code,0))&amp;"","Fournisseur inconnu"))</f>
        <v/>
      </c>
      <c r="E1134" s="63" t="n"/>
      <c r="F1134" s="66" t="str">
        <f>IF(E1134="","",IFERROR(INDEX(art_des,MATCH($E1134,art_ref,0))&amp;"","Article inconnu"))</f>
        <v/>
      </c>
      <c r="G1134" s="67" t="str">
        <f>IF(E1134="","",IFERROR(INDEX(art_unit,MATCH($E1134,art_ref,0))&amp;"",""))</f>
        <v/>
      </c>
      <c r="H1134" s="68" t="n"/>
      <c r="I1134" s="69" t="n"/>
      <c r="J1134" s="70" t="str">
        <f>IF(E1134="","",IF(ISNUMBER(I1134),I1134,IFERROR(IF(ISNUMBER(INDEX(art_price,MATCH($E1134,art_ref,0))),INDEX(art_price,MATCH($E1134,art_ref,0)),""),"")))</f>
        <v/>
      </c>
      <c r="K1134" s="71" t="n"/>
      <c r="L1134" s="72" t="n"/>
      <c r="M1134" s="72" t="str">
        <f>IF(E1134="","",IF(L1134&lt;&gt;"",L1134,IFERROR(IF(ISNUMBER(INDEX(art_tva,MATCH($E1134,art_ref,0))),INDEX(art_tva,MATCH($E1134,art_ref,0)),""),"")))</f>
        <v/>
      </c>
      <c r="N1134" s="70" t="str">
        <f>IF(OR(E1134="",J1134=""),"",ROUND(N(H1134)*J1134*(1-N(K1134)),2))</f>
        <v/>
      </c>
      <c r="O1134" s="70" t="str">
        <f>IF(OR(N1134="",NOT(ISNUMBER(M1134))),"",ROUND(N1134*M1134,2))</f>
        <v/>
      </c>
      <c r="P1134" s="70" t="str">
        <f>IF(N1134="","",N1134+N(O1134))</f>
        <v/>
      </c>
      <c r="Q1134" s="64" t="n"/>
      <c r="R1134" s="73" t="str">
        <f>IF(N(Q1134)&gt;0,Q1134,IF(OR(N(B1134)=0,ISNA(MATCH($C1134,sup_code,0))),"",IF(ISNUMBER(INDEX(sup_delay,MATCH($C1134,sup_code,0))),B1134+INDEX(sup_delay,MATCH($C1134,sup_code,0)),"")))</f>
        <v/>
      </c>
      <c r="S1134" s="64" t="n"/>
      <c r="T1134" s="68" t="n"/>
      <c r="U1134" s="64" t="n"/>
      <c r="V1134" s="65" t="n"/>
      <c r="W1134" s="74" t="str">
        <f>IF(AND(A1134="",E1134=""),"",IF(V1134="Oui",0,MAX(0,ROUND(N(H1134)-N(T1134),6))))</f>
        <v/>
      </c>
      <c r="X1134" s="67" t="str">
        <f>IF(AND(A1134="",E1134=""),"",IF(V1134="Oui","Annulé",IF(AND(N(H1134)&gt;0,N(T1134)&gt;=N(H1134)),"Reçu",IF(N(S1134)=0,"Brouillon",IF(AND(ISNUMBER(R1134),R1134&lt;p_today),"En retard",IF(N(T1134)&gt;0,"Partiel","Envoyé"))))))</f>
        <v/>
      </c>
      <c r="Y1134" s="75" t="str">
        <f>IF(X1134="En retard",p_today-R1134,IF(AND(X1134="Reçu",ISNUMBER(R1134)),MAX(0,N(U1134)-R1134),""))</f>
        <v/>
      </c>
      <c r="Z1134" s="67" t="str">
        <f>IF(AND(A1134="",E1134=""),"",IF(A1134="","N° de bon manquant",IF(N(B1134)=0,"Date de commande manquante",IF(C1134="","Fournisseur manquant",IF(ISNA(MATCH($C1134,sup_code,0)),"Fournisseur inconnu",IF(E1134="","Article manquant",IF(ISNA(MATCH($E1134,art_ref,0)),"Article inconnu",IF(N(H1134)&lt;=0,"Quantité invalide",IF(J1134="","Prix manquant",IF(OR(N(K1134)&lt;0,N(K1134)&gt;=1),"Remise invalide",IF(M1134="","TVA manquante",IF(ISNA(MATCH(M1134,p_tva,0)),"Taux de TVA inconnu",IF(COUNTIFS(po_num,A1134,po_sup,"&lt;&gt;"&amp;C1134)&gt;0,"Fournisseur différent sur ce bon",IF(COUNTIFS(po_num,A1134,po_date,"&lt;&gt;"&amp;B1134)&gt;0,"Date différente sur ce bon",IF(COUNTIF(po_num,A1134)&gt;25,"Plus de 25 lignes sur ce bon",IF(R1134="","Date de livraison manquante",IF(R1134&lt;B1134,"Livraison avant la commande",IF(AND(N(T1134)&gt;0,N(S1134)=0),"Date d'envoi manquante",IF(N(T1134)&gt;N(H1134),"Reçu plus que commandé",IF(AND(N(T1134)&gt;0,N(U1134)=0),"Date de réception manquante",IF(AND(N(U1134)&gt;0,U1134&lt;B1134),"Réception avant la commande","OK")))))))))))))))))))))</f>
        <v/>
      </c>
      <c r="AA1134" s="66" t="str">
        <f>IF(AND(X1134="Reçu",ISNUMBER(R1134)),IF(N(U1134)&lt;=R1134,1,0),"")</f>
        <v/>
      </c>
      <c r="AB1134" s="76" t="str">
        <f>IF(OR(X1134="Envoyé",X1134="Partiel",X1134="En retard"),IF(ISNUMBER(R1134),R1134,100000)+ROW()/100000,"")</f>
        <v/>
      </c>
      <c r="AC1134" s="66" t="str">
        <f>IF(A1134="","",IF(COUNTIF($A$6:A1134,A1134)=1,1,""))</f>
        <v/>
      </c>
      <c r="AD1134" s="66" t="str">
        <f>IF(AC1134=1,COUNT($AC$6:AC1134),"")</f>
        <v/>
      </c>
      <c r="AE1134" s="66" t="str">
        <f>IFERROR(INDEX(po_num,MATCH(1129,po_seq,0))&amp;"","")</f>
        <v/>
      </c>
      <c r="AF1134" s="66" t="str">
        <f>IF(OR(A1134="",p_po=""),"",IF(A1134&amp;""=p_po,COUNTIF($A$6:A1134,A1134),""))</f>
        <v/>
      </c>
      <c r="AG1134" s="66" t="str">
        <f>IF(OR(AB1134="",A1134=""),"",IF(COUNTIFS($A$6:A1134,A1134,$AB$6:AB1134,"&gt;0")=1,1,""))</f>
        <v/>
      </c>
      <c r="AH1134" s="70" t="str">
        <f>IF(AB1134="","",ROUND(N(W1134)*N(J1134)*(1-N(K1134)),2))</f>
        <v/>
      </c>
      <c r="AI1134" s="70" t="str">
        <f>IF(OR(J1134="",N(T1134)&lt;=0,V1134="Oui"),"",ROUND(N(T1134)*J1134*(1-N(K1134)),2))</f>
        <v/>
      </c>
    </row>
    <row r="1135">
      <c r="A1135" s="63" t="n"/>
      <c r="B1135" s="64" t="n"/>
      <c r="C1135" s="65" t="n"/>
      <c r="D1135" s="66" t="str">
        <f>IF(C1135="","",IFERROR(INDEX(sup_name,MATCH($C1135,sup_code,0))&amp;"","Fournisseur inconnu"))</f>
        <v/>
      </c>
      <c r="E1135" s="63" t="n"/>
      <c r="F1135" s="66" t="str">
        <f>IF(E1135="","",IFERROR(INDEX(art_des,MATCH($E1135,art_ref,0))&amp;"","Article inconnu"))</f>
        <v/>
      </c>
      <c r="G1135" s="67" t="str">
        <f>IF(E1135="","",IFERROR(INDEX(art_unit,MATCH($E1135,art_ref,0))&amp;"",""))</f>
        <v/>
      </c>
      <c r="H1135" s="68" t="n"/>
      <c r="I1135" s="69" t="n"/>
      <c r="J1135" s="70" t="str">
        <f>IF(E1135="","",IF(ISNUMBER(I1135),I1135,IFERROR(IF(ISNUMBER(INDEX(art_price,MATCH($E1135,art_ref,0))),INDEX(art_price,MATCH($E1135,art_ref,0)),""),"")))</f>
        <v/>
      </c>
      <c r="K1135" s="71" t="n"/>
      <c r="L1135" s="72" t="n"/>
      <c r="M1135" s="72" t="str">
        <f>IF(E1135="","",IF(L1135&lt;&gt;"",L1135,IFERROR(IF(ISNUMBER(INDEX(art_tva,MATCH($E1135,art_ref,0))),INDEX(art_tva,MATCH($E1135,art_ref,0)),""),"")))</f>
        <v/>
      </c>
      <c r="N1135" s="70" t="str">
        <f>IF(OR(E1135="",J1135=""),"",ROUND(N(H1135)*J1135*(1-N(K1135)),2))</f>
        <v/>
      </c>
      <c r="O1135" s="70" t="str">
        <f>IF(OR(N1135="",NOT(ISNUMBER(M1135))),"",ROUND(N1135*M1135,2))</f>
        <v/>
      </c>
      <c r="P1135" s="70" t="str">
        <f>IF(N1135="","",N1135+N(O1135))</f>
        <v/>
      </c>
      <c r="Q1135" s="64" t="n"/>
      <c r="R1135" s="73" t="str">
        <f>IF(N(Q1135)&gt;0,Q1135,IF(OR(N(B1135)=0,ISNA(MATCH($C1135,sup_code,0))),"",IF(ISNUMBER(INDEX(sup_delay,MATCH($C1135,sup_code,0))),B1135+INDEX(sup_delay,MATCH($C1135,sup_code,0)),"")))</f>
        <v/>
      </c>
      <c r="S1135" s="64" t="n"/>
      <c r="T1135" s="68" t="n"/>
      <c r="U1135" s="64" t="n"/>
      <c r="V1135" s="65" t="n"/>
      <c r="W1135" s="74" t="str">
        <f>IF(AND(A1135="",E1135=""),"",IF(V1135="Oui",0,MAX(0,ROUND(N(H1135)-N(T1135),6))))</f>
        <v/>
      </c>
      <c r="X1135" s="67" t="str">
        <f>IF(AND(A1135="",E1135=""),"",IF(V1135="Oui","Annulé",IF(AND(N(H1135)&gt;0,N(T1135)&gt;=N(H1135)),"Reçu",IF(N(S1135)=0,"Brouillon",IF(AND(ISNUMBER(R1135),R1135&lt;p_today),"En retard",IF(N(T1135)&gt;0,"Partiel","Envoyé"))))))</f>
        <v/>
      </c>
      <c r="Y1135" s="75" t="str">
        <f>IF(X1135="En retard",p_today-R1135,IF(AND(X1135="Reçu",ISNUMBER(R1135)),MAX(0,N(U1135)-R1135),""))</f>
        <v/>
      </c>
      <c r="Z1135" s="67" t="str">
        <f>IF(AND(A1135="",E1135=""),"",IF(A1135="","N° de bon manquant",IF(N(B1135)=0,"Date de commande manquante",IF(C1135="","Fournisseur manquant",IF(ISNA(MATCH($C1135,sup_code,0)),"Fournisseur inconnu",IF(E1135="","Article manquant",IF(ISNA(MATCH($E1135,art_ref,0)),"Article inconnu",IF(N(H1135)&lt;=0,"Quantité invalide",IF(J1135="","Prix manquant",IF(OR(N(K1135)&lt;0,N(K1135)&gt;=1),"Remise invalide",IF(M1135="","TVA manquante",IF(ISNA(MATCH(M1135,p_tva,0)),"Taux de TVA inconnu",IF(COUNTIFS(po_num,A1135,po_sup,"&lt;&gt;"&amp;C1135)&gt;0,"Fournisseur différent sur ce bon",IF(COUNTIFS(po_num,A1135,po_date,"&lt;&gt;"&amp;B1135)&gt;0,"Date différente sur ce bon",IF(COUNTIF(po_num,A1135)&gt;25,"Plus de 25 lignes sur ce bon",IF(R1135="","Date de livraison manquante",IF(R1135&lt;B1135,"Livraison avant la commande",IF(AND(N(T1135)&gt;0,N(S1135)=0),"Date d'envoi manquante",IF(N(T1135)&gt;N(H1135),"Reçu plus que commandé",IF(AND(N(T1135)&gt;0,N(U1135)=0),"Date de réception manquante",IF(AND(N(U1135)&gt;0,U1135&lt;B1135),"Réception avant la commande","OK")))))))))))))))))))))</f>
        <v/>
      </c>
      <c r="AA1135" s="66" t="str">
        <f>IF(AND(X1135="Reçu",ISNUMBER(R1135)),IF(N(U1135)&lt;=R1135,1,0),"")</f>
        <v/>
      </c>
      <c r="AB1135" s="76" t="str">
        <f>IF(OR(X1135="Envoyé",X1135="Partiel",X1135="En retard"),IF(ISNUMBER(R1135),R1135,100000)+ROW()/100000,"")</f>
        <v/>
      </c>
      <c r="AC1135" s="66" t="str">
        <f>IF(A1135="","",IF(COUNTIF($A$6:A1135,A1135)=1,1,""))</f>
        <v/>
      </c>
      <c r="AD1135" s="66" t="str">
        <f>IF(AC1135=1,COUNT($AC$6:AC1135),"")</f>
        <v/>
      </c>
      <c r="AE1135" s="66" t="str">
        <f>IFERROR(INDEX(po_num,MATCH(1130,po_seq,0))&amp;"","")</f>
        <v/>
      </c>
      <c r="AF1135" s="66" t="str">
        <f>IF(OR(A1135="",p_po=""),"",IF(A1135&amp;""=p_po,COUNTIF($A$6:A1135,A1135),""))</f>
        <v/>
      </c>
      <c r="AG1135" s="66" t="str">
        <f>IF(OR(AB1135="",A1135=""),"",IF(COUNTIFS($A$6:A1135,A1135,$AB$6:AB1135,"&gt;0")=1,1,""))</f>
        <v/>
      </c>
      <c r="AH1135" s="70" t="str">
        <f>IF(AB1135="","",ROUND(N(W1135)*N(J1135)*(1-N(K1135)),2))</f>
        <v/>
      </c>
      <c r="AI1135" s="70" t="str">
        <f>IF(OR(J1135="",N(T1135)&lt;=0,V1135="Oui"),"",ROUND(N(T1135)*J1135*(1-N(K1135)),2))</f>
        <v/>
      </c>
    </row>
    <row r="1136">
      <c r="A1136" s="63" t="n"/>
      <c r="B1136" s="64" t="n"/>
      <c r="C1136" s="65" t="n"/>
      <c r="D1136" s="66" t="str">
        <f>IF(C1136="","",IFERROR(INDEX(sup_name,MATCH($C1136,sup_code,0))&amp;"","Fournisseur inconnu"))</f>
        <v/>
      </c>
      <c r="E1136" s="63" t="n"/>
      <c r="F1136" s="66" t="str">
        <f>IF(E1136="","",IFERROR(INDEX(art_des,MATCH($E1136,art_ref,0))&amp;"","Article inconnu"))</f>
        <v/>
      </c>
      <c r="G1136" s="67" t="str">
        <f>IF(E1136="","",IFERROR(INDEX(art_unit,MATCH($E1136,art_ref,0))&amp;"",""))</f>
        <v/>
      </c>
      <c r="H1136" s="68" t="n"/>
      <c r="I1136" s="69" t="n"/>
      <c r="J1136" s="70" t="str">
        <f>IF(E1136="","",IF(ISNUMBER(I1136),I1136,IFERROR(IF(ISNUMBER(INDEX(art_price,MATCH($E1136,art_ref,0))),INDEX(art_price,MATCH($E1136,art_ref,0)),""),"")))</f>
        <v/>
      </c>
      <c r="K1136" s="71" t="n"/>
      <c r="L1136" s="72" t="n"/>
      <c r="M1136" s="72" t="str">
        <f>IF(E1136="","",IF(L1136&lt;&gt;"",L1136,IFERROR(IF(ISNUMBER(INDEX(art_tva,MATCH($E1136,art_ref,0))),INDEX(art_tva,MATCH($E1136,art_ref,0)),""),"")))</f>
        <v/>
      </c>
      <c r="N1136" s="70" t="str">
        <f>IF(OR(E1136="",J1136=""),"",ROUND(N(H1136)*J1136*(1-N(K1136)),2))</f>
        <v/>
      </c>
      <c r="O1136" s="70" t="str">
        <f>IF(OR(N1136="",NOT(ISNUMBER(M1136))),"",ROUND(N1136*M1136,2))</f>
        <v/>
      </c>
      <c r="P1136" s="70" t="str">
        <f>IF(N1136="","",N1136+N(O1136))</f>
        <v/>
      </c>
      <c r="Q1136" s="64" t="n"/>
      <c r="R1136" s="73" t="str">
        <f>IF(N(Q1136)&gt;0,Q1136,IF(OR(N(B1136)=0,ISNA(MATCH($C1136,sup_code,0))),"",IF(ISNUMBER(INDEX(sup_delay,MATCH($C1136,sup_code,0))),B1136+INDEX(sup_delay,MATCH($C1136,sup_code,0)),"")))</f>
        <v/>
      </c>
      <c r="S1136" s="64" t="n"/>
      <c r="T1136" s="68" t="n"/>
      <c r="U1136" s="64" t="n"/>
      <c r="V1136" s="65" t="n"/>
      <c r="W1136" s="74" t="str">
        <f>IF(AND(A1136="",E1136=""),"",IF(V1136="Oui",0,MAX(0,ROUND(N(H1136)-N(T1136),6))))</f>
        <v/>
      </c>
      <c r="X1136" s="67" t="str">
        <f>IF(AND(A1136="",E1136=""),"",IF(V1136="Oui","Annulé",IF(AND(N(H1136)&gt;0,N(T1136)&gt;=N(H1136)),"Reçu",IF(N(S1136)=0,"Brouillon",IF(AND(ISNUMBER(R1136),R1136&lt;p_today),"En retard",IF(N(T1136)&gt;0,"Partiel","Envoyé"))))))</f>
        <v/>
      </c>
      <c r="Y1136" s="75" t="str">
        <f>IF(X1136="En retard",p_today-R1136,IF(AND(X1136="Reçu",ISNUMBER(R1136)),MAX(0,N(U1136)-R1136),""))</f>
        <v/>
      </c>
      <c r="Z1136" s="67" t="str">
        <f>IF(AND(A1136="",E1136=""),"",IF(A1136="","N° de bon manquant",IF(N(B1136)=0,"Date de commande manquante",IF(C1136="","Fournisseur manquant",IF(ISNA(MATCH($C1136,sup_code,0)),"Fournisseur inconnu",IF(E1136="","Article manquant",IF(ISNA(MATCH($E1136,art_ref,0)),"Article inconnu",IF(N(H1136)&lt;=0,"Quantité invalide",IF(J1136="","Prix manquant",IF(OR(N(K1136)&lt;0,N(K1136)&gt;=1),"Remise invalide",IF(M1136="","TVA manquante",IF(ISNA(MATCH(M1136,p_tva,0)),"Taux de TVA inconnu",IF(COUNTIFS(po_num,A1136,po_sup,"&lt;&gt;"&amp;C1136)&gt;0,"Fournisseur différent sur ce bon",IF(COUNTIFS(po_num,A1136,po_date,"&lt;&gt;"&amp;B1136)&gt;0,"Date différente sur ce bon",IF(COUNTIF(po_num,A1136)&gt;25,"Plus de 25 lignes sur ce bon",IF(R1136="","Date de livraison manquante",IF(R1136&lt;B1136,"Livraison avant la commande",IF(AND(N(T1136)&gt;0,N(S1136)=0),"Date d'envoi manquante",IF(N(T1136)&gt;N(H1136),"Reçu plus que commandé",IF(AND(N(T1136)&gt;0,N(U1136)=0),"Date de réception manquante",IF(AND(N(U1136)&gt;0,U1136&lt;B1136),"Réception avant la commande","OK")))))))))))))))))))))</f>
        <v/>
      </c>
      <c r="AA1136" s="66" t="str">
        <f>IF(AND(X1136="Reçu",ISNUMBER(R1136)),IF(N(U1136)&lt;=R1136,1,0),"")</f>
        <v/>
      </c>
      <c r="AB1136" s="76" t="str">
        <f>IF(OR(X1136="Envoyé",X1136="Partiel",X1136="En retard"),IF(ISNUMBER(R1136),R1136,100000)+ROW()/100000,"")</f>
        <v/>
      </c>
      <c r="AC1136" s="66" t="str">
        <f>IF(A1136="","",IF(COUNTIF($A$6:A1136,A1136)=1,1,""))</f>
        <v/>
      </c>
      <c r="AD1136" s="66" t="str">
        <f>IF(AC1136=1,COUNT($AC$6:AC1136),"")</f>
        <v/>
      </c>
      <c r="AE1136" s="66" t="str">
        <f>IFERROR(INDEX(po_num,MATCH(1131,po_seq,0))&amp;"","")</f>
        <v/>
      </c>
      <c r="AF1136" s="66" t="str">
        <f>IF(OR(A1136="",p_po=""),"",IF(A1136&amp;""=p_po,COUNTIF($A$6:A1136,A1136),""))</f>
        <v/>
      </c>
      <c r="AG1136" s="66" t="str">
        <f>IF(OR(AB1136="",A1136=""),"",IF(COUNTIFS($A$6:A1136,A1136,$AB$6:AB1136,"&gt;0")=1,1,""))</f>
        <v/>
      </c>
      <c r="AH1136" s="70" t="str">
        <f>IF(AB1136="","",ROUND(N(W1136)*N(J1136)*(1-N(K1136)),2))</f>
        <v/>
      </c>
      <c r="AI1136" s="70" t="str">
        <f>IF(OR(J1136="",N(T1136)&lt;=0,V1136="Oui"),"",ROUND(N(T1136)*J1136*(1-N(K1136)),2))</f>
        <v/>
      </c>
    </row>
    <row r="1137">
      <c r="A1137" s="63" t="n"/>
      <c r="B1137" s="64" t="n"/>
      <c r="C1137" s="65" t="n"/>
      <c r="D1137" s="66" t="str">
        <f>IF(C1137="","",IFERROR(INDEX(sup_name,MATCH($C1137,sup_code,0))&amp;"","Fournisseur inconnu"))</f>
        <v/>
      </c>
      <c r="E1137" s="63" t="n"/>
      <c r="F1137" s="66" t="str">
        <f>IF(E1137="","",IFERROR(INDEX(art_des,MATCH($E1137,art_ref,0))&amp;"","Article inconnu"))</f>
        <v/>
      </c>
      <c r="G1137" s="67" t="str">
        <f>IF(E1137="","",IFERROR(INDEX(art_unit,MATCH($E1137,art_ref,0))&amp;"",""))</f>
        <v/>
      </c>
      <c r="H1137" s="68" t="n"/>
      <c r="I1137" s="69" t="n"/>
      <c r="J1137" s="70" t="str">
        <f>IF(E1137="","",IF(ISNUMBER(I1137),I1137,IFERROR(IF(ISNUMBER(INDEX(art_price,MATCH($E1137,art_ref,0))),INDEX(art_price,MATCH($E1137,art_ref,0)),""),"")))</f>
        <v/>
      </c>
      <c r="K1137" s="71" t="n"/>
      <c r="L1137" s="72" t="n"/>
      <c r="M1137" s="72" t="str">
        <f>IF(E1137="","",IF(L1137&lt;&gt;"",L1137,IFERROR(IF(ISNUMBER(INDEX(art_tva,MATCH($E1137,art_ref,0))),INDEX(art_tva,MATCH($E1137,art_ref,0)),""),"")))</f>
        <v/>
      </c>
      <c r="N1137" s="70" t="str">
        <f>IF(OR(E1137="",J1137=""),"",ROUND(N(H1137)*J1137*(1-N(K1137)),2))</f>
        <v/>
      </c>
      <c r="O1137" s="70" t="str">
        <f>IF(OR(N1137="",NOT(ISNUMBER(M1137))),"",ROUND(N1137*M1137,2))</f>
        <v/>
      </c>
      <c r="P1137" s="70" t="str">
        <f>IF(N1137="","",N1137+N(O1137))</f>
        <v/>
      </c>
      <c r="Q1137" s="64" t="n"/>
      <c r="R1137" s="73" t="str">
        <f>IF(N(Q1137)&gt;0,Q1137,IF(OR(N(B1137)=0,ISNA(MATCH($C1137,sup_code,0))),"",IF(ISNUMBER(INDEX(sup_delay,MATCH($C1137,sup_code,0))),B1137+INDEX(sup_delay,MATCH($C1137,sup_code,0)),"")))</f>
        <v/>
      </c>
      <c r="S1137" s="64" t="n"/>
      <c r="T1137" s="68" t="n"/>
      <c r="U1137" s="64" t="n"/>
      <c r="V1137" s="65" t="n"/>
      <c r="W1137" s="74" t="str">
        <f>IF(AND(A1137="",E1137=""),"",IF(V1137="Oui",0,MAX(0,ROUND(N(H1137)-N(T1137),6))))</f>
        <v/>
      </c>
      <c r="X1137" s="67" t="str">
        <f>IF(AND(A1137="",E1137=""),"",IF(V1137="Oui","Annulé",IF(AND(N(H1137)&gt;0,N(T1137)&gt;=N(H1137)),"Reçu",IF(N(S1137)=0,"Brouillon",IF(AND(ISNUMBER(R1137),R1137&lt;p_today),"En retard",IF(N(T1137)&gt;0,"Partiel","Envoyé"))))))</f>
        <v/>
      </c>
      <c r="Y1137" s="75" t="str">
        <f>IF(X1137="En retard",p_today-R1137,IF(AND(X1137="Reçu",ISNUMBER(R1137)),MAX(0,N(U1137)-R1137),""))</f>
        <v/>
      </c>
      <c r="Z1137" s="67" t="str">
        <f>IF(AND(A1137="",E1137=""),"",IF(A1137="","N° de bon manquant",IF(N(B1137)=0,"Date de commande manquante",IF(C1137="","Fournisseur manquant",IF(ISNA(MATCH($C1137,sup_code,0)),"Fournisseur inconnu",IF(E1137="","Article manquant",IF(ISNA(MATCH($E1137,art_ref,0)),"Article inconnu",IF(N(H1137)&lt;=0,"Quantité invalide",IF(J1137="","Prix manquant",IF(OR(N(K1137)&lt;0,N(K1137)&gt;=1),"Remise invalide",IF(M1137="","TVA manquante",IF(ISNA(MATCH(M1137,p_tva,0)),"Taux de TVA inconnu",IF(COUNTIFS(po_num,A1137,po_sup,"&lt;&gt;"&amp;C1137)&gt;0,"Fournisseur différent sur ce bon",IF(COUNTIFS(po_num,A1137,po_date,"&lt;&gt;"&amp;B1137)&gt;0,"Date différente sur ce bon",IF(COUNTIF(po_num,A1137)&gt;25,"Plus de 25 lignes sur ce bon",IF(R1137="","Date de livraison manquante",IF(R1137&lt;B1137,"Livraison avant la commande",IF(AND(N(T1137)&gt;0,N(S1137)=0),"Date d'envoi manquante",IF(N(T1137)&gt;N(H1137),"Reçu plus que commandé",IF(AND(N(T1137)&gt;0,N(U1137)=0),"Date de réception manquante",IF(AND(N(U1137)&gt;0,U1137&lt;B1137),"Réception avant la commande","OK")))))))))))))))))))))</f>
        <v/>
      </c>
      <c r="AA1137" s="66" t="str">
        <f>IF(AND(X1137="Reçu",ISNUMBER(R1137)),IF(N(U1137)&lt;=R1137,1,0),"")</f>
        <v/>
      </c>
      <c r="AB1137" s="76" t="str">
        <f>IF(OR(X1137="Envoyé",X1137="Partiel",X1137="En retard"),IF(ISNUMBER(R1137),R1137,100000)+ROW()/100000,"")</f>
        <v/>
      </c>
      <c r="AC1137" s="66" t="str">
        <f>IF(A1137="","",IF(COUNTIF($A$6:A1137,A1137)=1,1,""))</f>
        <v/>
      </c>
      <c r="AD1137" s="66" t="str">
        <f>IF(AC1137=1,COUNT($AC$6:AC1137),"")</f>
        <v/>
      </c>
      <c r="AE1137" s="66" t="str">
        <f>IFERROR(INDEX(po_num,MATCH(1132,po_seq,0))&amp;"","")</f>
        <v/>
      </c>
      <c r="AF1137" s="66" t="str">
        <f>IF(OR(A1137="",p_po=""),"",IF(A1137&amp;""=p_po,COUNTIF($A$6:A1137,A1137),""))</f>
        <v/>
      </c>
      <c r="AG1137" s="66" t="str">
        <f>IF(OR(AB1137="",A1137=""),"",IF(COUNTIFS($A$6:A1137,A1137,$AB$6:AB1137,"&gt;0")=1,1,""))</f>
        <v/>
      </c>
      <c r="AH1137" s="70" t="str">
        <f>IF(AB1137="","",ROUND(N(W1137)*N(J1137)*(1-N(K1137)),2))</f>
        <v/>
      </c>
      <c r="AI1137" s="70" t="str">
        <f>IF(OR(J1137="",N(T1137)&lt;=0,V1137="Oui"),"",ROUND(N(T1137)*J1137*(1-N(K1137)),2))</f>
        <v/>
      </c>
    </row>
    <row r="1138">
      <c r="A1138" s="63" t="n"/>
      <c r="B1138" s="64" t="n"/>
      <c r="C1138" s="65" t="n"/>
      <c r="D1138" s="66" t="str">
        <f>IF(C1138="","",IFERROR(INDEX(sup_name,MATCH($C1138,sup_code,0))&amp;"","Fournisseur inconnu"))</f>
        <v/>
      </c>
      <c r="E1138" s="63" t="n"/>
      <c r="F1138" s="66" t="str">
        <f>IF(E1138="","",IFERROR(INDEX(art_des,MATCH($E1138,art_ref,0))&amp;"","Article inconnu"))</f>
        <v/>
      </c>
      <c r="G1138" s="67" t="str">
        <f>IF(E1138="","",IFERROR(INDEX(art_unit,MATCH($E1138,art_ref,0))&amp;"",""))</f>
        <v/>
      </c>
      <c r="H1138" s="68" t="n"/>
      <c r="I1138" s="69" t="n"/>
      <c r="J1138" s="70" t="str">
        <f>IF(E1138="","",IF(ISNUMBER(I1138),I1138,IFERROR(IF(ISNUMBER(INDEX(art_price,MATCH($E1138,art_ref,0))),INDEX(art_price,MATCH($E1138,art_ref,0)),""),"")))</f>
        <v/>
      </c>
      <c r="K1138" s="71" t="n"/>
      <c r="L1138" s="72" t="n"/>
      <c r="M1138" s="72" t="str">
        <f>IF(E1138="","",IF(L1138&lt;&gt;"",L1138,IFERROR(IF(ISNUMBER(INDEX(art_tva,MATCH($E1138,art_ref,0))),INDEX(art_tva,MATCH($E1138,art_ref,0)),""),"")))</f>
        <v/>
      </c>
      <c r="N1138" s="70" t="str">
        <f>IF(OR(E1138="",J1138=""),"",ROUND(N(H1138)*J1138*(1-N(K1138)),2))</f>
        <v/>
      </c>
      <c r="O1138" s="70" t="str">
        <f>IF(OR(N1138="",NOT(ISNUMBER(M1138))),"",ROUND(N1138*M1138,2))</f>
        <v/>
      </c>
      <c r="P1138" s="70" t="str">
        <f>IF(N1138="","",N1138+N(O1138))</f>
        <v/>
      </c>
      <c r="Q1138" s="64" t="n"/>
      <c r="R1138" s="73" t="str">
        <f>IF(N(Q1138)&gt;0,Q1138,IF(OR(N(B1138)=0,ISNA(MATCH($C1138,sup_code,0))),"",IF(ISNUMBER(INDEX(sup_delay,MATCH($C1138,sup_code,0))),B1138+INDEX(sup_delay,MATCH($C1138,sup_code,0)),"")))</f>
        <v/>
      </c>
      <c r="S1138" s="64" t="n"/>
      <c r="T1138" s="68" t="n"/>
      <c r="U1138" s="64" t="n"/>
      <c r="V1138" s="65" t="n"/>
      <c r="W1138" s="74" t="str">
        <f>IF(AND(A1138="",E1138=""),"",IF(V1138="Oui",0,MAX(0,ROUND(N(H1138)-N(T1138),6))))</f>
        <v/>
      </c>
      <c r="X1138" s="67" t="str">
        <f>IF(AND(A1138="",E1138=""),"",IF(V1138="Oui","Annulé",IF(AND(N(H1138)&gt;0,N(T1138)&gt;=N(H1138)),"Reçu",IF(N(S1138)=0,"Brouillon",IF(AND(ISNUMBER(R1138),R1138&lt;p_today),"En retard",IF(N(T1138)&gt;0,"Partiel","Envoyé"))))))</f>
        <v/>
      </c>
      <c r="Y1138" s="75" t="str">
        <f>IF(X1138="En retard",p_today-R1138,IF(AND(X1138="Reçu",ISNUMBER(R1138)),MAX(0,N(U1138)-R1138),""))</f>
        <v/>
      </c>
      <c r="Z1138" s="67" t="str">
        <f>IF(AND(A1138="",E1138=""),"",IF(A1138="","N° de bon manquant",IF(N(B1138)=0,"Date de commande manquante",IF(C1138="","Fournisseur manquant",IF(ISNA(MATCH($C1138,sup_code,0)),"Fournisseur inconnu",IF(E1138="","Article manquant",IF(ISNA(MATCH($E1138,art_ref,0)),"Article inconnu",IF(N(H1138)&lt;=0,"Quantité invalide",IF(J1138="","Prix manquant",IF(OR(N(K1138)&lt;0,N(K1138)&gt;=1),"Remise invalide",IF(M1138="","TVA manquante",IF(ISNA(MATCH(M1138,p_tva,0)),"Taux de TVA inconnu",IF(COUNTIFS(po_num,A1138,po_sup,"&lt;&gt;"&amp;C1138)&gt;0,"Fournisseur différent sur ce bon",IF(COUNTIFS(po_num,A1138,po_date,"&lt;&gt;"&amp;B1138)&gt;0,"Date différente sur ce bon",IF(COUNTIF(po_num,A1138)&gt;25,"Plus de 25 lignes sur ce bon",IF(R1138="","Date de livraison manquante",IF(R1138&lt;B1138,"Livraison avant la commande",IF(AND(N(T1138)&gt;0,N(S1138)=0),"Date d'envoi manquante",IF(N(T1138)&gt;N(H1138),"Reçu plus que commandé",IF(AND(N(T1138)&gt;0,N(U1138)=0),"Date de réception manquante",IF(AND(N(U1138)&gt;0,U1138&lt;B1138),"Réception avant la commande","OK")))))))))))))))))))))</f>
        <v/>
      </c>
      <c r="AA1138" s="66" t="str">
        <f>IF(AND(X1138="Reçu",ISNUMBER(R1138)),IF(N(U1138)&lt;=R1138,1,0),"")</f>
        <v/>
      </c>
      <c r="AB1138" s="76" t="str">
        <f>IF(OR(X1138="Envoyé",X1138="Partiel",X1138="En retard"),IF(ISNUMBER(R1138),R1138,100000)+ROW()/100000,"")</f>
        <v/>
      </c>
      <c r="AC1138" s="66" t="str">
        <f>IF(A1138="","",IF(COUNTIF($A$6:A1138,A1138)=1,1,""))</f>
        <v/>
      </c>
      <c r="AD1138" s="66" t="str">
        <f>IF(AC1138=1,COUNT($AC$6:AC1138),"")</f>
        <v/>
      </c>
      <c r="AE1138" s="66" t="str">
        <f>IFERROR(INDEX(po_num,MATCH(1133,po_seq,0))&amp;"","")</f>
        <v/>
      </c>
      <c r="AF1138" s="66" t="str">
        <f>IF(OR(A1138="",p_po=""),"",IF(A1138&amp;""=p_po,COUNTIF($A$6:A1138,A1138),""))</f>
        <v/>
      </c>
      <c r="AG1138" s="66" t="str">
        <f>IF(OR(AB1138="",A1138=""),"",IF(COUNTIFS($A$6:A1138,A1138,$AB$6:AB1138,"&gt;0")=1,1,""))</f>
        <v/>
      </c>
      <c r="AH1138" s="70" t="str">
        <f>IF(AB1138="","",ROUND(N(W1138)*N(J1138)*(1-N(K1138)),2))</f>
        <v/>
      </c>
      <c r="AI1138" s="70" t="str">
        <f>IF(OR(J1138="",N(T1138)&lt;=0,V1138="Oui"),"",ROUND(N(T1138)*J1138*(1-N(K1138)),2))</f>
        <v/>
      </c>
    </row>
    <row r="1139">
      <c r="A1139" s="63" t="n"/>
      <c r="B1139" s="64" t="n"/>
      <c r="C1139" s="65" t="n"/>
      <c r="D1139" s="66" t="str">
        <f>IF(C1139="","",IFERROR(INDEX(sup_name,MATCH($C1139,sup_code,0))&amp;"","Fournisseur inconnu"))</f>
        <v/>
      </c>
      <c r="E1139" s="63" t="n"/>
      <c r="F1139" s="66" t="str">
        <f>IF(E1139="","",IFERROR(INDEX(art_des,MATCH($E1139,art_ref,0))&amp;"","Article inconnu"))</f>
        <v/>
      </c>
      <c r="G1139" s="67" t="str">
        <f>IF(E1139="","",IFERROR(INDEX(art_unit,MATCH($E1139,art_ref,0))&amp;"",""))</f>
        <v/>
      </c>
      <c r="H1139" s="68" t="n"/>
      <c r="I1139" s="69" t="n"/>
      <c r="J1139" s="70" t="str">
        <f>IF(E1139="","",IF(ISNUMBER(I1139),I1139,IFERROR(IF(ISNUMBER(INDEX(art_price,MATCH($E1139,art_ref,0))),INDEX(art_price,MATCH($E1139,art_ref,0)),""),"")))</f>
        <v/>
      </c>
      <c r="K1139" s="71" t="n"/>
      <c r="L1139" s="72" t="n"/>
      <c r="M1139" s="72" t="str">
        <f>IF(E1139="","",IF(L1139&lt;&gt;"",L1139,IFERROR(IF(ISNUMBER(INDEX(art_tva,MATCH($E1139,art_ref,0))),INDEX(art_tva,MATCH($E1139,art_ref,0)),""),"")))</f>
        <v/>
      </c>
      <c r="N1139" s="70" t="str">
        <f>IF(OR(E1139="",J1139=""),"",ROUND(N(H1139)*J1139*(1-N(K1139)),2))</f>
        <v/>
      </c>
      <c r="O1139" s="70" t="str">
        <f>IF(OR(N1139="",NOT(ISNUMBER(M1139))),"",ROUND(N1139*M1139,2))</f>
        <v/>
      </c>
      <c r="P1139" s="70" t="str">
        <f>IF(N1139="","",N1139+N(O1139))</f>
        <v/>
      </c>
      <c r="Q1139" s="64" t="n"/>
      <c r="R1139" s="73" t="str">
        <f>IF(N(Q1139)&gt;0,Q1139,IF(OR(N(B1139)=0,ISNA(MATCH($C1139,sup_code,0))),"",IF(ISNUMBER(INDEX(sup_delay,MATCH($C1139,sup_code,0))),B1139+INDEX(sup_delay,MATCH($C1139,sup_code,0)),"")))</f>
        <v/>
      </c>
      <c r="S1139" s="64" t="n"/>
      <c r="T1139" s="68" t="n"/>
      <c r="U1139" s="64" t="n"/>
      <c r="V1139" s="65" t="n"/>
      <c r="W1139" s="74" t="str">
        <f>IF(AND(A1139="",E1139=""),"",IF(V1139="Oui",0,MAX(0,ROUND(N(H1139)-N(T1139),6))))</f>
        <v/>
      </c>
      <c r="X1139" s="67" t="str">
        <f>IF(AND(A1139="",E1139=""),"",IF(V1139="Oui","Annulé",IF(AND(N(H1139)&gt;0,N(T1139)&gt;=N(H1139)),"Reçu",IF(N(S1139)=0,"Brouillon",IF(AND(ISNUMBER(R1139),R1139&lt;p_today),"En retard",IF(N(T1139)&gt;0,"Partiel","Envoyé"))))))</f>
        <v/>
      </c>
      <c r="Y1139" s="75" t="str">
        <f>IF(X1139="En retard",p_today-R1139,IF(AND(X1139="Reçu",ISNUMBER(R1139)),MAX(0,N(U1139)-R1139),""))</f>
        <v/>
      </c>
      <c r="Z1139" s="67" t="str">
        <f>IF(AND(A1139="",E1139=""),"",IF(A1139="","N° de bon manquant",IF(N(B1139)=0,"Date de commande manquante",IF(C1139="","Fournisseur manquant",IF(ISNA(MATCH($C1139,sup_code,0)),"Fournisseur inconnu",IF(E1139="","Article manquant",IF(ISNA(MATCH($E1139,art_ref,0)),"Article inconnu",IF(N(H1139)&lt;=0,"Quantité invalide",IF(J1139="","Prix manquant",IF(OR(N(K1139)&lt;0,N(K1139)&gt;=1),"Remise invalide",IF(M1139="","TVA manquante",IF(ISNA(MATCH(M1139,p_tva,0)),"Taux de TVA inconnu",IF(COUNTIFS(po_num,A1139,po_sup,"&lt;&gt;"&amp;C1139)&gt;0,"Fournisseur différent sur ce bon",IF(COUNTIFS(po_num,A1139,po_date,"&lt;&gt;"&amp;B1139)&gt;0,"Date différente sur ce bon",IF(COUNTIF(po_num,A1139)&gt;25,"Plus de 25 lignes sur ce bon",IF(R1139="","Date de livraison manquante",IF(R1139&lt;B1139,"Livraison avant la commande",IF(AND(N(T1139)&gt;0,N(S1139)=0),"Date d'envoi manquante",IF(N(T1139)&gt;N(H1139),"Reçu plus que commandé",IF(AND(N(T1139)&gt;0,N(U1139)=0),"Date de réception manquante",IF(AND(N(U1139)&gt;0,U1139&lt;B1139),"Réception avant la commande","OK")))))))))))))))))))))</f>
        <v/>
      </c>
      <c r="AA1139" s="66" t="str">
        <f>IF(AND(X1139="Reçu",ISNUMBER(R1139)),IF(N(U1139)&lt;=R1139,1,0),"")</f>
        <v/>
      </c>
      <c r="AB1139" s="76" t="str">
        <f>IF(OR(X1139="Envoyé",X1139="Partiel",X1139="En retard"),IF(ISNUMBER(R1139),R1139,100000)+ROW()/100000,"")</f>
        <v/>
      </c>
      <c r="AC1139" s="66" t="str">
        <f>IF(A1139="","",IF(COUNTIF($A$6:A1139,A1139)=1,1,""))</f>
        <v/>
      </c>
      <c r="AD1139" s="66" t="str">
        <f>IF(AC1139=1,COUNT($AC$6:AC1139),"")</f>
        <v/>
      </c>
      <c r="AE1139" s="66" t="str">
        <f>IFERROR(INDEX(po_num,MATCH(1134,po_seq,0))&amp;"","")</f>
        <v/>
      </c>
      <c r="AF1139" s="66" t="str">
        <f>IF(OR(A1139="",p_po=""),"",IF(A1139&amp;""=p_po,COUNTIF($A$6:A1139,A1139),""))</f>
        <v/>
      </c>
      <c r="AG1139" s="66" t="str">
        <f>IF(OR(AB1139="",A1139=""),"",IF(COUNTIFS($A$6:A1139,A1139,$AB$6:AB1139,"&gt;0")=1,1,""))</f>
        <v/>
      </c>
      <c r="AH1139" s="70" t="str">
        <f>IF(AB1139="","",ROUND(N(W1139)*N(J1139)*(1-N(K1139)),2))</f>
        <v/>
      </c>
      <c r="AI1139" s="70" t="str">
        <f>IF(OR(J1139="",N(T1139)&lt;=0,V1139="Oui"),"",ROUND(N(T1139)*J1139*(1-N(K1139)),2))</f>
        <v/>
      </c>
    </row>
    <row r="1140">
      <c r="A1140" s="63" t="n"/>
      <c r="B1140" s="64" t="n"/>
      <c r="C1140" s="65" t="n"/>
      <c r="D1140" s="66" t="str">
        <f>IF(C1140="","",IFERROR(INDEX(sup_name,MATCH($C1140,sup_code,0))&amp;"","Fournisseur inconnu"))</f>
        <v/>
      </c>
      <c r="E1140" s="63" t="n"/>
      <c r="F1140" s="66" t="str">
        <f>IF(E1140="","",IFERROR(INDEX(art_des,MATCH($E1140,art_ref,0))&amp;"","Article inconnu"))</f>
        <v/>
      </c>
      <c r="G1140" s="67" t="str">
        <f>IF(E1140="","",IFERROR(INDEX(art_unit,MATCH($E1140,art_ref,0))&amp;"",""))</f>
        <v/>
      </c>
      <c r="H1140" s="68" t="n"/>
      <c r="I1140" s="69" t="n"/>
      <c r="J1140" s="70" t="str">
        <f>IF(E1140="","",IF(ISNUMBER(I1140),I1140,IFERROR(IF(ISNUMBER(INDEX(art_price,MATCH($E1140,art_ref,0))),INDEX(art_price,MATCH($E1140,art_ref,0)),""),"")))</f>
        <v/>
      </c>
      <c r="K1140" s="71" t="n"/>
      <c r="L1140" s="72" t="n"/>
      <c r="M1140" s="72" t="str">
        <f>IF(E1140="","",IF(L1140&lt;&gt;"",L1140,IFERROR(IF(ISNUMBER(INDEX(art_tva,MATCH($E1140,art_ref,0))),INDEX(art_tva,MATCH($E1140,art_ref,0)),""),"")))</f>
        <v/>
      </c>
      <c r="N1140" s="70" t="str">
        <f>IF(OR(E1140="",J1140=""),"",ROUND(N(H1140)*J1140*(1-N(K1140)),2))</f>
        <v/>
      </c>
      <c r="O1140" s="70" t="str">
        <f>IF(OR(N1140="",NOT(ISNUMBER(M1140))),"",ROUND(N1140*M1140,2))</f>
        <v/>
      </c>
      <c r="P1140" s="70" t="str">
        <f>IF(N1140="","",N1140+N(O1140))</f>
        <v/>
      </c>
      <c r="Q1140" s="64" t="n"/>
      <c r="R1140" s="73" t="str">
        <f>IF(N(Q1140)&gt;0,Q1140,IF(OR(N(B1140)=0,ISNA(MATCH($C1140,sup_code,0))),"",IF(ISNUMBER(INDEX(sup_delay,MATCH($C1140,sup_code,0))),B1140+INDEX(sup_delay,MATCH($C1140,sup_code,0)),"")))</f>
        <v/>
      </c>
      <c r="S1140" s="64" t="n"/>
      <c r="T1140" s="68" t="n"/>
      <c r="U1140" s="64" t="n"/>
      <c r="V1140" s="65" t="n"/>
      <c r="W1140" s="74" t="str">
        <f>IF(AND(A1140="",E1140=""),"",IF(V1140="Oui",0,MAX(0,ROUND(N(H1140)-N(T1140),6))))</f>
        <v/>
      </c>
      <c r="X1140" s="67" t="str">
        <f>IF(AND(A1140="",E1140=""),"",IF(V1140="Oui","Annulé",IF(AND(N(H1140)&gt;0,N(T1140)&gt;=N(H1140)),"Reçu",IF(N(S1140)=0,"Brouillon",IF(AND(ISNUMBER(R1140),R1140&lt;p_today),"En retard",IF(N(T1140)&gt;0,"Partiel","Envoyé"))))))</f>
        <v/>
      </c>
      <c r="Y1140" s="75" t="str">
        <f>IF(X1140="En retard",p_today-R1140,IF(AND(X1140="Reçu",ISNUMBER(R1140)),MAX(0,N(U1140)-R1140),""))</f>
        <v/>
      </c>
      <c r="Z1140" s="67" t="str">
        <f>IF(AND(A1140="",E1140=""),"",IF(A1140="","N° de bon manquant",IF(N(B1140)=0,"Date de commande manquante",IF(C1140="","Fournisseur manquant",IF(ISNA(MATCH($C1140,sup_code,0)),"Fournisseur inconnu",IF(E1140="","Article manquant",IF(ISNA(MATCH($E1140,art_ref,0)),"Article inconnu",IF(N(H1140)&lt;=0,"Quantité invalide",IF(J1140="","Prix manquant",IF(OR(N(K1140)&lt;0,N(K1140)&gt;=1),"Remise invalide",IF(M1140="","TVA manquante",IF(ISNA(MATCH(M1140,p_tva,0)),"Taux de TVA inconnu",IF(COUNTIFS(po_num,A1140,po_sup,"&lt;&gt;"&amp;C1140)&gt;0,"Fournisseur différent sur ce bon",IF(COUNTIFS(po_num,A1140,po_date,"&lt;&gt;"&amp;B1140)&gt;0,"Date différente sur ce bon",IF(COUNTIF(po_num,A1140)&gt;25,"Plus de 25 lignes sur ce bon",IF(R1140="","Date de livraison manquante",IF(R1140&lt;B1140,"Livraison avant la commande",IF(AND(N(T1140)&gt;0,N(S1140)=0),"Date d'envoi manquante",IF(N(T1140)&gt;N(H1140),"Reçu plus que commandé",IF(AND(N(T1140)&gt;0,N(U1140)=0),"Date de réception manquante",IF(AND(N(U1140)&gt;0,U1140&lt;B1140),"Réception avant la commande","OK")))))))))))))))))))))</f>
        <v/>
      </c>
      <c r="AA1140" s="66" t="str">
        <f>IF(AND(X1140="Reçu",ISNUMBER(R1140)),IF(N(U1140)&lt;=R1140,1,0),"")</f>
        <v/>
      </c>
      <c r="AB1140" s="76" t="str">
        <f>IF(OR(X1140="Envoyé",X1140="Partiel",X1140="En retard"),IF(ISNUMBER(R1140),R1140,100000)+ROW()/100000,"")</f>
        <v/>
      </c>
      <c r="AC1140" s="66" t="str">
        <f>IF(A1140="","",IF(COUNTIF($A$6:A1140,A1140)=1,1,""))</f>
        <v/>
      </c>
      <c r="AD1140" s="66" t="str">
        <f>IF(AC1140=1,COUNT($AC$6:AC1140),"")</f>
        <v/>
      </c>
      <c r="AE1140" s="66" t="str">
        <f>IFERROR(INDEX(po_num,MATCH(1135,po_seq,0))&amp;"","")</f>
        <v/>
      </c>
      <c r="AF1140" s="66" t="str">
        <f>IF(OR(A1140="",p_po=""),"",IF(A1140&amp;""=p_po,COUNTIF($A$6:A1140,A1140),""))</f>
        <v/>
      </c>
      <c r="AG1140" s="66" t="str">
        <f>IF(OR(AB1140="",A1140=""),"",IF(COUNTIFS($A$6:A1140,A1140,$AB$6:AB1140,"&gt;0")=1,1,""))</f>
        <v/>
      </c>
      <c r="AH1140" s="70" t="str">
        <f>IF(AB1140="","",ROUND(N(W1140)*N(J1140)*(1-N(K1140)),2))</f>
        <v/>
      </c>
      <c r="AI1140" s="70" t="str">
        <f>IF(OR(J1140="",N(T1140)&lt;=0,V1140="Oui"),"",ROUND(N(T1140)*J1140*(1-N(K1140)),2))</f>
        <v/>
      </c>
    </row>
    <row r="1141">
      <c r="A1141" s="63" t="n"/>
      <c r="B1141" s="64" t="n"/>
      <c r="C1141" s="65" t="n"/>
      <c r="D1141" s="66" t="str">
        <f>IF(C1141="","",IFERROR(INDEX(sup_name,MATCH($C1141,sup_code,0))&amp;"","Fournisseur inconnu"))</f>
        <v/>
      </c>
      <c r="E1141" s="63" t="n"/>
      <c r="F1141" s="66" t="str">
        <f>IF(E1141="","",IFERROR(INDEX(art_des,MATCH($E1141,art_ref,0))&amp;"","Article inconnu"))</f>
        <v/>
      </c>
      <c r="G1141" s="67" t="str">
        <f>IF(E1141="","",IFERROR(INDEX(art_unit,MATCH($E1141,art_ref,0))&amp;"",""))</f>
        <v/>
      </c>
      <c r="H1141" s="68" t="n"/>
      <c r="I1141" s="69" t="n"/>
      <c r="J1141" s="70" t="str">
        <f>IF(E1141="","",IF(ISNUMBER(I1141),I1141,IFERROR(IF(ISNUMBER(INDEX(art_price,MATCH($E1141,art_ref,0))),INDEX(art_price,MATCH($E1141,art_ref,0)),""),"")))</f>
        <v/>
      </c>
      <c r="K1141" s="71" t="n"/>
      <c r="L1141" s="72" t="n"/>
      <c r="M1141" s="72" t="str">
        <f>IF(E1141="","",IF(L1141&lt;&gt;"",L1141,IFERROR(IF(ISNUMBER(INDEX(art_tva,MATCH($E1141,art_ref,0))),INDEX(art_tva,MATCH($E1141,art_ref,0)),""),"")))</f>
        <v/>
      </c>
      <c r="N1141" s="70" t="str">
        <f>IF(OR(E1141="",J1141=""),"",ROUND(N(H1141)*J1141*(1-N(K1141)),2))</f>
        <v/>
      </c>
      <c r="O1141" s="70" t="str">
        <f>IF(OR(N1141="",NOT(ISNUMBER(M1141))),"",ROUND(N1141*M1141,2))</f>
        <v/>
      </c>
      <c r="P1141" s="70" t="str">
        <f>IF(N1141="","",N1141+N(O1141))</f>
        <v/>
      </c>
      <c r="Q1141" s="64" t="n"/>
      <c r="R1141" s="73" t="str">
        <f>IF(N(Q1141)&gt;0,Q1141,IF(OR(N(B1141)=0,ISNA(MATCH($C1141,sup_code,0))),"",IF(ISNUMBER(INDEX(sup_delay,MATCH($C1141,sup_code,0))),B1141+INDEX(sup_delay,MATCH($C1141,sup_code,0)),"")))</f>
        <v/>
      </c>
      <c r="S1141" s="64" t="n"/>
      <c r="T1141" s="68" t="n"/>
      <c r="U1141" s="64" t="n"/>
      <c r="V1141" s="65" t="n"/>
      <c r="W1141" s="74" t="str">
        <f>IF(AND(A1141="",E1141=""),"",IF(V1141="Oui",0,MAX(0,ROUND(N(H1141)-N(T1141),6))))</f>
        <v/>
      </c>
      <c r="X1141" s="67" t="str">
        <f>IF(AND(A1141="",E1141=""),"",IF(V1141="Oui","Annulé",IF(AND(N(H1141)&gt;0,N(T1141)&gt;=N(H1141)),"Reçu",IF(N(S1141)=0,"Brouillon",IF(AND(ISNUMBER(R1141),R1141&lt;p_today),"En retard",IF(N(T1141)&gt;0,"Partiel","Envoyé"))))))</f>
        <v/>
      </c>
      <c r="Y1141" s="75" t="str">
        <f>IF(X1141="En retard",p_today-R1141,IF(AND(X1141="Reçu",ISNUMBER(R1141)),MAX(0,N(U1141)-R1141),""))</f>
        <v/>
      </c>
      <c r="Z1141" s="67" t="str">
        <f>IF(AND(A1141="",E1141=""),"",IF(A1141="","N° de bon manquant",IF(N(B1141)=0,"Date de commande manquante",IF(C1141="","Fournisseur manquant",IF(ISNA(MATCH($C1141,sup_code,0)),"Fournisseur inconnu",IF(E1141="","Article manquant",IF(ISNA(MATCH($E1141,art_ref,0)),"Article inconnu",IF(N(H1141)&lt;=0,"Quantité invalide",IF(J1141="","Prix manquant",IF(OR(N(K1141)&lt;0,N(K1141)&gt;=1),"Remise invalide",IF(M1141="","TVA manquante",IF(ISNA(MATCH(M1141,p_tva,0)),"Taux de TVA inconnu",IF(COUNTIFS(po_num,A1141,po_sup,"&lt;&gt;"&amp;C1141)&gt;0,"Fournisseur différent sur ce bon",IF(COUNTIFS(po_num,A1141,po_date,"&lt;&gt;"&amp;B1141)&gt;0,"Date différente sur ce bon",IF(COUNTIF(po_num,A1141)&gt;25,"Plus de 25 lignes sur ce bon",IF(R1141="","Date de livraison manquante",IF(R1141&lt;B1141,"Livraison avant la commande",IF(AND(N(T1141)&gt;0,N(S1141)=0),"Date d'envoi manquante",IF(N(T1141)&gt;N(H1141),"Reçu plus que commandé",IF(AND(N(T1141)&gt;0,N(U1141)=0),"Date de réception manquante",IF(AND(N(U1141)&gt;0,U1141&lt;B1141),"Réception avant la commande","OK")))))))))))))))))))))</f>
        <v/>
      </c>
      <c r="AA1141" s="66" t="str">
        <f>IF(AND(X1141="Reçu",ISNUMBER(R1141)),IF(N(U1141)&lt;=R1141,1,0),"")</f>
        <v/>
      </c>
      <c r="AB1141" s="76" t="str">
        <f>IF(OR(X1141="Envoyé",X1141="Partiel",X1141="En retard"),IF(ISNUMBER(R1141),R1141,100000)+ROW()/100000,"")</f>
        <v/>
      </c>
      <c r="AC1141" s="66" t="str">
        <f>IF(A1141="","",IF(COUNTIF($A$6:A1141,A1141)=1,1,""))</f>
        <v/>
      </c>
      <c r="AD1141" s="66" t="str">
        <f>IF(AC1141=1,COUNT($AC$6:AC1141),"")</f>
        <v/>
      </c>
      <c r="AE1141" s="66" t="str">
        <f>IFERROR(INDEX(po_num,MATCH(1136,po_seq,0))&amp;"","")</f>
        <v/>
      </c>
      <c r="AF1141" s="66" t="str">
        <f>IF(OR(A1141="",p_po=""),"",IF(A1141&amp;""=p_po,COUNTIF($A$6:A1141,A1141),""))</f>
        <v/>
      </c>
      <c r="AG1141" s="66" t="str">
        <f>IF(OR(AB1141="",A1141=""),"",IF(COUNTIFS($A$6:A1141,A1141,$AB$6:AB1141,"&gt;0")=1,1,""))</f>
        <v/>
      </c>
      <c r="AH1141" s="70" t="str">
        <f>IF(AB1141="","",ROUND(N(W1141)*N(J1141)*(1-N(K1141)),2))</f>
        <v/>
      </c>
      <c r="AI1141" s="70" t="str">
        <f>IF(OR(J1141="",N(T1141)&lt;=0,V1141="Oui"),"",ROUND(N(T1141)*J1141*(1-N(K1141)),2))</f>
        <v/>
      </c>
    </row>
    <row r="1142">
      <c r="A1142" s="63" t="n"/>
      <c r="B1142" s="64" t="n"/>
      <c r="C1142" s="65" t="n"/>
      <c r="D1142" s="66" t="str">
        <f>IF(C1142="","",IFERROR(INDEX(sup_name,MATCH($C1142,sup_code,0))&amp;"","Fournisseur inconnu"))</f>
        <v/>
      </c>
      <c r="E1142" s="63" t="n"/>
      <c r="F1142" s="66" t="str">
        <f>IF(E1142="","",IFERROR(INDEX(art_des,MATCH($E1142,art_ref,0))&amp;"","Article inconnu"))</f>
        <v/>
      </c>
      <c r="G1142" s="67" t="str">
        <f>IF(E1142="","",IFERROR(INDEX(art_unit,MATCH($E1142,art_ref,0))&amp;"",""))</f>
        <v/>
      </c>
      <c r="H1142" s="68" t="n"/>
      <c r="I1142" s="69" t="n"/>
      <c r="J1142" s="70" t="str">
        <f>IF(E1142="","",IF(ISNUMBER(I1142),I1142,IFERROR(IF(ISNUMBER(INDEX(art_price,MATCH($E1142,art_ref,0))),INDEX(art_price,MATCH($E1142,art_ref,0)),""),"")))</f>
        <v/>
      </c>
      <c r="K1142" s="71" t="n"/>
      <c r="L1142" s="72" t="n"/>
      <c r="M1142" s="72" t="str">
        <f>IF(E1142="","",IF(L1142&lt;&gt;"",L1142,IFERROR(IF(ISNUMBER(INDEX(art_tva,MATCH($E1142,art_ref,0))),INDEX(art_tva,MATCH($E1142,art_ref,0)),""),"")))</f>
        <v/>
      </c>
      <c r="N1142" s="70" t="str">
        <f>IF(OR(E1142="",J1142=""),"",ROUND(N(H1142)*J1142*(1-N(K1142)),2))</f>
        <v/>
      </c>
      <c r="O1142" s="70" t="str">
        <f>IF(OR(N1142="",NOT(ISNUMBER(M1142))),"",ROUND(N1142*M1142,2))</f>
        <v/>
      </c>
      <c r="P1142" s="70" t="str">
        <f>IF(N1142="","",N1142+N(O1142))</f>
        <v/>
      </c>
      <c r="Q1142" s="64" t="n"/>
      <c r="R1142" s="73" t="str">
        <f>IF(N(Q1142)&gt;0,Q1142,IF(OR(N(B1142)=0,ISNA(MATCH($C1142,sup_code,0))),"",IF(ISNUMBER(INDEX(sup_delay,MATCH($C1142,sup_code,0))),B1142+INDEX(sup_delay,MATCH($C1142,sup_code,0)),"")))</f>
        <v/>
      </c>
      <c r="S1142" s="64" t="n"/>
      <c r="T1142" s="68" t="n"/>
      <c r="U1142" s="64" t="n"/>
      <c r="V1142" s="65" t="n"/>
      <c r="W1142" s="74" t="str">
        <f>IF(AND(A1142="",E1142=""),"",IF(V1142="Oui",0,MAX(0,ROUND(N(H1142)-N(T1142),6))))</f>
        <v/>
      </c>
      <c r="X1142" s="67" t="str">
        <f>IF(AND(A1142="",E1142=""),"",IF(V1142="Oui","Annulé",IF(AND(N(H1142)&gt;0,N(T1142)&gt;=N(H1142)),"Reçu",IF(N(S1142)=0,"Brouillon",IF(AND(ISNUMBER(R1142),R1142&lt;p_today),"En retard",IF(N(T1142)&gt;0,"Partiel","Envoyé"))))))</f>
        <v/>
      </c>
      <c r="Y1142" s="75" t="str">
        <f>IF(X1142="En retard",p_today-R1142,IF(AND(X1142="Reçu",ISNUMBER(R1142)),MAX(0,N(U1142)-R1142),""))</f>
        <v/>
      </c>
      <c r="Z1142" s="67" t="str">
        <f>IF(AND(A1142="",E1142=""),"",IF(A1142="","N° de bon manquant",IF(N(B1142)=0,"Date de commande manquante",IF(C1142="","Fournisseur manquant",IF(ISNA(MATCH($C1142,sup_code,0)),"Fournisseur inconnu",IF(E1142="","Article manquant",IF(ISNA(MATCH($E1142,art_ref,0)),"Article inconnu",IF(N(H1142)&lt;=0,"Quantité invalide",IF(J1142="","Prix manquant",IF(OR(N(K1142)&lt;0,N(K1142)&gt;=1),"Remise invalide",IF(M1142="","TVA manquante",IF(ISNA(MATCH(M1142,p_tva,0)),"Taux de TVA inconnu",IF(COUNTIFS(po_num,A1142,po_sup,"&lt;&gt;"&amp;C1142)&gt;0,"Fournisseur différent sur ce bon",IF(COUNTIFS(po_num,A1142,po_date,"&lt;&gt;"&amp;B1142)&gt;0,"Date différente sur ce bon",IF(COUNTIF(po_num,A1142)&gt;25,"Plus de 25 lignes sur ce bon",IF(R1142="","Date de livraison manquante",IF(R1142&lt;B1142,"Livraison avant la commande",IF(AND(N(T1142)&gt;0,N(S1142)=0),"Date d'envoi manquante",IF(N(T1142)&gt;N(H1142),"Reçu plus que commandé",IF(AND(N(T1142)&gt;0,N(U1142)=0),"Date de réception manquante",IF(AND(N(U1142)&gt;0,U1142&lt;B1142),"Réception avant la commande","OK")))))))))))))))))))))</f>
        <v/>
      </c>
      <c r="AA1142" s="66" t="str">
        <f>IF(AND(X1142="Reçu",ISNUMBER(R1142)),IF(N(U1142)&lt;=R1142,1,0),"")</f>
        <v/>
      </c>
      <c r="AB1142" s="76" t="str">
        <f>IF(OR(X1142="Envoyé",X1142="Partiel",X1142="En retard"),IF(ISNUMBER(R1142),R1142,100000)+ROW()/100000,"")</f>
        <v/>
      </c>
      <c r="AC1142" s="66" t="str">
        <f>IF(A1142="","",IF(COUNTIF($A$6:A1142,A1142)=1,1,""))</f>
        <v/>
      </c>
      <c r="AD1142" s="66" t="str">
        <f>IF(AC1142=1,COUNT($AC$6:AC1142),"")</f>
        <v/>
      </c>
      <c r="AE1142" s="66" t="str">
        <f>IFERROR(INDEX(po_num,MATCH(1137,po_seq,0))&amp;"","")</f>
        <v/>
      </c>
      <c r="AF1142" s="66" t="str">
        <f>IF(OR(A1142="",p_po=""),"",IF(A1142&amp;""=p_po,COUNTIF($A$6:A1142,A1142),""))</f>
        <v/>
      </c>
      <c r="AG1142" s="66" t="str">
        <f>IF(OR(AB1142="",A1142=""),"",IF(COUNTIFS($A$6:A1142,A1142,$AB$6:AB1142,"&gt;0")=1,1,""))</f>
        <v/>
      </c>
      <c r="AH1142" s="70" t="str">
        <f>IF(AB1142="","",ROUND(N(W1142)*N(J1142)*(1-N(K1142)),2))</f>
        <v/>
      </c>
      <c r="AI1142" s="70" t="str">
        <f>IF(OR(J1142="",N(T1142)&lt;=0,V1142="Oui"),"",ROUND(N(T1142)*J1142*(1-N(K1142)),2))</f>
        <v/>
      </c>
    </row>
    <row r="1143">
      <c r="A1143" s="63" t="n"/>
      <c r="B1143" s="64" t="n"/>
      <c r="C1143" s="65" t="n"/>
      <c r="D1143" s="66" t="str">
        <f>IF(C1143="","",IFERROR(INDEX(sup_name,MATCH($C1143,sup_code,0))&amp;"","Fournisseur inconnu"))</f>
        <v/>
      </c>
      <c r="E1143" s="63" t="n"/>
      <c r="F1143" s="66" t="str">
        <f>IF(E1143="","",IFERROR(INDEX(art_des,MATCH($E1143,art_ref,0))&amp;"","Article inconnu"))</f>
        <v/>
      </c>
      <c r="G1143" s="67" t="str">
        <f>IF(E1143="","",IFERROR(INDEX(art_unit,MATCH($E1143,art_ref,0))&amp;"",""))</f>
        <v/>
      </c>
      <c r="H1143" s="68" t="n"/>
      <c r="I1143" s="69" t="n"/>
      <c r="J1143" s="70" t="str">
        <f>IF(E1143="","",IF(ISNUMBER(I1143),I1143,IFERROR(IF(ISNUMBER(INDEX(art_price,MATCH($E1143,art_ref,0))),INDEX(art_price,MATCH($E1143,art_ref,0)),""),"")))</f>
        <v/>
      </c>
      <c r="K1143" s="71" t="n"/>
      <c r="L1143" s="72" t="n"/>
      <c r="M1143" s="72" t="str">
        <f>IF(E1143="","",IF(L1143&lt;&gt;"",L1143,IFERROR(IF(ISNUMBER(INDEX(art_tva,MATCH($E1143,art_ref,0))),INDEX(art_tva,MATCH($E1143,art_ref,0)),""),"")))</f>
        <v/>
      </c>
      <c r="N1143" s="70" t="str">
        <f>IF(OR(E1143="",J1143=""),"",ROUND(N(H1143)*J1143*(1-N(K1143)),2))</f>
        <v/>
      </c>
      <c r="O1143" s="70" t="str">
        <f>IF(OR(N1143="",NOT(ISNUMBER(M1143))),"",ROUND(N1143*M1143,2))</f>
        <v/>
      </c>
      <c r="P1143" s="70" t="str">
        <f>IF(N1143="","",N1143+N(O1143))</f>
        <v/>
      </c>
      <c r="Q1143" s="64" t="n"/>
      <c r="R1143" s="73" t="str">
        <f>IF(N(Q1143)&gt;0,Q1143,IF(OR(N(B1143)=0,ISNA(MATCH($C1143,sup_code,0))),"",IF(ISNUMBER(INDEX(sup_delay,MATCH($C1143,sup_code,0))),B1143+INDEX(sup_delay,MATCH($C1143,sup_code,0)),"")))</f>
        <v/>
      </c>
      <c r="S1143" s="64" t="n"/>
      <c r="T1143" s="68" t="n"/>
      <c r="U1143" s="64" t="n"/>
      <c r="V1143" s="65" t="n"/>
      <c r="W1143" s="74" t="str">
        <f>IF(AND(A1143="",E1143=""),"",IF(V1143="Oui",0,MAX(0,ROUND(N(H1143)-N(T1143),6))))</f>
        <v/>
      </c>
      <c r="X1143" s="67" t="str">
        <f>IF(AND(A1143="",E1143=""),"",IF(V1143="Oui","Annulé",IF(AND(N(H1143)&gt;0,N(T1143)&gt;=N(H1143)),"Reçu",IF(N(S1143)=0,"Brouillon",IF(AND(ISNUMBER(R1143),R1143&lt;p_today),"En retard",IF(N(T1143)&gt;0,"Partiel","Envoyé"))))))</f>
        <v/>
      </c>
      <c r="Y1143" s="75" t="str">
        <f>IF(X1143="En retard",p_today-R1143,IF(AND(X1143="Reçu",ISNUMBER(R1143)),MAX(0,N(U1143)-R1143),""))</f>
        <v/>
      </c>
      <c r="Z1143" s="67" t="str">
        <f>IF(AND(A1143="",E1143=""),"",IF(A1143="","N° de bon manquant",IF(N(B1143)=0,"Date de commande manquante",IF(C1143="","Fournisseur manquant",IF(ISNA(MATCH($C1143,sup_code,0)),"Fournisseur inconnu",IF(E1143="","Article manquant",IF(ISNA(MATCH($E1143,art_ref,0)),"Article inconnu",IF(N(H1143)&lt;=0,"Quantité invalide",IF(J1143="","Prix manquant",IF(OR(N(K1143)&lt;0,N(K1143)&gt;=1),"Remise invalide",IF(M1143="","TVA manquante",IF(ISNA(MATCH(M1143,p_tva,0)),"Taux de TVA inconnu",IF(COUNTIFS(po_num,A1143,po_sup,"&lt;&gt;"&amp;C1143)&gt;0,"Fournisseur différent sur ce bon",IF(COUNTIFS(po_num,A1143,po_date,"&lt;&gt;"&amp;B1143)&gt;0,"Date différente sur ce bon",IF(COUNTIF(po_num,A1143)&gt;25,"Plus de 25 lignes sur ce bon",IF(R1143="","Date de livraison manquante",IF(R1143&lt;B1143,"Livraison avant la commande",IF(AND(N(T1143)&gt;0,N(S1143)=0),"Date d'envoi manquante",IF(N(T1143)&gt;N(H1143),"Reçu plus que commandé",IF(AND(N(T1143)&gt;0,N(U1143)=0),"Date de réception manquante",IF(AND(N(U1143)&gt;0,U1143&lt;B1143),"Réception avant la commande","OK")))))))))))))))))))))</f>
        <v/>
      </c>
      <c r="AA1143" s="66" t="str">
        <f>IF(AND(X1143="Reçu",ISNUMBER(R1143)),IF(N(U1143)&lt;=R1143,1,0),"")</f>
        <v/>
      </c>
      <c r="AB1143" s="76" t="str">
        <f>IF(OR(X1143="Envoyé",X1143="Partiel",X1143="En retard"),IF(ISNUMBER(R1143),R1143,100000)+ROW()/100000,"")</f>
        <v/>
      </c>
      <c r="AC1143" s="66" t="str">
        <f>IF(A1143="","",IF(COUNTIF($A$6:A1143,A1143)=1,1,""))</f>
        <v/>
      </c>
      <c r="AD1143" s="66" t="str">
        <f>IF(AC1143=1,COUNT($AC$6:AC1143),"")</f>
        <v/>
      </c>
      <c r="AE1143" s="66" t="str">
        <f>IFERROR(INDEX(po_num,MATCH(1138,po_seq,0))&amp;"","")</f>
        <v/>
      </c>
      <c r="AF1143" s="66" t="str">
        <f>IF(OR(A1143="",p_po=""),"",IF(A1143&amp;""=p_po,COUNTIF($A$6:A1143,A1143),""))</f>
        <v/>
      </c>
      <c r="AG1143" s="66" t="str">
        <f>IF(OR(AB1143="",A1143=""),"",IF(COUNTIFS($A$6:A1143,A1143,$AB$6:AB1143,"&gt;0")=1,1,""))</f>
        <v/>
      </c>
      <c r="AH1143" s="70" t="str">
        <f>IF(AB1143="","",ROUND(N(W1143)*N(J1143)*(1-N(K1143)),2))</f>
        <v/>
      </c>
      <c r="AI1143" s="70" t="str">
        <f>IF(OR(J1143="",N(T1143)&lt;=0,V1143="Oui"),"",ROUND(N(T1143)*J1143*(1-N(K1143)),2))</f>
        <v/>
      </c>
    </row>
    <row r="1144">
      <c r="A1144" s="63" t="n"/>
      <c r="B1144" s="64" t="n"/>
      <c r="C1144" s="65" t="n"/>
      <c r="D1144" s="66" t="str">
        <f>IF(C1144="","",IFERROR(INDEX(sup_name,MATCH($C1144,sup_code,0))&amp;"","Fournisseur inconnu"))</f>
        <v/>
      </c>
      <c r="E1144" s="63" t="n"/>
      <c r="F1144" s="66" t="str">
        <f>IF(E1144="","",IFERROR(INDEX(art_des,MATCH($E1144,art_ref,0))&amp;"","Article inconnu"))</f>
        <v/>
      </c>
      <c r="G1144" s="67" t="str">
        <f>IF(E1144="","",IFERROR(INDEX(art_unit,MATCH($E1144,art_ref,0))&amp;"",""))</f>
        <v/>
      </c>
      <c r="H1144" s="68" t="n"/>
      <c r="I1144" s="69" t="n"/>
      <c r="J1144" s="70" t="str">
        <f>IF(E1144="","",IF(ISNUMBER(I1144),I1144,IFERROR(IF(ISNUMBER(INDEX(art_price,MATCH($E1144,art_ref,0))),INDEX(art_price,MATCH($E1144,art_ref,0)),""),"")))</f>
        <v/>
      </c>
      <c r="K1144" s="71" t="n"/>
      <c r="L1144" s="72" t="n"/>
      <c r="M1144" s="72" t="str">
        <f>IF(E1144="","",IF(L1144&lt;&gt;"",L1144,IFERROR(IF(ISNUMBER(INDEX(art_tva,MATCH($E1144,art_ref,0))),INDEX(art_tva,MATCH($E1144,art_ref,0)),""),"")))</f>
        <v/>
      </c>
      <c r="N1144" s="70" t="str">
        <f>IF(OR(E1144="",J1144=""),"",ROUND(N(H1144)*J1144*(1-N(K1144)),2))</f>
        <v/>
      </c>
      <c r="O1144" s="70" t="str">
        <f>IF(OR(N1144="",NOT(ISNUMBER(M1144))),"",ROUND(N1144*M1144,2))</f>
        <v/>
      </c>
      <c r="P1144" s="70" t="str">
        <f>IF(N1144="","",N1144+N(O1144))</f>
        <v/>
      </c>
      <c r="Q1144" s="64" t="n"/>
      <c r="R1144" s="73" t="str">
        <f>IF(N(Q1144)&gt;0,Q1144,IF(OR(N(B1144)=0,ISNA(MATCH($C1144,sup_code,0))),"",IF(ISNUMBER(INDEX(sup_delay,MATCH($C1144,sup_code,0))),B1144+INDEX(sup_delay,MATCH($C1144,sup_code,0)),"")))</f>
        <v/>
      </c>
      <c r="S1144" s="64" t="n"/>
      <c r="T1144" s="68" t="n"/>
      <c r="U1144" s="64" t="n"/>
      <c r="V1144" s="65" t="n"/>
      <c r="W1144" s="74" t="str">
        <f>IF(AND(A1144="",E1144=""),"",IF(V1144="Oui",0,MAX(0,ROUND(N(H1144)-N(T1144),6))))</f>
        <v/>
      </c>
      <c r="X1144" s="67" t="str">
        <f>IF(AND(A1144="",E1144=""),"",IF(V1144="Oui","Annulé",IF(AND(N(H1144)&gt;0,N(T1144)&gt;=N(H1144)),"Reçu",IF(N(S1144)=0,"Brouillon",IF(AND(ISNUMBER(R1144),R1144&lt;p_today),"En retard",IF(N(T1144)&gt;0,"Partiel","Envoyé"))))))</f>
        <v/>
      </c>
      <c r="Y1144" s="75" t="str">
        <f>IF(X1144="En retard",p_today-R1144,IF(AND(X1144="Reçu",ISNUMBER(R1144)),MAX(0,N(U1144)-R1144),""))</f>
        <v/>
      </c>
      <c r="Z1144" s="67" t="str">
        <f>IF(AND(A1144="",E1144=""),"",IF(A1144="","N° de bon manquant",IF(N(B1144)=0,"Date de commande manquante",IF(C1144="","Fournisseur manquant",IF(ISNA(MATCH($C1144,sup_code,0)),"Fournisseur inconnu",IF(E1144="","Article manquant",IF(ISNA(MATCH($E1144,art_ref,0)),"Article inconnu",IF(N(H1144)&lt;=0,"Quantité invalide",IF(J1144="","Prix manquant",IF(OR(N(K1144)&lt;0,N(K1144)&gt;=1),"Remise invalide",IF(M1144="","TVA manquante",IF(ISNA(MATCH(M1144,p_tva,0)),"Taux de TVA inconnu",IF(COUNTIFS(po_num,A1144,po_sup,"&lt;&gt;"&amp;C1144)&gt;0,"Fournisseur différent sur ce bon",IF(COUNTIFS(po_num,A1144,po_date,"&lt;&gt;"&amp;B1144)&gt;0,"Date différente sur ce bon",IF(COUNTIF(po_num,A1144)&gt;25,"Plus de 25 lignes sur ce bon",IF(R1144="","Date de livraison manquante",IF(R1144&lt;B1144,"Livraison avant la commande",IF(AND(N(T1144)&gt;0,N(S1144)=0),"Date d'envoi manquante",IF(N(T1144)&gt;N(H1144),"Reçu plus que commandé",IF(AND(N(T1144)&gt;0,N(U1144)=0),"Date de réception manquante",IF(AND(N(U1144)&gt;0,U1144&lt;B1144),"Réception avant la commande","OK")))))))))))))))))))))</f>
        <v/>
      </c>
      <c r="AA1144" s="66" t="str">
        <f>IF(AND(X1144="Reçu",ISNUMBER(R1144)),IF(N(U1144)&lt;=R1144,1,0),"")</f>
        <v/>
      </c>
      <c r="AB1144" s="76" t="str">
        <f>IF(OR(X1144="Envoyé",X1144="Partiel",X1144="En retard"),IF(ISNUMBER(R1144),R1144,100000)+ROW()/100000,"")</f>
        <v/>
      </c>
      <c r="AC1144" s="66" t="str">
        <f>IF(A1144="","",IF(COUNTIF($A$6:A1144,A1144)=1,1,""))</f>
        <v/>
      </c>
      <c r="AD1144" s="66" t="str">
        <f>IF(AC1144=1,COUNT($AC$6:AC1144),"")</f>
        <v/>
      </c>
      <c r="AE1144" s="66" t="str">
        <f>IFERROR(INDEX(po_num,MATCH(1139,po_seq,0))&amp;"","")</f>
        <v/>
      </c>
      <c r="AF1144" s="66" t="str">
        <f>IF(OR(A1144="",p_po=""),"",IF(A1144&amp;""=p_po,COUNTIF($A$6:A1144,A1144),""))</f>
        <v/>
      </c>
      <c r="AG1144" s="66" t="str">
        <f>IF(OR(AB1144="",A1144=""),"",IF(COUNTIFS($A$6:A1144,A1144,$AB$6:AB1144,"&gt;0")=1,1,""))</f>
        <v/>
      </c>
      <c r="AH1144" s="70" t="str">
        <f>IF(AB1144="","",ROUND(N(W1144)*N(J1144)*(1-N(K1144)),2))</f>
        <v/>
      </c>
      <c r="AI1144" s="70" t="str">
        <f>IF(OR(J1144="",N(T1144)&lt;=0,V1144="Oui"),"",ROUND(N(T1144)*J1144*(1-N(K1144)),2))</f>
        <v/>
      </c>
    </row>
    <row r="1145">
      <c r="A1145" s="63" t="n"/>
      <c r="B1145" s="64" t="n"/>
      <c r="C1145" s="65" t="n"/>
      <c r="D1145" s="66" t="str">
        <f>IF(C1145="","",IFERROR(INDEX(sup_name,MATCH($C1145,sup_code,0))&amp;"","Fournisseur inconnu"))</f>
        <v/>
      </c>
      <c r="E1145" s="63" t="n"/>
      <c r="F1145" s="66" t="str">
        <f>IF(E1145="","",IFERROR(INDEX(art_des,MATCH($E1145,art_ref,0))&amp;"","Article inconnu"))</f>
        <v/>
      </c>
      <c r="G1145" s="67" t="str">
        <f>IF(E1145="","",IFERROR(INDEX(art_unit,MATCH($E1145,art_ref,0))&amp;"",""))</f>
        <v/>
      </c>
      <c r="H1145" s="68" t="n"/>
      <c r="I1145" s="69" t="n"/>
      <c r="J1145" s="70" t="str">
        <f>IF(E1145="","",IF(ISNUMBER(I1145),I1145,IFERROR(IF(ISNUMBER(INDEX(art_price,MATCH($E1145,art_ref,0))),INDEX(art_price,MATCH($E1145,art_ref,0)),""),"")))</f>
        <v/>
      </c>
      <c r="K1145" s="71" t="n"/>
      <c r="L1145" s="72" t="n"/>
      <c r="M1145" s="72" t="str">
        <f>IF(E1145="","",IF(L1145&lt;&gt;"",L1145,IFERROR(IF(ISNUMBER(INDEX(art_tva,MATCH($E1145,art_ref,0))),INDEX(art_tva,MATCH($E1145,art_ref,0)),""),"")))</f>
        <v/>
      </c>
      <c r="N1145" s="70" t="str">
        <f>IF(OR(E1145="",J1145=""),"",ROUND(N(H1145)*J1145*(1-N(K1145)),2))</f>
        <v/>
      </c>
      <c r="O1145" s="70" t="str">
        <f>IF(OR(N1145="",NOT(ISNUMBER(M1145))),"",ROUND(N1145*M1145,2))</f>
        <v/>
      </c>
      <c r="P1145" s="70" t="str">
        <f>IF(N1145="","",N1145+N(O1145))</f>
        <v/>
      </c>
      <c r="Q1145" s="64" t="n"/>
      <c r="R1145" s="73" t="str">
        <f>IF(N(Q1145)&gt;0,Q1145,IF(OR(N(B1145)=0,ISNA(MATCH($C1145,sup_code,0))),"",IF(ISNUMBER(INDEX(sup_delay,MATCH($C1145,sup_code,0))),B1145+INDEX(sup_delay,MATCH($C1145,sup_code,0)),"")))</f>
        <v/>
      </c>
      <c r="S1145" s="64" t="n"/>
      <c r="T1145" s="68" t="n"/>
      <c r="U1145" s="64" t="n"/>
      <c r="V1145" s="65" t="n"/>
      <c r="W1145" s="74" t="str">
        <f>IF(AND(A1145="",E1145=""),"",IF(V1145="Oui",0,MAX(0,ROUND(N(H1145)-N(T1145),6))))</f>
        <v/>
      </c>
      <c r="X1145" s="67" t="str">
        <f>IF(AND(A1145="",E1145=""),"",IF(V1145="Oui","Annulé",IF(AND(N(H1145)&gt;0,N(T1145)&gt;=N(H1145)),"Reçu",IF(N(S1145)=0,"Brouillon",IF(AND(ISNUMBER(R1145),R1145&lt;p_today),"En retard",IF(N(T1145)&gt;0,"Partiel","Envoyé"))))))</f>
        <v/>
      </c>
      <c r="Y1145" s="75" t="str">
        <f>IF(X1145="En retard",p_today-R1145,IF(AND(X1145="Reçu",ISNUMBER(R1145)),MAX(0,N(U1145)-R1145),""))</f>
        <v/>
      </c>
      <c r="Z1145" s="67" t="str">
        <f>IF(AND(A1145="",E1145=""),"",IF(A1145="","N° de bon manquant",IF(N(B1145)=0,"Date de commande manquante",IF(C1145="","Fournisseur manquant",IF(ISNA(MATCH($C1145,sup_code,0)),"Fournisseur inconnu",IF(E1145="","Article manquant",IF(ISNA(MATCH($E1145,art_ref,0)),"Article inconnu",IF(N(H1145)&lt;=0,"Quantité invalide",IF(J1145="","Prix manquant",IF(OR(N(K1145)&lt;0,N(K1145)&gt;=1),"Remise invalide",IF(M1145="","TVA manquante",IF(ISNA(MATCH(M1145,p_tva,0)),"Taux de TVA inconnu",IF(COUNTIFS(po_num,A1145,po_sup,"&lt;&gt;"&amp;C1145)&gt;0,"Fournisseur différent sur ce bon",IF(COUNTIFS(po_num,A1145,po_date,"&lt;&gt;"&amp;B1145)&gt;0,"Date différente sur ce bon",IF(COUNTIF(po_num,A1145)&gt;25,"Plus de 25 lignes sur ce bon",IF(R1145="","Date de livraison manquante",IF(R1145&lt;B1145,"Livraison avant la commande",IF(AND(N(T1145)&gt;0,N(S1145)=0),"Date d'envoi manquante",IF(N(T1145)&gt;N(H1145),"Reçu plus que commandé",IF(AND(N(T1145)&gt;0,N(U1145)=0),"Date de réception manquante",IF(AND(N(U1145)&gt;0,U1145&lt;B1145),"Réception avant la commande","OK")))))))))))))))))))))</f>
        <v/>
      </c>
      <c r="AA1145" s="66" t="str">
        <f>IF(AND(X1145="Reçu",ISNUMBER(R1145)),IF(N(U1145)&lt;=R1145,1,0),"")</f>
        <v/>
      </c>
      <c r="AB1145" s="76" t="str">
        <f>IF(OR(X1145="Envoyé",X1145="Partiel",X1145="En retard"),IF(ISNUMBER(R1145),R1145,100000)+ROW()/100000,"")</f>
        <v/>
      </c>
      <c r="AC1145" s="66" t="str">
        <f>IF(A1145="","",IF(COUNTIF($A$6:A1145,A1145)=1,1,""))</f>
        <v/>
      </c>
      <c r="AD1145" s="66" t="str">
        <f>IF(AC1145=1,COUNT($AC$6:AC1145),"")</f>
        <v/>
      </c>
      <c r="AE1145" s="66" t="str">
        <f>IFERROR(INDEX(po_num,MATCH(1140,po_seq,0))&amp;"","")</f>
        <v/>
      </c>
      <c r="AF1145" s="66" t="str">
        <f>IF(OR(A1145="",p_po=""),"",IF(A1145&amp;""=p_po,COUNTIF($A$6:A1145,A1145),""))</f>
        <v/>
      </c>
      <c r="AG1145" s="66" t="str">
        <f>IF(OR(AB1145="",A1145=""),"",IF(COUNTIFS($A$6:A1145,A1145,$AB$6:AB1145,"&gt;0")=1,1,""))</f>
        <v/>
      </c>
      <c r="AH1145" s="70" t="str">
        <f>IF(AB1145="","",ROUND(N(W1145)*N(J1145)*(1-N(K1145)),2))</f>
        <v/>
      </c>
      <c r="AI1145" s="70" t="str">
        <f>IF(OR(J1145="",N(T1145)&lt;=0,V1145="Oui"),"",ROUND(N(T1145)*J1145*(1-N(K1145)),2))</f>
        <v/>
      </c>
    </row>
    <row r="1146">
      <c r="A1146" s="63" t="n"/>
      <c r="B1146" s="64" t="n"/>
      <c r="C1146" s="65" t="n"/>
      <c r="D1146" s="66" t="str">
        <f>IF(C1146="","",IFERROR(INDEX(sup_name,MATCH($C1146,sup_code,0))&amp;"","Fournisseur inconnu"))</f>
        <v/>
      </c>
      <c r="E1146" s="63" t="n"/>
      <c r="F1146" s="66" t="str">
        <f>IF(E1146="","",IFERROR(INDEX(art_des,MATCH($E1146,art_ref,0))&amp;"","Article inconnu"))</f>
        <v/>
      </c>
      <c r="G1146" s="67" t="str">
        <f>IF(E1146="","",IFERROR(INDEX(art_unit,MATCH($E1146,art_ref,0))&amp;"",""))</f>
        <v/>
      </c>
      <c r="H1146" s="68" t="n"/>
      <c r="I1146" s="69" t="n"/>
      <c r="J1146" s="70" t="str">
        <f>IF(E1146="","",IF(ISNUMBER(I1146),I1146,IFERROR(IF(ISNUMBER(INDEX(art_price,MATCH($E1146,art_ref,0))),INDEX(art_price,MATCH($E1146,art_ref,0)),""),"")))</f>
        <v/>
      </c>
      <c r="K1146" s="71" t="n"/>
      <c r="L1146" s="72" t="n"/>
      <c r="M1146" s="72" t="str">
        <f>IF(E1146="","",IF(L1146&lt;&gt;"",L1146,IFERROR(IF(ISNUMBER(INDEX(art_tva,MATCH($E1146,art_ref,0))),INDEX(art_tva,MATCH($E1146,art_ref,0)),""),"")))</f>
        <v/>
      </c>
      <c r="N1146" s="70" t="str">
        <f>IF(OR(E1146="",J1146=""),"",ROUND(N(H1146)*J1146*(1-N(K1146)),2))</f>
        <v/>
      </c>
      <c r="O1146" s="70" t="str">
        <f>IF(OR(N1146="",NOT(ISNUMBER(M1146))),"",ROUND(N1146*M1146,2))</f>
        <v/>
      </c>
      <c r="P1146" s="70" t="str">
        <f>IF(N1146="","",N1146+N(O1146))</f>
        <v/>
      </c>
      <c r="Q1146" s="64" t="n"/>
      <c r="R1146" s="73" t="str">
        <f>IF(N(Q1146)&gt;0,Q1146,IF(OR(N(B1146)=0,ISNA(MATCH($C1146,sup_code,0))),"",IF(ISNUMBER(INDEX(sup_delay,MATCH($C1146,sup_code,0))),B1146+INDEX(sup_delay,MATCH($C1146,sup_code,0)),"")))</f>
        <v/>
      </c>
      <c r="S1146" s="64" t="n"/>
      <c r="T1146" s="68" t="n"/>
      <c r="U1146" s="64" t="n"/>
      <c r="V1146" s="65" t="n"/>
      <c r="W1146" s="74" t="str">
        <f>IF(AND(A1146="",E1146=""),"",IF(V1146="Oui",0,MAX(0,ROUND(N(H1146)-N(T1146),6))))</f>
        <v/>
      </c>
      <c r="X1146" s="67" t="str">
        <f>IF(AND(A1146="",E1146=""),"",IF(V1146="Oui","Annulé",IF(AND(N(H1146)&gt;0,N(T1146)&gt;=N(H1146)),"Reçu",IF(N(S1146)=0,"Brouillon",IF(AND(ISNUMBER(R1146),R1146&lt;p_today),"En retard",IF(N(T1146)&gt;0,"Partiel","Envoyé"))))))</f>
        <v/>
      </c>
      <c r="Y1146" s="75" t="str">
        <f>IF(X1146="En retard",p_today-R1146,IF(AND(X1146="Reçu",ISNUMBER(R1146)),MAX(0,N(U1146)-R1146),""))</f>
        <v/>
      </c>
      <c r="Z1146" s="67" t="str">
        <f>IF(AND(A1146="",E1146=""),"",IF(A1146="","N° de bon manquant",IF(N(B1146)=0,"Date de commande manquante",IF(C1146="","Fournisseur manquant",IF(ISNA(MATCH($C1146,sup_code,0)),"Fournisseur inconnu",IF(E1146="","Article manquant",IF(ISNA(MATCH($E1146,art_ref,0)),"Article inconnu",IF(N(H1146)&lt;=0,"Quantité invalide",IF(J1146="","Prix manquant",IF(OR(N(K1146)&lt;0,N(K1146)&gt;=1),"Remise invalide",IF(M1146="","TVA manquante",IF(ISNA(MATCH(M1146,p_tva,0)),"Taux de TVA inconnu",IF(COUNTIFS(po_num,A1146,po_sup,"&lt;&gt;"&amp;C1146)&gt;0,"Fournisseur différent sur ce bon",IF(COUNTIFS(po_num,A1146,po_date,"&lt;&gt;"&amp;B1146)&gt;0,"Date différente sur ce bon",IF(COUNTIF(po_num,A1146)&gt;25,"Plus de 25 lignes sur ce bon",IF(R1146="","Date de livraison manquante",IF(R1146&lt;B1146,"Livraison avant la commande",IF(AND(N(T1146)&gt;0,N(S1146)=0),"Date d'envoi manquante",IF(N(T1146)&gt;N(H1146),"Reçu plus que commandé",IF(AND(N(T1146)&gt;0,N(U1146)=0),"Date de réception manquante",IF(AND(N(U1146)&gt;0,U1146&lt;B1146),"Réception avant la commande","OK")))))))))))))))))))))</f>
        <v/>
      </c>
      <c r="AA1146" s="66" t="str">
        <f>IF(AND(X1146="Reçu",ISNUMBER(R1146)),IF(N(U1146)&lt;=R1146,1,0),"")</f>
        <v/>
      </c>
      <c r="AB1146" s="76" t="str">
        <f>IF(OR(X1146="Envoyé",X1146="Partiel",X1146="En retard"),IF(ISNUMBER(R1146),R1146,100000)+ROW()/100000,"")</f>
        <v/>
      </c>
      <c r="AC1146" s="66" t="str">
        <f>IF(A1146="","",IF(COUNTIF($A$6:A1146,A1146)=1,1,""))</f>
        <v/>
      </c>
      <c r="AD1146" s="66" t="str">
        <f>IF(AC1146=1,COUNT($AC$6:AC1146),"")</f>
        <v/>
      </c>
      <c r="AE1146" s="66" t="str">
        <f>IFERROR(INDEX(po_num,MATCH(1141,po_seq,0))&amp;"","")</f>
        <v/>
      </c>
      <c r="AF1146" s="66" t="str">
        <f>IF(OR(A1146="",p_po=""),"",IF(A1146&amp;""=p_po,COUNTIF($A$6:A1146,A1146),""))</f>
        <v/>
      </c>
      <c r="AG1146" s="66" t="str">
        <f>IF(OR(AB1146="",A1146=""),"",IF(COUNTIFS($A$6:A1146,A1146,$AB$6:AB1146,"&gt;0")=1,1,""))</f>
        <v/>
      </c>
      <c r="AH1146" s="70" t="str">
        <f>IF(AB1146="","",ROUND(N(W1146)*N(J1146)*(1-N(K1146)),2))</f>
        <v/>
      </c>
      <c r="AI1146" s="70" t="str">
        <f>IF(OR(J1146="",N(T1146)&lt;=0,V1146="Oui"),"",ROUND(N(T1146)*J1146*(1-N(K1146)),2))</f>
        <v/>
      </c>
    </row>
    <row r="1147">
      <c r="A1147" s="63" t="n"/>
      <c r="B1147" s="64" t="n"/>
      <c r="C1147" s="65" t="n"/>
      <c r="D1147" s="66" t="str">
        <f>IF(C1147="","",IFERROR(INDEX(sup_name,MATCH($C1147,sup_code,0))&amp;"","Fournisseur inconnu"))</f>
        <v/>
      </c>
      <c r="E1147" s="63" t="n"/>
      <c r="F1147" s="66" t="str">
        <f>IF(E1147="","",IFERROR(INDEX(art_des,MATCH($E1147,art_ref,0))&amp;"","Article inconnu"))</f>
        <v/>
      </c>
      <c r="G1147" s="67" t="str">
        <f>IF(E1147="","",IFERROR(INDEX(art_unit,MATCH($E1147,art_ref,0))&amp;"",""))</f>
        <v/>
      </c>
      <c r="H1147" s="68" t="n"/>
      <c r="I1147" s="69" t="n"/>
      <c r="J1147" s="70" t="str">
        <f>IF(E1147="","",IF(ISNUMBER(I1147),I1147,IFERROR(IF(ISNUMBER(INDEX(art_price,MATCH($E1147,art_ref,0))),INDEX(art_price,MATCH($E1147,art_ref,0)),""),"")))</f>
        <v/>
      </c>
      <c r="K1147" s="71" t="n"/>
      <c r="L1147" s="72" t="n"/>
      <c r="M1147" s="72" t="str">
        <f>IF(E1147="","",IF(L1147&lt;&gt;"",L1147,IFERROR(IF(ISNUMBER(INDEX(art_tva,MATCH($E1147,art_ref,0))),INDEX(art_tva,MATCH($E1147,art_ref,0)),""),"")))</f>
        <v/>
      </c>
      <c r="N1147" s="70" t="str">
        <f>IF(OR(E1147="",J1147=""),"",ROUND(N(H1147)*J1147*(1-N(K1147)),2))</f>
        <v/>
      </c>
      <c r="O1147" s="70" t="str">
        <f>IF(OR(N1147="",NOT(ISNUMBER(M1147))),"",ROUND(N1147*M1147,2))</f>
        <v/>
      </c>
      <c r="P1147" s="70" t="str">
        <f>IF(N1147="","",N1147+N(O1147))</f>
        <v/>
      </c>
      <c r="Q1147" s="64" t="n"/>
      <c r="R1147" s="73" t="str">
        <f>IF(N(Q1147)&gt;0,Q1147,IF(OR(N(B1147)=0,ISNA(MATCH($C1147,sup_code,0))),"",IF(ISNUMBER(INDEX(sup_delay,MATCH($C1147,sup_code,0))),B1147+INDEX(sup_delay,MATCH($C1147,sup_code,0)),"")))</f>
        <v/>
      </c>
      <c r="S1147" s="64" t="n"/>
      <c r="T1147" s="68" t="n"/>
      <c r="U1147" s="64" t="n"/>
      <c r="V1147" s="65" t="n"/>
      <c r="W1147" s="74" t="str">
        <f>IF(AND(A1147="",E1147=""),"",IF(V1147="Oui",0,MAX(0,ROUND(N(H1147)-N(T1147),6))))</f>
        <v/>
      </c>
      <c r="X1147" s="67" t="str">
        <f>IF(AND(A1147="",E1147=""),"",IF(V1147="Oui","Annulé",IF(AND(N(H1147)&gt;0,N(T1147)&gt;=N(H1147)),"Reçu",IF(N(S1147)=0,"Brouillon",IF(AND(ISNUMBER(R1147),R1147&lt;p_today),"En retard",IF(N(T1147)&gt;0,"Partiel","Envoyé"))))))</f>
        <v/>
      </c>
      <c r="Y1147" s="75" t="str">
        <f>IF(X1147="En retard",p_today-R1147,IF(AND(X1147="Reçu",ISNUMBER(R1147)),MAX(0,N(U1147)-R1147),""))</f>
        <v/>
      </c>
      <c r="Z1147" s="67" t="str">
        <f>IF(AND(A1147="",E1147=""),"",IF(A1147="","N° de bon manquant",IF(N(B1147)=0,"Date de commande manquante",IF(C1147="","Fournisseur manquant",IF(ISNA(MATCH($C1147,sup_code,0)),"Fournisseur inconnu",IF(E1147="","Article manquant",IF(ISNA(MATCH($E1147,art_ref,0)),"Article inconnu",IF(N(H1147)&lt;=0,"Quantité invalide",IF(J1147="","Prix manquant",IF(OR(N(K1147)&lt;0,N(K1147)&gt;=1),"Remise invalide",IF(M1147="","TVA manquante",IF(ISNA(MATCH(M1147,p_tva,0)),"Taux de TVA inconnu",IF(COUNTIFS(po_num,A1147,po_sup,"&lt;&gt;"&amp;C1147)&gt;0,"Fournisseur différent sur ce bon",IF(COUNTIFS(po_num,A1147,po_date,"&lt;&gt;"&amp;B1147)&gt;0,"Date différente sur ce bon",IF(COUNTIF(po_num,A1147)&gt;25,"Plus de 25 lignes sur ce bon",IF(R1147="","Date de livraison manquante",IF(R1147&lt;B1147,"Livraison avant la commande",IF(AND(N(T1147)&gt;0,N(S1147)=0),"Date d'envoi manquante",IF(N(T1147)&gt;N(H1147),"Reçu plus que commandé",IF(AND(N(T1147)&gt;0,N(U1147)=0),"Date de réception manquante",IF(AND(N(U1147)&gt;0,U1147&lt;B1147),"Réception avant la commande","OK")))))))))))))))))))))</f>
        <v/>
      </c>
      <c r="AA1147" s="66" t="str">
        <f>IF(AND(X1147="Reçu",ISNUMBER(R1147)),IF(N(U1147)&lt;=R1147,1,0),"")</f>
        <v/>
      </c>
      <c r="AB1147" s="76" t="str">
        <f>IF(OR(X1147="Envoyé",X1147="Partiel",X1147="En retard"),IF(ISNUMBER(R1147),R1147,100000)+ROW()/100000,"")</f>
        <v/>
      </c>
      <c r="AC1147" s="66" t="str">
        <f>IF(A1147="","",IF(COUNTIF($A$6:A1147,A1147)=1,1,""))</f>
        <v/>
      </c>
      <c r="AD1147" s="66" t="str">
        <f>IF(AC1147=1,COUNT($AC$6:AC1147),"")</f>
        <v/>
      </c>
      <c r="AE1147" s="66" t="str">
        <f>IFERROR(INDEX(po_num,MATCH(1142,po_seq,0))&amp;"","")</f>
        <v/>
      </c>
      <c r="AF1147" s="66" t="str">
        <f>IF(OR(A1147="",p_po=""),"",IF(A1147&amp;""=p_po,COUNTIF($A$6:A1147,A1147),""))</f>
        <v/>
      </c>
      <c r="AG1147" s="66" t="str">
        <f>IF(OR(AB1147="",A1147=""),"",IF(COUNTIFS($A$6:A1147,A1147,$AB$6:AB1147,"&gt;0")=1,1,""))</f>
        <v/>
      </c>
      <c r="AH1147" s="70" t="str">
        <f>IF(AB1147="","",ROUND(N(W1147)*N(J1147)*(1-N(K1147)),2))</f>
        <v/>
      </c>
      <c r="AI1147" s="70" t="str">
        <f>IF(OR(J1147="",N(T1147)&lt;=0,V1147="Oui"),"",ROUND(N(T1147)*J1147*(1-N(K1147)),2))</f>
        <v/>
      </c>
    </row>
    <row r="1148">
      <c r="A1148" s="63" t="n"/>
      <c r="B1148" s="64" t="n"/>
      <c r="C1148" s="65" t="n"/>
      <c r="D1148" s="66" t="str">
        <f>IF(C1148="","",IFERROR(INDEX(sup_name,MATCH($C1148,sup_code,0))&amp;"","Fournisseur inconnu"))</f>
        <v/>
      </c>
      <c r="E1148" s="63" t="n"/>
      <c r="F1148" s="66" t="str">
        <f>IF(E1148="","",IFERROR(INDEX(art_des,MATCH($E1148,art_ref,0))&amp;"","Article inconnu"))</f>
        <v/>
      </c>
      <c r="G1148" s="67" t="str">
        <f>IF(E1148="","",IFERROR(INDEX(art_unit,MATCH($E1148,art_ref,0))&amp;"",""))</f>
        <v/>
      </c>
      <c r="H1148" s="68" t="n"/>
      <c r="I1148" s="69" t="n"/>
      <c r="J1148" s="70" t="str">
        <f>IF(E1148="","",IF(ISNUMBER(I1148),I1148,IFERROR(IF(ISNUMBER(INDEX(art_price,MATCH($E1148,art_ref,0))),INDEX(art_price,MATCH($E1148,art_ref,0)),""),"")))</f>
        <v/>
      </c>
      <c r="K1148" s="71" t="n"/>
      <c r="L1148" s="72" t="n"/>
      <c r="M1148" s="72" t="str">
        <f>IF(E1148="","",IF(L1148&lt;&gt;"",L1148,IFERROR(IF(ISNUMBER(INDEX(art_tva,MATCH($E1148,art_ref,0))),INDEX(art_tva,MATCH($E1148,art_ref,0)),""),"")))</f>
        <v/>
      </c>
      <c r="N1148" s="70" t="str">
        <f>IF(OR(E1148="",J1148=""),"",ROUND(N(H1148)*J1148*(1-N(K1148)),2))</f>
        <v/>
      </c>
      <c r="O1148" s="70" t="str">
        <f>IF(OR(N1148="",NOT(ISNUMBER(M1148))),"",ROUND(N1148*M1148,2))</f>
        <v/>
      </c>
      <c r="P1148" s="70" t="str">
        <f>IF(N1148="","",N1148+N(O1148))</f>
        <v/>
      </c>
      <c r="Q1148" s="64" t="n"/>
      <c r="R1148" s="73" t="str">
        <f>IF(N(Q1148)&gt;0,Q1148,IF(OR(N(B1148)=0,ISNA(MATCH($C1148,sup_code,0))),"",IF(ISNUMBER(INDEX(sup_delay,MATCH($C1148,sup_code,0))),B1148+INDEX(sup_delay,MATCH($C1148,sup_code,0)),"")))</f>
        <v/>
      </c>
      <c r="S1148" s="64" t="n"/>
      <c r="T1148" s="68" t="n"/>
      <c r="U1148" s="64" t="n"/>
      <c r="V1148" s="65" t="n"/>
      <c r="W1148" s="74" t="str">
        <f>IF(AND(A1148="",E1148=""),"",IF(V1148="Oui",0,MAX(0,ROUND(N(H1148)-N(T1148),6))))</f>
        <v/>
      </c>
      <c r="X1148" s="67" t="str">
        <f>IF(AND(A1148="",E1148=""),"",IF(V1148="Oui","Annulé",IF(AND(N(H1148)&gt;0,N(T1148)&gt;=N(H1148)),"Reçu",IF(N(S1148)=0,"Brouillon",IF(AND(ISNUMBER(R1148),R1148&lt;p_today),"En retard",IF(N(T1148)&gt;0,"Partiel","Envoyé"))))))</f>
        <v/>
      </c>
      <c r="Y1148" s="75" t="str">
        <f>IF(X1148="En retard",p_today-R1148,IF(AND(X1148="Reçu",ISNUMBER(R1148)),MAX(0,N(U1148)-R1148),""))</f>
        <v/>
      </c>
      <c r="Z1148" s="67" t="str">
        <f>IF(AND(A1148="",E1148=""),"",IF(A1148="","N° de bon manquant",IF(N(B1148)=0,"Date de commande manquante",IF(C1148="","Fournisseur manquant",IF(ISNA(MATCH($C1148,sup_code,0)),"Fournisseur inconnu",IF(E1148="","Article manquant",IF(ISNA(MATCH($E1148,art_ref,0)),"Article inconnu",IF(N(H1148)&lt;=0,"Quantité invalide",IF(J1148="","Prix manquant",IF(OR(N(K1148)&lt;0,N(K1148)&gt;=1),"Remise invalide",IF(M1148="","TVA manquante",IF(ISNA(MATCH(M1148,p_tva,0)),"Taux de TVA inconnu",IF(COUNTIFS(po_num,A1148,po_sup,"&lt;&gt;"&amp;C1148)&gt;0,"Fournisseur différent sur ce bon",IF(COUNTIFS(po_num,A1148,po_date,"&lt;&gt;"&amp;B1148)&gt;0,"Date différente sur ce bon",IF(COUNTIF(po_num,A1148)&gt;25,"Plus de 25 lignes sur ce bon",IF(R1148="","Date de livraison manquante",IF(R1148&lt;B1148,"Livraison avant la commande",IF(AND(N(T1148)&gt;0,N(S1148)=0),"Date d'envoi manquante",IF(N(T1148)&gt;N(H1148),"Reçu plus que commandé",IF(AND(N(T1148)&gt;0,N(U1148)=0),"Date de réception manquante",IF(AND(N(U1148)&gt;0,U1148&lt;B1148),"Réception avant la commande","OK")))))))))))))))))))))</f>
        <v/>
      </c>
      <c r="AA1148" s="66" t="str">
        <f>IF(AND(X1148="Reçu",ISNUMBER(R1148)),IF(N(U1148)&lt;=R1148,1,0),"")</f>
        <v/>
      </c>
      <c r="AB1148" s="76" t="str">
        <f>IF(OR(X1148="Envoyé",X1148="Partiel",X1148="En retard"),IF(ISNUMBER(R1148),R1148,100000)+ROW()/100000,"")</f>
        <v/>
      </c>
      <c r="AC1148" s="66" t="str">
        <f>IF(A1148="","",IF(COUNTIF($A$6:A1148,A1148)=1,1,""))</f>
        <v/>
      </c>
      <c r="AD1148" s="66" t="str">
        <f>IF(AC1148=1,COUNT($AC$6:AC1148),"")</f>
        <v/>
      </c>
      <c r="AE1148" s="66" t="str">
        <f>IFERROR(INDEX(po_num,MATCH(1143,po_seq,0))&amp;"","")</f>
        <v/>
      </c>
      <c r="AF1148" s="66" t="str">
        <f>IF(OR(A1148="",p_po=""),"",IF(A1148&amp;""=p_po,COUNTIF($A$6:A1148,A1148),""))</f>
        <v/>
      </c>
      <c r="AG1148" s="66" t="str">
        <f>IF(OR(AB1148="",A1148=""),"",IF(COUNTIFS($A$6:A1148,A1148,$AB$6:AB1148,"&gt;0")=1,1,""))</f>
        <v/>
      </c>
      <c r="AH1148" s="70" t="str">
        <f>IF(AB1148="","",ROUND(N(W1148)*N(J1148)*(1-N(K1148)),2))</f>
        <v/>
      </c>
      <c r="AI1148" s="70" t="str">
        <f>IF(OR(J1148="",N(T1148)&lt;=0,V1148="Oui"),"",ROUND(N(T1148)*J1148*(1-N(K1148)),2))</f>
        <v/>
      </c>
    </row>
    <row r="1149">
      <c r="A1149" s="63" t="n"/>
      <c r="B1149" s="64" t="n"/>
      <c r="C1149" s="65" t="n"/>
      <c r="D1149" s="66" t="str">
        <f>IF(C1149="","",IFERROR(INDEX(sup_name,MATCH($C1149,sup_code,0))&amp;"","Fournisseur inconnu"))</f>
        <v/>
      </c>
      <c r="E1149" s="63" t="n"/>
      <c r="F1149" s="66" t="str">
        <f>IF(E1149="","",IFERROR(INDEX(art_des,MATCH($E1149,art_ref,0))&amp;"","Article inconnu"))</f>
        <v/>
      </c>
      <c r="G1149" s="67" t="str">
        <f>IF(E1149="","",IFERROR(INDEX(art_unit,MATCH($E1149,art_ref,0))&amp;"",""))</f>
        <v/>
      </c>
      <c r="H1149" s="68" t="n"/>
      <c r="I1149" s="69" t="n"/>
      <c r="J1149" s="70" t="str">
        <f>IF(E1149="","",IF(ISNUMBER(I1149),I1149,IFERROR(IF(ISNUMBER(INDEX(art_price,MATCH($E1149,art_ref,0))),INDEX(art_price,MATCH($E1149,art_ref,0)),""),"")))</f>
        <v/>
      </c>
      <c r="K1149" s="71" t="n"/>
      <c r="L1149" s="72" t="n"/>
      <c r="M1149" s="72" t="str">
        <f>IF(E1149="","",IF(L1149&lt;&gt;"",L1149,IFERROR(IF(ISNUMBER(INDEX(art_tva,MATCH($E1149,art_ref,0))),INDEX(art_tva,MATCH($E1149,art_ref,0)),""),"")))</f>
        <v/>
      </c>
      <c r="N1149" s="70" t="str">
        <f>IF(OR(E1149="",J1149=""),"",ROUND(N(H1149)*J1149*(1-N(K1149)),2))</f>
        <v/>
      </c>
      <c r="O1149" s="70" t="str">
        <f>IF(OR(N1149="",NOT(ISNUMBER(M1149))),"",ROUND(N1149*M1149,2))</f>
        <v/>
      </c>
      <c r="P1149" s="70" t="str">
        <f>IF(N1149="","",N1149+N(O1149))</f>
        <v/>
      </c>
      <c r="Q1149" s="64" t="n"/>
      <c r="R1149" s="73" t="str">
        <f>IF(N(Q1149)&gt;0,Q1149,IF(OR(N(B1149)=0,ISNA(MATCH($C1149,sup_code,0))),"",IF(ISNUMBER(INDEX(sup_delay,MATCH($C1149,sup_code,0))),B1149+INDEX(sup_delay,MATCH($C1149,sup_code,0)),"")))</f>
        <v/>
      </c>
      <c r="S1149" s="64" t="n"/>
      <c r="T1149" s="68" t="n"/>
      <c r="U1149" s="64" t="n"/>
      <c r="V1149" s="65" t="n"/>
      <c r="W1149" s="74" t="str">
        <f>IF(AND(A1149="",E1149=""),"",IF(V1149="Oui",0,MAX(0,ROUND(N(H1149)-N(T1149),6))))</f>
        <v/>
      </c>
      <c r="X1149" s="67" t="str">
        <f>IF(AND(A1149="",E1149=""),"",IF(V1149="Oui","Annulé",IF(AND(N(H1149)&gt;0,N(T1149)&gt;=N(H1149)),"Reçu",IF(N(S1149)=0,"Brouillon",IF(AND(ISNUMBER(R1149),R1149&lt;p_today),"En retard",IF(N(T1149)&gt;0,"Partiel","Envoyé"))))))</f>
        <v/>
      </c>
      <c r="Y1149" s="75" t="str">
        <f>IF(X1149="En retard",p_today-R1149,IF(AND(X1149="Reçu",ISNUMBER(R1149)),MAX(0,N(U1149)-R1149),""))</f>
        <v/>
      </c>
      <c r="Z1149" s="67" t="str">
        <f>IF(AND(A1149="",E1149=""),"",IF(A1149="","N° de bon manquant",IF(N(B1149)=0,"Date de commande manquante",IF(C1149="","Fournisseur manquant",IF(ISNA(MATCH($C1149,sup_code,0)),"Fournisseur inconnu",IF(E1149="","Article manquant",IF(ISNA(MATCH($E1149,art_ref,0)),"Article inconnu",IF(N(H1149)&lt;=0,"Quantité invalide",IF(J1149="","Prix manquant",IF(OR(N(K1149)&lt;0,N(K1149)&gt;=1),"Remise invalide",IF(M1149="","TVA manquante",IF(ISNA(MATCH(M1149,p_tva,0)),"Taux de TVA inconnu",IF(COUNTIFS(po_num,A1149,po_sup,"&lt;&gt;"&amp;C1149)&gt;0,"Fournisseur différent sur ce bon",IF(COUNTIFS(po_num,A1149,po_date,"&lt;&gt;"&amp;B1149)&gt;0,"Date différente sur ce bon",IF(COUNTIF(po_num,A1149)&gt;25,"Plus de 25 lignes sur ce bon",IF(R1149="","Date de livraison manquante",IF(R1149&lt;B1149,"Livraison avant la commande",IF(AND(N(T1149)&gt;0,N(S1149)=0),"Date d'envoi manquante",IF(N(T1149)&gt;N(H1149),"Reçu plus que commandé",IF(AND(N(T1149)&gt;0,N(U1149)=0),"Date de réception manquante",IF(AND(N(U1149)&gt;0,U1149&lt;B1149),"Réception avant la commande","OK")))))))))))))))))))))</f>
        <v/>
      </c>
      <c r="AA1149" s="66" t="str">
        <f>IF(AND(X1149="Reçu",ISNUMBER(R1149)),IF(N(U1149)&lt;=R1149,1,0),"")</f>
        <v/>
      </c>
      <c r="AB1149" s="76" t="str">
        <f>IF(OR(X1149="Envoyé",X1149="Partiel",X1149="En retard"),IF(ISNUMBER(R1149),R1149,100000)+ROW()/100000,"")</f>
        <v/>
      </c>
      <c r="AC1149" s="66" t="str">
        <f>IF(A1149="","",IF(COUNTIF($A$6:A1149,A1149)=1,1,""))</f>
        <v/>
      </c>
      <c r="AD1149" s="66" t="str">
        <f>IF(AC1149=1,COUNT($AC$6:AC1149),"")</f>
        <v/>
      </c>
      <c r="AE1149" s="66" t="str">
        <f>IFERROR(INDEX(po_num,MATCH(1144,po_seq,0))&amp;"","")</f>
        <v/>
      </c>
      <c r="AF1149" s="66" t="str">
        <f>IF(OR(A1149="",p_po=""),"",IF(A1149&amp;""=p_po,COUNTIF($A$6:A1149,A1149),""))</f>
        <v/>
      </c>
      <c r="AG1149" s="66" t="str">
        <f>IF(OR(AB1149="",A1149=""),"",IF(COUNTIFS($A$6:A1149,A1149,$AB$6:AB1149,"&gt;0")=1,1,""))</f>
        <v/>
      </c>
      <c r="AH1149" s="70" t="str">
        <f>IF(AB1149="","",ROUND(N(W1149)*N(J1149)*(1-N(K1149)),2))</f>
        <v/>
      </c>
      <c r="AI1149" s="70" t="str">
        <f>IF(OR(J1149="",N(T1149)&lt;=0,V1149="Oui"),"",ROUND(N(T1149)*J1149*(1-N(K1149)),2))</f>
        <v/>
      </c>
    </row>
    <row r="1150">
      <c r="A1150" s="63" t="n"/>
      <c r="B1150" s="64" t="n"/>
      <c r="C1150" s="65" t="n"/>
      <c r="D1150" s="66" t="str">
        <f>IF(C1150="","",IFERROR(INDEX(sup_name,MATCH($C1150,sup_code,0))&amp;"","Fournisseur inconnu"))</f>
        <v/>
      </c>
      <c r="E1150" s="63" t="n"/>
      <c r="F1150" s="66" t="str">
        <f>IF(E1150="","",IFERROR(INDEX(art_des,MATCH($E1150,art_ref,0))&amp;"","Article inconnu"))</f>
        <v/>
      </c>
      <c r="G1150" s="67" t="str">
        <f>IF(E1150="","",IFERROR(INDEX(art_unit,MATCH($E1150,art_ref,0))&amp;"",""))</f>
        <v/>
      </c>
      <c r="H1150" s="68" t="n"/>
      <c r="I1150" s="69" t="n"/>
      <c r="J1150" s="70" t="str">
        <f>IF(E1150="","",IF(ISNUMBER(I1150),I1150,IFERROR(IF(ISNUMBER(INDEX(art_price,MATCH($E1150,art_ref,0))),INDEX(art_price,MATCH($E1150,art_ref,0)),""),"")))</f>
        <v/>
      </c>
      <c r="K1150" s="71" t="n"/>
      <c r="L1150" s="72" t="n"/>
      <c r="M1150" s="72" t="str">
        <f>IF(E1150="","",IF(L1150&lt;&gt;"",L1150,IFERROR(IF(ISNUMBER(INDEX(art_tva,MATCH($E1150,art_ref,0))),INDEX(art_tva,MATCH($E1150,art_ref,0)),""),"")))</f>
        <v/>
      </c>
      <c r="N1150" s="70" t="str">
        <f>IF(OR(E1150="",J1150=""),"",ROUND(N(H1150)*J1150*(1-N(K1150)),2))</f>
        <v/>
      </c>
      <c r="O1150" s="70" t="str">
        <f>IF(OR(N1150="",NOT(ISNUMBER(M1150))),"",ROUND(N1150*M1150,2))</f>
        <v/>
      </c>
      <c r="P1150" s="70" t="str">
        <f>IF(N1150="","",N1150+N(O1150))</f>
        <v/>
      </c>
      <c r="Q1150" s="64" t="n"/>
      <c r="R1150" s="73" t="str">
        <f>IF(N(Q1150)&gt;0,Q1150,IF(OR(N(B1150)=0,ISNA(MATCH($C1150,sup_code,0))),"",IF(ISNUMBER(INDEX(sup_delay,MATCH($C1150,sup_code,0))),B1150+INDEX(sup_delay,MATCH($C1150,sup_code,0)),"")))</f>
        <v/>
      </c>
      <c r="S1150" s="64" t="n"/>
      <c r="T1150" s="68" t="n"/>
      <c r="U1150" s="64" t="n"/>
      <c r="V1150" s="65" t="n"/>
      <c r="W1150" s="74" t="str">
        <f>IF(AND(A1150="",E1150=""),"",IF(V1150="Oui",0,MAX(0,ROUND(N(H1150)-N(T1150),6))))</f>
        <v/>
      </c>
      <c r="X1150" s="67" t="str">
        <f>IF(AND(A1150="",E1150=""),"",IF(V1150="Oui","Annulé",IF(AND(N(H1150)&gt;0,N(T1150)&gt;=N(H1150)),"Reçu",IF(N(S1150)=0,"Brouillon",IF(AND(ISNUMBER(R1150),R1150&lt;p_today),"En retard",IF(N(T1150)&gt;0,"Partiel","Envoyé"))))))</f>
        <v/>
      </c>
      <c r="Y1150" s="75" t="str">
        <f>IF(X1150="En retard",p_today-R1150,IF(AND(X1150="Reçu",ISNUMBER(R1150)),MAX(0,N(U1150)-R1150),""))</f>
        <v/>
      </c>
      <c r="Z1150" s="67" t="str">
        <f>IF(AND(A1150="",E1150=""),"",IF(A1150="","N° de bon manquant",IF(N(B1150)=0,"Date de commande manquante",IF(C1150="","Fournisseur manquant",IF(ISNA(MATCH($C1150,sup_code,0)),"Fournisseur inconnu",IF(E1150="","Article manquant",IF(ISNA(MATCH($E1150,art_ref,0)),"Article inconnu",IF(N(H1150)&lt;=0,"Quantité invalide",IF(J1150="","Prix manquant",IF(OR(N(K1150)&lt;0,N(K1150)&gt;=1),"Remise invalide",IF(M1150="","TVA manquante",IF(ISNA(MATCH(M1150,p_tva,0)),"Taux de TVA inconnu",IF(COUNTIFS(po_num,A1150,po_sup,"&lt;&gt;"&amp;C1150)&gt;0,"Fournisseur différent sur ce bon",IF(COUNTIFS(po_num,A1150,po_date,"&lt;&gt;"&amp;B1150)&gt;0,"Date différente sur ce bon",IF(COUNTIF(po_num,A1150)&gt;25,"Plus de 25 lignes sur ce bon",IF(R1150="","Date de livraison manquante",IF(R1150&lt;B1150,"Livraison avant la commande",IF(AND(N(T1150)&gt;0,N(S1150)=0),"Date d'envoi manquante",IF(N(T1150)&gt;N(H1150),"Reçu plus que commandé",IF(AND(N(T1150)&gt;0,N(U1150)=0),"Date de réception manquante",IF(AND(N(U1150)&gt;0,U1150&lt;B1150),"Réception avant la commande","OK")))))))))))))))))))))</f>
        <v/>
      </c>
      <c r="AA1150" s="66" t="str">
        <f>IF(AND(X1150="Reçu",ISNUMBER(R1150)),IF(N(U1150)&lt;=R1150,1,0),"")</f>
        <v/>
      </c>
      <c r="AB1150" s="76" t="str">
        <f>IF(OR(X1150="Envoyé",X1150="Partiel",X1150="En retard"),IF(ISNUMBER(R1150),R1150,100000)+ROW()/100000,"")</f>
        <v/>
      </c>
      <c r="AC1150" s="66" t="str">
        <f>IF(A1150="","",IF(COUNTIF($A$6:A1150,A1150)=1,1,""))</f>
        <v/>
      </c>
      <c r="AD1150" s="66" t="str">
        <f>IF(AC1150=1,COUNT($AC$6:AC1150),"")</f>
        <v/>
      </c>
      <c r="AE1150" s="66" t="str">
        <f>IFERROR(INDEX(po_num,MATCH(1145,po_seq,0))&amp;"","")</f>
        <v/>
      </c>
      <c r="AF1150" s="66" t="str">
        <f>IF(OR(A1150="",p_po=""),"",IF(A1150&amp;""=p_po,COUNTIF($A$6:A1150,A1150),""))</f>
        <v/>
      </c>
      <c r="AG1150" s="66" t="str">
        <f>IF(OR(AB1150="",A1150=""),"",IF(COUNTIFS($A$6:A1150,A1150,$AB$6:AB1150,"&gt;0")=1,1,""))</f>
        <v/>
      </c>
      <c r="AH1150" s="70" t="str">
        <f>IF(AB1150="","",ROUND(N(W1150)*N(J1150)*(1-N(K1150)),2))</f>
        <v/>
      </c>
      <c r="AI1150" s="70" t="str">
        <f>IF(OR(J1150="",N(T1150)&lt;=0,V1150="Oui"),"",ROUND(N(T1150)*J1150*(1-N(K1150)),2))</f>
        <v/>
      </c>
    </row>
    <row r="1151">
      <c r="A1151" s="63" t="n"/>
      <c r="B1151" s="64" t="n"/>
      <c r="C1151" s="65" t="n"/>
      <c r="D1151" s="66" t="str">
        <f>IF(C1151="","",IFERROR(INDEX(sup_name,MATCH($C1151,sup_code,0))&amp;"","Fournisseur inconnu"))</f>
        <v/>
      </c>
      <c r="E1151" s="63" t="n"/>
      <c r="F1151" s="66" t="str">
        <f>IF(E1151="","",IFERROR(INDEX(art_des,MATCH($E1151,art_ref,0))&amp;"","Article inconnu"))</f>
        <v/>
      </c>
      <c r="G1151" s="67" t="str">
        <f>IF(E1151="","",IFERROR(INDEX(art_unit,MATCH($E1151,art_ref,0))&amp;"",""))</f>
        <v/>
      </c>
      <c r="H1151" s="68" t="n"/>
      <c r="I1151" s="69" t="n"/>
      <c r="J1151" s="70" t="str">
        <f>IF(E1151="","",IF(ISNUMBER(I1151),I1151,IFERROR(IF(ISNUMBER(INDEX(art_price,MATCH($E1151,art_ref,0))),INDEX(art_price,MATCH($E1151,art_ref,0)),""),"")))</f>
        <v/>
      </c>
      <c r="K1151" s="71" t="n"/>
      <c r="L1151" s="72" t="n"/>
      <c r="M1151" s="72" t="str">
        <f>IF(E1151="","",IF(L1151&lt;&gt;"",L1151,IFERROR(IF(ISNUMBER(INDEX(art_tva,MATCH($E1151,art_ref,0))),INDEX(art_tva,MATCH($E1151,art_ref,0)),""),"")))</f>
        <v/>
      </c>
      <c r="N1151" s="70" t="str">
        <f>IF(OR(E1151="",J1151=""),"",ROUND(N(H1151)*J1151*(1-N(K1151)),2))</f>
        <v/>
      </c>
      <c r="O1151" s="70" t="str">
        <f>IF(OR(N1151="",NOT(ISNUMBER(M1151))),"",ROUND(N1151*M1151,2))</f>
        <v/>
      </c>
      <c r="P1151" s="70" t="str">
        <f>IF(N1151="","",N1151+N(O1151))</f>
        <v/>
      </c>
      <c r="Q1151" s="64" t="n"/>
      <c r="R1151" s="73" t="str">
        <f>IF(N(Q1151)&gt;0,Q1151,IF(OR(N(B1151)=0,ISNA(MATCH($C1151,sup_code,0))),"",IF(ISNUMBER(INDEX(sup_delay,MATCH($C1151,sup_code,0))),B1151+INDEX(sup_delay,MATCH($C1151,sup_code,0)),"")))</f>
        <v/>
      </c>
      <c r="S1151" s="64" t="n"/>
      <c r="T1151" s="68" t="n"/>
      <c r="U1151" s="64" t="n"/>
      <c r="V1151" s="65" t="n"/>
      <c r="W1151" s="74" t="str">
        <f>IF(AND(A1151="",E1151=""),"",IF(V1151="Oui",0,MAX(0,ROUND(N(H1151)-N(T1151),6))))</f>
        <v/>
      </c>
      <c r="X1151" s="67" t="str">
        <f>IF(AND(A1151="",E1151=""),"",IF(V1151="Oui","Annulé",IF(AND(N(H1151)&gt;0,N(T1151)&gt;=N(H1151)),"Reçu",IF(N(S1151)=0,"Brouillon",IF(AND(ISNUMBER(R1151),R1151&lt;p_today),"En retard",IF(N(T1151)&gt;0,"Partiel","Envoyé"))))))</f>
        <v/>
      </c>
      <c r="Y1151" s="75" t="str">
        <f>IF(X1151="En retard",p_today-R1151,IF(AND(X1151="Reçu",ISNUMBER(R1151)),MAX(0,N(U1151)-R1151),""))</f>
        <v/>
      </c>
      <c r="Z1151" s="67" t="str">
        <f>IF(AND(A1151="",E1151=""),"",IF(A1151="","N° de bon manquant",IF(N(B1151)=0,"Date de commande manquante",IF(C1151="","Fournisseur manquant",IF(ISNA(MATCH($C1151,sup_code,0)),"Fournisseur inconnu",IF(E1151="","Article manquant",IF(ISNA(MATCH($E1151,art_ref,0)),"Article inconnu",IF(N(H1151)&lt;=0,"Quantité invalide",IF(J1151="","Prix manquant",IF(OR(N(K1151)&lt;0,N(K1151)&gt;=1),"Remise invalide",IF(M1151="","TVA manquante",IF(ISNA(MATCH(M1151,p_tva,0)),"Taux de TVA inconnu",IF(COUNTIFS(po_num,A1151,po_sup,"&lt;&gt;"&amp;C1151)&gt;0,"Fournisseur différent sur ce bon",IF(COUNTIFS(po_num,A1151,po_date,"&lt;&gt;"&amp;B1151)&gt;0,"Date différente sur ce bon",IF(COUNTIF(po_num,A1151)&gt;25,"Plus de 25 lignes sur ce bon",IF(R1151="","Date de livraison manquante",IF(R1151&lt;B1151,"Livraison avant la commande",IF(AND(N(T1151)&gt;0,N(S1151)=0),"Date d'envoi manquante",IF(N(T1151)&gt;N(H1151),"Reçu plus que commandé",IF(AND(N(T1151)&gt;0,N(U1151)=0),"Date de réception manquante",IF(AND(N(U1151)&gt;0,U1151&lt;B1151),"Réception avant la commande","OK")))))))))))))))))))))</f>
        <v/>
      </c>
      <c r="AA1151" s="66" t="str">
        <f>IF(AND(X1151="Reçu",ISNUMBER(R1151)),IF(N(U1151)&lt;=R1151,1,0),"")</f>
        <v/>
      </c>
      <c r="AB1151" s="76" t="str">
        <f>IF(OR(X1151="Envoyé",X1151="Partiel",X1151="En retard"),IF(ISNUMBER(R1151),R1151,100000)+ROW()/100000,"")</f>
        <v/>
      </c>
      <c r="AC1151" s="66" t="str">
        <f>IF(A1151="","",IF(COUNTIF($A$6:A1151,A1151)=1,1,""))</f>
        <v/>
      </c>
      <c r="AD1151" s="66" t="str">
        <f>IF(AC1151=1,COUNT($AC$6:AC1151),"")</f>
        <v/>
      </c>
      <c r="AE1151" s="66" t="str">
        <f>IFERROR(INDEX(po_num,MATCH(1146,po_seq,0))&amp;"","")</f>
        <v/>
      </c>
      <c r="AF1151" s="66" t="str">
        <f>IF(OR(A1151="",p_po=""),"",IF(A1151&amp;""=p_po,COUNTIF($A$6:A1151,A1151),""))</f>
        <v/>
      </c>
      <c r="AG1151" s="66" t="str">
        <f>IF(OR(AB1151="",A1151=""),"",IF(COUNTIFS($A$6:A1151,A1151,$AB$6:AB1151,"&gt;0")=1,1,""))</f>
        <v/>
      </c>
      <c r="AH1151" s="70" t="str">
        <f>IF(AB1151="","",ROUND(N(W1151)*N(J1151)*(1-N(K1151)),2))</f>
        <v/>
      </c>
      <c r="AI1151" s="70" t="str">
        <f>IF(OR(J1151="",N(T1151)&lt;=0,V1151="Oui"),"",ROUND(N(T1151)*J1151*(1-N(K1151)),2))</f>
        <v/>
      </c>
    </row>
    <row r="1152">
      <c r="A1152" s="63" t="n"/>
      <c r="B1152" s="64" t="n"/>
      <c r="C1152" s="65" t="n"/>
      <c r="D1152" s="66" t="str">
        <f>IF(C1152="","",IFERROR(INDEX(sup_name,MATCH($C1152,sup_code,0))&amp;"","Fournisseur inconnu"))</f>
        <v/>
      </c>
      <c r="E1152" s="63" t="n"/>
      <c r="F1152" s="66" t="str">
        <f>IF(E1152="","",IFERROR(INDEX(art_des,MATCH($E1152,art_ref,0))&amp;"","Article inconnu"))</f>
        <v/>
      </c>
      <c r="G1152" s="67" t="str">
        <f>IF(E1152="","",IFERROR(INDEX(art_unit,MATCH($E1152,art_ref,0))&amp;"",""))</f>
        <v/>
      </c>
      <c r="H1152" s="68" t="n"/>
      <c r="I1152" s="69" t="n"/>
      <c r="J1152" s="70" t="str">
        <f>IF(E1152="","",IF(ISNUMBER(I1152),I1152,IFERROR(IF(ISNUMBER(INDEX(art_price,MATCH($E1152,art_ref,0))),INDEX(art_price,MATCH($E1152,art_ref,0)),""),"")))</f>
        <v/>
      </c>
      <c r="K1152" s="71" t="n"/>
      <c r="L1152" s="72" t="n"/>
      <c r="M1152" s="72" t="str">
        <f>IF(E1152="","",IF(L1152&lt;&gt;"",L1152,IFERROR(IF(ISNUMBER(INDEX(art_tva,MATCH($E1152,art_ref,0))),INDEX(art_tva,MATCH($E1152,art_ref,0)),""),"")))</f>
        <v/>
      </c>
      <c r="N1152" s="70" t="str">
        <f>IF(OR(E1152="",J1152=""),"",ROUND(N(H1152)*J1152*(1-N(K1152)),2))</f>
        <v/>
      </c>
      <c r="O1152" s="70" t="str">
        <f>IF(OR(N1152="",NOT(ISNUMBER(M1152))),"",ROUND(N1152*M1152,2))</f>
        <v/>
      </c>
      <c r="P1152" s="70" t="str">
        <f>IF(N1152="","",N1152+N(O1152))</f>
        <v/>
      </c>
      <c r="Q1152" s="64" t="n"/>
      <c r="R1152" s="73" t="str">
        <f>IF(N(Q1152)&gt;0,Q1152,IF(OR(N(B1152)=0,ISNA(MATCH($C1152,sup_code,0))),"",IF(ISNUMBER(INDEX(sup_delay,MATCH($C1152,sup_code,0))),B1152+INDEX(sup_delay,MATCH($C1152,sup_code,0)),"")))</f>
        <v/>
      </c>
      <c r="S1152" s="64" t="n"/>
      <c r="T1152" s="68" t="n"/>
      <c r="U1152" s="64" t="n"/>
      <c r="V1152" s="65" t="n"/>
      <c r="W1152" s="74" t="str">
        <f>IF(AND(A1152="",E1152=""),"",IF(V1152="Oui",0,MAX(0,ROUND(N(H1152)-N(T1152),6))))</f>
        <v/>
      </c>
      <c r="X1152" s="67" t="str">
        <f>IF(AND(A1152="",E1152=""),"",IF(V1152="Oui","Annulé",IF(AND(N(H1152)&gt;0,N(T1152)&gt;=N(H1152)),"Reçu",IF(N(S1152)=0,"Brouillon",IF(AND(ISNUMBER(R1152),R1152&lt;p_today),"En retard",IF(N(T1152)&gt;0,"Partiel","Envoyé"))))))</f>
        <v/>
      </c>
      <c r="Y1152" s="75" t="str">
        <f>IF(X1152="En retard",p_today-R1152,IF(AND(X1152="Reçu",ISNUMBER(R1152)),MAX(0,N(U1152)-R1152),""))</f>
        <v/>
      </c>
      <c r="Z1152" s="67" t="str">
        <f>IF(AND(A1152="",E1152=""),"",IF(A1152="","N° de bon manquant",IF(N(B1152)=0,"Date de commande manquante",IF(C1152="","Fournisseur manquant",IF(ISNA(MATCH($C1152,sup_code,0)),"Fournisseur inconnu",IF(E1152="","Article manquant",IF(ISNA(MATCH($E1152,art_ref,0)),"Article inconnu",IF(N(H1152)&lt;=0,"Quantité invalide",IF(J1152="","Prix manquant",IF(OR(N(K1152)&lt;0,N(K1152)&gt;=1),"Remise invalide",IF(M1152="","TVA manquante",IF(ISNA(MATCH(M1152,p_tva,0)),"Taux de TVA inconnu",IF(COUNTIFS(po_num,A1152,po_sup,"&lt;&gt;"&amp;C1152)&gt;0,"Fournisseur différent sur ce bon",IF(COUNTIFS(po_num,A1152,po_date,"&lt;&gt;"&amp;B1152)&gt;0,"Date différente sur ce bon",IF(COUNTIF(po_num,A1152)&gt;25,"Plus de 25 lignes sur ce bon",IF(R1152="","Date de livraison manquante",IF(R1152&lt;B1152,"Livraison avant la commande",IF(AND(N(T1152)&gt;0,N(S1152)=0),"Date d'envoi manquante",IF(N(T1152)&gt;N(H1152),"Reçu plus que commandé",IF(AND(N(T1152)&gt;0,N(U1152)=0),"Date de réception manquante",IF(AND(N(U1152)&gt;0,U1152&lt;B1152),"Réception avant la commande","OK")))))))))))))))))))))</f>
        <v/>
      </c>
      <c r="AA1152" s="66" t="str">
        <f>IF(AND(X1152="Reçu",ISNUMBER(R1152)),IF(N(U1152)&lt;=R1152,1,0),"")</f>
        <v/>
      </c>
      <c r="AB1152" s="76" t="str">
        <f>IF(OR(X1152="Envoyé",X1152="Partiel",X1152="En retard"),IF(ISNUMBER(R1152),R1152,100000)+ROW()/100000,"")</f>
        <v/>
      </c>
      <c r="AC1152" s="66" t="str">
        <f>IF(A1152="","",IF(COUNTIF($A$6:A1152,A1152)=1,1,""))</f>
        <v/>
      </c>
      <c r="AD1152" s="66" t="str">
        <f>IF(AC1152=1,COUNT($AC$6:AC1152),"")</f>
        <v/>
      </c>
      <c r="AE1152" s="66" t="str">
        <f>IFERROR(INDEX(po_num,MATCH(1147,po_seq,0))&amp;"","")</f>
        <v/>
      </c>
      <c r="AF1152" s="66" t="str">
        <f>IF(OR(A1152="",p_po=""),"",IF(A1152&amp;""=p_po,COUNTIF($A$6:A1152,A1152),""))</f>
        <v/>
      </c>
      <c r="AG1152" s="66" t="str">
        <f>IF(OR(AB1152="",A1152=""),"",IF(COUNTIFS($A$6:A1152,A1152,$AB$6:AB1152,"&gt;0")=1,1,""))</f>
        <v/>
      </c>
      <c r="AH1152" s="70" t="str">
        <f>IF(AB1152="","",ROUND(N(W1152)*N(J1152)*(1-N(K1152)),2))</f>
        <v/>
      </c>
      <c r="AI1152" s="70" t="str">
        <f>IF(OR(J1152="",N(T1152)&lt;=0,V1152="Oui"),"",ROUND(N(T1152)*J1152*(1-N(K1152)),2))</f>
        <v/>
      </c>
    </row>
    <row r="1153">
      <c r="A1153" s="63" t="n"/>
      <c r="B1153" s="64" t="n"/>
      <c r="C1153" s="65" t="n"/>
      <c r="D1153" s="66" t="str">
        <f>IF(C1153="","",IFERROR(INDEX(sup_name,MATCH($C1153,sup_code,0))&amp;"","Fournisseur inconnu"))</f>
        <v/>
      </c>
      <c r="E1153" s="63" t="n"/>
      <c r="F1153" s="66" t="str">
        <f>IF(E1153="","",IFERROR(INDEX(art_des,MATCH($E1153,art_ref,0))&amp;"","Article inconnu"))</f>
        <v/>
      </c>
      <c r="G1153" s="67" t="str">
        <f>IF(E1153="","",IFERROR(INDEX(art_unit,MATCH($E1153,art_ref,0))&amp;"",""))</f>
        <v/>
      </c>
      <c r="H1153" s="68" t="n"/>
      <c r="I1153" s="69" t="n"/>
      <c r="J1153" s="70" t="str">
        <f>IF(E1153="","",IF(ISNUMBER(I1153),I1153,IFERROR(IF(ISNUMBER(INDEX(art_price,MATCH($E1153,art_ref,0))),INDEX(art_price,MATCH($E1153,art_ref,0)),""),"")))</f>
        <v/>
      </c>
      <c r="K1153" s="71" t="n"/>
      <c r="L1153" s="72" t="n"/>
      <c r="M1153" s="72" t="str">
        <f>IF(E1153="","",IF(L1153&lt;&gt;"",L1153,IFERROR(IF(ISNUMBER(INDEX(art_tva,MATCH($E1153,art_ref,0))),INDEX(art_tva,MATCH($E1153,art_ref,0)),""),"")))</f>
        <v/>
      </c>
      <c r="N1153" s="70" t="str">
        <f>IF(OR(E1153="",J1153=""),"",ROUND(N(H1153)*J1153*(1-N(K1153)),2))</f>
        <v/>
      </c>
      <c r="O1153" s="70" t="str">
        <f>IF(OR(N1153="",NOT(ISNUMBER(M1153))),"",ROUND(N1153*M1153,2))</f>
        <v/>
      </c>
      <c r="P1153" s="70" t="str">
        <f>IF(N1153="","",N1153+N(O1153))</f>
        <v/>
      </c>
      <c r="Q1153" s="64" t="n"/>
      <c r="R1153" s="73" t="str">
        <f>IF(N(Q1153)&gt;0,Q1153,IF(OR(N(B1153)=0,ISNA(MATCH($C1153,sup_code,0))),"",IF(ISNUMBER(INDEX(sup_delay,MATCH($C1153,sup_code,0))),B1153+INDEX(sup_delay,MATCH($C1153,sup_code,0)),"")))</f>
        <v/>
      </c>
      <c r="S1153" s="64" t="n"/>
      <c r="T1153" s="68" t="n"/>
      <c r="U1153" s="64" t="n"/>
      <c r="V1153" s="65" t="n"/>
      <c r="W1153" s="74" t="str">
        <f>IF(AND(A1153="",E1153=""),"",IF(V1153="Oui",0,MAX(0,ROUND(N(H1153)-N(T1153),6))))</f>
        <v/>
      </c>
      <c r="X1153" s="67" t="str">
        <f>IF(AND(A1153="",E1153=""),"",IF(V1153="Oui","Annulé",IF(AND(N(H1153)&gt;0,N(T1153)&gt;=N(H1153)),"Reçu",IF(N(S1153)=0,"Brouillon",IF(AND(ISNUMBER(R1153),R1153&lt;p_today),"En retard",IF(N(T1153)&gt;0,"Partiel","Envoyé"))))))</f>
        <v/>
      </c>
      <c r="Y1153" s="75" t="str">
        <f>IF(X1153="En retard",p_today-R1153,IF(AND(X1153="Reçu",ISNUMBER(R1153)),MAX(0,N(U1153)-R1153),""))</f>
        <v/>
      </c>
      <c r="Z1153" s="67" t="str">
        <f>IF(AND(A1153="",E1153=""),"",IF(A1153="","N° de bon manquant",IF(N(B1153)=0,"Date de commande manquante",IF(C1153="","Fournisseur manquant",IF(ISNA(MATCH($C1153,sup_code,0)),"Fournisseur inconnu",IF(E1153="","Article manquant",IF(ISNA(MATCH($E1153,art_ref,0)),"Article inconnu",IF(N(H1153)&lt;=0,"Quantité invalide",IF(J1153="","Prix manquant",IF(OR(N(K1153)&lt;0,N(K1153)&gt;=1),"Remise invalide",IF(M1153="","TVA manquante",IF(ISNA(MATCH(M1153,p_tva,0)),"Taux de TVA inconnu",IF(COUNTIFS(po_num,A1153,po_sup,"&lt;&gt;"&amp;C1153)&gt;0,"Fournisseur différent sur ce bon",IF(COUNTIFS(po_num,A1153,po_date,"&lt;&gt;"&amp;B1153)&gt;0,"Date différente sur ce bon",IF(COUNTIF(po_num,A1153)&gt;25,"Plus de 25 lignes sur ce bon",IF(R1153="","Date de livraison manquante",IF(R1153&lt;B1153,"Livraison avant la commande",IF(AND(N(T1153)&gt;0,N(S1153)=0),"Date d'envoi manquante",IF(N(T1153)&gt;N(H1153),"Reçu plus que commandé",IF(AND(N(T1153)&gt;0,N(U1153)=0),"Date de réception manquante",IF(AND(N(U1153)&gt;0,U1153&lt;B1153),"Réception avant la commande","OK")))))))))))))))))))))</f>
        <v/>
      </c>
      <c r="AA1153" s="66" t="str">
        <f>IF(AND(X1153="Reçu",ISNUMBER(R1153)),IF(N(U1153)&lt;=R1153,1,0),"")</f>
        <v/>
      </c>
      <c r="AB1153" s="76" t="str">
        <f>IF(OR(X1153="Envoyé",X1153="Partiel",X1153="En retard"),IF(ISNUMBER(R1153),R1153,100000)+ROW()/100000,"")</f>
        <v/>
      </c>
      <c r="AC1153" s="66" t="str">
        <f>IF(A1153="","",IF(COUNTIF($A$6:A1153,A1153)=1,1,""))</f>
        <v/>
      </c>
      <c r="AD1153" s="66" t="str">
        <f>IF(AC1153=1,COUNT($AC$6:AC1153),"")</f>
        <v/>
      </c>
      <c r="AE1153" s="66" t="str">
        <f>IFERROR(INDEX(po_num,MATCH(1148,po_seq,0))&amp;"","")</f>
        <v/>
      </c>
      <c r="AF1153" s="66" t="str">
        <f>IF(OR(A1153="",p_po=""),"",IF(A1153&amp;""=p_po,COUNTIF($A$6:A1153,A1153),""))</f>
        <v/>
      </c>
      <c r="AG1153" s="66" t="str">
        <f>IF(OR(AB1153="",A1153=""),"",IF(COUNTIFS($A$6:A1153,A1153,$AB$6:AB1153,"&gt;0")=1,1,""))</f>
        <v/>
      </c>
      <c r="AH1153" s="70" t="str">
        <f>IF(AB1153="","",ROUND(N(W1153)*N(J1153)*(1-N(K1153)),2))</f>
        <v/>
      </c>
      <c r="AI1153" s="70" t="str">
        <f>IF(OR(J1153="",N(T1153)&lt;=0,V1153="Oui"),"",ROUND(N(T1153)*J1153*(1-N(K1153)),2))</f>
        <v/>
      </c>
    </row>
    <row r="1154">
      <c r="A1154" s="63" t="n"/>
      <c r="B1154" s="64" t="n"/>
      <c r="C1154" s="65" t="n"/>
      <c r="D1154" s="66" t="str">
        <f>IF(C1154="","",IFERROR(INDEX(sup_name,MATCH($C1154,sup_code,0))&amp;"","Fournisseur inconnu"))</f>
        <v/>
      </c>
      <c r="E1154" s="63" t="n"/>
      <c r="F1154" s="66" t="str">
        <f>IF(E1154="","",IFERROR(INDEX(art_des,MATCH($E1154,art_ref,0))&amp;"","Article inconnu"))</f>
        <v/>
      </c>
      <c r="G1154" s="67" t="str">
        <f>IF(E1154="","",IFERROR(INDEX(art_unit,MATCH($E1154,art_ref,0))&amp;"",""))</f>
        <v/>
      </c>
      <c r="H1154" s="68" t="n"/>
      <c r="I1154" s="69" t="n"/>
      <c r="J1154" s="70" t="str">
        <f>IF(E1154="","",IF(ISNUMBER(I1154),I1154,IFERROR(IF(ISNUMBER(INDEX(art_price,MATCH($E1154,art_ref,0))),INDEX(art_price,MATCH($E1154,art_ref,0)),""),"")))</f>
        <v/>
      </c>
      <c r="K1154" s="71" t="n"/>
      <c r="L1154" s="72" t="n"/>
      <c r="M1154" s="72" t="str">
        <f>IF(E1154="","",IF(L1154&lt;&gt;"",L1154,IFERROR(IF(ISNUMBER(INDEX(art_tva,MATCH($E1154,art_ref,0))),INDEX(art_tva,MATCH($E1154,art_ref,0)),""),"")))</f>
        <v/>
      </c>
      <c r="N1154" s="70" t="str">
        <f>IF(OR(E1154="",J1154=""),"",ROUND(N(H1154)*J1154*(1-N(K1154)),2))</f>
        <v/>
      </c>
      <c r="O1154" s="70" t="str">
        <f>IF(OR(N1154="",NOT(ISNUMBER(M1154))),"",ROUND(N1154*M1154,2))</f>
        <v/>
      </c>
      <c r="P1154" s="70" t="str">
        <f>IF(N1154="","",N1154+N(O1154))</f>
        <v/>
      </c>
      <c r="Q1154" s="64" t="n"/>
      <c r="R1154" s="73" t="str">
        <f>IF(N(Q1154)&gt;0,Q1154,IF(OR(N(B1154)=0,ISNA(MATCH($C1154,sup_code,0))),"",IF(ISNUMBER(INDEX(sup_delay,MATCH($C1154,sup_code,0))),B1154+INDEX(sup_delay,MATCH($C1154,sup_code,0)),"")))</f>
        <v/>
      </c>
      <c r="S1154" s="64" t="n"/>
      <c r="T1154" s="68" t="n"/>
      <c r="U1154" s="64" t="n"/>
      <c r="V1154" s="65" t="n"/>
      <c r="W1154" s="74" t="str">
        <f>IF(AND(A1154="",E1154=""),"",IF(V1154="Oui",0,MAX(0,ROUND(N(H1154)-N(T1154),6))))</f>
        <v/>
      </c>
      <c r="X1154" s="67" t="str">
        <f>IF(AND(A1154="",E1154=""),"",IF(V1154="Oui","Annulé",IF(AND(N(H1154)&gt;0,N(T1154)&gt;=N(H1154)),"Reçu",IF(N(S1154)=0,"Brouillon",IF(AND(ISNUMBER(R1154),R1154&lt;p_today),"En retard",IF(N(T1154)&gt;0,"Partiel","Envoyé"))))))</f>
        <v/>
      </c>
      <c r="Y1154" s="75" t="str">
        <f>IF(X1154="En retard",p_today-R1154,IF(AND(X1154="Reçu",ISNUMBER(R1154)),MAX(0,N(U1154)-R1154),""))</f>
        <v/>
      </c>
      <c r="Z1154" s="67" t="str">
        <f>IF(AND(A1154="",E1154=""),"",IF(A1154="","N° de bon manquant",IF(N(B1154)=0,"Date de commande manquante",IF(C1154="","Fournisseur manquant",IF(ISNA(MATCH($C1154,sup_code,0)),"Fournisseur inconnu",IF(E1154="","Article manquant",IF(ISNA(MATCH($E1154,art_ref,0)),"Article inconnu",IF(N(H1154)&lt;=0,"Quantité invalide",IF(J1154="","Prix manquant",IF(OR(N(K1154)&lt;0,N(K1154)&gt;=1),"Remise invalide",IF(M1154="","TVA manquante",IF(ISNA(MATCH(M1154,p_tva,0)),"Taux de TVA inconnu",IF(COUNTIFS(po_num,A1154,po_sup,"&lt;&gt;"&amp;C1154)&gt;0,"Fournisseur différent sur ce bon",IF(COUNTIFS(po_num,A1154,po_date,"&lt;&gt;"&amp;B1154)&gt;0,"Date différente sur ce bon",IF(COUNTIF(po_num,A1154)&gt;25,"Plus de 25 lignes sur ce bon",IF(R1154="","Date de livraison manquante",IF(R1154&lt;B1154,"Livraison avant la commande",IF(AND(N(T1154)&gt;0,N(S1154)=0),"Date d'envoi manquante",IF(N(T1154)&gt;N(H1154),"Reçu plus que commandé",IF(AND(N(T1154)&gt;0,N(U1154)=0),"Date de réception manquante",IF(AND(N(U1154)&gt;0,U1154&lt;B1154),"Réception avant la commande","OK")))))))))))))))))))))</f>
        <v/>
      </c>
      <c r="AA1154" s="66" t="str">
        <f>IF(AND(X1154="Reçu",ISNUMBER(R1154)),IF(N(U1154)&lt;=R1154,1,0),"")</f>
        <v/>
      </c>
      <c r="AB1154" s="76" t="str">
        <f>IF(OR(X1154="Envoyé",X1154="Partiel",X1154="En retard"),IF(ISNUMBER(R1154),R1154,100000)+ROW()/100000,"")</f>
        <v/>
      </c>
      <c r="AC1154" s="66" t="str">
        <f>IF(A1154="","",IF(COUNTIF($A$6:A1154,A1154)=1,1,""))</f>
        <v/>
      </c>
      <c r="AD1154" s="66" t="str">
        <f>IF(AC1154=1,COUNT($AC$6:AC1154),"")</f>
        <v/>
      </c>
      <c r="AE1154" s="66" t="str">
        <f>IFERROR(INDEX(po_num,MATCH(1149,po_seq,0))&amp;"","")</f>
        <v/>
      </c>
      <c r="AF1154" s="66" t="str">
        <f>IF(OR(A1154="",p_po=""),"",IF(A1154&amp;""=p_po,COUNTIF($A$6:A1154,A1154),""))</f>
        <v/>
      </c>
      <c r="AG1154" s="66" t="str">
        <f>IF(OR(AB1154="",A1154=""),"",IF(COUNTIFS($A$6:A1154,A1154,$AB$6:AB1154,"&gt;0")=1,1,""))</f>
        <v/>
      </c>
      <c r="AH1154" s="70" t="str">
        <f>IF(AB1154="","",ROUND(N(W1154)*N(J1154)*(1-N(K1154)),2))</f>
        <v/>
      </c>
      <c r="AI1154" s="70" t="str">
        <f>IF(OR(J1154="",N(T1154)&lt;=0,V1154="Oui"),"",ROUND(N(T1154)*J1154*(1-N(K1154)),2))</f>
        <v/>
      </c>
    </row>
    <row r="1155">
      <c r="A1155" s="63" t="n"/>
      <c r="B1155" s="64" t="n"/>
      <c r="C1155" s="65" t="n"/>
      <c r="D1155" s="66" t="str">
        <f>IF(C1155="","",IFERROR(INDEX(sup_name,MATCH($C1155,sup_code,0))&amp;"","Fournisseur inconnu"))</f>
        <v/>
      </c>
      <c r="E1155" s="63" t="n"/>
      <c r="F1155" s="66" t="str">
        <f>IF(E1155="","",IFERROR(INDEX(art_des,MATCH($E1155,art_ref,0))&amp;"","Article inconnu"))</f>
        <v/>
      </c>
      <c r="G1155" s="67" t="str">
        <f>IF(E1155="","",IFERROR(INDEX(art_unit,MATCH($E1155,art_ref,0))&amp;"",""))</f>
        <v/>
      </c>
      <c r="H1155" s="68" t="n"/>
      <c r="I1155" s="69" t="n"/>
      <c r="J1155" s="70" t="str">
        <f>IF(E1155="","",IF(ISNUMBER(I1155),I1155,IFERROR(IF(ISNUMBER(INDEX(art_price,MATCH($E1155,art_ref,0))),INDEX(art_price,MATCH($E1155,art_ref,0)),""),"")))</f>
        <v/>
      </c>
      <c r="K1155" s="71" t="n"/>
      <c r="L1155" s="72" t="n"/>
      <c r="M1155" s="72" t="str">
        <f>IF(E1155="","",IF(L1155&lt;&gt;"",L1155,IFERROR(IF(ISNUMBER(INDEX(art_tva,MATCH($E1155,art_ref,0))),INDEX(art_tva,MATCH($E1155,art_ref,0)),""),"")))</f>
        <v/>
      </c>
      <c r="N1155" s="70" t="str">
        <f>IF(OR(E1155="",J1155=""),"",ROUND(N(H1155)*J1155*(1-N(K1155)),2))</f>
        <v/>
      </c>
      <c r="O1155" s="70" t="str">
        <f>IF(OR(N1155="",NOT(ISNUMBER(M1155))),"",ROUND(N1155*M1155,2))</f>
        <v/>
      </c>
      <c r="P1155" s="70" t="str">
        <f>IF(N1155="","",N1155+N(O1155))</f>
        <v/>
      </c>
      <c r="Q1155" s="64" t="n"/>
      <c r="R1155" s="73" t="str">
        <f>IF(N(Q1155)&gt;0,Q1155,IF(OR(N(B1155)=0,ISNA(MATCH($C1155,sup_code,0))),"",IF(ISNUMBER(INDEX(sup_delay,MATCH($C1155,sup_code,0))),B1155+INDEX(sup_delay,MATCH($C1155,sup_code,0)),"")))</f>
        <v/>
      </c>
      <c r="S1155" s="64" t="n"/>
      <c r="T1155" s="68" t="n"/>
      <c r="U1155" s="64" t="n"/>
      <c r="V1155" s="65" t="n"/>
      <c r="W1155" s="74" t="str">
        <f>IF(AND(A1155="",E1155=""),"",IF(V1155="Oui",0,MAX(0,ROUND(N(H1155)-N(T1155),6))))</f>
        <v/>
      </c>
      <c r="X1155" s="67" t="str">
        <f>IF(AND(A1155="",E1155=""),"",IF(V1155="Oui","Annulé",IF(AND(N(H1155)&gt;0,N(T1155)&gt;=N(H1155)),"Reçu",IF(N(S1155)=0,"Brouillon",IF(AND(ISNUMBER(R1155),R1155&lt;p_today),"En retard",IF(N(T1155)&gt;0,"Partiel","Envoyé"))))))</f>
        <v/>
      </c>
      <c r="Y1155" s="75" t="str">
        <f>IF(X1155="En retard",p_today-R1155,IF(AND(X1155="Reçu",ISNUMBER(R1155)),MAX(0,N(U1155)-R1155),""))</f>
        <v/>
      </c>
      <c r="Z1155" s="67" t="str">
        <f>IF(AND(A1155="",E1155=""),"",IF(A1155="","N° de bon manquant",IF(N(B1155)=0,"Date de commande manquante",IF(C1155="","Fournisseur manquant",IF(ISNA(MATCH($C1155,sup_code,0)),"Fournisseur inconnu",IF(E1155="","Article manquant",IF(ISNA(MATCH($E1155,art_ref,0)),"Article inconnu",IF(N(H1155)&lt;=0,"Quantité invalide",IF(J1155="","Prix manquant",IF(OR(N(K1155)&lt;0,N(K1155)&gt;=1),"Remise invalide",IF(M1155="","TVA manquante",IF(ISNA(MATCH(M1155,p_tva,0)),"Taux de TVA inconnu",IF(COUNTIFS(po_num,A1155,po_sup,"&lt;&gt;"&amp;C1155)&gt;0,"Fournisseur différent sur ce bon",IF(COUNTIFS(po_num,A1155,po_date,"&lt;&gt;"&amp;B1155)&gt;0,"Date différente sur ce bon",IF(COUNTIF(po_num,A1155)&gt;25,"Plus de 25 lignes sur ce bon",IF(R1155="","Date de livraison manquante",IF(R1155&lt;B1155,"Livraison avant la commande",IF(AND(N(T1155)&gt;0,N(S1155)=0),"Date d'envoi manquante",IF(N(T1155)&gt;N(H1155),"Reçu plus que commandé",IF(AND(N(T1155)&gt;0,N(U1155)=0),"Date de réception manquante",IF(AND(N(U1155)&gt;0,U1155&lt;B1155),"Réception avant la commande","OK")))))))))))))))))))))</f>
        <v/>
      </c>
      <c r="AA1155" s="66" t="str">
        <f>IF(AND(X1155="Reçu",ISNUMBER(R1155)),IF(N(U1155)&lt;=R1155,1,0),"")</f>
        <v/>
      </c>
      <c r="AB1155" s="76" t="str">
        <f>IF(OR(X1155="Envoyé",X1155="Partiel",X1155="En retard"),IF(ISNUMBER(R1155),R1155,100000)+ROW()/100000,"")</f>
        <v/>
      </c>
      <c r="AC1155" s="66" t="str">
        <f>IF(A1155="","",IF(COUNTIF($A$6:A1155,A1155)=1,1,""))</f>
        <v/>
      </c>
      <c r="AD1155" s="66" t="str">
        <f>IF(AC1155=1,COUNT($AC$6:AC1155),"")</f>
        <v/>
      </c>
      <c r="AE1155" s="66" t="str">
        <f>IFERROR(INDEX(po_num,MATCH(1150,po_seq,0))&amp;"","")</f>
        <v/>
      </c>
      <c r="AF1155" s="66" t="str">
        <f>IF(OR(A1155="",p_po=""),"",IF(A1155&amp;""=p_po,COUNTIF($A$6:A1155,A1155),""))</f>
        <v/>
      </c>
      <c r="AG1155" s="66" t="str">
        <f>IF(OR(AB1155="",A1155=""),"",IF(COUNTIFS($A$6:A1155,A1155,$AB$6:AB1155,"&gt;0")=1,1,""))</f>
        <v/>
      </c>
      <c r="AH1155" s="70" t="str">
        <f>IF(AB1155="","",ROUND(N(W1155)*N(J1155)*(1-N(K1155)),2))</f>
        <v/>
      </c>
      <c r="AI1155" s="70" t="str">
        <f>IF(OR(J1155="",N(T1155)&lt;=0,V1155="Oui"),"",ROUND(N(T1155)*J1155*(1-N(K1155)),2))</f>
        <v/>
      </c>
    </row>
    <row r="1156">
      <c r="A1156" s="63" t="n"/>
      <c r="B1156" s="64" t="n"/>
      <c r="C1156" s="65" t="n"/>
      <c r="D1156" s="66" t="str">
        <f>IF(C1156="","",IFERROR(INDEX(sup_name,MATCH($C1156,sup_code,0))&amp;"","Fournisseur inconnu"))</f>
        <v/>
      </c>
      <c r="E1156" s="63" t="n"/>
      <c r="F1156" s="66" t="str">
        <f>IF(E1156="","",IFERROR(INDEX(art_des,MATCH($E1156,art_ref,0))&amp;"","Article inconnu"))</f>
        <v/>
      </c>
      <c r="G1156" s="67" t="str">
        <f>IF(E1156="","",IFERROR(INDEX(art_unit,MATCH($E1156,art_ref,0))&amp;"",""))</f>
        <v/>
      </c>
      <c r="H1156" s="68" t="n"/>
      <c r="I1156" s="69" t="n"/>
      <c r="J1156" s="70" t="str">
        <f>IF(E1156="","",IF(ISNUMBER(I1156),I1156,IFERROR(IF(ISNUMBER(INDEX(art_price,MATCH($E1156,art_ref,0))),INDEX(art_price,MATCH($E1156,art_ref,0)),""),"")))</f>
        <v/>
      </c>
      <c r="K1156" s="71" t="n"/>
      <c r="L1156" s="72" t="n"/>
      <c r="M1156" s="72" t="str">
        <f>IF(E1156="","",IF(L1156&lt;&gt;"",L1156,IFERROR(IF(ISNUMBER(INDEX(art_tva,MATCH($E1156,art_ref,0))),INDEX(art_tva,MATCH($E1156,art_ref,0)),""),"")))</f>
        <v/>
      </c>
      <c r="N1156" s="70" t="str">
        <f>IF(OR(E1156="",J1156=""),"",ROUND(N(H1156)*J1156*(1-N(K1156)),2))</f>
        <v/>
      </c>
      <c r="O1156" s="70" t="str">
        <f>IF(OR(N1156="",NOT(ISNUMBER(M1156))),"",ROUND(N1156*M1156,2))</f>
        <v/>
      </c>
      <c r="P1156" s="70" t="str">
        <f>IF(N1156="","",N1156+N(O1156))</f>
        <v/>
      </c>
      <c r="Q1156" s="64" t="n"/>
      <c r="R1156" s="73" t="str">
        <f>IF(N(Q1156)&gt;0,Q1156,IF(OR(N(B1156)=0,ISNA(MATCH($C1156,sup_code,0))),"",IF(ISNUMBER(INDEX(sup_delay,MATCH($C1156,sup_code,0))),B1156+INDEX(sup_delay,MATCH($C1156,sup_code,0)),"")))</f>
        <v/>
      </c>
      <c r="S1156" s="64" t="n"/>
      <c r="T1156" s="68" t="n"/>
      <c r="U1156" s="64" t="n"/>
      <c r="V1156" s="65" t="n"/>
      <c r="W1156" s="74" t="str">
        <f>IF(AND(A1156="",E1156=""),"",IF(V1156="Oui",0,MAX(0,ROUND(N(H1156)-N(T1156),6))))</f>
        <v/>
      </c>
      <c r="X1156" s="67" t="str">
        <f>IF(AND(A1156="",E1156=""),"",IF(V1156="Oui","Annulé",IF(AND(N(H1156)&gt;0,N(T1156)&gt;=N(H1156)),"Reçu",IF(N(S1156)=0,"Brouillon",IF(AND(ISNUMBER(R1156),R1156&lt;p_today),"En retard",IF(N(T1156)&gt;0,"Partiel","Envoyé"))))))</f>
        <v/>
      </c>
      <c r="Y1156" s="75" t="str">
        <f>IF(X1156="En retard",p_today-R1156,IF(AND(X1156="Reçu",ISNUMBER(R1156)),MAX(0,N(U1156)-R1156),""))</f>
        <v/>
      </c>
      <c r="Z1156" s="67" t="str">
        <f>IF(AND(A1156="",E1156=""),"",IF(A1156="","N° de bon manquant",IF(N(B1156)=0,"Date de commande manquante",IF(C1156="","Fournisseur manquant",IF(ISNA(MATCH($C1156,sup_code,0)),"Fournisseur inconnu",IF(E1156="","Article manquant",IF(ISNA(MATCH($E1156,art_ref,0)),"Article inconnu",IF(N(H1156)&lt;=0,"Quantité invalide",IF(J1156="","Prix manquant",IF(OR(N(K1156)&lt;0,N(K1156)&gt;=1),"Remise invalide",IF(M1156="","TVA manquante",IF(ISNA(MATCH(M1156,p_tva,0)),"Taux de TVA inconnu",IF(COUNTIFS(po_num,A1156,po_sup,"&lt;&gt;"&amp;C1156)&gt;0,"Fournisseur différent sur ce bon",IF(COUNTIFS(po_num,A1156,po_date,"&lt;&gt;"&amp;B1156)&gt;0,"Date différente sur ce bon",IF(COUNTIF(po_num,A1156)&gt;25,"Plus de 25 lignes sur ce bon",IF(R1156="","Date de livraison manquante",IF(R1156&lt;B1156,"Livraison avant la commande",IF(AND(N(T1156)&gt;0,N(S1156)=0),"Date d'envoi manquante",IF(N(T1156)&gt;N(H1156),"Reçu plus que commandé",IF(AND(N(T1156)&gt;0,N(U1156)=0),"Date de réception manquante",IF(AND(N(U1156)&gt;0,U1156&lt;B1156),"Réception avant la commande","OK")))))))))))))))))))))</f>
        <v/>
      </c>
      <c r="AA1156" s="66" t="str">
        <f>IF(AND(X1156="Reçu",ISNUMBER(R1156)),IF(N(U1156)&lt;=R1156,1,0),"")</f>
        <v/>
      </c>
      <c r="AB1156" s="76" t="str">
        <f>IF(OR(X1156="Envoyé",X1156="Partiel",X1156="En retard"),IF(ISNUMBER(R1156),R1156,100000)+ROW()/100000,"")</f>
        <v/>
      </c>
      <c r="AC1156" s="66" t="str">
        <f>IF(A1156="","",IF(COUNTIF($A$6:A1156,A1156)=1,1,""))</f>
        <v/>
      </c>
      <c r="AD1156" s="66" t="str">
        <f>IF(AC1156=1,COUNT($AC$6:AC1156),"")</f>
        <v/>
      </c>
      <c r="AE1156" s="66" t="str">
        <f>IFERROR(INDEX(po_num,MATCH(1151,po_seq,0))&amp;"","")</f>
        <v/>
      </c>
      <c r="AF1156" s="66" t="str">
        <f>IF(OR(A1156="",p_po=""),"",IF(A1156&amp;""=p_po,COUNTIF($A$6:A1156,A1156),""))</f>
        <v/>
      </c>
      <c r="AG1156" s="66" t="str">
        <f>IF(OR(AB1156="",A1156=""),"",IF(COUNTIFS($A$6:A1156,A1156,$AB$6:AB1156,"&gt;0")=1,1,""))</f>
        <v/>
      </c>
      <c r="AH1156" s="70" t="str">
        <f>IF(AB1156="","",ROUND(N(W1156)*N(J1156)*(1-N(K1156)),2))</f>
        <v/>
      </c>
      <c r="AI1156" s="70" t="str">
        <f>IF(OR(J1156="",N(T1156)&lt;=0,V1156="Oui"),"",ROUND(N(T1156)*J1156*(1-N(K1156)),2))</f>
        <v/>
      </c>
    </row>
    <row r="1157">
      <c r="A1157" s="63" t="n"/>
      <c r="B1157" s="64" t="n"/>
      <c r="C1157" s="65" t="n"/>
      <c r="D1157" s="66" t="str">
        <f>IF(C1157="","",IFERROR(INDEX(sup_name,MATCH($C1157,sup_code,0))&amp;"","Fournisseur inconnu"))</f>
        <v/>
      </c>
      <c r="E1157" s="63" t="n"/>
      <c r="F1157" s="66" t="str">
        <f>IF(E1157="","",IFERROR(INDEX(art_des,MATCH($E1157,art_ref,0))&amp;"","Article inconnu"))</f>
        <v/>
      </c>
      <c r="G1157" s="67" t="str">
        <f>IF(E1157="","",IFERROR(INDEX(art_unit,MATCH($E1157,art_ref,0))&amp;"",""))</f>
        <v/>
      </c>
      <c r="H1157" s="68" t="n"/>
      <c r="I1157" s="69" t="n"/>
      <c r="J1157" s="70" t="str">
        <f>IF(E1157="","",IF(ISNUMBER(I1157),I1157,IFERROR(IF(ISNUMBER(INDEX(art_price,MATCH($E1157,art_ref,0))),INDEX(art_price,MATCH($E1157,art_ref,0)),""),"")))</f>
        <v/>
      </c>
      <c r="K1157" s="71" t="n"/>
      <c r="L1157" s="72" t="n"/>
      <c r="M1157" s="72" t="str">
        <f>IF(E1157="","",IF(L1157&lt;&gt;"",L1157,IFERROR(IF(ISNUMBER(INDEX(art_tva,MATCH($E1157,art_ref,0))),INDEX(art_tva,MATCH($E1157,art_ref,0)),""),"")))</f>
        <v/>
      </c>
      <c r="N1157" s="70" t="str">
        <f>IF(OR(E1157="",J1157=""),"",ROUND(N(H1157)*J1157*(1-N(K1157)),2))</f>
        <v/>
      </c>
      <c r="O1157" s="70" t="str">
        <f>IF(OR(N1157="",NOT(ISNUMBER(M1157))),"",ROUND(N1157*M1157,2))</f>
        <v/>
      </c>
      <c r="P1157" s="70" t="str">
        <f>IF(N1157="","",N1157+N(O1157))</f>
        <v/>
      </c>
      <c r="Q1157" s="64" t="n"/>
      <c r="R1157" s="73" t="str">
        <f>IF(N(Q1157)&gt;0,Q1157,IF(OR(N(B1157)=0,ISNA(MATCH($C1157,sup_code,0))),"",IF(ISNUMBER(INDEX(sup_delay,MATCH($C1157,sup_code,0))),B1157+INDEX(sup_delay,MATCH($C1157,sup_code,0)),"")))</f>
        <v/>
      </c>
      <c r="S1157" s="64" t="n"/>
      <c r="T1157" s="68" t="n"/>
      <c r="U1157" s="64" t="n"/>
      <c r="V1157" s="65" t="n"/>
      <c r="W1157" s="74" t="str">
        <f>IF(AND(A1157="",E1157=""),"",IF(V1157="Oui",0,MAX(0,ROUND(N(H1157)-N(T1157),6))))</f>
        <v/>
      </c>
      <c r="X1157" s="67" t="str">
        <f>IF(AND(A1157="",E1157=""),"",IF(V1157="Oui","Annulé",IF(AND(N(H1157)&gt;0,N(T1157)&gt;=N(H1157)),"Reçu",IF(N(S1157)=0,"Brouillon",IF(AND(ISNUMBER(R1157),R1157&lt;p_today),"En retard",IF(N(T1157)&gt;0,"Partiel","Envoyé"))))))</f>
        <v/>
      </c>
      <c r="Y1157" s="75" t="str">
        <f>IF(X1157="En retard",p_today-R1157,IF(AND(X1157="Reçu",ISNUMBER(R1157)),MAX(0,N(U1157)-R1157),""))</f>
        <v/>
      </c>
      <c r="Z1157" s="67" t="str">
        <f>IF(AND(A1157="",E1157=""),"",IF(A1157="","N° de bon manquant",IF(N(B1157)=0,"Date de commande manquante",IF(C1157="","Fournisseur manquant",IF(ISNA(MATCH($C1157,sup_code,0)),"Fournisseur inconnu",IF(E1157="","Article manquant",IF(ISNA(MATCH($E1157,art_ref,0)),"Article inconnu",IF(N(H1157)&lt;=0,"Quantité invalide",IF(J1157="","Prix manquant",IF(OR(N(K1157)&lt;0,N(K1157)&gt;=1),"Remise invalide",IF(M1157="","TVA manquante",IF(ISNA(MATCH(M1157,p_tva,0)),"Taux de TVA inconnu",IF(COUNTIFS(po_num,A1157,po_sup,"&lt;&gt;"&amp;C1157)&gt;0,"Fournisseur différent sur ce bon",IF(COUNTIFS(po_num,A1157,po_date,"&lt;&gt;"&amp;B1157)&gt;0,"Date différente sur ce bon",IF(COUNTIF(po_num,A1157)&gt;25,"Plus de 25 lignes sur ce bon",IF(R1157="","Date de livraison manquante",IF(R1157&lt;B1157,"Livraison avant la commande",IF(AND(N(T1157)&gt;0,N(S1157)=0),"Date d'envoi manquante",IF(N(T1157)&gt;N(H1157),"Reçu plus que commandé",IF(AND(N(T1157)&gt;0,N(U1157)=0),"Date de réception manquante",IF(AND(N(U1157)&gt;0,U1157&lt;B1157),"Réception avant la commande","OK")))))))))))))))))))))</f>
        <v/>
      </c>
      <c r="AA1157" s="66" t="str">
        <f>IF(AND(X1157="Reçu",ISNUMBER(R1157)),IF(N(U1157)&lt;=R1157,1,0),"")</f>
        <v/>
      </c>
      <c r="AB1157" s="76" t="str">
        <f>IF(OR(X1157="Envoyé",X1157="Partiel",X1157="En retard"),IF(ISNUMBER(R1157),R1157,100000)+ROW()/100000,"")</f>
        <v/>
      </c>
      <c r="AC1157" s="66" t="str">
        <f>IF(A1157="","",IF(COUNTIF($A$6:A1157,A1157)=1,1,""))</f>
        <v/>
      </c>
      <c r="AD1157" s="66" t="str">
        <f>IF(AC1157=1,COUNT($AC$6:AC1157),"")</f>
        <v/>
      </c>
      <c r="AE1157" s="66" t="str">
        <f>IFERROR(INDEX(po_num,MATCH(1152,po_seq,0))&amp;"","")</f>
        <v/>
      </c>
      <c r="AF1157" s="66" t="str">
        <f>IF(OR(A1157="",p_po=""),"",IF(A1157&amp;""=p_po,COUNTIF($A$6:A1157,A1157),""))</f>
        <v/>
      </c>
      <c r="AG1157" s="66" t="str">
        <f>IF(OR(AB1157="",A1157=""),"",IF(COUNTIFS($A$6:A1157,A1157,$AB$6:AB1157,"&gt;0")=1,1,""))</f>
        <v/>
      </c>
      <c r="AH1157" s="70" t="str">
        <f>IF(AB1157="","",ROUND(N(W1157)*N(J1157)*(1-N(K1157)),2))</f>
        <v/>
      </c>
      <c r="AI1157" s="70" t="str">
        <f>IF(OR(J1157="",N(T1157)&lt;=0,V1157="Oui"),"",ROUND(N(T1157)*J1157*(1-N(K1157)),2))</f>
        <v/>
      </c>
    </row>
    <row r="1158">
      <c r="A1158" s="63" t="n"/>
      <c r="B1158" s="64" t="n"/>
      <c r="C1158" s="65" t="n"/>
      <c r="D1158" s="66" t="str">
        <f>IF(C1158="","",IFERROR(INDEX(sup_name,MATCH($C1158,sup_code,0))&amp;"","Fournisseur inconnu"))</f>
        <v/>
      </c>
      <c r="E1158" s="63" t="n"/>
      <c r="F1158" s="66" t="str">
        <f>IF(E1158="","",IFERROR(INDEX(art_des,MATCH($E1158,art_ref,0))&amp;"","Article inconnu"))</f>
        <v/>
      </c>
      <c r="G1158" s="67" t="str">
        <f>IF(E1158="","",IFERROR(INDEX(art_unit,MATCH($E1158,art_ref,0))&amp;"",""))</f>
        <v/>
      </c>
      <c r="H1158" s="68" t="n"/>
      <c r="I1158" s="69" t="n"/>
      <c r="J1158" s="70" t="str">
        <f>IF(E1158="","",IF(ISNUMBER(I1158),I1158,IFERROR(IF(ISNUMBER(INDEX(art_price,MATCH($E1158,art_ref,0))),INDEX(art_price,MATCH($E1158,art_ref,0)),""),"")))</f>
        <v/>
      </c>
      <c r="K1158" s="71" t="n"/>
      <c r="L1158" s="72" t="n"/>
      <c r="M1158" s="72" t="str">
        <f>IF(E1158="","",IF(L1158&lt;&gt;"",L1158,IFERROR(IF(ISNUMBER(INDEX(art_tva,MATCH($E1158,art_ref,0))),INDEX(art_tva,MATCH($E1158,art_ref,0)),""),"")))</f>
        <v/>
      </c>
      <c r="N1158" s="70" t="str">
        <f>IF(OR(E1158="",J1158=""),"",ROUND(N(H1158)*J1158*(1-N(K1158)),2))</f>
        <v/>
      </c>
      <c r="O1158" s="70" t="str">
        <f>IF(OR(N1158="",NOT(ISNUMBER(M1158))),"",ROUND(N1158*M1158,2))</f>
        <v/>
      </c>
      <c r="P1158" s="70" t="str">
        <f>IF(N1158="","",N1158+N(O1158))</f>
        <v/>
      </c>
      <c r="Q1158" s="64" t="n"/>
      <c r="R1158" s="73" t="str">
        <f>IF(N(Q1158)&gt;0,Q1158,IF(OR(N(B1158)=0,ISNA(MATCH($C1158,sup_code,0))),"",IF(ISNUMBER(INDEX(sup_delay,MATCH($C1158,sup_code,0))),B1158+INDEX(sup_delay,MATCH($C1158,sup_code,0)),"")))</f>
        <v/>
      </c>
      <c r="S1158" s="64" t="n"/>
      <c r="T1158" s="68" t="n"/>
      <c r="U1158" s="64" t="n"/>
      <c r="V1158" s="65" t="n"/>
      <c r="W1158" s="74" t="str">
        <f>IF(AND(A1158="",E1158=""),"",IF(V1158="Oui",0,MAX(0,ROUND(N(H1158)-N(T1158),6))))</f>
        <v/>
      </c>
      <c r="X1158" s="67" t="str">
        <f>IF(AND(A1158="",E1158=""),"",IF(V1158="Oui","Annulé",IF(AND(N(H1158)&gt;0,N(T1158)&gt;=N(H1158)),"Reçu",IF(N(S1158)=0,"Brouillon",IF(AND(ISNUMBER(R1158),R1158&lt;p_today),"En retard",IF(N(T1158)&gt;0,"Partiel","Envoyé"))))))</f>
        <v/>
      </c>
      <c r="Y1158" s="75" t="str">
        <f>IF(X1158="En retard",p_today-R1158,IF(AND(X1158="Reçu",ISNUMBER(R1158)),MAX(0,N(U1158)-R1158),""))</f>
        <v/>
      </c>
      <c r="Z1158" s="67" t="str">
        <f>IF(AND(A1158="",E1158=""),"",IF(A1158="","N° de bon manquant",IF(N(B1158)=0,"Date de commande manquante",IF(C1158="","Fournisseur manquant",IF(ISNA(MATCH($C1158,sup_code,0)),"Fournisseur inconnu",IF(E1158="","Article manquant",IF(ISNA(MATCH($E1158,art_ref,0)),"Article inconnu",IF(N(H1158)&lt;=0,"Quantité invalide",IF(J1158="","Prix manquant",IF(OR(N(K1158)&lt;0,N(K1158)&gt;=1),"Remise invalide",IF(M1158="","TVA manquante",IF(ISNA(MATCH(M1158,p_tva,0)),"Taux de TVA inconnu",IF(COUNTIFS(po_num,A1158,po_sup,"&lt;&gt;"&amp;C1158)&gt;0,"Fournisseur différent sur ce bon",IF(COUNTIFS(po_num,A1158,po_date,"&lt;&gt;"&amp;B1158)&gt;0,"Date différente sur ce bon",IF(COUNTIF(po_num,A1158)&gt;25,"Plus de 25 lignes sur ce bon",IF(R1158="","Date de livraison manquante",IF(R1158&lt;B1158,"Livraison avant la commande",IF(AND(N(T1158)&gt;0,N(S1158)=0),"Date d'envoi manquante",IF(N(T1158)&gt;N(H1158),"Reçu plus que commandé",IF(AND(N(T1158)&gt;0,N(U1158)=0),"Date de réception manquante",IF(AND(N(U1158)&gt;0,U1158&lt;B1158),"Réception avant la commande","OK")))))))))))))))))))))</f>
        <v/>
      </c>
      <c r="AA1158" s="66" t="str">
        <f>IF(AND(X1158="Reçu",ISNUMBER(R1158)),IF(N(U1158)&lt;=R1158,1,0),"")</f>
        <v/>
      </c>
      <c r="AB1158" s="76" t="str">
        <f>IF(OR(X1158="Envoyé",X1158="Partiel",X1158="En retard"),IF(ISNUMBER(R1158),R1158,100000)+ROW()/100000,"")</f>
        <v/>
      </c>
      <c r="AC1158" s="66" t="str">
        <f>IF(A1158="","",IF(COUNTIF($A$6:A1158,A1158)=1,1,""))</f>
        <v/>
      </c>
      <c r="AD1158" s="66" t="str">
        <f>IF(AC1158=1,COUNT($AC$6:AC1158),"")</f>
        <v/>
      </c>
      <c r="AE1158" s="66" t="str">
        <f>IFERROR(INDEX(po_num,MATCH(1153,po_seq,0))&amp;"","")</f>
        <v/>
      </c>
      <c r="AF1158" s="66" t="str">
        <f>IF(OR(A1158="",p_po=""),"",IF(A1158&amp;""=p_po,COUNTIF($A$6:A1158,A1158),""))</f>
        <v/>
      </c>
      <c r="AG1158" s="66" t="str">
        <f>IF(OR(AB1158="",A1158=""),"",IF(COUNTIFS($A$6:A1158,A1158,$AB$6:AB1158,"&gt;0")=1,1,""))</f>
        <v/>
      </c>
      <c r="AH1158" s="70" t="str">
        <f>IF(AB1158="","",ROUND(N(W1158)*N(J1158)*(1-N(K1158)),2))</f>
        <v/>
      </c>
      <c r="AI1158" s="70" t="str">
        <f>IF(OR(J1158="",N(T1158)&lt;=0,V1158="Oui"),"",ROUND(N(T1158)*J1158*(1-N(K1158)),2))</f>
        <v/>
      </c>
    </row>
    <row r="1159">
      <c r="A1159" s="63" t="n"/>
      <c r="B1159" s="64" t="n"/>
      <c r="C1159" s="65" t="n"/>
      <c r="D1159" s="66" t="str">
        <f>IF(C1159="","",IFERROR(INDEX(sup_name,MATCH($C1159,sup_code,0))&amp;"","Fournisseur inconnu"))</f>
        <v/>
      </c>
      <c r="E1159" s="63" t="n"/>
      <c r="F1159" s="66" t="str">
        <f>IF(E1159="","",IFERROR(INDEX(art_des,MATCH($E1159,art_ref,0))&amp;"","Article inconnu"))</f>
        <v/>
      </c>
      <c r="G1159" s="67" t="str">
        <f>IF(E1159="","",IFERROR(INDEX(art_unit,MATCH($E1159,art_ref,0))&amp;"",""))</f>
        <v/>
      </c>
      <c r="H1159" s="68" t="n"/>
      <c r="I1159" s="69" t="n"/>
      <c r="J1159" s="70" t="str">
        <f>IF(E1159="","",IF(ISNUMBER(I1159),I1159,IFERROR(IF(ISNUMBER(INDEX(art_price,MATCH($E1159,art_ref,0))),INDEX(art_price,MATCH($E1159,art_ref,0)),""),"")))</f>
        <v/>
      </c>
      <c r="K1159" s="71" t="n"/>
      <c r="L1159" s="72" t="n"/>
      <c r="M1159" s="72" t="str">
        <f>IF(E1159="","",IF(L1159&lt;&gt;"",L1159,IFERROR(IF(ISNUMBER(INDEX(art_tva,MATCH($E1159,art_ref,0))),INDEX(art_tva,MATCH($E1159,art_ref,0)),""),"")))</f>
        <v/>
      </c>
      <c r="N1159" s="70" t="str">
        <f>IF(OR(E1159="",J1159=""),"",ROUND(N(H1159)*J1159*(1-N(K1159)),2))</f>
        <v/>
      </c>
      <c r="O1159" s="70" t="str">
        <f>IF(OR(N1159="",NOT(ISNUMBER(M1159))),"",ROUND(N1159*M1159,2))</f>
        <v/>
      </c>
      <c r="P1159" s="70" t="str">
        <f>IF(N1159="","",N1159+N(O1159))</f>
        <v/>
      </c>
      <c r="Q1159" s="64" t="n"/>
      <c r="R1159" s="73" t="str">
        <f>IF(N(Q1159)&gt;0,Q1159,IF(OR(N(B1159)=0,ISNA(MATCH($C1159,sup_code,0))),"",IF(ISNUMBER(INDEX(sup_delay,MATCH($C1159,sup_code,0))),B1159+INDEX(sup_delay,MATCH($C1159,sup_code,0)),"")))</f>
        <v/>
      </c>
      <c r="S1159" s="64" t="n"/>
      <c r="T1159" s="68" t="n"/>
      <c r="U1159" s="64" t="n"/>
      <c r="V1159" s="65" t="n"/>
      <c r="W1159" s="74" t="str">
        <f>IF(AND(A1159="",E1159=""),"",IF(V1159="Oui",0,MAX(0,ROUND(N(H1159)-N(T1159),6))))</f>
        <v/>
      </c>
      <c r="X1159" s="67" t="str">
        <f>IF(AND(A1159="",E1159=""),"",IF(V1159="Oui","Annulé",IF(AND(N(H1159)&gt;0,N(T1159)&gt;=N(H1159)),"Reçu",IF(N(S1159)=0,"Brouillon",IF(AND(ISNUMBER(R1159),R1159&lt;p_today),"En retard",IF(N(T1159)&gt;0,"Partiel","Envoyé"))))))</f>
        <v/>
      </c>
      <c r="Y1159" s="75" t="str">
        <f>IF(X1159="En retard",p_today-R1159,IF(AND(X1159="Reçu",ISNUMBER(R1159)),MAX(0,N(U1159)-R1159),""))</f>
        <v/>
      </c>
      <c r="Z1159" s="67" t="str">
        <f>IF(AND(A1159="",E1159=""),"",IF(A1159="","N° de bon manquant",IF(N(B1159)=0,"Date de commande manquante",IF(C1159="","Fournisseur manquant",IF(ISNA(MATCH($C1159,sup_code,0)),"Fournisseur inconnu",IF(E1159="","Article manquant",IF(ISNA(MATCH($E1159,art_ref,0)),"Article inconnu",IF(N(H1159)&lt;=0,"Quantité invalide",IF(J1159="","Prix manquant",IF(OR(N(K1159)&lt;0,N(K1159)&gt;=1),"Remise invalide",IF(M1159="","TVA manquante",IF(ISNA(MATCH(M1159,p_tva,0)),"Taux de TVA inconnu",IF(COUNTIFS(po_num,A1159,po_sup,"&lt;&gt;"&amp;C1159)&gt;0,"Fournisseur différent sur ce bon",IF(COUNTIFS(po_num,A1159,po_date,"&lt;&gt;"&amp;B1159)&gt;0,"Date différente sur ce bon",IF(COUNTIF(po_num,A1159)&gt;25,"Plus de 25 lignes sur ce bon",IF(R1159="","Date de livraison manquante",IF(R1159&lt;B1159,"Livraison avant la commande",IF(AND(N(T1159)&gt;0,N(S1159)=0),"Date d'envoi manquante",IF(N(T1159)&gt;N(H1159),"Reçu plus que commandé",IF(AND(N(T1159)&gt;0,N(U1159)=0),"Date de réception manquante",IF(AND(N(U1159)&gt;0,U1159&lt;B1159),"Réception avant la commande","OK")))))))))))))))))))))</f>
        <v/>
      </c>
      <c r="AA1159" s="66" t="str">
        <f>IF(AND(X1159="Reçu",ISNUMBER(R1159)),IF(N(U1159)&lt;=R1159,1,0),"")</f>
        <v/>
      </c>
      <c r="AB1159" s="76" t="str">
        <f>IF(OR(X1159="Envoyé",X1159="Partiel",X1159="En retard"),IF(ISNUMBER(R1159),R1159,100000)+ROW()/100000,"")</f>
        <v/>
      </c>
      <c r="AC1159" s="66" t="str">
        <f>IF(A1159="","",IF(COUNTIF($A$6:A1159,A1159)=1,1,""))</f>
        <v/>
      </c>
      <c r="AD1159" s="66" t="str">
        <f>IF(AC1159=1,COUNT($AC$6:AC1159),"")</f>
        <v/>
      </c>
      <c r="AE1159" s="66" t="str">
        <f>IFERROR(INDEX(po_num,MATCH(1154,po_seq,0))&amp;"","")</f>
        <v/>
      </c>
      <c r="AF1159" s="66" t="str">
        <f>IF(OR(A1159="",p_po=""),"",IF(A1159&amp;""=p_po,COUNTIF($A$6:A1159,A1159),""))</f>
        <v/>
      </c>
      <c r="AG1159" s="66" t="str">
        <f>IF(OR(AB1159="",A1159=""),"",IF(COUNTIFS($A$6:A1159,A1159,$AB$6:AB1159,"&gt;0")=1,1,""))</f>
        <v/>
      </c>
      <c r="AH1159" s="70" t="str">
        <f>IF(AB1159="","",ROUND(N(W1159)*N(J1159)*(1-N(K1159)),2))</f>
        <v/>
      </c>
      <c r="AI1159" s="70" t="str">
        <f>IF(OR(J1159="",N(T1159)&lt;=0,V1159="Oui"),"",ROUND(N(T1159)*J1159*(1-N(K1159)),2))</f>
        <v/>
      </c>
    </row>
    <row r="1160">
      <c r="A1160" s="63" t="n"/>
      <c r="B1160" s="64" t="n"/>
      <c r="C1160" s="65" t="n"/>
      <c r="D1160" s="66" t="str">
        <f>IF(C1160="","",IFERROR(INDEX(sup_name,MATCH($C1160,sup_code,0))&amp;"","Fournisseur inconnu"))</f>
        <v/>
      </c>
      <c r="E1160" s="63" t="n"/>
      <c r="F1160" s="66" t="str">
        <f>IF(E1160="","",IFERROR(INDEX(art_des,MATCH($E1160,art_ref,0))&amp;"","Article inconnu"))</f>
        <v/>
      </c>
      <c r="G1160" s="67" t="str">
        <f>IF(E1160="","",IFERROR(INDEX(art_unit,MATCH($E1160,art_ref,0))&amp;"",""))</f>
        <v/>
      </c>
      <c r="H1160" s="68" t="n"/>
      <c r="I1160" s="69" t="n"/>
      <c r="J1160" s="70" t="str">
        <f>IF(E1160="","",IF(ISNUMBER(I1160),I1160,IFERROR(IF(ISNUMBER(INDEX(art_price,MATCH($E1160,art_ref,0))),INDEX(art_price,MATCH($E1160,art_ref,0)),""),"")))</f>
        <v/>
      </c>
      <c r="K1160" s="71" t="n"/>
      <c r="L1160" s="72" t="n"/>
      <c r="M1160" s="72" t="str">
        <f>IF(E1160="","",IF(L1160&lt;&gt;"",L1160,IFERROR(IF(ISNUMBER(INDEX(art_tva,MATCH($E1160,art_ref,0))),INDEX(art_tva,MATCH($E1160,art_ref,0)),""),"")))</f>
        <v/>
      </c>
      <c r="N1160" s="70" t="str">
        <f>IF(OR(E1160="",J1160=""),"",ROUND(N(H1160)*J1160*(1-N(K1160)),2))</f>
        <v/>
      </c>
      <c r="O1160" s="70" t="str">
        <f>IF(OR(N1160="",NOT(ISNUMBER(M1160))),"",ROUND(N1160*M1160,2))</f>
        <v/>
      </c>
      <c r="P1160" s="70" t="str">
        <f>IF(N1160="","",N1160+N(O1160))</f>
        <v/>
      </c>
      <c r="Q1160" s="64" t="n"/>
      <c r="R1160" s="73" t="str">
        <f>IF(N(Q1160)&gt;0,Q1160,IF(OR(N(B1160)=0,ISNA(MATCH($C1160,sup_code,0))),"",IF(ISNUMBER(INDEX(sup_delay,MATCH($C1160,sup_code,0))),B1160+INDEX(sup_delay,MATCH($C1160,sup_code,0)),"")))</f>
        <v/>
      </c>
      <c r="S1160" s="64" t="n"/>
      <c r="T1160" s="68" t="n"/>
      <c r="U1160" s="64" t="n"/>
      <c r="V1160" s="65" t="n"/>
      <c r="W1160" s="74" t="str">
        <f>IF(AND(A1160="",E1160=""),"",IF(V1160="Oui",0,MAX(0,ROUND(N(H1160)-N(T1160),6))))</f>
        <v/>
      </c>
      <c r="X1160" s="67" t="str">
        <f>IF(AND(A1160="",E1160=""),"",IF(V1160="Oui","Annulé",IF(AND(N(H1160)&gt;0,N(T1160)&gt;=N(H1160)),"Reçu",IF(N(S1160)=0,"Brouillon",IF(AND(ISNUMBER(R1160),R1160&lt;p_today),"En retard",IF(N(T1160)&gt;0,"Partiel","Envoyé"))))))</f>
        <v/>
      </c>
      <c r="Y1160" s="75" t="str">
        <f>IF(X1160="En retard",p_today-R1160,IF(AND(X1160="Reçu",ISNUMBER(R1160)),MAX(0,N(U1160)-R1160),""))</f>
        <v/>
      </c>
      <c r="Z1160" s="67" t="str">
        <f>IF(AND(A1160="",E1160=""),"",IF(A1160="","N° de bon manquant",IF(N(B1160)=0,"Date de commande manquante",IF(C1160="","Fournisseur manquant",IF(ISNA(MATCH($C1160,sup_code,0)),"Fournisseur inconnu",IF(E1160="","Article manquant",IF(ISNA(MATCH($E1160,art_ref,0)),"Article inconnu",IF(N(H1160)&lt;=0,"Quantité invalide",IF(J1160="","Prix manquant",IF(OR(N(K1160)&lt;0,N(K1160)&gt;=1),"Remise invalide",IF(M1160="","TVA manquante",IF(ISNA(MATCH(M1160,p_tva,0)),"Taux de TVA inconnu",IF(COUNTIFS(po_num,A1160,po_sup,"&lt;&gt;"&amp;C1160)&gt;0,"Fournisseur différent sur ce bon",IF(COUNTIFS(po_num,A1160,po_date,"&lt;&gt;"&amp;B1160)&gt;0,"Date différente sur ce bon",IF(COUNTIF(po_num,A1160)&gt;25,"Plus de 25 lignes sur ce bon",IF(R1160="","Date de livraison manquante",IF(R1160&lt;B1160,"Livraison avant la commande",IF(AND(N(T1160)&gt;0,N(S1160)=0),"Date d'envoi manquante",IF(N(T1160)&gt;N(H1160),"Reçu plus que commandé",IF(AND(N(T1160)&gt;0,N(U1160)=0),"Date de réception manquante",IF(AND(N(U1160)&gt;0,U1160&lt;B1160),"Réception avant la commande","OK")))))))))))))))))))))</f>
        <v/>
      </c>
      <c r="AA1160" s="66" t="str">
        <f>IF(AND(X1160="Reçu",ISNUMBER(R1160)),IF(N(U1160)&lt;=R1160,1,0),"")</f>
        <v/>
      </c>
      <c r="AB1160" s="76" t="str">
        <f>IF(OR(X1160="Envoyé",X1160="Partiel",X1160="En retard"),IF(ISNUMBER(R1160),R1160,100000)+ROW()/100000,"")</f>
        <v/>
      </c>
      <c r="AC1160" s="66" t="str">
        <f>IF(A1160="","",IF(COUNTIF($A$6:A1160,A1160)=1,1,""))</f>
        <v/>
      </c>
      <c r="AD1160" s="66" t="str">
        <f>IF(AC1160=1,COUNT($AC$6:AC1160),"")</f>
        <v/>
      </c>
      <c r="AE1160" s="66" t="str">
        <f>IFERROR(INDEX(po_num,MATCH(1155,po_seq,0))&amp;"","")</f>
        <v/>
      </c>
      <c r="AF1160" s="66" t="str">
        <f>IF(OR(A1160="",p_po=""),"",IF(A1160&amp;""=p_po,COUNTIF($A$6:A1160,A1160),""))</f>
        <v/>
      </c>
      <c r="AG1160" s="66" t="str">
        <f>IF(OR(AB1160="",A1160=""),"",IF(COUNTIFS($A$6:A1160,A1160,$AB$6:AB1160,"&gt;0")=1,1,""))</f>
        <v/>
      </c>
      <c r="AH1160" s="70" t="str">
        <f>IF(AB1160="","",ROUND(N(W1160)*N(J1160)*(1-N(K1160)),2))</f>
        <v/>
      </c>
      <c r="AI1160" s="70" t="str">
        <f>IF(OR(J1160="",N(T1160)&lt;=0,V1160="Oui"),"",ROUND(N(T1160)*J1160*(1-N(K1160)),2))</f>
        <v/>
      </c>
    </row>
    <row r="1161">
      <c r="A1161" s="63" t="n"/>
      <c r="B1161" s="64" t="n"/>
      <c r="C1161" s="65" t="n"/>
      <c r="D1161" s="66" t="str">
        <f>IF(C1161="","",IFERROR(INDEX(sup_name,MATCH($C1161,sup_code,0))&amp;"","Fournisseur inconnu"))</f>
        <v/>
      </c>
      <c r="E1161" s="63" t="n"/>
      <c r="F1161" s="66" t="str">
        <f>IF(E1161="","",IFERROR(INDEX(art_des,MATCH($E1161,art_ref,0))&amp;"","Article inconnu"))</f>
        <v/>
      </c>
      <c r="G1161" s="67" t="str">
        <f>IF(E1161="","",IFERROR(INDEX(art_unit,MATCH($E1161,art_ref,0))&amp;"",""))</f>
        <v/>
      </c>
      <c r="H1161" s="68" t="n"/>
      <c r="I1161" s="69" t="n"/>
      <c r="J1161" s="70" t="str">
        <f>IF(E1161="","",IF(ISNUMBER(I1161),I1161,IFERROR(IF(ISNUMBER(INDEX(art_price,MATCH($E1161,art_ref,0))),INDEX(art_price,MATCH($E1161,art_ref,0)),""),"")))</f>
        <v/>
      </c>
      <c r="K1161" s="71" t="n"/>
      <c r="L1161" s="72" t="n"/>
      <c r="M1161" s="72" t="str">
        <f>IF(E1161="","",IF(L1161&lt;&gt;"",L1161,IFERROR(IF(ISNUMBER(INDEX(art_tva,MATCH($E1161,art_ref,0))),INDEX(art_tva,MATCH($E1161,art_ref,0)),""),"")))</f>
        <v/>
      </c>
      <c r="N1161" s="70" t="str">
        <f>IF(OR(E1161="",J1161=""),"",ROUND(N(H1161)*J1161*(1-N(K1161)),2))</f>
        <v/>
      </c>
      <c r="O1161" s="70" t="str">
        <f>IF(OR(N1161="",NOT(ISNUMBER(M1161))),"",ROUND(N1161*M1161,2))</f>
        <v/>
      </c>
      <c r="P1161" s="70" t="str">
        <f>IF(N1161="","",N1161+N(O1161))</f>
        <v/>
      </c>
      <c r="Q1161" s="64" t="n"/>
      <c r="R1161" s="73" t="str">
        <f>IF(N(Q1161)&gt;0,Q1161,IF(OR(N(B1161)=0,ISNA(MATCH($C1161,sup_code,0))),"",IF(ISNUMBER(INDEX(sup_delay,MATCH($C1161,sup_code,0))),B1161+INDEX(sup_delay,MATCH($C1161,sup_code,0)),"")))</f>
        <v/>
      </c>
      <c r="S1161" s="64" t="n"/>
      <c r="T1161" s="68" t="n"/>
      <c r="U1161" s="64" t="n"/>
      <c r="V1161" s="65" t="n"/>
      <c r="W1161" s="74" t="str">
        <f>IF(AND(A1161="",E1161=""),"",IF(V1161="Oui",0,MAX(0,ROUND(N(H1161)-N(T1161),6))))</f>
        <v/>
      </c>
      <c r="X1161" s="67" t="str">
        <f>IF(AND(A1161="",E1161=""),"",IF(V1161="Oui","Annulé",IF(AND(N(H1161)&gt;0,N(T1161)&gt;=N(H1161)),"Reçu",IF(N(S1161)=0,"Brouillon",IF(AND(ISNUMBER(R1161),R1161&lt;p_today),"En retard",IF(N(T1161)&gt;0,"Partiel","Envoyé"))))))</f>
        <v/>
      </c>
      <c r="Y1161" s="75" t="str">
        <f>IF(X1161="En retard",p_today-R1161,IF(AND(X1161="Reçu",ISNUMBER(R1161)),MAX(0,N(U1161)-R1161),""))</f>
        <v/>
      </c>
      <c r="Z1161" s="67" t="str">
        <f>IF(AND(A1161="",E1161=""),"",IF(A1161="","N° de bon manquant",IF(N(B1161)=0,"Date de commande manquante",IF(C1161="","Fournisseur manquant",IF(ISNA(MATCH($C1161,sup_code,0)),"Fournisseur inconnu",IF(E1161="","Article manquant",IF(ISNA(MATCH($E1161,art_ref,0)),"Article inconnu",IF(N(H1161)&lt;=0,"Quantité invalide",IF(J1161="","Prix manquant",IF(OR(N(K1161)&lt;0,N(K1161)&gt;=1),"Remise invalide",IF(M1161="","TVA manquante",IF(ISNA(MATCH(M1161,p_tva,0)),"Taux de TVA inconnu",IF(COUNTIFS(po_num,A1161,po_sup,"&lt;&gt;"&amp;C1161)&gt;0,"Fournisseur différent sur ce bon",IF(COUNTIFS(po_num,A1161,po_date,"&lt;&gt;"&amp;B1161)&gt;0,"Date différente sur ce bon",IF(COUNTIF(po_num,A1161)&gt;25,"Plus de 25 lignes sur ce bon",IF(R1161="","Date de livraison manquante",IF(R1161&lt;B1161,"Livraison avant la commande",IF(AND(N(T1161)&gt;0,N(S1161)=0),"Date d'envoi manquante",IF(N(T1161)&gt;N(H1161),"Reçu plus que commandé",IF(AND(N(T1161)&gt;0,N(U1161)=0),"Date de réception manquante",IF(AND(N(U1161)&gt;0,U1161&lt;B1161),"Réception avant la commande","OK")))))))))))))))))))))</f>
        <v/>
      </c>
      <c r="AA1161" s="66" t="str">
        <f>IF(AND(X1161="Reçu",ISNUMBER(R1161)),IF(N(U1161)&lt;=R1161,1,0),"")</f>
        <v/>
      </c>
      <c r="AB1161" s="76" t="str">
        <f>IF(OR(X1161="Envoyé",X1161="Partiel",X1161="En retard"),IF(ISNUMBER(R1161),R1161,100000)+ROW()/100000,"")</f>
        <v/>
      </c>
      <c r="AC1161" s="66" t="str">
        <f>IF(A1161="","",IF(COUNTIF($A$6:A1161,A1161)=1,1,""))</f>
        <v/>
      </c>
      <c r="AD1161" s="66" t="str">
        <f>IF(AC1161=1,COUNT($AC$6:AC1161),"")</f>
        <v/>
      </c>
      <c r="AE1161" s="66" t="str">
        <f>IFERROR(INDEX(po_num,MATCH(1156,po_seq,0))&amp;"","")</f>
        <v/>
      </c>
      <c r="AF1161" s="66" t="str">
        <f>IF(OR(A1161="",p_po=""),"",IF(A1161&amp;""=p_po,COUNTIF($A$6:A1161,A1161),""))</f>
        <v/>
      </c>
      <c r="AG1161" s="66" t="str">
        <f>IF(OR(AB1161="",A1161=""),"",IF(COUNTIFS($A$6:A1161,A1161,$AB$6:AB1161,"&gt;0")=1,1,""))</f>
        <v/>
      </c>
      <c r="AH1161" s="70" t="str">
        <f>IF(AB1161="","",ROUND(N(W1161)*N(J1161)*(1-N(K1161)),2))</f>
        <v/>
      </c>
      <c r="AI1161" s="70" t="str">
        <f>IF(OR(J1161="",N(T1161)&lt;=0,V1161="Oui"),"",ROUND(N(T1161)*J1161*(1-N(K1161)),2))</f>
        <v/>
      </c>
    </row>
    <row r="1162">
      <c r="A1162" s="63" t="n"/>
      <c r="B1162" s="64" t="n"/>
      <c r="C1162" s="65" t="n"/>
      <c r="D1162" s="66" t="str">
        <f>IF(C1162="","",IFERROR(INDEX(sup_name,MATCH($C1162,sup_code,0))&amp;"","Fournisseur inconnu"))</f>
        <v/>
      </c>
      <c r="E1162" s="63" t="n"/>
      <c r="F1162" s="66" t="str">
        <f>IF(E1162="","",IFERROR(INDEX(art_des,MATCH($E1162,art_ref,0))&amp;"","Article inconnu"))</f>
        <v/>
      </c>
      <c r="G1162" s="67" t="str">
        <f>IF(E1162="","",IFERROR(INDEX(art_unit,MATCH($E1162,art_ref,0))&amp;"",""))</f>
        <v/>
      </c>
      <c r="H1162" s="68" t="n"/>
      <c r="I1162" s="69" t="n"/>
      <c r="J1162" s="70" t="str">
        <f>IF(E1162="","",IF(ISNUMBER(I1162),I1162,IFERROR(IF(ISNUMBER(INDEX(art_price,MATCH($E1162,art_ref,0))),INDEX(art_price,MATCH($E1162,art_ref,0)),""),"")))</f>
        <v/>
      </c>
      <c r="K1162" s="71" t="n"/>
      <c r="L1162" s="72" t="n"/>
      <c r="M1162" s="72" t="str">
        <f>IF(E1162="","",IF(L1162&lt;&gt;"",L1162,IFERROR(IF(ISNUMBER(INDEX(art_tva,MATCH($E1162,art_ref,0))),INDEX(art_tva,MATCH($E1162,art_ref,0)),""),"")))</f>
        <v/>
      </c>
      <c r="N1162" s="70" t="str">
        <f>IF(OR(E1162="",J1162=""),"",ROUND(N(H1162)*J1162*(1-N(K1162)),2))</f>
        <v/>
      </c>
      <c r="O1162" s="70" t="str">
        <f>IF(OR(N1162="",NOT(ISNUMBER(M1162))),"",ROUND(N1162*M1162,2))</f>
        <v/>
      </c>
      <c r="P1162" s="70" t="str">
        <f>IF(N1162="","",N1162+N(O1162))</f>
        <v/>
      </c>
      <c r="Q1162" s="64" t="n"/>
      <c r="R1162" s="73" t="str">
        <f>IF(N(Q1162)&gt;0,Q1162,IF(OR(N(B1162)=0,ISNA(MATCH($C1162,sup_code,0))),"",IF(ISNUMBER(INDEX(sup_delay,MATCH($C1162,sup_code,0))),B1162+INDEX(sup_delay,MATCH($C1162,sup_code,0)),"")))</f>
        <v/>
      </c>
      <c r="S1162" s="64" t="n"/>
      <c r="T1162" s="68" t="n"/>
      <c r="U1162" s="64" t="n"/>
      <c r="V1162" s="65" t="n"/>
      <c r="W1162" s="74" t="str">
        <f>IF(AND(A1162="",E1162=""),"",IF(V1162="Oui",0,MAX(0,ROUND(N(H1162)-N(T1162),6))))</f>
        <v/>
      </c>
      <c r="X1162" s="67" t="str">
        <f>IF(AND(A1162="",E1162=""),"",IF(V1162="Oui","Annulé",IF(AND(N(H1162)&gt;0,N(T1162)&gt;=N(H1162)),"Reçu",IF(N(S1162)=0,"Brouillon",IF(AND(ISNUMBER(R1162),R1162&lt;p_today),"En retard",IF(N(T1162)&gt;0,"Partiel","Envoyé"))))))</f>
        <v/>
      </c>
      <c r="Y1162" s="75" t="str">
        <f>IF(X1162="En retard",p_today-R1162,IF(AND(X1162="Reçu",ISNUMBER(R1162)),MAX(0,N(U1162)-R1162),""))</f>
        <v/>
      </c>
      <c r="Z1162" s="67" t="str">
        <f>IF(AND(A1162="",E1162=""),"",IF(A1162="","N° de bon manquant",IF(N(B1162)=0,"Date de commande manquante",IF(C1162="","Fournisseur manquant",IF(ISNA(MATCH($C1162,sup_code,0)),"Fournisseur inconnu",IF(E1162="","Article manquant",IF(ISNA(MATCH($E1162,art_ref,0)),"Article inconnu",IF(N(H1162)&lt;=0,"Quantité invalide",IF(J1162="","Prix manquant",IF(OR(N(K1162)&lt;0,N(K1162)&gt;=1),"Remise invalide",IF(M1162="","TVA manquante",IF(ISNA(MATCH(M1162,p_tva,0)),"Taux de TVA inconnu",IF(COUNTIFS(po_num,A1162,po_sup,"&lt;&gt;"&amp;C1162)&gt;0,"Fournisseur différent sur ce bon",IF(COUNTIFS(po_num,A1162,po_date,"&lt;&gt;"&amp;B1162)&gt;0,"Date différente sur ce bon",IF(COUNTIF(po_num,A1162)&gt;25,"Plus de 25 lignes sur ce bon",IF(R1162="","Date de livraison manquante",IF(R1162&lt;B1162,"Livraison avant la commande",IF(AND(N(T1162)&gt;0,N(S1162)=0),"Date d'envoi manquante",IF(N(T1162)&gt;N(H1162),"Reçu plus que commandé",IF(AND(N(T1162)&gt;0,N(U1162)=0),"Date de réception manquante",IF(AND(N(U1162)&gt;0,U1162&lt;B1162),"Réception avant la commande","OK")))))))))))))))))))))</f>
        <v/>
      </c>
      <c r="AA1162" s="66" t="str">
        <f>IF(AND(X1162="Reçu",ISNUMBER(R1162)),IF(N(U1162)&lt;=R1162,1,0),"")</f>
        <v/>
      </c>
      <c r="AB1162" s="76" t="str">
        <f>IF(OR(X1162="Envoyé",X1162="Partiel",X1162="En retard"),IF(ISNUMBER(R1162),R1162,100000)+ROW()/100000,"")</f>
        <v/>
      </c>
      <c r="AC1162" s="66" t="str">
        <f>IF(A1162="","",IF(COUNTIF($A$6:A1162,A1162)=1,1,""))</f>
        <v/>
      </c>
      <c r="AD1162" s="66" t="str">
        <f>IF(AC1162=1,COUNT($AC$6:AC1162),"")</f>
        <v/>
      </c>
      <c r="AE1162" s="66" t="str">
        <f>IFERROR(INDEX(po_num,MATCH(1157,po_seq,0))&amp;"","")</f>
        <v/>
      </c>
      <c r="AF1162" s="66" t="str">
        <f>IF(OR(A1162="",p_po=""),"",IF(A1162&amp;""=p_po,COUNTIF($A$6:A1162,A1162),""))</f>
        <v/>
      </c>
      <c r="AG1162" s="66" t="str">
        <f>IF(OR(AB1162="",A1162=""),"",IF(COUNTIFS($A$6:A1162,A1162,$AB$6:AB1162,"&gt;0")=1,1,""))</f>
        <v/>
      </c>
      <c r="AH1162" s="70" t="str">
        <f>IF(AB1162="","",ROUND(N(W1162)*N(J1162)*(1-N(K1162)),2))</f>
        <v/>
      </c>
      <c r="AI1162" s="70" t="str">
        <f>IF(OR(J1162="",N(T1162)&lt;=0,V1162="Oui"),"",ROUND(N(T1162)*J1162*(1-N(K1162)),2))</f>
        <v/>
      </c>
    </row>
    <row r="1163">
      <c r="A1163" s="63" t="n"/>
      <c r="B1163" s="64" t="n"/>
      <c r="C1163" s="65" t="n"/>
      <c r="D1163" s="66" t="str">
        <f>IF(C1163="","",IFERROR(INDEX(sup_name,MATCH($C1163,sup_code,0))&amp;"","Fournisseur inconnu"))</f>
        <v/>
      </c>
      <c r="E1163" s="63" t="n"/>
      <c r="F1163" s="66" t="str">
        <f>IF(E1163="","",IFERROR(INDEX(art_des,MATCH($E1163,art_ref,0))&amp;"","Article inconnu"))</f>
        <v/>
      </c>
      <c r="G1163" s="67" t="str">
        <f>IF(E1163="","",IFERROR(INDEX(art_unit,MATCH($E1163,art_ref,0))&amp;"",""))</f>
        <v/>
      </c>
      <c r="H1163" s="68" t="n"/>
      <c r="I1163" s="69" t="n"/>
      <c r="J1163" s="70" t="str">
        <f>IF(E1163="","",IF(ISNUMBER(I1163),I1163,IFERROR(IF(ISNUMBER(INDEX(art_price,MATCH($E1163,art_ref,0))),INDEX(art_price,MATCH($E1163,art_ref,0)),""),"")))</f>
        <v/>
      </c>
      <c r="K1163" s="71" t="n"/>
      <c r="L1163" s="72" t="n"/>
      <c r="M1163" s="72" t="str">
        <f>IF(E1163="","",IF(L1163&lt;&gt;"",L1163,IFERROR(IF(ISNUMBER(INDEX(art_tva,MATCH($E1163,art_ref,0))),INDEX(art_tva,MATCH($E1163,art_ref,0)),""),"")))</f>
        <v/>
      </c>
      <c r="N1163" s="70" t="str">
        <f>IF(OR(E1163="",J1163=""),"",ROUND(N(H1163)*J1163*(1-N(K1163)),2))</f>
        <v/>
      </c>
      <c r="O1163" s="70" t="str">
        <f>IF(OR(N1163="",NOT(ISNUMBER(M1163))),"",ROUND(N1163*M1163,2))</f>
        <v/>
      </c>
      <c r="P1163" s="70" t="str">
        <f>IF(N1163="","",N1163+N(O1163))</f>
        <v/>
      </c>
      <c r="Q1163" s="64" t="n"/>
      <c r="R1163" s="73" t="str">
        <f>IF(N(Q1163)&gt;0,Q1163,IF(OR(N(B1163)=0,ISNA(MATCH($C1163,sup_code,0))),"",IF(ISNUMBER(INDEX(sup_delay,MATCH($C1163,sup_code,0))),B1163+INDEX(sup_delay,MATCH($C1163,sup_code,0)),"")))</f>
        <v/>
      </c>
      <c r="S1163" s="64" t="n"/>
      <c r="T1163" s="68" t="n"/>
      <c r="U1163" s="64" t="n"/>
      <c r="V1163" s="65" t="n"/>
      <c r="W1163" s="74" t="str">
        <f>IF(AND(A1163="",E1163=""),"",IF(V1163="Oui",0,MAX(0,ROUND(N(H1163)-N(T1163),6))))</f>
        <v/>
      </c>
      <c r="X1163" s="67" t="str">
        <f>IF(AND(A1163="",E1163=""),"",IF(V1163="Oui","Annulé",IF(AND(N(H1163)&gt;0,N(T1163)&gt;=N(H1163)),"Reçu",IF(N(S1163)=0,"Brouillon",IF(AND(ISNUMBER(R1163),R1163&lt;p_today),"En retard",IF(N(T1163)&gt;0,"Partiel","Envoyé"))))))</f>
        <v/>
      </c>
      <c r="Y1163" s="75" t="str">
        <f>IF(X1163="En retard",p_today-R1163,IF(AND(X1163="Reçu",ISNUMBER(R1163)),MAX(0,N(U1163)-R1163),""))</f>
        <v/>
      </c>
      <c r="Z1163" s="67" t="str">
        <f>IF(AND(A1163="",E1163=""),"",IF(A1163="","N° de bon manquant",IF(N(B1163)=0,"Date de commande manquante",IF(C1163="","Fournisseur manquant",IF(ISNA(MATCH($C1163,sup_code,0)),"Fournisseur inconnu",IF(E1163="","Article manquant",IF(ISNA(MATCH($E1163,art_ref,0)),"Article inconnu",IF(N(H1163)&lt;=0,"Quantité invalide",IF(J1163="","Prix manquant",IF(OR(N(K1163)&lt;0,N(K1163)&gt;=1),"Remise invalide",IF(M1163="","TVA manquante",IF(ISNA(MATCH(M1163,p_tva,0)),"Taux de TVA inconnu",IF(COUNTIFS(po_num,A1163,po_sup,"&lt;&gt;"&amp;C1163)&gt;0,"Fournisseur différent sur ce bon",IF(COUNTIFS(po_num,A1163,po_date,"&lt;&gt;"&amp;B1163)&gt;0,"Date différente sur ce bon",IF(COUNTIF(po_num,A1163)&gt;25,"Plus de 25 lignes sur ce bon",IF(R1163="","Date de livraison manquante",IF(R1163&lt;B1163,"Livraison avant la commande",IF(AND(N(T1163)&gt;0,N(S1163)=0),"Date d'envoi manquante",IF(N(T1163)&gt;N(H1163),"Reçu plus que commandé",IF(AND(N(T1163)&gt;0,N(U1163)=0),"Date de réception manquante",IF(AND(N(U1163)&gt;0,U1163&lt;B1163),"Réception avant la commande","OK")))))))))))))))))))))</f>
        <v/>
      </c>
      <c r="AA1163" s="66" t="str">
        <f>IF(AND(X1163="Reçu",ISNUMBER(R1163)),IF(N(U1163)&lt;=R1163,1,0),"")</f>
        <v/>
      </c>
      <c r="AB1163" s="76" t="str">
        <f>IF(OR(X1163="Envoyé",X1163="Partiel",X1163="En retard"),IF(ISNUMBER(R1163),R1163,100000)+ROW()/100000,"")</f>
        <v/>
      </c>
      <c r="AC1163" s="66" t="str">
        <f>IF(A1163="","",IF(COUNTIF($A$6:A1163,A1163)=1,1,""))</f>
        <v/>
      </c>
      <c r="AD1163" s="66" t="str">
        <f>IF(AC1163=1,COUNT($AC$6:AC1163),"")</f>
        <v/>
      </c>
      <c r="AE1163" s="66" t="str">
        <f>IFERROR(INDEX(po_num,MATCH(1158,po_seq,0))&amp;"","")</f>
        <v/>
      </c>
      <c r="AF1163" s="66" t="str">
        <f>IF(OR(A1163="",p_po=""),"",IF(A1163&amp;""=p_po,COUNTIF($A$6:A1163,A1163),""))</f>
        <v/>
      </c>
      <c r="AG1163" s="66" t="str">
        <f>IF(OR(AB1163="",A1163=""),"",IF(COUNTIFS($A$6:A1163,A1163,$AB$6:AB1163,"&gt;0")=1,1,""))</f>
        <v/>
      </c>
      <c r="AH1163" s="70" t="str">
        <f>IF(AB1163="","",ROUND(N(W1163)*N(J1163)*(1-N(K1163)),2))</f>
        <v/>
      </c>
      <c r="AI1163" s="70" t="str">
        <f>IF(OR(J1163="",N(T1163)&lt;=0,V1163="Oui"),"",ROUND(N(T1163)*J1163*(1-N(K1163)),2))</f>
        <v/>
      </c>
    </row>
    <row r="1164">
      <c r="A1164" s="63" t="n"/>
      <c r="B1164" s="64" t="n"/>
      <c r="C1164" s="65" t="n"/>
      <c r="D1164" s="66" t="str">
        <f>IF(C1164="","",IFERROR(INDEX(sup_name,MATCH($C1164,sup_code,0))&amp;"","Fournisseur inconnu"))</f>
        <v/>
      </c>
      <c r="E1164" s="63" t="n"/>
      <c r="F1164" s="66" t="str">
        <f>IF(E1164="","",IFERROR(INDEX(art_des,MATCH($E1164,art_ref,0))&amp;"","Article inconnu"))</f>
        <v/>
      </c>
      <c r="G1164" s="67" t="str">
        <f>IF(E1164="","",IFERROR(INDEX(art_unit,MATCH($E1164,art_ref,0))&amp;"",""))</f>
        <v/>
      </c>
      <c r="H1164" s="68" t="n"/>
      <c r="I1164" s="69" t="n"/>
      <c r="J1164" s="70" t="str">
        <f>IF(E1164="","",IF(ISNUMBER(I1164),I1164,IFERROR(IF(ISNUMBER(INDEX(art_price,MATCH($E1164,art_ref,0))),INDEX(art_price,MATCH($E1164,art_ref,0)),""),"")))</f>
        <v/>
      </c>
      <c r="K1164" s="71" t="n"/>
      <c r="L1164" s="72" t="n"/>
      <c r="M1164" s="72" t="str">
        <f>IF(E1164="","",IF(L1164&lt;&gt;"",L1164,IFERROR(IF(ISNUMBER(INDEX(art_tva,MATCH($E1164,art_ref,0))),INDEX(art_tva,MATCH($E1164,art_ref,0)),""),"")))</f>
        <v/>
      </c>
      <c r="N1164" s="70" t="str">
        <f>IF(OR(E1164="",J1164=""),"",ROUND(N(H1164)*J1164*(1-N(K1164)),2))</f>
        <v/>
      </c>
      <c r="O1164" s="70" t="str">
        <f>IF(OR(N1164="",NOT(ISNUMBER(M1164))),"",ROUND(N1164*M1164,2))</f>
        <v/>
      </c>
      <c r="P1164" s="70" t="str">
        <f>IF(N1164="","",N1164+N(O1164))</f>
        <v/>
      </c>
      <c r="Q1164" s="64" t="n"/>
      <c r="R1164" s="73" t="str">
        <f>IF(N(Q1164)&gt;0,Q1164,IF(OR(N(B1164)=0,ISNA(MATCH($C1164,sup_code,0))),"",IF(ISNUMBER(INDEX(sup_delay,MATCH($C1164,sup_code,0))),B1164+INDEX(sup_delay,MATCH($C1164,sup_code,0)),"")))</f>
        <v/>
      </c>
      <c r="S1164" s="64" t="n"/>
      <c r="T1164" s="68" t="n"/>
      <c r="U1164" s="64" t="n"/>
      <c r="V1164" s="65" t="n"/>
      <c r="W1164" s="74" t="str">
        <f>IF(AND(A1164="",E1164=""),"",IF(V1164="Oui",0,MAX(0,ROUND(N(H1164)-N(T1164),6))))</f>
        <v/>
      </c>
      <c r="X1164" s="67" t="str">
        <f>IF(AND(A1164="",E1164=""),"",IF(V1164="Oui","Annulé",IF(AND(N(H1164)&gt;0,N(T1164)&gt;=N(H1164)),"Reçu",IF(N(S1164)=0,"Brouillon",IF(AND(ISNUMBER(R1164),R1164&lt;p_today),"En retard",IF(N(T1164)&gt;0,"Partiel","Envoyé"))))))</f>
        <v/>
      </c>
      <c r="Y1164" s="75" t="str">
        <f>IF(X1164="En retard",p_today-R1164,IF(AND(X1164="Reçu",ISNUMBER(R1164)),MAX(0,N(U1164)-R1164),""))</f>
        <v/>
      </c>
      <c r="Z1164" s="67" t="str">
        <f>IF(AND(A1164="",E1164=""),"",IF(A1164="","N° de bon manquant",IF(N(B1164)=0,"Date de commande manquante",IF(C1164="","Fournisseur manquant",IF(ISNA(MATCH($C1164,sup_code,0)),"Fournisseur inconnu",IF(E1164="","Article manquant",IF(ISNA(MATCH($E1164,art_ref,0)),"Article inconnu",IF(N(H1164)&lt;=0,"Quantité invalide",IF(J1164="","Prix manquant",IF(OR(N(K1164)&lt;0,N(K1164)&gt;=1),"Remise invalide",IF(M1164="","TVA manquante",IF(ISNA(MATCH(M1164,p_tva,0)),"Taux de TVA inconnu",IF(COUNTIFS(po_num,A1164,po_sup,"&lt;&gt;"&amp;C1164)&gt;0,"Fournisseur différent sur ce bon",IF(COUNTIFS(po_num,A1164,po_date,"&lt;&gt;"&amp;B1164)&gt;0,"Date différente sur ce bon",IF(COUNTIF(po_num,A1164)&gt;25,"Plus de 25 lignes sur ce bon",IF(R1164="","Date de livraison manquante",IF(R1164&lt;B1164,"Livraison avant la commande",IF(AND(N(T1164)&gt;0,N(S1164)=0),"Date d'envoi manquante",IF(N(T1164)&gt;N(H1164),"Reçu plus que commandé",IF(AND(N(T1164)&gt;0,N(U1164)=0),"Date de réception manquante",IF(AND(N(U1164)&gt;0,U1164&lt;B1164),"Réception avant la commande","OK")))))))))))))))))))))</f>
        <v/>
      </c>
      <c r="AA1164" s="66" t="str">
        <f>IF(AND(X1164="Reçu",ISNUMBER(R1164)),IF(N(U1164)&lt;=R1164,1,0),"")</f>
        <v/>
      </c>
      <c r="AB1164" s="76" t="str">
        <f>IF(OR(X1164="Envoyé",X1164="Partiel",X1164="En retard"),IF(ISNUMBER(R1164),R1164,100000)+ROW()/100000,"")</f>
        <v/>
      </c>
      <c r="AC1164" s="66" t="str">
        <f>IF(A1164="","",IF(COUNTIF($A$6:A1164,A1164)=1,1,""))</f>
        <v/>
      </c>
      <c r="AD1164" s="66" t="str">
        <f>IF(AC1164=1,COUNT($AC$6:AC1164),"")</f>
        <v/>
      </c>
      <c r="AE1164" s="66" t="str">
        <f>IFERROR(INDEX(po_num,MATCH(1159,po_seq,0))&amp;"","")</f>
        <v/>
      </c>
      <c r="AF1164" s="66" t="str">
        <f>IF(OR(A1164="",p_po=""),"",IF(A1164&amp;""=p_po,COUNTIF($A$6:A1164,A1164),""))</f>
        <v/>
      </c>
      <c r="AG1164" s="66" t="str">
        <f>IF(OR(AB1164="",A1164=""),"",IF(COUNTIFS($A$6:A1164,A1164,$AB$6:AB1164,"&gt;0")=1,1,""))</f>
        <v/>
      </c>
      <c r="AH1164" s="70" t="str">
        <f>IF(AB1164="","",ROUND(N(W1164)*N(J1164)*(1-N(K1164)),2))</f>
        <v/>
      </c>
      <c r="AI1164" s="70" t="str">
        <f>IF(OR(J1164="",N(T1164)&lt;=0,V1164="Oui"),"",ROUND(N(T1164)*J1164*(1-N(K1164)),2))</f>
        <v/>
      </c>
    </row>
    <row r="1165">
      <c r="A1165" s="63" t="n"/>
      <c r="B1165" s="64" t="n"/>
      <c r="C1165" s="65" t="n"/>
      <c r="D1165" s="66" t="str">
        <f>IF(C1165="","",IFERROR(INDEX(sup_name,MATCH($C1165,sup_code,0))&amp;"","Fournisseur inconnu"))</f>
        <v/>
      </c>
      <c r="E1165" s="63" t="n"/>
      <c r="F1165" s="66" t="str">
        <f>IF(E1165="","",IFERROR(INDEX(art_des,MATCH($E1165,art_ref,0))&amp;"","Article inconnu"))</f>
        <v/>
      </c>
      <c r="G1165" s="67" t="str">
        <f>IF(E1165="","",IFERROR(INDEX(art_unit,MATCH($E1165,art_ref,0))&amp;"",""))</f>
        <v/>
      </c>
      <c r="H1165" s="68" t="n"/>
      <c r="I1165" s="69" t="n"/>
      <c r="J1165" s="70" t="str">
        <f>IF(E1165="","",IF(ISNUMBER(I1165),I1165,IFERROR(IF(ISNUMBER(INDEX(art_price,MATCH($E1165,art_ref,0))),INDEX(art_price,MATCH($E1165,art_ref,0)),""),"")))</f>
        <v/>
      </c>
      <c r="K1165" s="71" t="n"/>
      <c r="L1165" s="72" t="n"/>
      <c r="M1165" s="72" t="str">
        <f>IF(E1165="","",IF(L1165&lt;&gt;"",L1165,IFERROR(IF(ISNUMBER(INDEX(art_tva,MATCH($E1165,art_ref,0))),INDEX(art_tva,MATCH($E1165,art_ref,0)),""),"")))</f>
        <v/>
      </c>
      <c r="N1165" s="70" t="str">
        <f>IF(OR(E1165="",J1165=""),"",ROUND(N(H1165)*J1165*(1-N(K1165)),2))</f>
        <v/>
      </c>
      <c r="O1165" s="70" t="str">
        <f>IF(OR(N1165="",NOT(ISNUMBER(M1165))),"",ROUND(N1165*M1165,2))</f>
        <v/>
      </c>
      <c r="P1165" s="70" t="str">
        <f>IF(N1165="","",N1165+N(O1165))</f>
        <v/>
      </c>
      <c r="Q1165" s="64" t="n"/>
      <c r="R1165" s="73" t="str">
        <f>IF(N(Q1165)&gt;0,Q1165,IF(OR(N(B1165)=0,ISNA(MATCH($C1165,sup_code,0))),"",IF(ISNUMBER(INDEX(sup_delay,MATCH($C1165,sup_code,0))),B1165+INDEX(sup_delay,MATCH($C1165,sup_code,0)),"")))</f>
        <v/>
      </c>
      <c r="S1165" s="64" t="n"/>
      <c r="T1165" s="68" t="n"/>
      <c r="U1165" s="64" t="n"/>
      <c r="V1165" s="65" t="n"/>
      <c r="W1165" s="74" t="str">
        <f>IF(AND(A1165="",E1165=""),"",IF(V1165="Oui",0,MAX(0,ROUND(N(H1165)-N(T1165),6))))</f>
        <v/>
      </c>
      <c r="X1165" s="67" t="str">
        <f>IF(AND(A1165="",E1165=""),"",IF(V1165="Oui","Annulé",IF(AND(N(H1165)&gt;0,N(T1165)&gt;=N(H1165)),"Reçu",IF(N(S1165)=0,"Brouillon",IF(AND(ISNUMBER(R1165),R1165&lt;p_today),"En retard",IF(N(T1165)&gt;0,"Partiel","Envoyé"))))))</f>
        <v/>
      </c>
      <c r="Y1165" s="75" t="str">
        <f>IF(X1165="En retard",p_today-R1165,IF(AND(X1165="Reçu",ISNUMBER(R1165)),MAX(0,N(U1165)-R1165),""))</f>
        <v/>
      </c>
      <c r="Z1165" s="67" t="str">
        <f>IF(AND(A1165="",E1165=""),"",IF(A1165="","N° de bon manquant",IF(N(B1165)=0,"Date de commande manquante",IF(C1165="","Fournisseur manquant",IF(ISNA(MATCH($C1165,sup_code,0)),"Fournisseur inconnu",IF(E1165="","Article manquant",IF(ISNA(MATCH($E1165,art_ref,0)),"Article inconnu",IF(N(H1165)&lt;=0,"Quantité invalide",IF(J1165="","Prix manquant",IF(OR(N(K1165)&lt;0,N(K1165)&gt;=1),"Remise invalide",IF(M1165="","TVA manquante",IF(ISNA(MATCH(M1165,p_tva,0)),"Taux de TVA inconnu",IF(COUNTIFS(po_num,A1165,po_sup,"&lt;&gt;"&amp;C1165)&gt;0,"Fournisseur différent sur ce bon",IF(COUNTIFS(po_num,A1165,po_date,"&lt;&gt;"&amp;B1165)&gt;0,"Date différente sur ce bon",IF(COUNTIF(po_num,A1165)&gt;25,"Plus de 25 lignes sur ce bon",IF(R1165="","Date de livraison manquante",IF(R1165&lt;B1165,"Livraison avant la commande",IF(AND(N(T1165)&gt;0,N(S1165)=0),"Date d'envoi manquante",IF(N(T1165)&gt;N(H1165),"Reçu plus que commandé",IF(AND(N(T1165)&gt;0,N(U1165)=0),"Date de réception manquante",IF(AND(N(U1165)&gt;0,U1165&lt;B1165),"Réception avant la commande","OK")))))))))))))))))))))</f>
        <v/>
      </c>
      <c r="AA1165" s="66" t="str">
        <f>IF(AND(X1165="Reçu",ISNUMBER(R1165)),IF(N(U1165)&lt;=R1165,1,0),"")</f>
        <v/>
      </c>
      <c r="AB1165" s="76" t="str">
        <f>IF(OR(X1165="Envoyé",X1165="Partiel",X1165="En retard"),IF(ISNUMBER(R1165),R1165,100000)+ROW()/100000,"")</f>
        <v/>
      </c>
      <c r="AC1165" s="66" t="str">
        <f>IF(A1165="","",IF(COUNTIF($A$6:A1165,A1165)=1,1,""))</f>
        <v/>
      </c>
      <c r="AD1165" s="66" t="str">
        <f>IF(AC1165=1,COUNT($AC$6:AC1165),"")</f>
        <v/>
      </c>
      <c r="AE1165" s="66" t="str">
        <f>IFERROR(INDEX(po_num,MATCH(1160,po_seq,0))&amp;"","")</f>
        <v/>
      </c>
      <c r="AF1165" s="66" t="str">
        <f>IF(OR(A1165="",p_po=""),"",IF(A1165&amp;""=p_po,COUNTIF($A$6:A1165,A1165),""))</f>
        <v/>
      </c>
      <c r="AG1165" s="66" t="str">
        <f>IF(OR(AB1165="",A1165=""),"",IF(COUNTIFS($A$6:A1165,A1165,$AB$6:AB1165,"&gt;0")=1,1,""))</f>
        <v/>
      </c>
      <c r="AH1165" s="70" t="str">
        <f>IF(AB1165="","",ROUND(N(W1165)*N(J1165)*(1-N(K1165)),2))</f>
        <v/>
      </c>
      <c r="AI1165" s="70" t="str">
        <f>IF(OR(J1165="",N(T1165)&lt;=0,V1165="Oui"),"",ROUND(N(T1165)*J1165*(1-N(K1165)),2))</f>
        <v/>
      </c>
    </row>
    <row r="1166">
      <c r="A1166" s="63" t="n"/>
      <c r="B1166" s="64" t="n"/>
      <c r="C1166" s="65" t="n"/>
      <c r="D1166" s="66" t="str">
        <f>IF(C1166="","",IFERROR(INDEX(sup_name,MATCH($C1166,sup_code,0))&amp;"","Fournisseur inconnu"))</f>
        <v/>
      </c>
      <c r="E1166" s="63" t="n"/>
      <c r="F1166" s="66" t="str">
        <f>IF(E1166="","",IFERROR(INDEX(art_des,MATCH($E1166,art_ref,0))&amp;"","Article inconnu"))</f>
        <v/>
      </c>
      <c r="G1166" s="67" t="str">
        <f>IF(E1166="","",IFERROR(INDEX(art_unit,MATCH($E1166,art_ref,0))&amp;"",""))</f>
        <v/>
      </c>
      <c r="H1166" s="68" t="n"/>
      <c r="I1166" s="69" t="n"/>
      <c r="J1166" s="70" t="str">
        <f>IF(E1166="","",IF(ISNUMBER(I1166),I1166,IFERROR(IF(ISNUMBER(INDEX(art_price,MATCH($E1166,art_ref,0))),INDEX(art_price,MATCH($E1166,art_ref,0)),""),"")))</f>
        <v/>
      </c>
      <c r="K1166" s="71" t="n"/>
      <c r="L1166" s="72" t="n"/>
      <c r="M1166" s="72" t="str">
        <f>IF(E1166="","",IF(L1166&lt;&gt;"",L1166,IFERROR(IF(ISNUMBER(INDEX(art_tva,MATCH($E1166,art_ref,0))),INDEX(art_tva,MATCH($E1166,art_ref,0)),""),"")))</f>
        <v/>
      </c>
      <c r="N1166" s="70" t="str">
        <f>IF(OR(E1166="",J1166=""),"",ROUND(N(H1166)*J1166*(1-N(K1166)),2))</f>
        <v/>
      </c>
      <c r="O1166" s="70" t="str">
        <f>IF(OR(N1166="",NOT(ISNUMBER(M1166))),"",ROUND(N1166*M1166,2))</f>
        <v/>
      </c>
      <c r="P1166" s="70" t="str">
        <f>IF(N1166="","",N1166+N(O1166))</f>
        <v/>
      </c>
      <c r="Q1166" s="64" t="n"/>
      <c r="R1166" s="73" t="str">
        <f>IF(N(Q1166)&gt;0,Q1166,IF(OR(N(B1166)=0,ISNA(MATCH($C1166,sup_code,0))),"",IF(ISNUMBER(INDEX(sup_delay,MATCH($C1166,sup_code,0))),B1166+INDEX(sup_delay,MATCH($C1166,sup_code,0)),"")))</f>
        <v/>
      </c>
      <c r="S1166" s="64" t="n"/>
      <c r="T1166" s="68" t="n"/>
      <c r="U1166" s="64" t="n"/>
      <c r="V1166" s="65" t="n"/>
      <c r="W1166" s="74" t="str">
        <f>IF(AND(A1166="",E1166=""),"",IF(V1166="Oui",0,MAX(0,ROUND(N(H1166)-N(T1166),6))))</f>
        <v/>
      </c>
      <c r="X1166" s="67" t="str">
        <f>IF(AND(A1166="",E1166=""),"",IF(V1166="Oui","Annulé",IF(AND(N(H1166)&gt;0,N(T1166)&gt;=N(H1166)),"Reçu",IF(N(S1166)=0,"Brouillon",IF(AND(ISNUMBER(R1166),R1166&lt;p_today),"En retard",IF(N(T1166)&gt;0,"Partiel","Envoyé"))))))</f>
        <v/>
      </c>
      <c r="Y1166" s="75" t="str">
        <f>IF(X1166="En retard",p_today-R1166,IF(AND(X1166="Reçu",ISNUMBER(R1166)),MAX(0,N(U1166)-R1166),""))</f>
        <v/>
      </c>
      <c r="Z1166" s="67" t="str">
        <f>IF(AND(A1166="",E1166=""),"",IF(A1166="","N° de bon manquant",IF(N(B1166)=0,"Date de commande manquante",IF(C1166="","Fournisseur manquant",IF(ISNA(MATCH($C1166,sup_code,0)),"Fournisseur inconnu",IF(E1166="","Article manquant",IF(ISNA(MATCH($E1166,art_ref,0)),"Article inconnu",IF(N(H1166)&lt;=0,"Quantité invalide",IF(J1166="","Prix manquant",IF(OR(N(K1166)&lt;0,N(K1166)&gt;=1),"Remise invalide",IF(M1166="","TVA manquante",IF(ISNA(MATCH(M1166,p_tva,0)),"Taux de TVA inconnu",IF(COUNTIFS(po_num,A1166,po_sup,"&lt;&gt;"&amp;C1166)&gt;0,"Fournisseur différent sur ce bon",IF(COUNTIFS(po_num,A1166,po_date,"&lt;&gt;"&amp;B1166)&gt;0,"Date différente sur ce bon",IF(COUNTIF(po_num,A1166)&gt;25,"Plus de 25 lignes sur ce bon",IF(R1166="","Date de livraison manquante",IF(R1166&lt;B1166,"Livraison avant la commande",IF(AND(N(T1166)&gt;0,N(S1166)=0),"Date d'envoi manquante",IF(N(T1166)&gt;N(H1166),"Reçu plus que commandé",IF(AND(N(T1166)&gt;0,N(U1166)=0),"Date de réception manquante",IF(AND(N(U1166)&gt;0,U1166&lt;B1166),"Réception avant la commande","OK")))))))))))))))))))))</f>
        <v/>
      </c>
      <c r="AA1166" s="66" t="str">
        <f>IF(AND(X1166="Reçu",ISNUMBER(R1166)),IF(N(U1166)&lt;=R1166,1,0),"")</f>
        <v/>
      </c>
      <c r="AB1166" s="76" t="str">
        <f>IF(OR(X1166="Envoyé",X1166="Partiel",X1166="En retard"),IF(ISNUMBER(R1166),R1166,100000)+ROW()/100000,"")</f>
        <v/>
      </c>
      <c r="AC1166" s="66" t="str">
        <f>IF(A1166="","",IF(COUNTIF($A$6:A1166,A1166)=1,1,""))</f>
        <v/>
      </c>
      <c r="AD1166" s="66" t="str">
        <f>IF(AC1166=1,COUNT($AC$6:AC1166),"")</f>
        <v/>
      </c>
      <c r="AE1166" s="66" t="str">
        <f>IFERROR(INDEX(po_num,MATCH(1161,po_seq,0))&amp;"","")</f>
        <v/>
      </c>
      <c r="AF1166" s="66" t="str">
        <f>IF(OR(A1166="",p_po=""),"",IF(A1166&amp;""=p_po,COUNTIF($A$6:A1166,A1166),""))</f>
        <v/>
      </c>
      <c r="AG1166" s="66" t="str">
        <f>IF(OR(AB1166="",A1166=""),"",IF(COUNTIFS($A$6:A1166,A1166,$AB$6:AB1166,"&gt;0")=1,1,""))</f>
        <v/>
      </c>
      <c r="AH1166" s="70" t="str">
        <f>IF(AB1166="","",ROUND(N(W1166)*N(J1166)*(1-N(K1166)),2))</f>
        <v/>
      </c>
      <c r="AI1166" s="70" t="str">
        <f>IF(OR(J1166="",N(T1166)&lt;=0,V1166="Oui"),"",ROUND(N(T1166)*J1166*(1-N(K1166)),2))</f>
        <v/>
      </c>
    </row>
    <row r="1167">
      <c r="A1167" s="63" t="n"/>
      <c r="B1167" s="64" t="n"/>
      <c r="C1167" s="65" t="n"/>
      <c r="D1167" s="66" t="str">
        <f>IF(C1167="","",IFERROR(INDEX(sup_name,MATCH($C1167,sup_code,0))&amp;"","Fournisseur inconnu"))</f>
        <v/>
      </c>
      <c r="E1167" s="63" t="n"/>
      <c r="F1167" s="66" t="str">
        <f>IF(E1167="","",IFERROR(INDEX(art_des,MATCH($E1167,art_ref,0))&amp;"","Article inconnu"))</f>
        <v/>
      </c>
      <c r="G1167" s="67" t="str">
        <f>IF(E1167="","",IFERROR(INDEX(art_unit,MATCH($E1167,art_ref,0))&amp;"",""))</f>
        <v/>
      </c>
      <c r="H1167" s="68" t="n"/>
      <c r="I1167" s="69" t="n"/>
      <c r="J1167" s="70" t="str">
        <f>IF(E1167="","",IF(ISNUMBER(I1167),I1167,IFERROR(IF(ISNUMBER(INDEX(art_price,MATCH($E1167,art_ref,0))),INDEX(art_price,MATCH($E1167,art_ref,0)),""),"")))</f>
        <v/>
      </c>
      <c r="K1167" s="71" t="n"/>
      <c r="L1167" s="72" t="n"/>
      <c r="M1167" s="72" t="str">
        <f>IF(E1167="","",IF(L1167&lt;&gt;"",L1167,IFERROR(IF(ISNUMBER(INDEX(art_tva,MATCH($E1167,art_ref,0))),INDEX(art_tva,MATCH($E1167,art_ref,0)),""),"")))</f>
        <v/>
      </c>
      <c r="N1167" s="70" t="str">
        <f>IF(OR(E1167="",J1167=""),"",ROUND(N(H1167)*J1167*(1-N(K1167)),2))</f>
        <v/>
      </c>
      <c r="O1167" s="70" t="str">
        <f>IF(OR(N1167="",NOT(ISNUMBER(M1167))),"",ROUND(N1167*M1167,2))</f>
        <v/>
      </c>
      <c r="P1167" s="70" t="str">
        <f>IF(N1167="","",N1167+N(O1167))</f>
        <v/>
      </c>
      <c r="Q1167" s="64" t="n"/>
      <c r="R1167" s="73" t="str">
        <f>IF(N(Q1167)&gt;0,Q1167,IF(OR(N(B1167)=0,ISNA(MATCH($C1167,sup_code,0))),"",IF(ISNUMBER(INDEX(sup_delay,MATCH($C1167,sup_code,0))),B1167+INDEX(sup_delay,MATCH($C1167,sup_code,0)),"")))</f>
        <v/>
      </c>
      <c r="S1167" s="64" t="n"/>
      <c r="T1167" s="68" t="n"/>
      <c r="U1167" s="64" t="n"/>
      <c r="V1167" s="65" t="n"/>
      <c r="W1167" s="74" t="str">
        <f>IF(AND(A1167="",E1167=""),"",IF(V1167="Oui",0,MAX(0,ROUND(N(H1167)-N(T1167),6))))</f>
        <v/>
      </c>
      <c r="X1167" s="67" t="str">
        <f>IF(AND(A1167="",E1167=""),"",IF(V1167="Oui","Annulé",IF(AND(N(H1167)&gt;0,N(T1167)&gt;=N(H1167)),"Reçu",IF(N(S1167)=0,"Brouillon",IF(AND(ISNUMBER(R1167),R1167&lt;p_today),"En retard",IF(N(T1167)&gt;0,"Partiel","Envoyé"))))))</f>
        <v/>
      </c>
      <c r="Y1167" s="75" t="str">
        <f>IF(X1167="En retard",p_today-R1167,IF(AND(X1167="Reçu",ISNUMBER(R1167)),MAX(0,N(U1167)-R1167),""))</f>
        <v/>
      </c>
      <c r="Z1167" s="67" t="str">
        <f>IF(AND(A1167="",E1167=""),"",IF(A1167="","N° de bon manquant",IF(N(B1167)=0,"Date de commande manquante",IF(C1167="","Fournisseur manquant",IF(ISNA(MATCH($C1167,sup_code,0)),"Fournisseur inconnu",IF(E1167="","Article manquant",IF(ISNA(MATCH($E1167,art_ref,0)),"Article inconnu",IF(N(H1167)&lt;=0,"Quantité invalide",IF(J1167="","Prix manquant",IF(OR(N(K1167)&lt;0,N(K1167)&gt;=1),"Remise invalide",IF(M1167="","TVA manquante",IF(ISNA(MATCH(M1167,p_tva,0)),"Taux de TVA inconnu",IF(COUNTIFS(po_num,A1167,po_sup,"&lt;&gt;"&amp;C1167)&gt;0,"Fournisseur différent sur ce bon",IF(COUNTIFS(po_num,A1167,po_date,"&lt;&gt;"&amp;B1167)&gt;0,"Date différente sur ce bon",IF(COUNTIF(po_num,A1167)&gt;25,"Plus de 25 lignes sur ce bon",IF(R1167="","Date de livraison manquante",IF(R1167&lt;B1167,"Livraison avant la commande",IF(AND(N(T1167)&gt;0,N(S1167)=0),"Date d'envoi manquante",IF(N(T1167)&gt;N(H1167),"Reçu plus que commandé",IF(AND(N(T1167)&gt;0,N(U1167)=0),"Date de réception manquante",IF(AND(N(U1167)&gt;0,U1167&lt;B1167),"Réception avant la commande","OK")))))))))))))))))))))</f>
        <v/>
      </c>
      <c r="AA1167" s="66" t="str">
        <f>IF(AND(X1167="Reçu",ISNUMBER(R1167)),IF(N(U1167)&lt;=R1167,1,0),"")</f>
        <v/>
      </c>
      <c r="AB1167" s="76" t="str">
        <f>IF(OR(X1167="Envoyé",X1167="Partiel",X1167="En retard"),IF(ISNUMBER(R1167),R1167,100000)+ROW()/100000,"")</f>
        <v/>
      </c>
      <c r="AC1167" s="66" t="str">
        <f>IF(A1167="","",IF(COUNTIF($A$6:A1167,A1167)=1,1,""))</f>
        <v/>
      </c>
      <c r="AD1167" s="66" t="str">
        <f>IF(AC1167=1,COUNT($AC$6:AC1167),"")</f>
        <v/>
      </c>
      <c r="AE1167" s="66" t="str">
        <f>IFERROR(INDEX(po_num,MATCH(1162,po_seq,0))&amp;"","")</f>
        <v/>
      </c>
      <c r="AF1167" s="66" t="str">
        <f>IF(OR(A1167="",p_po=""),"",IF(A1167&amp;""=p_po,COUNTIF($A$6:A1167,A1167),""))</f>
        <v/>
      </c>
      <c r="AG1167" s="66" t="str">
        <f>IF(OR(AB1167="",A1167=""),"",IF(COUNTIFS($A$6:A1167,A1167,$AB$6:AB1167,"&gt;0")=1,1,""))</f>
        <v/>
      </c>
      <c r="AH1167" s="70" t="str">
        <f>IF(AB1167="","",ROUND(N(W1167)*N(J1167)*(1-N(K1167)),2))</f>
        <v/>
      </c>
      <c r="AI1167" s="70" t="str">
        <f>IF(OR(J1167="",N(T1167)&lt;=0,V1167="Oui"),"",ROUND(N(T1167)*J1167*(1-N(K1167)),2))</f>
        <v/>
      </c>
    </row>
    <row r="1168">
      <c r="A1168" s="63" t="n"/>
      <c r="B1168" s="64" t="n"/>
      <c r="C1168" s="65" t="n"/>
      <c r="D1168" s="66" t="str">
        <f>IF(C1168="","",IFERROR(INDEX(sup_name,MATCH($C1168,sup_code,0))&amp;"","Fournisseur inconnu"))</f>
        <v/>
      </c>
      <c r="E1168" s="63" t="n"/>
      <c r="F1168" s="66" t="str">
        <f>IF(E1168="","",IFERROR(INDEX(art_des,MATCH($E1168,art_ref,0))&amp;"","Article inconnu"))</f>
        <v/>
      </c>
      <c r="G1168" s="67" t="str">
        <f>IF(E1168="","",IFERROR(INDEX(art_unit,MATCH($E1168,art_ref,0))&amp;"",""))</f>
        <v/>
      </c>
      <c r="H1168" s="68" t="n"/>
      <c r="I1168" s="69" t="n"/>
      <c r="J1168" s="70" t="str">
        <f>IF(E1168="","",IF(ISNUMBER(I1168),I1168,IFERROR(IF(ISNUMBER(INDEX(art_price,MATCH($E1168,art_ref,0))),INDEX(art_price,MATCH($E1168,art_ref,0)),""),"")))</f>
        <v/>
      </c>
      <c r="K1168" s="71" t="n"/>
      <c r="L1168" s="72" t="n"/>
      <c r="M1168" s="72" t="str">
        <f>IF(E1168="","",IF(L1168&lt;&gt;"",L1168,IFERROR(IF(ISNUMBER(INDEX(art_tva,MATCH($E1168,art_ref,0))),INDEX(art_tva,MATCH($E1168,art_ref,0)),""),"")))</f>
        <v/>
      </c>
      <c r="N1168" s="70" t="str">
        <f>IF(OR(E1168="",J1168=""),"",ROUND(N(H1168)*J1168*(1-N(K1168)),2))</f>
        <v/>
      </c>
      <c r="O1168" s="70" t="str">
        <f>IF(OR(N1168="",NOT(ISNUMBER(M1168))),"",ROUND(N1168*M1168,2))</f>
        <v/>
      </c>
      <c r="P1168" s="70" t="str">
        <f>IF(N1168="","",N1168+N(O1168))</f>
        <v/>
      </c>
      <c r="Q1168" s="64" t="n"/>
      <c r="R1168" s="73" t="str">
        <f>IF(N(Q1168)&gt;0,Q1168,IF(OR(N(B1168)=0,ISNA(MATCH($C1168,sup_code,0))),"",IF(ISNUMBER(INDEX(sup_delay,MATCH($C1168,sup_code,0))),B1168+INDEX(sup_delay,MATCH($C1168,sup_code,0)),"")))</f>
        <v/>
      </c>
      <c r="S1168" s="64" t="n"/>
      <c r="T1168" s="68" t="n"/>
      <c r="U1168" s="64" t="n"/>
      <c r="V1168" s="65" t="n"/>
      <c r="W1168" s="74" t="str">
        <f>IF(AND(A1168="",E1168=""),"",IF(V1168="Oui",0,MAX(0,ROUND(N(H1168)-N(T1168),6))))</f>
        <v/>
      </c>
      <c r="X1168" s="67" t="str">
        <f>IF(AND(A1168="",E1168=""),"",IF(V1168="Oui","Annulé",IF(AND(N(H1168)&gt;0,N(T1168)&gt;=N(H1168)),"Reçu",IF(N(S1168)=0,"Brouillon",IF(AND(ISNUMBER(R1168),R1168&lt;p_today),"En retard",IF(N(T1168)&gt;0,"Partiel","Envoyé"))))))</f>
        <v/>
      </c>
      <c r="Y1168" s="75" t="str">
        <f>IF(X1168="En retard",p_today-R1168,IF(AND(X1168="Reçu",ISNUMBER(R1168)),MAX(0,N(U1168)-R1168),""))</f>
        <v/>
      </c>
      <c r="Z1168" s="67" t="str">
        <f>IF(AND(A1168="",E1168=""),"",IF(A1168="","N° de bon manquant",IF(N(B1168)=0,"Date de commande manquante",IF(C1168="","Fournisseur manquant",IF(ISNA(MATCH($C1168,sup_code,0)),"Fournisseur inconnu",IF(E1168="","Article manquant",IF(ISNA(MATCH($E1168,art_ref,0)),"Article inconnu",IF(N(H1168)&lt;=0,"Quantité invalide",IF(J1168="","Prix manquant",IF(OR(N(K1168)&lt;0,N(K1168)&gt;=1),"Remise invalide",IF(M1168="","TVA manquante",IF(ISNA(MATCH(M1168,p_tva,0)),"Taux de TVA inconnu",IF(COUNTIFS(po_num,A1168,po_sup,"&lt;&gt;"&amp;C1168)&gt;0,"Fournisseur différent sur ce bon",IF(COUNTIFS(po_num,A1168,po_date,"&lt;&gt;"&amp;B1168)&gt;0,"Date différente sur ce bon",IF(COUNTIF(po_num,A1168)&gt;25,"Plus de 25 lignes sur ce bon",IF(R1168="","Date de livraison manquante",IF(R1168&lt;B1168,"Livraison avant la commande",IF(AND(N(T1168)&gt;0,N(S1168)=0),"Date d'envoi manquante",IF(N(T1168)&gt;N(H1168),"Reçu plus que commandé",IF(AND(N(T1168)&gt;0,N(U1168)=0),"Date de réception manquante",IF(AND(N(U1168)&gt;0,U1168&lt;B1168),"Réception avant la commande","OK")))))))))))))))))))))</f>
        <v/>
      </c>
      <c r="AA1168" s="66" t="str">
        <f>IF(AND(X1168="Reçu",ISNUMBER(R1168)),IF(N(U1168)&lt;=R1168,1,0),"")</f>
        <v/>
      </c>
      <c r="AB1168" s="76" t="str">
        <f>IF(OR(X1168="Envoyé",X1168="Partiel",X1168="En retard"),IF(ISNUMBER(R1168),R1168,100000)+ROW()/100000,"")</f>
        <v/>
      </c>
      <c r="AC1168" s="66" t="str">
        <f>IF(A1168="","",IF(COUNTIF($A$6:A1168,A1168)=1,1,""))</f>
        <v/>
      </c>
      <c r="AD1168" s="66" t="str">
        <f>IF(AC1168=1,COUNT($AC$6:AC1168),"")</f>
        <v/>
      </c>
      <c r="AE1168" s="66" t="str">
        <f>IFERROR(INDEX(po_num,MATCH(1163,po_seq,0))&amp;"","")</f>
        <v/>
      </c>
      <c r="AF1168" s="66" t="str">
        <f>IF(OR(A1168="",p_po=""),"",IF(A1168&amp;""=p_po,COUNTIF($A$6:A1168,A1168),""))</f>
        <v/>
      </c>
      <c r="AG1168" s="66" t="str">
        <f>IF(OR(AB1168="",A1168=""),"",IF(COUNTIFS($A$6:A1168,A1168,$AB$6:AB1168,"&gt;0")=1,1,""))</f>
        <v/>
      </c>
      <c r="AH1168" s="70" t="str">
        <f>IF(AB1168="","",ROUND(N(W1168)*N(J1168)*(1-N(K1168)),2))</f>
        <v/>
      </c>
      <c r="AI1168" s="70" t="str">
        <f>IF(OR(J1168="",N(T1168)&lt;=0,V1168="Oui"),"",ROUND(N(T1168)*J1168*(1-N(K1168)),2))</f>
        <v/>
      </c>
    </row>
    <row r="1169">
      <c r="A1169" s="63" t="n"/>
      <c r="B1169" s="64" t="n"/>
      <c r="C1169" s="65" t="n"/>
      <c r="D1169" s="66" t="str">
        <f>IF(C1169="","",IFERROR(INDEX(sup_name,MATCH($C1169,sup_code,0))&amp;"","Fournisseur inconnu"))</f>
        <v/>
      </c>
      <c r="E1169" s="63" t="n"/>
      <c r="F1169" s="66" t="str">
        <f>IF(E1169="","",IFERROR(INDEX(art_des,MATCH($E1169,art_ref,0))&amp;"","Article inconnu"))</f>
        <v/>
      </c>
      <c r="G1169" s="67" t="str">
        <f>IF(E1169="","",IFERROR(INDEX(art_unit,MATCH($E1169,art_ref,0))&amp;"",""))</f>
        <v/>
      </c>
      <c r="H1169" s="68" t="n"/>
      <c r="I1169" s="69" t="n"/>
      <c r="J1169" s="70" t="str">
        <f>IF(E1169="","",IF(ISNUMBER(I1169),I1169,IFERROR(IF(ISNUMBER(INDEX(art_price,MATCH($E1169,art_ref,0))),INDEX(art_price,MATCH($E1169,art_ref,0)),""),"")))</f>
        <v/>
      </c>
      <c r="K1169" s="71" t="n"/>
      <c r="L1169" s="72" t="n"/>
      <c r="M1169" s="72" t="str">
        <f>IF(E1169="","",IF(L1169&lt;&gt;"",L1169,IFERROR(IF(ISNUMBER(INDEX(art_tva,MATCH($E1169,art_ref,0))),INDEX(art_tva,MATCH($E1169,art_ref,0)),""),"")))</f>
        <v/>
      </c>
      <c r="N1169" s="70" t="str">
        <f>IF(OR(E1169="",J1169=""),"",ROUND(N(H1169)*J1169*(1-N(K1169)),2))</f>
        <v/>
      </c>
      <c r="O1169" s="70" t="str">
        <f>IF(OR(N1169="",NOT(ISNUMBER(M1169))),"",ROUND(N1169*M1169,2))</f>
        <v/>
      </c>
      <c r="P1169" s="70" t="str">
        <f>IF(N1169="","",N1169+N(O1169))</f>
        <v/>
      </c>
      <c r="Q1169" s="64" t="n"/>
      <c r="R1169" s="73" t="str">
        <f>IF(N(Q1169)&gt;0,Q1169,IF(OR(N(B1169)=0,ISNA(MATCH($C1169,sup_code,0))),"",IF(ISNUMBER(INDEX(sup_delay,MATCH($C1169,sup_code,0))),B1169+INDEX(sup_delay,MATCH($C1169,sup_code,0)),"")))</f>
        <v/>
      </c>
      <c r="S1169" s="64" t="n"/>
      <c r="T1169" s="68" t="n"/>
      <c r="U1169" s="64" t="n"/>
      <c r="V1169" s="65" t="n"/>
      <c r="W1169" s="74" t="str">
        <f>IF(AND(A1169="",E1169=""),"",IF(V1169="Oui",0,MAX(0,ROUND(N(H1169)-N(T1169),6))))</f>
        <v/>
      </c>
      <c r="X1169" s="67" t="str">
        <f>IF(AND(A1169="",E1169=""),"",IF(V1169="Oui","Annulé",IF(AND(N(H1169)&gt;0,N(T1169)&gt;=N(H1169)),"Reçu",IF(N(S1169)=0,"Brouillon",IF(AND(ISNUMBER(R1169),R1169&lt;p_today),"En retard",IF(N(T1169)&gt;0,"Partiel","Envoyé"))))))</f>
        <v/>
      </c>
      <c r="Y1169" s="75" t="str">
        <f>IF(X1169="En retard",p_today-R1169,IF(AND(X1169="Reçu",ISNUMBER(R1169)),MAX(0,N(U1169)-R1169),""))</f>
        <v/>
      </c>
      <c r="Z1169" s="67" t="str">
        <f>IF(AND(A1169="",E1169=""),"",IF(A1169="","N° de bon manquant",IF(N(B1169)=0,"Date de commande manquante",IF(C1169="","Fournisseur manquant",IF(ISNA(MATCH($C1169,sup_code,0)),"Fournisseur inconnu",IF(E1169="","Article manquant",IF(ISNA(MATCH($E1169,art_ref,0)),"Article inconnu",IF(N(H1169)&lt;=0,"Quantité invalide",IF(J1169="","Prix manquant",IF(OR(N(K1169)&lt;0,N(K1169)&gt;=1),"Remise invalide",IF(M1169="","TVA manquante",IF(ISNA(MATCH(M1169,p_tva,0)),"Taux de TVA inconnu",IF(COUNTIFS(po_num,A1169,po_sup,"&lt;&gt;"&amp;C1169)&gt;0,"Fournisseur différent sur ce bon",IF(COUNTIFS(po_num,A1169,po_date,"&lt;&gt;"&amp;B1169)&gt;0,"Date différente sur ce bon",IF(COUNTIF(po_num,A1169)&gt;25,"Plus de 25 lignes sur ce bon",IF(R1169="","Date de livraison manquante",IF(R1169&lt;B1169,"Livraison avant la commande",IF(AND(N(T1169)&gt;0,N(S1169)=0),"Date d'envoi manquante",IF(N(T1169)&gt;N(H1169),"Reçu plus que commandé",IF(AND(N(T1169)&gt;0,N(U1169)=0),"Date de réception manquante",IF(AND(N(U1169)&gt;0,U1169&lt;B1169),"Réception avant la commande","OK")))))))))))))))))))))</f>
        <v/>
      </c>
      <c r="AA1169" s="66" t="str">
        <f>IF(AND(X1169="Reçu",ISNUMBER(R1169)),IF(N(U1169)&lt;=R1169,1,0),"")</f>
        <v/>
      </c>
      <c r="AB1169" s="76" t="str">
        <f>IF(OR(X1169="Envoyé",X1169="Partiel",X1169="En retard"),IF(ISNUMBER(R1169),R1169,100000)+ROW()/100000,"")</f>
        <v/>
      </c>
      <c r="AC1169" s="66" t="str">
        <f>IF(A1169="","",IF(COUNTIF($A$6:A1169,A1169)=1,1,""))</f>
        <v/>
      </c>
      <c r="AD1169" s="66" t="str">
        <f>IF(AC1169=1,COUNT($AC$6:AC1169),"")</f>
        <v/>
      </c>
      <c r="AE1169" s="66" t="str">
        <f>IFERROR(INDEX(po_num,MATCH(1164,po_seq,0))&amp;"","")</f>
        <v/>
      </c>
      <c r="AF1169" s="66" t="str">
        <f>IF(OR(A1169="",p_po=""),"",IF(A1169&amp;""=p_po,COUNTIF($A$6:A1169,A1169),""))</f>
        <v/>
      </c>
      <c r="AG1169" s="66" t="str">
        <f>IF(OR(AB1169="",A1169=""),"",IF(COUNTIFS($A$6:A1169,A1169,$AB$6:AB1169,"&gt;0")=1,1,""))</f>
        <v/>
      </c>
      <c r="AH1169" s="70" t="str">
        <f>IF(AB1169="","",ROUND(N(W1169)*N(J1169)*(1-N(K1169)),2))</f>
        <v/>
      </c>
      <c r="AI1169" s="70" t="str">
        <f>IF(OR(J1169="",N(T1169)&lt;=0,V1169="Oui"),"",ROUND(N(T1169)*J1169*(1-N(K1169)),2))</f>
        <v/>
      </c>
    </row>
    <row r="1170">
      <c r="A1170" s="63" t="n"/>
      <c r="B1170" s="64" t="n"/>
      <c r="C1170" s="65" t="n"/>
      <c r="D1170" s="66" t="str">
        <f>IF(C1170="","",IFERROR(INDEX(sup_name,MATCH($C1170,sup_code,0))&amp;"","Fournisseur inconnu"))</f>
        <v/>
      </c>
      <c r="E1170" s="63" t="n"/>
      <c r="F1170" s="66" t="str">
        <f>IF(E1170="","",IFERROR(INDEX(art_des,MATCH($E1170,art_ref,0))&amp;"","Article inconnu"))</f>
        <v/>
      </c>
      <c r="G1170" s="67" t="str">
        <f>IF(E1170="","",IFERROR(INDEX(art_unit,MATCH($E1170,art_ref,0))&amp;"",""))</f>
        <v/>
      </c>
      <c r="H1170" s="68" t="n"/>
      <c r="I1170" s="69" t="n"/>
      <c r="J1170" s="70" t="str">
        <f>IF(E1170="","",IF(ISNUMBER(I1170),I1170,IFERROR(IF(ISNUMBER(INDEX(art_price,MATCH($E1170,art_ref,0))),INDEX(art_price,MATCH($E1170,art_ref,0)),""),"")))</f>
        <v/>
      </c>
      <c r="K1170" s="71" t="n"/>
      <c r="L1170" s="72" t="n"/>
      <c r="M1170" s="72" t="str">
        <f>IF(E1170="","",IF(L1170&lt;&gt;"",L1170,IFERROR(IF(ISNUMBER(INDEX(art_tva,MATCH($E1170,art_ref,0))),INDEX(art_tva,MATCH($E1170,art_ref,0)),""),"")))</f>
        <v/>
      </c>
      <c r="N1170" s="70" t="str">
        <f>IF(OR(E1170="",J1170=""),"",ROUND(N(H1170)*J1170*(1-N(K1170)),2))</f>
        <v/>
      </c>
      <c r="O1170" s="70" t="str">
        <f>IF(OR(N1170="",NOT(ISNUMBER(M1170))),"",ROUND(N1170*M1170,2))</f>
        <v/>
      </c>
      <c r="P1170" s="70" t="str">
        <f>IF(N1170="","",N1170+N(O1170))</f>
        <v/>
      </c>
      <c r="Q1170" s="64" t="n"/>
      <c r="R1170" s="73" t="str">
        <f>IF(N(Q1170)&gt;0,Q1170,IF(OR(N(B1170)=0,ISNA(MATCH($C1170,sup_code,0))),"",IF(ISNUMBER(INDEX(sup_delay,MATCH($C1170,sup_code,0))),B1170+INDEX(sup_delay,MATCH($C1170,sup_code,0)),"")))</f>
        <v/>
      </c>
      <c r="S1170" s="64" t="n"/>
      <c r="T1170" s="68" t="n"/>
      <c r="U1170" s="64" t="n"/>
      <c r="V1170" s="65" t="n"/>
      <c r="W1170" s="74" t="str">
        <f>IF(AND(A1170="",E1170=""),"",IF(V1170="Oui",0,MAX(0,ROUND(N(H1170)-N(T1170),6))))</f>
        <v/>
      </c>
      <c r="X1170" s="67" t="str">
        <f>IF(AND(A1170="",E1170=""),"",IF(V1170="Oui","Annulé",IF(AND(N(H1170)&gt;0,N(T1170)&gt;=N(H1170)),"Reçu",IF(N(S1170)=0,"Brouillon",IF(AND(ISNUMBER(R1170),R1170&lt;p_today),"En retard",IF(N(T1170)&gt;0,"Partiel","Envoyé"))))))</f>
        <v/>
      </c>
      <c r="Y1170" s="75" t="str">
        <f>IF(X1170="En retard",p_today-R1170,IF(AND(X1170="Reçu",ISNUMBER(R1170)),MAX(0,N(U1170)-R1170),""))</f>
        <v/>
      </c>
      <c r="Z1170" s="67" t="str">
        <f>IF(AND(A1170="",E1170=""),"",IF(A1170="","N° de bon manquant",IF(N(B1170)=0,"Date de commande manquante",IF(C1170="","Fournisseur manquant",IF(ISNA(MATCH($C1170,sup_code,0)),"Fournisseur inconnu",IF(E1170="","Article manquant",IF(ISNA(MATCH($E1170,art_ref,0)),"Article inconnu",IF(N(H1170)&lt;=0,"Quantité invalide",IF(J1170="","Prix manquant",IF(OR(N(K1170)&lt;0,N(K1170)&gt;=1),"Remise invalide",IF(M1170="","TVA manquante",IF(ISNA(MATCH(M1170,p_tva,0)),"Taux de TVA inconnu",IF(COUNTIFS(po_num,A1170,po_sup,"&lt;&gt;"&amp;C1170)&gt;0,"Fournisseur différent sur ce bon",IF(COUNTIFS(po_num,A1170,po_date,"&lt;&gt;"&amp;B1170)&gt;0,"Date différente sur ce bon",IF(COUNTIF(po_num,A1170)&gt;25,"Plus de 25 lignes sur ce bon",IF(R1170="","Date de livraison manquante",IF(R1170&lt;B1170,"Livraison avant la commande",IF(AND(N(T1170)&gt;0,N(S1170)=0),"Date d'envoi manquante",IF(N(T1170)&gt;N(H1170),"Reçu plus que commandé",IF(AND(N(T1170)&gt;0,N(U1170)=0),"Date de réception manquante",IF(AND(N(U1170)&gt;0,U1170&lt;B1170),"Réception avant la commande","OK")))))))))))))))))))))</f>
        <v/>
      </c>
      <c r="AA1170" s="66" t="str">
        <f>IF(AND(X1170="Reçu",ISNUMBER(R1170)),IF(N(U1170)&lt;=R1170,1,0),"")</f>
        <v/>
      </c>
      <c r="AB1170" s="76" t="str">
        <f>IF(OR(X1170="Envoyé",X1170="Partiel",X1170="En retard"),IF(ISNUMBER(R1170),R1170,100000)+ROW()/100000,"")</f>
        <v/>
      </c>
      <c r="AC1170" s="66" t="str">
        <f>IF(A1170="","",IF(COUNTIF($A$6:A1170,A1170)=1,1,""))</f>
        <v/>
      </c>
      <c r="AD1170" s="66" t="str">
        <f>IF(AC1170=1,COUNT($AC$6:AC1170),"")</f>
        <v/>
      </c>
      <c r="AE1170" s="66" t="str">
        <f>IFERROR(INDEX(po_num,MATCH(1165,po_seq,0))&amp;"","")</f>
        <v/>
      </c>
      <c r="AF1170" s="66" t="str">
        <f>IF(OR(A1170="",p_po=""),"",IF(A1170&amp;""=p_po,COUNTIF($A$6:A1170,A1170),""))</f>
        <v/>
      </c>
      <c r="AG1170" s="66" t="str">
        <f>IF(OR(AB1170="",A1170=""),"",IF(COUNTIFS($A$6:A1170,A1170,$AB$6:AB1170,"&gt;0")=1,1,""))</f>
        <v/>
      </c>
      <c r="AH1170" s="70" t="str">
        <f>IF(AB1170="","",ROUND(N(W1170)*N(J1170)*(1-N(K1170)),2))</f>
        <v/>
      </c>
      <c r="AI1170" s="70" t="str">
        <f>IF(OR(J1170="",N(T1170)&lt;=0,V1170="Oui"),"",ROUND(N(T1170)*J1170*(1-N(K1170)),2))</f>
        <v/>
      </c>
    </row>
    <row r="1171">
      <c r="A1171" s="63" t="n"/>
      <c r="B1171" s="64" t="n"/>
      <c r="C1171" s="65" t="n"/>
      <c r="D1171" s="66" t="str">
        <f>IF(C1171="","",IFERROR(INDEX(sup_name,MATCH($C1171,sup_code,0))&amp;"","Fournisseur inconnu"))</f>
        <v/>
      </c>
      <c r="E1171" s="63" t="n"/>
      <c r="F1171" s="66" t="str">
        <f>IF(E1171="","",IFERROR(INDEX(art_des,MATCH($E1171,art_ref,0))&amp;"","Article inconnu"))</f>
        <v/>
      </c>
      <c r="G1171" s="67" t="str">
        <f>IF(E1171="","",IFERROR(INDEX(art_unit,MATCH($E1171,art_ref,0))&amp;"",""))</f>
        <v/>
      </c>
      <c r="H1171" s="68" t="n"/>
      <c r="I1171" s="69" t="n"/>
      <c r="J1171" s="70" t="str">
        <f>IF(E1171="","",IF(ISNUMBER(I1171),I1171,IFERROR(IF(ISNUMBER(INDEX(art_price,MATCH($E1171,art_ref,0))),INDEX(art_price,MATCH($E1171,art_ref,0)),""),"")))</f>
        <v/>
      </c>
      <c r="K1171" s="71" t="n"/>
      <c r="L1171" s="72" t="n"/>
      <c r="M1171" s="72" t="str">
        <f>IF(E1171="","",IF(L1171&lt;&gt;"",L1171,IFERROR(IF(ISNUMBER(INDEX(art_tva,MATCH($E1171,art_ref,0))),INDEX(art_tva,MATCH($E1171,art_ref,0)),""),"")))</f>
        <v/>
      </c>
      <c r="N1171" s="70" t="str">
        <f>IF(OR(E1171="",J1171=""),"",ROUND(N(H1171)*J1171*(1-N(K1171)),2))</f>
        <v/>
      </c>
      <c r="O1171" s="70" t="str">
        <f>IF(OR(N1171="",NOT(ISNUMBER(M1171))),"",ROUND(N1171*M1171,2))</f>
        <v/>
      </c>
      <c r="P1171" s="70" t="str">
        <f>IF(N1171="","",N1171+N(O1171))</f>
        <v/>
      </c>
      <c r="Q1171" s="64" t="n"/>
      <c r="R1171" s="73" t="str">
        <f>IF(N(Q1171)&gt;0,Q1171,IF(OR(N(B1171)=0,ISNA(MATCH($C1171,sup_code,0))),"",IF(ISNUMBER(INDEX(sup_delay,MATCH($C1171,sup_code,0))),B1171+INDEX(sup_delay,MATCH($C1171,sup_code,0)),"")))</f>
        <v/>
      </c>
      <c r="S1171" s="64" t="n"/>
      <c r="T1171" s="68" t="n"/>
      <c r="U1171" s="64" t="n"/>
      <c r="V1171" s="65" t="n"/>
      <c r="W1171" s="74" t="str">
        <f>IF(AND(A1171="",E1171=""),"",IF(V1171="Oui",0,MAX(0,ROUND(N(H1171)-N(T1171),6))))</f>
        <v/>
      </c>
      <c r="X1171" s="67" t="str">
        <f>IF(AND(A1171="",E1171=""),"",IF(V1171="Oui","Annulé",IF(AND(N(H1171)&gt;0,N(T1171)&gt;=N(H1171)),"Reçu",IF(N(S1171)=0,"Brouillon",IF(AND(ISNUMBER(R1171),R1171&lt;p_today),"En retard",IF(N(T1171)&gt;0,"Partiel","Envoyé"))))))</f>
        <v/>
      </c>
      <c r="Y1171" s="75" t="str">
        <f>IF(X1171="En retard",p_today-R1171,IF(AND(X1171="Reçu",ISNUMBER(R1171)),MAX(0,N(U1171)-R1171),""))</f>
        <v/>
      </c>
      <c r="Z1171" s="67" t="str">
        <f>IF(AND(A1171="",E1171=""),"",IF(A1171="","N° de bon manquant",IF(N(B1171)=0,"Date de commande manquante",IF(C1171="","Fournisseur manquant",IF(ISNA(MATCH($C1171,sup_code,0)),"Fournisseur inconnu",IF(E1171="","Article manquant",IF(ISNA(MATCH($E1171,art_ref,0)),"Article inconnu",IF(N(H1171)&lt;=0,"Quantité invalide",IF(J1171="","Prix manquant",IF(OR(N(K1171)&lt;0,N(K1171)&gt;=1),"Remise invalide",IF(M1171="","TVA manquante",IF(ISNA(MATCH(M1171,p_tva,0)),"Taux de TVA inconnu",IF(COUNTIFS(po_num,A1171,po_sup,"&lt;&gt;"&amp;C1171)&gt;0,"Fournisseur différent sur ce bon",IF(COUNTIFS(po_num,A1171,po_date,"&lt;&gt;"&amp;B1171)&gt;0,"Date différente sur ce bon",IF(COUNTIF(po_num,A1171)&gt;25,"Plus de 25 lignes sur ce bon",IF(R1171="","Date de livraison manquante",IF(R1171&lt;B1171,"Livraison avant la commande",IF(AND(N(T1171)&gt;0,N(S1171)=0),"Date d'envoi manquante",IF(N(T1171)&gt;N(H1171),"Reçu plus que commandé",IF(AND(N(T1171)&gt;0,N(U1171)=0),"Date de réception manquante",IF(AND(N(U1171)&gt;0,U1171&lt;B1171),"Réception avant la commande","OK")))))))))))))))))))))</f>
        <v/>
      </c>
      <c r="AA1171" s="66" t="str">
        <f>IF(AND(X1171="Reçu",ISNUMBER(R1171)),IF(N(U1171)&lt;=R1171,1,0),"")</f>
        <v/>
      </c>
      <c r="AB1171" s="76" t="str">
        <f>IF(OR(X1171="Envoyé",X1171="Partiel",X1171="En retard"),IF(ISNUMBER(R1171),R1171,100000)+ROW()/100000,"")</f>
        <v/>
      </c>
      <c r="AC1171" s="66" t="str">
        <f>IF(A1171="","",IF(COUNTIF($A$6:A1171,A1171)=1,1,""))</f>
        <v/>
      </c>
      <c r="AD1171" s="66" t="str">
        <f>IF(AC1171=1,COUNT($AC$6:AC1171),"")</f>
        <v/>
      </c>
      <c r="AE1171" s="66" t="str">
        <f>IFERROR(INDEX(po_num,MATCH(1166,po_seq,0))&amp;"","")</f>
        <v/>
      </c>
      <c r="AF1171" s="66" t="str">
        <f>IF(OR(A1171="",p_po=""),"",IF(A1171&amp;""=p_po,COUNTIF($A$6:A1171,A1171),""))</f>
        <v/>
      </c>
      <c r="AG1171" s="66" t="str">
        <f>IF(OR(AB1171="",A1171=""),"",IF(COUNTIFS($A$6:A1171,A1171,$AB$6:AB1171,"&gt;0")=1,1,""))</f>
        <v/>
      </c>
      <c r="AH1171" s="70" t="str">
        <f>IF(AB1171="","",ROUND(N(W1171)*N(J1171)*(1-N(K1171)),2))</f>
        <v/>
      </c>
      <c r="AI1171" s="70" t="str">
        <f>IF(OR(J1171="",N(T1171)&lt;=0,V1171="Oui"),"",ROUND(N(T1171)*J1171*(1-N(K1171)),2))</f>
        <v/>
      </c>
    </row>
    <row r="1172">
      <c r="A1172" s="63" t="n"/>
      <c r="B1172" s="64" t="n"/>
      <c r="C1172" s="65" t="n"/>
      <c r="D1172" s="66" t="str">
        <f>IF(C1172="","",IFERROR(INDEX(sup_name,MATCH($C1172,sup_code,0))&amp;"","Fournisseur inconnu"))</f>
        <v/>
      </c>
      <c r="E1172" s="63" t="n"/>
      <c r="F1172" s="66" t="str">
        <f>IF(E1172="","",IFERROR(INDEX(art_des,MATCH($E1172,art_ref,0))&amp;"","Article inconnu"))</f>
        <v/>
      </c>
      <c r="G1172" s="67" t="str">
        <f>IF(E1172="","",IFERROR(INDEX(art_unit,MATCH($E1172,art_ref,0))&amp;"",""))</f>
        <v/>
      </c>
      <c r="H1172" s="68" t="n"/>
      <c r="I1172" s="69" t="n"/>
      <c r="J1172" s="70" t="str">
        <f>IF(E1172="","",IF(ISNUMBER(I1172),I1172,IFERROR(IF(ISNUMBER(INDEX(art_price,MATCH($E1172,art_ref,0))),INDEX(art_price,MATCH($E1172,art_ref,0)),""),"")))</f>
        <v/>
      </c>
      <c r="K1172" s="71" t="n"/>
      <c r="L1172" s="72" t="n"/>
      <c r="M1172" s="72" t="str">
        <f>IF(E1172="","",IF(L1172&lt;&gt;"",L1172,IFERROR(IF(ISNUMBER(INDEX(art_tva,MATCH($E1172,art_ref,0))),INDEX(art_tva,MATCH($E1172,art_ref,0)),""),"")))</f>
        <v/>
      </c>
      <c r="N1172" s="70" t="str">
        <f>IF(OR(E1172="",J1172=""),"",ROUND(N(H1172)*J1172*(1-N(K1172)),2))</f>
        <v/>
      </c>
      <c r="O1172" s="70" t="str">
        <f>IF(OR(N1172="",NOT(ISNUMBER(M1172))),"",ROUND(N1172*M1172,2))</f>
        <v/>
      </c>
      <c r="P1172" s="70" t="str">
        <f>IF(N1172="","",N1172+N(O1172))</f>
        <v/>
      </c>
      <c r="Q1172" s="64" t="n"/>
      <c r="R1172" s="73" t="str">
        <f>IF(N(Q1172)&gt;0,Q1172,IF(OR(N(B1172)=0,ISNA(MATCH($C1172,sup_code,0))),"",IF(ISNUMBER(INDEX(sup_delay,MATCH($C1172,sup_code,0))),B1172+INDEX(sup_delay,MATCH($C1172,sup_code,0)),"")))</f>
        <v/>
      </c>
      <c r="S1172" s="64" t="n"/>
      <c r="T1172" s="68" t="n"/>
      <c r="U1172" s="64" t="n"/>
      <c r="V1172" s="65" t="n"/>
      <c r="W1172" s="74" t="str">
        <f>IF(AND(A1172="",E1172=""),"",IF(V1172="Oui",0,MAX(0,ROUND(N(H1172)-N(T1172),6))))</f>
        <v/>
      </c>
      <c r="X1172" s="67" t="str">
        <f>IF(AND(A1172="",E1172=""),"",IF(V1172="Oui","Annulé",IF(AND(N(H1172)&gt;0,N(T1172)&gt;=N(H1172)),"Reçu",IF(N(S1172)=0,"Brouillon",IF(AND(ISNUMBER(R1172),R1172&lt;p_today),"En retard",IF(N(T1172)&gt;0,"Partiel","Envoyé"))))))</f>
        <v/>
      </c>
      <c r="Y1172" s="75" t="str">
        <f>IF(X1172="En retard",p_today-R1172,IF(AND(X1172="Reçu",ISNUMBER(R1172)),MAX(0,N(U1172)-R1172),""))</f>
        <v/>
      </c>
      <c r="Z1172" s="67" t="str">
        <f>IF(AND(A1172="",E1172=""),"",IF(A1172="","N° de bon manquant",IF(N(B1172)=0,"Date de commande manquante",IF(C1172="","Fournisseur manquant",IF(ISNA(MATCH($C1172,sup_code,0)),"Fournisseur inconnu",IF(E1172="","Article manquant",IF(ISNA(MATCH($E1172,art_ref,0)),"Article inconnu",IF(N(H1172)&lt;=0,"Quantité invalide",IF(J1172="","Prix manquant",IF(OR(N(K1172)&lt;0,N(K1172)&gt;=1),"Remise invalide",IF(M1172="","TVA manquante",IF(ISNA(MATCH(M1172,p_tva,0)),"Taux de TVA inconnu",IF(COUNTIFS(po_num,A1172,po_sup,"&lt;&gt;"&amp;C1172)&gt;0,"Fournisseur différent sur ce bon",IF(COUNTIFS(po_num,A1172,po_date,"&lt;&gt;"&amp;B1172)&gt;0,"Date différente sur ce bon",IF(COUNTIF(po_num,A1172)&gt;25,"Plus de 25 lignes sur ce bon",IF(R1172="","Date de livraison manquante",IF(R1172&lt;B1172,"Livraison avant la commande",IF(AND(N(T1172)&gt;0,N(S1172)=0),"Date d'envoi manquante",IF(N(T1172)&gt;N(H1172),"Reçu plus que commandé",IF(AND(N(T1172)&gt;0,N(U1172)=0),"Date de réception manquante",IF(AND(N(U1172)&gt;0,U1172&lt;B1172),"Réception avant la commande","OK")))))))))))))))))))))</f>
        <v/>
      </c>
      <c r="AA1172" s="66" t="str">
        <f>IF(AND(X1172="Reçu",ISNUMBER(R1172)),IF(N(U1172)&lt;=R1172,1,0),"")</f>
        <v/>
      </c>
      <c r="AB1172" s="76" t="str">
        <f>IF(OR(X1172="Envoyé",X1172="Partiel",X1172="En retard"),IF(ISNUMBER(R1172),R1172,100000)+ROW()/100000,"")</f>
        <v/>
      </c>
      <c r="AC1172" s="66" t="str">
        <f>IF(A1172="","",IF(COUNTIF($A$6:A1172,A1172)=1,1,""))</f>
        <v/>
      </c>
      <c r="AD1172" s="66" t="str">
        <f>IF(AC1172=1,COUNT($AC$6:AC1172),"")</f>
        <v/>
      </c>
      <c r="AE1172" s="66" t="str">
        <f>IFERROR(INDEX(po_num,MATCH(1167,po_seq,0))&amp;"","")</f>
        <v/>
      </c>
      <c r="AF1172" s="66" t="str">
        <f>IF(OR(A1172="",p_po=""),"",IF(A1172&amp;""=p_po,COUNTIF($A$6:A1172,A1172),""))</f>
        <v/>
      </c>
      <c r="AG1172" s="66" t="str">
        <f>IF(OR(AB1172="",A1172=""),"",IF(COUNTIFS($A$6:A1172,A1172,$AB$6:AB1172,"&gt;0")=1,1,""))</f>
        <v/>
      </c>
      <c r="AH1172" s="70" t="str">
        <f>IF(AB1172="","",ROUND(N(W1172)*N(J1172)*(1-N(K1172)),2))</f>
        <v/>
      </c>
      <c r="AI1172" s="70" t="str">
        <f>IF(OR(J1172="",N(T1172)&lt;=0,V1172="Oui"),"",ROUND(N(T1172)*J1172*(1-N(K1172)),2))</f>
        <v/>
      </c>
    </row>
    <row r="1173">
      <c r="A1173" s="63" t="n"/>
      <c r="B1173" s="64" t="n"/>
      <c r="C1173" s="65" t="n"/>
      <c r="D1173" s="66" t="str">
        <f>IF(C1173="","",IFERROR(INDEX(sup_name,MATCH($C1173,sup_code,0))&amp;"","Fournisseur inconnu"))</f>
        <v/>
      </c>
      <c r="E1173" s="63" t="n"/>
      <c r="F1173" s="66" t="str">
        <f>IF(E1173="","",IFERROR(INDEX(art_des,MATCH($E1173,art_ref,0))&amp;"","Article inconnu"))</f>
        <v/>
      </c>
      <c r="G1173" s="67" t="str">
        <f>IF(E1173="","",IFERROR(INDEX(art_unit,MATCH($E1173,art_ref,0))&amp;"",""))</f>
        <v/>
      </c>
      <c r="H1173" s="68" t="n"/>
      <c r="I1173" s="69" t="n"/>
      <c r="J1173" s="70" t="str">
        <f>IF(E1173="","",IF(ISNUMBER(I1173),I1173,IFERROR(IF(ISNUMBER(INDEX(art_price,MATCH($E1173,art_ref,0))),INDEX(art_price,MATCH($E1173,art_ref,0)),""),"")))</f>
        <v/>
      </c>
      <c r="K1173" s="71" t="n"/>
      <c r="L1173" s="72" t="n"/>
      <c r="M1173" s="72" t="str">
        <f>IF(E1173="","",IF(L1173&lt;&gt;"",L1173,IFERROR(IF(ISNUMBER(INDEX(art_tva,MATCH($E1173,art_ref,0))),INDEX(art_tva,MATCH($E1173,art_ref,0)),""),"")))</f>
        <v/>
      </c>
      <c r="N1173" s="70" t="str">
        <f>IF(OR(E1173="",J1173=""),"",ROUND(N(H1173)*J1173*(1-N(K1173)),2))</f>
        <v/>
      </c>
      <c r="O1173" s="70" t="str">
        <f>IF(OR(N1173="",NOT(ISNUMBER(M1173))),"",ROUND(N1173*M1173,2))</f>
        <v/>
      </c>
      <c r="P1173" s="70" t="str">
        <f>IF(N1173="","",N1173+N(O1173))</f>
        <v/>
      </c>
      <c r="Q1173" s="64" t="n"/>
      <c r="R1173" s="73" t="str">
        <f>IF(N(Q1173)&gt;0,Q1173,IF(OR(N(B1173)=0,ISNA(MATCH($C1173,sup_code,0))),"",IF(ISNUMBER(INDEX(sup_delay,MATCH($C1173,sup_code,0))),B1173+INDEX(sup_delay,MATCH($C1173,sup_code,0)),"")))</f>
        <v/>
      </c>
      <c r="S1173" s="64" t="n"/>
      <c r="T1173" s="68" t="n"/>
      <c r="U1173" s="64" t="n"/>
      <c r="V1173" s="65" t="n"/>
      <c r="W1173" s="74" t="str">
        <f>IF(AND(A1173="",E1173=""),"",IF(V1173="Oui",0,MAX(0,ROUND(N(H1173)-N(T1173),6))))</f>
        <v/>
      </c>
      <c r="X1173" s="67" t="str">
        <f>IF(AND(A1173="",E1173=""),"",IF(V1173="Oui","Annulé",IF(AND(N(H1173)&gt;0,N(T1173)&gt;=N(H1173)),"Reçu",IF(N(S1173)=0,"Brouillon",IF(AND(ISNUMBER(R1173),R1173&lt;p_today),"En retard",IF(N(T1173)&gt;0,"Partiel","Envoyé"))))))</f>
        <v/>
      </c>
      <c r="Y1173" s="75" t="str">
        <f>IF(X1173="En retard",p_today-R1173,IF(AND(X1173="Reçu",ISNUMBER(R1173)),MAX(0,N(U1173)-R1173),""))</f>
        <v/>
      </c>
      <c r="Z1173" s="67" t="str">
        <f>IF(AND(A1173="",E1173=""),"",IF(A1173="","N° de bon manquant",IF(N(B1173)=0,"Date de commande manquante",IF(C1173="","Fournisseur manquant",IF(ISNA(MATCH($C1173,sup_code,0)),"Fournisseur inconnu",IF(E1173="","Article manquant",IF(ISNA(MATCH($E1173,art_ref,0)),"Article inconnu",IF(N(H1173)&lt;=0,"Quantité invalide",IF(J1173="","Prix manquant",IF(OR(N(K1173)&lt;0,N(K1173)&gt;=1),"Remise invalide",IF(M1173="","TVA manquante",IF(ISNA(MATCH(M1173,p_tva,0)),"Taux de TVA inconnu",IF(COUNTIFS(po_num,A1173,po_sup,"&lt;&gt;"&amp;C1173)&gt;0,"Fournisseur différent sur ce bon",IF(COUNTIFS(po_num,A1173,po_date,"&lt;&gt;"&amp;B1173)&gt;0,"Date différente sur ce bon",IF(COUNTIF(po_num,A1173)&gt;25,"Plus de 25 lignes sur ce bon",IF(R1173="","Date de livraison manquante",IF(R1173&lt;B1173,"Livraison avant la commande",IF(AND(N(T1173)&gt;0,N(S1173)=0),"Date d'envoi manquante",IF(N(T1173)&gt;N(H1173),"Reçu plus que commandé",IF(AND(N(T1173)&gt;0,N(U1173)=0),"Date de réception manquante",IF(AND(N(U1173)&gt;0,U1173&lt;B1173),"Réception avant la commande","OK")))))))))))))))))))))</f>
        <v/>
      </c>
      <c r="AA1173" s="66" t="str">
        <f>IF(AND(X1173="Reçu",ISNUMBER(R1173)),IF(N(U1173)&lt;=R1173,1,0),"")</f>
        <v/>
      </c>
      <c r="AB1173" s="76" t="str">
        <f>IF(OR(X1173="Envoyé",X1173="Partiel",X1173="En retard"),IF(ISNUMBER(R1173),R1173,100000)+ROW()/100000,"")</f>
        <v/>
      </c>
      <c r="AC1173" s="66" t="str">
        <f>IF(A1173="","",IF(COUNTIF($A$6:A1173,A1173)=1,1,""))</f>
        <v/>
      </c>
      <c r="AD1173" s="66" t="str">
        <f>IF(AC1173=1,COUNT($AC$6:AC1173),"")</f>
        <v/>
      </c>
      <c r="AE1173" s="66" t="str">
        <f>IFERROR(INDEX(po_num,MATCH(1168,po_seq,0))&amp;"","")</f>
        <v/>
      </c>
      <c r="AF1173" s="66" t="str">
        <f>IF(OR(A1173="",p_po=""),"",IF(A1173&amp;""=p_po,COUNTIF($A$6:A1173,A1173),""))</f>
        <v/>
      </c>
      <c r="AG1173" s="66" t="str">
        <f>IF(OR(AB1173="",A1173=""),"",IF(COUNTIFS($A$6:A1173,A1173,$AB$6:AB1173,"&gt;0")=1,1,""))</f>
        <v/>
      </c>
      <c r="AH1173" s="70" t="str">
        <f>IF(AB1173="","",ROUND(N(W1173)*N(J1173)*(1-N(K1173)),2))</f>
        <v/>
      </c>
      <c r="AI1173" s="70" t="str">
        <f>IF(OR(J1173="",N(T1173)&lt;=0,V1173="Oui"),"",ROUND(N(T1173)*J1173*(1-N(K1173)),2))</f>
        <v/>
      </c>
    </row>
    <row r="1174">
      <c r="A1174" s="63" t="n"/>
      <c r="B1174" s="64" t="n"/>
      <c r="C1174" s="65" t="n"/>
      <c r="D1174" s="66" t="str">
        <f>IF(C1174="","",IFERROR(INDEX(sup_name,MATCH($C1174,sup_code,0))&amp;"","Fournisseur inconnu"))</f>
        <v/>
      </c>
      <c r="E1174" s="63" t="n"/>
      <c r="F1174" s="66" t="str">
        <f>IF(E1174="","",IFERROR(INDEX(art_des,MATCH($E1174,art_ref,0))&amp;"","Article inconnu"))</f>
        <v/>
      </c>
      <c r="G1174" s="67" t="str">
        <f>IF(E1174="","",IFERROR(INDEX(art_unit,MATCH($E1174,art_ref,0))&amp;"",""))</f>
        <v/>
      </c>
      <c r="H1174" s="68" t="n"/>
      <c r="I1174" s="69" t="n"/>
      <c r="J1174" s="70" t="str">
        <f>IF(E1174="","",IF(ISNUMBER(I1174),I1174,IFERROR(IF(ISNUMBER(INDEX(art_price,MATCH($E1174,art_ref,0))),INDEX(art_price,MATCH($E1174,art_ref,0)),""),"")))</f>
        <v/>
      </c>
      <c r="K1174" s="71" t="n"/>
      <c r="L1174" s="72" t="n"/>
      <c r="M1174" s="72" t="str">
        <f>IF(E1174="","",IF(L1174&lt;&gt;"",L1174,IFERROR(IF(ISNUMBER(INDEX(art_tva,MATCH($E1174,art_ref,0))),INDEX(art_tva,MATCH($E1174,art_ref,0)),""),"")))</f>
        <v/>
      </c>
      <c r="N1174" s="70" t="str">
        <f>IF(OR(E1174="",J1174=""),"",ROUND(N(H1174)*J1174*(1-N(K1174)),2))</f>
        <v/>
      </c>
      <c r="O1174" s="70" t="str">
        <f>IF(OR(N1174="",NOT(ISNUMBER(M1174))),"",ROUND(N1174*M1174,2))</f>
        <v/>
      </c>
      <c r="P1174" s="70" t="str">
        <f>IF(N1174="","",N1174+N(O1174))</f>
        <v/>
      </c>
      <c r="Q1174" s="64" t="n"/>
      <c r="R1174" s="73" t="str">
        <f>IF(N(Q1174)&gt;0,Q1174,IF(OR(N(B1174)=0,ISNA(MATCH($C1174,sup_code,0))),"",IF(ISNUMBER(INDEX(sup_delay,MATCH($C1174,sup_code,0))),B1174+INDEX(sup_delay,MATCH($C1174,sup_code,0)),"")))</f>
        <v/>
      </c>
      <c r="S1174" s="64" t="n"/>
      <c r="T1174" s="68" t="n"/>
      <c r="U1174" s="64" t="n"/>
      <c r="V1174" s="65" t="n"/>
      <c r="W1174" s="74" t="str">
        <f>IF(AND(A1174="",E1174=""),"",IF(V1174="Oui",0,MAX(0,ROUND(N(H1174)-N(T1174),6))))</f>
        <v/>
      </c>
      <c r="X1174" s="67" t="str">
        <f>IF(AND(A1174="",E1174=""),"",IF(V1174="Oui","Annulé",IF(AND(N(H1174)&gt;0,N(T1174)&gt;=N(H1174)),"Reçu",IF(N(S1174)=0,"Brouillon",IF(AND(ISNUMBER(R1174),R1174&lt;p_today),"En retard",IF(N(T1174)&gt;0,"Partiel","Envoyé"))))))</f>
        <v/>
      </c>
      <c r="Y1174" s="75" t="str">
        <f>IF(X1174="En retard",p_today-R1174,IF(AND(X1174="Reçu",ISNUMBER(R1174)),MAX(0,N(U1174)-R1174),""))</f>
        <v/>
      </c>
      <c r="Z1174" s="67" t="str">
        <f>IF(AND(A1174="",E1174=""),"",IF(A1174="","N° de bon manquant",IF(N(B1174)=0,"Date de commande manquante",IF(C1174="","Fournisseur manquant",IF(ISNA(MATCH($C1174,sup_code,0)),"Fournisseur inconnu",IF(E1174="","Article manquant",IF(ISNA(MATCH($E1174,art_ref,0)),"Article inconnu",IF(N(H1174)&lt;=0,"Quantité invalide",IF(J1174="","Prix manquant",IF(OR(N(K1174)&lt;0,N(K1174)&gt;=1),"Remise invalide",IF(M1174="","TVA manquante",IF(ISNA(MATCH(M1174,p_tva,0)),"Taux de TVA inconnu",IF(COUNTIFS(po_num,A1174,po_sup,"&lt;&gt;"&amp;C1174)&gt;0,"Fournisseur différent sur ce bon",IF(COUNTIFS(po_num,A1174,po_date,"&lt;&gt;"&amp;B1174)&gt;0,"Date différente sur ce bon",IF(COUNTIF(po_num,A1174)&gt;25,"Plus de 25 lignes sur ce bon",IF(R1174="","Date de livraison manquante",IF(R1174&lt;B1174,"Livraison avant la commande",IF(AND(N(T1174)&gt;0,N(S1174)=0),"Date d'envoi manquante",IF(N(T1174)&gt;N(H1174),"Reçu plus que commandé",IF(AND(N(T1174)&gt;0,N(U1174)=0),"Date de réception manquante",IF(AND(N(U1174)&gt;0,U1174&lt;B1174),"Réception avant la commande","OK")))))))))))))))))))))</f>
        <v/>
      </c>
      <c r="AA1174" s="66" t="str">
        <f>IF(AND(X1174="Reçu",ISNUMBER(R1174)),IF(N(U1174)&lt;=R1174,1,0),"")</f>
        <v/>
      </c>
      <c r="AB1174" s="76" t="str">
        <f>IF(OR(X1174="Envoyé",X1174="Partiel",X1174="En retard"),IF(ISNUMBER(R1174),R1174,100000)+ROW()/100000,"")</f>
        <v/>
      </c>
      <c r="AC1174" s="66" t="str">
        <f>IF(A1174="","",IF(COUNTIF($A$6:A1174,A1174)=1,1,""))</f>
        <v/>
      </c>
      <c r="AD1174" s="66" t="str">
        <f>IF(AC1174=1,COUNT($AC$6:AC1174),"")</f>
        <v/>
      </c>
      <c r="AE1174" s="66" t="str">
        <f>IFERROR(INDEX(po_num,MATCH(1169,po_seq,0))&amp;"","")</f>
        <v/>
      </c>
      <c r="AF1174" s="66" t="str">
        <f>IF(OR(A1174="",p_po=""),"",IF(A1174&amp;""=p_po,COUNTIF($A$6:A1174,A1174),""))</f>
        <v/>
      </c>
      <c r="AG1174" s="66" t="str">
        <f>IF(OR(AB1174="",A1174=""),"",IF(COUNTIFS($A$6:A1174,A1174,$AB$6:AB1174,"&gt;0")=1,1,""))</f>
        <v/>
      </c>
      <c r="AH1174" s="70" t="str">
        <f>IF(AB1174="","",ROUND(N(W1174)*N(J1174)*(1-N(K1174)),2))</f>
        <v/>
      </c>
      <c r="AI1174" s="70" t="str">
        <f>IF(OR(J1174="",N(T1174)&lt;=0,V1174="Oui"),"",ROUND(N(T1174)*J1174*(1-N(K1174)),2))</f>
        <v/>
      </c>
    </row>
    <row r="1175">
      <c r="A1175" s="63" t="n"/>
      <c r="B1175" s="64" t="n"/>
      <c r="C1175" s="65" t="n"/>
      <c r="D1175" s="66" t="str">
        <f>IF(C1175="","",IFERROR(INDEX(sup_name,MATCH($C1175,sup_code,0))&amp;"","Fournisseur inconnu"))</f>
        <v/>
      </c>
      <c r="E1175" s="63" t="n"/>
      <c r="F1175" s="66" t="str">
        <f>IF(E1175="","",IFERROR(INDEX(art_des,MATCH($E1175,art_ref,0))&amp;"","Article inconnu"))</f>
        <v/>
      </c>
      <c r="G1175" s="67" t="str">
        <f>IF(E1175="","",IFERROR(INDEX(art_unit,MATCH($E1175,art_ref,0))&amp;"",""))</f>
        <v/>
      </c>
      <c r="H1175" s="68" t="n"/>
      <c r="I1175" s="69" t="n"/>
      <c r="J1175" s="70" t="str">
        <f>IF(E1175="","",IF(ISNUMBER(I1175),I1175,IFERROR(IF(ISNUMBER(INDEX(art_price,MATCH($E1175,art_ref,0))),INDEX(art_price,MATCH($E1175,art_ref,0)),""),"")))</f>
        <v/>
      </c>
      <c r="K1175" s="71" t="n"/>
      <c r="L1175" s="72" t="n"/>
      <c r="M1175" s="72" t="str">
        <f>IF(E1175="","",IF(L1175&lt;&gt;"",L1175,IFERROR(IF(ISNUMBER(INDEX(art_tva,MATCH($E1175,art_ref,0))),INDEX(art_tva,MATCH($E1175,art_ref,0)),""),"")))</f>
        <v/>
      </c>
      <c r="N1175" s="70" t="str">
        <f>IF(OR(E1175="",J1175=""),"",ROUND(N(H1175)*J1175*(1-N(K1175)),2))</f>
        <v/>
      </c>
      <c r="O1175" s="70" t="str">
        <f>IF(OR(N1175="",NOT(ISNUMBER(M1175))),"",ROUND(N1175*M1175,2))</f>
        <v/>
      </c>
      <c r="P1175" s="70" t="str">
        <f>IF(N1175="","",N1175+N(O1175))</f>
        <v/>
      </c>
      <c r="Q1175" s="64" t="n"/>
      <c r="R1175" s="73" t="str">
        <f>IF(N(Q1175)&gt;0,Q1175,IF(OR(N(B1175)=0,ISNA(MATCH($C1175,sup_code,0))),"",IF(ISNUMBER(INDEX(sup_delay,MATCH($C1175,sup_code,0))),B1175+INDEX(sup_delay,MATCH($C1175,sup_code,0)),"")))</f>
        <v/>
      </c>
      <c r="S1175" s="64" t="n"/>
      <c r="T1175" s="68" t="n"/>
      <c r="U1175" s="64" t="n"/>
      <c r="V1175" s="65" t="n"/>
      <c r="W1175" s="74" t="str">
        <f>IF(AND(A1175="",E1175=""),"",IF(V1175="Oui",0,MAX(0,ROUND(N(H1175)-N(T1175),6))))</f>
        <v/>
      </c>
      <c r="X1175" s="67" t="str">
        <f>IF(AND(A1175="",E1175=""),"",IF(V1175="Oui","Annulé",IF(AND(N(H1175)&gt;0,N(T1175)&gt;=N(H1175)),"Reçu",IF(N(S1175)=0,"Brouillon",IF(AND(ISNUMBER(R1175),R1175&lt;p_today),"En retard",IF(N(T1175)&gt;0,"Partiel","Envoyé"))))))</f>
        <v/>
      </c>
      <c r="Y1175" s="75" t="str">
        <f>IF(X1175="En retard",p_today-R1175,IF(AND(X1175="Reçu",ISNUMBER(R1175)),MAX(0,N(U1175)-R1175),""))</f>
        <v/>
      </c>
      <c r="Z1175" s="67" t="str">
        <f>IF(AND(A1175="",E1175=""),"",IF(A1175="","N° de bon manquant",IF(N(B1175)=0,"Date de commande manquante",IF(C1175="","Fournisseur manquant",IF(ISNA(MATCH($C1175,sup_code,0)),"Fournisseur inconnu",IF(E1175="","Article manquant",IF(ISNA(MATCH($E1175,art_ref,0)),"Article inconnu",IF(N(H1175)&lt;=0,"Quantité invalide",IF(J1175="","Prix manquant",IF(OR(N(K1175)&lt;0,N(K1175)&gt;=1),"Remise invalide",IF(M1175="","TVA manquante",IF(ISNA(MATCH(M1175,p_tva,0)),"Taux de TVA inconnu",IF(COUNTIFS(po_num,A1175,po_sup,"&lt;&gt;"&amp;C1175)&gt;0,"Fournisseur différent sur ce bon",IF(COUNTIFS(po_num,A1175,po_date,"&lt;&gt;"&amp;B1175)&gt;0,"Date différente sur ce bon",IF(COUNTIF(po_num,A1175)&gt;25,"Plus de 25 lignes sur ce bon",IF(R1175="","Date de livraison manquante",IF(R1175&lt;B1175,"Livraison avant la commande",IF(AND(N(T1175)&gt;0,N(S1175)=0),"Date d'envoi manquante",IF(N(T1175)&gt;N(H1175),"Reçu plus que commandé",IF(AND(N(T1175)&gt;0,N(U1175)=0),"Date de réception manquante",IF(AND(N(U1175)&gt;0,U1175&lt;B1175),"Réception avant la commande","OK")))))))))))))))))))))</f>
        <v/>
      </c>
      <c r="AA1175" s="66" t="str">
        <f>IF(AND(X1175="Reçu",ISNUMBER(R1175)),IF(N(U1175)&lt;=R1175,1,0),"")</f>
        <v/>
      </c>
      <c r="AB1175" s="76" t="str">
        <f>IF(OR(X1175="Envoyé",X1175="Partiel",X1175="En retard"),IF(ISNUMBER(R1175),R1175,100000)+ROW()/100000,"")</f>
        <v/>
      </c>
      <c r="AC1175" s="66" t="str">
        <f>IF(A1175="","",IF(COUNTIF($A$6:A1175,A1175)=1,1,""))</f>
        <v/>
      </c>
      <c r="AD1175" s="66" t="str">
        <f>IF(AC1175=1,COUNT($AC$6:AC1175),"")</f>
        <v/>
      </c>
      <c r="AE1175" s="66" t="str">
        <f>IFERROR(INDEX(po_num,MATCH(1170,po_seq,0))&amp;"","")</f>
        <v/>
      </c>
      <c r="AF1175" s="66" t="str">
        <f>IF(OR(A1175="",p_po=""),"",IF(A1175&amp;""=p_po,COUNTIF($A$6:A1175,A1175),""))</f>
        <v/>
      </c>
      <c r="AG1175" s="66" t="str">
        <f>IF(OR(AB1175="",A1175=""),"",IF(COUNTIFS($A$6:A1175,A1175,$AB$6:AB1175,"&gt;0")=1,1,""))</f>
        <v/>
      </c>
      <c r="AH1175" s="70" t="str">
        <f>IF(AB1175="","",ROUND(N(W1175)*N(J1175)*(1-N(K1175)),2))</f>
        <v/>
      </c>
      <c r="AI1175" s="70" t="str">
        <f>IF(OR(J1175="",N(T1175)&lt;=0,V1175="Oui"),"",ROUND(N(T1175)*J1175*(1-N(K1175)),2))</f>
        <v/>
      </c>
    </row>
    <row r="1176">
      <c r="A1176" s="63" t="n"/>
      <c r="B1176" s="64" t="n"/>
      <c r="C1176" s="65" t="n"/>
      <c r="D1176" s="66" t="str">
        <f>IF(C1176="","",IFERROR(INDEX(sup_name,MATCH($C1176,sup_code,0))&amp;"","Fournisseur inconnu"))</f>
        <v/>
      </c>
      <c r="E1176" s="63" t="n"/>
      <c r="F1176" s="66" t="str">
        <f>IF(E1176="","",IFERROR(INDEX(art_des,MATCH($E1176,art_ref,0))&amp;"","Article inconnu"))</f>
        <v/>
      </c>
      <c r="G1176" s="67" t="str">
        <f>IF(E1176="","",IFERROR(INDEX(art_unit,MATCH($E1176,art_ref,0))&amp;"",""))</f>
        <v/>
      </c>
      <c r="H1176" s="68" t="n"/>
      <c r="I1176" s="69" t="n"/>
      <c r="J1176" s="70" t="str">
        <f>IF(E1176="","",IF(ISNUMBER(I1176),I1176,IFERROR(IF(ISNUMBER(INDEX(art_price,MATCH($E1176,art_ref,0))),INDEX(art_price,MATCH($E1176,art_ref,0)),""),"")))</f>
        <v/>
      </c>
      <c r="K1176" s="71" t="n"/>
      <c r="L1176" s="72" t="n"/>
      <c r="M1176" s="72" t="str">
        <f>IF(E1176="","",IF(L1176&lt;&gt;"",L1176,IFERROR(IF(ISNUMBER(INDEX(art_tva,MATCH($E1176,art_ref,0))),INDEX(art_tva,MATCH($E1176,art_ref,0)),""),"")))</f>
        <v/>
      </c>
      <c r="N1176" s="70" t="str">
        <f>IF(OR(E1176="",J1176=""),"",ROUND(N(H1176)*J1176*(1-N(K1176)),2))</f>
        <v/>
      </c>
      <c r="O1176" s="70" t="str">
        <f>IF(OR(N1176="",NOT(ISNUMBER(M1176))),"",ROUND(N1176*M1176,2))</f>
        <v/>
      </c>
      <c r="P1176" s="70" t="str">
        <f>IF(N1176="","",N1176+N(O1176))</f>
        <v/>
      </c>
      <c r="Q1176" s="64" t="n"/>
      <c r="R1176" s="73" t="str">
        <f>IF(N(Q1176)&gt;0,Q1176,IF(OR(N(B1176)=0,ISNA(MATCH($C1176,sup_code,0))),"",IF(ISNUMBER(INDEX(sup_delay,MATCH($C1176,sup_code,0))),B1176+INDEX(sup_delay,MATCH($C1176,sup_code,0)),"")))</f>
        <v/>
      </c>
      <c r="S1176" s="64" t="n"/>
      <c r="T1176" s="68" t="n"/>
      <c r="U1176" s="64" t="n"/>
      <c r="V1176" s="65" t="n"/>
      <c r="W1176" s="74" t="str">
        <f>IF(AND(A1176="",E1176=""),"",IF(V1176="Oui",0,MAX(0,ROUND(N(H1176)-N(T1176),6))))</f>
        <v/>
      </c>
      <c r="X1176" s="67" t="str">
        <f>IF(AND(A1176="",E1176=""),"",IF(V1176="Oui","Annulé",IF(AND(N(H1176)&gt;0,N(T1176)&gt;=N(H1176)),"Reçu",IF(N(S1176)=0,"Brouillon",IF(AND(ISNUMBER(R1176),R1176&lt;p_today),"En retard",IF(N(T1176)&gt;0,"Partiel","Envoyé"))))))</f>
        <v/>
      </c>
      <c r="Y1176" s="75" t="str">
        <f>IF(X1176="En retard",p_today-R1176,IF(AND(X1176="Reçu",ISNUMBER(R1176)),MAX(0,N(U1176)-R1176),""))</f>
        <v/>
      </c>
      <c r="Z1176" s="67" t="str">
        <f>IF(AND(A1176="",E1176=""),"",IF(A1176="","N° de bon manquant",IF(N(B1176)=0,"Date de commande manquante",IF(C1176="","Fournisseur manquant",IF(ISNA(MATCH($C1176,sup_code,0)),"Fournisseur inconnu",IF(E1176="","Article manquant",IF(ISNA(MATCH($E1176,art_ref,0)),"Article inconnu",IF(N(H1176)&lt;=0,"Quantité invalide",IF(J1176="","Prix manquant",IF(OR(N(K1176)&lt;0,N(K1176)&gt;=1),"Remise invalide",IF(M1176="","TVA manquante",IF(ISNA(MATCH(M1176,p_tva,0)),"Taux de TVA inconnu",IF(COUNTIFS(po_num,A1176,po_sup,"&lt;&gt;"&amp;C1176)&gt;0,"Fournisseur différent sur ce bon",IF(COUNTIFS(po_num,A1176,po_date,"&lt;&gt;"&amp;B1176)&gt;0,"Date différente sur ce bon",IF(COUNTIF(po_num,A1176)&gt;25,"Plus de 25 lignes sur ce bon",IF(R1176="","Date de livraison manquante",IF(R1176&lt;B1176,"Livraison avant la commande",IF(AND(N(T1176)&gt;0,N(S1176)=0),"Date d'envoi manquante",IF(N(T1176)&gt;N(H1176),"Reçu plus que commandé",IF(AND(N(T1176)&gt;0,N(U1176)=0),"Date de réception manquante",IF(AND(N(U1176)&gt;0,U1176&lt;B1176),"Réception avant la commande","OK")))))))))))))))))))))</f>
        <v/>
      </c>
      <c r="AA1176" s="66" t="str">
        <f>IF(AND(X1176="Reçu",ISNUMBER(R1176)),IF(N(U1176)&lt;=R1176,1,0),"")</f>
        <v/>
      </c>
      <c r="AB1176" s="76" t="str">
        <f>IF(OR(X1176="Envoyé",X1176="Partiel",X1176="En retard"),IF(ISNUMBER(R1176),R1176,100000)+ROW()/100000,"")</f>
        <v/>
      </c>
      <c r="AC1176" s="66" t="str">
        <f>IF(A1176="","",IF(COUNTIF($A$6:A1176,A1176)=1,1,""))</f>
        <v/>
      </c>
      <c r="AD1176" s="66" t="str">
        <f>IF(AC1176=1,COUNT($AC$6:AC1176),"")</f>
        <v/>
      </c>
      <c r="AE1176" s="66" t="str">
        <f>IFERROR(INDEX(po_num,MATCH(1171,po_seq,0))&amp;"","")</f>
        <v/>
      </c>
      <c r="AF1176" s="66" t="str">
        <f>IF(OR(A1176="",p_po=""),"",IF(A1176&amp;""=p_po,COUNTIF($A$6:A1176,A1176),""))</f>
        <v/>
      </c>
      <c r="AG1176" s="66" t="str">
        <f>IF(OR(AB1176="",A1176=""),"",IF(COUNTIFS($A$6:A1176,A1176,$AB$6:AB1176,"&gt;0")=1,1,""))</f>
        <v/>
      </c>
      <c r="AH1176" s="70" t="str">
        <f>IF(AB1176="","",ROUND(N(W1176)*N(J1176)*(1-N(K1176)),2))</f>
        <v/>
      </c>
      <c r="AI1176" s="70" t="str">
        <f>IF(OR(J1176="",N(T1176)&lt;=0,V1176="Oui"),"",ROUND(N(T1176)*J1176*(1-N(K1176)),2))</f>
        <v/>
      </c>
    </row>
    <row r="1177">
      <c r="A1177" s="63" t="n"/>
      <c r="B1177" s="64" t="n"/>
      <c r="C1177" s="65" t="n"/>
      <c r="D1177" s="66" t="str">
        <f>IF(C1177="","",IFERROR(INDEX(sup_name,MATCH($C1177,sup_code,0))&amp;"","Fournisseur inconnu"))</f>
        <v/>
      </c>
      <c r="E1177" s="63" t="n"/>
      <c r="F1177" s="66" t="str">
        <f>IF(E1177="","",IFERROR(INDEX(art_des,MATCH($E1177,art_ref,0))&amp;"","Article inconnu"))</f>
        <v/>
      </c>
      <c r="G1177" s="67" t="str">
        <f>IF(E1177="","",IFERROR(INDEX(art_unit,MATCH($E1177,art_ref,0))&amp;"",""))</f>
        <v/>
      </c>
      <c r="H1177" s="68" t="n"/>
      <c r="I1177" s="69" t="n"/>
      <c r="J1177" s="70" t="str">
        <f>IF(E1177="","",IF(ISNUMBER(I1177),I1177,IFERROR(IF(ISNUMBER(INDEX(art_price,MATCH($E1177,art_ref,0))),INDEX(art_price,MATCH($E1177,art_ref,0)),""),"")))</f>
        <v/>
      </c>
      <c r="K1177" s="71" t="n"/>
      <c r="L1177" s="72" t="n"/>
      <c r="M1177" s="72" t="str">
        <f>IF(E1177="","",IF(L1177&lt;&gt;"",L1177,IFERROR(IF(ISNUMBER(INDEX(art_tva,MATCH($E1177,art_ref,0))),INDEX(art_tva,MATCH($E1177,art_ref,0)),""),"")))</f>
        <v/>
      </c>
      <c r="N1177" s="70" t="str">
        <f>IF(OR(E1177="",J1177=""),"",ROUND(N(H1177)*J1177*(1-N(K1177)),2))</f>
        <v/>
      </c>
      <c r="O1177" s="70" t="str">
        <f>IF(OR(N1177="",NOT(ISNUMBER(M1177))),"",ROUND(N1177*M1177,2))</f>
        <v/>
      </c>
      <c r="P1177" s="70" t="str">
        <f>IF(N1177="","",N1177+N(O1177))</f>
        <v/>
      </c>
      <c r="Q1177" s="64" t="n"/>
      <c r="R1177" s="73" t="str">
        <f>IF(N(Q1177)&gt;0,Q1177,IF(OR(N(B1177)=0,ISNA(MATCH($C1177,sup_code,0))),"",IF(ISNUMBER(INDEX(sup_delay,MATCH($C1177,sup_code,0))),B1177+INDEX(sup_delay,MATCH($C1177,sup_code,0)),"")))</f>
        <v/>
      </c>
      <c r="S1177" s="64" t="n"/>
      <c r="T1177" s="68" t="n"/>
      <c r="U1177" s="64" t="n"/>
      <c r="V1177" s="65" t="n"/>
      <c r="W1177" s="74" t="str">
        <f>IF(AND(A1177="",E1177=""),"",IF(V1177="Oui",0,MAX(0,ROUND(N(H1177)-N(T1177),6))))</f>
        <v/>
      </c>
      <c r="X1177" s="67" t="str">
        <f>IF(AND(A1177="",E1177=""),"",IF(V1177="Oui","Annulé",IF(AND(N(H1177)&gt;0,N(T1177)&gt;=N(H1177)),"Reçu",IF(N(S1177)=0,"Brouillon",IF(AND(ISNUMBER(R1177),R1177&lt;p_today),"En retard",IF(N(T1177)&gt;0,"Partiel","Envoyé"))))))</f>
        <v/>
      </c>
      <c r="Y1177" s="75" t="str">
        <f>IF(X1177="En retard",p_today-R1177,IF(AND(X1177="Reçu",ISNUMBER(R1177)),MAX(0,N(U1177)-R1177),""))</f>
        <v/>
      </c>
      <c r="Z1177" s="67" t="str">
        <f>IF(AND(A1177="",E1177=""),"",IF(A1177="","N° de bon manquant",IF(N(B1177)=0,"Date de commande manquante",IF(C1177="","Fournisseur manquant",IF(ISNA(MATCH($C1177,sup_code,0)),"Fournisseur inconnu",IF(E1177="","Article manquant",IF(ISNA(MATCH($E1177,art_ref,0)),"Article inconnu",IF(N(H1177)&lt;=0,"Quantité invalide",IF(J1177="","Prix manquant",IF(OR(N(K1177)&lt;0,N(K1177)&gt;=1),"Remise invalide",IF(M1177="","TVA manquante",IF(ISNA(MATCH(M1177,p_tva,0)),"Taux de TVA inconnu",IF(COUNTIFS(po_num,A1177,po_sup,"&lt;&gt;"&amp;C1177)&gt;0,"Fournisseur différent sur ce bon",IF(COUNTIFS(po_num,A1177,po_date,"&lt;&gt;"&amp;B1177)&gt;0,"Date différente sur ce bon",IF(COUNTIF(po_num,A1177)&gt;25,"Plus de 25 lignes sur ce bon",IF(R1177="","Date de livraison manquante",IF(R1177&lt;B1177,"Livraison avant la commande",IF(AND(N(T1177)&gt;0,N(S1177)=0),"Date d'envoi manquante",IF(N(T1177)&gt;N(H1177),"Reçu plus que commandé",IF(AND(N(T1177)&gt;0,N(U1177)=0),"Date de réception manquante",IF(AND(N(U1177)&gt;0,U1177&lt;B1177),"Réception avant la commande","OK")))))))))))))))))))))</f>
        <v/>
      </c>
      <c r="AA1177" s="66" t="str">
        <f>IF(AND(X1177="Reçu",ISNUMBER(R1177)),IF(N(U1177)&lt;=R1177,1,0),"")</f>
        <v/>
      </c>
      <c r="AB1177" s="76" t="str">
        <f>IF(OR(X1177="Envoyé",X1177="Partiel",X1177="En retard"),IF(ISNUMBER(R1177),R1177,100000)+ROW()/100000,"")</f>
        <v/>
      </c>
      <c r="AC1177" s="66" t="str">
        <f>IF(A1177="","",IF(COUNTIF($A$6:A1177,A1177)=1,1,""))</f>
        <v/>
      </c>
      <c r="AD1177" s="66" t="str">
        <f>IF(AC1177=1,COUNT($AC$6:AC1177),"")</f>
        <v/>
      </c>
      <c r="AE1177" s="66" t="str">
        <f>IFERROR(INDEX(po_num,MATCH(1172,po_seq,0))&amp;"","")</f>
        <v/>
      </c>
      <c r="AF1177" s="66" t="str">
        <f>IF(OR(A1177="",p_po=""),"",IF(A1177&amp;""=p_po,COUNTIF($A$6:A1177,A1177),""))</f>
        <v/>
      </c>
      <c r="AG1177" s="66" t="str">
        <f>IF(OR(AB1177="",A1177=""),"",IF(COUNTIFS($A$6:A1177,A1177,$AB$6:AB1177,"&gt;0")=1,1,""))</f>
        <v/>
      </c>
      <c r="AH1177" s="70" t="str">
        <f>IF(AB1177="","",ROUND(N(W1177)*N(J1177)*(1-N(K1177)),2))</f>
        <v/>
      </c>
      <c r="AI1177" s="70" t="str">
        <f>IF(OR(J1177="",N(T1177)&lt;=0,V1177="Oui"),"",ROUND(N(T1177)*J1177*(1-N(K1177)),2))</f>
        <v/>
      </c>
    </row>
    <row r="1178">
      <c r="A1178" s="63" t="n"/>
      <c r="B1178" s="64" t="n"/>
      <c r="C1178" s="65" t="n"/>
      <c r="D1178" s="66" t="str">
        <f>IF(C1178="","",IFERROR(INDEX(sup_name,MATCH($C1178,sup_code,0))&amp;"","Fournisseur inconnu"))</f>
        <v/>
      </c>
      <c r="E1178" s="63" t="n"/>
      <c r="F1178" s="66" t="str">
        <f>IF(E1178="","",IFERROR(INDEX(art_des,MATCH($E1178,art_ref,0))&amp;"","Article inconnu"))</f>
        <v/>
      </c>
      <c r="G1178" s="67" t="str">
        <f>IF(E1178="","",IFERROR(INDEX(art_unit,MATCH($E1178,art_ref,0))&amp;"",""))</f>
        <v/>
      </c>
      <c r="H1178" s="68" t="n"/>
      <c r="I1178" s="69" t="n"/>
      <c r="J1178" s="70" t="str">
        <f>IF(E1178="","",IF(ISNUMBER(I1178),I1178,IFERROR(IF(ISNUMBER(INDEX(art_price,MATCH($E1178,art_ref,0))),INDEX(art_price,MATCH($E1178,art_ref,0)),""),"")))</f>
        <v/>
      </c>
      <c r="K1178" s="71" t="n"/>
      <c r="L1178" s="72" t="n"/>
      <c r="M1178" s="72" t="str">
        <f>IF(E1178="","",IF(L1178&lt;&gt;"",L1178,IFERROR(IF(ISNUMBER(INDEX(art_tva,MATCH($E1178,art_ref,0))),INDEX(art_tva,MATCH($E1178,art_ref,0)),""),"")))</f>
        <v/>
      </c>
      <c r="N1178" s="70" t="str">
        <f>IF(OR(E1178="",J1178=""),"",ROUND(N(H1178)*J1178*(1-N(K1178)),2))</f>
        <v/>
      </c>
      <c r="O1178" s="70" t="str">
        <f>IF(OR(N1178="",NOT(ISNUMBER(M1178))),"",ROUND(N1178*M1178,2))</f>
        <v/>
      </c>
      <c r="P1178" s="70" t="str">
        <f>IF(N1178="","",N1178+N(O1178))</f>
        <v/>
      </c>
      <c r="Q1178" s="64" t="n"/>
      <c r="R1178" s="73" t="str">
        <f>IF(N(Q1178)&gt;0,Q1178,IF(OR(N(B1178)=0,ISNA(MATCH($C1178,sup_code,0))),"",IF(ISNUMBER(INDEX(sup_delay,MATCH($C1178,sup_code,0))),B1178+INDEX(sup_delay,MATCH($C1178,sup_code,0)),"")))</f>
        <v/>
      </c>
      <c r="S1178" s="64" t="n"/>
      <c r="T1178" s="68" t="n"/>
      <c r="U1178" s="64" t="n"/>
      <c r="V1178" s="65" t="n"/>
      <c r="W1178" s="74" t="str">
        <f>IF(AND(A1178="",E1178=""),"",IF(V1178="Oui",0,MAX(0,ROUND(N(H1178)-N(T1178),6))))</f>
        <v/>
      </c>
      <c r="X1178" s="67" t="str">
        <f>IF(AND(A1178="",E1178=""),"",IF(V1178="Oui","Annulé",IF(AND(N(H1178)&gt;0,N(T1178)&gt;=N(H1178)),"Reçu",IF(N(S1178)=0,"Brouillon",IF(AND(ISNUMBER(R1178),R1178&lt;p_today),"En retard",IF(N(T1178)&gt;0,"Partiel","Envoyé"))))))</f>
        <v/>
      </c>
      <c r="Y1178" s="75" t="str">
        <f>IF(X1178="En retard",p_today-R1178,IF(AND(X1178="Reçu",ISNUMBER(R1178)),MAX(0,N(U1178)-R1178),""))</f>
        <v/>
      </c>
      <c r="Z1178" s="67" t="str">
        <f>IF(AND(A1178="",E1178=""),"",IF(A1178="","N° de bon manquant",IF(N(B1178)=0,"Date de commande manquante",IF(C1178="","Fournisseur manquant",IF(ISNA(MATCH($C1178,sup_code,0)),"Fournisseur inconnu",IF(E1178="","Article manquant",IF(ISNA(MATCH($E1178,art_ref,0)),"Article inconnu",IF(N(H1178)&lt;=0,"Quantité invalide",IF(J1178="","Prix manquant",IF(OR(N(K1178)&lt;0,N(K1178)&gt;=1),"Remise invalide",IF(M1178="","TVA manquante",IF(ISNA(MATCH(M1178,p_tva,0)),"Taux de TVA inconnu",IF(COUNTIFS(po_num,A1178,po_sup,"&lt;&gt;"&amp;C1178)&gt;0,"Fournisseur différent sur ce bon",IF(COUNTIFS(po_num,A1178,po_date,"&lt;&gt;"&amp;B1178)&gt;0,"Date différente sur ce bon",IF(COUNTIF(po_num,A1178)&gt;25,"Plus de 25 lignes sur ce bon",IF(R1178="","Date de livraison manquante",IF(R1178&lt;B1178,"Livraison avant la commande",IF(AND(N(T1178)&gt;0,N(S1178)=0),"Date d'envoi manquante",IF(N(T1178)&gt;N(H1178),"Reçu plus que commandé",IF(AND(N(T1178)&gt;0,N(U1178)=0),"Date de réception manquante",IF(AND(N(U1178)&gt;0,U1178&lt;B1178),"Réception avant la commande","OK")))))))))))))))))))))</f>
        <v/>
      </c>
      <c r="AA1178" s="66" t="str">
        <f>IF(AND(X1178="Reçu",ISNUMBER(R1178)),IF(N(U1178)&lt;=R1178,1,0),"")</f>
        <v/>
      </c>
      <c r="AB1178" s="76" t="str">
        <f>IF(OR(X1178="Envoyé",X1178="Partiel",X1178="En retard"),IF(ISNUMBER(R1178),R1178,100000)+ROW()/100000,"")</f>
        <v/>
      </c>
      <c r="AC1178" s="66" t="str">
        <f>IF(A1178="","",IF(COUNTIF($A$6:A1178,A1178)=1,1,""))</f>
        <v/>
      </c>
      <c r="AD1178" s="66" t="str">
        <f>IF(AC1178=1,COUNT($AC$6:AC1178),"")</f>
        <v/>
      </c>
      <c r="AE1178" s="66" t="str">
        <f>IFERROR(INDEX(po_num,MATCH(1173,po_seq,0))&amp;"","")</f>
        <v/>
      </c>
      <c r="AF1178" s="66" t="str">
        <f>IF(OR(A1178="",p_po=""),"",IF(A1178&amp;""=p_po,COUNTIF($A$6:A1178,A1178),""))</f>
        <v/>
      </c>
      <c r="AG1178" s="66" t="str">
        <f>IF(OR(AB1178="",A1178=""),"",IF(COUNTIFS($A$6:A1178,A1178,$AB$6:AB1178,"&gt;0")=1,1,""))</f>
        <v/>
      </c>
      <c r="AH1178" s="70" t="str">
        <f>IF(AB1178="","",ROUND(N(W1178)*N(J1178)*(1-N(K1178)),2))</f>
        <v/>
      </c>
      <c r="AI1178" s="70" t="str">
        <f>IF(OR(J1178="",N(T1178)&lt;=0,V1178="Oui"),"",ROUND(N(T1178)*J1178*(1-N(K1178)),2))</f>
        <v/>
      </c>
    </row>
    <row r="1179">
      <c r="A1179" s="63" t="n"/>
      <c r="B1179" s="64" t="n"/>
      <c r="C1179" s="65" t="n"/>
      <c r="D1179" s="66" t="str">
        <f>IF(C1179="","",IFERROR(INDEX(sup_name,MATCH($C1179,sup_code,0))&amp;"","Fournisseur inconnu"))</f>
        <v/>
      </c>
      <c r="E1179" s="63" t="n"/>
      <c r="F1179" s="66" t="str">
        <f>IF(E1179="","",IFERROR(INDEX(art_des,MATCH($E1179,art_ref,0))&amp;"","Article inconnu"))</f>
        <v/>
      </c>
      <c r="G1179" s="67" t="str">
        <f>IF(E1179="","",IFERROR(INDEX(art_unit,MATCH($E1179,art_ref,0))&amp;"",""))</f>
        <v/>
      </c>
      <c r="H1179" s="68" t="n"/>
      <c r="I1179" s="69" t="n"/>
      <c r="J1179" s="70" t="str">
        <f>IF(E1179="","",IF(ISNUMBER(I1179),I1179,IFERROR(IF(ISNUMBER(INDEX(art_price,MATCH($E1179,art_ref,0))),INDEX(art_price,MATCH($E1179,art_ref,0)),""),"")))</f>
        <v/>
      </c>
      <c r="K1179" s="71" t="n"/>
      <c r="L1179" s="72" t="n"/>
      <c r="M1179" s="72" t="str">
        <f>IF(E1179="","",IF(L1179&lt;&gt;"",L1179,IFERROR(IF(ISNUMBER(INDEX(art_tva,MATCH($E1179,art_ref,0))),INDEX(art_tva,MATCH($E1179,art_ref,0)),""),"")))</f>
        <v/>
      </c>
      <c r="N1179" s="70" t="str">
        <f>IF(OR(E1179="",J1179=""),"",ROUND(N(H1179)*J1179*(1-N(K1179)),2))</f>
        <v/>
      </c>
      <c r="O1179" s="70" t="str">
        <f>IF(OR(N1179="",NOT(ISNUMBER(M1179))),"",ROUND(N1179*M1179,2))</f>
        <v/>
      </c>
      <c r="P1179" s="70" t="str">
        <f>IF(N1179="","",N1179+N(O1179))</f>
        <v/>
      </c>
      <c r="Q1179" s="64" t="n"/>
      <c r="R1179" s="73" t="str">
        <f>IF(N(Q1179)&gt;0,Q1179,IF(OR(N(B1179)=0,ISNA(MATCH($C1179,sup_code,0))),"",IF(ISNUMBER(INDEX(sup_delay,MATCH($C1179,sup_code,0))),B1179+INDEX(sup_delay,MATCH($C1179,sup_code,0)),"")))</f>
        <v/>
      </c>
      <c r="S1179" s="64" t="n"/>
      <c r="T1179" s="68" t="n"/>
      <c r="U1179" s="64" t="n"/>
      <c r="V1179" s="65" t="n"/>
      <c r="W1179" s="74" t="str">
        <f>IF(AND(A1179="",E1179=""),"",IF(V1179="Oui",0,MAX(0,ROUND(N(H1179)-N(T1179),6))))</f>
        <v/>
      </c>
      <c r="X1179" s="67" t="str">
        <f>IF(AND(A1179="",E1179=""),"",IF(V1179="Oui","Annulé",IF(AND(N(H1179)&gt;0,N(T1179)&gt;=N(H1179)),"Reçu",IF(N(S1179)=0,"Brouillon",IF(AND(ISNUMBER(R1179),R1179&lt;p_today),"En retard",IF(N(T1179)&gt;0,"Partiel","Envoyé"))))))</f>
        <v/>
      </c>
      <c r="Y1179" s="75" t="str">
        <f>IF(X1179="En retard",p_today-R1179,IF(AND(X1179="Reçu",ISNUMBER(R1179)),MAX(0,N(U1179)-R1179),""))</f>
        <v/>
      </c>
      <c r="Z1179" s="67" t="str">
        <f>IF(AND(A1179="",E1179=""),"",IF(A1179="","N° de bon manquant",IF(N(B1179)=0,"Date de commande manquante",IF(C1179="","Fournisseur manquant",IF(ISNA(MATCH($C1179,sup_code,0)),"Fournisseur inconnu",IF(E1179="","Article manquant",IF(ISNA(MATCH($E1179,art_ref,0)),"Article inconnu",IF(N(H1179)&lt;=0,"Quantité invalide",IF(J1179="","Prix manquant",IF(OR(N(K1179)&lt;0,N(K1179)&gt;=1),"Remise invalide",IF(M1179="","TVA manquante",IF(ISNA(MATCH(M1179,p_tva,0)),"Taux de TVA inconnu",IF(COUNTIFS(po_num,A1179,po_sup,"&lt;&gt;"&amp;C1179)&gt;0,"Fournisseur différent sur ce bon",IF(COUNTIFS(po_num,A1179,po_date,"&lt;&gt;"&amp;B1179)&gt;0,"Date différente sur ce bon",IF(COUNTIF(po_num,A1179)&gt;25,"Plus de 25 lignes sur ce bon",IF(R1179="","Date de livraison manquante",IF(R1179&lt;B1179,"Livraison avant la commande",IF(AND(N(T1179)&gt;0,N(S1179)=0),"Date d'envoi manquante",IF(N(T1179)&gt;N(H1179),"Reçu plus que commandé",IF(AND(N(T1179)&gt;0,N(U1179)=0),"Date de réception manquante",IF(AND(N(U1179)&gt;0,U1179&lt;B1179),"Réception avant la commande","OK")))))))))))))))))))))</f>
        <v/>
      </c>
      <c r="AA1179" s="66" t="str">
        <f>IF(AND(X1179="Reçu",ISNUMBER(R1179)),IF(N(U1179)&lt;=R1179,1,0),"")</f>
        <v/>
      </c>
      <c r="AB1179" s="76" t="str">
        <f>IF(OR(X1179="Envoyé",X1179="Partiel",X1179="En retard"),IF(ISNUMBER(R1179),R1179,100000)+ROW()/100000,"")</f>
        <v/>
      </c>
      <c r="AC1179" s="66" t="str">
        <f>IF(A1179="","",IF(COUNTIF($A$6:A1179,A1179)=1,1,""))</f>
        <v/>
      </c>
      <c r="AD1179" s="66" t="str">
        <f>IF(AC1179=1,COUNT($AC$6:AC1179),"")</f>
        <v/>
      </c>
      <c r="AE1179" s="66" t="str">
        <f>IFERROR(INDEX(po_num,MATCH(1174,po_seq,0))&amp;"","")</f>
        <v/>
      </c>
      <c r="AF1179" s="66" t="str">
        <f>IF(OR(A1179="",p_po=""),"",IF(A1179&amp;""=p_po,COUNTIF($A$6:A1179,A1179),""))</f>
        <v/>
      </c>
      <c r="AG1179" s="66" t="str">
        <f>IF(OR(AB1179="",A1179=""),"",IF(COUNTIFS($A$6:A1179,A1179,$AB$6:AB1179,"&gt;0")=1,1,""))</f>
        <v/>
      </c>
      <c r="AH1179" s="70" t="str">
        <f>IF(AB1179="","",ROUND(N(W1179)*N(J1179)*(1-N(K1179)),2))</f>
        <v/>
      </c>
      <c r="AI1179" s="70" t="str">
        <f>IF(OR(J1179="",N(T1179)&lt;=0,V1179="Oui"),"",ROUND(N(T1179)*J1179*(1-N(K1179)),2))</f>
        <v/>
      </c>
    </row>
    <row r="1180">
      <c r="A1180" s="63" t="n"/>
      <c r="B1180" s="64" t="n"/>
      <c r="C1180" s="65" t="n"/>
      <c r="D1180" s="66" t="str">
        <f>IF(C1180="","",IFERROR(INDEX(sup_name,MATCH($C1180,sup_code,0))&amp;"","Fournisseur inconnu"))</f>
        <v/>
      </c>
      <c r="E1180" s="63" t="n"/>
      <c r="F1180" s="66" t="str">
        <f>IF(E1180="","",IFERROR(INDEX(art_des,MATCH($E1180,art_ref,0))&amp;"","Article inconnu"))</f>
        <v/>
      </c>
      <c r="G1180" s="67" t="str">
        <f>IF(E1180="","",IFERROR(INDEX(art_unit,MATCH($E1180,art_ref,0))&amp;"",""))</f>
        <v/>
      </c>
      <c r="H1180" s="68" t="n"/>
      <c r="I1180" s="69" t="n"/>
      <c r="J1180" s="70" t="str">
        <f>IF(E1180="","",IF(ISNUMBER(I1180),I1180,IFERROR(IF(ISNUMBER(INDEX(art_price,MATCH($E1180,art_ref,0))),INDEX(art_price,MATCH($E1180,art_ref,0)),""),"")))</f>
        <v/>
      </c>
      <c r="K1180" s="71" t="n"/>
      <c r="L1180" s="72" t="n"/>
      <c r="M1180" s="72" t="str">
        <f>IF(E1180="","",IF(L1180&lt;&gt;"",L1180,IFERROR(IF(ISNUMBER(INDEX(art_tva,MATCH($E1180,art_ref,0))),INDEX(art_tva,MATCH($E1180,art_ref,0)),""),"")))</f>
        <v/>
      </c>
      <c r="N1180" s="70" t="str">
        <f>IF(OR(E1180="",J1180=""),"",ROUND(N(H1180)*J1180*(1-N(K1180)),2))</f>
        <v/>
      </c>
      <c r="O1180" s="70" t="str">
        <f>IF(OR(N1180="",NOT(ISNUMBER(M1180))),"",ROUND(N1180*M1180,2))</f>
        <v/>
      </c>
      <c r="P1180" s="70" t="str">
        <f>IF(N1180="","",N1180+N(O1180))</f>
        <v/>
      </c>
      <c r="Q1180" s="64" t="n"/>
      <c r="R1180" s="73" t="str">
        <f>IF(N(Q1180)&gt;0,Q1180,IF(OR(N(B1180)=0,ISNA(MATCH($C1180,sup_code,0))),"",IF(ISNUMBER(INDEX(sup_delay,MATCH($C1180,sup_code,0))),B1180+INDEX(sup_delay,MATCH($C1180,sup_code,0)),"")))</f>
        <v/>
      </c>
      <c r="S1180" s="64" t="n"/>
      <c r="T1180" s="68" t="n"/>
      <c r="U1180" s="64" t="n"/>
      <c r="V1180" s="65" t="n"/>
      <c r="W1180" s="74" t="str">
        <f>IF(AND(A1180="",E1180=""),"",IF(V1180="Oui",0,MAX(0,ROUND(N(H1180)-N(T1180),6))))</f>
        <v/>
      </c>
      <c r="X1180" s="67" t="str">
        <f>IF(AND(A1180="",E1180=""),"",IF(V1180="Oui","Annulé",IF(AND(N(H1180)&gt;0,N(T1180)&gt;=N(H1180)),"Reçu",IF(N(S1180)=0,"Brouillon",IF(AND(ISNUMBER(R1180),R1180&lt;p_today),"En retard",IF(N(T1180)&gt;0,"Partiel","Envoyé"))))))</f>
        <v/>
      </c>
      <c r="Y1180" s="75" t="str">
        <f>IF(X1180="En retard",p_today-R1180,IF(AND(X1180="Reçu",ISNUMBER(R1180)),MAX(0,N(U1180)-R1180),""))</f>
        <v/>
      </c>
      <c r="Z1180" s="67" t="str">
        <f>IF(AND(A1180="",E1180=""),"",IF(A1180="","N° de bon manquant",IF(N(B1180)=0,"Date de commande manquante",IF(C1180="","Fournisseur manquant",IF(ISNA(MATCH($C1180,sup_code,0)),"Fournisseur inconnu",IF(E1180="","Article manquant",IF(ISNA(MATCH($E1180,art_ref,0)),"Article inconnu",IF(N(H1180)&lt;=0,"Quantité invalide",IF(J1180="","Prix manquant",IF(OR(N(K1180)&lt;0,N(K1180)&gt;=1),"Remise invalide",IF(M1180="","TVA manquante",IF(ISNA(MATCH(M1180,p_tva,0)),"Taux de TVA inconnu",IF(COUNTIFS(po_num,A1180,po_sup,"&lt;&gt;"&amp;C1180)&gt;0,"Fournisseur différent sur ce bon",IF(COUNTIFS(po_num,A1180,po_date,"&lt;&gt;"&amp;B1180)&gt;0,"Date différente sur ce bon",IF(COUNTIF(po_num,A1180)&gt;25,"Plus de 25 lignes sur ce bon",IF(R1180="","Date de livraison manquante",IF(R1180&lt;B1180,"Livraison avant la commande",IF(AND(N(T1180)&gt;0,N(S1180)=0),"Date d'envoi manquante",IF(N(T1180)&gt;N(H1180),"Reçu plus que commandé",IF(AND(N(T1180)&gt;0,N(U1180)=0),"Date de réception manquante",IF(AND(N(U1180)&gt;0,U1180&lt;B1180),"Réception avant la commande","OK")))))))))))))))))))))</f>
        <v/>
      </c>
      <c r="AA1180" s="66" t="str">
        <f>IF(AND(X1180="Reçu",ISNUMBER(R1180)),IF(N(U1180)&lt;=R1180,1,0),"")</f>
        <v/>
      </c>
      <c r="AB1180" s="76" t="str">
        <f>IF(OR(X1180="Envoyé",X1180="Partiel",X1180="En retard"),IF(ISNUMBER(R1180),R1180,100000)+ROW()/100000,"")</f>
        <v/>
      </c>
      <c r="AC1180" s="66" t="str">
        <f>IF(A1180="","",IF(COUNTIF($A$6:A1180,A1180)=1,1,""))</f>
        <v/>
      </c>
      <c r="AD1180" s="66" t="str">
        <f>IF(AC1180=1,COUNT($AC$6:AC1180),"")</f>
        <v/>
      </c>
      <c r="AE1180" s="66" t="str">
        <f>IFERROR(INDEX(po_num,MATCH(1175,po_seq,0))&amp;"","")</f>
        <v/>
      </c>
      <c r="AF1180" s="66" t="str">
        <f>IF(OR(A1180="",p_po=""),"",IF(A1180&amp;""=p_po,COUNTIF($A$6:A1180,A1180),""))</f>
        <v/>
      </c>
      <c r="AG1180" s="66" t="str">
        <f>IF(OR(AB1180="",A1180=""),"",IF(COUNTIFS($A$6:A1180,A1180,$AB$6:AB1180,"&gt;0")=1,1,""))</f>
        <v/>
      </c>
      <c r="AH1180" s="70" t="str">
        <f>IF(AB1180="","",ROUND(N(W1180)*N(J1180)*(1-N(K1180)),2))</f>
        <v/>
      </c>
      <c r="AI1180" s="70" t="str">
        <f>IF(OR(J1180="",N(T1180)&lt;=0,V1180="Oui"),"",ROUND(N(T1180)*J1180*(1-N(K1180)),2))</f>
        <v/>
      </c>
    </row>
    <row r="1181">
      <c r="A1181" s="63" t="n"/>
      <c r="B1181" s="64" t="n"/>
      <c r="C1181" s="65" t="n"/>
      <c r="D1181" s="66" t="str">
        <f>IF(C1181="","",IFERROR(INDEX(sup_name,MATCH($C1181,sup_code,0))&amp;"","Fournisseur inconnu"))</f>
        <v/>
      </c>
      <c r="E1181" s="63" t="n"/>
      <c r="F1181" s="66" t="str">
        <f>IF(E1181="","",IFERROR(INDEX(art_des,MATCH($E1181,art_ref,0))&amp;"","Article inconnu"))</f>
        <v/>
      </c>
      <c r="G1181" s="67" t="str">
        <f>IF(E1181="","",IFERROR(INDEX(art_unit,MATCH($E1181,art_ref,0))&amp;"",""))</f>
        <v/>
      </c>
      <c r="H1181" s="68" t="n"/>
      <c r="I1181" s="69" t="n"/>
      <c r="J1181" s="70" t="str">
        <f>IF(E1181="","",IF(ISNUMBER(I1181),I1181,IFERROR(IF(ISNUMBER(INDEX(art_price,MATCH($E1181,art_ref,0))),INDEX(art_price,MATCH($E1181,art_ref,0)),""),"")))</f>
        <v/>
      </c>
      <c r="K1181" s="71" t="n"/>
      <c r="L1181" s="72" t="n"/>
      <c r="M1181" s="72" t="str">
        <f>IF(E1181="","",IF(L1181&lt;&gt;"",L1181,IFERROR(IF(ISNUMBER(INDEX(art_tva,MATCH($E1181,art_ref,0))),INDEX(art_tva,MATCH($E1181,art_ref,0)),""),"")))</f>
        <v/>
      </c>
      <c r="N1181" s="70" t="str">
        <f>IF(OR(E1181="",J1181=""),"",ROUND(N(H1181)*J1181*(1-N(K1181)),2))</f>
        <v/>
      </c>
      <c r="O1181" s="70" t="str">
        <f>IF(OR(N1181="",NOT(ISNUMBER(M1181))),"",ROUND(N1181*M1181,2))</f>
        <v/>
      </c>
      <c r="P1181" s="70" t="str">
        <f>IF(N1181="","",N1181+N(O1181))</f>
        <v/>
      </c>
      <c r="Q1181" s="64" t="n"/>
      <c r="R1181" s="73" t="str">
        <f>IF(N(Q1181)&gt;0,Q1181,IF(OR(N(B1181)=0,ISNA(MATCH($C1181,sup_code,0))),"",IF(ISNUMBER(INDEX(sup_delay,MATCH($C1181,sup_code,0))),B1181+INDEX(sup_delay,MATCH($C1181,sup_code,0)),"")))</f>
        <v/>
      </c>
      <c r="S1181" s="64" t="n"/>
      <c r="T1181" s="68" t="n"/>
      <c r="U1181" s="64" t="n"/>
      <c r="V1181" s="65" t="n"/>
      <c r="W1181" s="74" t="str">
        <f>IF(AND(A1181="",E1181=""),"",IF(V1181="Oui",0,MAX(0,ROUND(N(H1181)-N(T1181),6))))</f>
        <v/>
      </c>
      <c r="X1181" s="67" t="str">
        <f>IF(AND(A1181="",E1181=""),"",IF(V1181="Oui","Annulé",IF(AND(N(H1181)&gt;0,N(T1181)&gt;=N(H1181)),"Reçu",IF(N(S1181)=0,"Brouillon",IF(AND(ISNUMBER(R1181),R1181&lt;p_today),"En retard",IF(N(T1181)&gt;0,"Partiel","Envoyé"))))))</f>
        <v/>
      </c>
      <c r="Y1181" s="75" t="str">
        <f>IF(X1181="En retard",p_today-R1181,IF(AND(X1181="Reçu",ISNUMBER(R1181)),MAX(0,N(U1181)-R1181),""))</f>
        <v/>
      </c>
      <c r="Z1181" s="67" t="str">
        <f>IF(AND(A1181="",E1181=""),"",IF(A1181="","N° de bon manquant",IF(N(B1181)=0,"Date de commande manquante",IF(C1181="","Fournisseur manquant",IF(ISNA(MATCH($C1181,sup_code,0)),"Fournisseur inconnu",IF(E1181="","Article manquant",IF(ISNA(MATCH($E1181,art_ref,0)),"Article inconnu",IF(N(H1181)&lt;=0,"Quantité invalide",IF(J1181="","Prix manquant",IF(OR(N(K1181)&lt;0,N(K1181)&gt;=1),"Remise invalide",IF(M1181="","TVA manquante",IF(ISNA(MATCH(M1181,p_tva,0)),"Taux de TVA inconnu",IF(COUNTIFS(po_num,A1181,po_sup,"&lt;&gt;"&amp;C1181)&gt;0,"Fournisseur différent sur ce bon",IF(COUNTIFS(po_num,A1181,po_date,"&lt;&gt;"&amp;B1181)&gt;0,"Date différente sur ce bon",IF(COUNTIF(po_num,A1181)&gt;25,"Plus de 25 lignes sur ce bon",IF(R1181="","Date de livraison manquante",IF(R1181&lt;B1181,"Livraison avant la commande",IF(AND(N(T1181)&gt;0,N(S1181)=0),"Date d'envoi manquante",IF(N(T1181)&gt;N(H1181),"Reçu plus que commandé",IF(AND(N(T1181)&gt;0,N(U1181)=0),"Date de réception manquante",IF(AND(N(U1181)&gt;0,U1181&lt;B1181),"Réception avant la commande","OK")))))))))))))))))))))</f>
        <v/>
      </c>
      <c r="AA1181" s="66" t="str">
        <f>IF(AND(X1181="Reçu",ISNUMBER(R1181)),IF(N(U1181)&lt;=R1181,1,0),"")</f>
        <v/>
      </c>
      <c r="AB1181" s="76" t="str">
        <f>IF(OR(X1181="Envoyé",X1181="Partiel",X1181="En retard"),IF(ISNUMBER(R1181),R1181,100000)+ROW()/100000,"")</f>
        <v/>
      </c>
      <c r="AC1181" s="66" t="str">
        <f>IF(A1181="","",IF(COUNTIF($A$6:A1181,A1181)=1,1,""))</f>
        <v/>
      </c>
      <c r="AD1181" s="66" t="str">
        <f>IF(AC1181=1,COUNT($AC$6:AC1181),"")</f>
        <v/>
      </c>
      <c r="AE1181" s="66" t="str">
        <f>IFERROR(INDEX(po_num,MATCH(1176,po_seq,0))&amp;"","")</f>
        <v/>
      </c>
      <c r="AF1181" s="66" t="str">
        <f>IF(OR(A1181="",p_po=""),"",IF(A1181&amp;""=p_po,COUNTIF($A$6:A1181,A1181),""))</f>
        <v/>
      </c>
      <c r="AG1181" s="66" t="str">
        <f>IF(OR(AB1181="",A1181=""),"",IF(COUNTIFS($A$6:A1181,A1181,$AB$6:AB1181,"&gt;0")=1,1,""))</f>
        <v/>
      </c>
      <c r="AH1181" s="70" t="str">
        <f>IF(AB1181="","",ROUND(N(W1181)*N(J1181)*(1-N(K1181)),2))</f>
        <v/>
      </c>
      <c r="AI1181" s="70" t="str">
        <f>IF(OR(J1181="",N(T1181)&lt;=0,V1181="Oui"),"",ROUND(N(T1181)*J1181*(1-N(K1181)),2))</f>
        <v/>
      </c>
    </row>
    <row r="1182">
      <c r="A1182" s="63" t="n"/>
      <c r="B1182" s="64" t="n"/>
      <c r="C1182" s="65" t="n"/>
      <c r="D1182" s="66" t="str">
        <f>IF(C1182="","",IFERROR(INDEX(sup_name,MATCH($C1182,sup_code,0))&amp;"","Fournisseur inconnu"))</f>
        <v/>
      </c>
      <c r="E1182" s="63" t="n"/>
      <c r="F1182" s="66" t="str">
        <f>IF(E1182="","",IFERROR(INDEX(art_des,MATCH($E1182,art_ref,0))&amp;"","Article inconnu"))</f>
        <v/>
      </c>
      <c r="G1182" s="67" t="str">
        <f>IF(E1182="","",IFERROR(INDEX(art_unit,MATCH($E1182,art_ref,0))&amp;"",""))</f>
        <v/>
      </c>
      <c r="H1182" s="68" t="n"/>
      <c r="I1182" s="69" t="n"/>
      <c r="J1182" s="70" t="str">
        <f>IF(E1182="","",IF(ISNUMBER(I1182),I1182,IFERROR(IF(ISNUMBER(INDEX(art_price,MATCH($E1182,art_ref,0))),INDEX(art_price,MATCH($E1182,art_ref,0)),""),"")))</f>
        <v/>
      </c>
      <c r="K1182" s="71" t="n"/>
      <c r="L1182" s="72" t="n"/>
      <c r="M1182" s="72" t="str">
        <f>IF(E1182="","",IF(L1182&lt;&gt;"",L1182,IFERROR(IF(ISNUMBER(INDEX(art_tva,MATCH($E1182,art_ref,0))),INDEX(art_tva,MATCH($E1182,art_ref,0)),""),"")))</f>
        <v/>
      </c>
      <c r="N1182" s="70" t="str">
        <f>IF(OR(E1182="",J1182=""),"",ROUND(N(H1182)*J1182*(1-N(K1182)),2))</f>
        <v/>
      </c>
      <c r="O1182" s="70" t="str">
        <f>IF(OR(N1182="",NOT(ISNUMBER(M1182))),"",ROUND(N1182*M1182,2))</f>
        <v/>
      </c>
      <c r="P1182" s="70" t="str">
        <f>IF(N1182="","",N1182+N(O1182))</f>
        <v/>
      </c>
      <c r="Q1182" s="64" t="n"/>
      <c r="R1182" s="73" t="str">
        <f>IF(N(Q1182)&gt;0,Q1182,IF(OR(N(B1182)=0,ISNA(MATCH($C1182,sup_code,0))),"",IF(ISNUMBER(INDEX(sup_delay,MATCH($C1182,sup_code,0))),B1182+INDEX(sup_delay,MATCH($C1182,sup_code,0)),"")))</f>
        <v/>
      </c>
      <c r="S1182" s="64" t="n"/>
      <c r="T1182" s="68" t="n"/>
      <c r="U1182" s="64" t="n"/>
      <c r="V1182" s="65" t="n"/>
      <c r="W1182" s="74" t="str">
        <f>IF(AND(A1182="",E1182=""),"",IF(V1182="Oui",0,MAX(0,ROUND(N(H1182)-N(T1182),6))))</f>
        <v/>
      </c>
      <c r="X1182" s="67" t="str">
        <f>IF(AND(A1182="",E1182=""),"",IF(V1182="Oui","Annulé",IF(AND(N(H1182)&gt;0,N(T1182)&gt;=N(H1182)),"Reçu",IF(N(S1182)=0,"Brouillon",IF(AND(ISNUMBER(R1182),R1182&lt;p_today),"En retard",IF(N(T1182)&gt;0,"Partiel","Envoyé"))))))</f>
        <v/>
      </c>
      <c r="Y1182" s="75" t="str">
        <f>IF(X1182="En retard",p_today-R1182,IF(AND(X1182="Reçu",ISNUMBER(R1182)),MAX(0,N(U1182)-R1182),""))</f>
        <v/>
      </c>
      <c r="Z1182" s="67" t="str">
        <f>IF(AND(A1182="",E1182=""),"",IF(A1182="","N° de bon manquant",IF(N(B1182)=0,"Date de commande manquante",IF(C1182="","Fournisseur manquant",IF(ISNA(MATCH($C1182,sup_code,0)),"Fournisseur inconnu",IF(E1182="","Article manquant",IF(ISNA(MATCH($E1182,art_ref,0)),"Article inconnu",IF(N(H1182)&lt;=0,"Quantité invalide",IF(J1182="","Prix manquant",IF(OR(N(K1182)&lt;0,N(K1182)&gt;=1),"Remise invalide",IF(M1182="","TVA manquante",IF(ISNA(MATCH(M1182,p_tva,0)),"Taux de TVA inconnu",IF(COUNTIFS(po_num,A1182,po_sup,"&lt;&gt;"&amp;C1182)&gt;0,"Fournisseur différent sur ce bon",IF(COUNTIFS(po_num,A1182,po_date,"&lt;&gt;"&amp;B1182)&gt;0,"Date différente sur ce bon",IF(COUNTIF(po_num,A1182)&gt;25,"Plus de 25 lignes sur ce bon",IF(R1182="","Date de livraison manquante",IF(R1182&lt;B1182,"Livraison avant la commande",IF(AND(N(T1182)&gt;0,N(S1182)=0),"Date d'envoi manquante",IF(N(T1182)&gt;N(H1182),"Reçu plus que commandé",IF(AND(N(T1182)&gt;0,N(U1182)=0),"Date de réception manquante",IF(AND(N(U1182)&gt;0,U1182&lt;B1182),"Réception avant la commande","OK")))))))))))))))))))))</f>
        <v/>
      </c>
      <c r="AA1182" s="66" t="str">
        <f>IF(AND(X1182="Reçu",ISNUMBER(R1182)),IF(N(U1182)&lt;=R1182,1,0),"")</f>
        <v/>
      </c>
      <c r="AB1182" s="76" t="str">
        <f>IF(OR(X1182="Envoyé",X1182="Partiel",X1182="En retard"),IF(ISNUMBER(R1182),R1182,100000)+ROW()/100000,"")</f>
        <v/>
      </c>
      <c r="AC1182" s="66" t="str">
        <f>IF(A1182="","",IF(COUNTIF($A$6:A1182,A1182)=1,1,""))</f>
        <v/>
      </c>
      <c r="AD1182" s="66" t="str">
        <f>IF(AC1182=1,COUNT($AC$6:AC1182),"")</f>
        <v/>
      </c>
      <c r="AE1182" s="66" t="str">
        <f>IFERROR(INDEX(po_num,MATCH(1177,po_seq,0))&amp;"","")</f>
        <v/>
      </c>
      <c r="AF1182" s="66" t="str">
        <f>IF(OR(A1182="",p_po=""),"",IF(A1182&amp;""=p_po,COUNTIF($A$6:A1182,A1182),""))</f>
        <v/>
      </c>
      <c r="AG1182" s="66" t="str">
        <f>IF(OR(AB1182="",A1182=""),"",IF(COUNTIFS($A$6:A1182,A1182,$AB$6:AB1182,"&gt;0")=1,1,""))</f>
        <v/>
      </c>
      <c r="AH1182" s="70" t="str">
        <f>IF(AB1182="","",ROUND(N(W1182)*N(J1182)*(1-N(K1182)),2))</f>
        <v/>
      </c>
      <c r="AI1182" s="70" t="str">
        <f>IF(OR(J1182="",N(T1182)&lt;=0,V1182="Oui"),"",ROUND(N(T1182)*J1182*(1-N(K1182)),2))</f>
        <v/>
      </c>
    </row>
    <row r="1183">
      <c r="A1183" s="63" t="n"/>
      <c r="B1183" s="64" t="n"/>
      <c r="C1183" s="65" t="n"/>
      <c r="D1183" s="66" t="str">
        <f>IF(C1183="","",IFERROR(INDEX(sup_name,MATCH($C1183,sup_code,0))&amp;"","Fournisseur inconnu"))</f>
        <v/>
      </c>
      <c r="E1183" s="63" t="n"/>
      <c r="F1183" s="66" t="str">
        <f>IF(E1183="","",IFERROR(INDEX(art_des,MATCH($E1183,art_ref,0))&amp;"","Article inconnu"))</f>
        <v/>
      </c>
      <c r="G1183" s="67" t="str">
        <f>IF(E1183="","",IFERROR(INDEX(art_unit,MATCH($E1183,art_ref,0))&amp;"",""))</f>
        <v/>
      </c>
      <c r="H1183" s="68" t="n"/>
      <c r="I1183" s="69" t="n"/>
      <c r="J1183" s="70" t="str">
        <f>IF(E1183="","",IF(ISNUMBER(I1183),I1183,IFERROR(IF(ISNUMBER(INDEX(art_price,MATCH($E1183,art_ref,0))),INDEX(art_price,MATCH($E1183,art_ref,0)),""),"")))</f>
        <v/>
      </c>
      <c r="K1183" s="71" t="n"/>
      <c r="L1183" s="72" t="n"/>
      <c r="M1183" s="72" t="str">
        <f>IF(E1183="","",IF(L1183&lt;&gt;"",L1183,IFERROR(IF(ISNUMBER(INDEX(art_tva,MATCH($E1183,art_ref,0))),INDEX(art_tva,MATCH($E1183,art_ref,0)),""),"")))</f>
        <v/>
      </c>
      <c r="N1183" s="70" t="str">
        <f>IF(OR(E1183="",J1183=""),"",ROUND(N(H1183)*J1183*(1-N(K1183)),2))</f>
        <v/>
      </c>
      <c r="O1183" s="70" t="str">
        <f>IF(OR(N1183="",NOT(ISNUMBER(M1183))),"",ROUND(N1183*M1183,2))</f>
        <v/>
      </c>
      <c r="P1183" s="70" t="str">
        <f>IF(N1183="","",N1183+N(O1183))</f>
        <v/>
      </c>
      <c r="Q1183" s="64" t="n"/>
      <c r="R1183" s="73" t="str">
        <f>IF(N(Q1183)&gt;0,Q1183,IF(OR(N(B1183)=0,ISNA(MATCH($C1183,sup_code,0))),"",IF(ISNUMBER(INDEX(sup_delay,MATCH($C1183,sup_code,0))),B1183+INDEX(sup_delay,MATCH($C1183,sup_code,0)),"")))</f>
        <v/>
      </c>
      <c r="S1183" s="64" t="n"/>
      <c r="T1183" s="68" t="n"/>
      <c r="U1183" s="64" t="n"/>
      <c r="V1183" s="65" t="n"/>
      <c r="W1183" s="74" t="str">
        <f>IF(AND(A1183="",E1183=""),"",IF(V1183="Oui",0,MAX(0,ROUND(N(H1183)-N(T1183),6))))</f>
        <v/>
      </c>
      <c r="X1183" s="67" t="str">
        <f>IF(AND(A1183="",E1183=""),"",IF(V1183="Oui","Annulé",IF(AND(N(H1183)&gt;0,N(T1183)&gt;=N(H1183)),"Reçu",IF(N(S1183)=0,"Brouillon",IF(AND(ISNUMBER(R1183),R1183&lt;p_today),"En retard",IF(N(T1183)&gt;0,"Partiel","Envoyé"))))))</f>
        <v/>
      </c>
      <c r="Y1183" s="75" t="str">
        <f>IF(X1183="En retard",p_today-R1183,IF(AND(X1183="Reçu",ISNUMBER(R1183)),MAX(0,N(U1183)-R1183),""))</f>
        <v/>
      </c>
      <c r="Z1183" s="67" t="str">
        <f>IF(AND(A1183="",E1183=""),"",IF(A1183="","N° de bon manquant",IF(N(B1183)=0,"Date de commande manquante",IF(C1183="","Fournisseur manquant",IF(ISNA(MATCH($C1183,sup_code,0)),"Fournisseur inconnu",IF(E1183="","Article manquant",IF(ISNA(MATCH($E1183,art_ref,0)),"Article inconnu",IF(N(H1183)&lt;=0,"Quantité invalide",IF(J1183="","Prix manquant",IF(OR(N(K1183)&lt;0,N(K1183)&gt;=1),"Remise invalide",IF(M1183="","TVA manquante",IF(ISNA(MATCH(M1183,p_tva,0)),"Taux de TVA inconnu",IF(COUNTIFS(po_num,A1183,po_sup,"&lt;&gt;"&amp;C1183)&gt;0,"Fournisseur différent sur ce bon",IF(COUNTIFS(po_num,A1183,po_date,"&lt;&gt;"&amp;B1183)&gt;0,"Date différente sur ce bon",IF(COUNTIF(po_num,A1183)&gt;25,"Plus de 25 lignes sur ce bon",IF(R1183="","Date de livraison manquante",IF(R1183&lt;B1183,"Livraison avant la commande",IF(AND(N(T1183)&gt;0,N(S1183)=0),"Date d'envoi manquante",IF(N(T1183)&gt;N(H1183),"Reçu plus que commandé",IF(AND(N(T1183)&gt;0,N(U1183)=0),"Date de réception manquante",IF(AND(N(U1183)&gt;0,U1183&lt;B1183),"Réception avant la commande","OK")))))))))))))))))))))</f>
        <v/>
      </c>
      <c r="AA1183" s="66" t="str">
        <f>IF(AND(X1183="Reçu",ISNUMBER(R1183)),IF(N(U1183)&lt;=R1183,1,0),"")</f>
        <v/>
      </c>
      <c r="AB1183" s="76" t="str">
        <f>IF(OR(X1183="Envoyé",X1183="Partiel",X1183="En retard"),IF(ISNUMBER(R1183),R1183,100000)+ROW()/100000,"")</f>
        <v/>
      </c>
      <c r="AC1183" s="66" t="str">
        <f>IF(A1183="","",IF(COUNTIF($A$6:A1183,A1183)=1,1,""))</f>
        <v/>
      </c>
      <c r="AD1183" s="66" t="str">
        <f>IF(AC1183=1,COUNT($AC$6:AC1183),"")</f>
        <v/>
      </c>
      <c r="AE1183" s="66" t="str">
        <f>IFERROR(INDEX(po_num,MATCH(1178,po_seq,0))&amp;"","")</f>
        <v/>
      </c>
      <c r="AF1183" s="66" t="str">
        <f>IF(OR(A1183="",p_po=""),"",IF(A1183&amp;""=p_po,COUNTIF($A$6:A1183,A1183),""))</f>
        <v/>
      </c>
      <c r="AG1183" s="66" t="str">
        <f>IF(OR(AB1183="",A1183=""),"",IF(COUNTIFS($A$6:A1183,A1183,$AB$6:AB1183,"&gt;0")=1,1,""))</f>
        <v/>
      </c>
      <c r="AH1183" s="70" t="str">
        <f>IF(AB1183="","",ROUND(N(W1183)*N(J1183)*(1-N(K1183)),2))</f>
        <v/>
      </c>
      <c r="AI1183" s="70" t="str">
        <f>IF(OR(J1183="",N(T1183)&lt;=0,V1183="Oui"),"",ROUND(N(T1183)*J1183*(1-N(K1183)),2))</f>
        <v/>
      </c>
    </row>
    <row r="1184">
      <c r="A1184" s="63" t="n"/>
      <c r="B1184" s="64" t="n"/>
      <c r="C1184" s="65" t="n"/>
      <c r="D1184" s="66" t="str">
        <f>IF(C1184="","",IFERROR(INDEX(sup_name,MATCH($C1184,sup_code,0))&amp;"","Fournisseur inconnu"))</f>
        <v/>
      </c>
      <c r="E1184" s="63" t="n"/>
      <c r="F1184" s="66" t="str">
        <f>IF(E1184="","",IFERROR(INDEX(art_des,MATCH($E1184,art_ref,0))&amp;"","Article inconnu"))</f>
        <v/>
      </c>
      <c r="G1184" s="67" t="str">
        <f>IF(E1184="","",IFERROR(INDEX(art_unit,MATCH($E1184,art_ref,0))&amp;"",""))</f>
        <v/>
      </c>
      <c r="H1184" s="68" t="n"/>
      <c r="I1184" s="69" t="n"/>
      <c r="J1184" s="70" t="str">
        <f>IF(E1184="","",IF(ISNUMBER(I1184),I1184,IFERROR(IF(ISNUMBER(INDEX(art_price,MATCH($E1184,art_ref,0))),INDEX(art_price,MATCH($E1184,art_ref,0)),""),"")))</f>
        <v/>
      </c>
      <c r="K1184" s="71" t="n"/>
      <c r="L1184" s="72" t="n"/>
      <c r="M1184" s="72" t="str">
        <f>IF(E1184="","",IF(L1184&lt;&gt;"",L1184,IFERROR(IF(ISNUMBER(INDEX(art_tva,MATCH($E1184,art_ref,0))),INDEX(art_tva,MATCH($E1184,art_ref,0)),""),"")))</f>
        <v/>
      </c>
      <c r="N1184" s="70" t="str">
        <f>IF(OR(E1184="",J1184=""),"",ROUND(N(H1184)*J1184*(1-N(K1184)),2))</f>
        <v/>
      </c>
      <c r="O1184" s="70" t="str">
        <f>IF(OR(N1184="",NOT(ISNUMBER(M1184))),"",ROUND(N1184*M1184,2))</f>
        <v/>
      </c>
      <c r="P1184" s="70" t="str">
        <f>IF(N1184="","",N1184+N(O1184))</f>
        <v/>
      </c>
      <c r="Q1184" s="64" t="n"/>
      <c r="R1184" s="73" t="str">
        <f>IF(N(Q1184)&gt;0,Q1184,IF(OR(N(B1184)=0,ISNA(MATCH($C1184,sup_code,0))),"",IF(ISNUMBER(INDEX(sup_delay,MATCH($C1184,sup_code,0))),B1184+INDEX(sup_delay,MATCH($C1184,sup_code,0)),"")))</f>
        <v/>
      </c>
      <c r="S1184" s="64" t="n"/>
      <c r="T1184" s="68" t="n"/>
      <c r="U1184" s="64" t="n"/>
      <c r="V1184" s="65" t="n"/>
      <c r="W1184" s="74" t="str">
        <f>IF(AND(A1184="",E1184=""),"",IF(V1184="Oui",0,MAX(0,ROUND(N(H1184)-N(T1184),6))))</f>
        <v/>
      </c>
      <c r="X1184" s="67" t="str">
        <f>IF(AND(A1184="",E1184=""),"",IF(V1184="Oui","Annulé",IF(AND(N(H1184)&gt;0,N(T1184)&gt;=N(H1184)),"Reçu",IF(N(S1184)=0,"Brouillon",IF(AND(ISNUMBER(R1184),R1184&lt;p_today),"En retard",IF(N(T1184)&gt;0,"Partiel","Envoyé"))))))</f>
        <v/>
      </c>
      <c r="Y1184" s="75" t="str">
        <f>IF(X1184="En retard",p_today-R1184,IF(AND(X1184="Reçu",ISNUMBER(R1184)),MAX(0,N(U1184)-R1184),""))</f>
        <v/>
      </c>
      <c r="Z1184" s="67" t="str">
        <f>IF(AND(A1184="",E1184=""),"",IF(A1184="","N° de bon manquant",IF(N(B1184)=0,"Date de commande manquante",IF(C1184="","Fournisseur manquant",IF(ISNA(MATCH($C1184,sup_code,0)),"Fournisseur inconnu",IF(E1184="","Article manquant",IF(ISNA(MATCH($E1184,art_ref,0)),"Article inconnu",IF(N(H1184)&lt;=0,"Quantité invalide",IF(J1184="","Prix manquant",IF(OR(N(K1184)&lt;0,N(K1184)&gt;=1),"Remise invalide",IF(M1184="","TVA manquante",IF(ISNA(MATCH(M1184,p_tva,0)),"Taux de TVA inconnu",IF(COUNTIFS(po_num,A1184,po_sup,"&lt;&gt;"&amp;C1184)&gt;0,"Fournisseur différent sur ce bon",IF(COUNTIFS(po_num,A1184,po_date,"&lt;&gt;"&amp;B1184)&gt;0,"Date différente sur ce bon",IF(COUNTIF(po_num,A1184)&gt;25,"Plus de 25 lignes sur ce bon",IF(R1184="","Date de livraison manquante",IF(R1184&lt;B1184,"Livraison avant la commande",IF(AND(N(T1184)&gt;0,N(S1184)=0),"Date d'envoi manquante",IF(N(T1184)&gt;N(H1184),"Reçu plus que commandé",IF(AND(N(T1184)&gt;0,N(U1184)=0),"Date de réception manquante",IF(AND(N(U1184)&gt;0,U1184&lt;B1184),"Réception avant la commande","OK")))))))))))))))))))))</f>
        <v/>
      </c>
      <c r="AA1184" s="66" t="str">
        <f>IF(AND(X1184="Reçu",ISNUMBER(R1184)),IF(N(U1184)&lt;=R1184,1,0),"")</f>
        <v/>
      </c>
      <c r="AB1184" s="76" t="str">
        <f>IF(OR(X1184="Envoyé",X1184="Partiel",X1184="En retard"),IF(ISNUMBER(R1184),R1184,100000)+ROW()/100000,"")</f>
        <v/>
      </c>
      <c r="AC1184" s="66" t="str">
        <f>IF(A1184="","",IF(COUNTIF($A$6:A1184,A1184)=1,1,""))</f>
        <v/>
      </c>
      <c r="AD1184" s="66" t="str">
        <f>IF(AC1184=1,COUNT($AC$6:AC1184),"")</f>
        <v/>
      </c>
      <c r="AE1184" s="66" t="str">
        <f>IFERROR(INDEX(po_num,MATCH(1179,po_seq,0))&amp;"","")</f>
        <v/>
      </c>
      <c r="AF1184" s="66" t="str">
        <f>IF(OR(A1184="",p_po=""),"",IF(A1184&amp;""=p_po,COUNTIF($A$6:A1184,A1184),""))</f>
        <v/>
      </c>
      <c r="AG1184" s="66" t="str">
        <f>IF(OR(AB1184="",A1184=""),"",IF(COUNTIFS($A$6:A1184,A1184,$AB$6:AB1184,"&gt;0")=1,1,""))</f>
        <v/>
      </c>
      <c r="AH1184" s="70" t="str">
        <f>IF(AB1184="","",ROUND(N(W1184)*N(J1184)*(1-N(K1184)),2))</f>
        <v/>
      </c>
      <c r="AI1184" s="70" t="str">
        <f>IF(OR(J1184="",N(T1184)&lt;=0,V1184="Oui"),"",ROUND(N(T1184)*J1184*(1-N(K1184)),2))</f>
        <v/>
      </c>
    </row>
    <row r="1185">
      <c r="A1185" s="63" t="n"/>
      <c r="B1185" s="64" t="n"/>
      <c r="C1185" s="65" t="n"/>
      <c r="D1185" s="66" t="str">
        <f>IF(C1185="","",IFERROR(INDEX(sup_name,MATCH($C1185,sup_code,0))&amp;"","Fournisseur inconnu"))</f>
        <v/>
      </c>
      <c r="E1185" s="63" t="n"/>
      <c r="F1185" s="66" t="str">
        <f>IF(E1185="","",IFERROR(INDEX(art_des,MATCH($E1185,art_ref,0))&amp;"","Article inconnu"))</f>
        <v/>
      </c>
      <c r="G1185" s="67" t="str">
        <f>IF(E1185="","",IFERROR(INDEX(art_unit,MATCH($E1185,art_ref,0))&amp;"",""))</f>
        <v/>
      </c>
      <c r="H1185" s="68" t="n"/>
      <c r="I1185" s="69" t="n"/>
      <c r="J1185" s="70" t="str">
        <f>IF(E1185="","",IF(ISNUMBER(I1185),I1185,IFERROR(IF(ISNUMBER(INDEX(art_price,MATCH($E1185,art_ref,0))),INDEX(art_price,MATCH($E1185,art_ref,0)),""),"")))</f>
        <v/>
      </c>
      <c r="K1185" s="71" t="n"/>
      <c r="L1185" s="72" t="n"/>
      <c r="M1185" s="72" t="str">
        <f>IF(E1185="","",IF(L1185&lt;&gt;"",L1185,IFERROR(IF(ISNUMBER(INDEX(art_tva,MATCH($E1185,art_ref,0))),INDEX(art_tva,MATCH($E1185,art_ref,0)),""),"")))</f>
        <v/>
      </c>
      <c r="N1185" s="70" t="str">
        <f>IF(OR(E1185="",J1185=""),"",ROUND(N(H1185)*J1185*(1-N(K1185)),2))</f>
        <v/>
      </c>
      <c r="O1185" s="70" t="str">
        <f>IF(OR(N1185="",NOT(ISNUMBER(M1185))),"",ROUND(N1185*M1185,2))</f>
        <v/>
      </c>
      <c r="P1185" s="70" t="str">
        <f>IF(N1185="","",N1185+N(O1185))</f>
        <v/>
      </c>
      <c r="Q1185" s="64" t="n"/>
      <c r="R1185" s="73" t="str">
        <f>IF(N(Q1185)&gt;0,Q1185,IF(OR(N(B1185)=0,ISNA(MATCH($C1185,sup_code,0))),"",IF(ISNUMBER(INDEX(sup_delay,MATCH($C1185,sup_code,0))),B1185+INDEX(sup_delay,MATCH($C1185,sup_code,0)),"")))</f>
        <v/>
      </c>
      <c r="S1185" s="64" t="n"/>
      <c r="T1185" s="68" t="n"/>
      <c r="U1185" s="64" t="n"/>
      <c r="V1185" s="65" t="n"/>
      <c r="W1185" s="74" t="str">
        <f>IF(AND(A1185="",E1185=""),"",IF(V1185="Oui",0,MAX(0,ROUND(N(H1185)-N(T1185),6))))</f>
        <v/>
      </c>
      <c r="X1185" s="67" t="str">
        <f>IF(AND(A1185="",E1185=""),"",IF(V1185="Oui","Annulé",IF(AND(N(H1185)&gt;0,N(T1185)&gt;=N(H1185)),"Reçu",IF(N(S1185)=0,"Brouillon",IF(AND(ISNUMBER(R1185),R1185&lt;p_today),"En retard",IF(N(T1185)&gt;0,"Partiel","Envoyé"))))))</f>
        <v/>
      </c>
      <c r="Y1185" s="75" t="str">
        <f>IF(X1185="En retard",p_today-R1185,IF(AND(X1185="Reçu",ISNUMBER(R1185)),MAX(0,N(U1185)-R1185),""))</f>
        <v/>
      </c>
      <c r="Z1185" s="67" t="str">
        <f>IF(AND(A1185="",E1185=""),"",IF(A1185="","N° de bon manquant",IF(N(B1185)=0,"Date de commande manquante",IF(C1185="","Fournisseur manquant",IF(ISNA(MATCH($C1185,sup_code,0)),"Fournisseur inconnu",IF(E1185="","Article manquant",IF(ISNA(MATCH($E1185,art_ref,0)),"Article inconnu",IF(N(H1185)&lt;=0,"Quantité invalide",IF(J1185="","Prix manquant",IF(OR(N(K1185)&lt;0,N(K1185)&gt;=1),"Remise invalide",IF(M1185="","TVA manquante",IF(ISNA(MATCH(M1185,p_tva,0)),"Taux de TVA inconnu",IF(COUNTIFS(po_num,A1185,po_sup,"&lt;&gt;"&amp;C1185)&gt;0,"Fournisseur différent sur ce bon",IF(COUNTIFS(po_num,A1185,po_date,"&lt;&gt;"&amp;B1185)&gt;0,"Date différente sur ce bon",IF(COUNTIF(po_num,A1185)&gt;25,"Plus de 25 lignes sur ce bon",IF(R1185="","Date de livraison manquante",IF(R1185&lt;B1185,"Livraison avant la commande",IF(AND(N(T1185)&gt;0,N(S1185)=0),"Date d'envoi manquante",IF(N(T1185)&gt;N(H1185),"Reçu plus que commandé",IF(AND(N(T1185)&gt;0,N(U1185)=0),"Date de réception manquante",IF(AND(N(U1185)&gt;0,U1185&lt;B1185),"Réception avant la commande","OK")))))))))))))))))))))</f>
        <v/>
      </c>
      <c r="AA1185" s="66" t="str">
        <f>IF(AND(X1185="Reçu",ISNUMBER(R1185)),IF(N(U1185)&lt;=R1185,1,0),"")</f>
        <v/>
      </c>
      <c r="AB1185" s="76" t="str">
        <f>IF(OR(X1185="Envoyé",X1185="Partiel",X1185="En retard"),IF(ISNUMBER(R1185),R1185,100000)+ROW()/100000,"")</f>
        <v/>
      </c>
      <c r="AC1185" s="66" t="str">
        <f>IF(A1185="","",IF(COUNTIF($A$6:A1185,A1185)=1,1,""))</f>
        <v/>
      </c>
      <c r="AD1185" s="66" t="str">
        <f>IF(AC1185=1,COUNT($AC$6:AC1185),"")</f>
        <v/>
      </c>
      <c r="AE1185" s="66" t="str">
        <f>IFERROR(INDEX(po_num,MATCH(1180,po_seq,0))&amp;"","")</f>
        <v/>
      </c>
      <c r="AF1185" s="66" t="str">
        <f>IF(OR(A1185="",p_po=""),"",IF(A1185&amp;""=p_po,COUNTIF($A$6:A1185,A1185),""))</f>
        <v/>
      </c>
      <c r="AG1185" s="66" t="str">
        <f>IF(OR(AB1185="",A1185=""),"",IF(COUNTIFS($A$6:A1185,A1185,$AB$6:AB1185,"&gt;0")=1,1,""))</f>
        <v/>
      </c>
      <c r="AH1185" s="70" t="str">
        <f>IF(AB1185="","",ROUND(N(W1185)*N(J1185)*(1-N(K1185)),2))</f>
        <v/>
      </c>
      <c r="AI1185" s="70" t="str">
        <f>IF(OR(J1185="",N(T1185)&lt;=0,V1185="Oui"),"",ROUND(N(T1185)*J1185*(1-N(K1185)),2))</f>
        <v/>
      </c>
    </row>
    <row r="1186">
      <c r="A1186" s="63" t="n"/>
      <c r="B1186" s="64" t="n"/>
      <c r="C1186" s="65" t="n"/>
      <c r="D1186" s="66" t="str">
        <f>IF(C1186="","",IFERROR(INDEX(sup_name,MATCH($C1186,sup_code,0))&amp;"","Fournisseur inconnu"))</f>
        <v/>
      </c>
      <c r="E1186" s="63" t="n"/>
      <c r="F1186" s="66" t="str">
        <f>IF(E1186="","",IFERROR(INDEX(art_des,MATCH($E1186,art_ref,0))&amp;"","Article inconnu"))</f>
        <v/>
      </c>
      <c r="G1186" s="67" t="str">
        <f>IF(E1186="","",IFERROR(INDEX(art_unit,MATCH($E1186,art_ref,0))&amp;"",""))</f>
        <v/>
      </c>
      <c r="H1186" s="68" t="n"/>
      <c r="I1186" s="69" t="n"/>
      <c r="J1186" s="70" t="str">
        <f>IF(E1186="","",IF(ISNUMBER(I1186),I1186,IFERROR(IF(ISNUMBER(INDEX(art_price,MATCH($E1186,art_ref,0))),INDEX(art_price,MATCH($E1186,art_ref,0)),""),"")))</f>
        <v/>
      </c>
      <c r="K1186" s="71" t="n"/>
      <c r="L1186" s="72" t="n"/>
      <c r="M1186" s="72" t="str">
        <f>IF(E1186="","",IF(L1186&lt;&gt;"",L1186,IFERROR(IF(ISNUMBER(INDEX(art_tva,MATCH($E1186,art_ref,0))),INDEX(art_tva,MATCH($E1186,art_ref,0)),""),"")))</f>
        <v/>
      </c>
      <c r="N1186" s="70" t="str">
        <f>IF(OR(E1186="",J1186=""),"",ROUND(N(H1186)*J1186*(1-N(K1186)),2))</f>
        <v/>
      </c>
      <c r="O1186" s="70" t="str">
        <f>IF(OR(N1186="",NOT(ISNUMBER(M1186))),"",ROUND(N1186*M1186,2))</f>
        <v/>
      </c>
      <c r="P1186" s="70" t="str">
        <f>IF(N1186="","",N1186+N(O1186))</f>
        <v/>
      </c>
      <c r="Q1186" s="64" t="n"/>
      <c r="R1186" s="73" t="str">
        <f>IF(N(Q1186)&gt;0,Q1186,IF(OR(N(B1186)=0,ISNA(MATCH($C1186,sup_code,0))),"",IF(ISNUMBER(INDEX(sup_delay,MATCH($C1186,sup_code,0))),B1186+INDEX(sup_delay,MATCH($C1186,sup_code,0)),"")))</f>
        <v/>
      </c>
      <c r="S1186" s="64" t="n"/>
      <c r="T1186" s="68" t="n"/>
      <c r="U1186" s="64" t="n"/>
      <c r="V1186" s="65" t="n"/>
      <c r="W1186" s="74" t="str">
        <f>IF(AND(A1186="",E1186=""),"",IF(V1186="Oui",0,MAX(0,ROUND(N(H1186)-N(T1186),6))))</f>
        <v/>
      </c>
      <c r="X1186" s="67" t="str">
        <f>IF(AND(A1186="",E1186=""),"",IF(V1186="Oui","Annulé",IF(AND(N(H1186)&gt;0,N(T1186)&gt;=N(H1186)),"Reçu",IF(N(S1186)=0,"Brouillon",IF(AND(ISNUMBER(R1186),R1186&lt;p_today),"En retard",IF(N(T1186)&gt;0,"Partiel","Envoyé"))))))</f>
        <v/>
      </c>
      <c r="Y1186" s="75" t="str">
        <f>IF(X1186="En retard",p_today-R1186,IF(AND(X1186="Reçu",ISNUMBER(R1186)),MAX(0,N(U1186)-R1186),""))</f>
        <v/>
      </c>
      <c r="Z1186" s="67" t="str">
        <f>IF(AND(A1186="",E1186=""),"",IF(A1186="","N° de bon manquant",IF(N(B1186)=0,"Date de commande manquante",IF(C1186="","Fournisseur manquant",IF(ISNA(MATCH($C1186,sup_code,0)),"Fournisseur inconnu",IF(E1186="","Article manquant",IF(ISNA(MATCH($E1186,art_ref,0)),"Article inconnu",IF(N(H1186)&lt;=0,"Quantité invalide",IF(J1186="","Prix manquant",IF(OR(N(K1186)&lt;0,N(K1186)&gt;=1),"Remise invalide",IF(M1186="","TVA manquante",IF(ISNA(MATCH(M1186,p_tva,0)),"Taux de TVA inconnu",IF(COUNTIFS(po_num,A1186,po_sup,"&lt;&gt;"&amp;C1186)&gt;0,"Fournisseur différent sur ce bon",IF(COUNTIFS(po_num,A1186,po_date,"&lt;&gt;"&amp;B1186)&gt;0,"Date différente sur ce bon",IF(COUNTIF(po_num,A1186)&gt;25,"Plus de 25 lignes sur ce bon",IF(R1186="","Date de livraison manquante",IF(R1186&lt;B1186,"Livraison avant la commande",IF(AND(N(T1186)&gt;0,N(S1186)=0),"Date d'envoi manquante",IF(N(T1186)&gt;N(H1186),"Reçu plus que commandé",IF(AND(N(T1186)&gt;0,N(U1186)=0),"Date de réception manquante",IF(AND(N(U1186)&gt;0,U1186&lt;B1186),"Réception avant la commande","OK")))))))))))))))))))))</f>
        <v/>
      </c>
      <c r="AA1186" s="66" t="str">
        <f>IF(AND(X1186="Reçu",ISNUMBER(R1186)),IF(N(U1186)&lt;=R1186,1,0),"")</f>
        <v/>
      </c>
      <c r="AB1186" s="76" t="str">
        <f>IF(OR(X1186="Envoyé",X1186="Partiel",X1186="En retard"),IF(ISNUMBER(R1186),R1186,100000)+ROW()/100000,"")</f>
        <v/>
      </c>
      <c r="AC1186" s="66" t="str">
        <f>IF(A1186="","",IF(COUNTIF($A$6:A1186,A1186)=1,1,""))</f>
        <v/>
      </c>
      <c r="AD1186" s="66" t="str">
        <f>IF(AC1186=1,COUNT($AC$6:AC1186),"")</f>
        <v/>
      </c>
      <c r="AE1186" s="66" t="str">
        <f>IFERROR(INDEX(po_num,MATCH(1181,po_seq,0))&amp;"","")</f>
        <v/>
      </c>
      <c r="AF1186" s="66" t="str">
        <f>IF(OR(A1186="",p_po=""),"",IF(A1186&amp;""=p_po,COUNTIF($A$6:A1186,A1186),""))</f>
        <v/>
      </c>
      <c r="AG1186" s="66" t="str">
        <f>IF(OR(AB1186="",A1186=""),"",IF(COUNTIFS($A$6:A1186,A1186,$AB$6:AB1186,"&gt;0")=1,1,""))</f>
        <v/>
      </c>
      <c r="AH1186" s="70" t="str">
        <f>IF(AB1186="","",ROUND(N(W1186)*N(J1186)*(1-N(K1186)),2))</f>
        <v/>
      </c>
      <c r="AI1186" s="70" t="str">
        <f>IF(OR(J1186="",N(T1186)&lt;=0,V1186="Oui"),"",ROUND(N(T1186)*J1186*(1-N(K1186)),2))</f>
        <v/>
      </c>
    </row>
    <row r="1187">
      <c r="A1187" s="63" t="n"/>
      <c r="B1187" s="64" t="n"/>
      <c r="C1187" s="65" t="n"/>
      <c r="D1187" s="66" t="str">
        <f>IF(C1187="","",IFERROR(INDEX(sup_name,MATCH($C1187,sup_code,0))&amp;"","Fournisseur inconnu"))</f>
        <v/>
      </c>
      <c r="E1187" s="63" t="n"/>
      <c r="F1187" s="66" t="str">
        <f>IF(E1187="","",IFERROR(INDEX(art_des,MATCH($E1187,art_ref,0))&amp;"","Article inconnu"))</f>
        <v/>
      </c>
      <c r="G1187" s="67" t="str">
        <f>IF(E1187="","",IFERROR(INDEX(art_unit,MATCH($E1187,art_ref,0))&amp;"",""))</f>
        <v/>
      </c>
      <c r="H1187" s="68" t="n"/>
      <c r="I1187" s="69" t="n"/>
      <c r="J1187" s="70" t="str">
        <f>IF(E1187="","",IF(ISNUMBER(I1187),I1187,IFERROR(IF(ISNUMBER(INDEX(art_price,MATCH($E1187,art_ref,0))),INDEX(art_price,MATCH($E1187,art_ref,0)),""),"")))</f>
        <v/>
      </c>
      <c r="K1187" s="71" t="n"/>
      <c r="L1187" s="72" t="n"/>
      <c r="M1187" s="72" t="str">
        <f>IF(E1187="","",IF(L1187&lt;&gt;"",L1187,IFERROR(IF(ISNUMBER(INDEX(art_tva,MATCH($E1187,art_ref,0))),INDEX(art_tva,MATCH($E1187,art_ref,0)),""),"")))</f>
        <v/>
      </c>
      <c r="N1187" s="70" t="str">
        <f>IF(OR(E1187="",J1187=""),"",ROUND(N(H1187)*J1187*(1-N(K1187)),2))</f>
        <v/>
      </c>
      <c r="O1187" s="70" t="str">
        <f>IF(OR(N1187="",NOT(ISNUMBER(M1187))),"",ROUND(N1187*M1187,2))</f>
        <v/>
      </c>
      <c r="P1187" s="70" t="str">
        <f>IF(N1187="","",N1187+N(O1187))</f>
        <v/>
      </c>
      <c r="Q1187" s="64" t="n"/>
      <c r="R1187" s="73" t="str">
        <f>IF(N(Q1187)&gt;0,Q1187,IF(OR(N(B1187)=0,ISNA(MATCH($C1187,sup_code,0))),"",IF(ISNUMBER(INDEX(sup_delay,MATCH($C1187,sup_code,0))),B1187+INDEX(sup_delay,MATCH($C1187,sup_code,0)),"")))</f>
        <v/>
      </c>
      <c r="S1187" s="64" t="n"/>
      <c r="T1187" s="68" t="n"/>
      <c r="U1187" s="64" t="n"/>
      <c r="V1187" s="65" t="n"/>
      <c r="W1187" s="74" t="str">
        <f>IF(AND(A1187="",E1187=""),"",IF(V1187="Oui",0,MAX(0,ROUND(N(H1187)-N(T1187),6))))</f>
        <v/>
      </c>
      <c r="X1187" s="67" t="str">
        <f>IF(AND(A1187="",E1187=""),"",IF(V1187="Oui","Annulé",IF(AND(N(H1187)&gt;0,N(T1187)&gt;=N(H1187)),"Reçu",IF(N(S1187)=0,"Brouillon",IF(AND(ISNUMBER(R1187),R1187&lt;p_today),"En retard",IF(N(T1187)&gt;0,"Partiel","Envoyé"))))))</f>
        <v/>
      </c>
      <c r="Y1187" s="75" t="str">
        <f>IF(X1187="En retard",p_today-R1187,IF(AND(X1187="Reçu",ISNUMBER(R1187)),MAX(0,N(U1187)-R1187),""))</f>
        <v/>
      </c>
      <c r="Z1187" s="67" t="str">
        <f>IF(AND(A1187="",E1187=""),"",IF(A1187="","N° de bon manquant",IF(N(B1187)=0,"Date de commande manquante",IF(C1187="","Fournisseur manquant",IF(ISNA(MATCH($C1187,sup_code,0)),"Fournisseur inconnu",IF(E1187="","Article manquant",IF(ISNA(MATCH($E1187,art_ref,0)),"Article inconnu",IF(N(H1187)&lt;=0,"Quantité invalide",IF(J1187="","Prix manquant",IF(OR(N(K1187)&lt;0,N(K1187)&gt;=1),"Remise invalide",IF(M1187="","TVA manquante",IF(ISNA(MATCH(M1187,p_tva,0)),"Taux de TVA inconnu",IF(COUNTIFS(po_num,A1187,po_sup,"&lt;&gt;"&amp;C1187)&gt;0,"Fournisseur différent sur ce bon",IF(COUNTIFS(po_num,A1187,po_date,"&lt;&gt;"&amp;B1187)&gt;0,"Date différente sur ce bon",IF(COUNTIF(po_num,A1187)&gt;25,"Plus de 25 lignes sur ce bon",IF(R1187="","Date de livraison manquante",IF(R1187&lt;B1187,"Livraison avant la commande",IF(AND(N(T1187)&gt;0,N(S1187)=0),"Date d'envoi manquante",IF(N(T1187)&gt;N(H1187),"Reçu plus que commandé",IF(AND(N(T1187)&gt;0,N(U1187)=0),"Date de réception manquante",IF(AND(N(U1187)&gt;0,U1187&lt;B1187),"Réception avant la commande","OK")))))))))))))))))))))</f>
        <v/>
      </c>
      <c r="AA1187" s="66" t="str">
        <f>IF(AND(X1187="Reçu",ISNUMBER(R1187)),IF(N(U1187)&lt;=R1187,1,0),"")</f>
        <v/>
      </c>
      <c r="AB1187" s="76" t="str">
        <f>IF(OR(X1187="Envoyé",X1187="Partiel",X1187="En retard"),IF(ISNUMBER(R1187),R1187,100000)+ROW()/100000,"")</f>
        <v/>
      </c>
      <c r="AC1187" s="66" t="str">
        <f>IF(A1187="","",IF(COUNTIF($A$6:A1187,A1187)=1,1,""))</f>
        <v/>
      </c>
      <c r="AD1187" s="66" t="str">
        <f>IF(AC1187=1,COUNT($AC$6:AC1187),"")</f>
        <v/>
      </c>
      <c r="AE1187" s="66" t="str">
        <f>IFERROR(INDEX(po_num,MATCH(1182,po_seq,0))&amp;"","")</f>
        <v/>
      </c>
      <c r="AF1187" s="66" t="str">
        <f>IF(OR(A1187="",p_po=""),"",IF(A1187&amp;""=p_po,COUNTIF($A$6:A1187,A1187),""))</f>
        <v/>
      </c>
      <c r="AG1187" s="66" t="str">
        <f>IF(OR(AB1187="",A1187=""),"",IF(COUNTIFS($A$6:A1187,A1187,$AB$6:AB1187,"&gt;0")=1,1,""))</f>
        <v/>
      </c>
      <c r="AH1187" s="70" t="str">
        <f>IF(AB1187="","",ROUND(N(W1187)*N(J1187)*(1-N(K1187)),2))</f>
        <v/>
      </c>
      <c r="AI1187" s="70" t="str">
        <f>IF(OR(J1187="",N(T1187)&lt;=0,V1187="Oui"),"",ROUND(N(T1187)*J1187*(1-N(K1187)),2))</f>
        <v/>
      </c>
    </row>
    <row r="1188">
      <c r="A1188" s="63" t="n"/>
      <c r="B1188" s="64" t="n"/>
      <c r="C1188" s="65" t="n"/>
      <c r="D1188" s="66" t="str">
        <f>IF(C1188="","",IFERROR(INDEX(sup_name,MATCH($C1188,sup_code,0))&amp;"","Fournisseur inconnu"))</f>
        <v/>
      </c>
      <c r="E1188" s="63" t="n"/>
      <c r="F1188" s="66" t="str">
        <f>IF(E1188="","",IFERROR(INDEX(art_des,MATCH($E1188,art_ref,0))&amp;"","Article inconnu"))</f>
        <v/>
      </c>
      <c r="G1188" s="67" t="str">
        <f>IF(E1188="","",IFERROR(INDEX(art_unit,MATCH($E1188,art_ref,0))&amp;"",""))</f>
        <v/>
      </c>
      <c r="H1188" s="68" t="n"/>
      <c r="I1188" s="69" t="n"/>
      <c r="J1188" s="70" t="str">
        <f>IF(E1188="","",IF(ISNUMBER(I1188),I1188,IFERROR(IF(ISNUMBER(INDEX(art_price,MATCH($E1188,art_ref,0))),INDEX(art_price,MATCH($E1188,art_ref,0)),""),"")))</f>
        <v/>
      </c>
      <c r="K1188" s="71" t="n"/>
      <c r="L1188" s="72" t="n"/>
      <c r="M1188" s="72" t="str">
        <f>IF(E1188="","",IF(L1188&lt;&gt;"",L1188,IFERROR(IF(ISNUMBER(INDEX(art_tva,MATCH($E1188,art_ref,0))),INDEX(art_tva,MATCH($E1188,art_ref,0)),""),"")))</f>
        <v/>
      </c>
      <c r="N1188" s="70" t="str">
        <f>IF(OR(E1188="",J1188=""),"",ROUND(N(H1188)*J1188*(1-N(K1188)),2))</f>
        <v/>
      </c>
      <c r="O1188" s="70" t="str">
        <f>IF(OR(N1188="",NOT(ISNUMBER(M1188))),"",ROUND(N1188*M1188,2))</f>
        <v/>
      </c>
      <c r="P1188" s="70" t="str">
        <f>IF(N1188="","",N1188+N(O1188))</f>
        <v/>
      </c>
      <c r="Q1188" s="64" t="n"/>
      <c r="R1188" s="73" t="str">
        <f>IF(N(Q1188)&gt;0,Q1188,IF(OR(N(B1188)=0,ISNA(MATCH($C1188,sup_code,0))),"",IF(ISNUMBER(INDEX(sup_delay,MATCH($C1188,sup_code,0))),B1188+INDEX(sup_delay,MATCH($C1188,sup_code,0)),"")))</f>
        <v/>
      </c>
      <c r="S1188" s="64" t="n"/>
      <c r="T1188" s="68" t="n"/>
      <c r="U1188" s="64" t="n"/>
      <c r="V1188" s="65" t="n"/>
      <c r="W1188" s="74" t="str">
        <f>IF(AND(A1188="",E1188=""),"",IF(V1188="Oui",0,MAX(0,ROUND(N(H1188)-N(T1188),6))))</f>
        <v/>
      </c>
      <c r="X1188" s="67" t="str">
        <f>IF(AND(A1188="",E1188=""),"",IF(V1188="Oui","Annulé",IF(AND(N(H1188)&gt;0,N(T1188)&gt;=N(H1188)),"Reçu",IF(N(S1188)=0,"Brouillon",IF(AND(ISNUMBER(R1188),R1188&lt;p_today),"En retard",IF(N(T1188)&gt;0,"Partiel","Envoyé"))))))</f>
        <v/>
      </c>
      <c r="Y1188" s="75" t="str">
        <f>IF(X1188="En retard",p_today-R1188,IF(AND(X1188="Reçu",ISNUMBER(R1188)),MAX(0,N(U1188)-R1188),""))</f>
        <v/>
      </c>
      <c r="Z1188" s="67" t="str">
        <f>IF(AND(A1188="",E1188=""),"",IF(A1188="","N° de bon manquant",IF(N(B1188)=0,"Date de commande manquante",IF(C1188="","Fournisseur manquant",IF(ISNA(MATCH($C1188,sup_code,0)),"Fournisseur inconnu",IF(E1188="","Article manquant",IF(ISNA(MATCH($E1188,art_ref,0)),"Article inconnu",IF(N(H1188)&lt;=0,"Quantité invalide",IF(J1188="","Prix manquant",IF(OR(N(K1188)&lt;0,N(K1188)&gt;=1),"Remise invalide",IF(M1188="","TVA manquante",IF(ISNA(MATCH(M1188,p_tva,0)),"Taux de TVA inconnu",IF(COUNTIFS(po_num,A1188,po_sup,"&lt;&gt;"&amp;C1188)&gt;0,"Fournisseur différent sur ce bon",IF(COUNTIFS(po_num,A1188,po_date,"&lt;&gt;"&amp;B1188)&gt;0,"Date différente sur ce bon",IF(COUNTIF(po_num,A1188)&gt;25,"Plus de 25 lignes sur ce bon",IF(R1188="","Date de livraison manquante",IF(R1188&lt;B1188,"Livraison avant la commande",IF(AND(N(T1188)&gt;0,N(S1188)=0),"Date d'envoi manquante",IF(N(T1188)&gt;N(H1188),"Reçu plus que commandé",IF(AND(N(T1188)&gt;0,N(U1188)=0),"Date de réception manquante",IF(AND(N(U1188)&gt;0,U1188&lt;B1188),"Réception avant la commande","OK")))))))))))))))))))))</f>
        <v/>
      </c>
      <c r="AA1188" s="66" t="str">
        <f>IF(AND(X1188="Reçu",ISNUMBER(R1188)),IF(N(U1188)&lt;=R1188,1,0),"")</f>
        <v/>
      </c>
      <c r="AB1188" s="76" t="str">
        <f>IF(OR(X1188="Envoyé",X1188="Partiel",X1188="En retard"),IF(ISNUMBER(R1188),R1188,100000)+ROW()/100000,"")</f>
        <v/>
      </c>
      <c r="AC1188" s="66" t="str">
        <f>IF(A1188="","",IF(COUNTIF($A$6:A1188,A1188)=1,1,""))</f>
        <v/>
      </c>
      <c r="AD1188" s="66" t="str">
        <f>IF(AC1188=1,COUNT($AC$6:AC1188),"")</f>
        <v/>
      </c>
      <c r="AE1188" s="66" t="str">
        <f>IFERROR(INDEX(po_num,MATCH(1183,po_seq,0))&amp;"","")</f>
        <v/>
      </c>
      <c r="AF1188" s="66" t="str">
        <f>IF(OR(A1188="",p_po=""),"",IF(A1188&amp;""=p_po,COUNTIF($A$6:A1188,A1188),""))</f>
        <v/>
      </c>
      <c r="AG1188" s="66" t="str">
        <f>IF(OR(AB1188="",A1188=""),"",IF(COUNTIFS($A$6:A1188,A1188,$AB$6:AB1188,"&gt;0")=1,1,""))</f>
        <v/>
      </c>
      <c r="AH1188" s="70" t="str">
        <f>IF(AB1188="","",ROUND(N(W1188)*N(J1188)*(1-N(K1188)),2))</f>
        <v/>
      </c>
      <c r="AI1188" s="70" t="str">
        <f>IF(OR(J1188="",N(T1188)&lt;=0,V1188="Oui"),"",ROUND(N(T1188)*J1188*(1-N(K1188)),2))</f>
        <v/>
      </c>
    </row>
    <row r="1189">
      <c r="A1189" s="63" t="n"/>
      <c r="B1189" s="64" t="n"/>
      <c r="C1189" s="65" t="n"/>
      <c r="D1189" s="66" t="str">
        <f>IF(C1189="","",IFERROR(INDEX(sup_name,MATCH($C1189,sup_code,0))&amp;"","Fournisseur inconnu"))</f>
        <v/>
      </c>
      <c r="E1189" s="63" t="n"/>
      <c r="F1189" s="66" t="str">
        <f>IF(E1189="","",IFERROR(INDEX(art_des,MATCH($E1189,art_ref,0))&amp;"","Article inconnu"))</f>
        <v/>
      </c>
      <c r="G1189" s="67" t="str">
        <f>IF(E1189="","",IFERROR(INDEX(art_unit,MATCH($E1189,art_ref,0))&amp;"",""))</f>
        <v/>
      </c>
      <c r="H1189" s="68" t="n"/>
      <c r="I1189" s="69" t="n"/>
      <c r="J1189" s="70" t="str">
        <f>IF(E1189="","",IF(ISNUMBER(I1189),I1189,IFERROR(IF(ISNUMBER(INDEX(art_price,MATCH($E1189,art_ref,0))),INDEX(art_price,MATCH($E1189,art_ref,0)),""),"")))</f>
        <v/>
      </c>
      <c r="K1189" s="71" t="n"/>
      <c r="L1189" s="72" t="n"/>
      <c r="M1189" s="72" t="str">
        <f>IF(E1189="","",IF(L1189&lt;&gt;"",L1189,IFERROR(IF(ISNUMBER(INDEX(art_tva,MATCH($E1189,art_ref,0))),INDEX(art_tva,MATCH($E1189,art_ref,0)),""),"")))</f>
        <v/>
      </c>
      <c r="N1189" s="70" t="str">
        <f>IF(OR(E1189="",J1189=""),"",ROUND(N(H1189)*J1189*(1-N(K1189)),2))</f>
        <v/>
      </c>
      <c r="O1189" s="70" t="str">
        <f>IF(OR(N1189="",NOT(ISNUMBER(M1189))),"",ROUND(N1189*M1189,2))</f>
        <v/>
      </c>
      <c r="P1189" s="70" t="str">
        <f>IF(N1189="","",N1189+N(O1189))</f>
        <v/>
      </c>
      <c r="Q1189" s="64" t="n"/>
      <c r="R1189" s="73" t="str">
        <f>IF(N(Q1189)&gt;0,Q1189,IF(OR(N(B1189)=0,ISNA(MATCH($C1189,sup_code,0))),"",IF(ISNUMBER(INDEX(sup_delay,MATCH($C1189,sup_code,0))),B1189+INDEX(sup_delay,MATCH($C1189,sup_code,0)),"")))</f>
        <v/>
      </c>
      <c r="S1189" s="64" t="n"/>
      <c r="T1189" s="68" t="n"/>
      <c r="U1189" s="64" t="n"/>
      <c r="V1189" s="65" t="n"/>
      <c r="W1189" s="74" t="str">
        <f>IF(AND(A1189="",E1189=""),"",IF(V1189="Oui",0,MAX(0,ROUND(N(H1189)-N(T1189),6))))</f>
        <v/>
      </c>
      <c r="X1189" s="67" t="str">
        <f>IF(AND(A1189="",E1189=""),"",IF(V1189="Oui","Annulé",IF(AND(N(H1189)&gt;0,N(T1189)&gt;=N(H1189)),"Reçu",IF(N(S1189)=0,"Brouillon",IF(AND(ISNUMBER(R1189),R1189&lt;p_today),"En retard",IF(N(T1189)&gt;0,"Partiel","Envoyé"))))))</f>
        <v/>
      </c>
      <c r="Y1189" s="75" t="str">
        <f>IF(X1189="En retard",p_today-R1189,IF(AND(X1189="Reçu",ISNUMBER(R1189)),MAX(0,N(U1189)-R1189),""))</f>
        <v/>
      </c>
      <c r="Z1189" s="67" t="str">
        <f>IF(AND(A1189="",E1189=""),"",IF(A1189="","N° de bon manquant",IF(N(B1189)=0,"Date de commande manquante",IF(C1189="","Fournisseur manquant",IF(ISNA(MATCH($C1189,sup_code,0)),"Fournisseur inconnu",IF(E1189="","Article manquant",IF(ISNA(MATCH($E1189,art_ref,0)),"Article inconnu",IF(N(H1189)&lt;=0,"Quantité invalide",IF(J1189="","Prix manquant",IF(OR(N(K1189)&lt;0,N(K1189)&gt;=1),"Remise invalide",IF(M1189="","TVA manquante",IF(ISNA(MATCH(M1189,p_tva,0)),"Taux de TVA inconnu",IF(COUNTIFS(po_num,A1189,po_sup,"&lt;&gt;"&amp;C1189)&gt;0,"Fournisseur différent sur ce bon",IF(COUNTIFS(po_num,A1189,po_date,"&lt;&gt;"&amp;B1189)&gt;0,"Date différente sur ce bon",IF(COUNTIF(po_num,A1189)&gt;25,"Plus de 25 lignes sur ce bon",IF(R1189="","Date de livraison manquante",IF(R1189&lt;B1189,"Livraison avant la commande",IF(AND(N(T1189)&gt;0,N(S1189)=0),"Date d'envoi manquante",IF(N(T1189)&gt;N(H1189),"Reçu plus que commandé",IF(AND(N(T1189)&gt;0,N(U1189)=0),"Date de réception manquante",IF(AND(N(U1189)&gt;0,U1189&lt;B1189),"Réception avant la commande","OK")))))))))))))))))))))</f>
        <v/>
      </c>
      <c r="AA1189" s="66" t="str">
        <f>IF(AND(X1189="Reçu",ISNUMBER(R1189)),IF(N(U1189)&lt;=R1189,1,0),"")</f>
        <v/>
      </c>
      <c r="AB1189" s="76" t="str">
        <f>IF(OR(X1189="Envoyé",X1189="Partiel",X1189="En retard"),IF(ISNUMBER(R1189),R1189,100000)+ROW()/100000,"")</f>
        <v/>
      </c>
      <c r="AC1189" s="66" t="str">
        <f>IF(A1189="","",IF(COUNTIF($A$6:A1189,A1189)=1,1,""))</f>
        <v/>
      </c>
      <c r="AD1189" s="66" t="str">
        <f>IF(AC1189=1,COUNT($AC$6:AC1189),"")</f>
        <v/>
      </c>
      <c r="AE1189" s="66" t="str">
        <f>IFERROR(INDEX(po_num,MATCH(1184,po_seq,0))&amp;"","")</f>
        <v/>
      </c>
      <c r="AF1189" s="66" t="str">
        <f>IF(OR(A1189="",p_po=""),"",IF(A1189&amp;""=p_po,COUNTIF($A$6:A1189,A1189),""))</f>
        <v/>
      </c>
      <c r="AG1189" s="66" t="str">
        <f>IF(OR(AB1189="",A1189=""),"",IF(COUNTIFS($A$6:A1189,A1189,$AB$6:AB1189,"&gt;0")=1,1,""))</f>
        <v/>
      </c>
      <c r="AH1189" s="70" t="str">
        <f>IF(AB1189="","",ROUND(N(W1189)*N(J1189)*(1-N(K1189)),2))</f>
        <v/>
      </c>
      <c r="AI1189" s="70" t="str">
        <f>IF(OR(J1189="",N(T1189)&lt;=0,V1189="Oui"),"",ROUND(N(T1189)*J1189*(1-N(K1189)),2))</f>
        <v/>
      </c>
    </row>
    <row r="1190">
      <c r="A1190" s="63" t="n"/>
      <c r="B1190" s="64" t="n"/>
      <c r="C1190" s="65" t="n"/>
      <c r="D1190" s="66" t="str">
        <f>IF(C1190="","",IFERROR(INDEX(sup_name,MATCH($C1190,sup_code,0))&amp;"","Fournisseur inconnu"))</f>
        <v/>
      </c>
      <c r="E1190" s="63" t="n"/>
      <c r="F1190" s="66" t="str">
        <f>IF(E1190="","",IFERROR(INDEX(art_des,MATCH($E1190,art_ref,0))&amp;"","Article inconnu"))</f>
        <v/>
      </c>
      <c r="G1190" s="67" t="str">
        <f>IF(E1190="","",IFERROR(INDEX(art_unit,MATCH($E1190,art_ref,0))&amp;"",""))</f>
        <v/>
      </c>
      <c r="H1190" s="68" t="n"/>
      <c r="I1190" s="69" t="n"/>
      <c r="J1190" s="70" t="str">
        <f>IF(E1190="","",IF(ISNUMBER(I1190),I1190,IFERROR(IF(ISNUMBER(INDEX(art_price,MATCH($E1190,art_ref,0))),INDEX(art_price,MATCH($E1190,art_ref,0)),""),"")))</f>
        <v/>
      </c>
      <c r="K1190" s="71" t="n"/>
      <c r="L1190" s="72" t="n"/>
      <c r="M1190" s="72" t="str">
        <f>IF(E1190="","",IF(L1190&lt;&gt;"",L1190,IFERROR(IF(ISNUMBER(INDEX(art_tva,MATCH($E1190,art_ref,0))),INDEX(art_tva,MATCH($E1190,art_ref,0)),""),"")))</f>
        <v/>
      </c>
      <c r="N1190" s="70" t="str">
        <f>IF(OR(E1190="",J1190=""),"",ROUND(N(H1190)*J1190*(1-N(K1190)),2))</f>
        <v/>
      </c>
      <c r="O1190" s="70" t="str">
        <f>IF(OR(N1190="",NOT(ISNUMBER(M1190))),"",ROUND(N1190*M1190,2))</f>
        <v/>
      </c>
      <c r="P1190" s="70" t="str">
        <f>IF(N1190="","",N1190+N(O1190))</f>
        <v/>
      </c>
      <c r="Q1190" s="64" t="n"/>
      <c r="R1190" s="73" t="str">
        <f>IF(N(Q1190)&gt;0,Q1190,IF(OR(N(B1190)=0,ISNA(MATCH($C1190,sup_code,0))),"",IF(ISNUMBER(INDEX(sup_delay,MATCH($C1190,sup_code,0))),B1190+INDEX(sup_delay,MATCH($C1190,sup_code,0)),"")))</f>
        <v/>
      </c>
      <c r="S1190" s="64" t="n"/>
      <c r="T1190" s="68" t="n"/>
      <c r="U1190" s="64" t="n"/>
      <c r="V1190" s="65" t="n"/>
      <c r="W1190" s="74" t="str">
        <f>IF(AND(A1190="",E1190=""),"",IF(V1190="Oui",0,MAX(0,ROUND(N(H1190)-N(T1190),6))))</f>
        <v/>
      </c>
      <c r="X1190" s="67" t="str">
        <f>IF(AND(A1190="",E1190=""),"",IF(V1190="Oui","Annulé",IF(AND(N(H1190)&gt;0,N(T1190)&gt;=N(H1190)),"Reçu",IF(N(S1190)=0,"Brouillon",IF(AND(ISNUMBER(R1190),R1190&lt;p_today),"En retard",IF(N(T1190)&gt;0,"Partiel","Envoyé"))))))</f>
        <v/>
      </c>
      <c r="Y1190" s="75" t="str">
        <f>IF(X1190="En retard",p_today-R1190,IF(AND(X1190="Reçu",ISNUMBER(R1190)),MAX(0,N(U1190)-R1190),""))</f>
        <v/>
      </c>
      <c r="Z1190" s="67" t="str">
        <f>IF(AND(A1190="",E1190=""),"",IF(A1190="","N° de bon manquant",IF(N(B1190)=0,"Date de commande manquante",IF(C1190="","Fournisseur manquant",IF(ISNA(MATCH($C1190,sup_code,0)),"Fournisseur inconnu",IF(E1190="","Article manquant",IF(ISNA(MATCH($E1190,art_ref,0)),"Article inconnu",IF(N(H1190)&lt;=0,"Quantité invalide",IF(J1190="","Prix manquant",IF(OR(N(K1190)&lt;0,N(K1190)&gt;=1),"Remise invalide",IF(M1190="","TVA manquante",IF(ISNA(MATCH(M1190,p_tva,0)),"Taux de TVA inconnu",IF(COUNTIFS(po_num,A1190,po_sup,"&lt;&gt;"&amp;C1190)&gt;0,"Fournisseur différent sur ce bon",IF(COUNTIFS(po_num,A1190,po_date,"&lt;&gt;"&amp;B1190)&gt;0,"Date différente sur ce bon",IF(COUNTIF(po_num,A1190)&gt;25,"Plus de 25 lignes sur ce bon",IF(R1190="","Date de livraison manquante",IF(R1190&lt;B1190,"Livraison avant la commande",IF(AND(N(T1190)&gt;0,N(S1190)=0),"Date d'envoi manquante",IF(N(T1190)&gt;N(H1190),"Reçu plus que commandé",IF(AND(N(T1190)&gt;0,N(U1190)=0),"Date de réception manquante",IF(AND(N(U1190)&gt;0,U1190&lt;B1190),"Réception avant la commande","OK")))))))))))))))))))))</f>
        <v/>
      </c>
      <c r="AA1190" s="66" t="str">
        <f>IF(AND(X1190="Reçu",ISNUMBER(R1190)),IF(N(U1190)&lt;=R1190,1,0),"")</f>
        <v/>
      </c>
      <c r="AB1190" s="76" t="str">
        <f>IF(OR(X1190="Envoyé",X1190="Partiel",X1190="En retard"),IF(ISNUMBER(R1190),R1190,100000)+ROW()/100000,"")</f>
        <v/>
      </c>
      <c r="AC1190" s="66" t="str">
        <f>IF(A1190="","",IF(COUNTIF($A$6:A1190,A1190)=1,1,""))</f>
        <v/>
      </c>
      <c r="AD1190" s="66" t="str">
        <f>IF(AC1190=1,COUNT($AC$6:AC1190),"")</f>
        <v/>
      </c>
      <c r="AE1190" s="66" t="str">
        <f>IFERROR(INDEX(po_num,MATCH(1185,po_seq,0))&amp;"","")</f>
        <v/>
      </c>
      <c r="AF1190" s="66" t="str">
        <f>IF(OR(A1190="",p_po=""),"",IF(A1190&amp;""=p_po,COUNTIF($A$6:A1190,A1190),""))</f>
        <v/>
      </c>
      <c r="AG1190" s="66" t="str">
        <f>IF(OR(AB1190="",A1190=""),"",IF(COUNTIFS($A$6:A1190,A1190,$AB$6:AB1190,"&gt;0")=1,1,""))</f>
        <v/>
      </c>
      <c r="AH1190" s="70" t="str">
        <f>IF(AB1190="","",ROUND(N(W1190)*N(J1190)*(1-N(K1190)),2))</f>
        <v/>
      </c>
      <c r="AI1190" s="70" t="str">
        <f>IF(OR(J1190="",N(T1190)&lt;=0,V1190="Oui"),"",ROUND(N(T1190)*J1190*(1-N(K1190)),2))</f>
        <v/>
      </c>
    </row>
    <row r="1191">
      <c r="A1191" s="63" t="n"/>
      <c r="B1191" s="64" t="n"/>
      <c r="C1191" s="65" t="n"/>
      <c r="D1191" s="66" t="str">
        <f>IF(C1191="","",IFERROR(INDEX(sup_name,MATCH($C1191,sup_code,0))&amp;"","Fournisseur inconnu"))</f>
        <v/>
      </c>
      <c r="E1191" s="63" t="n"/>
      <c r="F1191" s="66" t="str">
        <f>IF(E1191="","",IFERROR(INDEX(art_des,MATCH($E1191,art_ref,0))&amp;"","Article inconnu"))</f>
        <v/>
      </c>
      <c r="G1191" s="67" t="str">
        <f>IF(E1191="","",IFERROR(INDEX(art_unit,MATCH($E1191,art_ref,0))&amp;"",""))</f>
        <v/>
      </c>
      <c r="H1191" s="68" t="n"/>
      <c r="I1191" s="69" t="n"/>
      <c r="J1191" s="70" t="str">
        <f>IF(E1191="","",IF(ISNUMBER(I1191),I1191,IFERROR(IF(ISNUMBER(INDEX(art_price,MATCH($E1191,art_ref,0))),INDEX(art_price,MATCH($E1191,art_ref,0)),""),"")))</f>
        <v/>
      </c>
      <c r="K1191" s="71" t="n"/>
      <c r="L1191" s="72" t="n"/>
      <c r="M1191" s="72" t="str">
        <f>IF(E1191="","",IF(L1191&lt;&gt;"",L1191,IFERROR(IF(ISNUMBER(INDEX(art_tva,MATCH($E1191,art_ref,0))),INDEX(art_tva,MATCH($E1191,art_ref,0)),""),"")))</f>
        <v/>
      </c>
      <c r="N1191" s="70" t="str">
        <f>IF(OR(E1191="",J1191=""),"",ROUND(N(H1191)*J1191*(1-N(K1191)),2))</f>
        <v/>
      </c>
      <c r="O1191" s="70" t="str">
        <f>IF(OR(N1191="",NOT(ISNUMBER(M1191))),"",ROUND(N1191*M1191,2))</f>
        <v/>
      </c>
      <c r="P1191" s="70" t="str">
        <f>IF(N1191="","",N1191+N(O1191))</f>
        <v/>
      </c>
      <c r="Q1191" s="64" t="n"/>
      <c r="R1191" s="73" t="str">
        <f>IF(N(Q1191)&gt;0,Q1191,IF(OR(N(B1191)=0,ISNA(MATCH($C1191,sup_code,0))),"",IF(ISNUMBER(INDEX(sup_delay,MATCH($C1191,sup_code,0))),B1191+INDEX(sup_delay,MATCH($C1191,sup_code,0)),"")))</f>
        <v/>
      </c>
      <c r="S1191" s="64" t="n"/>
      <c r="T1191" s="68" t="n"/>
      <c r="U1191" s="64" t="n"/>
      <c r="V1191" s="65" t="n"/>
      <c r="W1191" s="74" t="str">
        <f>IF(AND(A1191="",E1191=""),"",IF(V1191="Oui",0,MAX(0,ROUND(N(H1191)-N(T1191),6))))</f>
        <v/>
      </c>
      <c r="X1191" s="67" t="str">
        <f>IF(AND(A1191="",E1191=""),"",IF(V1191="Oui","Annulé",IF(AND(N(H1191)&gt;0,N(T1191)&gt;=N(H1191)),"Reçu",IF(N(S1191)=0,"Brouillon",IF(AND(ISNUMBER(R1191),R1191&lt;p_today),"En retard",IF(N(T1191)&gt;0,"Partiel","Envoyé"))))))</f>
        <v/>
      </c>
      <c r="Y1191" s="75" t="str">
        <f>IF(X1191="En retard",p_today-R1191,IF(AND(X1191="Reçu",ISNUMBER(R1191)),MAX(0,N(U1191)-R1191),""))</f>
        <v/>
      </c>
      <c r="Z1191" s="67" t="str">
        <f>IF(AND(A1191="",E1191=""),"",IF(A1191="","N° de bon manquant",IF(N(B1191)=0,"Date de commande manquante",IF(C1191="","Fournisseur manquant",IF(ISNA(MATCH($C1191,sup_code,0)),"Fournisseur inconnu",IF(E1191="","Article manquant",IF(ISNA(MATCH($E1191,art_ref,0)),"Article inconnu",IF(N(H1191)&lt;=0,"Quantité invalide",IF(J1191="","Prix manquant",IF(OR(N(K1191)&lt;0,N(K1191)&gt;=1),"Remise invalide",IF(M1191="","TVA manquante",IF(ISNA(MATCH(M1191,p_tva,0)),"Taux de TVA inconnu",IF(COUNTIFS(po_num,A1191,po_sup,"&lt;&gt;"&amp;C1191)&gt;0,"Fournisseur différent sur ce bon",IF(COUNTIFS(po_num,A1191,po_date,"&lt;&gt;"&amp;B1191)&gt;0,"Date différente sur ce bon",IF(COUNTIF(po_num,A1191)&gt;25,"Plus de 25 lignes sur ce bon",IF(R1191="","Date de livraison manquante",IF(R1191&lt;B1191,"Livraison avant la commande",IF(AND(N(T1191)&gt;0,N(S1191)=0),"Date d'envoi manquante",IF(N(T1191)&gt;N(H1191),"Reçu plus que commandé",IF(AND(N(T1191)&gt;0,N(U1191)=0),"Date de réception manquante",IF(AND(N(U1191)&gt;0,U1191&lt;B1191),"Réception avant la commande","OK")))))))))))))))))))))</f>
        <v/>
      </c>
      <c r="AA1191" s="66" t="str">
        <f>IF(AND(X1191="Reçu",ISNUMBER(R1191)),IF(N(U1191)&lt;=R1191,1,0),"")</f>
        <v/>
      </c>
      <c r="AB1191" s="76" t="str">
        <f>IF(OR(X1191="Envoyé",X1191="Partiel",X1191="En retard"),IF(ISNUMBER(R1191),R1191,100000)+ROW()/100000,"")</f>
        <v/>
      </c>
      <c r="AC1191" s="66" t="str">
        <f>IF(A1191="","",IF(COUNTIF($A$6:A1191,A1191)=1,1,""))</f>
        <v/>
      </c>
      <c r="AD1191" s="66" t="str">
        <f>IF(AC1191=1,COUNT($AC$6:AC1191),"")</f>
        <v/>
      </c>
      <c r="AE1191" s="66" t="str">
        <f>IFERROR(INDEX(po_num,MATCH(1186,po_seq,0))&amp;"","")</f>
        <v/>
      </c>
      <c r="AF1191" s="66" t="str">
        <f>IF(OR(A1191="",p_po=""),"",IF(A1191&amp;""=p_po,COUNTIF($A$6:A1191,A1191),""))</f>
        <v/>
      </c>
      <c r="AG1191" s="66" t="str">
        <f>IF(OR(AB1191="",A1191=""),"",IF(COUNTIFS($A$6:A1191,A1191,$AB$6:AB1191,"&gt;0")=1,1,""))</f>
        <v/>
      </c>
      <c r="AH1191" s="70" t="str">
        <f>IF(AB1191="","",ROUND(N(W1191)*N(J1191)*(1-N(K1191)),2))</f>
        <v/>
      </c>
      <c r="AI1191" s="70" t="str">
        <f>IF(OR(J1191="",N(T1191)&lt;=0,V1191="Oui"),"",ROUND(N(T1191)*J1191*(1-N(K1191)),2))</f>
        <v/>
      </c>
    </row>
    <row r="1192">
      <c r="A1192" s="63" t="n"/>
      <c r="B1192" s="64" t="n"/>
      <c r="C1192" s="65" t="n"/>
      <c r="D1192" s="66" t="str">
        <f>IF(C1192="","",IFERROR(INDEX(sup_name,MATCH($C1192,sup_code,0))&amp;"","Fournisseur inconnu"))</f>
        <v/>
      </c>
      <c r="E1192" s="63" t="n"/>
      <c r="F1192" s="66" t="str">
        <f>IF(E1192="","",IFERROR(INDEX(art_des,MATCH($E1192,art_ref,0))&amp;"","Article inconnu"))</f>
        <v/>
      </c>
      <c r="G1192" s="67" t="str">
        <f>IF(E1192="","",IFERROR(INDEX(art_unit,MATCH($E1192,art_ref,0))&amp;"",""))</f>
        <v/>
      </c>
      <c r="H1192" s="68" t="n"/>
      <c r="I1192" s="69" t="n"/>
      <c r="J1192" s="70" t="str">
        <f>IF(E1192="","",IF(ISNUMBER(I1192),I1192,IFERROR(IF(ISNUMBER(INDEX(art_price,MATCH($E1192,art_ref,0))),INDEX(art_price,MATCH($E1192,art_ref,0)),""),"")))</f>
        <v/>
      </c>
      <c r="K1192" s="71" t="n"/>
      <c r="L1192" s="72" t="n"/>
      <c r="M1192" s="72" t="str">
        <f>IF(E1192="","",IF(L1192&lt;&gt;"",L1192,IFERROR(IF(ISNUMBER(INDEX(art_tva,MATCH($E1192,art_ref,0))),INDEX(art_tva,MATCH($E1192,art_ref,0)),""),"")))</f>
        <v/>
      </c>
      <c r="N1192" s="70" t="str">
        <f>IF(OR(E1192="",J1192=""),"",ROUND(N(H1192)*J1192*(1-N(K1192)),2))</f>
        <v/>
      </c>
      <c r="O1192" s="70" t="str">
        <f>IF(OR(N1192="",NOT(ISNUMBER(M1192))),"",ROUND(N1192*M1192,2))</f>
        <v/>
      </c>
      <c r="P1192" s="70" t="str">
        <f>IF(N1192="","",N1192+N(O1192))</f>
        <v/>
      </c>
      <c r="Q1192" s="64" t="n"/>
      <c r="R1192" s="73" t="str">
        <f>IF(N(Q1192)&gt;0,Q1192,IF(OR(N(B1192)=0,ISNA(MATCH($C1192,sup_code,0))),"",IF(ISNUMBER(INDEX(sup_delay,MATCH($C1192,sup_code,0))),B1192+INDEX(sup_delay,MATCH($C1192,sup_code,0)),"")))</f>
        <v/>
      </c>
      <c r="S1192" s="64" t="n"/>
      <c r="T1192" s="68" t="n"/>
      <c r="U1192" s="64" t="n"/>
      <c r="V1192" s="65" t="n"/>
      <c r="W1192" s="74" t="str">
        <f>IF(AND(A1192="",E1192=""),"",IF(V1192="Oui",0,MAX(0,ROUND(N(H1192)-N(T1192),6))))</f>
        <v/>
      </c>
      <c r="X1192" s="67" t="str">
        <f>IF(AND(A1192="",E1192=""),"",IF(V1192="Oui","Annulé",IF(AND(N(H1192)&gt;0,N(T1192)&gt;=N(H1192)),"Reçu",IF(N(S1192)=0,"Brouillon",IF(AND(ISNUMBER(R1192),R1192&lt;p_today),"En retard",IF(N(T1192)&gt;0,"Partiel","Envoyé"))))))</f>
        <v/>
      </c>
      <c r="Y1192" s="75" t="str">
        <f>IF(X1192="En retard",p_today-R1192,IF(AND(X1192="Reçu",ISNUMBER(R1192)),MAX(0,N(U1192)-R1192),""))</f>
        <v/>
      </c>
      <c r="Z1192" s="67" t="str">
        <f>IF(AND(A1192="",E1192=""),"",IF(A1192="","N° de bon manquant",IF(N(B1192)=0,"Date de commande manquante",IF(C1192="","Fournisseur manquant",IF(ISNA(MATCH($C1192,sup_code,0)),"Fournisseur inconnu",IF(E1192="","Article manquant",IF(ISNA(MATCH($E1192,art_ref,0)),"Article inconnu",IF(N(H1192)&lt;=0,"Quantité invalide",IF(J1192="","Prix manquant",IF(OR(N(K1192)&lt;0,N(K1192)&gt;=1),"Remise invalide",IF(M1192="","TVA manquante",IF(ISNA(MATCH(M1192,p_tva,0)),"Taux de TVA inconnu",IF(COUNTIFS(po_num,A1192,po_sup,"&lt;&gt;"&amp;C1192)&gt;0,"Fournisseur différent sur ce bon",IF(COUNTIFS(po_num,A1192,po_date,"&lt;&gt;"&amp;B1192)&gt;0,"Date différente sur ce bon",IF(COUNTIF(po_num,A1192)&gt;25,"Plus de 25 lignes sur ce bon",IF(R1192="","Date de livraison manquante",IF(R1192&lt;B1192,"Livraison avant la commande",IF(AND(N(T1192)&gt;0,N(S1192)=0),"Date d'envoi manquante",IF(N(T1192)&gt;N(H1192),"Reçu plus que commandé",IF(AND(N(T1192)&gt;0,N(U1192)=0),"Date de réception manquante",IF(AND(N(U1192)&gt;0,U1192&lt;B1192),"Réception avant la commande","OK")))))))))))))))))))))</f>
        <v/>
      </c>
      <c r="AA1192" s="66" t="str">
        <f>IF(AND(X1192="Reçu",ISNUMBER(R1192)),IF(N(U1192)&lt;=R1192,1,0),"")</f>
        <v/>
      </c>
      <c r="AB1192" s="76" t="str">
        <f>IF(OR(X1192="Envoyé",X1192="Partiel",X1192="En retard"),IF(ISNUMBER(R1192),R1192,100000)+ROW()/100000,"")</f>
        <v/>
      </c>
      <c r="AC1192" s="66" t="str">
        <f>IF(A1192="","",IF(COUNTIF($A$6:A1192,A1192)=1,1,""))</f>
        <v/>
      </c>
      <c r="AD1192" s="66" t="str">
        <f>IF(AC1192=1,COUNT($AC$6:AC1192),"")</f>
        <v/>
      </c>
      <c r="AE1192" s="66" t="str">
        <f>IFERROR(INDEX(po_num,MATCH(1187,po_seq,0))&amp;"","")</f>
        <v/>
      </c>
      <c r="AF1192" s="66" t="str">
        <f>IF(OR(A1192="",p_po=""),"",IF(A1192&amp;""=p_po,COUNTIF($A$6:A1192,A1192),""))</f>
        <v/>
      </c>
      <c r="AG1192" s="66" t="str">
        <f>IF(OR(AB1192="",A1192=""),"",IF(COUNTIFS($A$6:A1192,A1192,$AB$6:AB1192,"&gt;0")=1,1,""))</f>
        <v/>
      </c>
      <c r="AH1192" s="70" t="str">
        <f>IF(AB1192="","",ROUND(N(W1192)*N(J1192)*(1-N(K1192)),2))</f>
        <v/>
      </c>
      <c r="AI1192" s="70" t="str">
        <f>IF(OR(J1192="",N(T1192)&lt;=0,V1192="Oui"),"",ROUND(N(T1192)*J1192*(1-N(K1192)),2))</f>
        <v/>
      </c>
    </row>
    <row r="1193">
      <c r="A1193" s="63" t="n"/>
      <c r="B1193" s="64" t="n"/>
      <c r="C1193" s="65" t="n"/>
      <c r="D1193" s="66" t="str">
        <f>IF(C1193="","",IFERROR(INDEX(sup_name,MATCH($C1193,sup_code,0))&amp;"","Fournisseur inconnu"))</f>
        <v/>
      </c>
      <c r="E1193" s="63" t="n"/>
      <c r="F1193" s="66" t="str">
        <f>IF(E1193="","",IFERROR(INDEX(art_des,MATCH($E1193,art_ref,0))&amp;"","Article inconnu"))</f>
        <v/>
      </c>
      <c r="G1193" s="67" t="str">
        <f>IF(E1193="","",IFERROR(INDEX(art_unit,MATCH($E1193,art_ref,0))&amp;"",""))</f>
        <v/>
      </c>
      <c r="H1193" s="68" t="n"/>
      <c r="I1193" s="69" t="n"/>
      <c r="J1193" s="70" t="str">
        <f>IF(E1193="","",IF(ISNUMBER(I1193),I1193,IFERROR(IF(ISNUMBER(INDEX(art_price,MATCH($E1193,art_ref,0))),INDEX(art_price,MATCH($E1193,art_ref,0)),""),"")))</f>
        <v/>
      </c>
      <c r="K1193" s="71" t="n"/>
      <c r="L1193" s="72" t="n"/>
      <c r="M1193" s="72" t="str">
        <f>IF(E1193="","",IF(L1193&lt;&gt;"",L1193,IFERROR(IF(ISNUMBER(INDEX(art_tva,MATCH($E1193,art_ref,0))),INDEX(art_tva,MATCH($E1193,art_ref,0)),""),"")))</f>
        <v/>
      </c>
      <c r="N1193" s="70" t="str">
        <f>IF(OR(E1193="",J1193=""),"",ROUND(N(H1193)*J1193*(1-N(K1193)),2))</f>
        <v/>
      </c>
      <c r="O1193" s="70" t="str">
        <f>IF(OR(N1193="",NOT(ISNUMBER(M1193))),"",ROUND(N1193*M1193,2))</f>
        <v/>
      </c>
      <c r="P1193" s="70" t="str">
        <f>IF(N1193="","",N1193+N(O1193))</f>
        <v/>
      </c>
      <c r="Q1193" s="64" t="n"/>
      <c r="R1193" s="73" t="str">
        <f>IF(N(Q1193)&gt;0,Q1193,IF(OR(N(B1193)=0,ISNA(MATCH($C1193,sup_code,0))),"",IF(ISNUMBER(INDEX(sup_delay,MATCH($C1193,sup_code,0))),B1193+INDEX(sup_delay,MATCH($C1193,sup_code,0)),"")))</f>
        <v/>
      </c>
      <c r="S1193" s="64" t="n"/>
      <c r="T1193" s="68" t="n"/>
      <c r="U1193" s="64" t="n"/>
      <c r="V1193" s="65" t="n"/>
      <c r="W1193" s="74" t="str">
        <f>IF(AND(A1193="",E1193=""),"",IF(V1193="Oui",0,MAX(0,ROUND(N(H1193)-N(T1193),6))))</f>
        <v/>
      </c>
      <c r="X1193" s="67" t="str">
        <f>IF(AND(A1193="",E1193=""),"",IF(V1193="Oui","Annulé",IF(AND(N(H1193)&gt;0,N(T1193)&gt;=N(H1193)),"Reçu",IF(N(S1193)=0,"Brouillon",IF(AND(ISNUMBER(R1193),R1193&lt;p_today),"En retard",IF(N(T1193)&gt;0,"Partiel","Envoyé"))))))</f>
        <v/>
      </c>
      <c r="Y1193" s="75" t="str">
        <f>IF(X1193="En retard",p_today-R1193,IF(AND(X1193="Reçu",ISNUMBER(R1193)),MAX(0,N(U1193)-R1193),""))</f>
        <v/>
      </c>
      <c r="Z1193" s="67" t="str">
        <f>IF(AND(A1193="",E1193=""),"",IF(A1193="","N° de bon manquant",IF(N(B1193)=0,"Date de commande manquante",IF(C1193="","Fournisseur manquant",IF(ISNA(MATCH($C1193,sup_code,0)),"Fournisseur inconnu",IF(E1193="","Article manquant",IF(ISNA(MATCH($E1193,art_ref,0)),"Article inconnu",IF(N(H1193)&lt;=0,"Quantité invalide",IF(J1193="","Prix manquant",IF(OR(N(K1193)&lt;0,N(K1193)&gt;=1),"Remise invalide",IF(M1193="","TVA manquante",IF(ISNA(MATCH(M1193,p_tva,0)),"Taux de TVA inconnu",IF(COUNTIFS(po_num,A1193,po_sup,"&lt;&gt;"&amp;C1193)&gt;0,"Fournisseur différent sur ce bon",IF(COUNTIFS(po_num,A1193,po_date,"&lt;&gt;"&amp;B1193)&gt;0,"Date différente sur ce bon",IF(COUNTIF(po_num,A1193)&gt;25,"Plus de 25 lignes sur ce bon",IF(R1193="","Date de livraison manquante",IF(R1193&lt;B1193,"Livraison avant la commande",IF(AND(N(T1193)&gt;0,N(S1193)=0),"Date d'envoi manquante",IF(N(T1193)&gt;N(H1193),"Reçu plus que commandé",IF(AND(N(T1193)&gt;0,N(U1193)=0),"Date de réception manquante",IF(AND(N(U1193)&gt;0,U1193&lt;B1193),"Réception avant la commande","OK")))))))))))))))))))))</f>
        <v/>
      </c>
      <c r="AA1193" s="66" t="str">
        <f>IF(AND(X1193="Reçu",ISNUMBER(R1193)),IF(N(U1193)&lt;=R1193,1,0),"")</f>
        <v/>
      </c>
      <c r="AB1193" s="76" t="str">
        <f>IF(OR(X1193="Envoyé",X1193="Partiel",X1193="En retard"),IF(ISNUMBER(R1193),R1193,100000)+ROW()/100000,"")</f>
        <v/>
      </c>
      <c r="AC1193" s="66" t="str">
        <f>IF(A1193="","",IF(COUNTIF($A$6:A1193,A1193)=1,1,""))</f>
        <v/>
      </c>
      <c r="AD1193" s="66" t="str">
        <f>IF(AC1193=1,COUNT($AC$6:AC1193),"")</f>
        <v/>
      </c>
      <c r="AE1193" s="66" t="str">
        <f>IFERROR(INDEX(po_num,MATCH(1188,po_seq,0))&amp;"","")</f>
        <v/>
      </c>
      <c r="AF1193" s="66" t="str">
        <f>IF(OR(A1193="",p_po=""),"",IF(A1193&amp;""=p_po,COUNTIF($A$6:A1193,A1193),""))</f>
        <v/>
      </c>
      <c r="AG1193" s="66" t="str">
        <f>IF(OR(AB1193="",A1193=""),"",IF(COUNTIFS($A$6:A1193,A1193,$AB$6:AB1193,"&gt;0")=1,1,""))</f>
        <v/>
      </c>
      <c r="AH1193" s="70" t="str">
        <f>IF(AB1193="","",ROUND(N(W1193)*N(J1193)*(1-N(K1193)),2))</f>
        <v/>
      </c>
      <c r="AI1193" s="70" t="str">
        <f>IF(OR(J1193="",N(T1193)&lt;=0,V1193="Oui"),"",ROUND(N(T1193)*J1193*(1-N(K1193)),2))</f>
        <v/>
      </c>
    </row>
    <row r="1194">
      <c r="A1194" s="63" t="n"/>
      <c r="B1194" s="64" t="n"/>
      <c r="C1194" s="65" t="n"/>
      <c r="D1194" s="66" t="str">
        <f>IF(C1194="","",IFERROR(INDEX(sup_name,MATCH($C1194,sup_code,0))&amp;"","Fournisseur inconnu"))</f>
        <v/>
      </c>
      <c r="E1194" s="63" t="n"/>
      <c r="F1194" s="66" t="str">
        <f>IF(E1194="","",IFERROR(INDEX(art_des,MATCH($E1194,art_ref,0))&amp;"","Article inconnu"))</f>
        <v/>
      </c>
      <c r="G1194" s="67" t="str">
        <f>IF(E1194="","",IFERROR(INDEX(art_unit,MATCH($E1194,art_ref,0))&amp;"",""))</f>
        <v/>
      </c>
      <c r="H1194" s="68" t="n"/>
      <c r="I1194" s="69" t="n"/>
      <c r="J1194" s="70" t="str">
        <f>IF(E1194="","",IF(ISNUMBER(I1194),I1194,IFERROR(IF(ISNUMBER(INDEX(art_price,MATCH($E1194,art_ref,0))),INDEX(art_price,MATCH($E1194,art_ref,0)),""),"")))</f>
        <v/>
      </c>
      <c r="K1194" s="71" t="n"/>
      <c r="L1194" s="72" t="n"/>
      <c r="M1194" s="72" t="str">
        <f>IF(E1194="","",IF(L1194&lt;&gt;"",L1194,IFERROR(IF(ISNUMBER(INDEX(art_tva,MATCH($E1194,art_ref,0))),INDEX(art_tva,MATCH($E1194,art_ref,0)),""),"")))</f>
        <v/>
      </c>
      <c r="N1194" s="70" t="str">
        <f>IF(OR(E1194="",J1194=""),"",ROUND(N(H1194)*J1194*(1-N(K1194)),2))</f>
        <v/>
      </c>
      <c r="O1194" s="70" t="str">
        <f>IF(OR(N1194="",NOT(ISNUMBER(M1194))),"",ROUND(N1194*M1194,2))</f>
        <v/>
      </c>
      <c r="P1194" s="70" t="str">
        <f>IF(N1194="","",N1194+N(O1194))</f>
        <v/>
      </c>
      <c r="Q1194" s="64" t="n"/>
      <c r="R1194" s="73" t="str">
        <f>IF(N(Q1194)&gt;0,Q1194,IF(OR(N(B1194)=0,ISNA(MATCH($C1194,sup_code,0))),"",IF(ISNUMBER(INDEX(sup_delay,MATCH($C1194,sup_code,0))),B1194+INDEX(sup_delay,MATCH($C1194,sup_code,0)),"")))</f>
        <v/>
      </c>
      <c r="S1194" s="64" t="n"/>
      <c r="T1194" s="68" t="n"/>
      <c r="U1194" s="64" t="n"/>
      <c r="V1194" s="65" t="n"/>
      <c r="W1194" s="74" t="str">
        <f>IF(AND(A1194="",E1194=""),"",IF(V1194="Oui",0,MAX(0,ROUND(N(H1194)-N(T1194),6))))</f>
        <v/>
      </c>
      <c r="X1194" s="67" t="str">
        <f>IF(AND(A1194="",E1194=""),"",IF(V1194="Oui","Annulé",IF(AND(N(H1194)&gt;0,N(T1194)&gt;=N(H1194)),"Reçu",IF(N(S1194)=0,"Brouillon",IF(AND(ISNUMBER(R1194),R1194&lt;p_today),"En retard",IF(N(T1194)&gt;0,"Partiel","Envoyé"))))))</f>
        <v/>
      </c>
      <c r="Y1194" s="75" t="str">
        <f>IF(X1194="En retard",p_today-R1194,IF(AND(X1194="Reçu",ISNUMBER(R1194)),MAX(0,N(U1194)-R1194),""))</f>
        <v/>
      </c>
      <c r="Z1194" s="67" t="str">
        <f>IF(AND(A1194="",E1194=""),"",IF(A1194="","N° de bon manquant",IF(N(B1194)=0,"Date de commande manquante",IF(C1194="","Fournisseur manquant",IF(ISNA(MATCH($C1194,sup_code,0)),"Fournisseur inconnu",IF(E1194="","Article manquant",IF(ISNA(MATCH($E1194,art_ref,0)),"Article inconnu",IF(N(H1194)&lt;=0,"Quantité invalide",IF(J1194="","Prix manquant",IF(OR(N(K1194)&lt;0,N(K1194)&gt;=1),"Remise invalide",IF(M1194="","TVA manquante",IF(ISNA(MATCH(M1194,p_tva,0)),"Taux de TVA inconnu",IF(COUNTIFS(po_num,A1194,po_sup,"&lt;&gt;"&amp;C1194)&gt;0,"Fournisseur différent sur ce bon",IF(COUNTIFS(po_num,A1194,po_date,"&lt;&gt;"&amp;B1194)&gt;0,"Date différente sur ce bon",IF(COUNTIF(po_num,A1194)&gt;25,"Plus de 25 lignes sur ce bon",IF(R1194="","Date de livraison manquante",IF(R1194&lt;B1194,"Livraison avant la commande",IF(AND(N(T1194)&gt;0,N(S1194)=0),"Date d'envoi manquante",IF(N(T1194)&gt;N(H1194),"Reçu plus que commandé",IF(AND(N(T1194)&gt;0,N(U1194)=0),"Date de réception manquante",IF(AND(N(U1194)&gt;0,U1194&lt;B1194),"Réception avant la commande","OK")))))))))))))))))))))</f>
        <v/>
      </c>
      <c r="AA1194" s="66" t="str">
        <f>IF(AND(X1194="Reçu",ISNUMBER(R1194)),IF(N(U1194)&lt;=R1194,1,0),"")</f>
        <v/>
      </c>
      <c r="AB1194" s="76" t="str">
        <f>IF(OR(X1194="Envoyé",X1194="Partiel",X1194="En retard"),IF(ISNUMBER(R1194),R1194,100000)+ROW()/100000,"")</f>
        <v/>
      </c>
      <c r="AC1194" s="66" t="str">
        <f>IF(A1194="","",IF(COUNTIF($A$6:A1194,A1194)=1,1,""))</f>
        <v/>
      </c>
      <c r="AD1194" s="66" t="str">
        <f>IF(AC1194=1,COUNT($AC$6:AC1194),"")</f>
        <v/>
      </c>
      <c r="AE1194" s="66" t="str">
        <f>IFERROR(INDEX(po_num,MATCH(1189,po_seq,0))&amp;"","")</f>
        <v/>
      </c>
      <c r="AF1194" s="66" t="str">
        <f>IF(OR(A1194="",p_po=""),"",IF(A1194&amp;""=p_po,COUNTIF($A$6:A1194,A1194),""))</f>
        <v/>
      </c>
      <c r="AG1194" s="66" t="str">
        <f>IF(OR(AB1194="",A1194=""),"",IF(COUNTIFS($A$6:A1194,A1194,$AB$6:AB1194,"&gt;0")=1,1,""))</f>
        <v/>
      </c>
      <c r="AH1194" s="70" t="str">
        <f>IF(AB1194="","",ROUND(N(W1194)*N(J1194)*(1-N(K1194)),2))</f>
        <v/>
      </c>
      <c r="AI1194" s="70" t="str">
        <f>IF(OR(J1194="",N(T1194)&lt;=0,V1194="Oui"),"",ROUND(N(T1194)*J1194*(1-N(K1194)),2))</f>
        <v/>
      </c>
    </row>
    <row r="1195">
      <c r="A1195" s="63" t="n"/>
      <c r="B1195" s="64" t="n"/>
      <c r="C1195" s="65" t="n"/>
      <c r="D1195" s="66" t="str">
        <f>IF(C1195="","",IFERROR(INDEX(sup_name,MATCH($C1195,sup_code,0))&amp;"","Fournisseur inconnu"))</f>
        <v/>
      </c>
      <c r="E1195" s="63" t="n"/>
      <c r="F1195" s="66" t="str">
        <f>IF(E1195="","",IFERROR(INDEX(art_des,MATCH($E1195,art_ref,0))&amp;"","Article inconnu"))</f>
        <v/>
      </c>
      <c r="G1195" s="67" t="str">
        <f>IF(E1195="","",IFERROR(INDEX(art_unit,MATCH($E1195,art_ref,0))&amp;"",""))</f>
        <v/>
      </c>
      <c r="H1195" s="68" t="n"/>
      <c r="I1195" s="69" t="n"/>
      <c r="J1195" s="70" t="str">
        <f>IF(E1195="","",IF(ISNUMBER(I1195),I1195,IFERROR(IF(ISNUMBER(INDEX(art_price,MATCH($E1195,art_ref,0))),INDEX(art_price,MATCH($E1195,art_ref,0)),""),"")))</f>
        <v/>
      </c>
      <c r="K1195" s="71" t="n"/>
      <c r="L1195" s="72" t="n"/>
      <c r="M1195" s="72" t="str">
        <f>IF(E1195="","",IF(L1195&lt;&gt;"",L1195,IFERROR(IF(ISNUMBER(INDEX(art_tva,MATCH($E1195,art_ref,0))),INDEX(art_tva,MATCH($E1195,art_ref,0)),""),"")))</f>
        <v/>
      </c>
      <c r="N1195" s="70" t="str">
        <f>IF(OR(E1195="",J1195=""),"",ROUND(N(H1195)*J1195*(1-N(K1195)),2))</f>
        <v/>
      </c>
      <c r="O1195" s="70" t="str">
        <f>IF(OR(N1195="",NOT(ISNUMBER(M1195))),"",ROUND(N1195*M1195,2))</f>
        <v/>
      </c>
      <c r="P1195" s="70" t="str">
        <f>IF(N1195="","",N1195+N(O1195))</f>
        <v/>
      </c>
      <c r="Q1195" s="64" t="n"/>
      <c r="R1195" s="73" t="str">
        <f>IF(N(Q1195)&gt;0,Q1195,IF(OR(N(B1195)=0,ISNA(MATCH($C1195,sup_code,0))),"",IF(ISNUMBER(INDEX(sup_delay,MATCH($C1195,sup_code,0))),B1195+INDEX(sup_delay,MATCH($C1195,sup_code,0)),"")))</f>
        <v/>
      </c>
      <c r="S1195" s="64" t="n"/>
      <c r="T1195" s="68" t="n"/>
      <c r="U1195" s="64" t="n"/>
      <c r="V1195" s="65" t="n"/>
      <c r="W1195" s="74" t="str">
        <f>IF(AND(A1195="",E1195=""),"",IF(V1195="Oui",0,MAX(0,ROUND(N(H1195)-N(T1195),6))))</f>
        <v/>
      </c>
      <c r="X1195" s="67" t="str">
        <f>IF(AND(A1195="",E1195=""),"",IF(V1195="Oui","Annulé",IF(AND(N(H1195)&gt;0,N(T1195)&gt;=N(H1195)),"Reçu",IF(N(S1195)=0,"Brouillon",IF(AND(ISNUMBER(R1195),R1195&lt;p_today),"En retard",IF(N(T1195)&gt;0,"Partiel","Envoyé"))))))</f>
        <v/>
      </c>
      <c r="Y1195" s="75" t="str">
        <f>IF(X1195="En retard",p_today-R1195,IF(AND(X1195="Reçu",ISNUMBER(R1195)),MAX(0,N(U1195)-R1195),""))</f>
        <v/>
      </c>
      <c r="Z1195" s="67" t="str">
        <f>IF(AND(A1195="",E1195=""),"",IF(A1195="","N° de bon manquant",IF(N(B1195)=0,"Date de commande manquante",IF(C1195="","Fournisseur manquant",IF(ISNA(MATCH($C1195,sup_code,0)),"Fournisseur inconnu",IF(E1195="","Article manquant",IF(ISNA(MATCH($E1195,art_ref,0)),"Article inconnu",IF(N(H1195)&lt;=0,"Quantité invalide",IF(J1195="","Prix manquant",IF(OR(N(K1195)&lt;0,N(K1195)&gt;=1),"Remise invalide",IF(M1195="","TVA manquante",IF(ISNA(MATCH(M1195,p_tva,0)),"Taux de TVA inconnu",IF(COUNTIFS(po_num,A1195,po_sup,"&lt;&gt;"&amp;C1195)&gt;0,"Fournisseur différent sur ce bon",IF(COUNTIFS(po_num,A1195,po_date,"&lt;&gt;"&amp;B1195)&gt;0,"Date différente sur ce bon",IF(COUNTIF(po_num,A1195)&gt;25,"Plus de 25 lignes sur ce bon",IF(R1195="","Date de livraison manquante",IF(R1195&lt;B1195,"Livraison avant la commande",IF(AND(N(T1195)&gt;0,N(S1195)=0),"Date d'envoi manquante",IF(N(T1195)&gt;N(H1195),"Reçu plus que commandé",IF(AND(N(T1195)&gt;0,N(U1195)=0),"Date de réception manquante",IF(AND(N(U1195)&gt;0,U1195&lt;B1195),"Réception avant la commande","OK")))))))))))))))))))))</f>
        <v/>
      </c>
      <c r="AA1195" s="66" t="str">
        <f>IF(AND(X1195="Reçu",ISNUMBER(R1195)),IF(N(U1195)&lt;=R1195,1,0),"")</f>
        <v/>
      </c>
      <c r="AB1195" s="76" t="str">
        <f>IF(OR(X1195="Envoyé",X1195="Partiel",X1195="En retard"),IF(ISNUMBER(R1195),R1195,100000)+ROW()/100000,"")</f>
        <v/>
      </c>
      <c r="AC1195" s="66" t="str">
        <f>IF(A1195="","",IF(COUNTIF($A$6:A1195,A1195)=1,1,""))</f>
        <v/>
      </c>
      <c r="AD1195" s="66" t="str">
        <f>IF(AC1195=1,COUNT($AC$6:AC1195),"")</f>
        <v/>
      </c>
      <c r="AE1195" s="66" t="str">
        <f>IFERROR(INDEX(po_num,MATCH(1190,po_seq,0))&amp;"","")</f>
        <v/>
      </c>
      <c r="AF1195" s="66" t="str">
        <f>IF(OR(A1195="",p_po=""),"",IF(A1195&amp;""=p_po,COUNTIF($A$6:A1195,A1195),""))</f>
        <v/>
      </c>
      <c r="AG1195" s="66" t="str">
        <f>IF(OR(AB1195="",A1195=""),"",IF(COUNTIFS($A$6:A1195,A1195,$AB$6:AB1195,"&gt;0")=1,1,""))</f>
        <v/>
      </c>
      <c r="AH1195" s="70" t="str">
        <f>IF(AB1195="","",ROUND(N(W1195)*N(J1195)*(1-N(K1195)),2))</f>
        <v/>
      </c>
      <c r="AI1195" s="70" t="str">
        <f>IF(OR(J1195="",N(T1195)&lt;=0,V1195="Oui"),"",ROUND(N(T1195)*J1195*(1-N(K1195)),2))</f>
        <v/>
      </c>
    </row>
    <row r="1196">
      <c r="A1196" s="63" t="n"/>
      <c r="B1196" s="64" t="n"/>
      <c r="C1196" s="65" t="n"/>
      <c r="D1196" s="66" t="str">
        <f>IF(C1196="","",IFERROR(INDEX(sup_name,MATCH($C1196,sup_code,0))&amp;"","Fournisseur inconnu"))</f>
        <v/>
      </c>
      <c r="E1196" s="63" t="n"/>
      <c r="F1196" s="66" t="str">
        <f>IF(E1196="","",IFERROR(INDEX(art_des,MATCH($E1196,art_ref,0))&amp;"","Article inconnu"))</f>
        <v/>
      </c>
      <c r="G1196" s="67" t="str">
        <f>IF(E1196="","",IFERROR(INDEX(art_unit,MATCH($E1196,art_ref,0))&amp;"",""))</f>
        <v/>
      </c>
      <c r="H1196" s="68" t="n"/>
      <c r="I1196" s="69" t="n"/>
      <c r="J1196" s="70" t="str">
        <f>IF(E1196="","",IF(ISNUMBER(I1196),I1196,IFERROR(IF(ISNUMBER(INDEX(art_price,MATCH($E1196,art_ref,0))),INDEX(art_price,MATCH($E1196,art_ref,0)),""),"")))</f>
        <v/>
      </c>
      <c r="K1196" s="71" t="n"/>
      <c r="L1196" s="72" t="n"/>
      <c r="M1196" s="72" t="str">
        <f>IF(E1196="","",IF(L1196&lt;&gt;"",L1196,IFERROR(IF(ISNUMBER(INDEX(art_tva,MATCH($E1196,art_ref,0))),INDEX(art_tva,MATCH($E1196,art_ref,0)),""),"")))</f>
        <v/>
      </c>
      <c r="N1196" s="70" t="str">
        <f>IF(OR(E1196="",J1196=""),"",ROUND(N(H1196)*J1196*(1-N(K1196)),2))</f>
        <v/>
      </c>
      <c r="O1196" s="70" t="str">
        <f>IF(OR(N1196="",NOT(ISNUMBER(M1196))),"",ROUND(N1196*M1196,2))</f>
        <v/>
      </c>
      <c r="P1196" s="70" t="str">
        <f>IF(N1196="","",N1196+N(O1196))</f>
        <v/>
      </c>
      <c r="Q1196" s="64" t="n"/>
      <c r="R1196" s="73" t="str">
        <f>IF(N(Q1196)&gt;0,Q1196,IF(OR(N(B1196)=0,ISNA(MATCH($C1196,sup_code,0))),"",IF(ISNUMBER(INDEX(sup_delay,MATCH($C1196,sup_code,0))),B1196+INDEX(sup_delay,MATCH($C1196,sup_code,0)),"")))</f>
        <v/>
      </c>
      <c r="S1196" s="64" t="n"/>
      <c r="T1196" s="68" t="n"/>
      <c r="U1196" s="64" t="n"/>
      <c r="V1196" s="65" t="n"/>
      <c r="W1196" s="74" t="str">
        <f>IF(AND(A1196="",E1196=""),"",IF(V1196="Oui",0,MAX(0,ROUND(N(H1196)-N(T1196),6))))</f>
        <v/>
      </c>
      <c r="X1196" s="67" t="str">
        <f>IF(AND(A1196="",E1196=""),"",IF(V1196="Oui","Annulé",IF(AND(N(H1196)&gt;0,N(T1196)&gt;=N(H1196)),"Reçu",IF(N(S1196)=0,"Brouillon",IF(AND(ISNUMBER(R1196),R1196&lt;p_today),"En retard",IF(N(T1196)&gt;0,"Partiel","Envoyé"))))))</f>
        <v/>
      </c>
      <c r="Y1196" s="75" t="str">
        <f>IF(X1196="En retard",p_today-R1196,IF(AND(X1196="Reçu",ISNUMBER(R1196)),MAX(0,N(U1196)-R1196),""))</f>
        <v/>
      </c>
      <c r="Z1196" s="67" t="str">
        <f>IF(AND(A1196="",E1196=""),"",IF(A1196="","N° de bon manquant",IF(N(B1196)=0,"Date de commande manquante",IF(C1196="","Fournisseur manquant",IF(ISNA(MATCH($C1196,sup_code,0)),"Fournisseur inconnu",IF(E1196="","Article manquant",IF(ISNA(MATCH($E1196,art_ref,0)),"Article inconnu",IF(N(H1196)&lt;=0,"Quantité invalide",IF(J1196="","Prix manquant",IF(OR(N(K1196)&lt;0,N(K1196)&gt;=1),"Remise invalide",IF(M1196="","TVA manquante",IF(ISNA(MATCH(M1196,p_tva,0)),"Taux de TVA inconnu",IF(COUNTIFS(po_num,A1196,po_sup,"&lt;&gt;"&amp;C1196)&gt;0,"Fournisseur différent sur ce bon",IF(COUNTIFS(po_num,A1196,po_date,"&lt;&gt;"&amp;B1196)&gt;0,"Date différente sur ce bon",IF(COUNTIF(po_num,A1196)&gt;25,"Plus de 25 lignes sur ce bon",IF(R1196="","Date de livraison manquante",IF(R1196&lt;B1196,"Livraison avant la commande",IF(AND(N(T1196)&gt;0,N(S1196)=0),"Date d'envoi manquante",IF(N(T1196)&gt;N(H1196),"Reçu plus que commandé",IF(AND(N(T1196)&gt;0,N(U1196)=0),"Date de réception manquante",IF(AND(N(U1196)&gt;0,U1196&lt;B1196),"Réception avant la commande","OK")))))))))))))))))))))</f>
        <v/>
      </c>
      <c r="AA1196" s="66" t="str">
        <f>IF(AND(X1196="Reçu",ISNUMBER(R1196)),IF(N(U1196)&lt;=R1196,1,0),"")</f>
        <v/>
      </c>
      <c r="AB1196" s="76" t="str">
        <f>IF(OR(X1196="Envoyé",X1196="Partiel",X1196="En retard"),IF(ISNUMBER(R1196),R1196,100000)+ROW()/100000,"")</f>
        <v/>
      </c>
      <c r="AC1196" s="66" t="str">
        <f>IF(A1196="","",IF(COUNTIF($A$6:A1196,A1196)=1,1,""))</f>
        <v/>
      </c>
      <c r="AD1196" s="66" t="str">
        <f>IF(AC1196=1,COUNT($AC$6:AC1196),"")</f>
        <v/>
      </c>
      <c r="AE1196" s="66" t="str">
        <f>IFERROR(INDEX(po_num,MATCH(1191,po_seq,0))&amp;"","")</f>
        <v/>
      </c>
      <c r="AF1196" s="66" t="str">
        <f>IF(OR(A1196="",p_po=""),"",IF(A1196&amp;""=p_po,COUNTIF($A$6:A1196,A1196),""))</f>
        <v/>
      </c>
      <c r="AG1196" s="66" t="str">
        <f>IF(OR(AB1196="",A1196=""),"",IF(COUNTIFS($A$6:A1196,A1196,$AB$6:AB1196,"&gt;0")=1,1,""))</f>
        <v/>
      </c>
      <c r="AH1196" s="70" t="str">
        <f>IF(AB1196="","",ROUND(N(W1196)*N(J1196)*(1-N(K1196)),2))</f>
        <v/>
      </c>
      <c r="AI1196" s="70" t="str">
        <f>IF(OR(J1196="",N(T1196)&lt;=0,V1196="Oui"),"",ROUND(N(T1196)*J1196*(1-N(K1196)),2))</f>
        <v/>
      </c>
    </row>
    <row r="1197">
      <c r="A1197" s="63" t="n"/>
      <c r="B1197" s="64" t="n"/>
      <c r="C1197" s="65" t="n"/>
      <c r="D1197" s="66" t="str">
        <f>IF(C1197="","",IFERROR(INDEX(sup_name,MATCH($C1197,sup_code,0))&amp;"","Fournisseur inconnu"))</f>
        <v/>
      </c>
      <c r="E1197" s="63" t="n"/>
      <c r="F1197" s="66" t="str">
        <f>IF(E1197="","",IFERROR(INDEX(art_des,MATCH($E1197,art_ref,0))&amp;"","Article inconnu"))</f>
        <v/>
      </c>
      <c r="G1197" s="67" t="str">
        <f>IF(E1197="","",IFERROR(INDEX(art_unit,MATCH($E1197,art_ref,0))&amp;"",""))</f>
        <v/>
      </c>
      <c r="H1197" s="68" t="n"/>
      <c r="I1197" s="69" t="n"/>
      <c r="J1197" s="70" t="str">
        <f>IF(E1197="","",IF(ISNUMBER(I1197),I1197,IFERROR(IF(ISNUMBER(INDEX(art_price,MATCH($E1197,art_ref,0))),INDEX(art_price,MATCH($E1197,art_ref,0)),""),"")))</f>
        <v/>
      </c>
      <c r="K1197" s="71" t="n"/>
      <c r="L1197" s="72" t="n"/>
      <c r="M1197" s="72" t="str">
        <f>IF(E1197="","",IF(L1197&lt;&gt;"",L1197,IFERROR(IF(ISNUMBER(INDEX(art_tva,MATCH($E1197,art_ref,0))),INDEX(art_tva,MATCH($E1197,art_ref,0)),""),"")))</f>
        <v/>
      </c>
      <c r="N1197" s="70" t="str">
        <f>IF(OR(E1197="",J1197=""),"",ROUND(N(H1197)*J1197*(1-N(K1197)),2))</f>
        <v/>
      </c>
      <c r="O1197" s="70" t="str">
        <f>IF(OR(N1197="",NOT(ISNUMBER(M1197))),"",ROUND(N1197*M1197,2))</f>
        <v/>
      </c>
      <c r="P1197" s="70" t="str">
        <f>IF(N1197="","",N1197+N(O1197))</f>
        <v/>
      </c>
      <c r="Q1197" s="64" t="n"/>
      <c r="R1197" s="73" t="str">
        <f>IF(N(Q1197)&gt;0,Q1197,IF(OR(N(B1197)=0,ISNA(MATCH($C1197,sup_code,0))),"",IF(ISNUMBER(INDEX(sup_delay,MATCH($C1197,sup_code,0))),B1197+INDEX(sup_delay,MATCH($C1197,sup_code,0)),"")))</f>
        <v/>
      </c>
      <c r="S1197" s="64" t="n"/>
      <c r="T1197" s="68" t="n"/>
      <c r="U1197" s="64" t="n"/>
      <c r="V1197" s="65" t="n"/>
      <c r="W1197" s="74" t="str">
        <f>IF(AND(A1197="",E1197=""),"",IF(V1197="Oui",0,MAX(0,ROUND(N(H1197)-N(T1197),6))))</f>
        <v/>
      </c>
      <c r="X1197" s="67" t="str">
        <f>IF(AND(A1197="",E1197=""),"",IF(V1197="Oui","Annulé",IF(AND(N(H1197)&gt;0,N(T1197)&gt;=N(H1197)),"Reçu",IF(N(S1197)=0,"Brouillon",IF(AND(ISNUMBER(R1197),R1197&lt;p_today),"En retard",IF(N(T1197)&gt;0,"Partiel","Envoyé"))))))</f>
        <v/>
      </c>
      <c r="Y1197" s="75" t="str">
        <f>IF(X1197="En retard",p_today-R1197,IF(AND(X1197="Reçu",ISNUMBER(R1197)),MAX(0,N(U1197)-R1197),""))</f>
        <v/>
      </c>
      <c r="Z1197" s="67" t="str">
        <f>IF(AND(A1197="",E1197=""),"",IF(A1197="","N° de bon manquant",IF(N(B1197)=0,"Date de commande manquante",IF(C1197="","Fournisseur manquant",IF(ISNA(MATCH($C1197,sup_code,0)),"Fournisseur inconnu",IF(E1197="","Article manquant",IF(ISNA(MATCH($E1197,art_ref,0)),"Article inconnu",IF(N(H1197)&lt;=0,"Quantité invalide",IF(J1197="","Prix manquant",IF(OR(N(K1197)&lt;0,N(K1197)&gt;=1),"Remise invalide",IF(M1197="","TVA manquante",IF(ISNA(MATCH(M1197,p_tva,0)),"Taux de TVA inconnu",IF(COUNTIFS(po_num,A1197,po_sup,"&lt;&gt;"&amp;C1197)&gt;0,"Fournisseur différent sur ce bon",IF(COUNTIFS(po_num,A1197,po_date,"&lt;&gt;"&amp;B1197)&gt;0,"Date différente sur ce bon",IF(COUNTIF(po_num,A1197)&gt;25,"Plus de 25 lignes sur ce bon",IF(R1197="","Date de livraison manquante",IF(R1197&lt;B1197,"Livraison avant la commande",IF(AND(N(T1197)&gt;0,N(S1197)=0),"Date d'envoi manquante",IF(N(T1197)&gt;N(H1197),"Reçu plus que commandé",IF(AND(N(T1197)&gt;0,N(U1197)=0),"Date de réception manquante",IF(AND(N(U1197)&gt;0,U1197&lt;B1197),"Réception avant la commande","OK")))))))))))))))))))))</f>
        <v/>
      </c>
      <c r="AA1197" s="66" t="str">
        <f>IF(AND(X1197="Reçu",ISNUMBER(R1197)),IF(N(U1197)&lt;=R1197,1,0),"")</f>
        <v/>
      </c>
      <c r="AB1197" s="76" t="str">
        <f>IF(OR(X1197="Envoyé",X1197="Partiel",X1197="En retard"),IF(ISNUMBER(R1197),R1197,100000)+ROW()/100000,"")</f>
        <v/>
      </c>
      <c r="AC1197" s="66" t="str">
        <f>IF(A1197="","",IF(COUNTIF($A$6:A1197,A1197)=1,1,""))</f>
        <v/>
      </c>
      <c r="AD1197" s="66" t="str">
        <f>IF(AC1197=1,COUNT($AC$6:AC1197),"")</f>
        <v/>
      </c>
      <c r="AE1197" s="66" t="str">
        <f>IFERROR(INDEX(po_num,MATCH(1192,po_seq,0))&amp;"","")</f>
        <v/>
      </c>
      <c r="AF1197" s="66" t="str">
        <f>IF(OR(A1197="",p_po=""),"",IF(A1197&amp;""=p_po,COUNTIF($A$6:A1197,A1197),""))</f>
        <v/>
      </c>
      <c r="AG1197" s="66" t="str">
        <f>IF(OR(AB1197="",A1197=""),"",IF(COUNTIFS($A$6:A1197,A1197,$AB$6:AB1197,"&gt;0")=1,1,""))</f>
        <v/>
      </c>
      <c r="AH1197" s="70" t="str">
        <f>IF(AB1197="","",ROUND(N(W1197)*N(J1197)*(1-N(K1197)),2))</f>
        <v/>
      </c>
      <c r="AI1197" s="70" t="str">
        <f>IF(OR(J1197="",N(T1197)&lt;=0,V1197="Oui"),"",ROUND(N(T1197)*J1197*(1-N(K1197)),2))</f>
        <v/>
      </c>
    </row>
    <row r="1198">
      <c r="A1198" s="63" t="n"/>
      <c r="B1198" s="64" t="n"/>
      <c r="C1198" s="65" t="n"/>
      <c r="D1198" s="66" t="str">
        <f>IF(C1198="","",IFERROR(INDEX(sup_name,MATCH($C1198,sup_code,0))&amp;"","Fournisseur inconnu"))</f>
        <v/>
      </c>
      <c r="E1198" s="63" t="n"/>
      <c r="F1198" s="66" t="str">
        <f>IF(E1198="","",IFERROR(INDEX(art_des,MATCH($E1198,art_ref,0))&amp;"","Article inconnu"))</f>
        <v/>
      </c>
      <c r="G1198" s="67" t="str">
        <f>IF(E1198="","",IFERROR(INDEX(art_unit,MATCH($E1198,art_ref,0))&amp;"",""))</f>
        <v/>
      </c>
      <c r="H1198" s="68" t="n"/>
      <c r="I1198" s="69" t="n"/>
      <c r="J1198" s="70" t="str">
        <f>IF(E1198="","",IF(ISNUMBER(I1198),I1198,IFERROR(IF(ISNUMBER(INDEX(art_price,MATCH($E1198,art_ref,0))),INDEX(art_price,MATCH($E1198,art_ref,0)),""),"")))</f>
        <v/>
      </c>
      <c r="K1198" s="71" t="n"/>
      <c r="L1198" s="72" t="n"/>
      <c r="M1198" s="72" t="str">
        <f>IF(E1198="","",IF(L1198&lt;&gt;"",L1198,IFERROR(IF(ISNUMBER(INDEX(art_tva,MATCH($E1198,art_ref,0))),INDEX(art_tva,MATCH($E1198,art_ref,0)),""),"")))</f>
        <v/>
      </c>
      <c r="N1198" s="70" t="str">
        <f>IF(OR(E1198="",J1198=""),"",ROUND(N(H1198)*J1198*(1-N(K1198)),2))</f>
        <v/>
      </c>
      <c r="O1198" s="70" t="str">
        <f>IF(OR(N1198="",NOT(ISNUMBER(M1198))),"",ROUND(N1198*M1198,2))</f>
        <v/>
      </c>
      <c r="P1198" s="70" t="str">
        <f>IF(N1198="","",N1198+N(O1198))</f>
        <v/>
      </c>
      <c r="Q1198" s="64" t="n"/>
      <c r="R1198" s="73" t="str">
        <f>IF(N(Q1198)&gt;0,Q1198,IF(OR(N(B1198)=0,ISNA(MATCH($C1198,sup_code,0))),"",IF(ISNUMBER(INDEX(sup_delay,MATCH($C1198,sup_code,0))),B1198+INDEX(sup_delay,MATCH($C1198,sup_code,0)),"")))</f>
        <v/>
      </c>
      <c r="S1198" s="64" t="n"/>
      <c r="T1198" s="68" t="n"/>
      <c r="U1198" s="64" t="n"/>
      <c r="V1198" s="65" t="n"/>
      <c r="W1198" s="74" t="str">
        <f>IF(AND(A1198="",E1198=""),"",IF(V1198="Oui",0,MAX(0,ROUND(N(H1198)-N(T1198),6))))</f>
        <v/>
      </c>
      <c r="X1198" s="67" t="str">
        <f>IF(AND(A1198="",E1198=""),"",IF(V1198="Oui","Annulé",IF(AND(N(H1198)&gt;0,N(T1198)&gt;=N(H1198)),"Reçu",IF(N(S1198)=0,"Brouillon",IF(AND(ISNUMBER(R1198),R1198&lt;p_today),"En retard",IF(N(T1198)&gt;0,"Partiel","Envoyé"))))))</f>
        <v/>
      </c>
      <c r="Y1198" s="75" t="str">
        <f>IF(X1198="En retard",p_today-R1198,IF(AND(X1198="Reçu",ISNUMBER(R1198)),MAX(0,N(U1198)-R1198),""))</f>
        <v/>
      </c>
      <c r="Z1198" s="67" t="str">
        <f>IF(AND(A1198="",E1198=""),"",IF(A1198="","N° de bon manquant",IF(N(B1198)=0,"Date de commande manquante",IF(C1198="","Fournisseur manquant",IF(ISNA(MATCH($C1198,sup_code,0)),"Fournisseur inconnu",IF(E1198="","Article manquant",IF(ISNA(MATCH($E1198,art_ref,0)),"Article inconnu",IF(N(H1198)&lt;=0,"Quantité invalide",IF(J1198="","Prix manquant",IF(OR(N(K1198)&lt;0,N(K1198)&gt;=1),"Remise invalide",IF(M1198="","TVA manquante",IF(ISNA(MATCH(M1198,p_tva,0)),"Taux de TVA inconnu",IF(COUNTIFS(po_num,A1198,po_sup,"&lt;&gt;"&amp;C1198)&gt;0,"Fournisseur différent sur ce bon",IF(COUNTIFS(po_num,A1198,po_date,"&lt;&gt;"&amp;B1198)&gt;0,"Date différente sur ce bon",IF(COUNTIF(po_num,A1198)&gt;25,"Plus de 25 lignes sur ce bon",IF(R1198="","Date de livraison manquante",IF(R1198&lt;B1198,"Livraison avant la commande",IF(AND(N(T1198)&gt;0,N(S1198)=0),"Date d'envoi manquante",IF(N(T1198)&gt;N(H1198),"Reçu plus que commandé",IF(AND(N(T1198)&gt;0,N(U1198)=0),"Date de réception manquante",IF(AND(N(U1198)&gt;0,U1198&lt;B1198),"Réception avant la commande","OK")))))))))))))))))))))</f>
        <v/>
      </c>
      <c r="AA1198" s="66" t="str">
        <f>IF(AND(X1198="Reçu",ISNUMBER(R1198)),IF(N(U1198)&lt;=R1198,1,0),"")</f>
        <v/>
      </c>
      <c r="AB1198" s="76" t="str">
        <f>IF(OR(X1198="Envoyé",X1198="Partiel",X1198="En retard"),IF(ISNUMBER(R1198),R1198,100000)+ROW()/100000,"")</f>
        <v/>
      </c>
      <c r="AC1198" s="66" t="str">
        <f>IF(A1198="","",IF(COUNTIF($A$6:A1198,A1198)=1,1,""))</f>
        <v/>
      </c>
      <c r="AD1198" s="66" t="str">
        <f>IF(AC1198=1,COUNT($AC$6:AC1198),"")</f>
        <v/>
      </c>
      <c r="AE1198" s="66" t="str">
        <f>IFERROR(INDEX(po_num,MATCH(1193,po_seq,0))&amp;"","")</f>
        <v/>
      </c>
      <c r="AF1198" s="66" t="str">
        <f>IF(OR(A1198="",p_po=""),"",IF(A1198&amp;""=p_po,COUNTIF($A$6:A1198,A1198),""))</f>
        <v/>
      </c>
      <c r="AG1198" s="66" t="str">
        <f>IF(OR(AB1198="",A1198=""),"",IF(COUNTIFS($A$6:A1198,A1198,$AB$6:AB1198,"&gt;0")=1,1,""))</f>
        <v/>
      </c>
      <c r="AH1198" s="70" t="str">
        <f>IF(AB1198="","",ROUND(N(W1198)*N(J1198)*(1-N(K1198)),2))</f>
        <v/>
      </c>
      <c r="AI1198" s="70" t="str">
        <f>IF(OR(J1198="",N(T1198)&lt;=0,V1198="Oui"),"",ROUND(N(T1198)*J1198*(1-N(K1198)),2))</f>
        <v/>
      </c>
    </row>
    <row r="1199">
      <c r="A1199" s="63" t="n"/>
      <c r="B1199" s="64" t="n"/>
      <c r="C1199" s="65" t="n"/>
      <c r="D1199" s="66" t="str">
        <f>IF(C1199="","",IFERROR(INDEX(sup_name,MATCH($C1199,sup_code,0))&amp;"","Fournisseur inconnu"))</f>
        <v/>
      </c>
      <c r="E1199" s="63" t="n"/>
      <c r="F1199" s="66" t="str">
        <f>IF(E1199="","",IFERROR(INDEX(art_des,MATCH($E1199,art_ref,0))&amp;"","Article inconnu"))</f>
        <v/>
      </c>
      <c r="G1199" s="67" t="str">
        <f>IF(E1199="","",IFERROR(INDEX(art_unit,MATCH($E1199,art_ref,0))&amp;"",""))</f>
        <v/>
      </c>
      <c r="H1199" s="68" t="n"/>
      <c r="I1199" s="69" t="n"/>
      <c r="J1199" s="70" t="str">
        <f>IF(E1199="","",IF(ISNUMBER(I1199),I1199,IFERROR(IF(ISNUMBER(INDEX(art_price,MATCH($E1199,art_ref,0))),INDEX(art_price,MATCH($E1199,art_ref,0)),""),"")))</f>
        <v/>
      </c>
      <c r="K1199" s="71" t="n"/>
      <c r="L1199" s="72" t="n"/>
      <c r="M1199" s="72" t="str">
        <f>IF(E1199="","",IF(L1199&lt;&gt;"",L1199,IFERROR(IF(ISNUMBER(INDEX(art_tva,MATCH($E1199,art_ref,0))),INDEX(art_tva,MATCH($E1199,art_ref,0)),""),"")))</f>
        <v/>
      </c>
      <c r="N1199" s="70" t="str">
        <f>IF(OR(E1199="",J1199=""),"",ROUND(N(H1199)*J1199*(1-N(K1199)),2))</f>
        <v/>
      </c>
      <c r="O1199" s="70" t="str">
        <f>IF(OR(N1199="",NOT(ISNUMBER(M1199))),"",ROUND(N1199*M1199,2))</f>
        <v/>
      </c>
      <c r="P1199" s="70" t="str">
        <f>IF(N1199="","",N1199+N(O1199))</f>
        <v/>
      </c>
      <c r="Q1199" s="64" t="n"/>
      <c r="R1199" s="73" t="str">
        <f>IF(N(Q1199)&gt;0,Q1199,IF(OR(N(B1199)=0,ISNA(MATCH($C1199,sup_code,0))),"",IF(ISNUMBER(INDEX(sup_delay,MATCH($C1199,sup_code,0))),B1199+INDEX(sup_delay,MATCH($C1199,sup_code,0)),"")))</f>
        <v/>
      </c>
      <c r="S1199" s="64" t="n"/>
      <c r="T1199" s="68" t="n"/>
      <c r="U1199" s="64" t="n"/>
      <c r="V1199" s="65" t="n"/>
      <c r="W1199" s="74" t="str">
        <f>IF(AND(A1199="",E1199=""),"",IF(V1199="Oui",0,MAX(0,ROUND(N(H1199)-N(T1199),6))))</f>
        <v/>
      </c>
      <c r="X1199" s="67" t="str">
        <f>IF(AND(A1199="",E1199=""),"",IF(V1199="Oui","Annulé",IF(AND(N(H1199)&gt;0,N(T1199)&gt;=N(H1199)),"Reçu",IF(N(S1199)=0,"Brouillon",IF(AND(ISNUMBER(R1199),R1199&lt;p_today),"En retard",IF(N(T1199)&gt;0,"Partiel","Envoyé"))))))</f>
        <v/>
      </c>
      <c r="Y1199" s="75" t="str">
        <f>IF(X1199="En retard",p_today-R1199,IF(AND(X1199="Reçu",ISNUMBER(R1199)),MAX(0,N(U1199)-R1199),""))</f>
        <v/>
      </c>
      <c r="Z1199" s="67" t="str">
        <f>IF(AND(A1199="",E1199=""),"",IF(A1199="","N° de bon manquant",IF(N(B1199)=0,"Date de commande manquante",IF(C1199="","Fournisseur manquant",IF(ISNA(MATCH($C1199,sup_code,0)),"Fournisseur inconnu",IF(E1199="","Article manquant",IF(ISNA(MATCH($E1199,art_ref,0)),"Article inconnu",IF(N(H1199)&lt;=0,"Quantité invalide",IF(J1199="","Prix manquant",IF(OR(N(K1199)&lt;0,N(K1199)&gt;=1),"Remise invalide",IF(M1199="","TVA manquante",IF(ISNA(MATCH(M1199,p_tva,0)),"Taux de TVA inconnu",IF(COUNTIFS(po_num,A1199,po_sup,"&lt;&gt;"&amp;C1199)&gt;0,"Fournisseur différent sur ce bon",IF(COUNTIFS(po_num,A1199,po_date,"&lt;&gt;"&amp;B1199)&gt;0,"Date différente sur ce bon",IF(COUNTIF(po_num,A1199)&gt;25,"Plus de 25 lignes sur ce bon",IF(R1199="","Date de livraison manquante",IF(R1199&lt;B1199,"Livraison avant la commande",IF(AND(N(T1199)&gt;0,N(S1199)=0),"Date d'envoi manquante",IF(N(T1199)&gt;N(H1199),"Reçu plus que commandé",IF(AND(N(T1199)&gt;0,N(U1199)=0),"Date de réception manquante",IF(AND(N(U1199)&gt;0,U1199&lt;B1199),"Réception avant la commande","OK")))))))))))))))))))))</f>
        <v/>
      </c>
      <c r="AA1199" s="66" t="str">
        <f>IF(AND(X1199="Reçu",ISNUMBER(R1199)),IF(N(U1199)&lt;=R1199,1,0),"")</f>
        <v/>
      </c>
      <c r="AB1199" s="76" t="str">
        <f>IF(OR(X1199="Envoyé",X1199="Partiel",X1199="En retard"),IF(ISNUMBER(R1199),R1199,100000)+ROW()/100000,"")</f>
        <v/>
      </c>
      <c r="AC1199" s="66" t="str">
        <f>IF(A1199="","",IF(COUNTIF($A$6:A1199,A1199)=1,1,""))</f>
        <v/>
      </c>
      <c r="AD1199" s="66" t="str">
        <f>IF(AC1199=1,COUNT($AC$6:AC1199),"")</f>
        <v/>
      </c>
      <c r="AE1199" s="66" t="str">
        <f>IFERROR(INDEX(po_num,MATCH(1194,po_seq,0))&amp;"","")</f>
        <v/>
      </c>
      <c r="AF1199" s="66" t="str">
        <f>IF(OR(A1199="",p_po=""),"",IF(A1199&amp;""=p_po,COUNTIF($A$6:A1199,A1199),""))</f>
        <v/>
      </c>
      <c r="AG1199" s="66" t="str">
        <f>IF(OR(AB1199="",A1199=""),"",IF(COUNTIFS($A$6:A1199,A1199,$AB$6:AB1199,"&gt;0")=1,1,""))</f>
        <v/>
      </c>
      <c r="AH1199" s="70" t="str">
        <f>IF(AB1199="","",ROUND(N(W1199)*N(J1199)*(1-N(K1199)),2))</f>
        <v/>
      </c>
      <c r="AI1199" s="70" t="str">
        <f>IF(OR(J1199="",N(T1199)&lt;=0,V1199="Oui"),"",ROUND(N(T1199)*J1199*(1-N(K1199)),2))</f>
        <v/>
      </c>
    </row>
    <row r="1200">
      <c r="A1200" s="63" t="n"/>
      <c r="B1200" s="64" t="n"/>
      <c r="C1200" s="65" t="n"/>
      <c r="D1200" s="66" t="str">
        <f>IF(C1200="","",IFERROR(INDEX(sup_name,MATCH($C1200,sup_code,0))&amp;"","Fournisseur inconnu"))</f>
        <v/>
      </c>
      <c r="E1200" s="63" t="n"/>
      <c r="F1200" s="66" t="str">
        <f>IF(E1200="","",IFERROR(INDEX(art_des,MATCH($E1200,art_ref,0))&amp;"","Article inconnu"))</f>
        <v/>
      </c>
      <c r="G1200" s="67" t="str">
        <f>IF(E1200="","",IFERROR(INDEX(art_unit,MATCH($E1200,art_ref,0))&amp;"",""))</f>
        <v/>
      </c>
      <c r="H1200" s="68" t="n"/>
      <c r="I1200" s="69" t="n"/>
      <c r="J1200" s="70" t="str">
        <f>IF(E1200="","",IF(ISNUMBER(I1200),I1200,IFERROR(IF(ISNUMBER(INDEX(art_price,MATCH($E1200,art_ref,0))),INDEX(art_price,MATCH($E1200,art_ref,0)),""),"")))</f>
        <v/>
      </c>
      <c r="K1200" s="71" t="n"/>
      <c r="L1200" s="72" t="n"/>
      <c r="M1200" s="72" t="str">
        <f>IF(E1200="","",IF(L1200&lt;&gt;"",L1200,IFERROR(IF(ISNUMBER(INDEX(art_tva,MATCH($E1200,art_ref,0))),INDEX(art_tva,MATCH($E1200,art_ref,0)),""),"")))</f>
        <v/>
      </c>
      <c r="N1200" s="70" t="str">
        <f>IF(OR(E1200="",J1200=""),"",ROUND(N(H1200)*J1200*(1-N(K1200)),2))</f>
        <v/>
      </c>
      <c r="O1200" s="70" t="str">
        <f>IF(OR(N1200="",NOT(ISNUMBER(M1200))),"",ROUND(N1200*M1200,2))</f>
        <v/>
      </c>
      <c r="P1200" s="70" t="str">
        <f>IF(N1200="","",N1200+N(O1200))</f>
        <v/>
      </c>
      <c r="Q1200" s="64" t="n"/>
      <c r="R1200" s="73" t="str">
        <f>IF(N(Q1200)&gt;0,Q1200,IF(OR(N(B1200)=0,ISNA(MATCH($C1200,sup_code,0))),"",IF(ISNUMBER(INDEX(sup_delay,MATCH($C1200,sup_code,0))),B1200+INDEX(sup_delay,MATCH($C1200,sup_code,0)),"")))</f>
        <v/>
      </c>
      <c r="S1200" s="64" t="n"/>
      <c r="T1200" s="68" t="n"/>
      <c r="U1200" s="64" t="n"/>
      <c r="V1200" s="65" t="n"/>
      <c r="W1200" s="74" t="str">
        <f>IF(AND(A1200="",E1200=""),"",IF(V1200="Oui",0,MAX(0,ROUND(N(H1200)-N(T1200),6))))</f>
        <v/>
      </c>
      <c r="X1200" s="67" t="str">
        <f>IF(AND(A1200="",E1200=""),"",IF(V1200="Oui","Annulé",IF(AND(N(H1200)&gt;0,N(T1200)&gt;=N(H1200)),"Reçu",IF(N(S1200)=0,"Brouillon",IF(AND(ISNUMBER(R1200),R1200&lt;p_today),"En retard",IF(N(T1200)&gt;0,"Partiel","Envoyé"))))))</f>
        <v/>
      </c>
      <c r="Y1200" s="75" t="str">
        <f>IF(X1200="En retard",p_today-R1200,IF(AND(X1200="Reçu",ISNUMBER(R1200)),MAX(0,N(U1200)-R1200),""))</f>
        <v/>
      </c>
      <c r="Z1200" s="67" t="str">
        <f>IF(AND(A1200="",E1200=""),"",IF(A1200="","N° de bon manquant",IF(N(B1200)=0,"Date de commande manquante",IF(C1200="","Fournisseur manquant",IF(ISNA(MATCH($C1200,sup_code,0)),"Fournisseur inconnu",IF(E1200="","Article manquant",IF(ISNA(MATCH($E1200,art_ref,0)),"Article inconnu",IF(N(H1200)&lt;=0,"Quantité invalide",IF(J1200="","Prix manquant",IF(OR(N(K1200)&lt;0,N(K1200)&gt;=1),"Remise invalide",IF(M1200="","TVA manquante",IF(ISNA(MATCH(M1200,p_tva,0)),"Taux de TVA inconnu",IF(COUNTIFS(po_num,A1200,po_sup,"&lt;&gt;"&amp;C1200)&gt;0,"Fournisseur différent sur ce bon",IF(COUNTIFS(po_num,A1200,po_date,"&lt;&gt;"&amp;B1200)&gt;0,"Date différente sur ce bon",IF(COUNTIF(po_num,A1200)&gt;25,"Plus de 25 lignes sur ce bon",IF(R1200="","Date de livraison manquante",IF(R1200&lt;B1200,"Livraison avant la commande",IF(AND(N(T1200)&gt;0,N(S1200)=0),"Date d'envoi manquante",IF(N(T1200)&gt;N(H1200),"Reçu plus que commandé",IF(AND(N(T1200)&gt;0,N(U1200)=0),"Date de réception manquante",IF(AND(N(U1200)&gt;0,U1200&lt;B1200),"Réception avant la commande","OK")))))))))))))))))))))</f>
        <v/>
      </c>
      <c r="AA1200" s="66" t="str">
        <f>IF(AND(X1200="Reçu",ISNUMBER(R1200)),IF(N(U1200)&lt;=R1200,1,0),"")</f>
        <v/>
      </c>
      <c r="AB1200" s="76" t="str">
        <f>IF(OR(X1200="Envoyé",X1200="Partiel",X1200="En retard"),IF(ISNUMBER(R1200),R1200,100000)+ROW()/100000,"")</f>
        <v/>
      </c>
      <c r="AC1200" s="66" t="str">
        <f>IF(A1200="","",IF(COUNTIF($A$6:A1200,A1200)=1,1,""))</f>
        <v/>
      </c>
      <c r="AD1200" s="66" t="str">
        <f>IF(AC1200=1,COUNT($AC$6:AC1200),"")</f>
        <v/>
      </c>
      <c r="AE1200" s="66" t="str">
        <f>IFERROR(INDEX(po_num,MATCH(1195,po_seq,0))&amp;"","")</f>
        <v/>
      </c>
      <c r="AF1200" s="66" t="str">
        <f>IF(OR(A1200="",p_po=""),"",IF(A1200&amp;""=p_po,COUNTIF($A$6:A1200,A1200),""))</f>
        <v/>
      </c>
      <c r="AG1200" s="66" t="str">
        <f>IF(OR(AB1200="",A1200=""),"",IF(COUNTIFS($A$6:A1200,A1200,$AB$6:AB1200,"&gt;0")=1,1,""))</f>
        <v/>
      </c>
      <c r="AH1200" s="70" t="str">
        <f>IF(AB1200="","",ROUND(N(W1200)*N(J1200)*(1-N(K1200)),2))</f>
        <v/>
      </c>
      <c r="AI1200" s="70" t="str">
        <f>IF(OR(J1200="",N(T1200)&lt;=0,V1200="Oui"),"",ROUND(N(T1200)*J1200*(1-N(K1200)),2))</f>
        <v/>
      </c>
    </row>
    <row r="1201">
      <c r="A1201" s="63" t="n"/>
      <c r="B1201" s="64" t="n"/>
      <c r="C1201" s="65" t="n"/>
      <c r="D1201" s="66" t="str">
        <f>IF(C1201="","",IFERROR(INDEX(sup_name,MATCH($C1201,sup_code,0))&amp;"","Fournisseur inconnu"))</f>
        <v/>
      </c>
      <c r="E1201" s="63" t="n"/>
      <c r="F1201" s="66" t="str">
        <f>IF(E1201="","",IFERROR(INDEX(art_des,MATCH($E1201,art_ref,0))&amp;"","Article inconnu"))</f>
        <v/>
      </c>
      <c r="G1201" s="67" t="str">
        <f>IF(E1201="","",IFERROR(INDEX(art_unit,MATCH($E1201,art_ref,0))&amp;"",""))</f>
        <v/>
      </c>
      <c r="H1201" s="68" t="n"/>
      <c r="I1201" s="69" t="n"/>
      <c r="J1201" s="70" t="str">
        <f>IF(E1201="","",IF(ISNUMBER(I1201),I1201,IFERROR(IF(ISNUMBER(INDEX(art_price,MATCH($E1201,art_ref,0))),INDEX(art_price,MATCH($E1201,art_ref,0)),""),"")))</f>
        <v/>
      </c>
      <c r="K1201" s="71" t="n"/>
      <c r="L1201" s="72" t="n"/>
      <c r="M1201" s="72" t="str">
        <f>IF(E1201="","",IF(L1201&lt;&gt;"",L1201,IFERROR(IF(ISNUMBER(INDEX(art_tva,MATCH($E1201,art_ref,0))),INDEX(art_tva,MATCH($E1201,art_ref,0)),""),"")))</f>
        <v/>
      </c>
      <c r="N1201" s="70" t="str">
        <f>IF(OR(E1201="",J1201=""),"",ROUND(N(H1201)*J1201*(1-N(K1201)),2))</f>
        <v/>
      </c>
      <c r="O1201" s="70" t="str">
        <f>IF(OR(N1201="",NOT(ISNUMBER(M1201))),"",ROUND(N1201*M1201,2))</f>
        <v/>
      </c>
      <c r="P1201" s="70" t="str">
        <f>IF(N1201="","",N1201+N(O1201))</f>
        <v/>
      </c>
      <c r="Q1201" s="64" t="n"/>
      <c r="R1201" s="73" t="str">
        <f>IF(N(Q1201)&gt;0,Q1201,IF(OR(N(B1201)=0,ISNA(MATCH($C1201,sup_code,0))),"",IF(ISNUMBER(INDEX(sup_delay,MATCH($C1201,sup_code,0))),B1201+INDEX(sup_delay,MATCH($C1201,sup_code,0)),"")))</f>
        <v/>
      </c>
      <c r="S1201" s="64" t="n"/>
      <c r="T1201" s="68" t="n"/>
      <c r="U1201" s="64" t="n"/>
      <c r="V1201" s="65" t="n"/>
      <c r="W1201" s="74" t="str">
        <f>IF(AND(A1201="",E1201=""),"",IF(V1201="Oui",0,MAX(0,ROUND(N(H1201)-N(T1201),6))))</f>
        <v/>
      </c>
      <c r="X1201" s="67" t="str">
        <f>IF(AND(A1201="",E1201=""),"",IF(V1201="Oui","Annulé",IF(AND(N(H1201)&gt;0,N(T1201)&gt;=N(H1201)),"Reçu",IF(N(S1201)=0,"Brouillon",IF(AND(ISNUMBER(R1201),R1201&lt;p_today),"En retard",IF(N(T1201)&gt;0,"Partiel","Envoyé"))))))</f>
        <v/>
      </c>
      <c r="Y1201" s="75" t="str">
        <f>IF(X1201="En retard",p_today-R1201,IF(AND(X1201="Reçu",ISNUMBER(R1201)),MAX(0,N(U1201)-R1201),""))</f>
        <v/>
      </c>
      <c r="Z1201" s="67" t="str">
        <f>IF(AND(A1201="",E1201=""),"",IF(A1201="","N° de bon manquant",IF(N(B1201)=0,"Date de commande manquante",IF(C1201="","Fournisseur manquant",IF(ISNA(MATCH($C1201,sup_code,0)),"Fournisseur inconnu",IF(E1201="","Article manquant",IF(ISNA(MATCH($E1201,art_ref,0)),"Article inconnu",IF(N(H1201)&lt;=0,"Quantité invalide",IF(J1201="","Prix manquant",IF(OR(N(K1201)&lt;0,N(K1201)&gt;=1),"Remise invalide",IF(M1201="","TVA manquante",IF(ISNA(MATCH(M1201,p_tva,0)),"Taux de TVA inconnu",IF(COUNTIFS(po_num,A1201,po_sup,"&lt;&gt;"&amp;C1201)&gt;0,"Fournisseur différent sur ce bon",IF(COUNTIFS(po_num,A1201,po_date,"&lt;&gt;"&amp;B1201)&gt;0,"Date différente sur ce bon",IF(COUNTIF(po_num,A1201)&gt;25,"Plus de 25 lignes sur ce bon",IF(R1201="","Date de livraison manquante",IF(R1201&lt;B1201,"Livraison avant la commande",IF(AND(N(T1201)&gt;0,N(S1201)=0),"Date d'envoi manquante",IF(N(T1201)&gt;N(H1201),"Reçu plus que commandé",IF(AND(N(T1201)&gt;0,N(U1201)=0),"Date de réception manquante",IF(AND(N(U1201)&gt;0,U1201&lt;B1201),"Réception avant la commande","OK")))))))))))))))))))))</f>
        <v/>
      </c>
      <c r="AA1201" s="66" t="str">
        <f>IF(AND(X1201="Reçu",ISNUMBER(R1201)),IF(N(U1201)&lt;=R1201,1,0),"")</f>
        <v/>
      </c>
      <c r="AB1201" s="76" t="str">
        <f>IF(OR(X1201="Envoyé",X1201="Partiel",X1201="En retard"),IF(ISNUMBER(R1201),R1201,100000)+ROW()/100000,"")</f>
        <v/>
      </c>
      <c r="AC1201" s="66" t="str">
        <f>IF(A1201="","",IF(COUNTIF($A$6:A1201,A1201)=1,1,""))</f>
        <v/>
      </c>
      <c r="AD1201" s="66" t="str">
        <f>IF(AC1201=1,COUNT($AC$6:AC1201),"")</f>
        <v/>
      </c>
      <c r="AE1201" s="66" t="str">
        <f>IFERROR(INDEX(po_num,MATCH(1196,po_seq,0))&amp;"","")</f>
        <v/>
      </c>
      <c r="AF1201" s="66" t="str">
        <f>IF(OR(A1201="",p_po=""),"",IF(A1201&amp;""=p_po,COUNTIF($A$6:A1201,A1201),""))</f>
        <v/>
      </c>
      <c r="AG1201" s="66" t="str">
        <f>IF(OR(AB1201="",A1201=""),"",IF(COUNTIFS($A$6:A1201,A1201,$AB$6:AB1201,"&gt;0")=1,1,""))</f>
        <v/>
      </c>
      <c r="AH1201" s="70" t="str">
        <f>IF(AB1201="","",ROUND(N(W1201)*N(J1201)*(1-N(K1201)),2))</f>
        <v/>
      </c>
      <c r="AI1201" s="70" t="str">
        <f>IF(OR(J1201="",N(T1201)&lt;=0,V1201="Oui"),"",ROUND(N(T1201)*J1201*(1-N(K1201)),2))</f>
        <v/>
      </c>
    </row>
    <row r="1202">
      <c r="A1202" s="63" t="n"/>
      <c r="B1202" s="64" t="n"/>
      <c r="C1202" s="65" t="n"/>
      <c r="D1202" s="66" t="str">
        <f>IF(C1202="","",IFERROR(INDEX(sup_name,MATCH($C1202,sup_code,0))&amp;"","Fournisseur inconnu"))</f>
        <v/>
      </c>
      <c r="E1202" s="63" t="n"/>
      <c r="F1202" s="66" t="str">
        <f>IF(E1202="","",IFERROR(INDEX(art_des,MATCH($E1202,art_ref,0))&amp;"","Article inconnu"))</f>
        <v/>
      </c>
      <c r="G1202" s="67" t="str">
        <f>IF(E1202="","",IFERROR(INDEX(art_unit,MATCH($E1202,art_ref,0))&amp;"",""))</f>
        <v/>
      </c>
      <c r="H1202" s="68" t="n"/>
      <c r="I1202" s="69" t="n"/>
      <c r="J1202" s="70" t="str">
        <f>IF(E1202="","",IF(ISNUMBER(I1202),I1202,IFERROR(IF(ISNUMBER(INDEX(art_price,MATCH($E1202,art_ref,0))),INDEX(art_price,MATCH($E1202,art_ref,0)),""),"")))</f>
        <v/>
      </c>
      <c r="K1202" s="71" t="n"/>
      <c r="L1202" s="72" t="n"/>
      <c r="M1202" s="72" t="str">
        <f>IF(E1202="","",IF(L1202&lt;&gt;"",L1202,IFERROR(IF(ISNUMBER(INDEX(art_tva,MATCH($E1202,art_ref,0))),INDEX(art_tva,MATCH($E1202,art_ref,0)),""),"")))</f>
        <v/>
      </c>
      <c r="N1202" s="70" t="str">
        <f>IF(OR(E1202="",J1202=""),"",ROUND(N(H1202)*J1202*(1-N(K1202)),2))</f>
        <v/>
      </c>
      <c r="O1202" s="70" t="str">
        <f>IF(OR(N1202="",NOT(ISNUMBER(M1202))),"",ROUND(N1202*M1202,2))</f>
        <v/>
      </c>
      <c r="P1202" s="70" t="str">
        <f>IF(N1202="","",N1202+N(O1202))</f>
        <v/>
      </c>
      <c r="Q1202" s="64" t="n"/>
      <c r="R1202" s="73" t="str">
        <f>IF(N(Q1202)&gt;0,Q1202,IF(OR(N(B1202)=0,ISNA(MATCH($C1202,sup_code,0))),"",IF(ISNUMBER(INDEX(sup_delay,MATCH($C1202,sup_code,0))),B1202+INDEX(sup_delay,MATCH($C1202,sup_code,0)),"")))</f>
        <v/>
      </c>
      <c r="S1202" s="64" t="n"/>
      <c r="T1202" s="68" t="n"/>
      <c r="U1202" s="64" t="n"/>
      <c r="V1202" s="65" t="n"/>
      <c r="W1202" s="74" t="str">
        <f>IF(AND(A1202="",E1202=""),"",IF(V1202="Oui",0,MAX(0,ROUND(N(H1202)-N(T1202),6))))</f>
        <v/>
      </c>
      <c r="X1202" s="67" t="str">
        <f>IF(AND(A1202="",E1202=""),"",IF(V1202="Oui","Annulé",IF(AND(N(H1202)&gt;0,N(T1202)&gt;=N(H1202)),"Reçu",IF(N(S1202)=0,"Brouillon",IF(AND(ISNUMBER(R1202),R1202&lt;p_today),"En retard",IF(N(T1202)&gt;0,"Partiel","Envoyé"))))))</f>
        <v/>
      </c>
      <c r="Y1202" s="75" t="str">
        <f>IF(X1202="En retard",p_today-R1202,IF(AND(X1202="Reçu",ISNUMBER(R1202)),MAX(0,N(U1202)-R1202),""))</f>
        <v/>
      </c>
      <c r="Z1202" s="67" t="str">
        <f>IF(AND(A1202="",E1202=""),"",IF(A1202="","N° de bon manquant",IF(N(B1202)=0,"Date de commande manquante",IF(C1202="","Fournisseur manquant",IF(ISNA(MATCH($C1202,sup_code,0)),"Fournisseur inconnu",IF(E1202="","Article manquant",IF(ISNA(MATCH($E1202,art_ref,0)),"Article inconnu",IF(N(H1202)&lt;=0,"Quantité invalide",IF(J1202="","Prix manquant",IF(OR(N(K1202)&lt;0,N(K1202)&gt;=1),"Remise invalide",IF(M1202="","TVA manquante",IF(ISNA(MATCH(M1202,p_tva,0)),"Taux de TVA inconnu",IF(COUNTIFS(po_num,A1202,po_sup,"&lt;&gt;"&amp;C1202)&gt;0,"Fournisseur différent sur ce bon",IF(COUNTIFS(po_num,A1202,po_date,"&lt;&gt;"&amp;B1202)&gt;0,"Date différente sur ce bon",IF(COUNTIF(po_num,A1202)&gt;25,"Plus de 25 lignes sur ce bon",IF(R1202="","Date de livraison manquante",IF(R1202&lt;B1202,"Livraison avant la commande",IF(AND(N(T1202)&gt;0,N(S1202)=0),"Date d'envoi manquante",IF(N(T1202)&gt;N(H1202),"Reçu plus que commandé",IF(AND(N(T1202)&gt;0,N(U1202)=0),"Date de réception manquante",IF(AND(N(U1202)&gt;0,U1202&lt;B1202),"Réception avant la commande","OK")))))))))))))))))))))</f>
        <v/>
      </c>
      <c r="AA1202" s="66" t="str">
        <f>IF(AND(X1202="Reçu",ISNUMBER(R1202)),IF(N(U1202)&lt;=R1202,1,0),"")</f>
        <v/>
      </c>
      <c r="AB1202" s="76" t="str">
        <f>IF(OR(X1202="Envoyé",X1202="Partiel",X1202="En retard"),IF(ISNUMBER(R1202),R1202,100000)+ROW()/100000,"")</f>
        <v/>
      </c>
      <c r="AC1202" s="66" t="str">
        <f>IF(A1202="","",IF(COUNTIF($A$6:A1202,A1202)=1,1,""))</f>
        <v/>
      </c>
      <c r="AD1202" s="66" t="str">
        <f>IF(AC1202=1,COUNT($AC$6:AC1202),"")</f>
        <v/>
      </c>
      <c r="AE1202" s="66" t="str">
        <f>IFERROR(INDEX(po_num,MATCH(1197,po_seq,0))&amp;"","")</f>
        <v/>
      </c>
      <c r="AF1202" s="66" t="str">
        <f>IF(OR(A1202="",p_po=""),"",IF(A1202&amp;""=p_po,COUNTIF($A$6:A1202,A1202),""))</f>
        <v/>
      </c>
      <c r="AG1202" s="66" t="str">
        <f>IF(OR(AB1202="",A1202=""),"",IF(COUNTIFS($A$6:A1202,A1202,$AB$6:AB1202,"&gt;0")=1,1,""))</f>
        <v/>
      </c>
      <c r="AH1202" s="70" t="str">
        <f>IF(AB1202="","",ROUND(N(W1202)*N(J1202)*(1-N(K1202)),2))</f>
        <v/>
      </c>
      <c r="AI1202" s="70" t="str">
        <f>IF(OR(J1202="",N(T1202)&lt;=0,V1202="Oui"),"",ROUND(N(T1202)*J1202*(1-N(K1202)),2))</f>
        <v/>
      </c>
    </row>
    <row r="1203">
      <c r="A1203" s="63" t="n"/>
      <c r="B1203" s="64" t="n"/>
      <c r="C1203" s="65" t="n"/>
      <c r="D1203" s="66" t="str">
        <f>IF(C1203="","",IFERROR(INDEX(sup_name,MATCH($C1203,sup_code,0))&amp;"","Fournisseur inconnu"))</f>
        <v/>
      </c>
      <c r="E1203" s="63" t="n"/>
      <c r="F1203" s="66" t="str">
        <f>IF(E1203="","",IFERROR(INDEX(art_des,MATCH($E1203,art_ref,0))&amp;"","Article inconnu"))</f>
        <v/>
      </c>
      <c r="G1203" s="67" t="str">
        <f>IF(E1203="","",IFERROR(INDEX(art_unit,MATCH($E1203,art_ref,0))&amp;"",""))</f>
        <v/>
      </c>
      <c r="H1203" s="68" t="n"/>
      <c r="I1203" s="69" t="n"/>
      <c r="J1203" s="70" t="str">
        <f>IF(E1203="","",IF(ISNUMBER(I1203),I1203,IFERROR(IF(ISNUMBER(INDEX(art_price,MATCH($E1203,art_ref,0))),INDEX(art_price,MATCH($E1203,art_ref,0)),""),"")))</f>
        <v/>
      </c>
      <c r="K1203" s="71" t="n"/>
      <c r="L1203" s="72" t="n"/>
      <c r="M1203" s="72" t="str">
        <f>IF(E1203="","",IF(L1203&lt;&gt;"",L1203,IFERROR(IF(ISNUMBER(INDEX(art_tva,MATCH($E1203,art_ref,0))),INDEX(art_tva,MATCH($E1203,art_ref,0)),""),"")))</f>
        <v/>
      </c>
      <c r="N1203" s="70" t="str">
        <f>IF(OR(E1203="",J1203=""),"",ROUND(N(H1203)*J1203*(1-N(K1203)),2))</f>
        <v/>
      </c>
      <c r="O1203" s="70" t="str">
        <f>IF(OR(N1203="",NOT(ISNUMBER(M1203))),"",ROUND(N1203*M1203,2))</f>
        <v/>
      </c>
      <c r="P1203" s="70" t="str">
        <f>IF(N1203="","",N1203+N(O1203))</f>
        <v/>
      </c>
      <c r="Q1203" s="64" t="n"/>
      <c r="R1203" s="73" t="str">
        <f>IF(N(Q1203)&gt;0,Q1203,IF(OR(N(B1203)=0,ISNA(MATCH($C1203,sup_code,0))),"",IF(ISNUMBER(INDEX(sup_delay,MATCH($C1203,sup_code,0))),B1203+INDEX(sup_delay,MATCH($C1203,sup_code,0)),"")))</f>
        <v/>
      </c>
      <c r="S1203" s="64" t="n"/>
      <c r="T1203" s="68" t="n"/>
      <c r="U1203" s="64" t="n"/>
      <c r="V1203" s="65" t="n"/>
      <c r="W1203" s="74" t="str">
        <f>IF(AND(A1203="",E1203=""),"",IF(V1203="Oui",0,MAX(0,ROUND(N(H1203)-N(T1203),6))))</f>
        <v/>
      </c>
      <c r="X1203" s="67" t="str">
        <f>IF(AND(A1203="",E1203=""),"",IF(V1203="Oui","Annulé",IF(AND(N(H1203)&gt;0,N(T1203)&gt;=N(H1203)),"Reçu",IF(N(S1203)=0,"Brouillon",IF(AND(ISNUMBER(R1203),R1203&lt;p_today),"En retard",IF(N(T1203)&gt;0,"Partiel","Envoyé"))))))</f>
        <v/>
      </c>
      <c r="Y1203" s="75" t="str">
        <f>IF(X1203="En retard",p_today-R1203,IF(AND(X1203="Reçu",ISNUMBER(R1203)),MAX(0,N(U1203)-R1203),""))</f>
        <v/>
      </c>
      <c r="Z1203" s="67" t="str">
        <f>IF(AND(A1203="",E1203=""),"",IF(A1203="","N° de bon manquant",IF(N(B1203)=0,"Date de commande manquante",IF(C1203="","Fournisseur manquant",IF(ISNA(MATCH($C1203,sup_code,0)),"Fournisseur inconnu",IF(E1203="","Article manquant",IF(ISNA(MATCH($E1203,art_ref,0)),"Article inconnu",IF(N(H1203)&lt;=0,"Quantité invalide",IF(J1203="","Prix manquant",IF(OR(N(K1203)&lt;0,N(K1203)&gt;=1),"Remise invalide",IF(M1203="","TVA manquante",IF(ISNA(MATCH(M1203,p_tva,0)),"Taux de TVA inconnu",IF(COUNTIFS(po_num,A1203,po_sup,"&lt;&gt;"&amp;C1203)&gt;0,"Fournisseur différent sur ce bon",IF(COUNTIFS(po_num,A1203,po_date,"&lt;&gt;"&amp;B1203)&gt;0,"Date différente sur ce bon",IF(COUNTIF(po_num,A1203)&gt;25,"Plus de 25 lignes sur ce bon",IF(R1203="","Date de livraison manquante",IF(R1203&lt;B1203,"Livraison avant la commande",IF(AND(N(T1203)&gt;0,N(S1203)=0),"Date d'envoi manquante",IF(N(T1203)&gt;N(H1203),"Reçu plus que commandé",IF(AND(N(T1203)&gt;0,N(U1203)=0),"Date de réception manquante",IF(AND(N(U1203)&gt;0,U1203&lt;B1203),"Réception avant la commande","OK")))))))))))))))))))))</f>
        <v/>
      </c>
      <c r="AA1203" s="66" t="str">
        <f>IF(AND(X1203="Reçu",ISNUMBER(R1203)),IF(N(U1203)&lt;=R1203,1,0),"")</f>
        <v/>
      </c>
      <c r="AB1203" s="76" t="str">
        <f>IF(OR(X1203="Envoyé",X1203="Partiel",X1203="En retard"),IF(ISNUMBER(R1203),R1203,100000)+ROW()/100000,"")</f>
        <v/>
      </c>
      <c r="AC1203" s="66" t="str">
        <f>IF(A1203="","",IF(COUNTIF($A$6:A1203,A1203)=1,1,""))</f>
        <v/>
      </c>
      <c r="AD1203" s="66" t="str">
        <f>IF(AC1203=1,COUNT($AC$6:AC1203),"")</f>
        <v/>
      </c>
      <c r="AE1203" s="66" t="str">
        <f>IFERROR(INDEX(po_num,MATCH(1198,po_seq,0))&amp;"","")</f>
        <v/>
      </c>
      <c r="AF1203" s="66" t="str">
        <f>IF(OR(A1203="",p_po=""),"",IF(A1203&amp;""=p_po,COUNTIF($A$6:A1203,A1203),""))</f>
        <v/>
      </c>
      <c r="AG1203" s="66" t="str">
        <f>IF(OR(AB1203="",A1203=""),"",IF(COUNTIFS($A$6:A1203,A1203,$AB$6:AB1203,"&gt;0")=1,1,""))</f>
        <v/>
      </c>
      <c r="AH1203" s="70" t="str">
        <f>IF(AB1203="","",ROUND(N(W1203)*N(J1203)*(1-N(K1203)),2))</f>
        <v/>
      </c>
      <c r="AI1203" s="70" t="str">
        <f>IF(OR(J1203="",N(T1203)&lt;=0,V1203="Oui"),"",ROUND(N(T1203)*J1203*(1-N(K1203)),2))</f>
        <v/>
      </c>
    </row>
    <row r="1204">
      <c r="A1204" s="63" t="n"/>
      <c r="B1204" s="64" t="n"/>
      <c r="C1204" s="65" t="n"/>
      <c r="D1204" s="66" t="str">
        <f>IF(C1204="","",IFERROR(INDEX(sup_name,MATCH($C1204,sup_code,0))&amp;"","Fournisseur inconnu"))</f>
        <v/>
      </c>
      <c r="E1204" s="63" t="n"/>
      <c r="F1204" s="66" t="str">
        <f>IF(E1204="","",IFERROR(INDEX(art_des,MATCH($E1204,art_ref,0))&amp;"","Article inconnu"))</f>
        <v/>
      </c>
      <c r="G1204" s="67" t="str">
        <f>IF(E1204="","",IFERROR(INDEX(art_unit,MATCH($E1204,art_ref,0))&amp;"",""))</f>
        <v/>
      </c>
      <c r="H1204" s="68" t="n"/>
      <c r="I1204" s="69" t="n"/>
      <c r="J1204" s="70" t="str">
        <f>IF(E1204="","",IF(ISNUMBER(I1204),I1204,IFERROR(IF(ISNUMBER(INDEX(art_price,MATCH($E1204,art_ref,0))),INDEX(art_price,MATCH($E1204,art_ref,0)),""),"")))</f>
        <v/>
      </c>
      <c r="K1204" s="71" t="n"/>
      <c r="L1204" s="72" t="n"/>
      <c r="M1204" s="72" t="str">
        <f>IF(E1204="","",IF(L1204&lt;&gt;"",L1204,IFERROR(IF(ISNUMBER(INDEX(art_tva,MATCH($E1204,art_ref,0))),INDEX(art_tva,MATCH($E1204,art_ref,0)),""),"")))</f>
        <v/>
      </c>
      <c r="N1204" s="70" t="str">
        <f>IF(OR(E1204="",J1204=""),"",ROUND(N(H1204)*J1204*(1-N(K1204)),2))</f>
        <v/>
      </c>
      <c r="O1204" s="70" t="str">
        <f>IF(OR(N1204="",NOT(ISNUMBER(M1204))),"",ROUND(N1204*M1204,2))</f>
        <v/>
      </c>
      <c r="P1204" s="70" t="str">
        <f>IF(N1204="","",N1204+N(O1204))</f>
        <v/>
      </c>
      <c r="Q1204" s="64" t="n"/>
      <c r="R1204" s="73" t="str">
        <f>IF(N(Q1204)&gt;0,Q1204,IF(OR(N(B1204)=0,ISNA(MATCH($C1204,sup_code,0))),"",IF(ISNUMBER(INDEX(sup_delay,MATCH($C1204,sup_code,0))),B1204+INDEX(sup_delay,MATCH($C1204,sup_code,0)),"")))</f>
        <v/>
      </c>
      <c r="S1204" s="64" t="n"/>
      <c r="T1204" s="68" t="n"/>
      <c r="U1204" s="64" t="n"/>
      <c r="V1204" s="65" t="n"/>
      <c r="W1204" s="74" t="str">
        <f>IF(AND(A1204="",E1204=""),"",IF(V1204="Oui",0,MAX(0,ROUND(N(H1204)-N(T1204),6))))</f>
        <v/>
      </c>
      <c r="X1204" s="67" t="str">
        <f>IF(AND(A1204="",E1204=""),"",IF(V1204="Oui","Annulé",IF(AND(N(H1204)&gt;0,N(T1204)&gt;=N(H1204)),"Reçu",IF(N(S1204)=0,"Brouillon",IF(AND(ISNUMBER(R1204),R1204&lt;p_today),"En retard",IF(N(T1204)&gt;0,"Partiel","Envoyé"))))))</f>
        <v/>
      </c>
      <c r="Y1204" s="75" t="str">
        <f>IF(X1204="En retard",p_today-R1204,IF(AND(X1204="Reçu",ISNUMBER(R1204)),MAX(0,N(U1204)-R1204),""))</f>
        <v/>
      </c>
      <c r="Z1204" s="67" t="str">
        <f>IF(AND(A1204="",E1204=""),"",IF(A1204="","N° de bon manquant",IF(N(B1204)=0,"Date de commande manquante",IF(C1204="","Fournisseur manquant",IF(ISNA(MATCH($C1204,sup_code,0)),"Fournisseur inconnu",IF(E1204="","Article manquant",IF(ISNA(MATCH($E1204,art_ref,0)),"Article inconnu",IF(N(H1204)&lt;=0,"Quantité invalide",IF(J1204="","Prix manquant",IF(OR(N(K1204)&lt;0,N(K1204)&gt;=1),"Remise invalide",IF(M1204="","TVA manquante",IF(ISNA(MATCH(M1204,p_tva,0)),"Taux de TVA inconnu",IF(COUNTIFS(po_num,A1204,po_sup,"&lt;&gt;"&amp;C1204)&gt;0,"Fournisseur différent sur ce bon",IF(COUNTIFS(po_num,A1204,po_date,"&lt;&gt;"&amp;B1204)&gt;0,"Date différente sur ce bon",IF(COUNTIF(po_num,A1204)&gt;25,"Plus de 25 lignes sur ce bon",IF(R1204="","Date de livraison manquante",IF(R1204&lt;B1204,"Livraison avant la commande",IF(AND(N(T1204)&gt;0,N(S1204)=0),"Date d'envoi manquante",IF(N(T1204)&gt;N(H1204),"Reçu plus que commandé",IF(AND(N(T1204)&gt;0,N(U1204)=0),"Date de réception manquante",IF(AND(N(U1204)&gt;0,U1204&lt;B1204),"Réception avant la commande","OK")))))))))))))))))))))</f>
        <v/>
      </c>
      <c r="AA1204" s="66" t="str">
        <f>IF(AND(X1204="Reçu",ISNUMBER(R1204)),IF(N(U1204)&lt;=R1204,1,0),"")</f>
        <v/>
      </c>
      <c r="AB1204" s="76" t="str">
        <f>IF(OR(X1204="Envoyé",X1204="Partiel",X1204="En retard"),IF(ISNUMBER(R1204),R1204,100000)+ROW()/100000,"")</f>
        <v/>
      </c>
      <c r="AC1204" s="66" t="str">
        <f>IF(A1204="","",IF(COUNTIF($A$6:A1204,A1204)=1,1,""))</f>
        <v/>
      </c>
      <c r="AD1204" s="66" t="str">
        <f>IF(AC1204=1,COUNT($AC$6:AC1204),"")</f>
        <v/>
      </c>
      <c r="AE1204" s="66" t="str">
        <f>IFERROR(INDEX(po_num,MATCH(1199,po_seq,0))&amp;"","")</f>
        <v/>
      </c>
      <c r="AF1204" s="66" t="str">
        <f>IF(OR(A1204="",p_po=""),"",IF(A1204&amp;""=p_po,COUNTIF($A$6:A1204,A1204),""))</f>
        <v/>
      </c>
      <c r="AG1204" s="66" t="str">
        <f>IF(OR(AB1204="",A1204=""),"",IF(COUNTIFS($A$6:A1204,A1204,$AB$6:AB1204,"&gt;0")=1,1,""))</f>
        <v/>
      </c>
      <c r="AH1204" s="70" t="str">
        <f>IF(AB1204="","",ROUND(N(W1204)*N(J1204)*(1-N(K1204)),2))</f>
        <v/>
      </c>
      <c r="AI1204" s="70" t="str">
        <f>IF(OR(J1204="",N(T1204)&lt;=0,V1204="Oui"),"",ROUND(N(T1204)*J1204*(1-N(K1204)),2))</f>
        <v/>
      </c>
    </row>
    <row r="1205">
      <c r="A1205" s="63" t="n"/>
      <c r="B1205" s="64" t="n"/>
      <c r="C1205" s="65" t="n"/>
      <c r="D1205" s="66" t="str">
        <f>IF(C1205="","",IFERROR(INDEX(sup_name,MATCH($C1205,sup_code,0))&amp;"","Fournisseur inconnu"))</f>
        <v/>
      </c>
      <c r="E1205" s="63" t="n"/>
      <c r="F1205" s="66" t="str">
        <f>IF(E1205="","",IFERROR(INDEX(art_des,MATCH($E1205,art_ref,0))&amp;"","Article inconnu"))</f>
        <v/>
      </c>
      <c r="G1205" s="67" t="str">
        <f>IF(E1205="","",IFERROR(INDEX(art_unit,MATCH($E1205,art_ref,0))&amp;"",""))</f>
        <v/>
      </c>
      <c r="H1205" s="68" t="n"/>
      <c r="I1205" s="69" t="n"/>
      <c r="J1205" s="70" t="str">
        <f>IF(E1205="","",IF(ISNUMBER(I1205),I1205,IFERROR(IF(ISNUMBER(INDEX(art_price,MATCH($E1205,art_ref,0))),INDEX(art_price,MATCH($E1205,art_ref,0)),""),"")))</f>
        <v/>
      </c>
      <c r="K1205" s="71" t="n"/>
      <c r="L1205" s="72" t="n"/>
      <c r="M1205" s="72" t="str">
        <f>IF(E1205="","",IF(L1205&lt;&gt;"",L1205,IFERROR(IF(ISNUMBER(INDEX(art_tva,MATCH($E1205,art_ref,0))),INDEX(art_tva,MATCH($E1205,art_ref,0)),""),"")))</f>
        <v/>
      </c>
      <c r="N1205" s="70" t="str">
        <f>IF(OR(E1205="",J1205=""),"",ROUND(N(H1205)*J1205*(1-N(K1205)),2))</f>
        <v/>
      </c>
      <c r="O1205" s="70" t="str">
        <f>IF(OR(N1205="",NOT(ISNUMBER(M1205))),"",ROUND(N1205*M1205,2))</f>
        <v/>
      </c>
      <c r="P1205" s="70" t="str">
        <f>IF(N1205="","",N1205+N(O1205))</f>
        <v/>
      </c>
      <c r="Q1205" s="64" t="n"/>
      <c r="R1205" s="73" t="str">
        <f>IF(N(Q1205)&gt;0,Q1205,IF(OR(N(B1205)=0,ISNA(MATCH($C1205,sup_code,0))),"",IF(ISNUMBER(INDEX(sup_delay,MATCH($C1205,sup_code,0))),B1205+INDEX(sup_delay,MATCH($C1205,sup_code,0)),"")))</f>
        <v/>
      </c>
      <c r="S1205" s="64" t="n"/>
      <c r="T1205" s="68" t="n"/>
      <c r="U1205" s="64" t="n"/>
      <c r="V1205" s="65" t="n"/>
      <c r="W1205" s="74" t="str">
        <f>IF(AND(A1205="",E1205=""),"",IF(V1205="Oui",0,MAX(0,ROUND(N(H1205)-N(T1205),6))))</f>
        <v/>
      </c>
      <c r="X1205" s="67" t="str">
        <f>IF(AND(A1205="",E1205=""),"",IF(V1205="Oui","Annulé",IF(AND(N(H1205)&gt;0,N(T1205)&gt;=N(H1205)),"Reçu",IF(N(S1205)=0,"Brouillon",IF(AND(ISNUMBER(R1205),R1205&lt;p_today),"En retard",IF(N(T1205)&gt;0,"Partiel","Envoyé"))))))</f>
        <v/>
      </c>
      <c r="Y1205" s="75" t="str">
        <f>IF(X1205="En retard",p_today-R1205,IF(AND(X1205="Reçu",ISNUMBER(R1205)),MAX(0,N(U1205)-R1205),""))</f>
        <v/>
      </c>
      <c r="Z1205" s="67" t="str">
        <f>IF(AND(A1205="",E1205=""),"",IF(A1205="","N° de bon manquant",IF(N(B1205)=0,"Date de commande manquante",IF(C1205="","Fournisseur manquant",IF(ISNA(MATCH($C1205,sup_code,0)),"Fournisseur inconnu",IF(E1205="","Article manquant",IF(ISNA(MATCH($E1205,art_ref,0)),"Article inconnu",IF(N(H1205)&lt;=0,"Quantité invalide",IF(J1205="","Prix manquant",IF(OR(N(K1205)&lt;0,N(K1205)&gt;=1),"Remise invalide",IF(M1205="","TVA manquante",IF(ISNA(MATCH(M1205,p_tva,0)),"Taux de TVA inconnu",IF(COUNTIFS(po_num,A1205,po_sup,"&lt;&gt;"&amp;C1205)&gt;0,"Fournisseur différent sur ce bon",IF(COUNTIFS(po_num,A1205,po_date,"&lt;&gt;"&amp;B1205)&gt;0,"Date différente sur ce bon",IF(COUNTIF(po_num,A1205)&gt;25,"Plus de 25 lignes sur ce bon",IF(R1205="","Date de livraison manquante",IF(R1205&lt;B1205,"Livraison avant la commande",IF(AND(N(T1205)&gt;0,N(S1205)=0),"Date d'envoi manquante",IF(N(T1205)&gt;N(H1205),"Reçu plus que commandé",IF(AND(N(T1205)&gt;0,N(U1205)=0),"Date de réception manquante",IF(AND(N(U1205)&gt;0,U1205&lt;B1205),"Réception avant la commande","OK")))))))))))))))))))))</f>
        <v/>
      </c>
      <c r="AA1205" s="66" t="str">
        <f>IF(AND(X1205="Reçu",ISNUMBER(R1205)),IF(N(U1205)&lt;=R1205,1,0),"")</f>
        <v/>
      </c>
      <c r="AB1205" s="76" t="str">
        <f>IF(OR(X1205="Envoyé",X1205="Partiel",X1205="En retard"),IF(ISNUMBER(R1205),R1205,100000)+ROW()/100000,"")</f>
        <v/>
      </c>
      <c r="AC1205" s="66" t="str">
        <f>IF(A1205="","",IF(COUNTIF($A$6:A1205,A1205)=1,1,""))</f>
        <v/>
      </c>
      <c r="AD1205" s="66" t="str">
        <f>IF(AC1205=1,COUNT($AC$6:AC1205),"")</f>
        <v/>
      </c>
      <c r="AE1205" s="66" t="str">
        <f>IFERROR(INDEX(po_num,MATCH(1200,po_seq,0))&amp;"","")</f>
        <v/>
      </c>
      <c r="AF1205" s="66" t="str">
        <f>IF(OR(A1205="",p_po=""),"",IF(A1205&amp;""=p_po,COUNTIF($A$6:A1205,A1205),""))</f>
        <v/>
      </c>
      <c r="AG1205" s="66" t="str">
        <f>IF(OR(AB1205="",A1205=""),"",IF(COUNTIFS($A$6:A1205,A1205,$AB$6:AB1205,"&gt;0")=1,1,""))</f>
        <v/>
      </c>
      <c r="AH1205" s="70" t="str">
        <f>IF(AB1205="","",ROUND(N(W1205)*N(J1205)*(1-N(K1205)),2))</f>
        <v/>
      </c>
      <c r="AI1205" s="70" t="str">
        <f>IF(OR(J1205="",N(T1205)&lt;=0,V1205="Oui"),"",ROUND(N(T1205)*J1205*(1-N(K1205)),2))</f>
        <v/>
      </c>
    </row>
    <row r="1206">
      <c r="A1206" s="63" t="n"/>
      <c r="B1206" s="64" t="n"/>
      <c r="C1206" s="65" t="n"/>
      <c r="D1206" s="66" t="str">
        <f>IF(C1206="","",IFERROR(INDEX(sup_name,MATCH($C1206,sup_code,0))&amp;"","Fournisseur inconnu"))</f>
        <v/>
      </c>
      <c r="E1206" s="63" t="n"/>
      <c r="F1206" s="66" t="str">
        <f>IF(E1206="","",IFERROR(INDEX(art_des,MATCH($E1206,art_ref,0))&amp;"","Article inconnu"))</f>
        <v/>
      </c>
      <c r="G1206" s="67" t="str">
        <f>IF(E1206="","",IFERROR(INDEX(art_unit,MATCH($E1206,art_ref,0))&amp;"",""))</f>
        <v/>
      </c>
      <c r="H1206" s="68" t="n"/>
      <c r="I1206" s="69" t="n"/>
      <c r="J1206" s="70" t="str">
        <f>IF(E1206="","",IF(ISNUMBER(I1206),I1206,IFERROR(IF(ISNUMBER(INDEX(art_price,MATCH($E1206,art_ref,0))),INDEX(art_price,MATCH($E1206,art_ref,0)),""),"")))</f>
        <v/>
      </c>
      <c r="K1206" s="71" t="n"/>
      <c r="L1206" s="72" t="n"/>
      <c r="M1206" s="72" t="str">
        <f>IF(E1206="","",IF(L1206&lt;&gt;"",L1206,IFERROR(IF(ISNUMBER(INDEX(art_tva,MATCH($E1206,art_ref,0))),INDEX(art_tva,MATCH($E1206,art_ref,0)),""),"")))</f>
        <v/>
      </c>
      <c r="N1206" s="70" t="str">
        <f>IF(OR(E1206="",J1206=""),"",ROUND(N(H1206)*J1206*(1-N(K1206)),2))</f>
        <v/>
      </c>
      <c r="O1206" s="70" t="str">
        <f>IF(OR(N1206="",NOT(ISNUMBER(M1206))),"",ROUND(N1206*M1206,2))</f>
        <v/>
      </c>
      <c r="P1206" s="70" t="str">
        <f>IF(N1206="","",N1206+N(O1206))</f>
        <v/>
      </c>
      <c r="Q1206" s="64" t="n"/>
      <c r="R1206" s="73" t="str">
        <f>IF(N(Q1206)&gt;0,Q1206,IF(OR(N(B1206)=0,ISNA(MATCH($C1206,sup_code,0))),"",IF(ISNUMBER(INDEX(sup_delay,MATCH($C1206,sup_code,0))),B1206+INDEX(sup_delay,MATCH($C1206,sup_code,0)),"")))</f>
        <v/>
      </c>
      <c r="S1206" s="64" t="n"/>
      <c r="T1206" s="68" t="n"/>
      <c r="U1206" s="64" t="n"/>
      <c r="V1206" s="65" t="n"/>
      <c r="W1206" s="74" t="str">
        <f>IF(AND(A1206="",E1206=""),"",IF(V1206="Oui",0,MAX(0,ROUND(N(H1206)-N(T1206),6))))</f>
        <v/>
      </c>
      <c r="X1206" s="67" t="str">
        <f>IF(AND(A1206="",E1206=""),"",IF(V1206="Oui","Annulé",IF(AND(N(H1206)&gt;0,N(T1206)&gt;=N(H1206)),"Reçu",IF(N(S1206)=0,"Brouillon",IF(AND(ISNUMBER(R1206),R1206&lt;p_today),"En retard",IF(N(T1206)&gt;0,"Partiel","Envoyé"))))))</f>
        <v/>
      </c>
      <c r="Y1206" s="75" t="str">
        <f>IF(X1206="En retard",p_today-R1206,IF(AND(X1206="Reçu",ISNUMBER(R1206)),MAX(0,N(U1206)-R1206),""))</f>
        <v/>
      </c>
      <c r="Z1206" s="67" t="str">
        <f>IF(AND(A1206="",E1206=""),"",IF(A1206="","N° de bon manquant",IF(N(B1206)=0,"Date de commande manquante",IF(C1206="","Fournisseur manquant",IF(ISNA(MATCH($C1206,sup_code,0)),"Fournisseur inconnu",IF(E1206="","Article manquant",IF(ISNA(MATCH($E1206,art_ref,0)),"Article inconnu",IF(N(H1206)&lt;=0,"Quantité invalide",IF(J1206="","Prix manquant",IF(OR(N(K1206)&lt;0,N(K1206)&gt;=1),"Remise invalide",IF(M1206="","TVA manquante",IF(ISNA(MATCH(M1206,p_tva,0)),"Taux de TVA inconnu",IF(COUNTIFS(po_num,A1206,po_sup,"&lt;&gt;"&amp;C1206)&gt;0,"Fournisseur différent sur ce bon",IF(COUNTIFS(po_num,A1206,po_date,"&lt;&gt;"&amp;B1206)&gt;0,"Date différente sur ce bon",IF(COUNTIF(po_num,A1206)&gt;25,"Plus de 25 lignes sur ce bon",IF(R1206="","Date de livraison manquante",IF(R1206&lt;B1206,"Livraison avant la commande",IF(AND(N(T1206)&gt;0,N(S1206)=0),"Date d'envoi manquante",IF(N(T1206)&gt;N(H1206),"Reçu plus que commandé",IF(AND(N(T1206)&gt;0,N(U1206)=0),"Date de réception manquante",IF(AND(N(U1206)&gt;0,U1206&lt;B1206),"Réception avant la commande","OK")))))))))))))))))))))</f>
        <v/>
      </c>
      <c r="AA1206" s="66" t="str">
        <f>IF(AND(X1206="Reçu",ISNUMBER(R1206)),IF(N(U1206)&lt;=R1206,1,0),"")</f>
        <v/>
      </c>
      <c r="AB1206" s="76" t="str">
        <f>IF(OR(X1206="Envoyé",X1206="Partiel",X1206="En retard"),IF(ISNUMBER(R1206),R1206,100000)+ROW()/100000,"")</f>
        <v/>
      </c>
      <c r="AC1206" s="66" t="str">
        <f>IF(A1206="","",IF(COUNTIF($A$6:A1206,A1206)=1,1,""))</f>
        <v/>
      </c>
      <c r="AD1206" s="66" t="str">
        <f>IF(AC1206=1,COUNT($AC$6:AC1206),"")</f>
        <v/>
      </c>
      <c r="AE1206" s="66" t="str">
        <f>IFERROR(INDEX(po_num,MATCH(1201,po_seq,0))&amp;"","")</f>
        <v/>
      </c>
      <c r="AF1206" s="66" t="str">
        <f>IF(OR(A1206="",p_po=""),"",IF(A1206&amp;""=p_po,COUNTIF($A$6:A1206,A1206),""))</f>
        <v/>
      </c>
      <c r="AG1206" s="66" t="str">
        <f>IF(OR(AB1206="",A1206=""),"",IF(COUNTIFS($A$6:A1206,A1206,$AB$6:AB1206,"&gt;0")=1,1,""))</f>
        <v/>
      </c>
      <c r="AH1206" s="70" t="str">
        <f>IF(AB1206="","",ROUND(N(W1206)*N(J1206)*(1-N(K1206)),2))</f>
        <v/>
      </c>
      <c r="AI1206" s="70" t="str">
        <f>IF(OR(J1206="",N(T1206)&lt;=0,V1206="Oui"),"",ROUND(N(T1206)*J1206*(1-N(K1206)),2))</f>
        <v/>
      </c>
    </row>
    <row r="1207">
      <c r="A1207" s="63" t="n"/>
      <c r="B1207" s="64" t="n"/>
      <c r="C1207" s="65" t="n"/>
      <c r="D1207" s="66" t="str">
        <f>IF(C1207="","",IFERROR(INDEX(sup_name,MATCH($C1207,sup_code,0))&amp;"","Fournisseur inconnu"))</f>
        <v/>
      </c>
      <c r="E1207" s="63" t="n"/>
      <c r="F1207" s="66" t="str">
        <f>IF(E1207="","",IFERROR(INDEX(art_des,MATCH($E1207,art_ref,0))&amp;"","Article inconnu"))</f>
        <v/>
      </c>
      <c r="G1207" s="67" t="str">
        <f>IF(E1207="","",IFERROR(INDEX(art_unit,MATCH($E1207,art_ref,0))&amp;"",""))</f>
        <v/>
      </c>
      <c r="H1207" s="68" t="n"/>
      <c r="I1207" s="69" t="n"/>
      <c r="J1207" s="70" t="str">
        <f>IF(E1207="","",IF(ISNUMBER(I1207),I1207,IFERROR(IF(ISNUMBER(INDEX(art_price,MATCH($E1207,art_ref,0))),INDEX(art_price,MATCH($E1207,art_ref,0)),""),"")))</f>
        <v/>
      </c>
      <c r="K1207" s="71" t="n"/>
      <c r="L1207" s="72" t="n"/>
      <c r="M1207" s="72" t="str">
        <f>IF(E1207="","",IF(L1207&lt;&gt;"",L1207,IFERROR(IF(ISNUMBER(INDEX(art_tva,MATCH($E1207,art_ref,0))),INDEX(art_tva,MATCH($E1207,art_ref,0)),""),"")))</f>
        <v/>
      </c>
      <c r="N1207" s="70" t="str">
        <f>IF(OR(E1207="",J1207=""),"",ROUND(N(H1207)*J1207*(1-N(K1207)),2))</f>
        <v/>
      </c>
      <c r="O1207" s="70" t="str">
        <f>IF(OR(N1207="",NOT(ISNUMBER(M1207))),"",ROUND(N1207*M1207,2))</f>
        <v/>
      </c>
      <c r="P1207" s="70" t="str">
        <f>IF(N1207="","",N1207+N(O1207))</f>
        <v/>
      </c>
      <c r="Q1207" s="64" t="n"/>
      <c r="R1207" s="73" t="str">
        <f>IF(N(Q1207)&gt;0,Q1207,IF(OR(N(B1207)=0,ISNA(MATCH($C1207,sup_code,0))),"",IF(ISNUMBER(INDEX(sup_delay,MATCH($C1207,sup_code,0))),B1207+INDEX(sup_delay,MATCH($C1207,sup_code,0)),"")))</f>
        <v/>
      </c>
      <c r="S1207" s="64" t="n"/>
      <c r="T1207" s="68" t="n"/>
      <c r="U1207" s="64" t="n"/>
      <c r="V1207" s="65" t="n"/>
      <c r="W1207" s="74" t="str">
        <f>IF(AND(A1207="",E1207=""),"",IF(V1207="Oui",0,MAX(0,ROUND(N(H1207)-N(T1207),6))))</f>
        <v/>
      </c>
      <c r="X1207" s="67" t="str">
        <f>IF(AND(A1207="",E1207=""),"",IF(V1207="Oui","Annulé",IF(AND(N(H1207)&gt;0,N(T1207)&gt;=N(H1207)),"Reçu",IF(N(S1207)=0,"Brouillon",IF(AND(ISNUMBER(R1207),R1207&lt;p_today),"En retard",IF(N(T1207)&gt;0,"Partiel","Envoyé"))))))</f>
        <v/>
      </c>
      <c r="Y1207" s="75" t="str">
        <f>IF(X1207="En retard",p_today-R1207,IF(AND(X1207="Reçu",ISNUMBER(R1207)),MAX(0,N(U1207)-R1207),""))</f>
        <v/>
      </c>
      <c r="Z1207" s="67" t="str">
        <f>IF(AND(A1207="",E1207=""),"",IF(A1207="","N° de bon manquant",IF(N(B1207)=0,"Date de commande manquante",IF(C1207="","Fournisseur manquant",IF(ISNA(MATCH($C1207,sup_code,0)),"Fournisseur inconnu",IF(E1207="","Article manquant",IF(ISNA(MATCH($E1207,art_ref,0)),"Article inconnu",IF(N(H1207)&lt;=0,"Quantité invalide",IF(J1207="","Prix manquant",IF(OR(N(K1207)&lt;0,N(K1207)&gt;=1),"Remise invalide",IF(M1207="","TVA manquante",IF(ISNA(MATCH(M1207,p_tva,0)),"Taux de TVA inconnu",IF(COUNTIFS(po_num,A1207,po_sup,"&lt;&gt;"&amp;C1207)&gt;0,"Fournisseur différent sur ce bon",IF(COUNTIFS(po_num,A1207,po_date,"&lt;&gt;"&amp;B1207)&gt;0,"Date différente sur ce bon",IF(COUNTIF(po_num,A1207)&gt;25,"Plus de 25 lignes sur ce bon",IF(R1207="","Date de livraison manquante",IF(R1207&lt;B1207,"Livraison avant la commande",IF(AND(N(T1207)&gt;0,N(S1207)=0),"Date d'envoi manquante",IF(N(T1207)&gt;N(H1207),"Reçu plus que commandé",IF(AND(N(T1207)&gt;0,N(U1207)=0),"Date de réception manquante",IF(AND(N(U1207)&gt;0,U1207&lt;B1207),"Réception avant la commande","OK")))))))))))))))))))))</f>
        <v/>
      </c>
      <c r="AA1207" s="66" t="str">
        <f>IF(AND(X1207="Reçu",ISNUMBER(R1207)),IF(N(U1207)&lt;=R1207,1,0),"")</f>
        <v/>
      </c>
      <c r="AB1207" s="76" t="str">
        <f>IF(OR(X1207="Envoyé",X1207="Partiel",X1207="En retard"),IF(ISNUMBER(R1207),R1207,100000)+ROW()/100000,"")</f>
        <v/>
      </c>
      <c r="AC1207" s="66" t="str">
        <f>IF(A1207="","",IF(COUNTIF($A$6:A1207,A1207)=1,1,""))</f>
        <v/>
      </c>
      <c r="AD1207" s="66" t="str">
        <f>IF(AC1207=1,COUNT($AC$6:AC1207),"")</f>
        <v/>
      </c>
      <c r="AE1207" s="66" t="str">
        <f>IFERROR(INDEX(po_num,MATCH(1202,po_seq,0))&amp;"","")</f>
        <v/>
      </c>
      <c r="AF1207" s="66" t="str">
        <f>IF(OR(A1207="",p_po=""),"",IF(A1207&amp;""=p_po,COUNTIF($A$6:A1207,A1207),""))</f>
        <v/>
      </c>
      <c r="AG1207" s="66" t="str">
        <f>IF(OR(AB1207="",A1207=""),"",IF(COUNTIFS($A$6:A1207,A1207,$AB$6:AB1207,"&gt;0")=1,1,""))</f>
        <v/>
      </c>
      <c r="AH1207" s="70" t="str">
        <f>IF(AB1207="","",ROUND(N(W1207)*N(J1207)*(1-N(K1207)),2))</f>
        <v/>
      </c>
      <c r="AI1207" s="70" t="str">
        <f>IF(OR(J1207="",N(T1207)&lt;=0,V1207="Oui"),"",ROUND(N(T1207)*J1207*(1-N(K1207)),2))</f>
        <v/>
      </c>
    </row>
    <row r="1208">
      <c r="A1208" s="63" t="n"/>
      <c r="B1208" s="64" t="n"/>
      <c r="C1208" s="65" t="n"/>
      <c r="D1208" s="66" t="str">
        <f>IF(C1208="","",IFERROR(INDEX(sup_name,MATCH($C1208,sup_code,0))&amp;"","Fournisseur inconnu"))</f>
        <v/>
      </c>
      <c r="E1208" s="63" t="n"/>
      <c r="F1208" s="66" t="str">
        <f>IF(E1208="","",IFERROR(INDEX(art_des,MATCH($E1208,art_ref,0))&amp;"","Article inconnu"))</f>
        <v/>
      </c>
      <c r="G1208" s="67" t="str">
        <f>IF(E1208="","",IFERROR(INDEX(art_unit,MATCH($E1208,art_ref,0))&amp;"",""))</f>
        <v/>
      </c>
      <c r="H1208" s="68" t="n"/>
      <c r="I1208" s="69" t="n"/>
      <c r="J1208" s="70" t="str">
        <f>IF(E1208="","",IF(ISNUMBER(I1208),I1208,IFERROR(IF(ISNUMBER(INDEX(art_price,MATCH($E1208,art_ref,0))),INDEX(art_price,MATCH($E1208,art_ref,0)),""),"")))</f>
        <v/>
      </c>
      <c r="K1208" s="71" t="n"/>
      <c r="L1208" s="72" t="n"/>
      <c r="M1208" s="72" t="str">
        <f>IF(E1208="","",IF(L1208&lt;&gt;"",L1208,IFERROR(IF(ISNUMBER(INDEX(art_tva,MATCH($E1208,art_ref,0))),INDEX(art_tva,MATCH($E1208,art_ref,0)),""),"")))</f>
        <v/>
      </c>
      <c r="N1208" s="70" t="str">
        <f>IF(OR(E1208="",J1208=""),"",ROUND(N(H1208)*J1208*(1-N(K1208)),2))</f>
        <v/>
      </c>
      <c r="O1208" s="70" t="str">
        <f>IF(OR(N1208="",NOT(ISNUMBER(M1208))),"",ROUND(N1208*M1208,2))</f>
        <v/>
      </c>
      <c r="P1208" s="70" t="str">
        <f>IF(N1208="","",N1208+N(O1208))</f>
        <v/>
      </c>
      <c r="Q1208" s="64" t="n"/>
      <c r="R1208" s="73" t="str">
        <f>IF(N(Q1208)&gt;0,Q1208,IF(OR(N(B1208)=0,ISNA(MATCH($C1208,sup_code,0))),"",IF(ISNUMBER(INDEX(sup_delay,MATCH($C1208,sup_code,0))),B1208+INDEX(sup_delay,MATCH($C1208,sup_code,0)),"")))</f>
        <v/>
      </c>
      <c r="S1208" s="64" t="n"/>
      <c r="T1208" s="68" t="n"/>
      <c r="U1208" s="64" t="n"/>
      <c r="V1208" s="65" t="n"/>
      <c r="W1208" s="74" t="str">
        <f>IF(AND(A1208="",E1208=""),"",IF(V1208="Oui",0,MAX(0,ROUND(N(H1208)-N(T1208),6))))</f>
        <v/>
      </c>
      <c r="X1208" s="67" t="str">
        <f>IF(AND(A1208="",E1208=""),"",IF(V1208="Oui","Annulé",IF(AND(N(H1208)&gt;0,N(T1208)&gt;=N(H1208)),"Reçu",IF(N(S1208)=0,"Brouillon",IF(AND(ISNUMBER(R1208),R1208&lt;p_today),"En retard",IF(N(T1208)&gt;0,"Partiel","Envoyé"))))))</f>
        <v/>
      </c>
      <c r="Y1208" s="75" t="str">
        <f>IF(X1208="En retard",p_today-R1208,IF(AND(X1208="Reçu",ISNUMBER(R1208)),MAX(0,N(U1208)-R1208),""))</f>
        <v/>
      </c>
      <c r="Z1208" s="67" t="str">
        <f>IF(AND(A1208="",E1208=""),"",IF(A1208="","N° de bon manquant",IF(N(B1208)=0,"Date de commande manquante",IF(C1208="","Fournisseur manquant",IF(ISNA(MATCH($C1208,sup_code,0)),"Fournisseur inconnu",IF(E1208="","Article manquant",IF(ISNA(MATCH($E1208,art_ref,0)),"Article inconnu",IF(N(H1208)&lt;=0,"Quantité invalide",IF(J1208="","Prix manquant",IF(OR(N(K1208)&lt;0,N(K1208)&gt;=1),"Remise invalide",IF(M1208="","TVA manquante",IF(ISNA(MATCH(M1208,p_tva,0)),"Taux de TVA inconnu",IF(COUNTIFS(po_num,A1208,po_sup,"&lt;&gt;"&amp;C1208)&gt;0,"Fournisseur différent sur ce bon",IF(COUNTIFS(po_num,A1208,po_date,"&lt;&gt;"&amp;B1208)&gt;0,"Date différente sur ce bon",IF(COUNTIF(po_num,A1208)&gt;25,"Plus de 25 lignes sur ce bon",IF(R1208="","Date de livraison manquante",IF(R1208&lt;B1208,"Livraison avant la commande",IF(AND(N(T1208)&gt;0,N(S1208)=0),"Date d'envoi manquante",IF(N(T1208)&gt;N(H1208),"Reçu plus que commandé",IF(AND(N(T1208)&gt;0,N(U1208)=0),"Date de réception manquante",IF(AND(N(U1208)&gt;0,U1208&lt;B1208),"Réception avant la commande","OK")))))))))))))))))))))</f>
        <v/>
      </c>
      <c r="AA1208" s="66" t="str">
        <f>IF(AND(X1208="Reçu",ISNUMBER(R1208)),IF(N(U1208)&lt;=R1208,1,0),"")</f>
        <v/>
      </c>
      <c r="AB1208" s="76" t="str">
        <f>IF(OR(X1208="Envoyé",X1208="Partiel",X1208="En retard"),IF(ISNUMBER(R1208),R1208,100000)+ROW()/100000,"")</f>
        <v/>
      </c>
      <c r="AC1208" s="66" t="str">
        <f>IF(A1208="","",IF(COUNTIF($A$6:A1208,A1208)=1,1,""))</f>
        <v/>
      </c>
      <c r="AD1208" s="66" t="str">
        <f>IF(AC1208=1,COUNT($AC$6:AC1208),"")</f>
        <v/>
      </c>
      <c r="AE1208" s="66" t="str">
        <f>IFERROR(INDEX(po_num,MATCH(1203,po_seq,0))&amp;"","")</f>
        <v/>
      </c>
      <c r="AF1208" s="66" t="str">
        <f>IF(OR(A1208="",p_po=""),"",IF(A1208&amp;""=p_po,COUNTIF($A$6:A1208,A1208),""))</f>
        <v/>
      </c>
      <c r="AG1208" s="66" t="str">
        <f>IF(OR(AB1208="",A1208=""),"",IF(COUNTIFS($A$6:A1208,A1208,$AB$6:AB1208,"&gt;0")=1,1,""))</f>
        <v/>
      </c>
      <c r="AH1208" s="70" t="str">
        <f>IF(AB1208="","",ROUND(N(W1208)*N(J1208)*(1-N(K1208)),2))</f>
        <v/>
      </c>
      <c r="AI1208" s="70" t="str">
        <f>IF(OR(J1208="",N(T1208)&lt;=0,V1208="Oui"),"",ROUND(N(T1208)*J1208*(1-N(K1208)),2))</f>
        <v/>
      </c>
    </row>
    <row r="1209">
      <c r="A1209" s="63" t="n"/>
      <c r="B1209" s="64" t="n"/>
      <c r="C1209" s="65" t="n"/>
      <c r="D1209" s="66" t="str">
        <f>IF(C1209="","",IFERROR(INDEX(sup_name,MATCH($C1209,sup_code,0))&amp;"","Fournisseur inconnu"))</f>
        <v/>
      </c>
      <c r="E1209" s="63" t="n"/>
      <c r="F1209" s="66" t="str">
        <f>IF(E1209="","",IFERROR(INDEX(art_des,MATCH($E1209,art_ref,0))&amp;"","Article inconnu"))</f>
        <v/>
      </c>
      <c r="G1209" s="67" t="str">
        <f>IF(E1209="","",IFERROR(INDEX(art_unit,MATCH($E1209,art_ref,0))&amp;"",""))</f>
        <v/>
      </c>
      <c r="H1209" s="68" t="n"/>
      <c r="I1209" s="69" t="n"/>
      <c r="J1209" s="70" t="str">
        <f>IF(E1209="","",IF(ISNUMBER(I1209),I1209,IFERROR(IF(ISNUMBER(INDEX(art_price,MATCH($E1209,art_ref,0))),INDEX(art_price,MATCH($E1209,art_ref,0)),""),"")))</f>
        <v/>
      </c>
      <c r="K1209" s="71" t="n"/>
      <c r="L1209" s="72" t="n"/>
      <c r="M1209" s="72" t="str">
        <f>IF(E1209="","",IF(L1209&lt;&gt;"",L1209,IFERROR(IF(ISNUMBER(INDEX(art_tva,MATCH($E1209,art_ref,0))),INDEX(art_tva,MATCH($E1209,art_ref,0)),""),"")))</f>
        <v/>
      </c>
      <c r="N1209" s="70" t="str">
        <f>IF(OR(E1209="",J1209=""),"",ROUND(N(H1209)*J1209*(1-N(K1209)),2))</f>
        <v/>
      </c>
      <c r="O1209" s="70" t="str">
        <f>IF(OR(N1209="",NOT(ISNUMBER(M1209))),"",ROUND(N1209*M1209,2))</f>
        <v/>
      </c>
      <c r="P1209" s="70" t="str">
        <f>IF(N1209="","",N1209+N(O1209))</f>
        <v/>
      </c>
      <c r="Q1209" s="64" t="n"/>
      <c r="R1209" s="73" t="str">
        <f>IF(N(Q1209)&gt;0,Q1209,IF(OR(N(B1209)=0,ISNA(MATCH($C1209,sup_code,0))),"",IF(ISNUMBER(INDEX(sup_delay,MATCH($C1209,sup_code,0))),B1209+INDEX(sup_delay,MATCH($C1209,sup_code,0)),"")))</f>
        <v/>
      </c>
      <c r="S1209" s="64" t="n"/>
      <c r="T1209" s="68" t="n"/>
      <c r="U1209" s="64" t="n"/>
      <c r="V1209" s="65" t="n"/>
      <c r="W1209" s="74" t="str">
        <f>IF(AND(A1209="",E1209=""),"",IF(V1209="Oui",0,MAX(0,ROUND(N(H1209)-N(T1209),6))))</f>
        <v/>
      </c>
      <c r="X1209" s="67" t="str">
        <f>IF(AND(A1209="",E1209=""),"",IF(V1209="Oui","Annulé",IF(AND(N(H1209)&gt;0,N(T1209)&gt;=N(H1209)),"Reçu",IF(N(S1209)=0,"Brouillon",IF(AND(ISNUMBER(R1209),R1209&lt;p_today),"En retard",IF(N(T1209)&gt;0,"Partiel","Envoyé"))))))</f>
        <v/>
      </c>
      <c r="Y1209" s="75" t="str">
        <f>IF(X1209="En retard",p_today-R1209,IF(AND(X1209="Reçu",ISNUMBER(R1209)),MAX(0,N(U1209)-R1209),""))</f>
        <v/>
      </c>
      <c r="Z1209" s="67" t="str">
        <f>IF(AND(A1209="",E1209=""),"",IF(A1209="","N° de bon manquant",IF(N(B1209)=0,"Date de commande manquante",IF(C1209="","Fournisseur manquant",IF(ISNA(MATCH($C1209,sup_code,0)),"Fournisseur inconnu",IF(E1209="","Article manquant",IF(ISNA(MATCH($E1209,art_ref,0)),"Article inconnu",IF(N(H1209)&lt;=0,"Quantité invalide",IF(J1209="","Prix manquant",IF(OR(N(K1209)&lt;0,N(K1209)&gt;=1),"Remise invalide",IF(M1209="","TVA manquante",IF(ISNA(MATCH(M1209,p_tva,0)),"Taux de TVA inconnu",IF(COUNTIFS(po_num,A1209,po_sup,"&lt;&gt;"&amp;C1209)&gt;0,"Fournisseur différent sur ce bon",IF(COUNTIFS(po_num,A1209,po_date,"&lt;&gt;"&amp;B1209)&gt;0,"Date différente sur ce bon",IF(COUNTIF(po_num,A1209)&gt;25,"Plus de 25 lignes sur ce bon",IF(R1209="","Date de livraison manquante",IF(R1209&lt;B1209,"Livraison avant la commande",IF(AND(N(T1209)&gt;0,N(S1209)=0),"Date d'envoi manquante",IF(N(T1209)&gt;N(H1209),"Reçu plus que commandé",IF(AND(N(T1209)&gt;0,N(U1209)=0),"Date de réception manquante",IF(AND(N(U1209)&gt;0,U1209&lt;B1209),"Réception avant la commande","OK")))))))))))))))))))))</f>
        <v/>
      </c>
      <c r="AA1209" s="66" t="str">
        <f>IF(AND(X1209="Reçu",ISNUMBER(R1209)),IF(N(U1209)&lt;=R1209,1,0),"")</f>
        <v/>
      </c>
      <c r="AB1209" s="76" t="str">
        <f>IF(OR(X1209="Envoyé",X1209="Partiel",X1209="En retard"),IF(ISNUMBER(R1209),R1209,100000)+ROW()/100000,"")</f>
        <v/>
      </c>
      <c r="AC1209" s="66" t="str">
        <f>IF(A1209="","",IF(COUNTIF($A$6:A1209,A1209)=1,1,""))</f>
        <v/>
      </c>
      <c r="AD1209" s="66" t="str">
        <f>IF(AC1209=1,COUNT($AC$6:AC1209),"")</f>
        <v/>
      </c>
      <c r="AE1209" s="66" t="str">
        <f>IFERROR(INDEX(po_num,MATCH(1204,po_seq,0))&amp;"","")</f>
        <v/>
      </c>
      <c r="AF1209" s="66" t="str">
        <f>IF(OR(A1209="",p_po=""),"",IF(A1209&amp;""=p_po,COUNTIF($A$6:A1209,A1209),""))</f>
        <v/>
      </c>
      <c r="AG1209" s="66" t="str">
        <f>IF(OR(AB1209="",A1209=""),"",IF(COUNTIFS($A$6:A1209,A1209,$AB$6:AB1209,"&gt;0")=1,1,""))</f>
        <v/>
      </c>
      <c r="AH1209" s="70" t="str">
        <f>IF(AB1209="","",ROUND(N(W1209)*N(J1209)*(1-N(K1209)),2))</f>
        <v/>
      </c>
      <c r="AI1209" s="70" t="str">
        <f>IF(OR(J1209="",N(T1209)&lt;=0,V1209="Oui"),"",ROUND(N(T1209)*J1209*(1-N(K1209)),2))</f>
        <v/>
      </c>
    </row>
    <row r="1210">
      <c r="A1210" s="63" t="n"/>
      <c r="B1210" s="64" t="n"/>
      <c r="C1210" s="65" t="n"/>
      <c r="D1210" s="66" t="str">
        <f>IF(C1210="","",IFERROR(INDEX(sup_name,MATCH($C1210,sup_code,0))&amp;"","Fournisseur inconnu"))</f>
        <v/>
      </c>
      <c r="E1210" s="63" t="n"/>
      <c r="F1210" s="66" t="str">
        <f>IF(E1210="","",IFERROR(INDEX(art_des,MATCH($E1210,art_ref,0))&amp;"","Article inconnu"))</f>
        <v/>
      </c>
      <c r="G1210" s="67" t="str">
        <f>IF(E1210="","",IFERROR(INDEX(art_unit,MATCH($E1210,art_ref,0))&amp;"",""))</f>
        <v/>
      </c>
      <c r="H1210" s="68" t="n"/>
      <c r="I1210" s="69" t="n"/>
      <c r="J1210" s="70" t="str">
        <f>IF(E1210="","",IF(ISNUMBER(I1210),I1210,IFERROR(IF(ISNUMBER(INDEX(art_price,MATCH($E1210,art_ref,0))),INDEX(art_price,MATCH($E1210,art_ref,0)),""),"")))</f>
        <v/>
      </c>
      <c r="K1210" s="71" t="n"/>
      <c r="L1210" s="72" t="n"/>
      <c r="M1210" s="72" t="str">
        <f>IF(E1210="","",IF(L1210&lt;&gt;"",L1210,IFERROR(IF(ISNUMBER(INDEX(art_tva,MATCH($E1210,art_ref,0))),INDEX(art_tva,MATCH($E1210,art_ref,0)),""),"")))</f>
        <v/>
      </c>
      <c r="N1210" s="70" t="str">
        <f>IF(OR(E1210="",J1210=""),"",ROUND(N(H1210)*J1210*(1-N(K1210)),2))</f>
        <v/>
      </c>
      <c r="O1210" s="70" t="str">
        <f>IF(OR(N1210="",NOT(ISNUMBER(M1210))),"",ROUND(N1210*M1210,2))</f>
        <v/>
      </c>
      <c r="P1210" s="70" t="str">
        <f>IF(N1210="","",N1210+N(O1210))</f>
        <v/>
      </c>
      <c r="Q1210" s="64" t="n"/>
      <c r="R1210" s="73" t="str">
        <f>IF(N(Q1210)&gt;0,Q1210,IF(OR(N(B1210)=0,ISNA(MATCH($C1210,sup_code,0))),"",IF(ISNUMBER(INDEX(sup_delay,MATCH($C1210,sup_code,0))),B1210+INDEX(sup_delay,MATCH($C1210,sup_code,0)),"")))</f>
        <v/>
      </c>
      <c r="S1210" s="64" t="n"/>
      <c r="T1210" s="68" t="n"/>
      <c r="U1210" s="64" t="n"/>
      <c r="V1210" s="65" t="n"/>
      <c r="W1210" s="74" t="str">
        <f>IF(AND(A1210="",E1210=""),"",IF(V1210="Oui",0,MAX(0,ROUND(N(H1210)-N(T1210),6))))</f>
        <v/>
      </c>
      <c r="X1210" s="67" t="str">
        <f>IF(AND(A1210="",E1210=""),"",IF(V1210="Oui","Annulé",IF(AND(N(H1210)&gt;0,N(T1210)&gt;=N(H1210)),"Reçu",IF(N(S1210)=0,"Brouillon",IF(AND(ISNUMBER(R1210),R1210&lt;p_today),"En retard",IF(N(T1210)&gt;0,"Partiel","Envoyé"))))))</f>
        <v/>
      </c>
      <c r="Y1210" s="75" t="str">
        <f>IF(X1210="En retard",p_today-R1210,IF(AND(X1210="Reçu",ISNUMBER(R1210)),MAX(0,N(U1210)-R1210),""))</f>
        <v/>
      </c>
      <c r="Z1210" s="67" t="str">
        <f>IF(AND(A1210="",E1210=""),"",IF(A1210="","N° de bon manquant",IF(N(B1210)=0,"Date de commande manquante",IF(C1210="","Fournisseur manquant",IF(ISNA(MATCH($C1210,sup_code,0)),"Fournisseur inconnu",IF(E1210="","Article manquant",IF(ISNA(MATCH($E1210,art_ref,0)),"Article inconnu",IF(N(H1210)&lt;=0,"Quantité invalide",IF(J1210="","Prix manquant",IF(OR(N(K1210)&lt;0,N(K1210)&gt;=1),"Remise invalide",IF(M1210="","TVA manquante",IF(ISNA(MATCH(M1210,p_tva,0)),"Taux de TVA inconnu",IF(COUNTIFS(po_num,A1210,po_sup,"&lt;&gt;"&amp;C1210)&gt;0,"Fournisseur différent sur ce bon",IF(COUNTIFS(po_num,A1210,po_date,"&lt;&gt;"&amp;B1210)&gt;0,"Date différente sur ce bon",IF(COUNTIF(po_num,A1210)&gt;25,"Plus de 25 lignes sur ce bon",IF(R1210="","Date de livraison manquante",IF(R1210&lt;B1210,"Livraison avant la commande",IF(AND(N(T1210)&gt;0,N(S1210)=0),"Date d'envoi manquante",IF(N(T1210)&gt;N(H1210),"Reçu plus que commandé",IF(AND(N(T1210)&gt;0,N(U1210)=0),"Date de réception manquante",IF(AND(N(U1210)&gt;0,U1210&lt;B1210),"Réception avant la commande","OK")))))))))))))))))))))</f>
        <v/>
      </c>
      <c r="AA1210" s="66" t="str">
        <f>IF(AND(X1210="Reçu",ISNUMBER(R1210)),IF(N(U1210)&lt;=R1210,1,0),"")</f>
        <v/>
      </c>
      <c r="AB1210" s="76" t="str">
        <f>IF(OR(X1210="Envoyé",X1210="Partiel",X1210="En retard"),IF(ISNUMBER(R1210),R1210,100000)+ROW()/100000,"")</f>
        <v/>
      </c>
      <c r="AC1210" s="66" t="str">
        <f>IF(A1210="","",IF(COUNTIF($A$6:A1210,A1210)=1,1,""))</f>
        <v/>
      </c>
      <c r="AD1210" s="66" t="str">
        <f>IF(AC1210=1,COUNT($AC$6:AC1210),"")</f>
        <v/>
      </c>
      <c r="AE1210" s="66" t="str">
        <f>IFERROR(INDEX(po_num,MATCH(1205,po_seq,0))&amp;"","")</f>
        <v/>
      </c>
      <c r="AF1210" s="66" t="str">
        <f>IF(OR(A1210="",p_po=""),"",IF(A1210&amp;""=p_po,COUNTIF($A$6:A1210,A1210),""))</f>
        <v/>
      </c>
      <c r="AG1210" s="66" t="str">
        <f>IF(OR(AB1210="",A1210=""),"",IF(COUNTIFS($A$6:A1210,A1210,$AB$6:AB1210,"&gt;0")=1,1,""))</f>
        <v/>
      </c>
      <c r="AH1210" s="70" t="str">
        <f>IF(AB1210="","",ROUND(N(W1210)*N(J1210)*(1-N(K1210)),2))</f>
        <v/>
      </c>
      <c r="AI1210" s="70" t="str">
        <f>IF(OR(J1210="",N(T1210)&lt;=0,V1210="Oui"),"",ROUND(N(T1210)*J1210*(1-N(K1210)),2))</f>
        <v/>
      </c>
    </row>
    <row r="1211">
      <c r="A1211" s="63" t="n"/>
      <c r="B1211" s="64" t="n"/>
      <c r="C1211" s="65" t="n"/>
      <c r="D1211" s="66" t="str">
        <f>IF(C1211="","",IFERROR(INDEX(sup_name,MATCH($C1211,sup_code,0))&amp;"","Fournisseur inconnu"))</f>
        <v/>
      </c>
      <c r="E1211" s="63" t="n"/>
      <c r="F1211" s="66" t="str">
        <f>IF(E1211="","",IFERROR(INDEX(art_des,MATCH($E1211,art_ref,0))&amp;"","Article inconnu"))</f>
        <v/>
      </c>
      <c r="G1211" s="67" t="str">
        <f>IF(E1211="","",IFERROR(INDEX(art_unit,MATCH($E1211,art_ref,0))&amp;"",""))</f>
        <v/>
      </c>
      <c r="H1211" s="68" t="n"/>
      <c r="I1211" s="69" t="n"/>
      <c r="J1211" s="70" t="str">
        <f>IF(E1211="","",IF(ISNUMBER(I1211),I1211,IFERROR(IF(ISNUMBER(INDEX(art_price,MATCH($E1211,art_ref,0))),INDEX(art_price,MATCH($E1211,art_ref,0)),""),"")))</f>
        <v/>
      </c>
      <c r="K1211" s="71" t="n"/>
      <c r="L1211" s="72" t="n"/>
      <c r="M1211" s="72" t="str">
        <f>IF(E1211="","",IF(L1211&lt;&gt;"",L1211,IFERROR(IF(ISNUMBER(INDEX(art_tva,MATCH($E1211,art_ref,0))),INDEX(art_tva,MATCH($E1211,art_ref,0)),""),"")))</f>
        <v/>
      </c>
      <c r="N1211" s="70" t="str">
        <f>IF(OR(E1211="",J1211=""),"",ROUND(N(H1211)*J1211*(1-N(K1211)),2))</f>
        <v/>
      </c>
      <c r="O1211" s="70" t="str">
        <f>IF(OR(N1211="",NOT(ISNUMBER(M1211))),"",ROUND(N1211*M1211,2))</f>
        <v/>
      </c>
      <c r="P1211" s="70" t="str">
        <f>IF(N1211="","",N1211+N(O1211))</f>
        <v/>
      </c>
      <c r="Q1211" s="64" t="n"/>
      <c r="R1211" s="73" t="str">
        <f>IF(N(Q1211)&gt;0,Q1211,IF(OR(N(B1211)=0,ISNA(MATCH($C1211,sup_code,0))),"",IF(ISNUMBER(INDEX(sup_delay,MATCH($C1211,sup_code,0))),B1211+INDEX(sup_delay,MATCH($C1211,sup_code,0)),"")))</f>
        <v/>
      </c>
      <c r="S1211" s="64" t="n"/>
      <c r="T1211" s="68" t="n"/>
      <c r="U1211" s="64" t="n"/>
      <c r="V1211" s="65" t="n"/>
      <c r="W1211" s="74" t="str">
        <f>IF(AND(A1211="",E1211=""),"",IF(V1211="Oui",0,MAX(0,ROUND(N(H1211)-N(T1211),6))))</f>
        <v/>
      </c>
      <c r="X1211" s="67" t="str">
        <f>IF(AND(A1211="",E1211=""),"",IF(V1211="Oui","Annulé",IF(AND(N(H1211)&gt;0,N(T1211)&gt;=N(H1211)),"Reçu",IF(N(S1211)=0,"Brouillon",IF(AND(ISNUMBER(R1211),R1211&lt;p_today),"En retard",IF(N(T1211)&gt;0,"Partiel","Envoyé"))))))</f>
        <v/>
      </c>
      <c r="Y1211" s="75" t="str">
        <f>IF(X1211="En retard",p_today-R1211,IF(AND(X1211="Reçu",ISNUMBER(R1211)),MAX(0,N(U1211)-R1211),""))</f>
        <v/>
      </c>
      <c r="Z1211" s="67" t="str">
        <f>IF(AND(A1211="",E1211=""),"",IF(A1211="","N° de bon manquant",IF(N(B1211)=0,"Date de commande manquante",IF(C1211="","Fournisseur manquant",IF(ISNA(MATCH($C1211,sup_code,0)),"Fournisseur inconnu",IF(E1211="","Article manquant",IF(ISNA(MATCH($E1211,art_ref,0)),"Article inconnu",IF(N(H1211)&lt;=0,"Quantité invalide",IF(J1211="","Prix manquant",IF(OR(N(K1211)&lt;0,N(K1211)&gt;=1),"Remise invalide",IF(M1211="","TVA manquante",IF(ISNA(MATCH(M1211,p_tva,0)),"Taux de TVA inconnu",IF(COUNTIFS(po_num,A1211,po_sup,"&lt;&gt;"&amp;C1211)&gt;0,"Fournisseur différent sur ce bon",IF(COUNTIFS(po_num,A1211,po_date,"&lt;&gt;"&amp;B1211)&gt;0,"Date différente sur ce bon",IF(COUNTIF(po_num,A1211)&gt;25,"Plus de 25 lignes sur ce bon",IF(R1211="","Date de livraison manquante",IF(R1211&lt;B1211,"Livraison avant la commande",IF(AND(N(T1211)&gt;0,N(S1211)=0),"Date d'envoi manquante",IF(N(T1211)&gt;N(H1211),"Reçu plus que commandé",IF(AND(N(T1211)&gt;0,N(U1211)=0),"Date de réception manquante",IF(AND(N(U1211)&gt;0,U1211&lt;B1211),"Réception avant la commande","OK")))))))))))))))))))))</f>
        <v/>
      </c>
      <c r="AA1211" s="66" t="str">
        <f>IF(AND(X1211="Reçu",ISNUMBER(R1211)),IF(N(U1211)&lt;=R1211,1,0),"")</f>
        <v/>
      </c>
      <c r="AB1211" s="76" t="str">
        <f>IF(OR(X1211="Envoyé",X1211="Partiel",X1211="En retard"),IF(ISNUMBER(R1211),R1211,100000)+ROW()/100000,"")</f>
        <v/>
      </c>
      <c r="AC1211" s="66" t="str">
        <f>IF(A1211="","",IF(COUNTIF($A$6:A1211,A1211)=1,1,""))</f>
        <v/>
      </c>
      <c r="AD1211" s="66" t="str">
        <f>IF(AC1211=1,COUNT($AC$6:AC1211),"")</f>
        <v/>
      </c>
      <c r="AE1211" s="66" t="str">
        <f>IFERROR(INDEX(po_num,MATCH(1206,po_seq,0))&amp;"","")</f>
        <v/>
      </c>
      <c r="AF1211" s="66" t="str">
        <f>IF(OR(A1211="",p_po=""),"",IF(A1211&amp;""=p_po,COUNTIF($A$6:A1211,A1211),""))</f>
        <v/>
      </c>
      <c r="AG1211" s="66" t="str">
        <f>IF(OR(AB1211="",A1211=""),"",IF(COUNTIFS($A$6:A1211,A1211,$AB$6:AB1211,"&gt;0")=1,1,""))</f>
        <v/>
      </c>
      <c r="AH1211" s="70" t="str">
        <f>IF(AB1211="","",ROUND(N(W1211)*N(J1211)*(1-N(K1211)),2))</f>
        <v/>
      </c>
      <c r="AI1211" s="70" t="str">
        <f>IF(OR(J1211="",N(T1211)&lt;=0,V1211="Oui"),"",ROUND(N(T1211)*J1211*(1-N(K1211)),2))</f>
        <v/>
      </c>
    </row>
    <row r="1212">
      <c r="A1212" s="63" t="n"/>
      <c r="B1212" s="64" t="n"/>
      <c r="C1212" s="65" t="n"/>
      <c r="D1212" s="66" t="str">
        <f>IF(C1212="","",IFERROR(INDEX(sup_name,MATCH($C1212,sup_code,0))&amp;"","Fournisseur inconnu"))</f>
        <v/>
      </c>
      <c r="E1212" s="63" t="n"/>
      <c r="F1212" s="66" t="str">
        <f>IF(E1212="","",IFERROR(INDEX(art_des,MATCH($E1212,art_ref,0))&amp;"","Article inconnu"))</f>
        <v/>
      </c>
      <c r="G1212" s="67" t="str">
        <f>IF(E1212="","",IFERROR(INDEX(art_unit,MATCH($E1212,art_ref,0))&amp;"",""))</f>
        <v/>
      </c>
      <c r="H1212" s="68" t="n"/>
      <c r="I1212" s="69" t="n"/>
      <c r="J1212" s="70" t="str">
        <f>IF(E1212="","",IF(ISNUMBER(I1212),I1212,IFERROR(IF(ISNUMBER(INDEX(art_price,MATCH($E1212,art_ref,0))),INDEX(art_price,MATCH($E1212,art_ref,0)),""),"")))</f>
        <v/>
      </c>
      <c r="K1212" s="71" t="n"/>
      <c r="L1212" s="72" t="n"/>
      <c r="M1212" s="72" t="str">
        <f>IF(E1212="","",IF(L1212&lt;&gt;"",L1212,IFERROR(IF(ISNUMBER(INDEX(art_tva,MATCH($E1212,art_ref,0))),INDEX(art_tva,MATCH($E1212,art_ref,0)),""),"")))</f>
        <v/>
      </c>
      <c r="N1212" s="70" t="str">
        <f>IF(OR(E1212="",J1212=""),"",ROUND(N(H1212)*J1212*(1-N(K1212)),2))</f>
        <v/>
      </c>
      <c r="O1212" s="70" t="str">
        <f>IF(OR(N1212="",NOT(ISNUMBER(M1212))),"",ROUND(N1212*M1212,2))</f>
        <v/>
      </c>
      <c r="P1212" s="70" t="str">
        <f>IF(N1212="","",N1212+N(O1212))</f>
        <v/>
      </c>
      <c r="Q1212" s="64" t="n"/>
      <c r="R1212" s="73" t="str">
        <f>IF(N(Q1212)&gt;0,Q1212,IF(OR(N(B1212)=0,ISNA(MATCH($C1212,sup_code,0))),"",IF(ISNUMBER(INDEX(sup_delay,MATCH($C1212,sup_code,0))),B1212+INDEX(sup_delay,MATCH($C1212,sup_code,0)),"")))</f>
        <v/>
      </c>
      <c r="S1212" s="64" t="n"/>
      <c r="T1212" s="68" t="n"/>
      <c r="U1212" s="64" t="n"/>
      <c r="V1212" s="65" t="n"/>
      <c r="W1212" s="74" t="str">
        <f>IF(AND(A1212="",E1212=""),"",IF(V1212="Oui",0,MAX(0,ROUND(N(H1212)-N(T1212),6))))</f>
        <v/>
      </c>
      <c r="X1212" s="67" t="str">
        <f>IF(AND(A1212="",E1212=""),"",IF(V1212="Oui","Annulé",IF(AND(N(H1212)&gt;0,N(T1212)&gt;=N(H1212)),"Reçu",IF(N(S1212)=0,"Brouillon",IF(AND(ISNUMBER(R1212),R1212&lt;p_today),"En retard",IF(N(T1212)&gt;0,"Partiel","Envoyé"))))))</f>
        <v/>
      </c>
      <c r="Y1212" s="75" t="str">
        <f>IF(X1212="En retard",p_today-R1212,IF(AND(X1212="Reçu",ISNUMBER(R1212)),MAX(0,N(U1212)-R1212),""))</f>
        <v/>
      </c>
      <c r="Z1212" s="67" t="str">
        <f>IF(AND(A1212="",E1212=""),"",IF(A1212="","N° de bon manquant",IF(N(B1212)=0,"Date de commande manquante",IF(C1212="","Fournisseur manquant",IF(ISNA(MATCH($C1212,sup_code,0)),"Fournisseur inconnu",IF(E1212="","Article manquant",IF(ISNA(MATCH($E1212,art_ref,0)),"Article inconnu",IF(N(H1212)&lt;=0,"Quantité invalide",IF(J1212="","Prix manquant",IF(OR(N(K1212)&lt;0,N(K1212)&gt;=1),"Remise invalide",IF(M1212="","TVA manquante",IF(ISNA(MATCH(M1212,p_tva,0)),"Taux de TVA inconnu",IF(COUNTIFS(po_num,A1212,po_sup,"&lt;&gt;"&amp;C1212)&gt;0,"Fournisseur différent sur ce bon",IF(COUNTIFS(po_num,A1212,po_date,"&lt;&gt;"&amp;B1212)&gt;0,"Date différente sur ce bon",IF(COUNTIF(po_num,A1212)&gt;25,"Plus de 25 lignes sur ce bon",IF(R1212="","Date de livraison manquante",IF(R1212&lt;B1212,"Livraison avant la commande",IF(AND(N(T1212)&gt;0,N(S1212)=0),"Date d'envoi manquante",IF(N(T1212)&gt;N(H1212),"Reçu plus que commandé",IF(AND(N(T1212)&gt;0,N(U1212)=0),"Date de réception manquante",IF(AND(N(U1212)&gt;0,U1212&lt;B1212),"Réception avant la commande","OK")))))))))))))))))))))</f>
        <v/>
      </c>
      <c r="AA1212" s="66" t="str">
        <f>IF(AND(X1212="Reçu",ISNUMBER(R1212)),IF(N(U1212)&lt;=R1212,1,0),"")</f>
        <v/>
      </c>
      <c r="AB1212" s="76" t="str">
        <f>IF(OR(X1212="Envoyé",X1212="Partiel",X1212="En retard"),IF(ISNUMBER(R1212),R1212,100000)+ROW()/100000,"")</f>
        <v/>
      </c>
      <c r="AC1212" s="66" t="str">
        <f>IF(A1212="","",IF(COUNTIF($A$6:A1212,A1212)=1,1,""))</f>
        <v/>
      </c>
      <c r="AD1212" s="66" t="str">
        <f>IF(AC1212=1,COUNT($AC$6:AC1212),"")</f>
        <v/>
      </c>
      <c r="AE1212" s="66" t="str">
        <f>IFERROR(INDEX(po_num,MATCH(1207,po_seq,0))&amp;"","")</f>
        <v/>
      </c>
      <c r="AF1212" s="66" t="str">
        <f>IF(OR(A1212="",p_po=""),"",IF(A1212&amp;""=p_po,COUNTIF($A$6:A1212,A1212),""))</f>
        <v/>
      </c>
      <c r="AG1212" s="66" t="str">
        <f>IF(OR(AB1212="",A1212=""),"",IF(COUNTIFS($A$6:A1212,A1212,$AB$6:AB1212,"&gt;0")=1,1,""))</f>
        <v/>
      </c>
      <c r="AH1212" s="70" t="str">
        <f>IF(AB1212="","",ROUND(N(W1212)*N(J1212)*(1-N(K1212)),2))</f>
        <v/>
      </c>
      <c r="AI1212" s="70" t="str">
        <f>IF(OR(J1212="",N(T1212)&lt;=0,V1212="Oui"),"",ROUND(N(T1212)*J1212*(1-N(K1212)),2))</f>
        <v/>
      </c>
    </row>
    <row r="1213">
      <c r="A1213" s="63" t="n"/>
      <c r="B1213" s="64" t="n"/>
      <c r="C1213" s="65" t="n"/>
      <c r="D1213" s="66" t="str">
        <f>IF(C1213="","",IFERROR(INDEX(sup_name,MATCH($C1213,sup_code,0))&amp;"","Fournisseur inconnu"))</f>
        <v/>
      </c>
      <c r="E1213" s="63" t="n"/>
      <c r="F1213" s="66" t="str">
        <f>IF(E1213="","",IFERROR(INDEX(art_des,MATCH($E1213,art_ref,0))&amp;"","Article inconnu"))</f>
        <v/>
      </c>
      <c r="G1213" s="67" t="str">
        <f>IF(E1213="","",IFERROR(INDEX(art_unit,MATCH($E1213,art_ref,0))&amp;"",""))</f>
        <v/>
      </c>
      <c r="H1213" s="68" t="n"/>
      <c r="I1213" s="69" t="n"/>
      <c r="J1213" s="70" t="str">
        <f>IF(E1213="","",IF(ISNUMBER(I1213),I1213,IFERROR(IF(ISNUMBER(INDEX(art_price,MATCH($E1213,art_ref,0))),INDEX(art_price,MATCH($E1213,art_ref,0)),""),"")))</f>
        <v/>
      </c>
      <c r="K1213" s="71" t="n"/>
      <c r="L1213" s="72" t="n"/>
      <c r="M1213" s="72" t="str">
        <f>IF(E1213="","",IF(L1213&lt;&gt;"",L1213,IFERROR(IF(ISNUMBER(INDEX(art_tva,MATCH($E1213,art_ref,0))),INDEX(art_tva,MATCH($E1213,art_ref,0)),""),"")))</f>
        <v/>
      </c>
      <c r="N1213" s="70" t="str">
        <f>IF(OR(E1213="",J1213=""),"",ROUND(N(H1213)*J1213*(1-N(K1213)),2))</f>
        <v/>
      </c>
      <c r="O1213" s="70" t="str">
        <f>IF(OR(N1213="",NOT(ISNUMBER(M1213))),"",ROUND(N1213*M1213,2))</f>
        <v/>
      </c>
      <c r="P1213" s="70" t="str">
        <f>IF(N1213="","",N1213+N(O1213))</f>
        <v/>
      </c>
      <c r="Q1213" s="64" t="n"/>
      <c r="R1213" s="73" t="str">
        <f>IF(N(Q1213)&gt;0,Q1213,IF(OR(N(B1213)=0,ISNA(MATCH($C1213,sup_code,0))),"",IF(ISNUMBER(INDEX(sup_delay,MATCH($C1213,sup_code,0))),B1213+INDEX(sup_delay,MATCH($C1213,sup_code,0)),"")))</f>
        <v/>
      </c>
      <c r="S1213" s="64" t="n"/>
      <c r="T1213" s="68" t="n"/>
      <c r="U1213" s="64" t="n"/>
      <c r="V1213" s="65" t="n"/>
      <c r="W1213" s="74" t="str">
        <f>IF(AND(A1213="",E1213=""),"",IF(V1213="Oui",0,MAX(0,ROUND(N(H1213)-N(T1213),6))))</f>
        <v/>
      </c>
      <c r="X1213" s="67" t="str">
        <f>IF(AND(A1213="",E1213=""),"",IF(V1213="Oui","Annulé",IF(AND(N(H1213)&gt;0,N(T1213)&gt;=N(H1213)),"Reçu",IF(N(S1213)=0,"Brouillon",IF(AND(ISNUMBER(R1213),R1213&lt;p_today),"En retard",IF(N(T1213)&gt;0,"Partiel","Envoyé"))))))</f>
        <v/>
      </c>
      <c r="Y1213" s="75" t="str">
        <f>IF(X1213="En retard",p_today-R1213,IF(AND(X1213="Reçu",ISNUMBER(R1213)),MAX(0,N(U1213)-R1213),""))</f>
        <v/>
      </c>
      <c r="Z1213" s="67" t="str">
        <f>IF(AND(A1213="",E1213=""),"",IF(A1213="","N° de bon manquant",IF(N(B1213)=0,"Date de commande manquante",IF(C1213="","Fournisseur manquant",IF(ISNA(MATCH($C1213,sup_code,0)),"Fournisseur inconnu",IF(E1213="","Article manquant",IF(ISNA(MATCH($E1213,art_ref,0)),"Article inconnu",IF(N(H1213)&lt;=0,"Quantité invalide",IF(J1213="","Prix manquant",IF(OR(N(K1213)&lt;0,N(K1213)&gt;=1),"Remise invalide",IF(M1213="","TVA manquante",IF(ISNA(MATCH(M1213,p_tva,0)),"Taux de TVA inconnu",IF(COUNTIFS(po_num,A1213,po_sup,"&lt;&gt;"&amp;C1213)&gt;0,"Fournisseur différent sur ce bon",IF(COUNTIFS(po_num,A1213,po_date,"&lt;&gt;"&amp;B1213)&gt;0,"Date différente sur ce bon",IF(COUNTIF(po_num,A1213)&gt;25,"Plus de 25 lignes sur ce bon",IF(R1213="","Date de livraison manquante",IF(R1213&lt;B1213,"Livraison avant la commande",IF(AND(N(T1213)&gt;0,N(S1213)=0),"Date d'envoi manquante",IF(N(T1213)&gt;N(H1213),"Reçu plus que commandé",IF(AND(N(T1213)&gt;0,N(U1213)=0),"Date de réception manquante",IF(AND(N(U1213)&gt;0,U1213&lt;B1213),"Réception avant la commande","OK")))))))))))))))))))))</f>
        <v/>
      </c>
      <c r="AA1213" s="66" t="str">
        <f>IF(AND(X1213="Reçu",ISNUMBER(R1213)),IF(N(U1213)&lt;=R1213,1,0),"")</f>
        <v/>
      </c>
      <c r="AB1213" s="76" t="str">
        <f>IF(OR(X1213="Envoyé",X1213="Partiel",X1213="En retard"),IF(ISNUMBER(R1213),R1213,100000)+ROW()/100000,"")</f>
        <v/>
      </c>
      <c r="AC1213" s="66" t="str">
        <f>IF(A1213="","",IF(COUNTIF($A$6:A1213,A1213)=1,1,""))</f>
        <v/>
      </c>
      <c r="AD1213" s="66" t="str">
        <f>IF(AC1213=1,COUNT($AC$6:AC1213),"")</f>
        <v/>
      </c>
      <c r="AE1213" s="66" t="str">
        <f>IFERROR(INDEX(po_num,MATCH(1208,po_seq,0))&amp;"","")</f>
        <v/>
      </c>
      <c r="AF1213" s="66" t="str">
        <f>IF(OR(A1213="",p_po=""),"",IF(A1213&amp;""=p_po,COUNTIF($A$6:A1213,A1213),""))</f>
        <v/>
      </c>
      <c r="AG1213" s="66" t="str">
        <f>IF(OR(AB1213="",A1213=""),"",IF(COUNTIFS($A$6:A1213,A1213,$AB$6:AB1213,"&gt;0")=1,1,""))</f>
        <v/>
      </c>
      <c r="AH1213" s="70" t="str">
        <f>IF(AB1213="","",ROUND(N(W1213)*N(J1213)*(1-N(K1213)),2))</f>
        <v/>
      </c>
      <c r="AI1213" s="70" t="str">
        <f>IF(OR(J1213="",N(T1213)&lt;=0,V1213="Oui"),"",ROUND(N(T1213)*J1213*(1-N(K1213)),2))</f>
        <v/>
      </c>
    </row>
    <row r="1214">
      <c r="A1214" s="63" t="n"/>
      <c r="B1214" s="64" t="n"/>
      <c r="C1214" s="65" t="n"/>
      <c r="D1214" s="66" t="str">
        <f>IF(C1214="","",IFERROR(INDEX(sup_name,MATCH($C1214,sup_code,0))&amp;"","Fournisseur inconnu"))</f>
        <v/>
      </c>
      <c r="E1214" s="63" t="n"/>
      <c r="F1214" s="66" t="str">
        <f>IF(E1214="","",IFERROR(INDEX(art_des,MATCH($E1214,art_ref,0))&amp;"","Article inconnu"))</f>
        <v/>
      </c>
      <c r="G1214" s="67" t="str">
        <f>IF(E1214="","",IFERROR(INDEX(art_unit,MATCH($E1214,art_ref,0))&amp;"",""))</f>
        <v/>
      </c>
      <c r="H1214" s="68" t="n"/>
      <c r="I1214" s="69" t="n"/>
      <c r="J1214" s="70" t="str">
        <f>IF(E1214="","",IF(ISNUMBER(I1214),I1214,IFERROR(IF(ISNUMBER(INDEX(art_price,MATCH($E1214,art_ref,0))),INDEX(art_price,MATCH($E1214,art_ref,0)),""),"")))</f>
        <v/>
      </c>
      <c r="K1214" s="71" t="n"/>
      <c r="L1214" s="72" t="n"/>
      <c r="M1214" s="72" t="str">
        <f>IF(E1214="","",IF(L1214&lt;&gt;"",L1214,IFERROR(IF(ISNUMBER(INDEX(art_tva,MATCH($E1214,art_ref,0))),INDEX(art_tva,MATCH($E1214,art_ref,0)),""),"")))</f>
        <v/>
      </c>
      <c r="N1214" s="70" t="str">
        <f>IF(OR(E1214="",J1214=""),"",ROUND(N(H1214)*J1214*(1-N(K1214)),2))</f>
        <v/>
      </c>
      <c r="O1214" s="70" t="str">
        <f>IF(OR(N1214="",NOT(ISNUMBER(M1214))),"",ROUND(N1214*M1214,2))</f>
        <v/>
      </c>
      <c r="P1214" s="70" t="str">
        <f>IF(N1214="","",N1214+N(O1214))</f>
        <v/>
      </c>
      <c r="Q1214" s="64" t="n"/>
      <c r="R1214" s="73" t="str">
        <f>IF(N(Q1214)&gt;0,Q1214,IF(OR(N(B1214)=0,ISNA(MATCH($C1214,sup_code,0))),"",IF(ISNUMBER(INDEX(sup_delay,MATCH($C1214,sup_code,0))),B1214+INDEX(sup_delay,MATCH($C1214,sup_code,0)),"")))</f>
        <v/>
      </c>
      <c r="S1214" s="64" t="n"/>
      <c r="T1214" s="68" t="n"/>
      <c r="U1214" s="64" t="n"/>
      <c r="V1214" s="65" t="n"/>
      <c r="W1214" s="74" t="str">
        <f>IF(AND(A1214="",E1214=""),"",IF(V1214="Oui",0,MAX(0,ROUND(N(H1214)-N(T1214),6))))</f>
        <v/>
      </c>
      <c r="X1214" s="67" t="str">
        <f>IF(AND(A1214="",E1214=""),"",IF(V1214="Oui","Annulé",IF(AND(N(H1214)&gt;0,N(T1214)&gt;=N(H1214)),"Reçu",IF(N(S1214)=0,"Brouillon",IF(AND(ISNUMBER(R1214),R1214&lt;p_today),"En retard",IF(N(T1214)&gt;0,"Partiel","Envoyé"))))))</f>
        <v/>
      </c>
      <c r="Y1214" s="75" t="str">
        <f>IF(X1214="En retard",p_today-R1214,IF(AND(X1214="Reçu",ISNUMBER(R1214)),MAX(0,N(U1214)-R1214),""))</f>
        <v/>
      </c>
      <c r="Z1214" s="67" t="str">
        <f>IF(AND(A1214="",E1214=""),"",IF(A1214="","N° de bon manquant",IF(N(B1214)=0,"Date de commande manquante",IF(C1214="","Fournisseur manquant",IF(ISNA(MATCH($C1214,sup_code,0)),"Fournisseur inconnu",IF(E1214="","Article manquant",IF(ISNA(MATCH($E1214,art_ref,0)),"Article inconnu",IF(N(H1214)&lt;=0,"Quantité invalide",IF(J1214="","Prix manquant",IF(OR(N(K1214)&lt;0,N(K1214)&gt;=1),"Remise invalide",IF(M1214="","TVA manquante",IF(ISNA(MATCH(M1214,p_tva,0)),"Taux de TVA inconnu",IF(COUNTIFS(po_num,A1214,po_sup,"&lt;&gt;"&amp;C1214)&gt;0,"Fournisseur différent sur ce bon",IF(COUNTIFS(po_num,A1214,po_date,"&lt;&gt;"&amp;B1214)&gt;0,"Date différente sur ce bon",IF(COUNTIF(po_num,A1214)&gt;25,"Plus de 25 lignes sur ce bon",IF(R1214="","Date de livraison manquante",IF(R1214&lt;B1214,"Livraison avant la commande",IF(AND(N(T1214)&gt;0,N(S1214)=0),"Date d'envoi manquante",IF(N(T1214)&gt;N(H1214),"Reçu plus que commandé",IF(AND(N(T1214)&gt;0,N(U1214)=0),"Date de réception manquante",IF(AND(N(U1214)&gt;0,U1214&lt;B1214),"Réception avant la commande","OK")))))))))))))))))))))</f>
        <v/>
      </c>
      <c r="AA1214" s="66" t="str">
        <f>IF(AND(X1214="Reçu",ISNUMBER(R1214)),IF(N(U1214)&lt;=R1214,1,0),"")</f>
        <v/>
      </c>
      <c r="AB1214" s="76" t="str">
        <f>IF(OR(X1214="Envoyé",X1214="Partiel",X1214="En retard"),IF(ISNUMBER(R1214),R1214,100000)+ROW()/100000,"")</f>
        <v/>
      </c>
      <c r="AC1214" s="66" t="str">
        <f>IF(A1214="","",IF(COUNTIF($A$6:A1214,A1214)=1,1,""))</f>
        <v/>
      </c>
      <c r="AD1214" s="66" t="str">
        <f>IF(AC1214=1,COUNT($AC$6:AC1214),"")</f>
        <v/>
      </c>
      <c r="AE1214" s="66" t="str">
        <f>IFERROR(INDEX(po_num,MATCH(1209,po_seq,0))&amp;"","")</f>
        <v/>
      </c>
      <c r="AF1214" s="66" t="str">
        <f>IF(OR(A1214="",p_po=""),"",IF(A1214&amp;""=p_po,COUNTIF($A$6:A1214,A1214),""))</f>
        <v/>
      </c>
      <c r="AG1214" s="66" t="str">
        <f>IF(OR(AB1214="",A1214=""),"",IF(COUNTIFS($A$6:A1214,A1214,$AB$6:AB1214,"&gt;0")=1,1,""))</f>
        <v/>
      </c>
      <c r="AH1214" s="70" t="str">
        <f>IF(AB1214="","",ROUND(N(W1214)*N(J1214)*(1-N(K1214)),2))</f>
        <v/>
      </c>
      <c r="AI1214" s="70" t="str">
        <f>IF(OR(J1214="",N(T1214)&lt;=0,V1214="Oui"),"",ROUND(N(T1214)*J1214*(1-N(K1214)),2))</f>
        <v/>
      </c>
    </row>
    <row r="1215">
      <c r="A1215" s="63" t="n"/>
      <c r="B1215" s="64" t="n"/>
      <c r="C1215" s="65" t="n"/>
      <c r="D1215" s="66" t="str">
        <f>IF(C1215="","",IFERROR(INDEX(sup_name,MATCH($C1215,sup_code,0))&amp;"","Fournisseur inconnu"))</f>
        <v/>
      </c>
      <c r="E1215" s="63" t="n"/>
      <c r="F1215" s="66" t="str">
        <f>IF(E1215="","",IFERROR(INDEX(art_des,MATCH($E1215,art_ref,0))&amp;"","Article inconnu"))</f>
        <v/>
      </c>
      <c r="G1215" s="67" t="str">
        <f>IF(E1215="","",IFERROR(INDEX(art_unit,MATCH($E1215,art_ref,0))&amp;"",""))</f>
        <v/>
      </c>
      <c r="H1215" s="68" t="n"/>
      <c r="I1215" s="69" t="n"/>
      <c r="J1215" s="70" t="str">
        <f>IF(E1215="","",IF(ISNUMBER(I1215),I1215,IFERROR(IF(ISNUMBER(INDEX(art_price,MATCH($E1215,art_ref,0))),INDEX(art_price,MATCH($E1215,art_ref,0)),""),"")))</f>
        <v/>
      </c>
      <c r="K1215" s="71" t="n"/>
      <c r="L1215" s="72" t="n"/>
      <c r="M1215" s="72" t="str">
        <f>IF(E1215="","",IF(L1215&lt;&gt;"",L1215,IFERROR(IF(ISNUMBER(INDEX(art_tva,MATCH($E1215,art_ref,0))),INDEX(art_tva,MATCH($E1215,art_ref,0)),""),"")))</f>
        <v/>
      </c>
      <c r="N1215" s="70" t="str">
        <f>IF(OR(E1215="",J1215=""),"",ROUND(N(H1215)*J1215*(1-N(K1215)),2))</f>
        <v/>
      </c>
      <c r="O1215" s="70" t="str">
        <f>IF(OR(N1215="",NOT(ISNUMBER(M1215))),"",ROUND(N1215*M1215,2))</f>
        <v/>
      </c>
      <c r="P1215" s="70" t="str">
        <f>IF(N1215="","",N1215+N(O1215))</f>
        <v/>
      </c>
      <c r="Q1215" s="64" t="n"/>
      <c r="R1215" s="73" t="str">
        <f>IF(N(Q1215)&gt;0,Q1215,IF(OR(N(B1215)=0,ISNA(MATCH($C1215,sup_code,0))),"",IF(ISNUMBER(INDEX(sup_delay,MATCH($C1215,sup_code,0))),B1215+INDEX(sup_delay,MATCH($C1215,sup_code,0)),"")))</f>
        <v/>
      </c>
      <c r="S1215" s="64" t="n"/>
      <c r="T1215" s="68" t="n"/>
      <c r="U1215" s="64" t="n"/>
      <c r="V1215" s="65" t="n"/>
      <c r="W1215" s="74" t="str">
        <f>IF(AND(A1215="",E1215=""),"",IF(V1215="Oui",0,MAX(0,ROUND(N(H1215)-N(T1215),6))))</f>
        <v/>
      </c>
      <c r="X1215" s="67" t="str">
        <f>IF(AND(A1215="",E1215=""),"",IF(V1215="Oui","Annulé",IF(AND(N(H1215)&gt;0,N(T1215)&gt;=N(H1215)),"Reçu",IF(N(S1215)=0,"Brouillon",IF(AND(ISNUMBER(R1215),R1215&lt;p_today),"En retard",IF(N(T1215)&gt;0,"Partiel","Envoyé"))))))</f>
        <v/>
      </c>
      <c r="Y1215" s="75" t="str">
        <f>IF(X1215="En retard",p_today-R1215,IF(AND(X1215="Reçu",ISNUMBER(R1215)),MAX(0,N(U1215)-R1215),""))</f>
        <v/>
      </c>
      <c r="Z1215" s="67" t="str">
        <f>IF(AND(A1215="",E1215=""),"",IF(A1215="","N° de bon manquant",IF(N(B1215)=0,"Date de commande manquante",IF(C1215="","Fournisseur manquant",IF(ISNA(MATCH($C1215,sup_code,0)),"Fournisseur inconnu",IF(E1215="","Article manquant",IF(ISNA(MATCH($E1215,art_ref,0)),"Article inconnu",IF(N(H1215)&lt;=0,"Quantité invalide",IF(J1215="","Prix manquant",IF(OR(N(K1215)&lt;0,N(K1215)&gt;=1),"Remise invalide",IF(M1215="","TVA manquante",IF(ISNA(MATCH(M1215,p_tva,0)),"Taux de TVA inconnu",IF(COUNTIFS(po_num,A1215,po_sup,"&lt;&gt;"&amp;C1215)&gt;0,"Fournisseur différent sur ce bon",IF(COUNTIFS(po_num,A1215,po_date,"&lt;&gt;"&amp;B1215)&gt;0,"Date différente sur ce bon",IF(COUNTIF(po_num,A1215)&gt;25,"Plus de 25 lignes sur ce bon",IF(R1215="","Date de livraison manquante",IF(R1215&lt;B1215,"Livraison avant la commande",IF(AND(N(T1215)&gt;0,N(S1215)=0),"Date d'envoi manquante",IF(N(T1215)&gt;N(H1215),"Reçu plus que commandé",IF(AND(N(T1215)&gt;0,N(U1215)=0),"Date de réception manquante",IF(AND(N(U1215)&gt;0,U1215&lt;B1215),"Réception avant la commande","OK")))))))))))))))))))))</f>
        <v/>
      </c>
      <c r="AA1215" s="66" t="str">
        <f>IF(AND(X1215="Reçu",ISNUMBER(R1215)),IF(N(U1215)&lt;=R1215,1,0),"")</f>
        <v/>
      </c>
      <c r="AB1215" s="76" t="str">
        <f>IF(OR(X1215="Envoyé",X1215="Partiel",X1215="En retard"),IF(ISNUMBER(R1215),R1215,100000)+ROW()/100000,"")</f>
        <v/>
      </c>
      <c r="AC1215" s="66" t="str">
        <f>IF(A1215="","",IF(COUNTIF($A$6:A1215,A1215)=1,1,""))</f>
        <v/>
      </c>
      <c r="AD1215" s="66" t="str">
        <f>IF(AC1215=1,COUNT($AC$6:AC1215),"")</f>
        <v/>
      </c>
      <c r="AE1215" s="66" t="str">
        <f>IFERROR(INDEX(po_num,MATCH(1210,po_seq,0))&amp;"","")</f>
        <v/>
      </c>
      <c r="AF1215" s="66" t="str">
        <f>IF(OR(A1215="",p_po=""),"",IF(A1215&amp;""=p_po,COUNTIF($A$6:A1215,A1215),""))</f>
        <v/>
      </c>
      <c r="AG1215" s="66" t="str">
        <f>IF(OR(AB1215="",A1215=""),"",IF(COUNTIFS($A$6:A1215,A1215,$AB$6:AB1215,"&gt;0")=1,1,""))</f>
        <v/>
      </c>
      <c r="AH1215" s="70" t="str">
        <f>IF(AB1215="","",ROUND(N(W1215)*N(J1215)*(1-N(K1215)),2))</f>
        <v/>
      </c>
      <c r="AI1215" s="70" t="str">
        <f>IF(OR(J1215="",N(T1215)&lt;=0,V1215="Oui"),"",ROUND(N(T1215)*J1215*(1-N(K1215)),2))</f>
        <v/>
      </c>
    </row>
    <row r="1216">
      <c r="A1216" s="63" t="n"/>
      <c r="B1216" s="64" t="n"/>
      <c r="C1216" s="65" t="n"/>
      <c r="D1216" s="66" t="str">
        <f>IF(C1216="","",IFERROR(INDEX(sup_name,MATCH($C1216,sup_code,0))&amp;"","Fournisseur inconnu"))</f>
        <v/>
      </c>
      <c r="E1216" s="63" t="n"/>
      <c r="F1216" s="66" t="str">
        <f>IF(E1216="","",IFERROR(INDEX(art_des,MATCH($E1216,art_ref,0))&amp;"","Article inconnu"))</f>
        <v/>
      </c>
      <c r="G1216" s="67" t="str">
        <f>IF(E1216="","",IFERROR(INDEX(art_unit,MATCH($E1216,art_ref,0))&amp;"",""))</f>
        <v/>
      </c>
      <c r="H1216" s="68" t="n"/>
      <c r="I1216" s="69" t="n"/>
      <c r="J1216" s="70" t="str">
        <f>IF(E1216="","",IF(ISNUMBER(I1216),I1216,IFERROR(IF(ISNUMBER(INDEX(art_price,MATCH($E1216,art_ref,0))),INDEX(art_price,MATCH($E1216,art_ref,0)),""),"")))</f>
        <v/>
      </c>
      <c r="K1216" s="71" t="n"/>
      <c r="L1216" s="72" t="n"/>
      <c r="M1216" s="72" t="str">
        <f>IF(E1216="","",IF(L1216&lt;&gt;"",L1216,IFERROR(IF(ISNUMBER(INDEX(art_tva,MATCH($E1216,art_ref,0))),INDEX(art_tva,MATCH($E1216,art_ref,0)),""),"")))</f>
        <v/>
      </c>
      <c r="N1216" s="70" t="str">
        <f>IF(OR(E1216="",J1216=""),"",ROUND(N(H1216)*J1216*(1-N(K1216)),2))</f>
        <v/>
      </c>
      <c r="O1216" s="70" t="str">
        <f>IF(OR(N1216="",NOT(ISNUMBER(M1216))),"",ROUND(N1216*M1216,2))</f>
        <v/>
      </c>
      <c r="P1216" s="70" t="str">
        <f>IF(N1216="","",N1216+N(O1216))</f>
        <v/>
      </c>
      <c r="Q1216" s="64" t="n"/>
      <c r="R1216" s="73" t="str">
        <f>IF(N(Q1216)&gt;0,Q1216,IF(OR(N(B1216)=0,ISNA(MATCH($C1216,sup_code,0))),"",IF(ISNUMBER(INDEX(sup_delay,MATCH($C1216,sup_code,0))),B1216+INDEX(sup_delay,MATCH($C1216,sup_code,0)),"")))</f>
        <v/>
      </c>
      <c r="S1216" s="64" t="n"/>
      <c r="T1216" s="68" t="n"/>
      <c r="U1216" s="64" t="n"/>
      <c r="V1216" s="65" t="n"/>
      <c r="W1216" s="74" t="str">
        <f>IF(AND(A1216="",E1216=""),"",IF(V1216="Oui",0,MAX(0,ROUND(N(H1216)-N(T1216),6))))</f>
        <v/>
      </c>
      <c r="X1216" s="67" t="str">
        <f>IF(AND(A1216="",E1216=""),"",IF(V1216="Oui","Annulé",IF(AND(N(H1216)&gt;0,N(T1216)&gt;=N(H1216)),"Reçu",IF(N(S1216)=0,"Brouillon",IF(AND(ISNUMBER(R1216),R1216&lt;p_today),"En retard",IF(N(T1216)&gt;0,"Partiel","Envoyé"))))))</f>
        <v/>
      </c>
      <c r="Y1216" s="75" t="str">
        <f>IF(X1216="En retard",p_today-R1216,IF(AND(X1216="Reçu",ISNUMBER(R1216)),MAX(0,N(U1216)-R1216),""))</f>
        <v/>
      </c>
      <c r="Z1216" s="67" t="str">
        <f>IF(AND(A1216="",E1216=""),"",IF(A1216="","N° de bon manquant",IF(N(B1216)=0,"Date de commande manquante",IF(C1216="","Fournisseur manquant",IF(ISNA(MATCH($C1216,sup_code,0)),"Fournisseur inconnu",IF(E1216="","Article manquant",IF(ISNA(MATCH($E1216,art_ref,0)),"Article inconnu",IF(N(H1216)&lt;=0,"Quantité invalide",IF(J1216="","Prix manquant",IF(OR(N(K1216)&lt;0,N(K1216)&gt;=1),"Remise invalide",IF(M1216="","TVA manquante",IF(ISNA(MATCH(M1216,p_tva,0)),"Taux de TVA inconnu",IF(COUNTIFS(po_num,A1216,po_sup,"&lt;&gt;"&amp;C1216)&gt;0,"Fournisseur différent sur ce bon",IF(COUNTIFS(po_num,A1216,po_date,"&lt;&gt;"&amp;B1216)&gt;0,"Date différente sur ce bon",IF(COUNTIF(po_num,A1216)&gt;25,"Plus de 25 lignes sur ce bon",IF(R1216="","Date de livraison manquante",IF(R1216&lt;B1216,"Livraison avant la commande",IF(AND(N(T1216)&gt;0,N(S1216)=0),"Date d'envoi manquante",IF(N(T1216)&gt;N(H1216),"Reçu plus que commandé",IF(AND(N(T1216)&gt;0,N(U1216)=0),"Date de réception manquante",IF(AND(N(U1216)&gt;0,U1216&lt;B1216),"Réception avant la commande","OK")))))))))))))))))))))</f>
        <v/>
      </c>
      <c r="AA1216" s="66" t="str">
        <f>IF(AND(X1216="Reçu",ISNUMBER(R1216)),IF(N(U1216)&lt;=R1216,1,0),"")</f>
        <v/>
      </c>
      <c r="AB1216" s="76" t="str">
        <f>IF(OR(X1216="Envoyé",X1216="Partiel",X1216="En retard"),IF(ISNUMBER(R1216),R1216,100000)+ROW()/100000,"")</f>
        <v/>
      </c>
      <c r="AC1216" s="66" t="str">
        <f>IF(A1216="","",IF(COUNTIF($A$6:A1216,A1216)=1,1,""))</f>
        <v/>
      </c>
      <c r="AD1216" s="66" t="str">
        <f>IF(AC1216=1,COUNT($AC$6:AC1216),"")</f>
        <v/>
      </c>
      <c r="AE1216" s="66" t="str">
        <f>IFERROR(INDEX(po_num,MATCH(1211,po_seq,0))&amp;"","")</f>
        <v/>
      </c>
      <c r="AF1216" s="66" t="str">
        <f>IF(OR(A1216="",p_po=""),"",IF(A1216&amp;""=p_po,COUNTIF($A$6:A1216,A1216),""))</f>
        <v/>
      </c>
      <c r="AG1216" s="66" t="str">
        <f>IF(OR(AB1216="",A1216=""),"",IF(COUNTIFS($A$6:A1216,A1216,$AB$6:AB1216,"&gt;0")=1,1,""))</f>
        <v/>
      </c>
      <c r="AH1216" s="70" t="str">
        <f>IF(AB1216="","",ROUND(N(W1216)*N(J1216)*(1-N(K1216)),2))</f>
        <v/>
      </c>
      <c r="AI1216" s="70" t="str">
        <f>IF(OR(J1216="",N(T1216)&lt;=0,V1216="Oui"),"",ROUND(N(T1216)*J1216*(1-N(K1216)),2))</f>
        <v/>
      </c>
    </row>
    <row r="1217">
      <c r="A1217" s="63" t="n"/>
      <c r="B1217" s="64" t="n"/>
      <c r="C1217" s="65" t="n"/>
      <c r="D1217" s="66" t="str">
        <f>IF(C1217="","",IFERROR(INDEX(sup_name,MATCH($C1217,sup_code,0))&amp;"","Fournisseur inconnu"))</f>
        <v/>
      </c>
      <c r="E1217" s="63" t="n"/>
      <c r="F1217" s="66" t="str">
        <f>IF(E1217="","",IFERROR(INDEX(art_des,MATCH($E1217,art_ref,0))&amp;"","Article inconnu"))</f>
        <v/>
      </c>
      <c r="G1217" s="67" t="str">
        <f>IF(E1217="","",IFERROR(INDEX(art_unit,MATCH($E1217,art_ref,0))&amp;"",""))</f>
        <v/>
      </c>
      <c r="H1217" s="68" t="n"/>
      <c r="I1217" s="69" t="n"/>
      <c r="J1217" s="70" t="str">
        <f>IF(E1217="","",IF(ISNUMBER(I1217),I1217,IFERROR(IF(ISNUMBER(INDEX(art_price,MATCH($E1217,art_ref,0))),INDEX(art_price,MATCH($E1217,art_ref,0)),""),"")))</f>
        <v/>
      </c>
      <c r="K1217" s="71" t="n"/>
      <c r="L1217" s="72" t="n"/>
      <c r="M1217" s="72" t="str">
        <f>IF(E1217="","",IF(L1217&lt;&gt;"",L1217,IFERROR(IF(ISNUMBER(INDEX(art_tva,MATCH($E1217,art_ref,0))),INDEX(art_tva,MATCH($E1217,art_ref,0)),""),"")))</f>
        <v/>
      </c>
      <c r="N1217" s="70" t="str">
        <f>IF(OR(E1217="",J1217=""),"",ROUND(N(H1217)*J1217*(1-N(K1217)),2))</f>
        <v/>
      </c>
      <c r="O1217" s="70" t="str">
        <f>IF(OR(N1217="",NOT(ISNUMBER(M1217))),"",ROUND(N1217*M1217,2))</f>
        <v/>
      </c>
      <c r="P1217" s="70" t="str">
        <f>IF(N1217="","",N1217+N(O1217))</f>
        <v/>
      </c>
      <c r="Q1217" s="64" t="n"/>
      <c r="R1217" s="73" t="str">
        <f>IF(N(Q1217)&gt;0,Q1217,IF(OR(N(B1217)=0,ISNA(MATCH($C1217,sup_code,0))),"",IF(ISNUMBER(INDEX(sup_delay,MATCH($C1217,sup_code,0))),B1217+INDEX(sup_delay,MATCH($C1217,sup_code,0)),"")))</f>
        <v/>
      </c>
      <c r="S1217" s="64" t="n"/>
      <c r="T1217" s="68" t="n"/>
      <c r="U1217" s="64" t="n"/>
      <c r="V1217" s="65" t="n"/>
      <c r="W1217" s="74" t="str">
        <f>IF(AND(A1217="",E1217=""),"",IF(V1217="Oui",0,MAX(0,ROUND(N(H1217)-N(T1217),6))))</f>
        <v/>
      </c>
      <c r="X1217" s="67" t="str">
        <f>IF(AND(A1217="",E1217=""),"",IF(V1217="Oui","Annulé",IF(AND(N(H1217)&gt;0,N(T1217)&gt;=N(H1217)),"Reçu",IF(N(S1217)=0,"Brouillon",IF(AND(ISNUMBER(R1217),R1217&lt;p_today),"En retard",IF(N(T1217)&gt;0,"Partiel","Envoyé"))))))</f>
        <v/>
      </c>
      <c r="Y1217" s="75" t="str">
        <f>IF(X1217="En retard",p_today-R1217,IF(AND(X1217="Reçu",ISNUMBER(R1217)),MAX(0,N(U1217)-R1217),""))</f>
        <v/>
      </c>
      <c r="Z1217" s="67" t="str">
        <f>IF(AND(A1217="",E1217=""),"",IF(A1217="","N° de bon manquant",IF(N(B1217)=0,"Date de commande manquante",IF(C1217="","Fournisseur manquant",IF(ISNA(MATCH($C1217,sup_code,0)),"Fournisseur inconnu",IF(E1217="","Article manquant",IF(ISNA(MATCH($E1217,art_ref,0)),"Article inconnu",IF(N(H1217)&lt;=0,"Quantité invalide",IF(J1217="","Prix manquant",IF(OR(N(K1217)&lt;0,N(K1217)&gt;=1),"Remise invalide",IF(M1217="","TVA manquante",IF(ISNA(MATCH(M1217,p_tva,0)),"Taux de TVA inconnu",IF(COUNTIFS(po_num,A1217,po_sup,"&lt;&gt;"&amp;C1217)&gt;0,"Fournisseur différent sur ce bon",IF(COUNTIFS(po_num,A1217,po_date,"&lt;&gt;"&amp;B1217)&gt;0,"Date différente sur ce bon",IF(COUNTIF(po_num,A1217)&gt;25,"Plus de 25 lignes sur ce bon",IF(R1217="","Date de livraison manquante",IF(R1217&lt;B1217,"Livraison avant la commande",IF(AND(N(T1217)&gt;0,N(S1217)=0),"Date d'envoi manquante",IF(N(T1217)&gt;N(H1217),"Reçu plus que commandé",IF(AND(N(T1217)&gt;0,N(U1217)=0),"Date de réception manquante",IF(AND(N(U1217)&gt;0,U1217&lt;B1217),"Réception avant la commande","OK")))))))))))))))))))))</f>
        <v/>
      </c>
      <c r="AA1217" s="66" t="str">
        <f>IF(AND(X1217="Reçu",ISNUMBER(R1217)),IF(N(U1217)&lt;=R1217,1,0),"")</f>
        <v/>
      </c>
      <c r="AB1217" s="76" t="str">
        <f>IF(OR(X1217="Envoyé",X1217="Partiel",X1217="En retard"),IF(ISNUMBER(R1217),R1217,100000)+ROW()/100000,"")</f>
        <v/>
      </c>
      <c r="AC1217" s="66" t="str">
        <f>IF(A1217="","",IF(COUNTIF($A$6:A1217,A1217)=1,1,""))</f>
        <v/>
      </c>
      <c r="AD1217" s="66" t="str">
        <f>IF(AC1217=1,COUNT($AC$6:AC1217),"")</f>
        <v/>
      </c>
      <c r="AE1217" s="66" t="str">
        <f>IFERROR(INDEX(po_num,MATCH(1212,po_seq,0))&amp;"","")</f>
        <v/>
      </c>
      <c r="AF1217" s="66" t="str">
        <f>IF(OR(A1217="",p_po=""),"",IF(A1217&amp;""=p_po,COUNTIF($A$6:A1217,A1217),""))</f>
        <v/>
      </c>
      <c r="AG1217" s="66" t="str">
        <f>IF(OR(AB1217="",A1217=""),"",IF(COUNTIFS($A$6:A1217,A1217,$AB$6:AB1217,"&gt;0")=1,1,""))</f>
        <v/>
      </c>
      <c r="AH1217" s="70" t="str">
        <f>IF(AB1217="","",ROUND(N(W1217)*N(J1217)*(1-N(K1217)),2))</f>
        <v/>
      </c>
      <c r="AI1217" s="70" t="str">
        <f>IF(OR(J1217="",N(T1217)&lt;=0,V1217="Oui"),"",ROUND(N(T1217)*J1217*(1-N(K1217)),2))</f>
        <v/>
      </c>
    </row>
    <row r="1218">
      <c r="A1218" s="63" t="n"/>
      <c r="B1218" s="64" t="n"/>
      <c r="C1218" s="65" t="n"/>
      <c r="D1218" s="66" t="str">
        <f>IF(C1218="","",IFERROR(INDEX(sup_name,MATCH($C1218,sup_code,0))&amp;"","Fournisseur inconnu"))</f>
        <v/>
      </c>
      <c r="E1218" s="63" t="n"/>
      <c r="F1218" s="66" t="str">
        <f>IF(E1218="","",IFERROR(INDEX(art_des,MATCH($E1218,art_ref,0))&amp;"","Article inconnu"))</f>
        <v/>
      </c>
      <c r="G1218" s="67" t="str">
        <f>IF(E1218="","",IFERROR(INDEX(art_unit,MATCH($E1218,art_ref,0))&amp;"",""))</f>
        <v/>
      </c>
      <c r="H1218" s="68" t="n"/>
      <c r="I1218" s="69" t="n"/>
      <c r="J1218" s="70" t="str">
        <f>IF(E1218="","",IF(ISNUMBER(I1218),I1218,IFERROR(IF(ISNUMBER(INDEX(art_price,MATCH($E1218,art_ref,0))),INDEX(art_price,MATCH($E1218,art_ref,0)),""),"")))</f>
        <v/>
      </c>
      <c r="K1218" s="71" t="n"/>
      <c r="L1218" s="72" t="n"/>
      <c r="M1218" s="72" t="str">
        <f>IF(E1218="","",IF(L1218&lt;&gt;"",L1218,IFERROR(IF(ISNUMBER(INDEX(art_tva,MATCH($E1218,art_ref,0))),INDEX(art_tva,MATCH($E1218,art_ref,0)),""),"")))</f>
        <v/>
      </c>
      <c r="N1218" s="70" t="str">
        <f>IF(OR(E1218="",J1218=""),"",ROUND(N(H1218)*J1218*(1-N(K1218)),2))</f>
        <v/>
      </c>
      <c r="O1218" s="70" t="str">
        <f>IF(OR(N1218="",NOT(ISNUMBER(M1218))),"",ROUND(N1218*M1218,2))</f>
        <v/>
      </c>
      <c r="P1218" s="70" t="str">
        <f>IF(N1218="","",N1218+N(O1218))</f>
        <v/>
      </c>
      <c r="Q1218" s="64" t="n"/>
      <c r="R1218" s="73" t="str">
        <f>IF(N(Q1218)&gt;0,Q1218,IF(OR(N(B1218)=0,ISNA(MATCH($C1218,sup_code,0))),"",IF(ISNUMBER(INDEX(sup_delay,MATCH($C1218,sup_code,0))),B1218+INDEX(sup_delay,MATCH($C1218,sup_code,0)),"")))</f>
        <v/>
      </c>
      <c r="S1218" s="64" t="n"/>
      <c r="T1218" s="68" t="n"/>
      <c r="U1218" s="64" t="n"/>
      <c r="V1218" s="65" t="n"/>
      <c r="W1218" s="74" t="str">
        <f>IF(AND(A1218="",E1218=""),"",IF(V1218="Oui",0,MAX(0,ROUND(N(H1218)-N(T1218),6))))</f>
        <v/>
      </c>
      <c r="X1218" s="67" t="str">
        <f>IF(AND(A1218="",E1218=""),"",IF(V1218="Oui","Annulé",IF(AND(N(H1218)&gt;0,N(T1218)&gt;=N(H1218)),"Reçu",IF(N(S1218)=0,"Brouillon",IF(AND(ISNUMBER(R1218),R1218&lt;p_today),"En retard",IF(N(T1218)&gt;0,"Partiel","Envoyé"))))))</f>
        <v/>
      </c>
      <c r="Y1218" s="75" t="str">
        <f>IF(X1218="En retard",p_today-R1218,IF(AND(X1218="Reçu",ISNUMBER(R1218)),MAX(0,N(U1218)-R1218),""))</f>
        <v/>
      </c>
      <c r="Z1218" s="67" t="str">
        <f>IF(AND(A1218="",E1218=""),"",IF(A1218="","N° de bon manquant",IF(N(B1218)=0,"Date de commande manquante",IF(C1218="","Fournisseur manquant",IF(ISNA(MATCH($C1218,sup_code,0)),"Fournisseur inconnu",IF(E1218="","Article manquant",IF(ISNA(MATCH($E1218,art_ref,0)),"Article inconnu",IF(N(H1218)&lt;=0,"Quantité invalide",IF(J1218="","Prix manquant",IF(OR(N(K1218)&lt;0,N(K1218)&gt;=1),"Remise invalide",IF(M1218="","TVA manquante",IF(ISNA(MATCH(M1218,p_tva,0)),"Taux de TVA inconnu",IF(COUNTIFS(po_num,A1218,po_sup,"&lt;&gt;"&amp;C1218)&gt;0,"Fournisseur différent sur ce bon",IF(COUNTIFS(po_num,A1218,po_date,"&lt;&gt;"&amp;B1218)&gt;0,"Date différente sur ce bon",IF(COUNTIF(po_num,A1218)&gt;25,"Plus de 25 lignes sur ce bon",IF(R1218="","Date de livraison manquante",IF(R1218&lt;B1218,"Livraison avant la commande",IF(AND(N(T1218)&gt;0,N(S1218)=0),"Date d'envoi manquante",IF(N(T1218)&gt;N(H1218),"Reçu plus que commandé",IF(AND(N(T1218)&gt;0,N(U1218)=0),"Date de réception manquante",IF(AND(N(U1218)&gt;0,U1218&lt;B1218),"Réception avant la commande","OK")))))))))))))))))))))</f>
        <v/>
      </c>
      <c r="AA1218" s="66" t="str">
        <f>IF(AND(X1218="Reçu",ISNUMBER(R1218)),IF(N(U1218)&lt;=R1218,1,0),"")</f>
        <v/>
      </c>
      <c r="AB1218" s="76" t="str">
        <f>IF(OR(X1218="Envoyé",X1218="Partiel",X1218="En retard"),IF(ISNUMBER(R1218),R1218,100000)+ROW()/100000,"")</f>
        <v/>
      </c>
      <c r="AC1218" s="66" t="str">
        <f>IF(A1218="","",IF(COUNTIF($A$6:A1218,A1218)=1,1,""))</f>
        <v/>
      </c>
      <c r="AD1218" s="66" t="str">
        <f>IF(AC1218=1,COUNT($AC$6:AC1218),"")</f>
        <v/>
      </c>
      <c r="AE1218" s="66" t="str">
        <f>IFERROR(INDEX(po_num,MATCH(1213,po_seq,0))&amp;"","")</f>
        <v/>
      </c>
      <c r="AF1218" s="66" t="str">
        <f>IF(OR(A1218="",p_po=""),"",IF(A1218&amp;""=p_po,COUNTIF($A$6:A1218,A1218),""))</f>
        <v/>
      </c>
      <c r="AG1218" s="66" t="str">
        <f>IF(OR(AB1218="",A1218=""),"",IF(COUNTIFS($A$6:A1218,A1218,$AB$6:AB1218,"&gt;0")=1,1,""))</f>
        <v/>
      </c>
      <c r="AH1218" s="70" t="str">
        <f>IF(AB1218="","",ROUND(N(W1218)*N(J1218)*(1-N(K1218)),2))</f>
        <v/>
      </c>
      <c r="AI1218" s="70" t="str">
        <f>IF(OR(J1218="",N(T1218)&lt;=0,V1218="Oui"),"",ROUND(N(T1218)*J1218*(1-N(K1218)),2))</f>
        <v/>
      </c>
    </row>
    <row r="1219">
      <c r="A1219" s="63" t="n"/>
      <c r="B1219" s="64" t="n"/>
      <c r="C1219" s="65" t="n"/>
      <c r="D1219" s="66" t="str">
        <f>IF(C1219="","",IFERROR(INDEX(sup_name,MATCH($C1219,sup_code,0))&amp;"","Fournisseur inconnu"))</f>
        <v/>
      </c>
      <c r="E1219" s="63" t="n"/>
      <c r="F1219" s="66" t="str">
        <f>IF(E1219="","",IFERROR(INDEX(art_des,MATCH($E1219,art_ref,0))&amp;"","Article inconnu"))</f>
        <v/>
      </c>
      <c r="G1219" s="67" t="str">
        <f>IF(E1219="","",IFERROR(INDEX(art_unit,MATCH($E1219,art_ref,0))&amp;"",""))</f>
        <v/>
      </c>
      <c r="H1219" s="68" t="n"/>
      <c r="I1219" s="69" t="n"/>
      <c r="J1219" s="70" t="str">
        <f>IF(E1219="","",IF(ISNUMBER(I1219),I1219,IFERROR(IF(ISNUMBER(INDEX(art_price,MATCH($E1219,art_ref,0))),INDEX(art_price,MATCH($E1219,art_ref,0)),""),"")))</f>
        <v/>
      </c>
      <c r="K1219" s="71" t="n"/>
      <c r="L1219" s="72" t="n"/>
      <c r="M1219" s="72" t="str">
        <f>IF(E1219="","",IF(L1219&lt;&gt;"",L1219,IFERROR(IF(ISNUMBER(INDEX(art_tva,MATCH($E1219,art_ref,0))),INDEX(art_tva,MATCH($E1219,art_ref,0)),""),"")))</f>
        <v/>
      </c>
      <c r="N1219" s="70" t="str">
        <f>IF(OR(E1219="",J1219=""),"",ROUND(N(H1219)*J1219*(1-N(K1219)),2))</f>
        <v/>
      </c>
      <c r="O1219" s="70" t="str">
        <f>IF(OR(N1219="",NOT(ISNUMBER(M1219))),"",ROUND(N1219*M1219,2))</f>
        <v/>
      </c>
      <c r="P1219" s="70" t="str">
        <f>IF(N1219="","",N1219+N(O1219))</f>
        <v/>
      </c>
      <c r="Q1219" s="64" t="n"/>
      <c r="R1219" s="73" t="str">
        <f>IF(N(Q1219)&gt;0,Q1219,IF(OR(N(B1219)=0,ISNA(MATCH($C1219,sup_code,0))),"",IF(ISNUMBER(INDEX(sup_delay,MATCH($C1219,sup_code,0))),B1219+INDEX(sup_delay,MATCH($C1219,sup_code,0)),"")))</f>
        <v/>
      </c>
      <c r="S1219" s="64" t="n"/>
      <c r="T1219" s="68" t="n"/>
      <c r="U1219" s="64" t="n"/>
      <c r="V1219" s="65" t="n"/>
      <c r="W1219" s="74" t="str">
        <f>IF(AND(A1219="",E1219=""),"",IF(V1219="Oui",0,MAX(0,ROUND(N(H1219)-N(T1219),6))))</f>
        <v/>
      </c>
      <c r="X1219" s="67" t="str">
        <f>IF(AND(A1219="",E1219=""),"",IF(V1219="Oui","Annulé",IF(AND(N(H1219)&gt;0,N(T1219)&gt;=N(H1219)),"Reçu",IF(N(S1219)=0,"Brouillon",IF(AND(ISNUMBER(R1219),R1219&lt;p_today),"En retard",IF(N(T1219)&gt;0,"Partiel","Envoyé"))))))</f>
        <v/>
      </c>
      <c r="Y1219" s="75" t="str">
        <f>IF(X1219="En retard",p_today-R1219,IF(AND(X1219="Reçu",ISNUMBER(R1219)),MAX(0,N(U1219)-R1219),""))</f>
        <v/>
      </c>
      <c r="Z1219" s="67" t="str">
        <f>IF(AND(A1219="",E1219=""),"",IF(A1219="","N° de bon manquant",IF(N(B1219)=0,"Date de commande manquante",IF(C1219="","Fournisseur manquant",IF(ISNA(MATCH($C1219,sup_code,0)),"Fournisseur inconnu",IF(E1219="","Article manquant",IF(ISNA(MATCH($E1219,art_ref,0)),"Article inconnu",IF(N(H1219)&lt;=0,"Quantité invalide",IF(J1219="","Prix manquant",IF(OR(N(K1219)&lt;0,N(K1219)&gt;=1),"Remise invalide",IF(M1219="","TVA manquante",IF(ISNA(MATCH(M1219,p_tva,0)),"Taux de TVA inconnu",IF(COUNTIFS(po_num,A1219,po_sup,"&lt;&gt;"&amp;C1219)&gt;0,"Fournisseur différent sur ce bon",IF(COUNTIFS(po_num,A1219,po_date,"&lt;&gt;"&amp;B1219)&gt;0,"Date différente sur ce bon",IF(COUNTIF(po_num,A1219)&gt;25,"Plus de 25 lignes sur ce bon",IF(R1219="","Date de livraison manquante",IF(R1219&lt;B1219,"Livraison avant la commande",IF(AND(N(T1219)&gt;0,N(S1219)=0),"Date d'envoi manquante",IF(N(T1219)&gt;N(H1219),"Reçu plus que commandé",IF(AND(N(T1219)&gt;0,N(U1219)=0),"Date de réception manquante",IF(AND(N(U1219)&gt;0,U1219&lt;B1219),"Réception avant la commande","OK")))))))))))))))))))))</f>
        <v/>
      </c>
      <c r="AA1219" s="66" t="str">
        <f>IF(AND(X1219="Reçu",ISNUMBER(R1219)),IF(N(U1219)&lt;=R1219,1,0),"")</f>
        <v/>
      </c>
      <c r="AB1219" s="76" t="str">
        <f>IF(OR(X1219="Envoyé",X1219="Partiel",X1219="En retard"),IF(ISNUMBER(R1219),R1219,100000)+ROW()/100000,"")</f>
        <v/>
      </c>
      <c r="AC1219" s="66" t="str">
        <f>IF(A1219="","",IF(COUNTIF($A$6:A1219,A1219)=1,1,""))</f>
        <v/>
      </c>
      <c r="AD1219" s="66" t="str">
        <f>IF(AC1219=1,COUNT($AC$6:AC1219),"")</f>
        <v/>
      </c>
      <c r="AE1219" s="66" t="str">
        <f>IFERROR(INDEX(po_num,MATCH(1214,po_seq,0))&amp;"","")</f>
        <v/>
      </c>
      <c r="AF1219" s="66" t="str">
        <f>IF(OR(A1219="",p_po=""),"",IF(A1219&amp;""=p_po,COUNTIF($A$6:A1219,A1219),""))</f>
        <v/>
      </c>
      <c r="AG1219" s="66" t="str">
        <f>IF(OR(AB1219="",A1219=""),"",IF(COUNTIFS($A$6:A1219,A1219,$AB$6:AB1219,"&gt;0")=1,1,""))</f>
        <v/>
      </c>
      <c r="AH1219" s="70" t="str">
        <f>IF(AB1219="","",ROUND(N(W1219)*N(J1219)*(1-N(K1219)),2))</f>
        <v/>
      </c>
      <c r="AI1219" s="70" t="str">
        <f>IF(OR(J1219="",N(T1219)&lt;=0,V1219="Oui"),"",ROUND(N(T1219)*J1219*(1-N(K1219)),2))</f>
        <v/>
      </c>
    </row>
    <row r="1220">
      <c r="A1220" s="63" t="n"/>
      <c r="B1220" s="64" t="n"/>
      <c r="C1220" s="65" t="n"/>
      <c r="D1220" s="66" t="str">
        <f>IF(C1220="","",IFERROR(INDEX(sup_name,MATCH($C1220,sup_code,0))&amp;"","Fournisseur inconnu"))</f>
        <v/>
      </c>
      <c r="E1220" s="63" t="n"/>
      <c r="F1220" s="66" t="str">
        <f>IF(E1220="","",IFERROR(INDEX(art_des,MATCH($E1220,art_ref,0))&amp;"","Article inconnu"))</f>
        <v/>
      </c>
      <c r="G1220" s="67" t="str">
        <f>IF(E1220="","",IFERROR(INDEX(art_unit,MATCH($E1220,art_ref,0))&amp;"",""))</f>
        <v/>
      </c>
      <c r="H1220" s="68" t="n"/>
      <c r="I1220" s="69" t="n"/>
      <c r="J1220" s="70" t="str">
        <f>IF(E1220="","",IF(ISNUMBER(I1220),I1220,IFERROR(IF(ISNUMBER(INDEX(art_price,MATCH($E1220,art_ref,0))),INDEX(art_price,MATCH($E1220,art_ref,0)),""),"")))</f>
        <v/>
      </c>
      <c r="K1220" s="71" t="n"/>
      <c r="L1220" s="72" t="n"/>
      <c r="M1220" s="72" t="str">
        <f>IF(E1220="","",IF(L1220&lt;&gt;"",L1220,IFERROR(IF(ISNUMBER(INDEX(art_tva,MATCH($E1220,art_ref,0))),INDEX(art_tva,MATCH($E1220,art_ref,0)),""),"")))</f>
        <v/>
      </c>
      <c r="N1220" s="70" t="str">
        <f>IF(OR(E1220="",J1220=""),"",ROUND(N(H1220)*J1220*(1-N(K1220)),2))</f>
        <v/>
      </c>
      <c r="O1220" s="70" t="str">
        <f>IF(OR(N1220="",NOT(ISNUMBER(M1220))),"",ROUND(N1220*M1220,2))</f>
        <v/>
      </c>
      <c r="P1220" s="70" t="str">
        <f>IF(N1220="","",N1220+N(O1220))</f>
        <v/>
      </c>
      <c r="Q1220" s="64" t="n"/>
      <c r="R1220" s="73" t="str">
        <f>IF(N(Q1220)&gt;0,Q1220,IF(OR(N(B1220)=0,ISNA(MATCH($C1220,sup_code,0))),"",IF(ISNUMBER(INDEX(sup_delay,MATCH($C1220,sup_code,0))),B1220+INDEX(sup_delay,MATCH($C1220,sup_code,0)),"")))</f>
        <v/>
      </c>
      <c r="S1220" s="64" t="n"/>
      <c r="T1220" s="68" t="n"/>
      <c r="U1220" s="64" t="n"/>
      <c r="V1220" s="65" t="n"/>
      <c r="W1220" s="74" t="str">
        <f>IF(AND(A1220="",E1220=""),"",IF(V1220="Oui",0,MAX(0,ROUND(N(H1220)-N(T1220),6))))</f>
        <v/>
      </c>
      <c r="X1220" s="67" t="str">
        <f>IF(AND(A1220="",E1220=""),"",IF(V1220="Oui","Annulé",IF(AND(N(H1220)&gt;0,N(T1220)&gt;=N(H1220)),"Reçu",IF(N(S1220)=0,"Brouillon",IF(AND(ISNUMBER(R1220),R1220&lt;p_today),"En retard",IF(N(T1220)&gt;0,"Partiel","Envoyé"))))))</f>
        <v/>
      </c>
      <c r="Y1220" s="75" t="str">
        <f>IF(X1220="En retard",p_today-R1220,IF(AND(X1220="Reçu",ISNUMBER(R1220)),MAX(0,N(U1220)-R1220),""))</f>
        <v/>
      </c>
      <c r="Z1220" s="67" t="str">
        <f>IF(AND(A1220="",E1220=""),"",IF(A1220="","N° de bon manquant",IF(N(B1220)=0,"Date de commande manquante",IF(C1220="","Fournisseur manquant",IF(ISNA(MATCH($C1220,sup_code,0)),"Fournisseur inconnu",IF(E1220="","Article manquant",IF(ISNA(MATCH($E1220,art_ref,0)),"Article inconnu",IF(N(H1220)&lt;=0,"Quantité invalide",IF(J1220="","Prix manquant",IF(OR(N(K1220)&lt;0,N(K1220)&gt;=1),"Remise invalide",IF(M1220="","TVA manquante",IF(ISNA(MATCH(M1220,p_tva,0)),"Taux de TVA inconnu",IF(COUNTIFS(po_num,A1220,po_sup,"&lt;&gt;"&amp;C1220)&gt;0,"Fournisseur différent sur ce bon",IF(COUNTIFS(po_num,A1220,po_date,"&lt;&gt;"&amp;B1220)&gt;0,"Date différente sur ce bon",IF(COUNTIF(po_num,A1220)&gt;25,"Plus de 25 lignes sur ce bon",IF(R1220="","Date de livraison manquante",IF(R1220&lt;B1220,"Livraison avant la commande",IF(AND(N(T1220)&gt;0,N(S1220)=0),"Date d'envoi manquante",IF(N(T1220)&gt;N(H1220),"Reçu plus que commandé",IF(AND(N(T1220)&gt;0,N(U1220)=0),"Date de réception manquante",IF(AND(N(U1220)&gt;0,U1220&lt;B1220),"Réception avant la commande","OK")))))))))))))))))))))</f>
        <v/>
      </c>
      <c r="AA1220" s="66" t="str">
        <f>IF(AND(X1220="Reçu",ISNUMBER(R1220)),IF(N(U1220)&lt;=R1220,1,0),"")</f>
        <v/>
      </c>
      <c r="AB1220" s="76" t="str">
        <f>IF(OR(X1220="Envoyé",X1220="Partiel",X1220="En retard"),IF(ISNUMBER(R1220),R1220,100000)+ROW()/100000,"")</f>
        <v/>
      </c>
      <c r="AC1220" s="66" t="str">
        <f>IF(A1220="","",IF(COUNTIF($A$6:A1220,A1220)=1,1,""))</f>
        <v/>
      </c>
      <c r="AD1220" s="66" t="str">
        <f>IF(AC1220=1,COUNT($AC$6:AC1220),"")</f>
        <v/>
      </c>
      <c r="AE1220" s="66" t="str">
        <f>IFERROR(INDEX(po_num,MATCH(1215,po_seq,0))&amp;"","")</f>
        <v/>
      </c>
      <c r="AF1220" s="66" t="str">
        <f>IF(OR(A1220="",p_po=""),"",IF(A1220&amp;""=p_po,COUNTIF($A$6:A1220,A1220),""))</f>
        <v/>
      </c>
      <c r="AG1220" s="66" t="str">
        <f>IF(OR(AB1220="",A1220=""),"",IF(COUNTIFS($A$6:A1220,A1220,$AB$6:AB1220,"&gt;0")=1,1,""))</f>
        <v/>
      </c>
      <c r="AH1220" s="70" t="str">
        <f>IF(AB1220="","",ROUND(N(W1220)*N(J1220)*(1-N(K1220)),2))</f>
        <v/>
      </c>
      <c r="AI1220" s="70" t="str">
        <f>IF(OR(J1220="",N(T1220)&lt;=0,V1220="Oui"),"",ROUND(N(T1220)*J1220*(1-N(K1220)),2))</f>
        <v/>
      </c>
    </row>
    <row r="1221">
      <c r="A1221" s="63" t="n"/>
      <c r="B1221" s="64" t="n"/>
      <c r="C1221" s="65" t="n"/>
      <c r="D1221" s="66" t="str">
        <f>IF(C1221="","",IFERROR(INDEX(sup_name,MATCH($C1221,sup_code,0))&amp;"","Fournisseur inconnu"))</f>
        <v/>
      </c>
      <c r="E1221" s="63" t="n"/>
      <c r="F1221" s="66" t="str">
        <f>IF(E1221="","",IFERROR(INDEX(art_des,MATCH($E1221,art_ref,0))&amp;"","Article inconnu"))</f>
        <v/>
      </c>
      <c r="G1221" s="67" t="str">
        <f>IF(E1221="","",IFERROR(INDEX(art_unit,MATCH($E1221,art_ref,0))&amp;"",""))</f>
        <v/>
      </c>
      <c r="H1221" s="68" t="n"/>
      <c r="I1221" s="69" t="n"/>
      <c r="J1221" s="70" t="str">
        <f>IF(E1221="","",IF(ISNUMBER(I1221),I1221,IFERROR(IF(ISNUMBER(INDEX(art_price,MATCH($E1221,art_ref,0))),INDEX(art_price,MATCH($E1221,art_ref,0)),""),"")))</f>
        <v/>
      </c>
      <c r="K1221" s="71" t="n"/>
      <c r="L1221" s="72" t="n"/>
      <c r="M1221" s="72" t="str">
        <f>IF(E1221="","",IF(L1221&lt;&gt;"",L1221,IFERROR(IF(ISNUMBER(INDEX(art_tva,MATCH($E1221,art_ref,0))),INDEX(art_tva,MATCH($E1221,art_ref,0)),""),"")))</f>
        <v/>
      </c>
      <c r="N1221" s="70" t="str">
        <f>IF(OR(E1221="",J1221=""),"",ROUND(N(H1221)*J1221*(1-N(K1221)),2))</f>
        <v/>
      </c>
      <c r="O1221" s="70" t="str">
        <f>IF(OR(N1221="",NOT(ISNUMBER(M1221))),"",ROUND(N1221*M1221,2))</f>
        <v/>
      </c>
      <c r="P1221" s="70" t="str">
        <f>IF(N1221="","",N1221+N(O1221))</f>
        <v/>
      </c>
      <c r="Q1221" s="64" t="n"/>
      <c r="R1221" s="73" t="str">
        <f>IF(N(Q1221)&gt;0,Q1221,IF(OR(N(B1221)=0,ISNA(MATCH($C1221,sup_code,0))),"",IF(ISNUMBER(INDEX(sup_delay,MATCH($C1221,sup_code,0))),B1221+INDEX(sup_delay,MATCH($C1221,sup_code,0)),"")))</f>
        <v/>
      </c>
      <c r="S1221" s="64" t="n"/>
      <c r="T1221" s="68" t="n"/>
      <c r="U1221" s="64" t="n"/>
      <c r="V1221" s="65" t="n"/>
      <c r="W1221" s="74" t="str">
        <f>IF(AND(A1221="",E1221=""),"",IF(V1221="Oui",0,MAX(0,ROUND(N(H1221)-N(T1221),6))))</f>
        <v/>
      </c>
      <c r="X1221" s="67" t="str">
        <f>IF(AND(A1221="",E1221=""),"",IF(V1221="Oui","Annulé",IF(AND(N(H1221)&gt;0,N(T1221)&gt;=N(H1221)),"Reçu",IF(N(S1221)=0,"Brouillon",IF(AND(ISNUMBER(R1221),R1221&lt;p_today),"En retard",IF(N(T1221)&gt;0,"Partiel","Envoyé"))))))</f>
        <v/>
      </c>
      <c r="Y1221" s="75" t="str">
        <f>IF(X1221="En retard",p_today-R1221,IF(AND(X1221="Reçu",ISNUMBER(R1221)),MAX(0,N(U1221)-R1221),""))</f>
        <v/>
      </c>
      <c r="Z1221" s="67" t="str">
        <f>IF(AND(A1221="",E1221=""),"",IF(A1221="","N° de bon manquant",IF(N(B1221)=0,"Date de commande manquante",IF(C1221="","Fournisseur manquant",IF(ISNA(MATCH($C1221,sup_code,0)),"Fournisseur inconnu",IF(E1221="","Article manquant",IF(ISNA(MATCH($E1221,art_ref,0)),"Article inconnu",IF(N(H1221)&lt;=0,"Quantité invalide",IF(J1221="","Prix manquant",IF(OR(N(K1221)&lt;0,N(K1221)&gt;=1),"Remise invalide",IF(M1221="","TVA manquante",IF(ISNA(MATCH(M1221,p_tva,0)),"Taux de TVA inconnu",IF(COUNTIFS(po_num,A1221,po_sup,"&lt;&gt;"&amp;C1221)&gt;0,"Fournisseur différent sur ce bon",IF(COUNTIFS(po_num,A1221,po_date,"&lt;&gt;"&amp;B1221)&gt;0,"Date différente sur ce bon",IF(COUNTIF(po_num,A1221)&gt;25,"Plus de 25 lignes sur ce bon",IF(R1221="","Date de livraison manquante",IF(R1221&lt;B1221,"Livraison avant la commande",IF(AND(N(T1221)&gt;0,N(S1221)=0),"Date d'envoi manquante",IF(N(T1221)&gt;N(H1221),"Reçu plus que commandé",IF(AND(N(T1221)&gt;0,N(U1221)=0),"Date de réception manquante",IF(AND(N(U1221)&gt;0,U1221&lt;B1221),"Réception avant la commande","OK")))))))))))))))))))))</f>
        <v/>
      </c>
      <c r="AA1221" s="66" t="str">
        <f>IF(AND(X1221="Reçu",ISNUMBER(R1221)),IF(N(U1221)&lt;=R1221,1,0),"")</f>
        <v/>
      </c>
      <c r="AB1221" s="76" t="str">
        <f>IF(OR(X1221="Envoyé",X1221="Partiel",X1221="En retard"),IF(ISNUMBER(R1221),R1221,100000)+ROW()/100000,"")</f>
        <v/>
      </c>
      <c r="AC1221" s="66" t="str">
        <f>IF(A1221="","",IF(COUNTIF($A$6:A1221,A1221)=1,1,""))</f>
        <v/>
      </c>
      <c r="AD1221" s="66" t="str">
        <f>IF(AC1221=1,COUNT($AC$6:AC1221),"")</f>
        <v/>
      </c>
      <c r="AE1221" s="66" t="str">
        <f>IFERROR(INDEX(po_num,MATCH(1216,po_seq,0))&amp;"","")</f>
        <v/>
      </c>
      <c r="AF1221" s="66" t="str">
        <f>IF(OR(A1221="",p_po=""),"",IF(A1221&amp;""=p_po,COUNTIF($A$6:A1221,A1221),""))</f>
        <v/>
      </c>
      <c r="AG1221" s="66" t="str">
        <f>IF(OR(AB1221="",A1221=""),"",IF(COUNTIFS($A$6:A1221,A1221,$AB$6:AB1221,"&gt;0")=1,1,""))</f>
        <v/>
      </c>
      <c r="AH1221" s="70" t="str">
        <f>IF(AB1221="","",ROUND(N(W1221)*N(J1221)*(1-N(K1221)),2))</f>
        <v/>
      </c>
      <c r="AI1221" s="70" t="str">
        <f>IF(OR(J1221="",N(T1221)&lt;=0,V1221="Oui"),"",ROUND(N(T1221)*J1221*(1-N(K1221)),2))</f>
        <v/>
      </c>
    </row>
    <row r="1222">
      <c r="A1222" s="63" t="n"/>
      <c r="B1222" s="64" t="n"/>
      <c r="C1222" s="65" t="n"/>
      <c r="D1222" s="66" t="str">
        <f>IF(C1222="","",IFERROR(INDEX(sup_name,MATCH($C1222,sup_code,0))&amp;"","Fournisseur inconnu"))</f>
        <v/>
      </c>
      <c r="E1222" s="63" t="n"/>
      <c r="F1222" s="66" t="str">
        <f>IF(E1222="","",IFERROR(INDEX(art_des,MATCH($E1222,art_ref,0))&amp;"","Article inconnu"))</f>
        <v/>
      </c>
      <c r="G1222" s="67" t="str">
        <f>IF(E1222="","",IFERROR(INDEX(art_unit,MATCH($E1222,art_ref,0))&amp;"",""))</f>
        <v/>
      </c>
      <c r="H1222" s="68" t="n"/>
      <c r="I1222" s="69" t="n"/>
      <c r="J1222" s="70" t="str">
        <f>IF(E1222="","",IF(ISNUMBER(I1222),I1222,IFERROR(IF(ISNUMBER(INDEX(art_price,MATCH($E1222,art_ref,0))),INDEX(art_price,MATCH($E1222,art_ref,0)),""),"")))</f>
        <v/>
      </c>
      <c r="K1222" s="71" t="n"/>
      <c r="L1222" s="72" t="n"/>
      <c r="M1222" s="72" t="str">
        <f>IF(E1222="","",IF(L1222&lt;&gt;"",L1222,IFERROR(IF(ISNUMBER(INDEX(art_tva,MATCH($E1222,art_ref,0))),INDEX(art_tva,MATCH($E1222,art_ref,0)),""),"")))</f>
        <v/>
      </c>
      <c r="N1222" s="70" t="str">
        <f>IF(OR(E1222="",J1222=""),"",ROUND(N(H1222)*J1222*(1-N(K1222)),2))</f>
        <v/>
      </c>
      <c r="O1222" s="70" t="str">
        <f>IF(OR(N1222="",NOT(ISNUMBER(M1222))),"",ROUND(N1222*M1222,2))</f>
        <v/>
      </c>
      <c r="P1222" s="70" t="str">
        <f>IF(N1222="","",N1222+N(O1222))</f>
        <v/>
      </c>
      <c r="Q1222" s="64" t="n"/>
      <c r="R1222" s="73" t="str">
        <f>IF(N(Q1222)&gt;0,Q1222,IF(OR(N(B1222)=0,ISNA(MATCH($C1222,sup_code,0))),"",IF(ISNUMBER(INDEX(sup_delay,MATCH($C1222,sup_code,0))),B1222+INDEX(sup_delay,MATCH($C1222,sup_code,0)),"")))</f>
        <v/>
      </c>
      <c r="S1222" s="64" t="n"/>
      <c r="T1222" s="68" t="n"/>
      <c r="U1222" s="64" t="n"/>
      <c r="V1222" s="65" t="n"/>
      <c r="W1222" s="74" t="str">
        <f>IF(AND(A1222="",E1222=""),"",IF(V1222="Oui",0,MAX(0,ROUND(N(H1222)-N(T1222),6))))</f>
        <v/>
      </c>
      <c r="X1222" s="67" t="str">
        <f>IF(AND(A1222="",E1222=""),"",IF(V1222="Oui","Annulé",IF(AND(N(H1222)&gt;0,N(T1222)&gt;=N(H1222)),"Reçu",IF(N(S1222)=0,"Brouillon",IF(AND(ISNUMBER(R1222),R1222&lt;p_today),"En retard",IF(N(T1222)&gt;0,"Partiel","Envoyé"))))))</f>
        <v/>
      </c>
      <c r="Y1222" s="75" t="str">
        <f>IF(X1222="En retard",p_today-R1222,IF(AND(X1222="Reçu",ISNUMBER(R1222)),MAX(0,N(U1222)-R1222),""))</f>
        <v/>
      </c>
      <c r="Z1222" s="67" t="str">
        <f>IF(AND(A1222="",E1222=""),"",IF(A1222="","N° de bon manquant",IF(N(B1222)=0,"Date de commande manquante",IF(C1222="","Fournisseur manquant",IF(ISNA(MATCH($C1222,sup_code,0)),"Fournisseur inconnu",IF(E1222="","Article manquant",IF(ISNA(MATCH($E1222,art_ref,0)),"Article inconnu",IF(N(H1222)&lt;=0,"Quantité invalide",IF(J1222="","Prix manquant",IF(OR(N(K1222)&lt;0,N(K1222)&gt;=1),"Remise invalide",IF(M1222="","TVA manquante",IF(ISNA(MATCH(M1222,p_tva,0)),"Taux de TVA inconnu",IF(COUNTIFS(po_num,A1222,po_sup,"&lt;&gt;"&amp;C1222)&gt;0,"Fournisseur différent sur ce bon",IF(COUNTIFS(po_num,A1222,po_date,"&lt;&gt;"&amp;B1222)&gt;0,"Date différente sur ce bon",IF(COUNTIF(po_num,A1222)&gt;25,"Plus de 25 lignes sur ce bon",IF(R1222="","Date de livraison manquante",IF(R1222&lt;B1222,"Livraison avant la commande",IF(AND(N(T1222)&gt;0,N(S1222)=0),"Date d'envoi manquante",IF(N(T1222)&gt;N(H1222),"Reçu plus que commandé",IF(AND(N(T1222)&gt;0,N(U1222)=0),"Date de réception manquante",IF(AND(N(U1222)&gt;0,U1222&lt;B1222),"Réception avant la commande","OK")))))))))))))))))))))</f>
        <v/>
      </c>
      <c r="AA1222" s="66" t="str">
        <f>IF(AND(X1222="Reçu",ISNUMBER(R1222)),IF(N(U1222)&lt;=R1222,1,0),"")</f>
        <v/>
      </c>
      <c r="AB1222" s="76" t="str">
        <f>IF(OR(X1222="Envoyé",X1222="Partiel",X1222="En retard"),IF(ISNUMBER(R1222),R1222,100000)+ROW()/100000,"")</f>
        <v/>
      </c>
      <c r="AC1222" s="66" t="str">
        <f>IF(A1222="","",IF(COUNTIF($A$6:A1222,A1222)=1,1,""))</f>
        <v/>
      </c>
      <c r="AD1222" s="66" t="str">
        <f>IF(AC1222=1,COUNT($AC$6:AC1222),"")</f>
        <v/>
      </c>
      <c r="AE1222" s="66" t="str">
        <f>IFERROR(INDEX(po_num,MATCH(1217,po_seq,0))&amp;"","")</f>
        <v/>
      </c>
      <c r="AF1222" s="66" t="str">
        <f>IF(OR(A1222="",p_po=""),"",IF(A1222&amp;""=p_po,COUNTIF($A$6:A1222,A1222),""))</f>
        <v/>
      </c>
      <c r="AG1222" s="66" t="str">
        <f>IF(OR(AB1222="",A1222=""),"",IF(COUNTIFS($A$6:A1222,A1222,$AB$6:AB1222,"&gt;0")=1,1,""))</f>
        <v/>
      </c>
      <c r="AH1222" s="70" t="str">
        <f>IF(AB1222="","",ROUND(N(W1222)*N(J1222)*(1-N(K1222)),2))</f>
        <v/>
      </c>
      <c r="AI1222" s="70" t="str">
        <f>IF(OR(J1222="",N(T1222)&lt;=0,V1222="Oui"),"",ROUND(N(T1222)*J1222*(1-N(K1222)),2))</f>
        <v/>
      </c>
    </row>
    <row r="1223">
      <c r="A1223" s="63" t="n"/>
      <c r="B1223" s="64" t="n"/>
      <c r="C1223" s="65" t="n"/>
      <c r="D1223" s="66" t="str">
        <f>IF(C1223="","",IFERROR(INDEX(sup_name,MATCH($C1223,sup_code,0))&amp;"","Fournisseur inconnu"))</f>
        <v/>
      </c>
      <c r="E1223" s="63" t="n"/>
      <c r="F1223" s="66" t="str">
        <f>IF(E1223="","",IFERROR(INDEX(art_des,MATCH($E1223,art_ref,0))&amp;"","Article inconnu"))</f>
        <v/>
      </c>
      <c r="G1223" s="67" t="str">
        <f>IF(E1223="","",IFERROR(INDEX(art_unit,MATCH($E1223,art_ref,0))&amp;"",""))</f>
        <v/>
      </c>
      <c r="H1223" s="68" t="n"/>
      <c r="I1223" s="69" t="n"/>
      <c r="J1223" s="70" t="str">
        <f>IF(E1223="","",IF(ISNUMBER(I1223),I1223,IFERROR(IF(ISNUMBER(INDEX(art_price,MATCH($E1223,art_ref,0))),INDEX(art_price,MATCH($E1223,art_ref,0)),""),"")))</f>
        <v/>
      </c>
      <c r="K1223" s="71" t="n"/>
      <c r="L1223" s="72" t="n"/>
      <c r="M1223" s="72" t="str">
        <f>IF(E1223="","",IF(L1223&lt;&gt;"",L1223,IFERROR(IF(ISNUMBER(INDEX(art_tva,MATCH($E1223,art_ref,0))),INDEX(art_tva,MATCH($E1223,art_ref,0)),""),"")))</f>
        <v/>
      </c>
      <c r="N1223" s="70" t="str">
        <f>IF(OR(E1223="",J1223=""),"",ROUND(N(H1223)*J1223*(1-N(K1223)),2))</f>
        <v/>
      </c>
      <c r="O1223" s="70" t="str">
        <f>IF(OR(N1223="",NOT(ISNUMBER(M1223))),"",ROUND(N1223*M1223,2))</f>
        <v/>
      </c>
      <c r="P1223" s="70" t="str">
        <f>IF(N1223="","",N1223+N(O1223))</f>
        <v/>
      </c>
      <c r="Q1223" s="64" t="n"/>
      <c r="R1223" s="73" t="str">
        <f>IF(N(Q1223)&gt;0,Q1223,IF(OR(N(B1223)=0,ISNA(MATCH($C1223,sup_code,0))),"",IF(ISNUMBER(INDEX(sup_delay,MATCH($C1223,sup_code,0))),B1223+INDEX(sup_delay,MATCH($C1223,sup_code,0)),"")))</f>
        <v/>
      </c>
      <c r="S1223" s="64" t="n"/>
      <c r="T1223" s="68" t="n"/>
      <c r="U1223" s="64" t="n"/>
      <c r="V1223" s="65" t="n"/>
      <c r="W1223" s="74" t="str">
        <f>IF(AND(A1223="",E1223=""),"",IF(V1223="Oui",0,MAX(0,ROUND(N(H1223)-N(T1223),6))))</f>
        <v/>
      </c>
      <c r="X1223" s="67" t="str">
        <f>IF(AND(A1223="",E1223=""),"",IF(V1223="Oui","Annulé",IF(AND(N(H1223)&gt;0,N(T1223)&gt;=N(H1223)),"Reçu",IF(N(S1223)=0,"Brouillon",IF(AND(ISNUMBER(R1223),R1223&lt;p_today),"En retard",IF(N(T1223)&gt;0,"Partiel","Envoyé"))))))</f>
        <v/>
      </c>
      <c r="Y1223" s="75" t="str">
        <f>IF(X1223="En retard",p_today-R1223,IF(AND(X1223="Reçu",ISNUMBER(R1223)),MAX(0,N(U1223)-R1223),""))</f>
        <v/>
      </c>
      <c r="Z1223" s="67" t="str">
        <f>IF(AND(A1223="",E1223=""),"",IF(A1223="","N° de bon manquant",IF(N(B1223)=0,"Date de commande manquante",IF(C1223="","Fournisseur manquant",IF(ISNA(MATCH($C1223,sup_code,0)),"Fournisseur inconnu",IF(E1223="","Article manquant",IF(ISNA(MATCH($E1223,art_ref,0)),"Article inconnu",IF(N(H1223)&lt;=0,"Quantité invalide",IF(J1223="","Prix manquant",IF(OR(N(K1223)&lt;0,N(K1223)&gt;=1),"Remise invalide",IF(M1223="","TVA manquante",IF(ISNA(MATCH(M1223,p_tva,0)),"Taux de TVA inconnu",IF(COUNTIFS(po_num,A1223,po_sup,"&lt;&gt;"&amp;C1223)&gt;0,"Fournisseur différent sur ce bon",IF(COUNTIFS(po_num,A1223,po_date,"&lt;&gt;"&amp;B1223)&gt;0,"Date différente sur ce bon",IF(COUNTIF(po_num,A1223)&gt;25,"Plus de 25 lignes sur ce bon",IF(R1223="","Date de livraison manquante",IF(R1223&lt;B1223,"Livraison avant la commande",IF(AND(N(T1223)&gt;0,N(S1223)=0),"Date d'envoi manquante",IF(N(T1223)&gt;N(H1223),"Reçu plus que commandé",IF(AND(N(T1223)&gt;0,N(U1223)=0),"Date de réception manquante",IF(AND(N(U1223)&gt;0,U1223&lt;B1223),"Réception avant la commande","OK")))))))))))))))))))))</f>
        <v/>
      </c>
      <c r="AA1223" s="66" t="str">
        <f>IF(AND(X1223="Reçu",ISNUMBER(R1223)),IF(N(U1223)&lt;=R1223,1,0),"")</f>
        <v/>
      </c>
      <c r="AB1223" s="76" t="str">
        <f>IF(OR(X1223="Envoyé",X1223="Partiel",X1223="En retard"),IF(ISNUMBER(R1223),R1223,100000)+ROW()/100000,"")</f>
        <v/>
      </c>
      <c r="AC1223" s="66" t="str">
        <f>IF(A1223="","",IF(COUNTIF($A$6:A1223,A1223)=1,1,""))</f>
        <v/>
      </c>
      <c r="AD1223" s="66" t="str">
        <f>IF(AC1223=1,COUNT($AC$6:AC1223),"")</f>
        <v/>
      </c>
      <c r="AE1223" s="66" t="str">
        <f>IFERROR(INDEX(po_num,MATCH(1218,po_seq,0))&amp;"","")</f>
        <v/>
      </c>
      <c r="AF1223" s="66" t="str">
        <f>IF(OR(A1223="",p_po=""),"",IF(A1223&amp;""=p_po,COUNTIF($A$6:A1223,A1223),""))</f>
        <v/>
      </c>
      <c r="AG1223" s="66" t="str">
        <f>IF(OR(AB1223="",A1223=""),"",IF(COUNTIFS($A$6:A1223,A1223,$AB$6:AB1223,"&gt;0")=1,1,""))</f>
        <v/>
      </c>
      <c r="AH1223" s="70" t="str">
        <f>IF(AB1223="","",ROUND(N(W1223)*N(J1223)*(1-N(K1223)),2))</f>
        <v/>
      </c>
      <c r="AI1223" s="70" t="str">
        <f>IF(OR(J1223="",N(T1223)&lt;=0,V1223="Oui"),"",ROUND(N(T1223)*J1223*(1-N(K1223)),2))</f>
        <v/>
      </c>
    </row>
    <row r="1224">
      <c r="A1224" s="63" t="n"/>
      <c r="B1224" s="64" t="n"/>
      <c r="C1224" s="65" t="n"/>
      <c r="D1224" s="66" t="str">
        <f>IF(C1224="","",IFERROR(INDEX(sup_name,MATCH($C1224,sup_code,0))&amp;"","Fournisseur inconnu"))</f>
        <v/>
      </c>
      <c r="E1224" s="63" t="n"/>
      <c r="F1224" s="66" t="str">
        <f>IF(E1224="","",IFERROR(INDEX(art_des,MATCH($E1224,art_ref,0))&amp;"","Article inconnu"))</f>
        <v/>
      </c>
      <c r="G1224" s="67" t="str">
        <f>IF(E1224="","",IFERROR(INDEX(art_unit,MATCH($E1224,art_ref,0))&amp;"",""))</f>
        <v/>
      </c>
      <c r="H1224" s="68" t="n"/>
      <c r="I1224" s="69" t="n"/>
      <c r="J1224" s="70" t="str">
        <f>IF(E1224="","",IF(ISNUMBER(I1224),I1224,IFERROR(IF(ISNUMBER(INDEX(art_price,MATCH($E1224,art_ref,0))),INDEX(art_price,MATCH($E1224,art_ref,0)),""),"")))</f>
        <v/>
      </c>
      <c r="K1224" s="71" t="n"/>
      <c r="L1224" s="72" t="n"/>
      <c r="M1224" s="72" t="str">
        <f>IF(E1224="","",IF(L1224&lt;&gt;"",L1224,IFERROR(IF(ISNUMBER(INDEX(art_tva,MATCH($E1224,art_ref,0))),INDEX(art_tva,MATCH($E1224,art_ref,0)),""),"")))</f>
        <v/>
      </c>
      <c r="N1224" s="70" t="str">
        <f>IF(OR(E1224="",J1224=""),"",ROUND(N(H1224)*J1224*(1-N(K1224)),2))</f>
        <v/>
      </c>
      <c r="O1224" s="70" t="str">
        <f>IF(OR(N1224="",NOT(ISNUMBER(M1224))),"",ROUND(N1224*M1224,2))</f>
        <v/>
      </c>
      <c r="P1224" s="70" t="str">
        <f>IF(N1224="","",N1224+N(O1224))</f>
        <v/>
      </c>
      <c r="Q1224" s="64" t="n"/>
      <c r="R1224" s="73" t="str">
        <f>IF(N(Q1224)&gt;0,Q1224,IF(OR(N(B1224)=0,ISNA(MATCH($C1224,sup_code,0))),"",IF(ISNUMBER(INDEX(sup_delay,MATCH($C1224,sup_code,0))),B1224+INDEX(sup_delay,MATCH($C1224,sup_code,0)),"")))</f>
        <v/>
      </c>
      <c r="S1224" s="64" t="n"/>
      <c r="T1224" s="68" t="n"/>
      <c r="U1224" s="64" t="n"/>
      <c r="V1224" s="65" t="n"/>
      <c r="W1224" s="74" t="str">
        <f>IF(AND(A1224="",E1224=""),"",IF(V1224="Oui",0,MAX(0,ROUND(N(H1224)-N(T1224),6))))</f>
        <v/>
      </c>
      <c r="X1224" s="67" t="str">
        <f>IF(AND(A1224="",E1224=""),"",IF(V1224="Oui","Annulé",IF(AND(N(H1224)&gt;0,N(T1224)&gt;=N(H1224)),"Reçu",IF(N(S1224)=0,"Brouillon",IF(AND(ISNUMBER(R1224),R1224&lt;p_today),"En retard",IF(N(T1224)&gt;0,"Partiel","Envoyé"))))))</f>
        <v/>
      </c>
      <c r="Y1224" s="75" t="str">
        <f>IF(X1224="En retard",p_today-R1224,IF(AND(X1224="Reçu",ISNUMBER(R1224)),MAX(0,N(U1224)-R1224),""))</f>
        <v/>
      </c>
      <c r="Z1224" s="67" t="str">
        <f>IF(AND(A1224="",E1224=""),"",IF(A1224="","N° de bon manquant",IF(N(B1224)=0,"Date de commande manquante",IF(C1224="","Fournisseur manquant",IF(ISNA(MATCH($C1224,sup_code,0)),"Fournisseur inconnu",IF(E1224="","Article manquant",IF(ISNA(MATCH($E1224,art_ref,0)),"Article inconnu",IF(N(H1224)&lt;=0,"Quantité invalide",IF(J1224="","Prix manquant",IF(OR(N(K1224)&lt;0,N(K1224)&gt;=1),"Remise invalide",IF(M1224="","TVA manquante",IF(ISNA(MATCH(M1224,p_tva,0)),"Taux de TVA inconnu",IF(COUNTIFS(po_num,A1224,po_sup,"&lt;&gt;"&amp;C1224)&gt;0,"Fournisseur différent sur ce bon",IF(COUNTIFS(po_num,A1224,po_date,"&lt;&gt;"&amp;B1224)&gt;0,"Date différente sur ce bon",IF(COUNTIF(po_num,A1224)&gt;25,"Plus de 25 lignes sur ce bon",IF(R1224="","Date de livraison manquante",IF(R1224&lt;B1224,"Livraison avant la commande",IF(AND(N(T1224)&gt;0,N(S1224)=0),"Date d'envoi manquante",IF(N(T1224)&gt;N(H1224),"Reçu plus que commandé",IF(AND(N(T1224)&gt;0,N(U1224)=0),"Date de réception manquante",IF(AND(N(U1224)&gt;0,U1224&lt;B1224),"Réception avant la commande","OK")))))))))))))))))))))</f>
        <v/>
      </c>
      <c r="AA1224" s="66" t="str">
        <f>IF(AND(X1224="Reçu",ISNUMBER(R1224)),IF(N(U1224)&lt;=R1224,1,0),"")</f>
        <v/>
      </c>
      <c r="AB1224" s="76" t="str">
        <f>IF(OR(X1224="Envoyé",X1224="Partiel",X1224="En retard"),IF(ISNUMBER(R1224),R1224,100000)+ROW()/100000,"")</f>
        <v/>
      </c>
      <c r="AC1224" s="66" t="str">
        <f>IF(A1224="","",IF(COUNTIF($A$6:A1224,A1224)=1,1,""))</f>
        <v/>
      </c>
      <c r="AD1224" s="66" t="str">
        <f>IF(AC1224=1,COUNT($AC$6:AC1224),"")</f>
        <v/>
      </c>
      <c r="AE1224" s="66" t="str">
        <f>IFERROR(INDEX(po_num,MATCH(1219,po_seq,0))&amp;"","")</f>
        <v/>
      </c>
      <c r="AF1224" s="66" t="str">
        <f>IF(OR(A1224="",p_po=""),"",IF(A1224&amp;""=p_po,COUNTIF($A$6:A1224,A1224),""))</f>
        <v/>
      </c>
      <c r="AG1224" s="66" t="str">
        <f>IF(OR(AB1224="",A1224=""),"",IF(COUNTIFS($A$6:A1224,A1224,$AB$6:AB1224,"&gt;0")=1,1,""))</f>
        <v/>
      </c>
      <c r="AH1224" s="70" t="str">
        <f>IF(AB1224="","",ROUND(N(W1224)*N(J1224)*(1-N(K1224)),2))</f>
        <v/>
      </c>
      <c r="AI1224" s="70" t="str">
        <f>IF(OR(J1224="",N(T1224)&lt;=0,V1224="Oui"),"",ROUND(N(T1224)*J1224*(1-N(K1224)),2))</f>
        <v/>
      </c>
    </row>
    <row r="1225">
      <c r="A1225" s="63" t="n"/>
      <c r="B1225" s="64" t="n"/>
      <c r="C1225" s="65" t="n"/>
      <c r="D1225" s="66" t="str">
        <f>IF(C1225="","",IFERROR(INDEX(sup_name,MATCH($C1225,sup_code,0))&amp;"","Fournisseur inconnu"))</f>
        <v/>
      </c>
      <c r="E1225" s="63" t="n"/>
      <c r="F1225" s="66" t="str">
        <f>IF(E1225="","",IFERROR(INDEX(art_des,MATCH($E1225,art_ref,0))&amp;"","Article inconnu"))</f>
        <v/>
      </c>
      <c r="G1225" s="67" t="str">
        <f>IF(E1225="","",IFERROR(INDEX(art_unit,MATCH($E1225,art_ref,0))&amp;"",""))</f>
        <v/>
      </c>
      <c r="H1225" s="68" t="n"/>
      <c r="I1225" s="69" t="n"/>
      <c r="J1225" s="70" t="str">
        <f>IF(E1225="","",IF(ISNUMBER(I1225),I1225,IFERROR(IF(ISNUMBER(INDEX(art_price,MATCH($E1225,art_ref,0))),INDEX(art_price,MATCH($E1225,art_ref,0)),""),"")))</f>
        <v/>
      </c>
      <c r="K1225" s="71" t="n"/>
      <c r="L1225" s="72" t="n"/>
      <c r="M1225" s="72" t="str">
        <f>IF(E1225="","",IF(L1225&lt;&gt;"",L1225,IFERROR(IF(ISNUMBER(INDEX(art_tva,MATCH($E1225,art_ref,0))),INDEX(art_tva,MATCH($E1225,art_ref,0)),""),"")))</f>
        <v/>
      </c>
      <c r="N1225" s="70" t="str">
        <f>IF(OR(E1225="",J1225=""),"",ROUND(N(H1225)*J1225*(1-N(K1225)),2))</f>
        <v/>
      </c>
      <c r="O1225" s="70" t="str">
        <f>IF(OR(N1225="",NOT(ISNUMBER(M1225))),"",ROUND(N1225*M1225,2))</f>
        <v/>
      </c>
      <c r="P1225" s="70" t="str">
        <f>IF(N1225="","",N1225+N(O1225))</f>
        <v/>
      </c>
      <c r="Q1225" s="64" t="n"/>
      <c r="R1225" s="73" t="str">
        <f>IF(N(Q1225)&gt;0,Q1225,IF(OR(N(B1225)=0,ISNA(MATCH($C1225,sup_code,0))),"",IF(ISNUMBER(INDEX(sup_delay,MATCH($C1225,sup_code,0))),B1225+INDEX(sup_delay,MATCH($C1225,sup_code,0)),"")))</f>
        <v/>
      </c>
      <c r="S1225" s="64" t="n"/>
      <c r="T1225" s="68" t="n"/>
      <c r="U1225" s="64" t="n"/>
      <c r="V1225" s="65" t="n"/>
      <c r="W1225" s="74" t="str">
        <f>IF(AND(A1225="",E1225=""),"",IF(V1225="Oui",0,MAX(0,ROUND(N(H1225)-N(T1225),6))))</f>
        <v/>
      </c>
      <c r="X1225" s="67" t="str">
        <f>IF(AND(A1225="",E1225=""),"",IF(V1225="Oui","Annulé",IF(AND(N(H1225)&gt;0,N(T1225)&gt;=N(H1225)),"Reçu",IF(N(S1225)=0,"Brouillon",IF(AND(ISNUMBER(R1225),R1225&lt;p_today),"En retard",IF(N(T1225)&gt;0,"Partiel","Envoyé"))))))</f>
        <v/>
      </c>
      <c r="Y1225" s="75" t="str">
        <f>IF(X1225="En retard",p_today-R1225,IF(AND(X1225="Reçu",ISNUMBER(R1225)),MAX(0,N(U1225)-R1225),""))</f>
        <v/>
      </c>
      <c r="Z1225" s="67" t="str">
        <f>IF(AND(A1225="",E1225=""),"",IF(A1225="","N° de bon manquant",IF(N(B1225)=0,"Date de commande manquante",IF(C1225="","Fournisseur manquant",IF(ISNA(MATCH($C1225,sup_code,0)),"Fournisseur inconnu",IF(E1225="","Article manquant",IF(ISNA(MATCH($E1225,art_ref,0)),"Article inconnu",IF(N(H1225)&lt;=0,"Quantité invalide",IF(J1225="","Prix manquant",IF(OR(N(K1225)&lt;0,N(K1225)&gt;=1),"Remise invalide",IF(M1225="","TVA manquante",IF(ISNA(MATCH(M1225,p_tva,0)),"Taux de TVA inconnu",IF(COUNTIFS(po_num,A1225,po_sup,"&lt;&gt;"&amp;C1225)&gt;0,"Fournisseur différent sur ce bon",IF(COUNTIFS(po_num,A1225,po_date,"&lt;&gt;"&amp;B1225)&gt;0,"Date différente sur ce bon",IF(COUNTIF(po_num,A1225)&gt;25,"Plus de 25 lignes sur ce bon",IF(R1225="","Date de livraison manquante",IF(R1225&lt;B1225,"Livraison avant la commande",IF(AND(N(T1225)&gt;0,N(S1225)=0),"Date d'envoi manquante",IF(N(T1225)&gt;N(H1225),"Reçu plus que commandé",IF(AND(N(T1225)&gt;0,N(U1225)=0),"Date de réception manquante",IF(AND(N(U1225)&gt;0,U1225&lt;B1225),"Réception avant la commande","OK")))))))))))))))))))))</f>
        <v/>
      </c>
      <c r="AA1225" s="66" t="str">
        <f>IF(AND(X1225="Reçu",ISNUMBER(R1225)),IF(N(U1225)&lt;=R1225,1,0),"")</f>
        <v/>
      </c>
      <c r="AB1225" s="76" t="str">
        <f>IF(OR(X1225="Envoyé",X1225="Partiel",X1225="En retard"),IF(ISNUMBER(R1225),R1225,100000)+ROW()/100000,"")</f>
        <v/>
      </c>
      <c r="AC1225" s="66" t="str">
        <f>IF(A1225="","",IF(COUNTIF($A$6:A1225,A1225)=1,1,""))</f>
        <v/>
      </c>
      <c r="AD1225" s="66" t="str">
        <f>IF(AC1225=1,COUNT($AC$6:AC1225),"")</f>
        <v/>
      </c>
      <c r="AE1225" s="66" t="str">
        <f>IFERROR(INDEX(po_num,MATCH(1220,po_seq,0))&amp;"","")</f>
        <v/>
      </c>
      <c r="AF1225" s="66" t="str">
        <f>IF(OR(A1225="",p_po=""),"",IF(A1225&amp;""=p_po,COUNTIF($A$6:A1225,A1225),""))</f>
        <v/>
      </c>
      <c r="AG1225" s="66" t="str">
        <f>IF(OR(AB1225="",A1225=""),"",IF(COUNTIFS($A$6:A1225,A1225,$AB$6:AB1225,"&gt;0")=1,1,""))</f>
        <v/>
      </c>
      <c r="AH1225" s="70" t="str">
        <f>IF(AB1225="","",ROUND(N(W1225)*N(J1225)*(1-N(K1225)),2))</f>
        <v/>
      </c>
      <c r="AI1225" s="70" t="str">
        <f>IF(OR(J1225="",N(T1225)&lt;=0,V1225="Oui"),"",ROUND(N(T1225)*J1225*(1-N(K1225)),2))</f>
        <v/>
      </c>
    </row>
    <row r="1226">
      <c r="A1226" s="63" t="n"/>
      <c r="B1226" s="64" t="n"/>
      <c r="C1226" s="65" t="n"/>
      <c r="D1226" s="66" t="str">
        <f>IF(C1226="","",IFERROR(INDEX(sup_name,MATCH($C1226,sup_code,0))&amp;"","Fournisseur inconnu"))</f>
        <v/>
      </c>
      <c r="E1226" s="63" t="n"/>
      <c r="F1226" s="66" t="str">
        <f>IF(E1226="","",IFERROR(INDEX(art_des,MATCH($E1226,art_ref,0))&amp;"","Article inconnu"))</f>
        <v/>
      </c>
      <c r="G1226" s="67" t="str">
        <f>IF(E1226="","",IFERROR(INDEX(art_unit,MATCH($E1226,art_ref,0))&amp;"",""))</f>
        <v/>
      </c>
      <c r="H1226" s="68" t="n"/>
      <c r="I1226" s="69" t="n"/>
      <c r="J1226" s="70" t="str">
        <f>IF(E1226="","",IF(ISNUMBER(I1226),I1226,IFERROR(IF(ISNUMBER(INDEX(art_price,MATCH($E1226,art_ref,0))),INDEX(art_price,MATCH($E1226,art_ref,0)),""),"")))</f>
        <v/>
      </c>
      <c r="K1226" s="71" t="n"/>
      <c r="L1226" s="72" t="n"/>
      <c r="M1226" s="72" t="str">
        <f>IF(E1226="","",IF(L1226&lt;&gt;"",L1226,IFERROR(IF(ISNUMBER(INDEX(art_tva,MATCH($E1226,art_ref,0))),INDEX(art_tva,MATCH($E1226,art_ref,0)),""),"")))</f>
        <v/>
      </c>
      <c r="N1226" s="70" t="str">
        <f>IF(OR(E1226="",J1226=""),"",ROUND(N(H1226)*J1226*(1-N(K1226)),2))</f>
        <v/>
      </c>
      <c r="O1226" s="70" t="str">
        <f>IF(OR(N1226="",NOT(ISNUMBER(M1226))),"",ROUND(N1226*M1226,2))</f>
        <v/>
      </c>
      <c r="P1226" s="70" t="str">
        <f>IF(N1226="","",N1226+N(O1226))</f>
        <v/>
      </c>
      <c r="Q1226" s="64" t="n"/>
      <c r="R1226" s="73" t="str">
        <f>IF(N(Q1226)&gt;0,Q1226,IF(OR(N(B1226)=0,ISNA(MATCH($C1226,sup_code,0))),"",IF(ISNUMBER(INDEX(sup_delay,MATCH($C1226,sup_code,0))),B1226+INDEX(sup_delay,MATCH($C1226,sup_code,0)),"")))</f>
        <v/>
      </c>
      <c r="S1226" s="64" t="n"/>
      <c r="T1226" s="68" t="n"/>
      <c r="U1226" s="64" t="n"/>
      <c r="V1226" s="65" t="n"/>
      <c r="W1226" s="74" t="str">
        <f>IF(AND(A1226="",E1226=""),"",IF(V1226="Oui",0,MAX(0,ROUND(N(H1226)-N(T1226),6))))</f>
        <v/>
      </c>
      <c r="X1226" s="67" t="str">
        <f>IF(AND(A1226="",E1226=""),"",IF(V1226="Oui","Annulé",IF(AND(N(H1226)&gt;0,N(T1226)&gt;=N(H1226)),"Reçu",IF(N(S1226)=0,"Brouillon",IF(AND(ISNUMBER(R1226),R1226&lt;p_today),"En retard",IF(N(T1226)&gt;0,"Partiel","Envoyé"))))))</f>
        <v/>
      </c>
      <c r="Y1226" s="75" t="str">
        <f>IF(X1226="En retard",p_today-R1226,IF(AND(X1226="Reçu",ISNUMBER(R1226)),MAX(0,N(U1226)-R1226),""))</f>
        <v/>
      </c>
      <c r="Z1226" s="67" t="str">
        <f>IF(AND(A1226="",E1226=""),"",IF(A1226="","N° de bon manquant",IF(N(B1226)=0,"Date de commande manquante",IF(C1226="","Fournisseur manquant",IF(ISNA(MATCH($C1226,sup_code,0)),"Fournisseur inconnu",IF(E1226="","Article manquant",IF(ISNA(MATCH($E1226,art_ref,0)),"Article inconnu",IF(N(H1226)&lt;=0,"Quantité invalide",IF(J1226="","Prix manquant",IF(OR(N(K1226)&lt;0,N(K1226)&gt;=1),"Remise invalide",IF(M1226="","TVA manquante",IF(ISNA(MATCH(M1226,p_tva,0)),"Taux de TVA inconnu",IF(COUNTIFS(po_num,A1226,po_sup,"&lt;&gt;"&amp;C1226)&gt;0,"Fournisseur différent sur ce bon",IF(COUNTIFS(po_num,A1226,po_date,"&lt;&gt;"&amp;B1226)&gt;0,"Date différente sur ce bon",IF(COUNTIF(po_num,A1226)&gt;25,"Plus de 25 lignes sur ce bon",IF(R1226="","Date de livraison manquante",IF(R1226&lt;B1226,"Livraison avant la commande",IF(AND(N(T1226)&gt;0,N(S1226)=0),"Date d'envoi manquante",IF(N(T1226)&gt;N(H1226),"Reçu plus que commandé",IF(AND(N(T1226)&gt;0,N(U1226)=0),"Date de réception manquante",IF(AND(N(U1226)&gt;0,U1226&lt;B1226),"Réception avant la commande","OK")))))))))))))))))))))</f>
        <v/>
      </c>
      <c r="AA1226" s="66" t="str">
        <f>IF(AND(X1226="Reçu",ISNUMBER(R1226)),IF(N(U1226)&lt;=R1226,1,0),"")</f>
        <v/>
      </c>
      <c r="AB1226" s="76" t="str">
        <f>IF(OR(X1226="Envoyé",X1226="Partiel",X1226="En retard"),IF(ISNUMBER(R1226),R1226,100000)+ROW()/100000,"")</f>
        <v/>
      </c>
      <c r="AC1226" s="66" t="str">
        <f>IF(A1226="","",IF(COUNTIF($A$6:A1226,A1226)=1,1,""))</f>
        <v/>
      </c>
      <c r="AD1226" s="66" t="str">
        <f>IF(AC1226=1,COUNT($AC$6:AC1226),"")</f>
        <v/>
      </c>
      <c r="AE1226" s="66" t="str">
        <f>IFERROR(INDEX(po_num,MATCH(1221,po_seq,0))&amp;"","")</f>
        <v/>
      </c>
      <c r="AF1226" s="66" t="str">
        <f>IF(OR(A1226="",p_po=""),"",IF(A1226&amp;""=p_po,COUNTIF($A$6:A1226,A1226),""))</f>
        <v/>
      </c>
      <c r="AG1226" s="66" t="str">
        <f>IF(OR(AB1226="",A1226=""),"",IF(COUNTIFS($A$6:A1226,A1226,$AB$6:AB1226,"&gt;0")=1,1,""))</f>
        <v/>
      </c>
      <c r="AH1226" s="70" t="str">
        <f>IF(AB1226="","",ROUND(N(W1226)*N(J1226)*(1-N(K1226)),2))</f>
        <v/>
      </c>
      <c r="AI1226" s="70" t="str">
        <f>IF(OR(J1226="",N(T1226)&lt;=0,V1226="Oui"),"",ROUND(N(T1226)*J1226*(1-N(K1226)),2))</f>
        <v/>
      </c>
    </row>
    <row r="1227">
      <c r="A1227" s="63" t="n"/>
      <c r="B1227" s="64" t="n"/>
      <c r="C1227" s="65" t="n"/>
      <c r="D1227" s="66" t="str">
        <f>IF(C1227="","",IFERROR(INDEX(sup_name,MATCH($C1227,sup_code,0))&amp;"","Fournisseur inconnu"))</f>
        <v/>
      </c>
      <c r="E1227" s="63" t="n"/>
      <c r="F1227" s="66" t="str">
        <f>IF(E1227="","",IFERROR(INDEX(art_des,MATCH($E1227,art_ref,0))&amp;"","Article inconnu"))</f>
        <v/>
      </c>
      <c r="G1227" s="67" t="str">
        <f>IF(E1227="","",IFERROR(INDEX(art_unit,MATCH($E1227,art_ref,0))&amp;"",""))</f>
        <v/>
      </c>
      <c r="H1227" s="68" t="n"/>
      <c r="I1227" s="69" t="n"/>
      <c r="J1227" s="70" t="str">
        <f>IF(E1227="","",IF(ISNUMBER(I1227),I1227,IFERROR(IF(ISNUMBER(INDEX(art_price,MATCH($E1227,art_ref,0))),INDEX(art_price,MATCH($E1227,art_ref,0)),""),"")))</f>
        <v/>
      </c>
      <c r="K1227" s="71" t="n"/>
      <c r="L1227" s="72" t="n"/>
      <c r="M1227" s="72" t="str">
        <f>IF(E1227="","",IF(L1227&lt;&gt;"",L1227,IFERROR(IF(ISNUMBER(INDEX(art_tva,MATCH($E1227,art_ref,0))),INDEX(art_tva,MATCH($E1227,art_ref,0)),""),"")))</f>
        <v/>
      </c>
      <c r="N1227" s="70" t="str">
        <f>IF(OR(E1227="",J1227=""),"",ROUND(N(H1227)*J1227*(1-N(K1227)),2))</f>
        <v/>
      </c>
      <c r="O1227" s="70" t="str">
        <f>IF(OR(N1227="",NOT(ISNUMBER(M1227))),"",ROUND(N1227*M1227,2))</f>
        <v/>
      </c>
      <c r="P1227" s="70" t="str">
        <f>IF(N1227="","",N1227+N(O1227))</f>
        <v/>
      </c>
      <c r="Q1227" s="64" t="n"/>
      <c r="R1227" s="73" t="str">
        <f>IF(N(Q1227)&gt;0,Q1227,IF(OR(N(B1227)=0,ISNA(MATCH($C1227,sup_code,0))),"",IF(ISNUMBER(INDEX(sup_delay,MATCH($C1227,sup_code,0))),B1227+INDEX(sup_delay,MATCH($C1227,sup_code,0)),"")))</f>
        <v/>
      </c>
      <c r="S1227" s="64" t="n"/>
      <c r="T1227" s="68" t="n"/>
      <c r="U1227" s="64" t="n"/>
      <c r="V1227" s="65" t="n"/>
      <c r="W1227" s="74" t="str">
        <f>IF(AND(A1227="",E1227=""),"",IF(V1227="Oui",0,MAX(0,ROUND(N(H1227)-N(T1227),6))))</f>
        <v/>
      </c>
      <c r="X1227" s="67" t="str">
        <f>IF(AND(A1227="",E1227=""),"",IF(V1227="Oui","Annulé",IF(AND(N(H1227)&gt;0,N(T1227)&gt;=N(H1227)),"Reçu",IF(N(S1227)=0,"Brouillon",IF(AND(ISNUMBER(R1227),R1227&lt;p_today),"En retard",IF(N(T1227)&gt;0,"Partiel","Envoyé"))))))</f>
        <v/>
      </c>
      <c r="Y1227" s="75" t="str">
        <f>IF(X1227="En retard",p_today-R1227,IF(AND(X1227="Reçu",ISNUMBER(R1227)),MAX(0,N(U1227)-R1227),""))</f>
        <v/>
      </c>
      <c r="Z1227" s="67" t="str">
        <f>IF(AND(A1227="",E1227=""),"",IF(A1227="","N° de bon manquant",IF(N(B1227)=0,"Date de commande manquante",IF(C1227="","Fournisseur manquant",IF(ISNA(MATCH($C1227,sup_code,0)),"Fournisseur inconnu",IF(E1227="","Article manquant",IF(ISNA(MATCH($E1227,art_ref,0)),"Article inconnu",IF(N(H1227)&lt;=0,"Quantité invalide",IF(J1227="","Prix manquant",IF(OR(N(K1227)&lt;0,N(K1227)&gt;=1),"Remise invalide",IF(M1227="","TVA manquante",IF(ISNA(MATCH(M1227,p_tva,0)),"Taux de TVA inconnu",IF(COUNTIFS(po_num,A1227,po_sup,"&lt;&gt;"&amp;C1227)&gt;0,"Fournisseur différent sur ce bon",IF(COUNTIFS(po_num,A1227,po_date,"&lt;&gt;"&amp;B1227)&gt;0,"Date différente sur ce bon",IF(COUNTIF(po_num,A1227)&gt;25,"Plus de 25 lignes sur ce bon",IF(R1227="","Date de livraison manquante",IF(R1227&lt;B1227,"Livraison avant la commande",IF(AND(N(T1227)&gt;0,N(S1227)=0),"Date d'envoi manquante",IF(N(T1227)&gt;N(H1227),"Reçu plus que commandé",IF(AND(N(T1227)&gt;0,N(U1227)=0),"Date de réception manquante",IF(AND(N(U1227)&gt;0,U1227&lt;B1227),"Réception avant la commande","OK")))))))))))))))))))))</f>
        <v/>
      </c>
      <c r="AA1227" s="66" t="str">
        <f>IF(AND(X1227="Reçu",ISNUMBER(R1227)),IF(N(U1227)&lt;=R1227,1,0),"")</f>
        <v/>
      </c>
      <c r="AB1227" s="76" t="str">
        <f>IF(OR(X1227="Envoyé",X1227="Partiel",X1227="En retard"),IF(ISNUMBER(R1227),R1227,100000)+ROW()/100000,"")</f>
        <v/>
      </c>
      <c r="AC1227" s="66" t="str">
        <f>IF(A1227="","",IF(COUNTIF($A$6:A1227,A1227)=1,1,""))</f>
        <v/>
      </c>
      <c r="AD1227" s="66" t="str">
        <f>IF(AC1227=1,COUNT($AC$6:AC1227),"")</f>
        <v/>
      </c>
      <c r="AE1227" s="66" t="str">
        <f>IFERROR(INDEX(po_num,MATCH(1222,po_seq,0))&amp;"","")</f>
        <v/>
      </c>
      <c r="AF1227" s="66" t="str">
        <f>IF(OR(A1227="",p_po=""),"",IF(A1227&amp;""=p_po,COUNTIF($A$6:A1227,A1227),""))</f>
        <v/>
      </c>
      <c r="AG1227" s="66" t="str">
        <f>IF(OR(AB1227="",A1227=""),"",IF(COUNTIFS($A$6:A1227,A1227,$AB$6:AB1227,"&gt;0")=1,1,""))</f>
        <v/>
      </c>
      <c r="AH1227" s="70" t="str">
        <f>IF(AB1227="","",ROUND(N(W1227)*N(J1227)*(1-N(K1227)),2))</f>
        <v/>
      </c>
      <c r="AI1227" s="70" t="str">
        <f>IF(OR(J1227="",N(T1227)&lt;=0,V1227="Oui"),"",ROUND(N(T1227)*J1227*(1-N(K1227)),2))</f>
        <v/>
      </c>
    </row>
    <row r="1228">
      <c r="A1228" s="63" t="n"/>
      <c r="B1228" s="64" t="n"/>
      <c r="C1228" s="65" t="n"/>
      <c r="D1228" s="66" t="str">
        <f>IF(C1228="","",IFERROR(INDEX(sup_name,MATCH($C1228,sup_code,0))&amp;"","Fournisseur inconnu"))</f>
        <v/>
      </c>
      <c r="E1228" s="63" t="n"/>
      <c r="F1228" s="66" t="str">
        <f>IF(E1228="","",IFERROR(INDEX(art_des,MATCH($E1228,art_ref,0))&amp;"","Article inconnu"))</f>
        <v/>
      </c>
      <c r="G1228" s="67" t="str">
        <f>IF(E1228="","",IFERROR(INDEX(art_unit,MATCH($E1228,art_ref,0))&amp;"",""))</f>
        <v/>
      </c>
      <c r="H1228" s="68" t="n"/>
      <c r="I1228" s="69" t="n"/>
      <c r="J1228" s="70" t="str">
        <f>IF(E1228="","",IF(ISNUMBER(I1228),I1228,IFERROR(IF(ISNUMBER(INDEX(art_price,MATCH($E1228,art_ref,0))),INDEX(art_price,MATCH($E1228,art_ref,0)),""),"")))</f>
        <v/>
      </c>
      <c r="K1228" s="71" t="n"/>
      <c r="L1228" s="72" t="n"/>
      <c r="M1228" s="72" t="str">
        <f>IF(E1228="","",IF(L1228&lt;&gt;"",L1228,IFERROR(IF(ISNUMBER(INDEX(art_tva,MATCH($E1228,art_ref,0))),INDEX(art_tva,MATCH($E1228,art_ref,0)),""),"")))</f>
        <v/>
      </c>
      <c r="N1228" s="70" t="str">
        <f>IF(OR(E1228="",J1228=""),"",ROUND(N(H1228)*J1228*(1-N(K1228)),2))</f>
        <v/>
      </c>
      <c r="O1228" s="70" t="str">
        <f>IF(OR(N1228="",NOT(ISNUMBER(M1228))),"",ROUND(N1228*M1228,2))</f>
        <v/>
      </c>
      <c r="P1228" s="70" t="str">
        <f>IF(N1228="","",N1228+N(O1228))</f>
        <v/>
      </c>
      <c r="Q1228" s="64" t="n"/>
      <c r="R1228" s="73" t="str">
        <f>IF(N(Q1228)&gt;0,Q1228,IF(OR(N(B1228)=0,ISNA(MATCH($C1228,sup_code,0))),"",IF(ISNUMBER(INDEX(sup_delay,MATCH($C1228,sup_code,0))),B1228+INDEX(sup_delay,MATCH($C1228,sup_code,0)),"")))</f>
        <v/>
      </c>
      <c r="S1228" s="64" t="n"/>
      <c r="T1228" s="68" t="n"/>
      <c r="U1228" s="64" t="n"/>
      <c r="V1228" s="65" t="n"/>
      <c r="W1228" s="74" t="str">
        <f>IF(AND(A1228="",E1228=""),"",IF(V1228="Oui",0,MAX(0,ROUND(N(H1228)-N(T1228),6))))</f>
        <v/>
      </c>
      <c r="X1228" s="67" t="str">
        <f>IF(AND(A1228="",E1228=""),"",IF(V1228="Oui","Annulé",IF(AND(N(H1228)&gt;0,N(T1228)&gt;=N(H1228)),"Reçu",IF(N(S1228)=0,"Brouillon",IF(AND(ISNUMBER(R1228),R1228&lt;p_today),"En retard",IF(N(T1228)&gt;0,"Partiel","Envoyé"))))))</f>
        <v/>
      </c>
      <c r="Y1228" s="75" t="str">
        <f>IF(X1228="En retard",p_today-R1228,IF(AND(X1228="Reçu",ISNUMBER(R1228)),MAX(0,N(U1228)-R1228),""))</f>
        <v/>
      </c>
      <c r="Z1228" s="67" t="str">
        <f>IF(AND(A1228="",E1228=""),"",IF(A1228="","N° de bon manquant",IF(N(B1228)=0,"Date de commande manquante",IF(C1228="","Fournisseur manquant",IF(ISNA(MATCH($C1228,sup_code,0)),"Fournisseur inconnu",IF(E1228="","Article manquant",IF(ISNA(MATCH($E1228,art_ref,0)),"Article inconnu",IF(N(H1228)&lt;=0,"Quantité invalide",IF(J1228="","Prix manquant",IF(OR(N(K1228)&lt;0,N(K1228)&gt;=1),"Remise invalide",IF(M1228="","TVA manquante",IF(ISNA(MATCH(M1228,p_tva,0)),"Taux de TVA inconnu",IF(COUNTIFS(po_num,A1228,po_sup,"&lt;&gt;"&amp;C1228)&gt;0,"Fournisseur différent sur ce bon",IF(COUNTIFS(po_num,A1228,po_date,"&lt;&gt;"&amp;B1228)&gt;0,"Date différente sur ce bon",IF(COUNTIF(po_num,A1228)&gt;25,"Plus de 25 lignes sur ce bon",IF(R1228="","Date de livraison manquante",IF(R1228&lt;B1228,"Livraison avant la commande",IF(AND(N(T1228)&gt;0,N(S1228)=0),"Date d'envoi manquante",IF(N(T1228)&gt;N(H1228),"Reçu plus que commandé",IF(AND(N(T1228)&gt;0,N(U1228)=0),"Date de réception manquante",IF(AND(N(U1228)&gt;0,U1228&lt;B1228),"Réception avant la commande","OK")))))))))))))))))))))</f>
        <v/>
      </c>
      <c r="AA1228" s="66" t="str">
        <f>IF(AND(X1228="Reçu",ISNUMBER(R1228)),IF(N(U1228)&lt;=R1228,1,0),"")</f>
        <v/>
      </c>
      <c r="AB1228" s="76" t="str">
        <f>IF(OR(X1228="Envoyé",X1228="Partiel",X1228="En retard"),IF(ISNUMBER(R1228),R1228,100000)+ROW()/100000,"")</f>
        <v/>
      </c>
      <c r="AC1228" s="66" t="str">
        <f>IF(A1228="","",IF(COUNTIF($A$6:A1228,A1228)=1,1,""))</f>
        <v/>
      </c>
      <c r="AD1228" s="66" t="str">
        <f>IF(AC1228=1,COUNT($AC$6:AC1228),"")</f>
        <v/>
      </c>
      <c r="AE1228" s="66" t="str">
        <f>IFERROR(INDEX(po_num,MATCH(1223,po_seq,0))&amp;"","")</f>
        <v/>
      </c>
      <c r="AF1228" s="66" t="str">
        <f>IF(OR(A1228="",p_po=""),"",IF(A1228&amp;""=p_po,COUNTIF($A$6:A1228,A1228),""))</f>
        <v/>
      </c>
      <c r="AG1228" s="66" t="str">
        <f>IF(OR(AB1228="",A1228=""),"",IF(COUNTIFS($A$6:A1228,A1228,$AB$6:AB1228,"&gt;0")=1,1,""))</f>
        <v/>
      </c>
      <c r="AH1228" s="70" t="str">
        <f>IF(AB1228="","",ROUND(N(W1228)*N(J1228)*(1-N(K1228)),2))</f>
        <v/>
      </c>
      <c r="AI1228" s="70" t="str">
        <f>IF(OR(J1228="",N(T1228)&lt;=0,V1228="Oui"),"",ROUND(N(T1228)*J1228*(1-N(K1228)),2))</f>
        <v/>
      </c>
    </row>
    <row r="1229">
      <c r="A1229" s="63" t="n"/>
      <c r="B1229" s="64" t="n"/>
      <c r="C1229" s="65" t="n"/>
      <c r="D1229" s="66" t="str">
        <f>IF(C1229="","",IFERROR(INDEX(sup_name,MATCH($C1229,sup_code,0))&amp;"","Fournisseur inconnu"))</f>
        <v/>
      </c>
      <c r="E1229" s="63" t="n"/>
      <c r="F1229" s="66" t="str">
        <f>IF(E1229="","",IFERROR(INDEX(art_des,MATCH($E1229,art_ref,0))&amp;"","Article inconnu"))</f>
        <v/>
      </c>
      <c r="G1229" s="67" t="str">
        <f>IF(E1229="","",IFERROR(INDEX(art_unit,MATCH($E1229,art_ref,0))&amp;"",""))</f>
        <v/>
      </c>
      <c r="H1229" s="68" t="n"/>
      <c r="I1229" s="69" t="n"/>
      <c r="J1229" s="70" t="str">
        <f>IF(E1229="","",IF(ISNUMBER(I1229),I1229,IFERROR(IF(ISNUMBER(INDEX(art_price,MATCH($E1229,art_ref,0))),INDEX(art_price,MATCH($E1229,art_ref,0)),""),"")))</f>
        <v/>
      </c>
      <c r="K1229" s="71" t="n"/>
      <c r="L1229" s="72" t="n"/>
      <c r="M1229" s="72" t="str">
        <f>IF(E1229="","",IF(L1229&lt;&gt;"",L1229,IFERROR(IF(ISNUMBER(INDEX(art_tva,MATCH($E1229,art_ref,0))),INDEX(art_tva,MATCH($E1229,art_ref,0)),""),"")))</f>
        <v/>
      </c>
      <c r="N1229" s="70" t="str">
        <f>IF(OR(E1229="",J1229=""),"",ROUND(N(H1229)*J1229*(1-N(K1229)),2))</f>
        <v/>
      </c>
      <c r="O1229" s="70" t="str">
        <f>IF(OR(N1229="",NOT(ISNUMBER(M1229))),"",ROUND(N1229*M1229,2))</f>
        <v/>
      </c>
      <c r="P1229" s="70" t="str">
        <f>IF(N1229="","",N1229+N(O1229))</f>
        <v/>
      </c>
      <c r="Q1229" s="64" t="n"/>
      <c r="R1229" s="73" t="str">
        <f>IF(N(Q1229)&gt;0,Q1229,IF(OR(N(B1229)=0,ISNA(MATCH($C1229,sup_code,0))),"",IF(ISNUMBER(INDEX(sup_delay,MATCH($C1229,sup_code,0))),B1229+INDEX(sup_delay,MATCH($C1229,sup_code,0)),"")))</f>
        <v/>
      </c>
      <c r="S1229" s="64" t="n"/>
      <c r="T1229" s="68" t="n"/>
      <c r="U1229" s="64" t="n"/>
      <c r="V1229" s="65" t="n"/>
      <c r="W1229" s="74" t="str">
        <f>IF(AND(A1229="",E1229=""),"",IF(V1229="Oui",0,MAX(0,ROUND(N(H1229)-N(T1229),6))))</f>
        <v/>
      </c>
      <c r="X1229" s="67" t="str">
        <f>IF(AND(A1229="",E1229=""),"",IF(V1229="Oui","Annulé",IF(AND(N(H1229)&gt;0,N(T1229)&gt;=N(H1229)),"Reçu",IF(N(S1229)=0,"Brouillon",IF(AND(ISNUMBER(R1229),R1229&lt;p_today),"En retard",IF(N(T1229)&gt;0,"Partiel","Envoyé"))))))</f>
        <v/>
      </c>
      <c r="Y1229" s="75" t="str">
        <f>IF(X1229="En retard",p_today-R1229,IF(AND(X1229="Reçu",ISNUMBER(R1229)),MAX(0,N(U1229)-R1229),""))</f>
        <v/>
      </c>
      <c r="Z1229" s="67" t="str">
        <f>IF(AND(A1229="",E1229=""),"",IF(A1229="","N° de bon manquant",IF(N(B1229)=0,"Date de commande manquante",IF(C1229="","Fournisseur manquant",IF(ISNA(MATCH($C1229,sup_code,0)),"Fournisseur inconnu",IF(E1229="","Article manquant",IF(ISNA(MATCH($E1229,art_ref,0)),"Article inconnu",IF(N(H1229)&lt;=0,"Quantité invalide",IF(J1229="","Prix manquant",IF(OR(N(K1229)&lt;0,N(K1229)&gt;=1),"Remise invalide",IF(M1229="","TVA manquante",IF(ISNA(MATCH(M1229,p_tva,0)),"Taux de TVA inconnu",IF(COUNTIFS(po_num,A1229,po_sup,"&lt;&gt;"&amp;C1229)&gt;0,"Fournisseur différent sur ce bon",IF(COUNTIFS(po_num,A1229,po_date,"&lt;&gt;"&amp;B1229)&gt;0,"Date différente sur ce bon",IF(COUNTIF(po_num,A1229)&gt;25,"Plus de 25 lignes sur ce bon",IF(R1229="","Date de livraison manquante",IF(R1229&lt;B1229,"Livraison avant la commande",IF(AND(N(T1229)&gt;0,N(S1229)=0),"Date d'envoi manquante",IF(N(T1229)&gt;N(H1229),"Reçu plus que commandé",IF(AND(N(T1229)&gt;0,N(U1229)=0),"Date de réception manquante",IF(AND(N(U1229)&gt;0,U1229&lt;B1229),"Réception avant la commande","OK")))))))))))))))))))))</f>
        <v/>
      </c>
      <c r="AA1229" s="66" t="str">
        <f>IF(AND(X1229="Reçu",ISNUMBER(R1229)),IF(N(U1229)&lt;=R1229,1,0),"")</f>
        <v/>
      </c>
      <c r="AB1229" s="76" t="str">
        <f>IF(OR(X1229="Envoyé",X1229="Partiel",X1229="En retard"),IF(ISNUMBER(R1229),R1229,100000)+ROW()/100000,"")</f>
        <v/>
      </c>
      <c r="AC1229" s="66" t="str">
        <f>IF(A1229="","",IF(COUNTIF($A$6:A1229,A1229)=1,1,""))</f>
        <v/>
      </c>
      <c r="AD1229" s="66" t="str">
        <f>IF(AC1229=1,COUNT($AC$6:AC1229),"")</f>
        <v/>
      </c>
      <c r="AE1229" s="66" t="str">
        <f>IFERROR(INDEX(po_num,MATCH(1224,po_seq,0))&amp;"","")</f>
        <v/>
      </c>
      <c r="AF1229" s="66" t="str">
        <f>IF(OR(A1229="",p_po=""),"",IF(A1229&amp;""=p_po,COUNTIF($A$6:A1229,A1229),""))</f>
        <v/>
      </c>
      <c r="AG1229" s="66" t="str">
        <f>IF(OR(AB1229="",A1229=""),"",IF(COUNTIFS($A$6:A1229,A1229,$AB$6:AB1229,"&gt;0")=1,1,""))</f>
        <v/>
      </c>
      <c r="AH1229" s="70" t="str">
        <f>IF(AB1229="","",ROUND(N(W1229)*N(J1229)*(1-N(K1229)),2))</f>
        <v/>
      </c>
      <c r="AI1229" s="70" t="str">
        <f>IF(OR(J1229="",N(T1229)&lt;=0,V1229="Oui"),"",ROUND(N(T1229)*J1229*(1-N(K1229)),2))</f>
        <v/>
      </c>
    </row>
    <row r="1230">
      <c r="A1230" s="63" t="n"/>
      <c r="B1230" s="64" t="n"/>
      <c r="C1230" s="65" t="n"/>
      <c r="D1230" s="66" t="str">
        <f>IF(C1230="","",IFERROR(INDEX(sup_name,MATCH($C1230,sup_code,0))&amp;"","Fournisseur inconnu"))</f>
        <v/>
      </c>
      <c r="E1230" s="63" t="n"/>
      <c r="F1230" s="66" t="str">
        <f>IF(E1230="","",IFERROR(INDEX(art_des,MATCH($E1230,art_ref,0))&amp;"","Article inconnu"))</f>
        <v/>
      </c>
      <c r="G1230" s="67" t="str">
        <f>IF(E1230="","",IFERROR(INDEX(art_unit,MATCH($E1230,art_ref,0))&amp;"",""))</f>
        <v/>
      </c>
      <c r="H1230" s="68" t="n"/>
      <c r="I1230" s="69" t="n"/>
      <c r="J1230" s="70" t="str">
        <f>IF(E1230="","",IF(ISNUMBER(I1230),I1230,IFERROR(IF(ISNUMBER(INDEX(art_price,MATCH($E1230,art_ref,0))),INDEX(art_price,MATCH($E1230,art_ref,0)),""),"")))</f>
        <v/>
      </c>
      <c r="K1230" s="71" t="n"/>
      <c r="L1230" s="72" t="n"/>
      <c r="M1230" s="72" t="str">
        <f>IF(E1230="","",IF(L1230&lt;&gt;"",L1230,IFERROR(IF(ISNUMBER(INDEX(art_tva,MATCH($E1230,art_ref,0))),INDEX(art_tva,MATCH($E1230,art_ref,0)),""),"")))</f>
        <v/>
      </c>
      <c r="N1230" s="70" t="str">
        <f>IF(OR(E1230="",J1230=""),"",ROUND(N(H1230)*J1230*(1-N(K1230)),2))</f>
        <v/>
      </c>
      <c r="O1230" s="70" t="str">
        <f>IF(OR(N1230="",NOT(ISNUMBER(M1230))),"",ROUND(N1230*M1230,2))</f>
        <v/>
      </c>
      <c r="P1230" s="70" t="str">
        <f>IF(N1230="","",N1230+N(O1230))</f>
        <v/>
      </c>
      <c r="Q1230" s="64" t="n"/>
      <c r="R1230" s="73" t="str">
        <f>IF(N(Q1230)&gt;0,Q1230,IF(OR(N(B1230)=0,ISNA(MATCH($C1230,sup_code,0))),"",IF(ISNUMBER(INDEX(sup_delay,MATCH($C1230,sup_code,0))),B1230+INDEX(sup_delay,MATCH($C1230,sup_code,0)),"")))</f>
        <v/>
      </c>
      <c r="S1230" s="64" t="n"/>
      <c r="T1230" s="68" t="n"/>
      <c r="U1230" s="64" t="n"/>
      <c r="V1230" s="65" t="n"/>
      <c r="W1230" s="74" t="str">
        <f>IF(AND(A1230="",E1230=""),"",IF(V1230="Oui",0,MAX(0,ROUND(N(H1230)-N(T1230),6))))</f>
        <v/>
      </c>
      <c r="X1230" s="67" t="str">
        <f>IF(AND(A1230="",E1230=""),"",IF(V1230="Oui","Annulé",IF(AND(N(H1230)&gt;0,N(T1230)&gt;=N(H1230)),"Reçu",IF(N(S1230)=0,"Brouillon",IF(AND(ISNUMBER(R1230),R1230&lt;p_today),"En retard",IF(N(T1230)&gt;0,"Partiel","Envoyé"))))))</f>
        <v/>
      </c>
      <c r="Y1230" s="75" t="str">
        <f>IF(X1230="En retard",p_today-R1230,IF(AND(X1230="Reçu",ISNUMBER(R1230)),MAX(0,N(U1230)-R1230),""))</f>
        <v/>
      </c>
      <c r="Z1230" s="67" t="str">
        <f>IF(AND(A1230="",E1230=""),"",IF(A1230="","N° de bon manquant",IF(N(B1230)=0,"Date de commande manquante",IF(C1230="","Fournisseur manquant",IF(ISNA(MATCH($C1230,sup_code,0)),"Fournisseur inconnu",IF(E1230="","Article manquant",IF(ISNA(MATCH($E1230,art_ref,0)),"Article inconnu",IF(N(H1230)&lt;=0,"Quantité invalide",IF(J1230="","Prix manquant",IF(OR(N(K1230)&lt;0,N(K1230)&gt;=1),"Remise invalide",IF(M1230="","TVA manquante",IF(ISNA(MATCH(M1230,p_tva,0)),"Taux de TVA inconnu",IF(COUNTIFS(po_num,A1230,po_sup,"&lt;&gt;"&amp;C1230)&gt;0,"Fournisseur différent sur ce bon",IF(COUNTIFS(po_num,A1230,po_date,"&lt;&gt;"&amp;B1230)&gt;0,"Date différente sur ce bon",IF(COUNTIF(po_num,A1230)&gt;25,"Plus de 25 lignes sur ce bon",IF(R1230="","Date de livraison manquante",IF(R1230&lt;B1230,"Livraison avant la commande",IF(AND(N(T1230)&gt;0,N(S1230)=0),"Date d'envoi manquante",IF(N(T1230)&gt;N(H1230),"Reçu plus que commandé",IF(AND(N(T1230)&gt;0,N(U1230)=0),"Date de réception manquante",IF(AND(N(U1230)&gt;0,U1230&lt;B1230),"Réception avant la commande","OK")))))))))))))))))))))</f>
        <v/>
      </c>
      <c r="AA1230" s="66" t="str">
        <f>IF(AND(X1230="Reçu",ISNUMBER(R1230)),IF(N(U1230)&lt;=R1230,1,0),"")</f>
        <v/>
      </c>
      <c r="AB1230" s="76" t="str">
        <f>IF(OR(X1230="Envoyé",X1230="Partiel",X1230="En retard"),IF(ISNUMBER(R1230),R1230,100000)+ROW()/100000,"")</f>
        <v/>
      </c>
      <c r="AC1230" s="66" t="str">
        <f>IF(A1230="","",IF(COUNTIF($A$6:A1230,A1230)=1,1,""))</f>
        <v/>
      </c>
      <c r="AD1230" s="66" t="str">
        <f>IF(AC1230=1,COUNT($AC$6:AC1230),"")</f>
        <v/>
      </c>
      <c r="AE1230" s="66" t="str">
        <f>IFERROR(INDEX(po_num,MATCH(1225,po_seq,0))&amp;"","")</f>
        <v/>
      </c>
      <c r="AF1230" s="66" t="str">
        <f>IF(OR(A1230="",p_po=""),"",IF(A1230&amp;""=p_po,COUNTIF($A$6:A1230,A1230),""))</f>
        <v/>
      </c>
      <c r="AG1230" s="66" t="str">
        <f>IF(OR(AB1230="",A1230=""),"",IF(COUNTIFS($A$6:A1230,A1230,$AB$6:AB1230,"&gt;0")=1,1,""))</f>
        <v/>
      </c>
      <c r="AH1230" s="70" t="str">
        <f>IF(AB1230="","",ROUND(N(W1230)*N(J1230)*(1-N(K1230)),2))</f>
        <v/>
      </c>
      <c r="AI1230" s="70" t="str">
        <f>IF(OR(J1230="",N(T1230)&lt;=0,V1230="Oui"),"",ROUND(N(T1230)*J1230*(1-N(K1230)),2))</f>
        <v/>
      </c>
    </row>
    <row r="1231">
      <c r="A1231" s="63" t="n"/>
      <c r="B1231" s="64" t="n"/>
      <c r="C1231" s="65" t="n"/>
      <c r="D1231" s="66" t="str">
        <f>IF(C1231="","",IFERROR(INDEX(sup_name,MATCH($C1231,sup_code,0))&amp;"","Fournisseur inconnu"))</f>
        <v/>
      </c>
      <c r="E1231" s="63" t="n"/>
      <c r="F1231" s="66" t="str">
        <f>IF(E1231="","",IFERROR(INDEX(art_des,MATCH($E1231,art_ref,0))&amp;"","Article inconnu"))</f>
        <v/>
      </c>
      <c r="G1231" s="67" t="str">
        <f>IF(E1231="","",IFERROR(INDEX(art_unit,MATCH($E1231,art_ref,0))&amp;"",""))</f>
        <v/>
      </c>
      <c r="H1231" s="68" t="n"/>
      <c r="I1231" s="69" t="n"/>
      <c r="J1231" s="70" t="str">
        <f>IF(E1231="","",IF(ISNUMBER(I1231),I1231,IFERROR(IF(ISNUMBER(INDEX(art_price,MATCH($E1231,art_ref,0))),INDEX(art_price,MATCH($E1231,art_ref,0)),""),"")))</f>
        <v/>
      </c>
      <c r="K1231" s="71" t="n"/>
      <c r="L1231" s="72" t="n"/>
      <c r="M1231" s="72" t="str">
        <f>IF(E1231="","",IF(L1231&lt;&gt;"",L1231,IFERROR(IF(ISNUMBER(INDEX(art_tva,MATCH($E1231,art_ref,0))),INDEX(art_tva,MATCH($E1231,art_ref,0)),""),"")))</f>
        <v/>
      </c>
      <c r="N1231" s="70" t="str">
        <f>IF(OR(E1231="",J1231=""),"",ROUND(N(H1231)*J1231*(1-N(K1231)),2))</f>
        <v/>
      </c>
      <c r="O1231" s="70" t="str">
        <f>IF(OR(N1231="",NOT(ISNUMBER(M1231))),"",ROUND(N1231*M1231,2))</f>
        <v/>
      </c>
      <c r="P1231" s="70" t="str">
        <f>IF(N1231="","",N1231+N(O1231))</f>
        <v/>
      </c>
      <c r="Q1231" s="64" t="n"/>
      <c r="R1231" s="73" t="str">
        <f>IF(N(Q1231)&gt;0,Q1231,IF(OR(N(B1231)=0,ISNA(MATCH($C1231,sup_code,0))),"",IF(ISNUMBER(INDEX(sup_delay,MATCH($C1231,sup_code,0))),B1231+INDEX(sup_delay,MATCH($C1231,sup_code,0)),"")))</f>
        <v/>
      </c>
      <c r="S1231" s="64" t="n"/>
      <c r="T1231" s="68" t="n"/>
      <c r="U1231" s="64" t="n"/>
      <c r="V1231" s="65" t="n"/>
      <c r="W1231" s="74" t="str">
        <f>IF(AND(A1231="",E1231=""),"",IF(V1231="Oui",0,MAX(0,ROUND(N(H1231)-N(T1231),6))))</f>
        <v/>
      </c>
      <c r="X1231" s="67" t="str">
        <f>IF(AND(A1231="",E1231=""),"",IF(V1231="Oui","Annulé",IF(AND(N(H1231)&gt;0,N(T1231)&gt;=N(H1231)),"Reçu",IF(N(S1231)=0,"Brouillon",IF(AND(ISNUMBER(R1231),R1231&lt;p_today),"En retard",IF(N(T1231)&gt;0,"Partiel","Envoyé"))))))</f>
        <v/>
      </c>
      <c r="Y1231" s="75" t="str">
        <f>IF(X1231="En retard",p_today-R1231,IF(AND(X1231="Reçu",ISNUMBER(R1231)),MAX(0,N(U1231)-R1231),""))</f>
        <v/>
      </c>
      <c r="Z1231" s="67" t="str">
        <f>IF(AND(A1231="",E1231=""),"",IF(A1231="","N° de bon manquant",IF(N(B1231)=0,"Date de commande manquante",IF(C1231="","Fournisseur manquant",IF(ISNA(MATCH($C1231,sup_code,0)),"Fournisseur inconnu",IF(E1231="","Article manquant",IF(ISNA(MATCH($E1231,art_ref,0)),"Article inconnu",IF(N(H1231)&lt;=0,"Quantité invalide",IF(J1231="","Prix manquant",IF(OR(N(K1231)&lt;0,N(K1231)&gt;=1),"Remise invalide",IF(M1231="","TVA manquante",IF(ISNA(MATCH(M1231,p_tva,0)),"Taux de TVA inconnu",IF(COUNTIFS(po_num,A1231,po_sup,"&lt;&gt;"&amp;C1231)&gt;0,"Fournisseur différent sur ce bon",IF(COUNTIFS(po_num,A1231,po_date,"&lt;&gt;"&amp;B1231)&gt;0,"Date différente sur ce bon",IF(COUNTIF(po_num,A1231)&gt;25,"Plus de 25 lignes sur ce bon",IF(R1231="","Date de livraison manquante",IF(R1231&lt;B1231,"Livraison avant la commande",IF(AND(N(T1231)&gt;0,N(S1231)=0),"Date d'envoi manquante",IF(N(T1231)&gt;N(H1231),"Reçu plus que commandé",IF(AND(N(T1231)&gt;0,N(U1231)=0),"Date de réception manquante",IF(AND(N(U1231)&gt;0,U1231&lt;B1231),"Réception avant la commande","OK")))))))))))))))))))))</f>
        <v/>
      </c>
      <c r="AA1231" s="66" t="str">
        <f>IF(AND(X1231="Reçu",ISNUMBER(R1231)),IF(N(U1231)&lt;=R1231,1,0),"")</f>
        <v/>
      </c>
      <c r="AB1231" s="76" t="str">
        <f>IF(OR(X1231="Envoyé",X1231="Partiel",X1231="En retard"),IF(ISNUMBER(R1231),R1231,100000)+ROW()/100000,"")</f>
        <v/>
      </c>
      <c r="AC1231" s="66" t="str">
        <f>IF(A1231="","",IF(COUNTIF($A$6:A1231,A1231)=1,1,""))</f>
        <v/>
      </c>
      <c r="AD1231" s="66" t="str">
        <f>IF(AC1231=1,COUNT($AC$6:AC1231),"")</f>
        <v/>
      </c>
      <c r="AE1231" s="66" t="str">
        <f>IFERROR(INDEX(po_num,MATCH(1226,po_seq,0))&amp;"","")</f>
        <v/>
      </c>
      <c r="AF1231" s="66" t="str">
        <f>IF(OR(A1231="",p_po=""),"",IF(A1231&amp;""=p_po,COUNTIF($A$6:A1231,A1231),""))</f>
        <v/>
      </c>
      <c r="AG1231" s="66" t="str">
        <f>IF(OR(AB1231="",A1231=""),"",IF(COUNTIFS($A$6:A1231,A1231,$AB$6:AB1231,"&gt;0")=1,1,""))</f>
        <v/>
      </c>
      <c r="AH1231" s="70" t="str">
        <f>IF(AB1231="","",ROUND(N(W1231)*N(J1231)*(1-N(K1231)),2))</f>
        <v/>
      </c>
      <c r="AI1231" s="70" t="str">
        <f>IF(OR(J1231="",N(T1231)&lt;=0,V1231="Oui"),"",ROUND(N(T1231)*J1231*(1-N(K1231)),2))</f>
        <v/>
      </c>
    </row>
    <row r="1232">
      <c r="A1232" s="63" t="n"/>
      <c r="B1232" s="64" t="n"/>
      <c r="C1232" s="65" t="n"/>
      <c r="D1232" s="66" t="str">
        <f>IF(C1232="","",IFERROR(INDEX(sup_name,MATCH($C1232,sup_code,0))&amp;"","Fournisseur inconnu"))</f>
        <v/>
      </c>
      <c r="E1232" s="63" t="n"/>
      <c r="F1232" s="66" t="str">
        <f>IF(E1232="","",IFERROR(INDEX(art_des,MATCH($E1232,art_ref,0))&amp;"","Article inconnu"))</f>
        <v/>
      </c>
      <c r="G1232" s="67" t="str">
        <f>IF(E1232="","",IFERROR(INDEX(art_unit,MATCH($E1232,art_ref,0))&amp;"",""))</f>
        <v/>
      </c>
      <c r="H1232" s="68" t="n"/>
      <c r="I1232" s="69" t="n"/>
      <c r="J1232" s="70" t="str">
        <f>IF(E1232="","",IF(ISNUMBER(I1232),I1232,IFERROR(IF(ISNUMBER(INDEX(art_price,MATCH($E1232,art_ref,0))),INDEX(art_price,MATCH($E1232,art_ref,0)),""),"")))</f>
        <v/>
      </c>
      <c r="K1232" s="71" t="n"/>
      <c r="L1232" s="72" t="n"/>
      <c r="M1232" s="72" t="str">
        <f>IF(E1232="","",IF(L1232&lt;&gt;"",L1232,IFERROR(IF(ISNUMBER(INDEX(art_tva,MATCH($E1232,art_ref,0))),INDEX(art_tva,MATCH($E1232,art_ref,0)),""),"")))</f>
        <v/>
      </c>
      <c r="N1232" s="70" t="str">
        <f>IF(OR(E1232="",J1232=""),"",ROUND(N(H1232)*J1232*(1-N(K1232)),2))</f>
        <v/>
      </c>
      <c r="O1232" s="70" t="str">
        <f>IF(OR(N1232="",NOT(ISNUMBER(M1232))),"",ROUND(N1232*M1232,2))</f>
        <v/>
      </c>
      <c r="P1232" s="70" t="str">
        <f>IF(N1232="","",N1232+N(O1232))</f>
        <v/>
      </c>
      <c r="Q1232" s="64" t="n"/>
      <c r="R1232" s="73" t="str">
        <f>IF(N(Q1232)&gt;0,Q1232,IF(OR(N(B1232)=0,ISNA(MATCH($C1232,sup_code,0))),"",IF(ISNUMBER(INDEX(sup_delay,MATCH($C1232,sup_code,0))),B1232+INDEX(sup_delay,MATCH($C1232,sup_code,0)),"")))</f>
        <v/>
      </c>
      <c r="S1232" s="64" t="n"/>
      <c r="T1232" s="68" t="n"/>
      <c r="U1232" s="64" t="n"/>
      <c r="V1232" s="65" t="n"/>
      <c r="W1232" s="74" t="str">
        <f>IF(AND(A1232="",E1232=""),"",IF(V1232="Oui",0,MAX(0,ROUND(N(H1232)-N(T1232),6))))</f>
        <v/>
      </c>
      <c r="X1232" s="67" t="str">
        <f>IF(AND(A1232="",E1232=""),"",IF(V1232="Oui","Annulé",IF(AND(N(H1232)&gt;0,N(T1232)&gt;=N(H1232)),"Reçu",IF(N(S1232)=0,"Brouillon",IF(AND(ISNUMBER(R1232),R1232&lt;p_today),"En retard",IF(N(T1232)&gt;0,"Partiel","Envoyé"))))))</f>
        <v/>
      </c>
      <c r="Y1232" s="75" t="str">
        <f>IF(X1232="En retard",p_today-R1232,IF(AND(X1232="Reçu",ISNUMBER(R1232)),MAX(0,N(U1232)-R1232),""))</f>
        <v/>
      </c>
      <c r="Z1232" s="67" t="str">
        <f>IF(AND(A1232="",E1232=""),"",IF(A1232="","N° de bon manquant",IF(N(B1232)=0,"Date de commande manquante",IF(C1232="","Fournisseur manquant",IF(ISNA(MATCH($C1232,sup_code,0)),"Fournisseur inconnu",IF(E1232="","Article manquant",IF(ISNA(MATCH($E1232,art_ref,0)),"Article inconnu",IF(N(H1232)&lt;=0,"Quantité invalide",IF(J1232="","Prix manquant",IF(OR(N(K1232)&lt;0,N(K1232)&gt;=1),"Remise invalide",IF(M1232="","TVA manquante",IF(ISNA(MATCH(M1232,p_tva,0)),"Taux de TVA inconnu",IF(COUNTIFS(po_num,A1232,po_sup,"&lt;&gt;"&amp;C1232)&gt;0,"Fournisseur différent sur ce bon",IF(COUNTIFS(po_num,A1232,po_date,"&lt;&gt;"&amp;B1232)&gt;0,"Date différente sur ce bon",IF(COUNTIF(po_num,A1232)&gt;25,"Plus de 25 lignes sur ce bon",IF(R1232="","Date de livraison manquante",IF(R1232&lt;B1232,"Livraison avant la commande",IF(AND(N(T1232)&gt;0,N(S1232)=0),"Date d'envoi manquante",IF(N(T1232)&gt;N(H1232),"Reçu plus que commandé",IF(AND(N(T1232)&gt;0,N(U1232)=0),"Date de réception manquante",IF(AND(N(U1232)&gt;0,U1232&lt;B1232),"Réception avant la commande","OK")))))))))))))))))))))</f>
        <v/>
      </c>
      <c r="AA1232" s="66" t="str">
        <f>IF(AND(X1232="Reçu",ISNUMBER(R1232)),IF(N(U1232)&lt;=R1232,1,0),"")</f>
        <v/>
      </c>
      <c r="AB1232" s="76" t="str">
        <f>IF(OR(X1232="Envoyé",X1232="Partiel",X1232="En retard"),IF(ISNUMBER(R1232),R1232,100000)+ROW()/100000,"")</f>
        <v/>
      </c>
      <c r="AC1232" s="66" t="str">
        <f>IF(A1232="","",IF(COUNTIF($A$6:A1232,A1232)=1,1,""))</f>
        <v/>
      </c>
      <c r="AD1232" s="66" t="str">
        <f>IF(AC1232=1,COUNT($AC$6:AC1232),"")</f>
        <v/>
      </c>
      <c r="AE1232" s="66" t="str">
        <f>IFERROR(INDEX(po_num,MATCH(1227,po_seq,0))&amp;"","")</f>
        <v/>
      </c>
      <c r="AF1232" s="66" t="str">
        <f>IF(OR(A1232="",p_po=""),"",IF(A1232&amp;""=p_po,COUNTIF($A$6:A1232,A1232),""))</f>
        <v/>
      </c>
      <c r="AG1232" s="66" t="str">
        <f>IF(OR(AB1232="",A1232=""),"",IF(COUNTIFS($A$6:A1232,A1232,$AB$6:AB1232,"&gt;0")=1,1,""))</f>
        <v/>
      </c>
      <c r="AH1232" s="70" t="str">
        <f>IF(AB1232="","",ROUND(N(W1232)*N(J1232)*(1-N(K1232)),2))</f>
        <v/>
      </c>
      <c r="AI1232" s="70" t="str">
        <f>IF(OR(J1232="",N(T1232)&lt;=0,V1232="Oui"),"",ROUND(N(T1232)*J1232*(1-N(K1232)),2))</f>
        <v/>
      </c>
    </row>
    <row r="1233">
      <c r="A1233" s="63" t="n"/>
      <c r="B1233" s="64" t="n"/>
      <c r="C1233" s="65" t="n"/>
      <c r="D1233" s="66" t="str">
        <f>IF(C1233="","",IFERROR(INDEX(sup_name,MATCH($C1233,sup_code,0))&amp;"","Fournisseur inconnu"))</f>
        <v/>
      </c>
      <c r="E1233" s="63" t="n"/>
      <c r="F1233" s="66" t="str">
        <f>IF(E1233="","",IFERROR(INDEX(art_des,MATCH($E1233,art_ref,0))&amp;"","Article inconnu"))</f>
        <v/>
      </c>
      <c r="G1233" s="67" t="str">
        <f>IF(E1233="","",IFERROR(INDEX(art_unit,MATCH($E1233,art_ref,0))&amp;"",""))</f>
        <v/>
      </c>
      <c r="H1233" s="68" t="n"/>
      <c r="I1233" s="69" t="n"/>
      <c r="J1233" s="70" t="str">
        <f>IF(E1233="","",IF(ISNUMBER(I1233),I1233,IFERROR(IF(ISNUMBER(INDEX(art_price,MATCH($E1233,art_ref,0))),INDEX(art_price,MATCH($E1233,art_ref,0)),""),"")))</f>
        <v/>
      </c>
      <c r="K1233" s="71" t="n"/>
      <c r="L1233" s="72" t="n"/>
      <c r="M1233" s="72" t="str">
        <f>IF(E1233="","",IF(L1233&lt;&gt;"",L1233,IFERROR(IF(ISNUMBER(INDEX(art_tva,MATCH($E1233,art_ref,0))),INDEX(art_tva,MATCH($E1233,art_ref,0)),""),"")))</f>
        <v/>
      </c>
      <c r="N1233" s="70" t="str">
        <f>IF(OR(E1233="",J1233=""),"",ROUND(N(H1233)*J1233*(1-N(K1233)),2))</f>
        <v/>
      </c>
      <c r="O1233" s="70" t="str">
        <f>IF(OR(N1233="",NOT(ISNUMBER(M1233))),"",ROUND(N1233*M1233,2))</f>
        <v/>
      </c>
      <c r="P1233" s="70" t="str">
        <f>IF(N1233="","",N1233+N(O1233))</f>
        <v/>
      </c>
      <c r="Q1233" s="64" t="n"/>
      <c r="R1233" s="73" t="str">
        <f>IF(N(Q1233)&gt;0,Q1233,IF(OR(N(B1233)=0,ISNA(MATCH($C1233,sup_code,0))),"",IF(ISNUMBER(INDEX(sup_delay,MATCH($C1233,sup_code,0))),B1233+INDEX(sup_delay,MATCH($C1233,sup_code,0)),"")))</f>
        <v/>
      </c>
      <c r="S1233" s="64" t="n"/>
      <c r="T1233" s="68" t="n"/>
      <c r="U1233" s="64" t="n"/>
      <c r="V1233" s="65" t="n"/>
      <c r="W1233" s="74" t="str">
        <f>IF(AND(A1233="",E1233=""),"",IF(V1233="Oui",0,MAX(0,ROUND(N(H1233)-N(T1233),6))))</f>
        <v/>
      </c>
      <c r="X1233" s="67" t="str">
        <f>IF(AND(A1233="",E1233=""),"",IF(V1233="Oui","Annulé",IF(AND(N(H1233)&gt;0,N(T1233)&gt;=N(H1233)),"Reçu",IF(N(S1233)=0,"Brouillon",IF(AND(ISNUMBER(R1233),R1233&lt;p_today),"En retard",IF(N(T1233)&gt;0,"Partiel","Envoyé"))))))</f>
        <v/>
      </c>
      <c r="Y1233" s="75" t="str">
        <f>IF(X1233="En retard",p_today-R1233,IF(AND(X1233="Reçu",ISNUMBER(R1233)),MAX(0,N(U1233)-R1233),""))</f>
        <v/>
      </c>
      <c r="Z1233" s="67" t="str">
        <f>IF(AND(A1233="",E1233=""),"",IF(A1233="","N° de bon manquant",IF(N(B1233)=0,"Date de commande manquante",IF(C1233="","Fournisseur manquant",IF(ISNA(MATCH($C1233,sup_code,0)),"Fournisseur inconnu",IF(E1233="","Article manquant",IF(ISNA(MATCH($E1233,art_ref,0)),"Article inconnu",IF(N(H1233)&lt;=0,"Quantité invalide",IF(J1233="","Prix manquant",IF(OR(N(K1233)&lt;0,N(K1233)&gt;=1),"Remise invalide",IF(M1233="","TVA manquante",IF(ISNA(MATCH(M1233,p_tva,0)),"Taux de TVA inconnu",IF(COUNTIFS(po_num,A1233,po_sup,"&lt;&gt;"&amp;C1233)&gt;0,"Fournisseur différent sur ce bon",IF(COUNTIFS(po_num,A1233,po_date,"&lt;&gt;"&amp;B1233)&gt;0,"Date différente sur ce bon",IF(COUNTIF(po_num,A1233)&gt;25,"Plus de 25 lignes sur ce bon",IF(R1233="","Date de livraison manquante",IF(R1233&lt;B1233,"Livraison avant la commande",IF(AND(N(T1233)&gt;0,N(S1233)=0),"Date d'envoi manquante",IF(N(T1233)&gt;N(H1233),"Reçu plus que commandé",IF(AND(N(T1233)&gt;0,N(U1233)=0),"Date de réception manquante",IF(AND(N(U1233)&gt;0,U1233&lt;B1233),"Réception avant la commande","OK")))))))))))))))))))))</f>
        <v/>
      </c>
      <c r="AA1233" s="66" t="str">
        <f>IF(AND(X1233="Reçu",ISNUMBER(R1233)),IF(N(U1233)&lt;=R1233,1,0),"")</f>
        <v/>
      </c>
      <c r="AB1233" s="76" t="str">
        <f>IF(OR(X1233="Envoyé",X1233="Partiel",X1233="En retard"),IF(ISNUMBER(R1233),R1233,100000)+ROW()/100000,"")</f>
        <v/>
      </c>
      <c r="AC1233" s="66" t="str">
        <f>IF(A1233="","",IF(COUNTIF($A$6:A1233,A1233)=1,1,""))</f>
        <v/>
      </c>
      <c r="AD1233" s="66" t="str">
        <f>IF(AC1233=1,COUNT($AC$6:AC1233),"")</f>
        <v/>
      </c>
      <c r="AE1233" s="66" t="str">
        <f>IFERROR(INDEX(po_num,MATCH(1228,po_seq,0))&amp;"","")</f>
        <v/>
      </c>
      <c r="AF1233" s="66" t="str">
        <f>IF(OR(A1233="",p_po=""),"",IF(A1233&amp;""=p_po,COUNTIF($A$6:A1233,A1233),""))</f>
        <v/>
      </c>
      <c r="AG1233" s="66" t="str">
        <f>IF(OR(AB1233="",A1233=""),"",IF(COUNTIFS($A$6:A1233,A1233,$AB$6:AB1233,"&gt;0")=1,1,""))</f>
        <v/>
      </c>
      <c r="AH1233" s="70" t="str">
        <f>IF(AB1233="","",ROUND(N(W1233)*N(J1233)*(1-N(K1233)),2))</f>
        <v/>
      </c>
      <c r="AI1233" s="70" t="str">
        <f>IF(OR(J1233="",N(T1233)&lt;=0,V1233="Oui"),"",ROUND(N(T1233)*J1233*(1-N(K1233)),2))</f>
        <v/>
      </c>
    </row>
    <row r="1234">
      <c r="A1234" s="63" t="n"/>
      <c r="B1234" s="64" t="n"/>
      <c r="C1234" s="65" t="n"/>
      <c r="D1234" s="66" t="str">
        <f>IF(C1234="","",IFERROR(INDEX(sup_name,MATCH($C1234,sup_code,0))&amp;"","Fournisseur inconnu"))</f>
        <v/>
      </c>
      <c r="E1234" s="63" t="n"/>
      <c r="F1234" s="66" t="str">
        <f>IF(E1234="","",IFERROR(INDEX(art_des,MATCH($E1234,art_ref,0))&amp;"","Article inconnu"))</f>
        <v/>
      </c>
      <c r="G1234" s="67" t="str">
        <f>IF(E1234="","",IFERROR(INDEX(art_unit,MATCH($E1234,art_ref,0))&amp;"",""))</f>
        <v/>
      </c>
      <c r="H1234" s="68" t="n"/>
      <c r="I1234" s="69" t="n"/>
      <c r="J1234" s="70" t="str">
        <f>IF(E1234="","",IF(ISNUMBER(I1234),I1234,IFERROR(IF(ISNUMBER(INDEX(art_price,MATCH($E1234,art_ref,0))),INDEX(art_price,MATCH($E1234,art_ref,0)),""),"")))</f>
        <v/>
      </c>
      <c r="K1234" s="71" t="n"/>
      <c r="L1234" s="72" t="n"/>
      <c r="M1234" s="72" t="str">
        <f>IF(E1234="","",IF(L1234&lt;&gt;"",L1234,IFERROR(IF(ISNUMBER(INDEX(art_tva,MATCH($E1234,art_ref,0))),INDEX(art_tva,MATCH($E1234,art_ref,0)),""),"")))</f>
        <v/>
      </c>
      <c r="N1234" s="70" t="str">
        <f>IF(OR(E1234="",J1234=""),"",ROUND(N(H1234)*J1234*(1-N(K1234)),2))</f>
        <v/>
      </c>
      <c r="O1234" s="70" t="str">
        <f>IF(OR(N1234="",NOT(ISNUMBER(M1234))),"",ROUND(N1234*M1234,2))</f>
        <v/>
      </c>
      <c r="P1234" s="70" t="str">
        <f>IF(N1234="","",N1234+N(O1234))</f>
        <v/>
      </c>
      <c r="Q1234" s="64" t="n"/>
      <c r="R1234" s="73" t="str">
        <f>IF(N(Q1234)&gt;0,Q1234,IF(OR(N(B1234)=0,ISNA(MATCH($C1234,sup_code,0))),"",IF(ISNUMBER(INDEX(sup_delay,MATCH($C1234,sup_code,0))),B1234+INDEX(sup_delay,MATCH($C1234,sup_code,0)),"")))</f>
        <v/>
      </c>
      <c r="S1234" s="64" t="n"/>
      <c r="T1234" s="68" t="n"/>
      <c r="U1234" s="64" t="n"/>
      <c r="V1234" s="65" t="n"/>
      <c r="W1234" s="74" t="str">
        <f>IF(AND(A1234="",E1234=""),"",IF(V1234="Oui",0,MAX(0,ROUND(N(H1234)-N(T1234),6))))</f>
        <v/>
      </c>
      <c r="X1234" s="67" t="str">
        <f>IF(AND(A1234="",E1234=""),"",IF(V1234="Oui","Annulé",IF(AND(N(H1234)&gt;0,N(T1234)&gt;=N(H1234)),"Reçu",IF(N(S1234)=0,"Brouillon",IF(AND(ISNUMBER(R1234),R1234&lt;p_today),"En retard",IF(N(T1234)&gt;0,"Partiel","Envoyé"))))))</f>
        <v/>
      </c>
      <c r="Y1234" s="75" t="str">
        <f>IF(X1234="En retard",p_today-R1234,IF(AND(X1234="Reçu",ISNUMBER(R1234)),MAX(0,N(U1234)-R1234),""))</f>
        <v/>
      </c>
      <c r="Z1234" s="67" t="str">
        <f>IF(AND(A1234="",E1234=""),"",IF(A1234="","N° de bon manquant",IF(N(B1234)=0,"Date de commande manquante",IF(C1234="","Fournisseur manquant",IF(ISNA(MATCH($C1234,sup_code,0)),"Fournisseur inconnu",IF(E1234="","Article manquant",IF(ISNA(MATCH($E1234,art_ref,0)),"Article inconnu",IF(N(H1234)&lt;=0,"Quantité invalide",IF(J1234="","Prix manquant",IF(OR(N(K1234)&lt;0,N(K1234)&gt;=1),"Remise invalide",IF(M1234="","TVA manquante",IF(ISNA(MATCH(M1234,p_tva,0)),"Taux de TVA inconnu",IF(COUNTIFS(po_num,A1234,po_sup,"&lt;&gt;"&amp;C1234)&gt;0,"Fournisseur différent sur ce bon",IF(COUNTIFS(po_num,A1234,po_date,"&lt;&gt;"&amp;B1234)&gt;0,"Date différente sur ce bon",IF(COUNTIF(po_num,A1234)&gt;25,"Plus de 25 lignes sur ce bon",IF(R1234="","Date de livraison manquante",IF(R1234&lt;B1234,"Livraison avant la commande",IF(AND(N(T1234)&gt;0,N(S1234)=0),"Date d'envoi manquante",IF(N(T1234)&gt;N(H1234),"Reçu plus que commandé",IF(AND(N(T1234)&gt;0,N(U1234)=0),"Date de réception manquante",IF(AND(N(U1234)&gt;0,U1234&lt;B1234),"Réception avant la commande","OK")))))))))))))))))))))</f>
        <v/>
      </c>
      <c r="AA1234" s="66" t="str">
        <f>IF(AND(X1234="Reçu",ISNUMBER(R1234)),IF(N(U1234)&lt;=R1234,1,0),"")</f>
        <v/>
      </c>
      <c r="AB1234" s="76" t="str">
        <f>IF(OR(X1234="Envoyé",X1234="Partiel",X1234="En retard"),IF(ISNUMBER(R1234),R1234,100000)+ROW()/100000,"")</f>
        <v/>
      </c>
      <c r="AC1234" s="66" t="str">
        <f>IF(A1234="","",IF(COUNTIF($A$6:A1234,A1234)=1,1,""))</f>
        <v/>
      </c>
      <c r="AD1234" s="66" t="str">
        <f>IF(AC1234=1,COUNT($AC$6:AC1234),"")</f>
        <v/>
      </c>
      <c r="AE1234" s="66" t="str">
        <f>IFERROR(INDEX(po_num,MATCH(1229,po_seq,0))&amp;"","")</f>
        <v/>
      </c>
      <c r="AF1234" s="66" t="str">
        <f>IF(OR(A1234="",p_po=""),"",IF(A1234&amp;""=p_po,COUNTIF($A$6:A1234,A1234),""))</f>
        <v/>
      </c>
      <c r="AG1234" s="66" t="str">
        <f>IF(OR(AB1234="",A1234=""),"",IF(COUNTIFS($A$6:A1234,A1234,$AB$6:AB1234,"&gt;0")=1,1,""))</f>
        <v/>
      </c>
      <c r="AH1234" s="70" t="str">
        <f>IF(AB1234="","",ROUND(N(W1234)*N(J1234)*(1-N(K1234)),2))</f>
        <v/>
      </c>
      <c r="AI1234" s="70" t="str">
        <f>IF(OR(J1234="",N(T1234)&lt;=0,V1234="Oui"),"",ROUND(N(T1234)*J1234*(1-N(K1234)),2))</f>
        <v/>
      </c>
    </row>
    <row r="1235">
      <c r="A1235" s="63" t="n"/>
      <c r="B1235" s="64" t="n"/>
      <c r="C1235" s="65" t="n"/>
      <c r="D1235" s="66" t="str">
        <f>IF(C1235="","",IFERROR(INDEX(sup_name,MATCH($C1235,sup_code,0))&amp;"","Fournisseur inconnu"))</f>
        <v/>
      </c>
      <c r="E1235" s="63" t="n"/>
      <c r="F1235" s="66" t="str">
        <f>IF(E1235="","",IFERROR(INDEX(art_des,MATCH($E1235,art_ref,0))&amp;"","Article inconnu"))</f>
        <v/>
      </c>
      <c r="G1235" s="67" t="str">
        <f>IF(E1235="","",IFERROR(INDEX(art_unit,MATCH($E1235,art_ref,0))&amp;"",""))</f>
        <v/>
      </c>
      <c r="H1235" s="68" t="n"/>
      <c r="I1235" s="69" t="n"/>
      <c r="J1235" s="70" t="str">
        <f>IF(E1235="","",IF(ISNUMBER(I1235),I1235,IFERROR(IF(ISNUMBER(INDEX(art_price,MATCH($E1235,art_ref,0))),INDEX(art_price,MATCH($E1235,art_ref,0)),""),"")))</f>
        <v/>
      </c>
      <c r="K1235" s="71" t="n"/>
      <c r="L1235" s="72" t="n"/>
      <c r="M1235" s="72" t="str">
        <f>IF(E1235="","",IF(L1235&lt;&gt;"",L1235,IFERROR(IF(ISNUMBER(INDEX(art_tva,MATCH($E1235,art_ref,0))),INDEX(art_tva,MATCH($E1235,art_ref,0)),""),"")))</f>
        <v/>
      </c>
      <c r="N1235" s="70" t="str">
        <f>IF(OR(E1235="",J1235=""),"",ROUND(N(H1235)*J1235*(1-N(K1235)),2))</f>
        <v/>
      </c>
      <c r="O1235" s="70" t="str">
        <f>IF(OR(N1235="",NOT(ISNUMBER(M1235))),"",ROUND(N1235*M1235,2))</f>
        <v/>
      </c>
      <c r="P1235" s="70" t="str">
        <f>IF(N1235="","",N1235+N(O1235))</f>
        <v/>
      </c>
      <c r="Q1235" s="64" t="n"/>
      <c r="R1235" s="73" t="str">
        <f>IF(N(Q1235)&gt;0,Q1235,IF(OR(N(B1235)=0,ISNA(MATCH($C1235,sup_code,0))),"",IF(ISNUMBER(INDEX(sup_delay,MATCH($C1235,sup_code,0))),B1235+INDEX(sup_delay,MATCH($C1235,sup_code,0)),"")))</f>
        <v/>
      </c>
      <c r="S1235" s="64" t="n"/>
      <c r="T1235" s="68" t="n"/>
      <c r="U1235" s="64" t="n"/>
      <c r="V1235" s="65" t="n"/>
      <c r="W1235" s="74" t="str">
        <f>IF(AND(A1235="",E1235=""),"",IF(V1235="Oui",0,MAX(0,ROUND(N(H1235)-N(T1235),6))))</f>
        <v/>
      </c>
      <c r="X1235" s="67" t="str">
        <f>IF(AND(A1235="",E1235=""),"",IF(V1235="Oui","Annulé",IF(AND(N(H1235)&gt;0,N(T1235)&gt;=N(H1235)),"Reçu",IF(N(S1235)=0,"Brouillon",IF(AND(ISNUMBER(R1235),R1235&lt;p_today),"En retard",IF(N(T1235)&gt;0,"Partiel","Envoyé"))))))</f>
        <v/>
      </c>
      <c r="Y1235" s="75" t="str">
        <f>IF(X1235="En retard",p_today-R1235,IF(AND(X1235="Reçu",ISNUMBER(R1235)),MAX(0,N(U1235)-R1235),""))</f>
        <v/>
      </c>
      <c r="Z1235" s="67" t="str">
        <f>IF(AND(A1235="",E1235=""),"",IF(A1235="","N° de bon manquant",IF(N(B1235)=0,"Date de commande manquante",IF(C1235="","Fournisseur manquant",IF(ISNA(MATCH($C1235,sup_code,0)),"Fournisseur inconnu",IF(E1235="","Article manquant",IF(ISNA(MATCH($E1235,art_ref,0)),"Article inconnu",IF(N(H1235)&lt;=0,"Quantité invalide",IF(J1235="","Prix manquant",IF(OR(N(K1235)&lt;0,N(K1235)&gt;=1),"Remise invalide",IF(M1235="","TVA manquante",IF(ISNA(MATCH(M1235,p_tva,0)),"Taux de TVA inconnu",IF(COUNTIFS(po_num,A1235,po_sup,"&lt;&gt;"&amp;C1235)&gt;0,"Fournisseur différent sur ce bon",IF(COUNTIFS(po_num,A1235,po_date,"&lt;&gt;"&amp;B1235)&gt;0,"Date différente sur ce bon",IF(COUNTIF(po_num,A1235)&gt;25,"Plus de 25 lignes sur ce bon",IF(R1235="","Date de livraison manquante",IF(R1235&lt;B1235,"Livraison avant la commande",IF(AND(N(T1235)&gt;0,N(S1235)=0),"Date d'envoi manquante",IF(N(T1235)&gt;N(H1235),"Reçu plus que commandé",IF(AND(N(T1235)&gt;0,N(U1235)=0),"Date de réception manquante",IF(AND(N(U1235)&gt;0,U1235&lt;B1235),"Réception avant la commande","OK")))))))))))))))))))))</f>
        <v/>
      </c>
      <c r="AA1235" s="66" t="str">
        <f>IF(AND(X1235="Reçu",ISNUMBER(R1235)),IF(N(U1235)&lt;=R1235,1,0),"")</f>
        <v/>
      </c>
      <c r="AB1235" s="76" t="str">
        <f>IF(OR(X1235="Envoyé",X1235="Partiel",X1235="En retard"),IF(ISNUMBER(R1235),R1235,100000)+ROW()/100000,"")</f>
        <v/>
      </c>
      <c r="AC1235" s="66" t="str">
        <f>IF(A1235="","",IF(COUNTIF($A$6:A1235,A1235)=1,1,""))</f>
        <v/>
      </c>
      <c r="AD1235" s="66" t="str">
        <f>IF(AC1235=1,COUNT($AC$6:AC1235),"")</f>
        <v/>
      </c>
      <c r="AE1235" s="66" t="str">
        <f>IFERROR(INDEX(po_num,MATCH(1230,po_seq,0))&amp;"","")</f>
        <v/>
      </c>
      <c r="AF1235" s="66" t="str">
        <f>IF(OR(A1235="",p_po=""),"",IF(A1235&amp;""=p_po,COUNTIF($A$6:A1235,A1235),""))</f>
        <v/>
      </c>
      <c r="AG1235" s="66" t="str">
        <f>IF(OR(AB1235="",A1235=""),"",IF(COUNTIFS($A$6:A1235,A1235,$AB$6:AB1235,"&gt;0")=1,1,""))</f>
        <v/>
      </c>
      <c r="AH1235" s="70" t="str">
        <f>IF(AB1235="","",ROUND(N(W1235)*N(J1235)*(1-N(K1235)),2))</f>
        <v/>
      </c>
      <c r="AI1235" s="70" t="str">
        <f>IF(OR(J1235="",N(T1235)&lt;=0,V1235="Oui"),"",ROUND(N(T1235)*J1235*(1-N(K1235)),2))</f>
        <v/>
      </c>
    </row>
    <row r="1236">
      <c r="A1236" s="63" t="n"/>
      <c r="B1236" s="64" t="n"/>
      <c r="C1236" s="65" t="n"/>
      <c r="D1236" s="66" t="str">
        <f>IF(C1236="","",IFERROR(INDEX(sup_name,MATCH($C1236,sup_code,0))&amp;"","Fournisseur inconnu"))</f>
        <v/>
      </c>
      <c r="E1236" s="63" t="n"/>
      <c r="F1236" s="66" t="str">
        <f>IF(E1236="","",IFERROR(INDEX(art_des,MATCH($E1236,art_ref,0))&amp;"","Article inconnu"))</f>
        <v/>
      </c>
      <c r="G1236" s="67" t="str">
        <f>IF(E1236="","",IFERROR(INDEX(art_unit,MATCH($E1236,art_ref,0))&amp;"",""))</f>
        <v/>
      </c>
      <c r="H1236" s="68" t="n"/>
      <c r="I1236" s="69" t="n"/>
      <c r="J1236" s="70" t="str">
        <f>IF(E1236="","",IF(ISNUMBER(I1236),I1236,IFERROR(IF(ISNUMBER(INDEX(art_price,MATCH($E1236,art_ref,0))),INDEX(art_price,MATCH($E1236,art_ref,0)),""),"")))</f>
        <v/>
      </c>
      <c r="K1236" s="71" t="n"/>
      <c r="L1236" s="72" t="n"/>
      <c r="M1236" s="72" t="str">
        <f>IF(E1236="","",IF(L1236&lt;&gt;"",L1236,IFERROR(IF(ISNUMBER(INDEX(art_tva,MATCH($E1236,art_ref,0))),INDEX(art_tva,MATCH($E1236,art_ref,0)),""),"")))</f>
        <v/>
      </c>
      <c r="N1236" s="70" t="str">
        <f>IF(OR(E1236="",J1236=""),"",ROUND(N(H1236)*J1236*(1-N(K1236)),2))</f>
        <v/>
      </c>
      <c r="O1236" s="70" t="str">
        <f>IF(OR(N1236="",NOT(ISNUMBER(M1236))),"",ROUND(N1236*M1236,2))</f>
        <v/>
      </c>
      <c r="P1236" s="70" t="str">
        <f>IF(N1236="","",N1236+N(O1236))</f>
        <v/>
      </c>
      <c r="Q1236" s="64" t="n"/>
      <c r="R1236" s="73" t="str">
        <f>IF(N(Q1236)&gt;0,Q1236,IF(OR(N(B1236)=0,ISNA(MATCH($C1236,sup_code,0))),"",IF(ISNUMBER(INDEX(sup_delay,MATCH($C1236,sup_code,0))),B1236+INDEX(sup_delay,MATCH($C1236,sup_code,0)),"")))</f>
        <v/>
      </c>
      <c r="S1236" s="64" t="n"/>
      <c r="T1236" s="68" t="n"/>
      <c r="U1236" s="64" t="n"/>
      <c r="V1236" s="65" t="n"/>
      <c r="W1236" s="74" t="str">
        <f>IF(AND(A1236="",E1236=""),"",IF(V1236="Oui",0,MAX(0,ROUND(N(H1236)-N(T1236),6))))</f>
        <v/>
      </c>
      <c r="X1236" s="67" t="str">
        <f>IF(AND(A1236="",E1236=""),"",IF(V1236="Oui","Annulé",IF(AND(N(H1236)&gt;0,N(T1236)&gt;=N(H1236)),"Reçu",IF(N(S1236)=0,"Brouillon",IF(AND(ISNUMBER(R1236),R1236&lt;p_today),"En retard",IF(N(T1236)&gt;0,"Partiel","Envoyé"))))))</f>
        <v/>
      </c>
      <c r="Y1236" s="75" t="str">
        <f>IF(X1236="En retard",p_today-R1236,IF(AND(X1236="Reçu",ISNUMBER(R1236)),MAX(0,N(U1236)-R1236),""))</f>
        <v/>
      </c>
      <c r="Z1236" s="67" t="str">
        <f>IF(AND(A1236="",E1236=""),"",IF(A1236="","N° de bon manquant",IF(N(B1236)=0,"Date de commande manquante",IF(C1236="","Fournisseur manquant",IF(ISNA(MATCH($C1236,sup_code,0)),"Fournisseur inconnu",IF(E1236="","Article manquant",IF(ISNA(MATCH($E1236,art_ref,0)),"Article inconnu",IF(N(H1236)&lt;=0,"Quantité invalide",IF(J1236="","Prix manquant",IF(OR(N(K1236)&lt;0,N(K1236)&gt;=1),"Remise invalide",IF(M1236="","TVA manquante",IF(ISNA(MATCH(M1236,p_tva,0)),"Taux de TVA inconnu",IF(COUNTIFS(po_num,A1236,po_sup,"&lt;&gt;"&amp;C1236)&gt;0,"Fournisseur différent sur ce bon",IF(COUNTIFS(po_num,A1236,po_date,"&lt;&gt;"&amp;B1236)&gt;0,"Date différente sur ce bon",IF(COUNTIF(po_num,A1236)&gt;25,"Plus de 25 lignes sur ce bon",IF(R1236="","Date de livraison manquante",IF(R1236&lt;B1236,"Livraison avant la commande",IF(AND(N(T1236)&gt;0,N(S1236)=0),"Date d'envoi manquante",IF(N(T1236)&gt;N(H1236),"Reçu plus que commandé",IF(AND(N(T1236)&gt;0,N(U1236)=0),"Date de réception manquante",IF(AND(N(U1236)&gt;0,U1236&lt;B1236),"Réception avant la commande","OK")))))))))))))))))))))</f>
        <v/>
      </c>
      <c r="AA1236" s="66" t="str">
        <f>IF(AND(X1236="Reçu",ISNUMBER(R1236)),IF(N(U1236)&lt;=R1236,1,0),"")</f>
        <v/>
      </c>
      <c r="AB1236" s="76" t="str">
        <f>IF(OR(X1236="Envoyé",X1236="Partiel",X1236="En retard"),IF(ISNUMBER(R1236),R1236,100000)+ROW()/100000,"")</f>
        <v/>
      </c>
      <c r="AC1236" s="66" t="str">
        <f>IF(A1236="","",IF(COUNTIF($A$6:A1236,A1236)=1,1,""))</f>
        <v/>
      </c>
      <c r="AD1236" s="66" t="str">
        <f>IF(AC1236=1,COUNT($AC$6:AC1236),"")</f>
        <v/>
      </c>
      <c r="AE1236" s="66" t="str">
        <f>IFERROR(INDEX(po_num,MATCH(1231,po_seq,0))&amp;"","")</f>
        <v/>
      </c>
      <c r="AF1236" s="66" t="str">
        <f>IF(OR(A1236="",p_po=""),"",IF(A1236&amp;""=p_po,COUNTIF($A$6:A1236,A1236),""))</f>
        <v/>
      </c>
      <c r="AG1236" s="66" t="str">
        <f>IF(OR(AB1236="",A1236=""),"",IF(COUNTIFS($A$6:A1236,A1236,$AB$6:AB1236,"&gt;0")=1,1,""))</f>
        <v/>
      </c>
      <c r="AH1236" s="70" t="str">
        <f>IF(AB1236="","",ROUND(N(W1236)*N(J1236)*(1-N(K1236)),2))</f>
        <v/>
      </c>
      <c r="AI1236" s="70" t="str">
        <f>IF(OR(J1236="",N(T1236)&lt;=0,V1236="Oui"),"",ROUND(N(T1236)*J1236*(1-N(K1236)),2))</f>
        <v/>
      </c>
    </row>
    <row r="1237">
      <c r="A1237" s="63" t="n"/>
      <c r="B1237" s="64" t="n"/>
      <c r="C1237" s="65" t="n"/>
      <c r="D1237" s="66" t="str">
        <f>IF(C1237="","",IFERROR(INDEX(sup_name,MATCH($C1237,sup_code,0))&amp;"","Fournisseur inconnu"))</f>
        <v/>
      </c>
      <c r="E1237" s="63" t="n"/>
      <c r="F1237" s="66" t="str">
        <f>IF(E1237="","",IFERROR(INDEX(art_des,MATCH($E1237,art_ref,0))&amp;"","Article inconnu"))</f>
        <v/>
      </c>
      <c r="G1237" s="67" t="str">
        <f>IF(E1237="","",IFERROR(INDEX(art_unit,MATCH($E1237,art_ref,0))&amp;"",""))</f>
        <v/>
      </c>
      <c r="H1237" s="68" t="n"/>
      <c r="I1237" s="69" t="n"/>
      <c r="J1237" s="70" t="str">
        <f>IF(E1237="","",IF(ISNUMBER(I1237),I1237,IFERROR(IF(ISNUMBER(INDEX(art_price,MATCH($E1237,art_ref,0))),INDEX(art_price,MATCH($E1237,art_ref,0)),""),"")))</f>
        <v/>
      </c>
      <c r="K1237" s="71" t="n"/>
      <c r="L1237" s="72" t="n"/>
      <c r="M1237" s="72" t="str">
        <f>IF(E1237="","",IF(L1237&lt;&gt;"",L1237,IFERROR(IF(ISNUMBER(INDEX(art_tva,MATCH($E1237,art_ref,0))),INDEX(art_tva,MATCH($E1237,art_ref,0)),""),"")))</f>
        <v/>
      </c>
      <c r="N1237" s="70" t="str">
        <f>IF(OR(E1237="",J1237=""),"",ROUND(N(H1237)*J1237*(1-N(K1237)),2))</f>
        <v/>
      </c>
      <c r="O1237" s="70" t="str">
        <f>IF(OR(N1237="",NOT(ISNUMBER(M1237))),"",ROUND(N1237*M1237,2))</f>
        <v/>
      </c>
      <c r="P1237" s="70" t="str">
        <f>IF(N1237="","",N1237+N(O1237))</f>
        <v/>
      </c>
      <c r="Q1237" s="64" t="n"/>
      <c r="R1237" s="73" t="str">
        <f>IF(N(Q1237)&gt;0,Q1237,IF(OR(N(B1237)=0,ISNA(MATCH($C1237,sup_code,0))),"",IF(ISNUMBER(INDEX(sup_delay,MATCH($C1237,sup_code,0))),B1237+INDEX(sup_delay,MATCH($C1237,sup_code,0)),"")))</f>
        <v/>
      </c>
      <c r="S1237" s="64" t="n"/>
      <c r="T1237" s="68" t="n"/>
      <c r="U1237" s="64" t="n"/>
      <c r="V1237" s="65" t="n"/>
      <c r="W1237" s="74" t="str">
        <f>IF(AND(A1237="",E1237=""),"",IF(V1237="Oui",0,MAX(0,ROUND(N(H1237)-N(T1237),6))))</f>
        <v/>
      </c>
      <c r="X1237" s="67" t="str">
        <f>IF(AND(A1237="",E1237=""),"",IF(V1237="Oui","Annulé",IF(AND(N(H1237)&gt;0,N(T1237)&gt;=N(H1237)),"Reçu",IF(N(S1237)=0,"Brouillon",IF(AND(ISNUMBER(R1237),R1237&lt;p_today),"En retard",IF(N(T1237)&gt;0,"Partiel","Envoyé"))))))</f>
        <v/>
      </c>
      <c r="Y1237" s="75" t="str">
        <f>IF(X1237="En retard",p_today-R1237,IF(AND(X1237="Reçu",ISNUMBER(R1237)),MAX(0,N(U1237)-R1237),""))</f>
        <v/>
      </c>
      <c r="Z1237" s="67" t="str">
        <f>IF(AND(A1237="",E1237=""),"",IF(A1237="","N° de bon manquant",IF(N(B1237)=0,"Date de commande manquante",IF(C1237="","Fournisseur manquant",IF(ISNA(MATCH($C1237,sup_code,0)),"Fournisseur inconnu",IF(E1237="","Article manquant",IF(ISNA(MATCH($E1237,art_ref,0)),"Article inconnu",IF(N(H1237)&lt;=0,"Quantité invalide",IF(J1237="","Prix manquant",IF(OR(N(K1237)&lt;0,N(K1237)&gt;=1),"Remise invalide",IF(M1237="","TVA manquante",IF(ISNA(MATCH(M1237,p_tva,0)),"Taux de TVA inconnu",IF(COUNTIFS(po_num,A1237,po_sup,"&lt;&gt;"&amp;C1237)&gt;0,"Fournisseur différent sur ce bon",IF(COUNTIFS(po_num,A1237,po_date,"&lt;&gt;"&amp;B1237)&gt;0,"Date différente sur ce bon",IF(COUNTIF(po_num,A1237)&gt;25,"Plus de 25 lignes sur ce bon",IF(R1237="","Date de livraison manquante",IF(R1237&lt;B1237,"Livraison avant la commande",IF(AND(N(T1237)&gt;0,N(S1237)=0),"Date d'envoi manquante",IF(N(T1237)&gt;N(H1237),"Reçu plus que commandé",IF(AND(N(T1237)&gt;0,N(U1237)=0),"Date de réception manquante",IF(AND(N(U1237)&gt;0,U1237&lt;B1237),"Réception avant la commande","OK")))))))))))))))))))))</f>
        <v/>
      </c>
      <c r="AA1237" s="66" t="str">
        <f>IF(AND(X1237="Reçu",ISNUMBER(R1237)),IF(N(U1237)&lt;=R1237,1,0),"")</f>
        <v/>
      </c>
      <c r="AB1237" s="76" t="str">
        <f>IF(OR(X1237="Envoyé",X1237="Partiel",X1237="En retard"),IF(ISNUMBER(R1237),R1237,100000)+ROW()/100000,"")</f>
        <v/>
      </c>
      <c r="AC1237" s="66" t="str">
        <f>IF(A1237="","",IF(COUNTIF($A$6:A1237,A1237)=1,1,""))</f>
        <v/>
      </c>
      <c r="AD1237" s="66" t="str">
        <f>IF(AC1237=1,COUNT($AC$6:AC1237),"")</f>
        <v/>
      </c>
      <c r="AE1237" s="66" t="str">
        <f>IFERROR(INDEX(po_num,MATCH(1232,po_seq,0))&amp;"","")</f>
        <v/>
      </c>
      <c r="AF1237" s="66" t="str">
        <f>IF(OR(A1237="",p_po=""),"",IF(A1237&amp;""=p_po,COUNTIF($A$6:A1237,A1237),""))</f>
        <v/>
      </c>
      <c r="AG1237" s="66" t="str">
        <f>IF(OR(AB1237="",A1237=""),"",IF(COUNTIFS($A$6:A1237,A1237,$AB$6:AB1237,"&gt;0")=1,1,""))</f>
        <v/>
      </c>
      <c r="AH1237" s="70" t="str">
        <f>IF(AB1237="","",ROUND(N(W1237)*N(J1237)*(1-N(K1237)),2))</f>
        <v/>
      </c>
      <c r="AI1237" s="70" t="str">
        <f>IF(OR(J1237="",N(T1237)&lt;=0,V1237="Oui"),"",ROUND(N(T1237)*J1237*(1-N(K1237)),2))</f>
        <v/>
      </c>
    </row>
    <row r="1238">
      <c r="A1238" s="63" t="n"/>
      <c r="B1238" s="64" t="n"/>
      <c r="C1238" s="65" t="n"/>
      <c r="D1238" s="66" t="str">
        <f>IF(C1238="","",IFERROR(INDEX(sup_name,MATCH($C1238,sup_code,0))&amp;"","Fournisseur inconnu"))</f>
        <v/>
      </c>
      <c r="E1238" s="63" t="n"/>
      <c r="F1238" s="66" t="str">
        <f>IF(E1238="","",IFERROR(INDEX(art_des,MATCH($E1238,art_ref,0))&amp;"","Article inconnu"))</f>
        <v/>
      </c>
      <c r="G1238" s="67" t="str">
        <f>IF(E1238="","",IFERROR(INDEX(art_unit,MATCH($E1238,art_ref,0))&amp;"",""))</f>
        <v/>
      </c>
      <c r="H1238" s="68" t="n"/>
      <c r="I1238" s="69" t="n"/>
      <c r="J1238" s="70" t="str">
        <f>IF(E1238="","",IF(ISNUMBER(I1238),I1238,IFERROR(IF(ISNUMBER(INDEX(art_price,MATCH($E1238,art_ref,0))),INDEX(art_price,MATCH($E1238,art_ref,0)),""),"")))</f>
        <v/>
      </c>
      <c r="K1238" s="71" t="n"/>
      <c r="L1238" s="72" t="n"/>
      <c r="M1238" s="72" t="str">
        <f>IF(E1238="","",IF(L1238&lt;&gt;"",L1238,IFERROR(IF(ISNUMBER(INDEX(art_tva,MATCH($E1238,art_ref,0))),INDEX(art_tva,MATCH($E1238,art_ref,0)),""),"")))</f>
        <v/>
      </c>
      <c r="N1238" s="70" t="str">
        <f>IF(OR(E1238="",J1238=""),"",ROUND(N(H1238)*J1238*(1-N(K1238)),2))</f>
        <v/>
      </c>
      <c r="O1238" s="70" t="str">
        <f>IF(OR(N1238="",NOT(ISNUMBER(M1238))),"",ROUND(N1238*M1238,2))</f>
        <v/>
      </c>
      <c r="P1238" s="70" t="str">
        <f>IF(N1238="","",N1238+N(O1238))</f>
        <v/>
      </c>
      <c r="Q1238" s="64" t="n"/>
      <c r="R1238" s="73" t="str">
        <f>IF(N(Q1238)&gt;0,Q1238,IF(OR(N(B1238)=0,ISNA(MATCH($C1238,sup_code,0))),"",IF(ISNUMBER(INDEX(sup_delay,MATCH($C1238,sup_code,0))),B1238+INDEX(sup_delay,MATCH($C1238,sup_code,0)),"")))</f>
        <v/>
      </c>
      <c r="S1238" s="64" t="n"/>
      <c r="T1238" s="68" t="n"/>
      <c r="U1238" s="64" t="n"/>
      <c r="V1238" s="65" t="n"/>
      <c r="W1238" s="74" t="str">
        <f>IF(AND(A1238="",E1238=""),"",IF(V1238="Oui",0,MAX(0,ROUND(N(H1238)-N(T1238),6))))</f>
        <v/>
      </c>
      <c r="X1238" s="67" t="str">
        <f>IF(AND(A1238="",E1238=""),"",IF(V1238="Oui","Annulé",IF(AND(N(H1238)&gt;0,N(T1238)&gt;=N(H1238)),"Reçu",IF(N(S1238)=0,"Brouillon",IF(AND(ISNUMBER(R1238),R1238&lt;p_today),"En retard",IF(N(T1238)&gt;0,"Partiel","Envoyé"))))))</f>
        <v/>
      </c>
      <c r="Y1238" s="75" t="str">
        <f>IF(X1238="En retard",p_today-R1238,IF(AND(X1238="Reçu",ISNUMBER(R1238)),MAX(0,N(U1238)-R1238),""))</f>
        <v/>
      </c>
      <c r="Z1238" s="67" t="str">
        <f>IF(AND(A1238="",E1238=""),"",IF(A1238="","N° de bon manquant",IF(N(B1238)=0,"Date de commande manquante",IF(C1238="","Fournisseur manquant",IF(ISNA(MATCH($C1238,sup_code,0)),"Fournisseur inconnu",IF(E1238="","Article manquant",IF(ISNA(MATCH($E1238,art_ref,0)),"Article inconnu",IF(N(H1238)&lt;=0,"Quantité invalide",IF(J1238="","Prix manquant",IF(OR(N(K1238)&lt;0,N(K1238)&gt;=1),"Remise invalide",IF(M1238="","TVA manquante",IF(ISNA(MATCH(M1238,p_tva,0)),"Taux de TVA inconnu",IF(COUNTIFS(po_num,A1238,po_sup,"&lt;&gt;"&amp;C1238)&gt;0,"Fournisseur différent sur ce bon",IF(COUNTIFS(po_num,A1238,po_date,"&lt;&gt;"&amp;B1238)&gt;0,"Date différente sur ce bon",IF(COUNTIF(po_num,A1238)&gt;25,"Plus de 25 lignes sur ce bon",IF(R1238="","Date de livraison manquante",IF(R1238&lt;B1238,"Livraison avant la commande",IF(AND(N(T1238)&gt;0,N(S1238)=0),"Date d'envoi manquante",IF(N(T1238)&gt;N(H1238),"Reçu plus que commandé",IF(AND(N(T1238)&gt;0,N(U1238)=0),"Date de réception manquante",IF(AND(N(U1238)&gt;0,U1238&lt;B1238),"Réception avant la commande","OK")))))))))))))))))))))</f>
        <v/>
      </c>
      <c r="AA1238" s="66" t="str">
        <f>IF(AND(X1238="Reçu",ISNUMBER(R1238)),IF(N(U1238)&lt;=R1238,1,0),"")</f>
        <v/>
      </c>
      <c r="AB1238" s="76" t="str">
        <f>IF(OR(X1238="Envoyé",X1238="Partiel",X1238="En retard"),IF(ISNUMBER(R1238),R1238,100000)+ROW()/100000,"")</f>
        <v/>
      </c>
      <c r="AC1238" s="66" t="str">
        <f>IF(A1238="","",IF(COUNTIF($A$6:A1238,A1238)=1,1,""))</f>
        <v/>
      </c>
      <c r="AD1238" s="66" t="str">
        <f>IF(AC1238=1,COUNT($AC$6:AC1238),"")</f>
        <v/>
      </c>
      <c r="AE1238" s="66" t="str">
        <f>IFERROR(INDEX(po_num,MATCH(1233,po_seq,0))&amp;"","")</f>
        <v/>
      </c>
      <c r="AF1238" s="66" t="str">
        <f>IF(OR(A1238="",p_po=""),"",IF(A1238&amp;""=p_po,COUNTIF($A$6:A1238,A1238),""))</f>
        <v/>
      </c>
      <c r="AG1238" s="66" t="str">
        <f>IF(OR(AB1238="",A1238=""),"",IF(COUNTIFS($A$6:A1238,A1238,$AB$6:AB1238,"&gt;0")=1,1,""))</f>
        <v/>
      </c>
      <c r="AH1238" s="70" t="str">
        <f>IF(AB1238="","",ROUND(N(W1238)*N(J1238)*(1-N(K1238)),2))</f>
        <v/>
      </c>
      <c r="AI1238" s="70" t="str">
        <f>IF(OR(J1238="",N(T1238)&lt;=0,V1238="Oui"),"",ROUND(N(T1238)*J1238*(1-N(K1238)),2))</f>
        <v/>
      </c>
    </row>
    <row r="1239">
      <c r="A1239" s="63" t="n"/>
      <c r="B1239" s="64" t="n"/>
      <c r="C1239" s="65" t="n"/>
      <c r="D1239" s="66" t="str">
        <f>IF(C1239="","",IFERROR(INDEX(sup_name,MATCH($C1239,sup_code,0))&amp;"","Fournisseur inconnu"))</f>
        <v/>
      </c>
      <c r="E1239" s="63" t="n"/>
      <c r="F1239" s="66" t="str">
        <f>IF(E1239="","",IFERROR(INDEX(art_des,MATCH($E1239,art_ref,0))&amp;"","Article inconnu"))</f>
        <v/>
      </c>
      <c r="G1239" s="67" t="str">
        <f>IF(E1239="","",IFERROR(INDEX(art_unit,MATCH($E1239,art_ref,0))&amp;"",""))</f>
        <v/>
      </c>
      <c r="H1239" s="68" t="n"/>
      <c r="I1239" s="69" t="n"/>
      <c r="J1239" s="70" t="str">
        <f>IF(E1239="","",IF(ISNUMBER(I1239),I1239,IFERROR(IF(ISNUMBER(INDEX(art_price,MATCH($E1239,art_ref,0))),INDEX(art_price,MATCH($E1239,art_ref,0)),""),"")))</f>
        <v/>
      </c>
      <c r="K1239" s="71" t="n"/>
      <c r="L1239" s="72" t="n"/>
      <c r="M1239" s="72" t="str">
        <f>IF(E1239="","",IF(L1239&lt;&gt;"",L1239,IFERROR(IF(ISNUMBER(INDEX(art_tva,MATCH($E1239,art_ref,0))),INDEX(art_tva,MATCH($E1239,art_ref,0)),""),"")))</f>
        <v/>
      </c>
      <c r="N1239" s="70" t="str">
        <f>IF(OR(E1239="",J1239=""),"",ROUND(N(H1239)*J1239*(1-N(K1239)),2))</f>
        <v/>
      </c>
      <c r="O1239" s="70" t="str">
        <f>IF(OR(N1239="",NOT(ISNUMBER(M1239))),"",ROUND(N1239*M1239,2))</f>
        <v/>
      </c>
      <c r="P1239" s="70" t="str">
        <f>IF(N1239="","",N1239+N(O1239))</f>
        <v/>
      </c>
      <c r="Q1239" s="64" t="n"/>
      <c r="R1239" s="73" t="str">
        <f>IF(N(Q1239)&gt;0,Q1239,IF(OR(N(B1239)=0,ISNA(MATCH($C1239,sup_code,0))),"",IF(ISNUMBER(INDEX(sup_delay,MATCH($C1239,sup_code,0))),B1239+INDEX(sup_delay,MATCH($C1239,sup_code,0)),"")))</f>
        <v/>
      </c>
      <c r="S1239" s="64" t="n"/>
      <c r="T1239" s="68" t="n"/>
      <c r="U1239" s="64" t="n"/>
      <c r="V1239" s="65" t="n"/>
      <c r="W1239" s="74" t="str">
        <f>IF(AND(A1239="",E1239=""),"",IF(V1239="Oui",0,MAX(0,ROUND(N(H1239)-N(T1239),6))))</f>
        <v/>
      </c>
      <c r="X1239" s="67" t="str">
        <f>IF(AND(A1239="",E1239=""),"",IF(V1239="Oui","Annulé",IF(AND(N(H1239)&gt;0,N(T1239)&gt;=N(H1239)),"Reçu",IF(N(S1239)=0,"Brouillon",IF(AND(ISNUMBER(R1239),R1239&lt;p_today),"En retard",IF(N(T1239)&gt;0,"Partiel","Envoyé"))))))</f>
        <v/>
      </c>
      <c r="Y1239" s="75" t="str">
        <f>IF(X1239="En retard",p_today-R1239,IF(AND(X1239="Reçu",ISNUMBER(R1239)),MAX(0,N(U1239)-R1239),""))</f>
        <v/>
      </c>
      <c r="Z1239" s="67" t="str">
        <f>IF(AND(A1239="",E1239=""),"",IF(A1239="","N° de bon manquant",IF(N(B1239)=0,"Date de commande manquante",IF(C1239="","Fournisseur manquant",IF(ISNA(MATCH($C1239,sup_code,0)),"Fournisseur inconnu",IF(E1239="","Article manquant",IF(ISNA(MATCH($E1239,art_ref,0)),"Article inconnu",IF(N(H1239)&lt;=0,"Quantité invalide",IF(J1239="","Prix manquant",IF(OR(N(K1239)&lt;0,N(K1239)&gt;=1),"Remise invalide",IF(M1239="","TVA manquante",IF(ISNA(MATCH(M1239,p_tva,0)),"Taux de TVA inconnu",IF(COUNTIFS(po_num,A1239,po_sup,"&lt;&gt;"&amp;C1239)&gt;0,"Fournisseur différent sur ce bon",IF(COUNTIFS(po_num,A1239,po_date,"&lt;&gt;"&amp;B1239)&gt;0,"Date différente sur ce bon",IF(COUNTIF(po_num,A1239)&gt;25,"Plus de 25 lignes sur ce bon",IF(R1239="","Date de livraison manquante",IF(R1239&lt;B1239,"Livraison avant la commande",IF(AND(N(T1239)&gt;0,N(S1239)=0),"Date d'envoi manquante",IF(N(T1239)&gt;N(H1239),"Reçu plus que commandé",IF(AND(N(T1239)&gt;0,N(U1239)=0),"Date de réception manquante",IF(AND(N(U1239)&gt;0,U1239&lt;B1239),"Réception avant la commande","OK")))))))))))))))))))))</f>
        <v/>
      </c>
      <c r="AA1239" s="66" t="str">
        <f>IF(AND(X1239="Reçu",ISNUMBER(R1239)),IF(N(U1239)&lt;=R1239,1,0),"")</f>
        <v/>
      </c>
      <c r="AB1239" s="76" t="str">
        <f>IF(OR(X1239="Envoyé",X1239="Partiel",X1239="En retard"),IF(ISNUMBER(R1239),R1239,100000)+ROW()/100000,"")</f>
        <v/>
      </c>
      <c r="AC1239" s="66" t="str">
        <f>IF(A1239="","",IF(COUNTIF($A$6:A1239,A1239)=1,1,""))</f>
        <v/>
      </c>
      <c r="AD1239" s="66" t="str">
        <f>IF(AC1239=1,COUNT($AC$6:AC1239),"")</f>
        <v/>
      </c>
      <c r="AE1239" s="66" t="str">
        <f>IFERROR(INDEX(po_num,MATCH(1234,po_seq,0))&amp;"","")</f>
        <v/>
      </c>
      <c r="AF1239" s="66" t="str">
        <f>IF(OR(A1239="",p_po=""),"",IF(A1239&amp;""=p_po,COUNTIF($A$6:A1239,A1239),""))</f>
        <v/>
      </c>
      <c r="AG1239" s="66" t="str">
        <f>IF(OR(AB1239="",A1239=""),"",IF(COUNTIFS($A$6:A1239,A1239,$AB$6:AB1239,"&gt;0")=1,1,""))</f>
        <v/>
      </c>
      <c r="AH1239" s="70" t="str">
        <f>IF(AB1239="","",ROUND(N(W1239)*N(J1239)*(1-N(K1239)),2))</f>
        <v/>
      </c>
      <c r="AI1239" s="70" t="str">
        <f>IF(OR(J1239="",N(T1239)&lt;=0,V1239="Oui"),"",ROUND(N(T1239)*J1239*(1-N(K1239)),2))</f>
        <v/>
      </c>
    </row>
    <row r="1240">
      <c r="A1240" s="63" t="n"/>
      <c r="B1240" s="64" t="n"/>
      <c r="C1240" s="65" t="n"/>
      <c r="D1240" s="66" t="str">
        <f>IF(C1240="","",IFERROR(INDEX(sup_name,MATCH($C1240,sup_code,0))&amp;"","Fournisseur inconnu"))</f>
        <v/>
      </c>
      <c r="E1240" s="63" t="n"/>
      <c r="F1240" s="66" t="str">
        <f>IF(E1240="","",IFERROR(INDEX(art_des,MATCH($E1240,art_ref,0))&amp;"","Article inconnu"))</f>
        <v/>
      </c>
      <c r="G1240" s="67" t="str">
        <f>IF(E1240="","",IFERROR(INDEX(art_unit,MATCH($E1240,art_ref,0))&amp;"",""))</f>
        <v/>
      </c>
      <c r="H1240" s="68" t="n"/>
      <c r="I1240" s="69" t="n"/>
      <c r="J1240" s="70" t="str">
        <f>IF(E1240="","",IF(ISNUMBER(I1240),I1240,IFERROR(IF(ISNUMBER(INDEX(art_price,MATCH($E1240,art_ref,0))),INDEX(art_price,MATCH($E1240,art_ref,0)),""),"")))</f>
        <v/>
      </c>
      <c r="K1240" s="71" t="n"/>
      <c r="L1240" s="72" t="n"/>
      <c r="M1240" s="72" t="str">
        <f>IF(E1240="","",IF(L1240&lt;&gt;"",L1240,IFERROR(IF(ISNUMBER(INDEX(art_tva,MATCH($E1240,art_ref,0))),INDEX(art_tva,MATCH($E1240,art_ref,0)),""),"")))</f>
        <v/>
      </c>
      <c r="N1240" s="70" t="str">
        <f>IF(OR(E1240="",J1240=""),"",ROUND(N(H1240)*J1240*(1-N(K1240)),2))</f>
        <v/>
      </c>
      <c r="O1240" s="70" t="str">
        <f>IF(OR(N1240="",NOT(ISNUMBER(M1240))),"",ROUND(N1240*M1240,2))</f>
        <v/>
      </c>
      <c r="P1240" s="70" t="str">
        <f>IF(N1240="","",N1240+N(O1240))</f>
        <v/>
      </c>
      <c r="Q1240" s="64" t="n"/>
      <c r="R1240" s="73" t="str">
        <f>IF(N(Q1240)&gt;0,Q1240,IF(OR(N(B1240)=0,ISNA(MATCH($C1240,sup_code,0))),"",IF(ISNUMBER(INDEX(sup_delay,MATCH($C1240,sup_code,0))),B1240+INDEX(sup_delay,MATCH($C1240,sup_code,0)),"")))</f>
        <v/>
      </c>
      <c r="S1240" s="64" t="n"/>
      <c r="T1240" s="68" t="n"/>
      <c r="U1240" s="64" t="n"/>
      <c r="V1240" s="65" t="n"/>
      <c r="W1240" s="74" t="str">
        <f>IF(AND(A1240="",E1240=""),"",IF(V1240="Oui",0,MAX(0,ROUND(N(H1240)-N(T1240),6))))</f>
        <v/>
      </c>
      <c r="X1240" s="67" t="str">
        <f>IF(AND(A1240="",E1240=""),"",IF(V1240="Oui","Annulé",IF(AND(N(H1240)&gt;0,N(T1240)&gt;=N(H1240)),"Reçu",IF(N(S1240)=0,"Brouillon",IF(AND(ISNUMBER(R1240),R1240&lt;p_today),"En retard",IF(N(T1240)&gt;0,"Partiel","Envoyé"))))))</f>
        <v/>
      </c>
      <c r="Y1240" s="75" t="str">
        <f>IF(X1240="En retard",p_today-R1240,IF(AND(X1240="Reçu",ISNUMBER(R1240)),MAX(0,N(U1240)-R1240),""))</f>
        <v/>
      </c>
      <c r="Z1240" s="67" t="str">
        <f>IF(AND(A1240="",E1240=""),"",IF(A1240="","N° de bon manquant",IF(N(B1240)=0,"Date de commande manquante",IF(C1240="","Fournisseur manquant",IF(ISNA(MATCH($C1240,sup_code,0)),"Fournisseur inconnu",IF(E1240="","Article manquant",IF(ISNA(MATCH($E1240,art_ref,0)),"Article inconnu",IF(N(H1240)&lt;=0,"Quantité invalide",IF(J1240="","Prix manquant",IF(OR(N(K1240)&lt;0,N(K1240)&gt;=1),"Remise invalide",IF(M1240="","TVA manquante",IF(ISNA(MATCH(M1240,p_tva,0)),"Taux de TVA inconnu",IF(COUNTIFS(po_num,A1240,po_sup,"&lt;&gt;"&amp;C1240)&gt;0,"Fournisseur différent sur ce bon",IF(COUNTIFS(po_num,A1240,po_date,"&lt;&gt;"&amp;B1240)&gt;0,"Date différente sur ce bon",IF(COUNTIF(po_num,A1240)&gt;25,"Plus de 25 lignes sur ce bon",IF(R1240="","Date de livraison manquante",IF(R1240&lt;B1240,"Livraison avant la commande",IF(AND(N(T1240)&gt;0,N(S1240)=0),"Date d'envoi manquante",IF(N(T1240)&gt;N(H1240),"Reçu plus que commandé",IF(AND(N(T1240)&gt;0,N(U1240)=0),"Date de réception manquante",IF(AND(N(U1240)&gt;0,U1240&lt;B1240),"Réception avant la commande","OK")))))))))))))))))))))</f>
        <v/>
      </c>
      <c r="AA1240" s="66" t="str">
        <f>IF(AND(X1240="Reçu",ISNUMBER(R1240)),IF(N(U1240)&lt;=R1240,1,0),"")</f>
        <v/>
      </c>
      <c r="AB1240" s="76" t="str">
        <f>IF(OR(X1240="Envoyé",X1240="Partiel",X1240="En retard"),IF(ISNUMBER(R1240),R1240,100000)+ROW()/100000,"")</f>
        <v/>
      </c>
      <c r="AC1240" s="66" t="str">
        <f>IF(A1240="","",IF(COUNTIF($A$6:A1240,A1240)=1,1,""))</f>
        <v/>
      </c>
      <c r="AD1240" s="66" t="str">
        <f>IF(AC1240=1,COUNT($AC$6:AC1240),"")</f>
        <v/>
      </c>
      <c r="AE1240" s="66" t="str">
        <f>IFERROR(INDEX(po_num,MATCH(1235,po_seq,0))&amp;"","")</f>
        <v/>
      </c>
      <c r="AF1240" s="66" t="str">
        <f>IF(OR(A1240="",p_po=""),"",IF(A1240&amp;""=p_po,COUNTIF($A$6:A1240,A1240),""))</f>
        <v/>
      </c>
      <c r="AG1240" s="66" t="str">
        <f>IF(OR(AB1240="",A1240=""),"",IF(COUNTIFS($A$6:A1240,A1240,$AB$6:AB1240,"&gt;0")=1,1,""))</f>
        <v/>
      </c>
      <c r="AH1240" s="70" t="str">
        <f>IF(AB1240="","",ROUND(N(W1240)*N(J1240)*(1-N(K1240)),2))</f>
        <v/>
      </c>
      <c r="AI1240" s="70" t="str">
        <f>IF(OR(J1240="",N(T1240)&lt;=0,V1240="Oui"),"",ROUND(N(T1240)*J1240*(1-N(K1240)),2))</f>
        <v/>
      </c>
    </row>
    <row r="1241">
      <c r="A1241" s="63" t="n"/>
      <c r="B1241" s="64" t="n"/>
      <c r="C1241" s="65" t="n"/>
      <c r="D1241" s="66" t="str">
        <f>IF(C1241="","",IFERROR(INDEX(sup_name,MATCH($C1241,sup_code,0))&amp;"","Fournisseur inconnu"))</f>
        <v/>
      </c>
      <c r="E1241" s="63" t="n"/>
      <c r="F1241" s="66" t="str">
        <f>IF(E1241="","",IFERROR(INDEX(art_des,MATCH($E1241,art_ref,0))&amp;"","Article inconnu"))</f>
        <v/>
      </c>
      <c r="G1241" s="67" t="str">
        <f>IF(E1241="","",IFERROR(INDEX(art_unit,MATCH($E1241,art_ref,0))&amp;"",""))</f>
        <v/>
      </c>
      <c r="H1241" s="68" t="n"/>
      <c r="I1241" s="69" t="n"/>
      <c r="J1241" s="70" t="str">
        <f>IF(E1241="","",IF(ISNUMBER(I1241),I1241,IFERROR(IF(ISNUMBER(INDEX(art_price,MATCH($E1241,art_ref,0))),INDEX(art_price,MATCH($E1241,art_ref,0)),""),"")))</f>
        <v/>
      </c>
      <c r="K1241" s="71" t="n"/>
      <c r="L1241" s="72" t="n"/>
      <c r="M1241" s="72" t="str">
        <f>IF(E1241="","",IF(L1241&lt;&gt;"",L1241,IFERROR(IF(ISNUMBER(INDEX(art_tva,MATCH($E1241,art_ref,0))),INDEX(art_tva,MATCH($E1241,art_ref,0)),""),"")))</f>
        <v/>
      </c>
      <c r="N1241" s="70" t="str">
        <f>IF(OR(E1241="",J1241=""),"",ROUND(N(H1241)*J1241*(1-N(K1241)),2))</f>
        <v/>
      </c>
      <c r="O1241" s="70" t="str">
        <f>IF(OR(N1241="",NOT(ISNUMBER(M1241))),"",ROUND(N1241*M1241,2))</f>
        <v/>
      </c>
      <c r="P1241" s="70" t="str">
        <f>IF(N1241="","",N1241+N(O1241))</f>
        <v/>
      </c>
      <c r="Q1241" s="64" t="n"/>
      <c r="R1241" s="73" t="str">
        <f>IF(N(Q1241)&gt;0,Q1241,IF(OR(N(B1241)=0,ISNA(MATCH($C1241,sup_code,0))),"",IF(ISNUMBER(INDEX(sup_delay,MATCH($C1241,sup_code,0))),B1241+INDEX(sup_delay,MATCH($C1241,sup_code,0)),"")))</f>
        <v/>
      </c>
      <c r="S1241" s="64" t="n"/>
      <c r="T1241" s="68" t="n"/>
      <c r="U1241" s="64" t="n"/>
      <c r="V1241" s="65" t="n"/>
      <c r="W1241" s="74" t="str">
        <f>IF(AND(A1241="",E1241=""),"",IF(V1241="Oui",0,MAX(0,ROUND(N(H1241)-N(T1241),6))))</f>
        <v/>
      </c>
      <c r="X1241" s="67" t="str">
        <f>IF(AND(A1241="",E1241=""),"",IF(V1241="Oui","Annulé",IF(AND(N(H1241)&gt;0,N(T1241)&gt;=N(H1241)),"Reçu",IF(N(S1241)=0,"Brouillon",IF(AND(ISNUMBER(R1241),R1241&lt;p_today),"En retard",IF(N(T1241)&gt;0,"Partiel","Envoyé"))))))</f>
        <v/>
      </c>
      <c r="Y1241" s="75" t="str">
        <f>IF(X1241="En retard",p_today-R1241,IF(AND(X1241="Reçu",ISNUMBER(R1241)),MAX(0,N(U1241)-R1241),""))</f>
        <v/>
      </c>
      <c r="Z1241" s="67" t="str">
        <f>IF(AND(A1241="",E1241=""),"",IF(A1241="","N° de bon manquant",IF(N(B1241)=0,"Date de commande manquante",IF(C1241="","Fournisseur manquant",IF(ISNA(MATCH($C1241,sup_code,0)),"Fournisseur inconnu",IF(E1241="","Article manquant",IF(ISNA(MATCH($E1241,art_ref,0)),"Article inconnu",IF(N(H1241)&lt;=0,"Quantité invalide",IF(J1241="","Prix manquant",IF(OR(N(K1241)&lt;0,N(K1241)&gt;=1),"Remise invalide",IF(M1241="","TVA manquante",IF(ISNA(MATCH(M1241,p_tva,0)),"Taux de TVA inconnu",IF(COUNTIFS(po_num,A1241,po_sup,"&lt;&gt;"&amp;C1241)&gt;0,"Fournisseur différent sur ce bon",IF(COUNTIFS(po_num,A1241,po_date,"&lt;&gt;"&amp;B1241)&gt;0,"Date différente sur ce bon",IF(COUNTIF(po_num,A1241)&gt;25,"Plus de 25 lignes sur ce bon",IF(R1241="","Date de livraison manquante",IF(R1241&lt;B1241,"Livraison avant la commande",IF(AND(N(T1241)&gt;0,N(S1241)=0),"Date d'envoi manquante",IF(N(T1241)&gt;N(H1241),"Reçu plus que commandé",IF(AND(N(T1241)&gt;0,N(U1241)=0),"Date de réception manquante",IF(AND(N(U1241)&gt;0,U1241&lt;B1241),"Réception avant la commande","OK")))))))))))))))))))))</f>
        <v/>
      </c>
      <c r="AA1241" s="66" t="str">
        <f>IF(AND(X1241="Reçu",ISNUMBER(R1241)),IF(N(U1241)&lt;=R1241,1,0),"")</f>
        <v/>
      </c>
      <c r="AB1241" s="76" t="str">
        <f>IF(OR(X1241="Envoyé",X1241="Partiel",X1241="En retard"),IF(ISNUMBER(R1241),R1241,100000)+ROW()/100000,"")</f>
        <v/>
      </c>
      <c r="AC1241" s="66" t="str">
        <f>IF(A1241="","",IF(COUNTIF($A$6:A1241,A1241)=1,1,""))</f>
        <v/>
      </c>
      <c r="AD1241" s="66" t="str">
        <f>IF(AC1241=1,COUNT($AC$6:AC1241),"")</f>
        <v/>
      </c>
      <c r="AE1241" s="66" t="str">
        <f>IFERROR(INDEX(po_num,MATCH(1236,po_seq,0))&amp;"","")</f>
        <v/>
      </c>
      <c r="AF1241" s="66" t="str">
        <f>IF(OR(A1241="",p_po=""),"",IF(A1241&amp;""=p_po,COUNTIF($A$6:A1241,A1241),""))</f>
        <v/>
      </c>
      <c r="AG1241" s="66" t="str">
        <f>IF(OR(AB1241="",A1241=""),"",IF(COUNTIFS($A$6:A1241,A1241,$AB$6:AB1241,"&gt;0")=1,1,""))</f>
        <v/>
      </c>
      <c r="AH1241" s="70" t="str">
        <f>IF(AB1241="","",ROUND(N(W1241)*N(J1241)*(1-N(K1241)),2))</f>
        <v/>
      </c>
      <c r="AI1241" s="70" t="str">
        <f>IF(OR(J1241="",N(T1241)&lt;=0,V1241="Oui"),"",ROUND(N(T1241)*J1241*(1-N(K1241)),2))</f>
        <v/>
      </c>
    </row>
    <row r="1242">
      <c r="A1242" s="63" t="n"/>
      <c r="B1242" s="64" t="n"/>
      <c r="C1242" s="65" t="n"/>
      <c r="D1242" s="66" t="str">
        <f>IF(C1242="","",IFERROR(INDEX(sup_name,MATCH($C1242,sup_code,0))&amp;"","Fournisseur inconnu"))</f>
        <v/>
      </c>
      <c r="E1242" s="63" t="n"/>
      <c r="F1242" s="66" t="str">
        <f>IF(E1242="","",IFERROR(INDEX(art_des,MATCH($E1242,art_ref,0))&amp;"","Article inconnu"))</f>
        <v/>
      </c>
      <c r="G1242" s="67" t="str">
        <f>IF(E1242="","",IFERROR(INDEX(art_unit,MATCH($E1242,art_ref,0))&amp;"",""))</f>
        <v/>
      </c>
      <c r="H1242" s="68" t="n"/>
      <c r="I1242" s="69" t="n"/>
      <c r="J1242" s="70" t="str">
        <f>IF(E1242="","",IF(ISNUMBER(I1242),I1242,IFERROR(IF(ISNUMBER(INDEX(art_price,MATCH($E1242,art_ref,0))),INDEX(art_price,MATCH($E1242,art_ref,0)),""),"")))</f>
        <v/>
      </c>
      <c r="K1242" s="71" t="n"/>
      <c r="L1242" s="72" t="n"/>
      <c r="M1242" s="72" t="str">
        <f>IF(E1242="","",IF(L1242&lt;&gt;"",L1242,IFERROR(IF(ISNUMBER(INDEX(art_tva,MATCH($E1242,art_ref,0))),INDEX(art_tva,MATCH($E1242,art_ref,0)),""),"")))</f>
        <v/>
      </c>
      <c r="N1242" s="70" t="str">
        <f>IF(OR(E1242="",J1242=""),"",ROUND(N(H1242)*J1242*(1-N(K1242)),2))</f>
        <v/>
      </c>
      <c r="O1242" s="70" t="str">
        <f>IF(OR(N1242="",NOT(ISNUMBER(M1242))),"",ROUND(N1242*M1242,2))</f>
        <v/>
      </c>
      <c r="P1242" s="70" t="str">
        <f>IF(N1242="","",N1242+N(O1242))</f>
        <v/>
      </c>
      <c r="Q1242" s="64" t="n"/>
      <c r="R1242" s="73" t="str">
        <f>IF(N(Q1242)&gt;0,Q1242,IF(OR(N(B1242)=0,ISNA(MATCH($C1242,sup_code,0))),"",IF(ISNUMBER(INDEX(sup_delay,MATCH($C1242,sup_code,0))),B1242+INDEX(sup_delay,MATCH($C1242,sup_code,0)),"")))</f>
        <v/>
      </c>
      <c r="S1242" s="64" t="n"/>
      <c r="T1242" s="68" t="n"/>
      <c r="U1242" s="64" t="n"/>
      <c r="V1242" s="65" t="n"/>
      <c r="W1242" s="74" t="str">
        <f>IF(AND(A1242="",E1242=""),"",IF(V1242="Oui",0,MAX(0,ROUND(N(H1242)-N(T1242),6))))</f>
        <v/>
      </c>
      <c r="X1242" s="67" t="str">
        <f>IF(AND(A1242="",E1242=""),"",IF(V1242="Oui","Annulé",IF(AND(N(H1242)&gt;0,N(T1242)&gt;=N(H1242)),"Reçu",IF(N(S1242)=0,"Brouillon",IF(AND(ISNUMBER(R1242),R1242&lt;p_today),"En retard",IF(N(T1242)&gt;0,"Partiel","Envoyé"))))))</f>
        <v/>
      </c>
      <c r="Y1242" s="75" t="str">
        <f>IF(X1242="En retard",p_today-R1242,IF(AND(X1242="Reçu",ISNUMBER(R1242)),MAX(0,N(U1242)-R1242),""))</f>
        <v/>
      </c>
      <c r="Z1242" s="67" t="str">
        <f>IF(AND(A1242="",E1242=""),"",IF(A1242="","N° de bon manquant",IF(N(B1242)=0,"Date de commande manquante",IF(C1242="","Fournisseur manquant",IF(ISNA(MATCH($C1242,sup_code,0)),"Fournisseur inconnu",IF(E1242="","Article manquant",IF(ISNA(MATCH($E1242,art_ref,0)),"Article inconnu",IF(N(H1242)&lt;=0,"Quantité invalide",IF(J1242="","Prix manquant",IF(OR(N(K1242)&lt;0,N(K1242)&gt;=1),"Remise invalide",IF(M1242="","TVA manquante",IF(ISNA(MATCH(M1242,p_tva,0)),"Taux de TVA inconnu",IF(COUNTIFS(po_num,A1242,po_sup,"&lt;&gt;"&amp;C1242)&gt;0,"Fournisseur différent sur ce bon",IF(COUNTIFS(po_num,A1242,po_date,"&lt;&gt;"&amp;B1242)&gt;0,"Date différente sur ce bon",IF(COUNTIF(po_num,A1242)&gt;25,"Plus de 25 lignes sur ce bon",IF(R1242="","Date de livraison manquante",IF(R1242&lt;B1242,"Livraison avant la commande",IF(AND(N(T1242)&gt;0,N(S1242)=0),"Date d'envoi manquante",IF(N(T1242)&gt;N(H1242),"Reçu plus que commandé",IF(AND(N(T1242)&gt;0,N(U1242)=0),"Date de réception manquante",IF(AND(N(U1242)&gt;0,U1242&lt;B1242),"Réception avant la commande","OK")))))))))))))))))))))</f>
        <v/>
      </c>
      <c r="AA1242" s="66" t="str">
        <f>IF(AND(X1242="Reçu",ISNUMBER(R1242)),IF(N(U1242)&lt;=R1242,1,0),"")</f>
        <v/>
      </c>
      <c r="AB1242" s="76" t="str">
        <f>IF(OR(X1242="Envoyé",X1242="Partiel",X1242="En retard"),IF(ISNUMBER(R1242),R1242,100000)+ROW()/100000,"")</f>
        <v/>
      </c>
      <c r="AC1242" s="66" t="str">
        <f>IF(A1242="","",IF(COUNTIF($A$6:A1242,A1242)=1,1,""))</f>
        <v/>
      </c>
      <c r="AD1242" s="66" t="str">
        <f>IF(AC1242=1,COUNT($AC$6:AC1242),"")</f>
        <v/>
      </c>
      <c r="AE1242" s="66" t="str">
        <f>IFERROR(INDEX(po_num,MATCH(1237,po_seq,0))&amp;"","")</f>
        <v/>
      </c>
      <c r="AF1242" s="66" t="str">
        <f>IF(OR(A1242="",p_po=""),"",IF(A1242&amp;""=p_po,COUNTIF($A$6:A1242,A1242),""))</f>
        <v/>
      </c>
      <c r="AG1242" s="66" t="str">
        <f>IF(OR(AB1242="",A1242=""),"",IF(COUNTIFS($A$6:A1242,A1242,$AB$6:AB1242,"&gt;0")=1,1,""))</f>
        <v/>
      </c>
      <c r="AH1242" s="70" t="str">
        <f>IF(AB1242="","",ROUND(N(W1242)*N(J1242)*(1-N(K1242)),2))</f>
        <v/>
      </c>
      <c r="AI1242" s="70" t="str">
        <f>IF(OR(J1242="",N(T1242)&lt;=0,V1242="Oui"),"",ROUND(N(T1242)*J1242*(1-N(K1242)),2))</f>
        <v/>
      </c>
    </row>
    <row r="1243">
      <c r="A1243" s="63" t="n"/>
      <c r="B1243" s="64" t="n"/>
      <c r="C1243" s="65" t="n"/>
      <c r="D1243" s="66" t="str">
        <f>IF(C1243="","",IFERROR(INDEX(sup_name,MATCH($C1243,sup_code,0))&amp;"","Fournisseur inconnu"))</f>
        <v/>
      </c>
      <c r="E1243" s="63" t="n"/>
      <c r="F1243" s="66" t="str">
        <f>IF(E1243="","",IFERROR(INDEX(art_des,MATCH($E1243,art_ref,0))&amp;"","Article inconnu"))</f>
        <v/>
      </c>
      <c r="G1243" s="67" t="str">
        <f>IF(E1243="","",IFERROR(INDEX(art_unit,MATCH($E1243,art_ref,0))&amp;"",""))</f>
        <v/>
      </c>
      <c r="H1243" s="68" t="n"/>
      <c r="I1243" s="69" t="n"/>
      <c r="J1243" s="70" t="str">
        <f>IF(E1243="","",IF(ISNUMBER(I1243),I1243,IFERROR(IF(ISNUMBER(INDEX(art_price,MATCH($E1243,art_ref,0))),INDEX(art_price,MATCH($E1243,art_ref,0)),""),"")))</f>
        <v/>
      </c>
      <c r="K1243" s="71" t="n"/>
      <c r="L1243" s="72" t="n"/>
      <c r="M1243" s="72" t="str">
        <f>IF(E1243="","",IF(L1243&lt;&gt;"",L1243,IFERROR(IF(ISNUMBER(INDEX(art_tva,MATCH($E1243,art_ref,0))),INDEX(art_tva,MATCH($E1243,art_ref,0)),""),"")))</f>
        <v/>
      </c>
      <c r="N1243" s="70" t="str">
        <f>IF(OR(E1243="",J1243=""),"",ROUND(N(H1243)*J1243*(1-N(K1243)),2))</f>
        <v/>
      </c>
      <c r="O1243" s="70" t="str">
        <f>IF(OR(N1243="",NOT(ISNUMBER(M1243))),"",ROUND(N1243*M1243,2))</f>
        <v/>
      </c>
      <c r="P1243" s="70" t="str">
        <f>IF(N1243="","",N1243+N(O1243))</f>
        <v/>
      </c>
      <c r="Q1243" s="64" t="n"/>
      <c r="R1243" s="73" t="str">
        <f>IF(N(Q1243)&gt;0,Q1243,IF(OR(N(B1243)=0,ISNA(MATCH($C1243,sup_code,0))),"",IF(ISNUMBER(INDEX(sup_delay,MATCH($C1243,sup_code,0))),B1243+INDEX(sup_delay,MATCH($C1243,sup_code,0)),"")))</f>
        <v/>
      </c>
      <c r="S1243" s="64" t="n"/>
      <c r="T1243" s="68" t="n"/>
      <c r="U1243" s="64" t="n"/>
      <c r="V1243" s="65" t="n"/>
      <c r="W1243" s="74" t="str">
        <f>IF(AND(A1243="",E1243=""),"",IF(V1243="Oui",0,MAX(0,ROUND(N(H1243)-N(T1243),6))))</f>
        <v/>
      </c>
      <c r="X1243" s="67" t="str">
        <f>IF(AND(A1243="",E1243=""),"",IF(V1243="Oui","Annulé",IF(AND(N(H1243)&gt;0,N(T1243)&gt;=N(H1243)),"Reçu",IF(N(S1243)=0,"Brouillon",IF(AND(ISNUMBER(R1243),R1243&lt;p_today),"En retard",IF(N(T1243)&gt;0,"Partiel","Envoyé"))))))</f>
        <v/>
      </c>
      <c r="Y1243" s="75" t="str">
        <f>IF(X1243="En retard",p_today-R1243,IF(AND(X1243="Reçu",ISNUMBER(R1243)),MAX(0,N(U1243)-R1243),""))</f>
        <v/>
      </c>
      <c r="Z1243" s="67" t="str">
        <f>IF(AND(A1243="",E1243=""),"",IF(A1243="","N° de bon manquant",IF(N(B1243)=0,"Date de commande manquante",IF(C1243="","Fournisseur manquant",IF(ISNA(MATCH($C1243,sup_code,0)),"Fournisseur inconnu",IF(E1243="","Article manquant",IF(ISNA(MATCH($E1243,art_ref,0)),"Article inconnu",IF(N(H1243)&lt;=0,"Quantité invalide",IF(J1243="","Prix manquant",IF(OR(N(K1243)&lt;0,N(K1243)&gt;=1),"Remise invalide",IF(M1243="","TVA manquante",IF(ISNA(MATCH(M1243,p_tva,0)),"Taux de TVA inconnu",IF(COUNTIFS(po_num,A1243,po_sup,"&lt;&gt;"&amp;C1243)&gt;0,"Fournisseur différent sur ce bon",IF(COUNTIFS(po_num,A1243,po_date,"&lt;&gt;"&amp;B1243)&gt;0,"Date différente sur ce bon",IF(COUNTIF(po_num,A1243)&gt;25,"Plus de 25 lignes sur ce bon",IF(R1243="","Date de livraison manquante",IF(R1243&lt;B1243,"Livraison avant la commande",IF(AND(N(T1243)&gt;0,N(S1243)=0),"Date d'envoi manquante",IF(N(T1243)&gt;N(H1243),"Reçu plus que commandé",IF(AND(N(T1243)&gt;0,N(U1243)=0),"Date de réception manquante",IF(AND(N(U1243)&gt;0,U1243&lt;B1243),"Réception avant la commande","OK")))))))))))))))))))))</f>
        <v/>
      </c>
      <c r="AA1243" s="66" t="str">
        <f>IF(AND(X1243="Reçu",ISNUMBER(R1243)),IF(N(U1243)&lt;=R1243,1,0),"")</f>
        <v/>
      </c>
      <c r="AB1243" s="76" t="str">
        <f>IF(OR(X1243="Envoyé",X1243="Partiel",X1243="En retard"),IF(ISNUMBER(R1243),R1243,100000)+ROW()/100000,"")</f>
        <v/>
      </c>
      <c r="AC1243" s="66" t="str">
        <f>IF(A1243="","",IF(COUNTIF($A$6:A1243,A1243)=1,1,""))</f>
        <v/>
      </c>
      <c r="AD1243" s="66" t="str">
        <f>IF(AC1243=1,COUNT($AC$6:AC1243),"")</f>
        <v/>
      </c>
      <c r="AE1243" s="66" t="str">
        <f>IFERROR(INDEX(po_num,MATCH(1238,po_seq,0))&amp;"","")</f>
        <v/>
      </c>
      <c r="AF1243" s="66" t="str">
        <f>IF(OR(A1243="",p_po=""),"",IF(A1243&amp;""=p_po,COUNTIF($A$6:A1243,A1243),""))</f>
        <v/>
      </c>
      <c r="AG1243" s="66" t="str">
        <f>IF(OR(AB1243="",A1243=""),"",IF(COUNTIFS($A$6:A1243,A1243,$AB$6:AB1243,"&gt;0")=1,1,""))</f>
        <v/>
      </c>
      <c r="AH1243" s="70" t="str">
        <f>IF(AB1243="","",ROUND(N(W1243)*N(J1243)*(1-N(K1243)),2))</f>
        <v/>
      </c>
      <c r="AI1243" s="70" t="str">
        <f>IF(OR(J1243="",N(T1243)&lt;=0,V1243="Oui"),"",ROUND(N(T1243)*J1243*(1-N(K1243)),2))</f>
        <v/>
      </c>
    </row>
    <row r="1244">
      <c r="A1244" s="63" t="n"/>
      <c r="B1244" s="64" t="n"/>
      <c r="C1244" s="65" t="n"/>
      <c r="D1244" s="66" t="str">
        <f>IF(C1244="","",IFERROR(INDEX(sup_name,MATCH($C1244,sup_code,0))&amp;"","Fournisseur inconnu"))</f>
        <v/>
      </c>
      <c r="E1244" s="63" t="n"/>
      <c r="F1244" s="66" t="str">
        <f>IF(E1244="","",IFERROR(INDEX(art_des,MATCH($E1244,art_ref,0))&amp;"","Article inconnu"))</f>
        <v/>
      </c>
      <c r="G1244" s="67" t="str">
        <f>IF(E1244="","",IFERROR(INDEX(art_unit,MATCH($E1244,art_ref,0))&amp;"",""))</f>
        <v/>
      </c>
      <c r="H1244" s="68" t="n"/>
      <c r="I1244" s="69" t="n"/>
      <c r="J1244" s="70" t="str">
        <f>IF(E1244="","",IF(ISNUMBER(I1244),I1244,IFERROR(IF(ISNUMBER(INDEX(art_price,MATCH($E1244,art_ref,0))),INDEX(art_price,MATCH($E1244,art_ref,0)),""),"")))</f>
        <v/>
      </c>
      <c r="K1244" s="71" t="n"/>
      <c r="L1244" s="72" t="n"/>
      <c r="M1244" s="72" t="str">
        <f>IF(E1244="","",IF(L1244&lt;&gt;"",L1244,IFERROR(IF(ISNUMBER(INDEX(art_tva,MATCH($E1244,art_ref,0))),INDEX(art_tva,MATCH($E1244,art_ref,0)),""),"")))</f>
        <v/>
      </c>
      <c r="N1244" s="70" t="str">
        <f>IF(OR(E1244="",J1244=""),"",ROUND(N(H1244)*J1244*(1-N(K1244)),2))</f>
        <v/>
      </c>
      <c r="O1244" s="70" t="str">
        <f>IF(OR(N1244="",NOT(ISNUMBER(M1244))),"",ROUND(N1244*M1244,2))</f>
        <v/>
      </c>
      <c r="P1244" s="70" t="str">
        <f>IF(N1244="","",N1244+N(O1244))</f>
        <v/>
      </c>
      <c r="Q1244" s="64" t="n"/>
      <c r="R1244" s="73" t="str">
        <f>IF(N(Q1244)&gt;0,Q1244,IF(OR(N(B1244)=0,ISNA(MATCH($C1244,sup_code,0))),"",IF(ISNUMBER(INDEX(sup_delay,MATCH($C1244,sup_code,0))),B1244+INDEX(sup_delay,MATCH($C1244,sup_code,0)),"")))</f>
        <v/>
      </c>
      <c r="S1244" s="64" t="n"/>
      <c r="T1244" s="68" t="n"/>
      <c r="U1244" s="64" t="n"/>
      <c r="V1244" s="65" t="n"/>
      <c r="W1244" s="74" t="str">
        <f>IF(AND(A1244="",E1244=""),"",IF(V1244="Oui",0,MAX(0,ROUND(N(H1244)-N(T1244),6))))</f>
        <v/>
      </c>
      <c r="X1244" s="67" t="str">
        <f>IF(AND(A1244="",E1244=""),"",IF(V1244="Oui","Annulé",IF(AND(N(H1244)&gt;0,N(T1244)&gt;=N(H1244)),"Reçu",IF(N(S1244)=0,"Brouillon",IF(AND(ISNUMBER(R1244),R1244&lt;p_today),"En retard",IF(N(T1244)&gt;0,"Partiel","Envoyé"))))))</f>
        <v/>
      </c>
      <c r="Y1244" s="75" t="str">
        <f>IF(X1244="En retard",p_today-R1244,IF(AND(X1244="Reçu",ISNUMBER(R1244)),MAX(0,N(U1244)-R1244),""))</f>
        <v/>
      </c>
      <c r="Z1244" s="67" t="str">
        <f>IF(AND(A1244="",E1244=""),"",IF(A1244="","N° de bon manquant",IF(N(B1244)=0,"Date de commande manquante",IF(C1244="","Fournisseur manquant",IF(ISNA(MATCH($C1244,sup_code,0)),"Fournisseur inconnu",IF(E1244="","Article manquant",IF(ISNA(MATCH($E1244,art_ref,0)),"Article inconnu",IF(N(H1244)&lt;=0,"Quantité invalide",IF(J1244="","Prix manquant",IF(OR(N(K1244)&lt;0,N(K1244)&gt;=1),"Remise invalide",IF(M1244="","TVA manquante",IF(ISNA(MATCH(M1244,p_tva,0)),"Taux de TVA inconnu",IF(COUNTIFS(po_num,A1244,po_sup,"&lt;&gt;"&amp;C1244)&gt;0,"Fournisseur différent sur ce bon",IF(COUNTIFS(po_num,A1244,po_date,"&lt;&gt;"&amp;B1244)&gt;0,"Date différente sur ce bon",IF(COUNTIF(po_num,A1244)&gt;25,"Plus de 25 lignes sur ce bon",IF(R1244="","Date de livraison manquante",IF(R1244&lt;B1244,"Livraison avant la commande",IF(AND(N(T1244)&gt;0,N(S1244)=0),"Date d'envoi manquante",IF(N(T1244)&gt;N(H1244),"Reçu plus que commandé",IF(AND(N(T1244)&gt;0,N(U1244)=0),"Date de réception manquante",IF(AND(N(U1244)&gt;0,U1244&lt;B1244),"Réception avant la commande","OK")))))))))))))))))))))</f>
        <v/>
      </c>
      <c r="AA1244" s="66" t="str">
        <f>IF(AND(X1244="Reçu",ISNUMBER(R1244)),IF(N(U1244)&lt;=R1244,1,0),"")</f>
        <v/>
      </c>
      <c r="AB1244" s="76" t="str">
        <f>IF(OR(X1244="Envoyé",X1244="Partiel",X1244="En retard"),IF(ISNUMBER(R1244),R1244,100000)+ROW()/100000,"")</f>
        <v/>
      </c>
      <c r="AC1244" s="66" t="str">
        <f>IF(A1244="","",IF(COUNTIF($A$6:A1244,A1244)=1,1,""))</f>
        <v/>
      </c>
      <c r="AD1244" s="66" t="str">
        <f>IF(AC1244=1,COUNT($AC$6:AC1244),"")</f>
        <v/>
      </c>
      <c r="AE1244" s="66" t="str">
        <f>IFERROR(INDEX(po_num,MATCH(1239,po_seq,0))&amp;"","")</f>
        <v/>
      </c>
      <c r="AF1244" s="66" t="str">
        <f>IF(OR(A1244="",p_po=""),"",IF(A1244&amp;""=p_po,COUNTIF($A$6:A1244,A1244),""))</f>
        <v/>
      </c>
      <c r="AG1244" s="66" t="str">
        <f>IF(OR(AB1244="",A1244=""),"",IF(COUNTIFS($A$6:A1244,A1244,$AB$6:AB1244,"&gt;0")=1,1,""))</f>
        <v/>
      </c>
      <c r="AH1244" s="70" t="str">
        <f>IF(AB1244="","",ROUND(N(W1244)*N(J1244)*(1-N(K1244)),2))</f>
        <v/>
      </c>
      <c r="AI1244" s="70" t="str">
        <f>IF(OR(J1244="",N(T1244)&lt;=0,V1244="Oui"),"",ROUND(N(T1244)*J1244*(1-N(K1244)),2))</f>
        <v/>
      </c>
    </row>
    <row r="1245">
      <c r="A1245" s="63" t="n"/>
      <c r="B1245" s="64" t="n"/>
      <c r="C1245" s="65" t="n"/>
      <c r="D1245" s="66" t="str">
        <f>IF(C1245="","",IFERROR(INDEX(sup_name,MATCH($C1245,sup_code,0))&amp;"","Fournisseur inconnu"))</f>
        <v/>
      </c>
      <c r="E1245" s="63" t="n"/>
      <c r="F1245" s="66" t="str">
        <f>IF(E1245="","",IFERROR(INDEX(art_des,MATCH($E1245,art_ref,0))&amp;"","Article inconnu"))</f>
        <v/>
      </c>
      <c r="G1245" s="67" t="str">
        <f>IF(E1245="","",IFERROR(INDEX(art_unit,MATCH($E1245,art_ref,0))&amp;"",""))</f>
        <v/>
      </c>
      <c r="H1245" s="68" t="n"/>
      <c r="I1245" s="69" t="n"/>
      <c r="J1245" s="70" t="str">
        <f>IF(E1245="","",IF(ISNUMBER(I1245),I1245,IFERROR(IF(ISNUMBER(INDEX(art_price,MATCH($E1245,art_ref,0))),INDEX(art_price,MATCH($E1245,art_ref,0)),""),"")))</f>
        <v/>
      </c>
      <c r="K1245" s="71" t="n"/>
      <c r="L1245" s="72" t="n"/>
      <c r="M1245" s="72" t="str">
        <f>IF(E1245="","",IF(L1245&lt;&gt;"",L1245,IFERROR(IF(ISNUMBER(INDEX(art_tva,MATCH($E1245,art_ref,0))),INDEX(art_tva,MATCH($E1245,art_ref,0)),""),"")))</f>
        <v/>
      </c>
      <c r="N1245" s="70" t="str">
        <f>IF(OR(E1245="",J1245=""),"",ROUND(N(H1245)*J1245*(1-N(K1245)),2))</f>
        <v/>
      </c>
      <c r="O1245" s="70" t="str">
        <f>IF(OR(N1245="",NOT(ISNUMBER(M1245))),"",ROUND(N1245*M1245,2))</f>
        <v/>
      </c>
      <c r="P1245" s="70" t="str">
        <f>IF(N1245="","",N1245+N(O1245))</f>
        <v/>
      </c>
      <c r="Q1245" s="64" t="n"/>
      <c r="R1245" s="73" t="str">
        <f>IF(N(Q1245)&gt;0,Q1245,IF(OR(N(B1245)=0,ISNA(MATCH($C1245,sup_code,0))),"",IF(ISNUMBER(INDEX(sup_delay,MATCH($C1245,sup_code,0))),B1245+INDEX(sup_delay,MATCH($C1245,sup_code,0)),"")))</f>
        <v/>
      </c>
      <c r="S1245" s="64" t="n"/>
      <c r="T1245" s="68" t="n"/>
      <c r="U1245" s="64" t="n"/>
      <c r="V1245" s="65" t="n"/>
      <c r="W1245" s="74" t="str">
        <f>IF(AND(A1245="",E1245=""),"",IF(V1245="Oui",0,MAX(0,ROUND(N(H1245)-N(T1245),6))))</f>
        <v/>
      </c>
      <c r="X1245" s="67" t="str">
        <f>IF(AND(A1245="",E1245=""),"",IF(V1245="Oui","Annulé",IF(AND(N(H1245)&gt;0,N(T1245)&gt;=N(H1245)),"Reçu",IF(N(S1245)=0,"Brouillon",IF(AND(ISNUMBER(R1245),R1245&lt;p_today),"En retard",IF(N(T1245)&gt;0,"Partiel","Envoyé"))))))</f>
        <v/>
      </c>
      <c r="Y1245" s="75" t="str">
        <f>IF(X1245="En retard",p_today-R1245,IF(AND(X1245="Reçu",ISNUMBER(R1245)),MAX(0,N(U1245)-R1245),""))</f>
        <v/>
      </c>
      <c r="Z1245" s="67" t="str">
        <f>IF(AND(A1245="",E1245=""),"",IF(A1245="","N° de bon manquant",IF(N(B1245)=0,"Date de commande manquante",IF(C1245="","Fournisseur manquant",IF(ISNA(MATCH($C1245,sup_code,0)),"Fournisseur inconnu",IF(E1245="","Article manquant",IF(ISNA(MATCH($E1245,art_ref,0)),"Article inconnu",IF(N(H1245)&lt;=0,"Quantité invalide",IF(J1245="","Prix manquant",IF(OR(N(K1245)&lt;0,N(K1245)&gt;=1),"Remise invalide",IF(M1245="","TVA manquante",IF(ISNA(MATCH(M1245,p_tva,0)),"Taux de TVA inconnu",IF(COUNTIFS(po_num,A1245,po_sup,"&lt;&gt;"&amp;C1245)&gt;0,"Fournisseur différent sur ce bon",IF(COUNTIFS(po_num,A1245,po_date,"&lt;&gt;"&amp;B1245)&gt;0,"Date différente sur ce bon",IF(COUNTIF(po_num,A1245)&gt;25,"Plus de 25 lignes sur ce bon",IF(R1245="","Date de livraison manquante",IF(R1245&lt;B1245,"Livraison avant la commande",IF(AND(N(T1245)&gt;0,N(S1245)=0),"Date d'envoi manquante",IF(N(T1245)&gt;N(H1245),"Reçu plus que commandé",IF(AND(N(T1245)&gt;0,N(U1245)=0),"Date de réception manquante",IF(AND(N(U1245)&gt;0,U1245&lt;B1245),"Réception avant la commande","OK")))))))))))))))))))))</f>
        <v/>
      </c>
      <c r="AA1245" s="66" t="str">
        <f>IF(AND(X1245="Reçu",ISNUMBER(R1245)),IF(N(U1245)&lt;=R1245,1,0),"")</f>
        <v/>
      </c>
      <c r="AB1245" s="76" t="str">
        <f>IF(OR(X1245="Envoyé",X1245="Partiel",X1245="En retard"),IF(ISNUMBER(R1245),R1245,100000)+ROW()/100000,"")</f>
        <v/>
      </c>
      <c r="AC1245" s="66" t="str">
        <f>IF(A1245="","",IF(COUNTIF($A$6:A1245,A1245)=1,1,""))</f>
        <v/>
      </c>
      <c r="AD1245" s="66" t="str">
        <f>IF(AC1245=1,COUNT($AC$6:AC1245),"")</f>
        <v/>
      </c>
      <c r="AE1245" s="66" t="str">
        <f>IFERROR(INDEX(po_num,MATCH(1240,po_seq,0))&amp;"","")</f>
        <v/>
      </c>
      <c r="AF1245" s="66" t="str">
        <f>IF(OR(A1245="",p_po=""),"",IF(A1245&amp;""=p_po,COUNTIF($A$6:A1245,A1245),""))</f>
        <v/>
      </c>
      <c r="AG1245" s="66" t="str">
        <f>IF(OR(AB1245="",A1245=""),"",IF(COUNTIFS($A$6:A1245,A1245,$AB$6:AB1245,"&gt;0")=1,1,""))</f>
        <v/>
      </c>
      <c r="AH1245" s="70" t="str">
        <f>IF(AB1245="","",ROUND(N(W1245)*N(J1245)*(1-N(K1245)),2))</f>
        <v/>
      </c>
      <c r="AI1245" s="70" t="str">
        <f>IF(OR(J1245="",N(T1245)&lt;=0,V1245="Oui"),"",ROUND(N(T1245)*J1245*(1-N(K1245)),2))</f>
        <v/>
      </c>
    </row>
    <row r="1246">
      <c r="A1246" s="63" t="n"/>
      <c r="B1246" s="64" t="n"/>
      <c r="C1246" s="65" t="n"/>
      <c r="D1246" s="66" t="str">
        <f>IF(C1246="","",IFERROR(INDEX(sup_name,MATCH($C1246,sup_code,0))&amp;"","Fournisseur inconnu"))</f>
        <v/>
      </c>
      <c r="E1246" s="63" t="n"/>
      <c r="F1246" s="66" t="str">
        <f>IF(E1246="","",IFERROR(INDEX(art_des,MATCH($E1246,art_ref,0))&amp;"","Article inconnu"))</f>
        <v/>
      </c>
      <c r="G1246" s="67" t="str">
        <f>IF(E1246="","",IFERROR(INDEX(art_unit,MATCH($E1246,art_ref,0))&amp;"",""))</f>
        <v/>
      </c>
      <c r="H1246" s="68" t="n"/>
      <c r="I1246" s="69" t="n"/>
      <c r="J1246" s="70" t="str">
        <f>IF(E1246="","",IF(ISNUMBER(I1246),I1246,IFERROR(IF(ISNUMBER(INDEX(art_price,MATCH($E1246,art_ref,0))),INDEX(art_price,MATCH($E1246,art_ref,0)),""),"")))</f>
        <v/>
      </c>
      <c r="K1246" s="71" t="n"/>
      <c r="L1246" s="72" t="n"/>
      <c r="M1246" s="72" t="str">
        <f>IF(E1246="","",IF(L1246&lt;&gt;"",L1246,IFERROR(IF(ISNUMBER(INDEX(art_tva,MATCH($E1246,art_ref,0))),INDEX(art_tva,MATCH($E1246,art_ref,0)),""),"")))</f>
        <v/>
      </c>
      <c r="N1246" s="70" t="str">
        <f>IF(OR(E1246="",J1246=""),"",ROUND(N(H1246)*J1246*(1-N(K1246)),2))</f>
        <v/>
      </c>
      <c r="O1246" s="70" t="str">
        <f>IF(OR(N1246="",NOT(ISNUMBER(M1246))),"",ROUND(N1246*M1246,2))</f>
        <v/>
      </c>
      <c r="P1246" s="70" t="str">
        <f>IF(N1246="","",N1246+N(O1246))</f>
        <v/>
      </c>
      <c r="Q1246" s="64" t="n"/>
      <c r="R1246" s="73" t="str">
        <f>IF(N(Q1246)&gt;0,Q1246,IF(OR(N(B1246)=0,ISNA(MATCH($C1246,sup_code,0))),"",IF(ISNUMBER(INDEX(sup_delay,MATCH($C1246,sup_code,0))),B1246+INDEX(sup_delay,MATCH($C1246,sup_code,0)),"")))</f>
        <v/>
      </c>
      <c r="S1246" s="64" t="n"/>
      <c r="T1246" s="68" t="n"/>
      <c r="U1246" s="64" t="n"/>
      <c r="V1246" s="65" t="n"/>
      <c r="W1246" s="74" t="str">
        <f>IF(AND(A1246="",E1246=""),"",IF(V1246="Oui",0,MAX(0,ROUND(N(H1246)-N(T1246),6))))</f>
        <v/>
      </c>
      <c r="X1246" s="67" t="str">
        <f>IF(AND(A1246="",E1246=""),"",IF(V1246="Oui","Annulé",IF(AND(N(H1246)&gt;0,N(T1246)&gt;=N(H1246)),"Reçu",IF(N(S1246)=0,"Brouillon",IF(AND(ISNUMBER(R1246),R1246&lt;p_today),"En retard",IF(N(T1246)&gt;0,"Partiel","Envoyé"))))))</f>
        <v/>
      </c>
      <c r="Y1246" s="75" t="str">
        <f>IF(X1246="En retard",p_today-R1246,IF(AND(X1246="Reçu",ISNUMBER(R1246)),MAX(0,N(U1246)-R1246),""))</f>
        <v/>
      </c>
      <c r="Z1246" s="67" t="str">
        <f>IF(AND(A1246="",E1246=""),"",IF(A1246="","N° de bon manquant",IF(N(B1246)=0,"Date de commande manquante",IF(C1246="","Fournisseur manquant",IF(ISNA(MATCH($C1246,sup_code,0)),"Fournisseur inconnu",IF(E1246="","Article manquant",IF(ISNA(MATCH($E1246,art_ref,0)),"Article inconnu",IF(N(H1246)&lt;=0,"Quantité invalide",IF(J1246="","Prix manquant",IF(OR(N(K1246)&lt;0,N(K1246)&gt;=1),"Remise invalide",IF(M1246="","TVA manquante",IF(ISNA(MATCH(M1246,p_tva,0)),"Taux de TVA inconnu",IF(COUNTIFS(po_num,A1246,po_sup,"&lt;&gt;"&amp;C1246)&gt;0,"Fournisseur différent sur ce bon",IF(COUNTIFS(po_num,A1246,po_date,"&lt;&gt;"&amp;B1246)&gt;0,"Date différente sur ce bon",IF(COUNTIF(po_num,A1246)&gt;25,"Plus de 25 lignes sur ce bon",IF(R1246="","Date de livraison manquante",IF(R1246&lt;B1246,"Livraison avant la commande",IF(AND(N(T1246)&gt;0,N(S1246)=0),"Date d'envoi manquante",IF(N(T1246)&gt;N(H1246),"Reçu plus que commandé",IF(AND(N(T1246)&gt;0,N(U1246)=0),"Date de réception manquante",IF(AND(N(U1246)&gt;0,U1246&lt;B1246),"Réception avant la commande","OK")))))))))))))))))))))</f>
        <v/>
      </c>
      <c r="AA1246" s="66" t="str">
        <f>IF(AND(X1246="Reçu",ISNUMBER(R1246)),IF(N(U1246)&lt;=R1246,1,0),"")</f>
        <v/>
      </c>
      <c r="AB1246" s="76" t="str">
        <f>IF(OR(X1246="Envoyé",X1246="Partiel",X1246="En retard"),IF(ISNUMBER(R1246),R1246,100000)+ROW()/100000,"")</f>
        <v/>
      </c>
      <c r="AC1246" s="66" t="str">
        <f>IF(A1246="","",IF(COUNTIF($A$6:A1246,A1246)=1,1,""))</f>
        <v/>
      </c>
      <c r="AD1246" s="66" t="str">
        <f>IF(AC1246=1,COUNT($AC$6:AC1246),"")</f>
        <v/>
      </c>
      <c r="AE1246" s="66" t="str">
        <f>IFERROR(INDEX(po_num,MATCH(1241,po_seq,0))&amp;"","")</f>
        <v/>
      </c>
      <c r="AF1246" s="66" t="str">
        <f>IF(OR(A1246="",p_po=""),"",IF(A1246&amp;""=p_po,COUNTIF($A$6:A1246,A1246),""))</f>
        <v/>
      </c>
      <c r="AG1246" s="66" t="str">
        <f>IF(OR(AB1246="",A1246=""),"",IF(COUNTIFS($A$6:A1246,A1246,$AB$6:AB1246,"&gt;0")=1,1,""))</f>
        <v/>
      </c>
      <c r="AH1246" s="70" t="str">
        <f>IF(AB1246="","",ROUND(N(W1246)*N(J1246)*(1-N(K1246)),2))</f>
        <v/>
      </c>
      <c r="AI1246" s="70" t="str">
        <f>IF(OR(J1246="",N(T1246)&lt;=0,V1246="Oui"),"",ROUND(N(T1246)*J1246*(1-N(K1246)),2))</f>
        <v/>
      </c>
    </row>
    <row r="1247">
      <c r="A1247" s="63" t="n"/>
      <c r="B1247" s="64" t="n"/>
      <c r="C1247" s="65" t="n"/>
      <c r="D1247" s="66" t="str">
        <f>IF(C1247="","",IFERROR(INDEX(sup_name,MATCH($C1247,sup_code,0))&amp;"","Fournisseur inconnu"))</f>
        <v/>
      </c>
      <c r="E1247" s="63" t="n"/>
      <c r="F1247" s="66" t="str">
        <f>IF(E1247="","",IFERROR(INDEX(art_des,MATCH($E1247,art_ref,0))&amp;"","Article inconnu"))</f>
        <v/>
      </c>
      <c r="G1247" s="67" t="str">
        <f>IF(E1247="","",IFERROR(INDEX(art_unit,MATCH($E1247,art_ref,0))&amp;"",""))</f>
        <v/>
      </c>
      <c r="H1247" s="68" t="n"/>
      <c r="I1247" s="69" t="n"/>
      <c r="J1247" s="70" t="str">
        <f>IF(E1247="","",IF(ISNUMBER(I1247),I1247,IFERROR(IF(ISNUMBER(INDEX(art_price,MATCH($E1247,art_ref,0))),INDEX(art_price,MATCH($E1247,art_ref,0)),""),"")))</f>
        <v/>
      </c>
      <c r="K1247" s="71" t="n"/>
      <c r="L1247" s="72" t="n"/>
      <c r="M1247" s="72" t="str">
        <f>IF(E1247="","",IF(L1247&lt;&gt;"",L1247,IFERROR(IF(ISNUMBER(INDEX(art_tva,MATCH($E1247,art_ref,0))),INDEX(art_tva,MATCH($E1247,art_ref,0)),""),"")))</f>
        <v/>
      </c>
      <c r="N1247" s="70" t="str">
        <f>IF(OR(E1247="",J1247=""),"",ROUND(N(H1247)*J1247*(1-N(K1247)),2))</f>
        <v/>
      </c>
      <c r="O1247" s="70" t="str">
        <f>IF(OR(N1247="",NOT(ISNUMBER(M1247))),"",ROUND(N1247*M1247,2))</f>
        <v/>
      </c>
      <c r="P1247" s="70" t="str">
        <f>IF(N1247="","",N1247+N(O1247))</f>
        <v/>
      </c>
      <c r="Q1247" s="64" t="n"/>
      <c r="R1247" s="73" t="str">
        <f>IF(N(Q1247)&gt;0,Q1247,IF(OR(N(B1247)=0,ISNA(MATCH($C1247,sup_code,0))),"",IF(ISNUMBER(INDEX(sup_delay,MATCH($C1247,sup_code,0))),B1247+INDEX(sup_delay,MATCH($C1247,sup_code,0)),"")))</f>
        <v/>
      </c>
      <c r="S1247" s="64" t="n"/>
      <c r="T1247" s="68" t="n"/>
      <c r="U1247" s="64" t="n"/>
      <c r="V1247" s="65" t="n"/>
      <c r="W1247" s="74" t="str">
        <f>IF(AND(A1247="",E1247=""),"",IF(V1247="Oui",0,MAX(0,ROUND(N(H1247)-N(T1247),6))))</f>
        <v/>
      </c>
      <c r="X1247" s="67" t="str">
        <f>IF(AND(A1247="",E1247=""),"",IF(V1247="Oui","Annulé",IF(AND(N(H1247)&gt;0,N(T1247)&gt;=N(H1247)),"Reçu",IF(N(S1247)=0,"Brouillon",IF(AND(ISNUMBER(R1247),R1247&lt;p_today),"En retard",IF(N(T1247)&gt;0,"Partiel","Envoyé"))))))</f>
        <v/>
      </c>
      <c r="Y1247" s="75" t="str">
        <f>IF(X1247="En retard",p_today-R1247,IF(AND(X1247="Reçu",ISNUMBER(R1247)),MAX(0,N(U1247)-R1247),""))</f>
        <v/>
      </c>
      <c r="Z1247" s="67" t="str">
        <f>IF(AND(A1247="",E1247=""),"",IF(A1247="","N° de bon manquant",IF(N(B1247)=0,"Date de commande manquante",IF(C1247="","Fournisseur manquant",IF(ISNA(MATCH($C1247,sup_code,0)),"Fournisseur inconnu",IF(E1247="","Article manquant",IF(ISNA(MATCH($E1247,art_ref,0)),"Article inconnu",IF(N(H1247)&lt;=0,"Quantité invalide",IF(J1247="","Prix manquant",IF(OR(N(K1247)&lt;0,N(K1247)&gt;=1),"Remise invalide",IF(M1247="","TVA manquante",IF(ISNA(MATCH(M1247,p_tva,0)),"Taux de TVA inconnu",IF(COUNTIFS(po_num,A1247,po_sup,"&lt;&gt;"&amp;C1247)&gt;0,"Fournisseur différent sur ce bon",IF(COUNTIFS(po_num,A1247,po_date,"&lt;&gt;"&amp;B1247)&gt;0,"Date différente sur ce bon",IF(COUNTIF(po_num,A1247)&gt;25,"Plus de 25 lignes sur ce bon",IF(R1247="","Date de livraison manquante",IF(R1247&lt;B1247,"Livraison avant la commande",IF(AND(N(T1247)&gt;0,N(S1247)=0),"Date d'envoi manquante",IF(N(T1247)&gt;N(H1247),"Reçu plus que commandé",IF(AND(N(T1247)&gt;0,N(U1247)=0),"Date de réception manquante",IF(AND(N(U1247)&gt;0,U1247&lt;B1247),"Réception avant la commande","OK")))))))))))))))))))))</f>
        <v/>
      </c>
      <c r="AA1247" s="66" t="str">
        <f>IF(AND(X1247="Reçu",ISNUMBER(R1247)),IF(N(U1247)&lt;=R1247,1,0),"")</f>
        <v/>
      </c>
      <c r="AB1247" s="76" t="str">
        <f>IF(OR(X1247="Envoyé",X1247="Partiel",X1247="En retard"),IF(ISNUMBER(R1247),R1247,100000)+ROW()/100000,"")</f>
        <v/>
      </c>
      <c r="AC1247" s="66" t="str">
        <f>IF(A1247="","",IF(COUNTIF($A$6:A1247,A1247)=1,1,""))</f>
        <v/>
      </c>
      <c r="AD1247" s="66" t="str">
        <f>IF(AC1247=1,COUNT($AC$6:AC1247),"")</f>
        <v/>
      </c>
      <c r="AE1247" s="66" t="str">
        <f>IFERROR(INDEX(po_num,MATCH(1242,po_seq,0))&amp;"","")</f>
        <v/>
      </c>
      <c r="AF1247" s="66" t="str">
        <f>IF(OR(A1247="",p_po=""),"",IF(A1247&amp;""=p_po,COUNTIF($A$6:A1247,A1247),""))</f>
        <v/>
      </c>
      <c r="AG1247" s="66" t="str">
        <f>IF(OR(AB1247="",A1247=""),"",IF(COUNTIFS($A$6:A1247,A1247,$AB$6:AB1247,"&gt;0")=1,1,""))</f>
        <v/>
      </c>
      <c r="AH1247" s="70" t="str">
        <f>IF(AB1247="","",ROUND(N(W1247)*N(J1247)*(1-N(K1247)),2))</f>
        <v/>
      </c>
      <c r="AI1247" s="70" t="str">
        <f>IF(OR(J1247="",N(T1247)&lt;=0,V1247="Oui"),"",ROUND(N(T1247)*J1247*(1-N(K1247)),2))</f>
        <v/>
      </c>
    </row>
    <row r="1248">
      <c r="A1248" s="63" t="n"/>
      <c r="B1248" s="64" t="n"/>
      <c r="C1248" s="65" t="n"/>
      <c r="D1248" s="66" t="str">
        <f>IF(C1248="","",IFERROR(INDEX(sup_name,MATCH($C1248,sup_code,0))&amp;"","Fournisseur inconnu"))</f>
        <v/>
      </c>
      <c r="E1248" s="63" t="n"/>
      <c r="F1248" s="66" t="str">
        <f>IF(E1248="","",IFERROR(INDEX(art_des,MATCH($E1248,art_ref,0))&amp;"","Article inconnu"))</f>
        <v/>
      </c>
      <c r="G1248" s="67" t="str">
        <f>IF(E1248="","",IFERROR(INDEX(art_unit,MATCH($E1248,art_ref,0))&amp;"",""))</f>
        <v/>
      </c>
      <c r="H1248" s="68" t="n"/>
      <c r="I1248" s="69" t="n"/>
      <c r="J1248" s="70" t="str">
        <f>IF(E1248="","",IF(ISNUMBER(I1248),I1248,IFERROR(IF(ISNUMBER(INDEX(art_price,MATCH($E1248,art_ref,0))),INDEX(art_price,MATCH($E1248,art_ref,0)),""),"")))</f>
        <v/>
      </c>
      <c r="K1248" s="71" t="n"/>
      <c r="L1248" s="72" t="n"/>
      <c r="M1248" s="72" t="str">
        <f>IF(E1248="","",IF(L1248&lt;&gt;"",L1248,IFERROR(IF(ISNUMBER(INDEX(art_tva,MATCH($E1248,art_ref,0))),INDEX(art_tva,MATCH($E1248,art_ref,0)),""),"")))</f>
        <v/>
      </c>
      <c r="N1248" s="70" t="str">
        <f>IF(OR(E1248="",J1248=""),"",ROUND(N(H1248)*J1248*(1-N(K1248)),2))</f>
        <v/>
      </c>
      <c r="O1248" s="70" t="str">
        <f>IF(OR(N1248="",NOT(ISNUMBER(M1248))),"",ROUND(N1248*M1248,2))</f>
        <v/>
      </c>
      <c r="P1248" s="70" t="str">
        <f>IF(N1248="","",N1248+N(O1248))</f>
        <v/>
      </c>
      <c r="Q1248" s="64" t="n"/>
      <c r="R1248" s="73" t="str">
        <f>IF(N(Q1248)&gt;0,Q1248,IF(OR(N(B1248)=0,ISNA(MATCH($C1248,sup_code,0))),"",IF(ISNUMBER(INDEX(sup_delay,MATCH($C1248,sup_code,0))),B1248+INDEX(sup_delay,MATCH($C1248,sup_code,0)),"")))</f>
        <v/>
      </c>
      <c r="S1248" s="64" t="n"/>
      <c r="T1248" s="68" t="n"/>
      <c r="U1248" s="64" t="n"/>
      <c r="V1248" s="65" t="n"/>
      <c r="W1248" s="74" t="str">
        <f>IF(AND(A1248="",E1248=""),"",IF(V1248="Oui",0,MAX(0,ROUND(N(H1248)-N(T1248),6))))</f>
        <v/>
      </c>
      <c r="X1248" s="67" t="str">
        <f>IF(AND(A1248="",E1248=""),"",IF(V1248="Oui","Annulé",IF(AND(N(H1248)&gt;0,N(T1248)&gt;=N(H1248)),"Reçu",IF(N(S1248)=0,"Brouillon",IF(AND(ISNUMBER(R1248),R1248&lt;p_today),"En retard",IF(N(T1248)&gt;0,"Partiel","Envoyé"))))))</f>
        <v/>
      </c>
      <c r="Y1248" s="75" t="str">
        <f>IF(X1248="En retard",p_today-R1248,IF(AND(X1248="Reçu",ISNUMBER(R1248)),MAX(0,N(U1248)-R1248),""))</f>
        <v/>
      </c>
      <c r="Z1248" s="67" t="str">
        <f>IF(AND(A1248="",E1248=""),"",IF(A1248="","N° de bon manquant",IF(N(B1248)=0,"Date de commande manquante",IF(C1248="","Fournisseur manquant",IF(ISNA(MATCH($C1248,sup_code,0)),"Fournisseur inconnu",IF(E1248="","Article manquant",IF(ISNA(MATCH($E1248,art_ref,0)),"Article inconnu",IF(N(H1248)&lt;=0,"Quantité invalide",IF(J1248="","Prix manquant",IF(OR(N(K1248)&lt;0,N(K1248)&gt;=1),"Remise invalide",IF(M1248="","TVA manquante",IF(ISNA(MATCH(M1248,p_tva,0)),"Taux de TVA inconnu",IF(COUNTIFS(po_num,A1248,po_sup,"&lt;&gt;"&amp;C1248)&gt;0,"Fournisseur différent sur ce bon",IF(COUNTIFS(po_num,A1248,po_date,"&lt;&gt;"&amp;B1248)&gt;0,"Date différente sur ce bon",IF(COUNTIF(po_num,A1248)&gt;25,"Plus de 25 lignes sur ce bon",IF(R1248="","Date de livraison manquante",IF(R1248&lt;B1248,"Livraison avant la commande",IF(AND(N(T1248)&gt;0,N(S1248)=0),"Date d'envoi manquante",IF(N(T1248)&gt;N(H1248),"Reçu plus que commandé",IF(AND(N(T1248)&gt;0,N(U1248)=0),"Date de réception manquante",IF(AND(N(U1248)&gt;0,U1248&lt;B1248),"Réception avant la commande","OK")))))))))))))))))))))</f>
        <v/>
      </c>
      <c r="AA1248" s="66" t="str">
        <f>IF(AND(X1248="Reçu",ISNUMBER(R1248)),IF(N(U1248)&lt;=R1248,1,0),"")</f>
        <v/>
      </c>
      <c r="AB1248" s="76" t="str">
        <f>IF(OR(X1248="Envoyé",X1248="Partiel",X1248="En retard"),IF(ISNUMBER(R1248),R1248,100000)+ROW()/100000,"")</f>
        <v/>
      </c>
      <c r="AC1248" s="66" t="str">
        <f>IF(A1248="","",IF(COUNTIF($A$6:A1248,A1248)=1,1,""))</f>
        <v/>
      </c>
      <c r="AD1248" s="66" t="str">
        <f>IF(AC1248=1,COUNT($AC$6:AC1248),"")</f>
        <v/>
      </c>
      <c r="AE1248" s="66" t="str">
        <f>IFERROR(INDEX(po_num,MATCH(1243,po_seq,0))&amp;"","")</f>
        <v/>
      </c>
      <c r="AF1248" s="66" t="str">
        <f>IF(OR(A1248="",p_po=""),"",IF(A1248&amp;""=p_po,COUNTIF($A$6:A1248,A1248),""))</f>
        <v/>
      </c>
      <c r="AG1248" s="66" t="str">
        <f>IF(OR(AB1248="",A1248=""),"",IF(COUNTIFS($A$6:A1248,A1248,$AB$6:AB1248,"&gt;0")=1,1,""))</f>
        <v/>
      </c>
      <c r="AH1248" s="70" t="str">
        <f>IF(AB1248="","",ROUND(N(W1248)*N(J1248)*(1-N(K1248)),2))</f>
        <v/>
      </c>
      <c r="AI1248" s="70" t="str">
        <f>IF(OR(J1248="",N(T1248)&lt;=0,V1248="Oui"),"",ROUND(N(T1248)*J1248*(1-N(K1248)),2))</f>
        <v/>
      </c>
    </row>
    <row r="1249">
      <c r="A1249" s="63" t="n"/>
      <c r="B1249" s="64" t="n"/>
      <c r="C1249" s="65" t="n"/>
      <c r="D1249" s="66" t="str">
        <f>IF(C1249="","",IFERROR(INDEX(sup_name,MATCH($C1249,sup_code,0))&amp;"","Fournisseur inconnu"))</f>
        <v/>
      </c>
      <c r="E1249" s="63" t="n"/>
      <c r="F1249" s="66" t="str">
        <f>IF(E1249="","",IFERROR(INDEX(art_des,MATCH($E1249,art_ref,0))&amp;"","Article inconnu"))</f>
        <v/>
      </c>
      <c r="G1249" s="67" t="str">
        <f>IF(E1249="","",IFERROR(INDEX(art_unit,MATCH($E1249,art_ref,0))&amp;"",""))</f>
        <v/>
      </c>
      <c r="H1249" s="68" t="n"/>
      <c r="I1249" s="69" t="n"/>
      <c r="J1249" s="70" t="str">
        <f>IF(E1249="","",IF(ISNUMBER(I1249),I1249,IFERROR(IF(ISNUMBER(INDEX(art_price,MATCH($E1249,art_ref,0))),INDEX(art_price,MATCH($E1249,art_ref,0)),""),"")))</f>
        <v/>
      </c>
      <c r="K1249" s="71" t="n"/>
      <c r="L1249" s="72" t="n"/>
      <c r="M1249" s="72" t="str">
        <f>IF(E1249="","",IF(L1249&lt;&gt;"",L1249,IFERROR(IF(ISNUMBER(INDEX(art_tva,MATCH($E1249,art_ref,0))),INDEX(art_tva,MATCH($E1249,art_ref,0)),""),"")))</f>
        <v/>
      </c>
      <c r="N1249" s="70" t="str">
        <f>IF(OR(E1249="",J1249=""),"",ROUND(N(H1249)*J1249*(1-N(K1249)),2))</f>
        <v/>
      </c>
      <c r="O1249" s="70" t="str">
        <f>IF(OR(N1249="",NOT(ISNUMBER(M1249))),"",ROUND(N1249*M1249,2))</f>
        <v/>
      </c>
      <c r="P1249" s="70" t="str">
        <f>IF(N1249="","",N1249+N(O1249))</f>
        <v/>
      </c>
      <c r="Q1249" s="64" t="n"/>
      <c r="R1249" s="73" t="str">
        <f>IF(N(Q1249)&gt;0,Q1249,IF(OR(N(B1249)=0,ISNA(MATCH($C1249,sup_code,0))),"",IF(ISNUMBER(INDEX(sup_delay,MATCH($C1249,sup_code,0))),B1249+INDEX(sup_delay,MATCH($C1249,sup_code,0)),"")))</f>
        <v/>
      </c>
      <c r="S1249" s="64" t="n"/>
      <c r="T1249" s="68" t="n"/>
      <c r="U1249" s="64" t="n"/>
      <c r="V1249" s="65" t="n"/>
      <c r="W1249" s="74" t="str">
        <f>IF(AND(A1249="",E1249=""),"",IF(V1249="Oui",0,MAX(0,ROUND(N(H1249)-N(T1249),6))))</f>
        <v/>
      </c>
      <c r="X1249" s="67" t="str">
        <f>IF(AND(A1249="",E1249=""),"",IF(V1249="Oui","Annulé",IF(AND(N(H1249)&gt;0,N(T1249)&gt;=N(H1249)),"Reçu",IF(N(S1249)=0,"Brouillon",IF(AND(ISNUMBER(R1249),R1249&lt;p_today),"En retard",IF(N(T1249)&gt;0,"Partiel","Envoyé"))))))</f>
        <v/>
      </c>
      <c r="Y1249" s="75" t="str">
        <f>IF(X1249="En retard",p_today-R1249,IF(AND(X1249="Reçu",ISNUMBER(R1249)),MAX(0,N(U1249)-R1249),""))</f>
        <v/>
      </c>
      <c r="Z1249" s="67" t="str">
        <f>IF(AND(A1249="",E1249=""),"",IF(A1249="","N° de bon manquant",IF(N(B1249)=0,"Date de commande manquante",IF(C1249="","Fournisseur manquant",IF(ISNA(MATCH($C1249,sup_code,0)),"Fournisseur inconnu",IF(E1249="","Article manquant",IF(ISNA(MATCH($E1249,art_ref,0)),"Article inconnu",IF(N(H1249)&lt;=0,"Quantité invalide",IF(J1249="","Prix manquant",IF(OR(N(K1249)&lt;0,N(K1249)&gt;=1),"Remise invalide",IF(M1249="","TVA manquante",IF(ISNA(MATCH(M1249,p_tva,0)),"Taux de TVA inconnu",IF(COUNTIFS(po_num,A1249,po_sup,"&lt;&gt;"&amp;C1249)&gt;0,"Fournisseur différent sur ce bon",IF(COUNTIFS(po_num,A1249,po_date,"&lt;&gt;"&amp;B1249)&gt;0,"Date différente sur ce bon",IF(COUNTIF(po_num,A1249)&gt;25,"Plus de 25 lignes sur ce bon",IF(R1249="","Date de livraison manquante",IF(R1249&lt;B1249,"Livraison avant la commande",IF(AND(N(T1249)&gt;0,N(S1249)=0),"Date d'envoi manquante",IF(N(T1249)&gt;N(H1249),"Reçu plus que commandé",IF(AND(N(T1249)&gt;0,N(U1249)=0),"Date de réception manquante",IF(AND(N(U1249)&gt;0,U1249&lt;B1249),"Réception avant la commande","OK")))))))))))))))))))))</f>
        <v/>
      </c>
      <c r="AA1249" s="66" t="str">
        <f>IF(AND(X1249="Reçu",ISNUMBER(R1249)),IF(N(U1249)&lt;=R1249,1,0),"")</f>
        <v/>
      </c>
      <c r="AB1249" s="76" t="str">
        <f>IF(OR(X1249="Envoyé",X1249="Partiel",X1249="En retard"),IF(ISNUMBER(R1249),R1249,100000)+ROW()/100000,"")</f>
        <v/>
      </c>
      <c r="AC1249" s="66" t="str">
        <f>IF(A1249="","",IF(COUNTIF($A$6:A1249,A1249)=1,1,""))</f>
        <v/>
      </c>
      <c r="AD1249" s="66" t="str">
        <f>IF(AC1249=1,COUNT($AC$6:AC1249),"")</f>
        <v/>
      </c>
      <c r="AE1249" s="66" t="str">
        <f>IFERROR(INDEX(po_num,MATCH(1244,po_seq,0))&amp;"","")</f>
        <v/>
      </c>
      <c r="AF1249" s="66" t="str">
        <f>IF(OR(A1249="",p_po=""),"",IF(A1249&amp;""=p_po,COUNTIF($A$6:A1249,A1249),""))</f>
        <v/>
      </c>
      <c r="AG1249" s="66" t="str">
        <f>IF(OR(AB1249="",A1249=""),"",IF(COUNTIFS($A$6:A1249,A1249,$AB$6:AB1249,"&gt;0")=1,1,""))</f>
        <v/>
      </c>
      <c r="AH1249" s="70" t="str">
        <f>IF(AB1249="","",ROUND(N(W1249)*N(J1249)*(1-N(K1249)),2))</f>
        <v/>
      </c>
      <c r="AI1249" s="70" t="str">
        <f>IF(OR(J1249="",N(T1249)&lt;=0,V1249="Oui"),"",ROUND(N(T1249)*J1249*(1-N(K1249)),2))</f>
        <v/>
      </c>
    </row>
    <row r="1250">
      <c r="A1250" s="63" t="n"/>
      <c r="B1250" s="64" t="n"/>
      <c r="C1250" s="65" t="n"/>
      <c r="D1250" s="66" t="str">
        <f>IF(C1250="","",IFERROR(INDEX(sup_name,MATCH($C1250,sup_code,0))&amp;"","Fournisseur inconnu"))</f>
        <v/>
      </c>
      <c r="E1250" s="63" t="n"/>
      <c r="F1250" s="66" t="str">
        <f>IF(E1250="","",IFERROR(INDEX(art_des,MATCH($E1250,art_ref,0))&amp;"","Article inconnu"))</f>
        <v/>
      </c>
      <c r="G1250" s="67" t="str">
        <f>IF(E1250="","",IFERROR(INDEX(art_unit,MATCH($E1250,art_ref,0))&amp;"",""))</f>
        <v/>
      </c>
      <c r="H1250" s="68" t="n"/>
      <c r="I1250" s="69" t="n"/>
      <c r="J1250" s="70" t="str">
        <f>IF(E1250="","",IF(ISNUMBER(I1250),I1250,IFERROR(IF(ISNUMBER(INDEX(art_price,MATCH($E1250,art_ref,0))),INDEX(art_price,MATCH($E1250,art_ref,0)),""),"")))</f>
        <v/>
      </c>
      <c r="K1250" s="71" t="n"/>
      <c r="L1250" s="72" t="n"/>
      <c r="M1250" s="72" t="str">
        <f>IF(E1250="","",IF(L1250&lt;&gt;"",L1250,IFERROR(IF(ISNUMBER(INDEX(art_tva,MATCH($E1250,art_ref,0))),INDEX(art_tva,MATCH($E1250,art_ref,0)),""),"")))</f>
        <v/>
      </c>
      <c r="N1250" s="70" t="str">
        <f>IF(OR(E1250="",J1250=""),"",ROUND(N(H1250)*J1250*(1-N(K1250)),2))</f>
        <v/>
      </c>
      <c r="O1250" s="70" t="str">
        <f>IF(OR(N1250="",NOT(ISNUMBER(M1250))),"",ROUND(N1250*M1250,2))</f>
        <v/>
      </c>
      <c r="P1250" s="70" t="str">
        <f>IF(N1250="","",N1250+N(O1250))</f>
        <v/>
      </c>
      <c r="Q1250" s="64" t="n"/>
      <c r="R1250" s="73" t="str">
        <f>IF(N(Q1250)&gt;0,Q1250,IF(OR(N(B1250)=0,ISNA(MATCH($C1250,sup_code,0))),"",IF(ISNUMBER(INDEX(sup_delay,MATCH($C1250,sup_code,0))),B1250+INDEX(sup_delay,MATCH($C1250,sup_code,0)),"")))</f>
        <v/>
      </c>
      <c r="S1250" s="64" t="n"/>
      <c r="T1250" s="68" t="n"/>
      <c r="U1250" s="64" t="n"/>
      <c r="V1250" s="65" t="n"/>
      <c r="W1250" s="74" t="str">
        <f>IF(AND(A1250="",E1250=""),"",IF(V1250="Oui",0,MAX(0,ROUND(N(H1250)-N(T1250),6))))</f>
        <v/>
      </c>
      <c r="X1250" s="67" t="str">
        <f>IF(AND(A1250="",E1250=""),"",IF(V1250="Oui","Annulé",IF(AND(N(H1250)&gt;0,N(T1250)&gt;=N(H1250)),"Reçu",IF(N(S1250)=0,"Brouillon",IF(AND(ISNUMBER(R1250),R1250&lt;p_today),"En retard",IF(N(T1250)&gt;0,"Partiel","Envoyé"))))))</f>
        <v/>
      </c>
      <c r="Y1250" s="75" t="str">
        <f>IF(X1250="En retard",p_today-R1250,IF(AND(X1250="Reçu",ISNUMBER(R1250)),MAX(0,N(U1250)-R1250),""))</f>
        <v/>
      </c>
      <c r="Z1250" s="67" t="str">
        <f>IF(AND(A1250="",E1250=""),"",IF(A1250="","N° de bon manquant",IF(N(B1250)=0,"Date de commande manquante",IF(C1250="","Fournisseur manquant",IF(ISNA(MATCH($C1250,sup_code,0)),"Fournisseur inconnu",IF(E1250="","Article manquant",IF(ISNA(MATCH($E1250,art_ref,0)),"Article inconnu",IF(N(H1250)&lt;=0,"Quantité invalide",IF(J1250="","Prix manquant",IF(OR(N(K1250)&lt;0,N(K1250)&gt;=1),"Remise invalide",IF(M1250="","TVA manquante",IF(ISNA(MATCH(M1250,p_tva,0)),"Taux de TVA inconnu",IF(COUNTIFS(po_num,A1250,po_sup,"&lt;&gt;"&amp;C1250)&gt;0,"Fournisseur différent sur ce bon",IF(COUNTIFS(po_num,A1250,po_date,"&lt;&gt;"&amp;B1250)&gt;0,"Date différente sur ce bon",IF(COUNTIF(po_num,A1250)&gt;25,"Plus de 25 lignes sur ce bon",IF(R1250="","Date de livraison manquante",IF(R1250&lt;B1250,"Livraison avant la commande",IF(AND(N(T1250)&gt;0,N(S1250)=0),"Date d'envoi manquante",IF(N(T1250)&gt;N(H1250),"Reçu plus que commandé",IF(AND(N(T1250)&gt;0,N(U1250)=0),"Date de réception manquante",IF(AND(N(U1250)&gt;0,U1250&lt;B1250),"Réception avant la commande","OK")))))))))))))))))))))</f>
        <v/>
      </c>
      <c r="AA1250" s="66" t="str">
        <f>IF(AND(X1250="Reçu",ISNUMBER(R1250)),IF(N(U1250)&lt;=R1250,1,0),"")</f>
        <v/>
      </c>
      <c r="AB1250" s="76" t="str">
        <f>IF(OR(X1250="Envoyé",X1250="Partiel",X1250="En retard"),IF(ISNUMBER(R1250),R1250,100000)+ROW()/100000,"")</f>
        <v/>
      </c>
      <c r="AC1250" s="66" t="str">
        <f>IF(A1250="","",IF(COUNTIF($A$6:A1250,A1250)=1,1,""))</f>
        <v/>
      </c>
      <c r="AD1250" s="66" t="str">
        <f>IF(AC1250=1,COUNT($AC$6:AC1250),"")</f>
        <v/>
      </c>
      <c r="AE1250" s="66" t="str">
        <f>IFERROR(INDEX(po_num,MATCH(1245,po_seq,0))&amp;"","")</f>
        <v/>
      </c>
      <c r="AF1250" s="66" t="str">
        <f>IF(OR(A1250="",p_po=""),"",IF(A1250&amp;""=p_po,COUNTIF($A$6:A1250,A1250),""))</f>
        <v/>
      </c>
      <c r="AG1250" s="66" t="str">
        <f>IF(OR(AB1250="",A1250=""),"",IF(COUNTIFS($A$6:A1250,A1250,$AB$6:AB1250,"&gt;0")=1,1,""))</f>
        <v/>
      </c>
      <c r="AH1250" s="70" t="str">
        <f>IF(AB1250="","",ROUND(N(W1250)*N(J1250)*(1-N(K1250)),2))</f>
        <v/>
      </c>
      <c r="AI1250" s="70" t="str">
        <f>IF(OR(J1250="",N(T1250)&lt;=0,V1250="Oui"),"",ROUND(N(T1250)*J1250*(1-N(K1250)),2))</f>
        <v/>
      </c>
    </row>
    <row r="1251">
      <c r="A1251" s="63" t="n"/>
      <c r="B1251" s="64" t="n"/>
      <c r="C1251" s="65" t="n"/>
      <c r="D1251" s="66" t="str">
        <f>IF(C1251="","",IFERROR(INDEX(sup_name,MATCH($C1251,sup_code,0))&amp;"","Fournisseur inconnu"))</f>
        <v/>
      </c>
      <c r="E1251" s="63" t="n"/>
      <c r="F1251" s="66" t="str">
        <f>IF(E1251="","",IFERROR(INDEX(art_des,MATCH($E1251,art_ref,0))&amp;"","Article inconnu"))</f>
        <v/>
      </c>
      <c r="G1251" s="67" t="str">
        <f>IF(E1251="","",IFERROR(INDEX(art_unit,MATCH($E1251,art_ref,0))&amp;"",""))</f>
        <v/>
      </c>
      <c r="H1251" s="68" t="n"/>
      <c r="I1251" s="69" t="n"/>
      <c r="J1251" s="70" t="str">
        <f>IF(E1251="","",IF(ISNUMBER(I1251),I1251,IFERROR(IF(ISNUMBER(INDEX(art_price,MATCH($E1251,art_ref,0))),INDEX(art_price,MATCH($E1251,art_ref,0)),""),"")))</f>
        <v/>
      </c>
      <c r="K1251" s="71" t="n"/>
      <c r="L1251" s="72" t="n"/>
      <c r="M1251" s="72" t="str">
        <f>IF(E1251="","",IF(L1251&lt;&gt;"",L1251,IFERROR(IF(ISNUMBER(INDEX(art_tva,MATCH($E1251,art_ref,0))),INDEX(art_tva,MATCH($E1251,art_ref,0)),""),"")))</f>
        <v/>
      </c>
      <c r="N1251" s="70" t="str">
        <f>IF(OR(E1251="",J1251=""),"",ROUND(N(H1251)*J1251*(1-N(K1251)),2))</f>
        <v/>
      </c>
      <c r="O1251" s="70" t="str">
        <f>IF(OR(N1251="",NOT(ISNUMBER(M1251))),"",ROUND(N1251*M1251,2))</f>
        <v/>
      </c>
      <c r="P1251" s="70" t="str">
        <f>IF(N1251="","",N1251+N(O1251))</f>
        <v/>
      </c>
      <c r="Q1251" s="64" t="n"/>
      <c r="R1251" s="73" t="str">
        <f>IF(N(Q1251)&gt;0,Q1251,IF(OR(N(B1251)=0,ISNA(MATCH($C1251,sup_code,0))),"",IF(ISNUMBER(INDEX(sup_delay,MATCH($C1251,sup_code,0))),B1251+INDEX(sup_delay,MATCH($C1251,sup_code,0)),"")))</f>
        <v/>
      </c>
      <c r="S1251" s="64" t="n"/>
      <c r="T1251" s="68" t="n"/>
      <c r="U1251" s="64" t="n"/>
      <c r="V1251" s="65" t="n"/>
      <c r="W1251" s="74" t="str">
        <f>IF(AND(A1251="",E1251=""),"",IF(V1251="Oui",0,MAX(0,ROUND(N(H1251)-N(T1251),6))))</f>
        <v/>
      </c>
      <c r="X1251" s="67" t="str">
        <f>IF(AND(A1251="",E1251=""),"",IF(V1251="Oui","Annulé",IF(AND(N(H1251)&gt;0,N(T1251)&gt;=N(H1251)),"Reçu",IF(N(S1251)=0,"Brouillon",IF(AND(ISNUMBER(R1251),R1251&lt;p_today),"En retard",IF(N(T1251)&gt;0,"Partiel","Envoyé"))))))</f>
        <v/>
      </c>
      <c r="Y1251" s="75" t="str">
        <f>IF(X1251="En retard",p_today-R1251,IF(AND(X1251="Reçu",ISNUMBER(R1251)),MAX(0,N(U1251)-R1251),""))</f>
        <v/>
      </c>
      <c r="Z1251" s="67" t="str">
        <f>IF(AND(A1251="",E1251=""),"",IF(A1251="","N° de bon manquant",IF(N(B1251)=0,"Date de commande manquante",IF(C1251="","Fournisseur manquant",IF(ISNA(MATCH($C1251,sup_code,0)),"Fournisseur inconnu",IF(E1251="","Article manquant",IF(ISNA(MATCH($E1251,art_ref,0)),"Article inconnu",IF(N(H1251)&lt;=0,"Quantité invalide",IF(J1251="","Prix manquant",IF(OR(N(K1251)&lt;0,N(K1251)&gt;=1),"Remise invalide",IF(M1251="","TVA manquante",IF(ISNA(MATCH(M1251,p_tva,0)),"Taux de TVA inconnu",IF(COUNTIFS(po_num,A1251,po_sup,"&lt;&gt;"&amp;C1251)&gt;0,"Fournisseur différent sur ce bon",IF(COUNTIFS(po_num,A1251,po_date,"&lt;&gt;"&amp;B1251)&gt;0,"Date différente sur ce bon",IF(COUNTIF(po_num,A1251)&gt;25,"Plus de 25 lignes sur ce bon",IF(R1251="","Date de livraison manquante",IF(R1251&lt;B1251,"Livraison avant la commande",IF(AND(N(T1251)&gt;0,N(S1251)=0),"Date d'envoi manquante",IF(N(T1251)&gt;N(H1251),"Reçu plus que commandé",IF(AND(N(T1251)&gt;0,N(U1251)=0),"Date de réception manquante",IF(AND(N(U1251)&gt;0,U1251&lt;B1251),"Réception avant la commande","OK")))))))))))))))))))))</f>
        <v/>
      </c>
      <c r="AA1251" s="66" t="str">
        <f>IF(AND(X1251="Reçu",ISNUMBER(R1251)),IF(N(U1251)&lt;=R1251,1,0),"")</f>
        <v/>
      </c>
      <c r="AB1251" s="76" t="str">
        <f>IF(OR(X1251="Envoyé",X1251="Partiel",X1251="En retard"),IF(ISNUMBER(R1251),R1251,100000)+ROW()/100000,"")</f>
        <v/>
      </c>
      <c r="AC1251" s="66" t="str">
        <f>IF(A1251="","",IF(COUNTIF($A$6:A1251,A1251)=1,1,""))</f>
        <v/>
      </c>
      <c r="AD1251" s="66" t="str">
        <f>IF(AC1251=1,COUNT($AC$6:AC1251),"")</f>
        <v/>
      </c>
      <c r="AE1251" s="66" t="str">
        <f>IFERROR(INDEX(po_num,MATCH(1246,po_seq,0))&amp;"","")</f>
        <v/>
      </c>
      <c r="AF1251" s="66" t="str">
        <f>IF(OR(A1251="",p_po=""),"",IF(A1251&amp;""=p_po,COUNTIF($A$6:A1251,A1251),""))</f>
        <v/>
      </c>
      <c r="AG1251" s="66" t="str">
        <f>IF(OR(AB1251="",A1251=""),"",IF(COUNTIFS($A$6:A1251,A1251,$AB$6:AB1251,"&gt;0")=1,1,""))</f>
        <v/>
      </c>
      <c r="AH1251" s="70" t="str">
        <f>IF(AB1251="","",ROUND(N(W1251)*N(J1251)*(1-N(K1251)),2))</f>
        <v/>
      </c>
      <c r="AI1251" s="70" t="str">
        <f>IF(OR(J1251="",N(T1251)&lt;=0,V1251="Oui"),"",ROUND(N(T1251)*J1251*(1-N(K1251)),2))</f>
        <v/>
      </c>
    </row>
    <row r="1252">
      <c r="A1252" s="63" t="n"/>
      <c r="B1252" s="64" t="n"/>
      <c r="C1252" s="65" t="n"/>
      <c r="D1252" s="66" t="str">
        <f>IF(C1252="","",IFERROR(INDEX(sup_name,MATCH($C1252,sup_code,0))&amp;"","Fournisseur inconnu"))</f>
        <v/>
      </c>
      <c r="E1252" s="63" t="n"/>
      <c r="F1252" s="66" t="str">
        <f>IF(E1252="","",IFERROR(INDEX(art_des,MATCH($E1252,art_ref,0))&amp;"","Article inconnu"))</f>
        <v/>
      </c>
      <c r="G1252" s="67" t="str">
        <f>IF(E1252="","",IFERROR(INDEX(art_unit,MATCH($E1252,art_ref,0))&amp;"",""))</f>
        <v/>
      </c>
      <c r="H1252" s="68" t="n"/>
      <c r="I1252" s="69" t="n"/>
      <c r="J1252" s="70" t="str">
        <f>IF(E1252="","",IF(ISNUMBER(I1252),I1252,IFERROR(IF(ISNUMBER(INDEX(art_price,MATCH($E1252,art_ref,0))),INDEX(art_price,MATCH($E1252,art_ref,0)),""),"")))</f>
        <v/>
      </c>
      <c r="K1252" s="71" t="n"/>
      <c r="L1252" s="72" t="n"/>
      <c r="M1252" s="72" t="str">
        <f>IF(E1252="","",IF(L1252&lt;&gt;"",L1252,IFERROR(IF(ISNUMBER(INDEX(art_tva,MATCH($E1252,art_ref,0))),INDEX(art_tva,MATCH($E1252,art_ref,0)),""),"")))</f>
        <v/>
      </c>
      <c r="N1252" s="70" t="str">
        <f>IF(OR(E1252="",J1252=""),"",ROUND(N(H1252)*J1252*(1-N(K1252)),2))</f>
        <v/>
      </c>
      <c r="O1252" s="70" t="str">
        <f>IF(OR(N1252="",NOT(ISNUMBER(M1252))),"",ROUND(N1252*M1252,2))</f>
        <v/>
      </c>
      <c r="P1252" s="70" t="str">
        <f>IF(N1252="","",N1252+N(O1252))</f>
        <v/>
      </c>
      <c r="Q1252" s="64" t="n"/>
      <c r="R1252" s="73" t="str">
        <f>IF(N(Q1252)&gt;0,Q1252,IF(OR(N(B1252)=0,ISNA(MATCH($C1252,sup_code,0))),"",IF(ISNUMBER(INDEX(sup_delay,MATCH($C1252,sup_code,0))),B1252+INDEX(sup_delay,MATCH($C1252,sup_code,0)),"")))</f>
        <v/>
      </c>
      <c r="S1252" s="64" t="n"/>
      <c r="T1252" s="68" t="n"/>
      <c r="U1252" s="64" t="n"/>
      <c r="V1252" s="65" t="n"/>
      <c r="W1252" s="74" t="str">
        <f>IF(AND(A1252="",E1252=""),"",IF(V1252="Oui",0,MAX(0,ROUND(N(H1252)-N(T1252),6))))</f>
        <v/>
      </c>
      <c r="X1252" s="67" t="str">
        <f>IF(AND(A1252="",E1252=""),"",IF(V1252="Oui","Annulé",IF(AND(N(H1252)&gt;0,N(T1252)&gt;=N(H1252)),"Reçu",IF(N(S1252)=0,"Brouillon",IF(AND(ISNUMBER(R1252),R1252&lt;p_today),"En retard",IF(N(T1252)&gt;0,"Partiel","Envoyé"))))))</f>
        <v/>
      </c>
      <c r="Y1252" s="75" t="str">
        <f>IF(X1252="En retard",p_today-R1252,IF(AND(X1252="Reçu",ISNUMBER(R1252)),MAX(0,N(U1252)-R1252),""))</f>
        <v/>
      </c>
      <c r="Z1252" s="67" t="str">
        <f>IF(AND(A1252="",E1252=""),"",IF(A1252="","N° de bon manquant",IF(N(B1252)=0,"Date de commande manquante",IF(C1252="","Fournisseur manquant",IF(ISNA(MATCH($C1252,sup_code,0)),"Fournisseur inconnu",IF(E1252="","Article manquant",IF(ISNA(MATCH($E1252,art_ref,0)),"Article inconnu",IF(N(H1252)&lt;=0,"Quantité invalide",IF(J1252="","Prix manquant",IF(OR(N(K1252)&lt;0,N(K1252)&gt;=1),"Remise invalide",IF(M1252="","TVA manquante",IF(ISNA(MATCH(M1252,p_tva,0)),"Taux de TVA inconnu",IF(COUNTIFS(po_num,A1252,po_sup,"&lt;&gt;"&amp;C1252)&gt;0,"Fournisseur différent sur ce bon",IF(COUNTIFS(po_num,A1252,po_date,"&lt;&gt;"&amp;B1252)&gt;0,"Date différente sur ce bon",IF(COUNTIF(po_num,A1252)&gt;25,"Plus de 25 lignes sur ce bon",IF(R1252="","Date de livraison manquante",IF(R1252&lt;B1252,"Livraison avant la commande",IF(AND(N(T1252)&gt;0,N(S1252)=0),"Date d'envoi manquante",IF(N(T1252)&gt;N(H1252),"Reçu plus que commandé",IF(AND(N(T1252)&gt;0,N(U1252)=0),"Date de réception manquante",IF(AND(N(U1252)&gt;0,U1252&lt;B1252),"Réception avant la commande","OK")))))))))))))))))))))</f>
        <v/>
      </c>
      <c r="AA1252" s="66" t="str">
        <f>IF(AND(X1252="Reçu",ISNUMBER(R1252)),IF(N(U1252)&lt;=R1252,1,0),"")</f>
        <v/>
      </c>
      <c r="AB1252" s="76" t="str">
        <f>IF(OR(X1252="Envoyé",X1252="Partiel",X1252="En retard"),IF(ISNUMBER(R1252),R1252,100000)+ROW()/100000,"")</f>
        <v/>
      </c>
      <c r="AC1252" s="66" t="str">
        <f>IF(A1252="","",IF(COUNTIF($A$6:A1252,A1252)=1,1,""))</f>
        <v/>
      </c>
      <c r="AD1252" s="66" t="str">
        <f>IF(AC1252=1,COUNT($AC$6:AC1252),"")</f>
        <v/>
      </c>
      <c r="AE1252" s="66" t="str">
        <f>IFERROR(INDEX(po_num,MATCH(1247,po_seq,0))&amp;"","")</f>
        <v/>
      </c>
      <c r="AF1252" s="66" t="str">
        <f>IF(OR(A1252="",p_po=""),"",IF(A1252&amp;""=p_po,COUNTIF($A$6:A1252,A1252),""))</f>
        <v/>
      </c>
      <c r="AG1252" s="66" t="str">
        <f>IF(OR(AB1252="",A1252=""),"",IF(COUNTIFS($A$6:A1252,A1252,$AB$6:AB1252,"&gt;0")=1,1,""))</f>
        <v/>
      </c>
      <c r="AH1252" s="70" t="str">
        <f>IF(AB1252="","",ROUND(N(W1252)*N(J1252)*(1-N(K1252)),2))</f>
        <v/>
      </c>
      <c r="AI1252" s="70" t="str">
        <f>IF(OR(J1252="",N(T1252)&lt;=0,V1252="Oui"),"",ROUND(N(T1252)*J1252*(1-N(K1252)),2))</f>
        <v/>
      </c>
    </row>
    <row r="1253">
      <c r="A1253" s="63" t="n"/>
      <c r="B1253" s="64" t="n"/>
      <c r="C1253" s="65" t="n"/>
      <c r="D1253" s="66" t="str">
        <f>IF(C1253="","",IFERROR(INDEX(sup_name,MATCH($C1253,sup_code,0))&amp;"","Fournisseur inconnu"))</f>
        <v/>
      </c>
      <c r="E1253" s="63" t="n"/>
      <c r="F1253" s="66" t="str">
        <f>IF(E1253="","",IFERROR(INDEX(art_des,MATCH($E1253,art_ref,0))&amp;"","Article inconnu"))</f>
        <v/>
      </c>
      <c r="G1253" s="67" t="str">
        <f>IF(E1253="","",IFERROR(INDEX(art_unit,MATCH($E1253,art_ref,0))&amp;"",""))</f>
        <v/>
      </c>
      <c r="H1253" s="68" t="n"/>
      <c r="I1253" s="69" t="n"/>
      <c r="J1253" s="70" t="str">
        <f>IF(E1253="","",IF(ISNUMBER(I1253),I1253,IFERROR(IF(ISNUMBER(INDEX(art_price,MATCH($E1253,art_ref,0))),INDEX(art_price,MATCH($E1253,art_ref,0)),""),"")))</f>
        <v/>
      </c>
      <c r="K1253" s="71" t="n"/>
      <c r="L1253" s="72" t="n"/>
      <c r="M1253" s="72" t="str">
        <f>IF(E1253="","",IF(L1253&lt;&gt;"",L1253,IFERROR(IF(ISNUMBER(INDEX(art_tva,MATCH($E1253,art_ref,0))),INDEX(art_tva,MATCH($E1253,art_ref,0)),""),"")))</f>
        <v/>
      </c>
      <c r="N1253" s="70" t="str">
        <f>IF(OR(E1253="",J1253=""),"",ROUND(N(H1253)*J1253*(1-N(K1253)),2))</f>
        <v/>
      </c>
      <c r="O1253" s="70" t="str">
        <f>IF(OR(N1253="",NOT(ISNUMBER(M1253))),"",ROUND(N1253*M1253,2))</f>
        <v/>
      </c>
      <c r="P1253" s="70" t="str">
        <f>IF(N1253="","",N1253+N(O1253))</f>
        <v/>
      </c>
      <c r="Q1253" s="64" t="n"/>
      <c r="R1253" s="73" t="str">
        <f>IF(N(Q1253)&gt;0,Q1253,IF(OR(N(B1253)=0,ISNA(MATCH($C1253,sup_code,0))),"",IF(ISNUMBER(INDEX(sup_delay,MATCH($C1253,sup_code,0))),B1253+INDEX(sup_delay,MATCH($C1253,sup_code,0)),"")))</f>
        <v/>
      </c>
      <c r="S1253" s="64" t="n"/>
      <c r="T1253" s="68" t="n"/>
      <c r="U1253" s="64" t="n"/>
      <c r="V1253" s="65" t="n"/>
      <c r="W1253" s="74" t="str">
        <f>IF(AND(A1253="",E1253=""),"",IF(V1253="Oui",0,MAX(0,ROUND(N(H1253)-N(T1253),6))))</f>
        <v/>
      </c>
      <c r="X1253" s="67" t="str">
        <f>IF(AND(A1253="",E1253=""),"",IF(V1253="Oui","Annulé",IF(AND(N(H1253)&gt;0,N(T1253)&gt;=N(H1253)),"Reçu",IF(N(S1253)=0,"Brouillon",IF(AND(ISNUMBER(R1253),R1253&lt;p_today),"En retard",IF(N(T1253)&gt;0,"Partiel","Envoyé"))))))</f>
        <v/>
      </c>
      <c r="Y1253" s="75" t="str">
        <f>IF(X1253="En retard",p_today-R1253,IF(AND(X1253="Reçu",ISNUMBER(R1253)),MAX(0,N(U1253)-R1253),""))</f>
        <v/>
      </c>
      <c r="Z1253" s="67" t="str">
        <f>IF(AND(A1253="",E1253=""),"",IF(A1253="","N° de bon manquant",IF(N(B1253)=0,"Date de commande manquante",IF(C1253="","Fournisseur manquant",IF(ISNA(MATCH($C1253,sup_code,0)),"Fournisseur inconnu",IF(E1253="","Article manquant",IF(ISNA(MATCH($E1253,art_ref,0)),"Article inconnu",IF(N(H1253)&lt;=0,"Quantité invalide",IF(J1253="","Prix manquant",IF(OR(N(K1253)&lt;0,N(K1253)&gt;=1),"Remise invalide",IF(M1253="","TVA manquante",IF(ISNA(MATCH(M1253,p_tva,0)),"Taux de TVA inconnu",IF(COUNTIFS(po_num,A1253,po_sup,"&lt;&gt;"&amp;C1253)&gt;0,"Fournisseur différent sur ce bon",IF(COUNTIFS(po_num,A1253,po_date,"&lt;&gt;"&amp;B1253)&gt;0,"Date différente sur ce bon",IF(COUNTIF(po_num,A1253)&gt;25,"Plus de 25 lignes sur ce bon",IF(R1253="","Date de livraison manquante",IF(R1253&lt;B1253,"Livraison avant la commande",IF(AND(N(T1253)&gt;0,N(S1253)=0),"Date d'envoi manquante",IF(N(T1253)&gt;N(H1253),"Reçu plus que commandé",IF(AND(N(T1253)&gt;0,N(U1253)=0),"Date de réception manquante",IF(AND(N(U1253)&gt;0,U1253&lt;B1253),"Réception avant la commande","OK")))))))))))))))))))))</f>
        <v/>
      </c>
      <c r="AA1253" s="66" t="str">
        <f>IF(AND(X1253="Reçu",ISNUMBER(R1253)),IF(N(U1253)&lt;=R1253,1,0),"")</f>
        <v/>
      </c>
      <c r="AB1253" s="76" t="str">
        <f>IF(OR(X1253="Envoyé",X1253="Partiel",X1253="En retard"),IF(ISNUMBER(R1253),R1253,100000)+ROW()/100000,"")</f>
        <v/>
      </c>
      <c r="AC1253" s="66" t="str">
        <f>IF(A1253="","",IF(COUNTIF($A$6:A1253,A1253)=1,1,""))</f>
        <v/>
      </c>
      <c r="AD1253" s="66" t="str">
        <f>IF(AC1253=1,COUNT($AC$6:AC1253),"")</f>
        <v/>
      </c>
      <c r="AE1253" s="66" t="str">
        <f>IFERROR(INDEX(po_num,MATCH(1248,po_seq,0))&amp;"","")</f>
        <v/>
      </c>
      <c r="AF1253" s="66" t="str">
        <f>IF(OR(A1253="",p_po=""),"",IF(A1253&amp;""=p_po,COUNTIF($A$6:A1253,A1253),""))</f>
        <v/>
      </c>
      <c r="AG1253" s="66" t="str">
        <f>IF(OR(AB1253="",A1253=""),"",IF(COUNTIFS($A$6:A1253,A1253,$AB$6:AB1253,"&gt;0")=1,1,""))</f>
        <v/>
      </c>
      <c r="AH1253" s="70" t="str">
        <f>IF(AB1253="","",ROUND(N(W1253)*N(J1253)*(1-N(K1253)),2))</f>
        <v/>
      </c>
      <c r="AI1253" s="70" t="str">
        <f>IF(OR(J1253="",N(T1253)&lt;=0,V1253="Oui"),"",ROUND(N(T1253)*J1253*(1-N(K1253)),2))</f>
        <v/>
      </c>
    </row>
    <row r="1254">
      <c r="A1254" s="63" t="n"/>
      <c r="B1254" s="64" t="n"/>
      <c r="C1254" s="65" t="n"/>
      <c r="D1254" s="66" t="str">
        <f>IF(C1254="","",IFERROR(INDEX(sup_name,MATCH($C1254,sup_code,0))&amp;"","Fournisseur inconnu"))</f>
        <v/>
      </c>
      <c r="E1254" s="63" t="n"/>
      <c r="F1254" s="66" t="str">
        <f>IF(E1254="","",IFERROR(INDEX(art_des,MATCH($E1254,art_ref,0))&amp;"","Article inconnu"))</f>
        <v/>
      </c>
      <c r="G1254" s="67" t="str">
        <f>IF(E1254="","",IFERROR(INDEX(art_unit,MATCH($E1254,art_ref,0))&amp;"",""))</f>
        <v/>
      </c>
      <c r="H1254" s="68" t="n"/>
      <c r="I1254" s="69" t="n"/>
      <c r="J1254" s="70" t="str">
        <f>IF(E1254="","",IF(ISNUMBER(I1254),I1254,IFERROR(IF(ISNUMBER(INDEX(art_price,MATCH($E1254,art_ref,0))),INDEX(art_price,MATCH($E1254,art_ref,0)),""),"")))</f>
        <v/>
      </c>
      <c r="K1254" s="71" t="n"/>
      <c r="L1254" s="72" t="n"/>
      <c r="M1254" s="72" t="str">
        <f>IF(E1254="","",IF(L1254&lt;&gt;"",L1254,IFERROR(IF(ISNUMBER(INDEX(art_tva,MATCH($E1254,art_ref,0))),INDEX(art_tva,MATCH($E1254,art_ref,0)),""),"")))</f>
        <v/>
      </c>
      <c r="N1254" s="70" t="str">
        <f>IF(OR(E1254="",J1254=""),"",ROUND(N(H1254)*J1254*(1-N(K1254)),2))</f>
        <v/>
      </c>
      <c r="O1254" s="70" t="str">
        <f>IF(OR(N1254="",NOT(ISNUMBER(M1254))),"",ROUND(N1254*M1254,2))</f>
        <v/>
      </c>
      <c r="P1254" s="70" t="str">
        <f>IF(N1254="","",N1254+N(O1254))</f>
        <v/>
      </c>
      <c r="Q1254" s="64" t="n"/>
      <c r="R1254" s="73" t="str">
        <f>IF(N(Q1254)&gt;0,Q1254,IF(OR(N(B1254)=0,ISNA(MATCH($C1254,sup_code,0))),"",IF(ISNUMBER(INDEX(sup_delay,MATCH($C1254,sup_code,0))),B1254+INDEX(sup_delay,MATCH($C1254,sup_code,0)),"")))</f>
        <v/>
      </c>
      <c r="S1254" s="64" t="n"/>
      <c r="T1254" s="68" t="n"/>
      <c r="U1254" s="64" t="n"/>
      <c r="V1254" s="65" t="n"/>
      <c r="W1254" s="74" t="str">
        <f>IF(AND(A1254="",E1254=""),"",IF(V1254="Oui",0,MAX(0,ROUND(N(H1254)-N(T1254),6))))</f>
        <v/>
      </c>
      <c r="X1254" s="67" t="str">
        <f>IF(AND(A1254="",E1254=""),"",IF(V1254="Oui","Annulé",IF(AND(N(H1254)&gt;0,N(T1254)&gt;=N(H1254)),"Reçu",IF(N(S1254)=0,"Brouillon",IF(AND(ISNUMBER(R1254),R1254&lt;p_today),"En retard",IF(N(T1254)&gt;0,"Partiel","Envoyé"))))))</f>
        <v/>
      </c>
      <c r="Y1254" s="75" t="str">
        <f>IF(X1254="En retard",p_today-R1254,IF(AND(X1254="Reçu",ISNUMBER(R1254)),MAX(0,N(U1254)-R1254),""))</f>
        <v/>
      </c>
      <c r="Z1254" s="67" t="str">
        <f>IF(AND(A1254="",E1254=""),"",IF(A1254="","N° de bon manquant",IF(N(B1254)=0,"Date de commande manquante",IF(C1254="","Fournisseur manquant",IF(ISNA(MATCH($C1254,sup_code,0)),"Fournisseur inconnu",IF(E1254="","Article manquant",IF(ISNA(MATCH($E1254,art_ref,0)),"Article inconnu",IF(N(H1254)&lt;=0,"Quantité invalide",IF(J1254="","Prix manquant",IF(OR(N(K1254)&lt;0,N(K1254)&gt;=1),"Remise invalide",IF(M1254="","TVA manquante",IF(ISNA(MATCH(M1254,p_tva,0)),"Taux de TVA inconnu",IF(COUNTIFS(po_num,A1254,po_sup,"&lt;&gt;"&amp;C1254)&gt;0,"Fournisseur différent sur ce bon",IF(COUNTIFS(po_num,A1254,po_date,"&lt;&gt;"&amp;B1254)&gt;0,"Date différente sur ce bon",IF(COUNTIF(po_num,A1254)&gt;25,"Plus de 25 lignes sur ce bon",IF(R1254="","Date de livraison manquante",IF(R1254&lt;B1254,"Livraison avant la commande",IF(AND(N(T1254)&gt;0,N(S1254)=0),"Date d'envoi manquante",IF(N(T1254)&gt;N(H1254),"Reçu plus que commandé",IF(AND(N(T1254)&gt;0,N(U1254)=0),"Date de réception manquante",IF(AND(N(U1254)&gt;0,U1254&lt;B1254),"Réception avant la commande","OK")))))))))))))))))))))</f>
        <v/>
      </c>
      <c r="AA1254" s="66" t="str">
        <f>IF(AND(X1254="Reçu",ISNUMBER(R1254)),IF(N(U1254)&lt;=R1254,1,0),"")</f>
        <v/>
      </c>
      <c r="AB1254" s="76" t="str">
        <f>IF(OR(X1254="Envoyé",X1254="Partiel",X1254="En retard"),IF(ISNUMBER(R1254),R1254,100000)+ROW()/100000,"")</f>
        <v/>
      </c>
      <c r="AC1254" s="66" t="str">
        <f>IF(A1254="","",IF(COUNTIF($A$6:A1254,A1254)=1,1,""))</f>
        <v/>
      </c>
      <c r="AD1254" s="66" t="str">
        <f>IF(AC1254=1,COUNT($AC$6:AC1254),"")</f>
        <v/>
      </c>
      <c r="AE1254" s="66" t="str">
        <f>IFERROR(INDEX(po_num,MATCH(1249,po_seq,0))&amp;"","")</f>
        <v/>
      </c>
      <c r="AF1254" s="66" t="str">
        <f>IF(OR(A1254="",p_po=""),"",IF(A1254&amp;""=p_po,COUNTIF($A$6:A1254,A1254),""))</f>
        <v/>
      </c>
      <c r="AG1254" s="66" t="str">
        <f>IF(OR(AB1254="",A1254=""),"",IF(COUNTIFS($A$6:A1254,A1254,$AB$6:AB1254,"&gt;0")=1,1,""))</f>
        <v/>
      </c>
      <c r="AH1254" s="70" t="str">
        <f>IF(AB1254="","",ROUND(N(W1254)*N(J1254)*(1-N(K1254)),2))</f>
        <v/>
      </c>
      <c r="AI1254" s="70" t="str">
        <f>IF(OR(J1254="",N(T1254)&lt;=0,V1254="Oui"),"",ROUND(N(T1254)*J1254*(1-N(K1254)),2))</f>
        <v/>
      </c>
    </row>
    <row r="1255">
      <c r="A1255" s="63" t="n"/>
      <c r="B1255" s="64" t="n"/>
      <c r="C1255" s="65" t="n"/>
      <c r="D1255" s="66" t="str">
        <f>IF(C1255="","",IFERROR(INDEX(sup_name,MATCH($C1255,sup_code,0))&amp;"","Fournisseur inconnu"))</f>
        <v/>
      </c>
      <c r="E1255" s="63" t="n"/>
      <c r="F1255" s="66" t="str">
        <f>IF(E1255="","",IFERROR(INDEX(art_des,MATCH($E1255,art_ref,0))&amp;"","Article inconnu"))</f>
        <v/>
      </c>
      <c r="G1255" s="67" t="str">
        <f>IF(E1255="","",IFERROR(INDEX(art_unit,MATCH($E1255,art_ref,0))&amp;"",""))</f>
        <v/>
      </c>
      <c r="H1255" s="68" t="n"/>
      <c r="I1255" s="69" t="n"/>
      <c r="J1255" s="70" t="str">
        <f>IF(E1255="","",IF(ISNUMBER(I1255),I1255,IFERROR(IF(ISNUMBER(INDEX(art_price,MATCH($E1255,art_ref,0))),INDEX(art_price,MATCH($E1255,art_ref,0)),""),"")))</f>
        <v/>
      </c>
      <c r="K1255" s="71" t="n"/>
      <c r="L1255" s="72" t="n"/>
      <c r="M1255" s="72" t="str">
        <f>IF(E1255="","",IF(L1255&lt;&gt;"",L1255,IFERROR(IF(ISNUMBER(INDEX(art_tva,MATCH($E1255,art_ref,0))),INDEX(art_tva,MATCH($E1255,art_ref,0)),""),"")))</f>
        <v/>
      </c>
      <c r="N1255" s="70" t="str">
        <f>IF(OR(E1255="",J1255=""),"",ROUND(N(H1255)*J1255*(1-N(K1255)),2))</f>
        <v/>
      </c>
      <c r="O1255" s="70" t="str">
        <f>IF(OR(N1255="",NOT(ISNUMBER(M1255))),"",ROUND(N1255*M1255,2))</f>
        <v/>
      </c>
      <c r="P1255" s="70" t="str">
        <f>IF(N1255="","",N1255+N(O1255))</f>
        <v/>
      </c>
      <c r="Q1255" s="64" t="n"/>
      <c r="R1255" s="73" t="str">
        <f>IF(N(Q1255)&gt;0,Q1255,IF(OR(N(B1255)=0,ISNA(MATCH($C1255,sup_code,0))),"",IF(ISNUMBER(INDEX(sup_delay,MATCH($C1255,sup_code,0))),B1255+INDEX(sup_delay,MATCH($C1255,sup_code,0)),"")))</f>
        <v/>
      </c>
      <c r="S1255" s="64" t="n"/>
      <c r="T1255" s="68" t="n"/>
      <c r="U1255" s="64" t="n"/>
      <c r="V1255" s="65" t="n"/>
      <c r="W1255" s="74" t="str">
        <f>IF(AND(A1255="",E1255=""),"",IF(V1255="Oui",0,MAX(0,ROUND(N(H1255)-N(T1255),6))))</f>
        <v/>
      </c>
      <c r="X1255" s="67" t="str">
        <f>IF(AND(A1255="",E1255=""),"",IF(V1255="Oui","Annulé",IF(AND(N(H1255)&gt;0,N(T1255)&gt;=N(H1255)),"Reçu",IF(N(S1255)=0,"Brouillon",IF(AND(ISNUMBER(R1255),R1255&lt;p_today),"En retard",IF(N(T1255)&gt;0,"Partiel","Envoyé"))))))</f>
        <v/>
      </c>
      <c r="Y1255" s="75" t="str">
        <f>IF(X1255="En retard",p_today-R1255,IF(AND(X1255="Reçu",ISNUMBER(R1255)),MAX(0,N(U1255)-R1255),""))</f>
        <v/>
      </c>
      <c r="Z1255" s="67" t="str">
        <f>IF(AND(A1255="",E1255=""),"",IF(A1255="","N° de bon manquant",IF(N(B1255)=0,"Date de commande manquante",IF(C1255="","Fournisseur manquant",IF(ISNA(MATCH($C1255,sup_code,0)),"Fournisseur inconnu",IF(E1255="","Article manquant",IF(ISNA(MATCH($E1255,art_ref,0)),"Article inconnu",IF(N(H1255)&lt;=0,"Quantité invalide",IF(J1255="","Prix manquant",IF(OR(N(K1255)&lt;0,N(K1255)&gt;=1),"Remise invalide",IF(M1255="","TVA manquante",IF(ISNA(MATCH(M1255,p_tva,0)),"Taux de TVA inconnu",IF(COUNTIFS(po_num,A1255,po_sup,"&lt;&gt;"&amp;C1255)&gt;0,"Fournisseur différent sur ce bon",IF(COUNTIFS(po_num,A1255,po_date,"&lt;&gt;"&amp;B1255)&gt;0,"Date différente sur ce bon",IF(COUNTIF(po_num,A1255)&gt;25,"Plus de 25 lignes sur ce bon",IF(R1255="","Date de livraison manquante",IF(R1255&lt;B1255,"Livraison avant la commande",IF(AND(N(T1255)&gt;0,N(S1255)=0),"Date d'envoi manquante",IF(N(T1255)&gt;N(H1255),"Reçu plus que commandé",IF(AND(N(T1255)&gt;0,N(U1255)=0),"Date de réception manquante",IF(AND(N(U1255)&gt;0,U1255&lt;B1255),"Réception avant la commande","OK")))))))))))))))))))))</f>
        <v/>
      </c>
      <c r="AA1255" s="66" t="str">
        <f>IF(AND(X1255="Reçu",ISNUMBER(R1255)),IF(N(U1255)&lt;=R1255,1,0),"")</f>
        <v/>
      </c>
      <c r="AB1255" s="76" t="str">
        <f>IF(OR(X1255="Envoyé",X1255="Partiel",X1255="En retard"),IF(ISNUMBER(R1255),R1255,100000)+ROW()/100000,"")</f>
        <v/>
      </c>
      <c r="AC1255" s="66" t="str">
        <f>IF(A1255="","",IF(COUNTIF($A$6:A1255,A1255)=1,1,""))</f>
        <v/>
      </c>
      <c r="AD1255" s="66" t="str">
        <f>IF(AC1255=1,COUNT($AC$6:AC1255),"")</f>
        <v/>
      </c>
      <c r="AE1255" s="66" t="str">
        <f>IFERROR(INDEX(po_num,MATCH(1250,po_seq,0))&amp;"","")</f>
        <v/>
      </c>
      <c r="AF1255" s="66" t="str">
        <f>IF(OR(A1255="",p_po=""),"",IF(A1255&amp;""=p_po,COUNTIF($A$6:A1255,A1255),""))</f>
        <v/>
      </c>
      <c r="AG1255" s="66" t="str">
        <f>IF(OR(AB1255="",A1255=""),"",IF(COUNTIFS($A$6:A1255,A1255,$AB$6:AB1255,"&gt;0")=1,1,""))</f>
        <v/>
      </c>
      <c r="AH1255" s="70" t="str">
        <f>IF(AB1255="","",ROUND(N(W1255)*N(J1255)*(1-N(K1255)),2))</f>
        <v/>
      </c>
      <c r="AI1255" s="70" t="str">
        <f>IF(OR(J1255="",N(T1255)&lt;=0,V1255="Oui"),"",ROUND(N(T1255)*J1255*(1-N(K1255)),2))</f>
        <v/>
      </c>
    </row>
    <row r="1256">
      <c r="A1256" s="63" t="n"/>
      <c r="B1256" s="64" t="n"/>
      <c r="C1256" s="65" t="n"/>
      <c r="D1256" s="66" t="str">
        <f>IF(C1256="","",IFERROR(INDEX(sup_name,MATCH($C1256,sup_code,0))&amp;"","Fournisseur inconnu"))</f>
        <v/>
      </c>
      <c r="E1256" s="63" t="n"/>
      <c r="F1256" s="66" t="str">
        <f>IF(E1256="","",IFERROR(INDEX(art_des,MATCH($E1256,art_ref,0))&amp;"","Article inconnu"))</f>
        <v/>
      </c>
      <c r="G1256" s="67" t="str">
        <f>IF(E1256="","",IFERROR(INDEX(art_unit,MATCH($E1256,art_ref,0))&amp;"",""))</f>
        <v/>
      </c>
      <c r="H1256" s="68" t="n"/>
      <c r="I1256" s="69" t="n"/>
      <c r="J1256" s="70" t="str">
        <f>IF(E1256="","",IF(ISNUMBER(I1256),I1256,IFERROR(IF(ISNUMBER(INDEX(art_price,MATCH($E1256,art_ref,0))),INDEX(art_price,MATCH($E1256,art_ref,0)),""),"")))</f>
        <v/>
      </c>
      <c r="K1256" s="71" t="n"/>
      <c r="L1256" s="72" t="n"/>
      <c r="M1256" s="72" t="str">
        <f>IF(E1256="","",IF(L1256&lt;&gt;"",L1256,IFERROR(IF(ISNUMBER(INDEX(art_tva,MATCH($E1256,art_ref,0))),INDEX(art_tva,MATCH($E1256,art_ref,0)),""),"")))</f>
        <v/>
      </c>
      <c r="N1256" s="70" t="str">
        <f>IF(OR(E1256="",J1256=""),"",ROUND(N(H1256)*J1256*(1-N(K1256)),2))</f>
        <v/>
      </c>
      <c r="O1256" s="70" t="str">
        <f>IF(OR(N1256="",NOT(ISNUMBER(M1256))),"",ROUND(N1256*M1256,2))</f>
        <v/>
      </c>
      <c r="P1256" s="70" t="str">
        <f>IF(N1256="","",N1256+N(O1256))</f>
        <v/>
      </c>
      <c r="Q1256" s="64" t="n"/>
      <c r="R1256" s="73" t="str">
        <f>IF(N(Q1256)&gt;0,Q1256,IF(OR(N(B1256)=0,ISNA(MATCH($C1256,sup_code,0))),"",IF(ISNUMBER(INDEX(sup_delay,MATCH($C1256,sup_code,0))),B1256+INDEX(sup_delay,MATCH($C1256,sup_code,0)),"")))</f>
        <v/>
      </c>
      <c r="S1256" s="64" t="n"/>
      <c r="T1256" s="68" t="n"/>
      <c r="U1256" s="64" t="n"/>
      <c r="V1256" s="65" t="n"/>
      <c r="W1256" s="74" t="str">
        <f>IF(AND(A1256="",E1256=""),"",IF(V1256="Oui",0,MAX(0,ROUND(N(H1256)-N(T1256),6))))</f>
        <v/>
      </c>
      <c r="X1256" s="67" t="str">
        <f>IF(AND(A1256="",E1256=""),"",IF(V1256="Oui","Annulé",IF(AND(N(H1256)&gt;0,N(T1256)&gt;=N(H1256)),"Reçu",IF(N(S1256)=0,"Brouillon",IF(AND(ISNUMBER(R1256),R1256&lt;p_today),"En retard",IF(N(T1256)&gt;0,"Partiel","Envoyé"))))))</f>
        <v/>
      </c>
      <c r="Y1256" s="75" t="str">
        <f>IF(X1256="En retard",p_today-R1256,IF(AND(X1256="Reçu",ISNUMBER(R1256)),MAX(0,N(U1256)-R1256),""))</f>
        <v/>
      </c>
      <c r="Z1256" s="67" t="str">
        <f>IF(AND(A1256="",E1256=""),"",IF(A1256="","N° de bon manquant",IF(N(B1256)=0,"Date de commande manquante",IF(C1256="","Fournisseur manquant",IF(ISNA(MATCH($C1256,sup_code,0)),"Fournisseur inconnu",IF(E1256="","Article manquant",IF(ISNA(MATCH($E1256,art_ref,0)),"Article inconnu",IF(N(H1256)&lt;=0,"Quantité invalide",IF(J1256="","Prix manquant",IF(OR(N(K1256)&lt;0,N(K1256)&gt;=1),"Remise invalide",IF(M1256="","TVA manquante",IF(ISNA(MATCH(M1256,p_tva,0)),"Taux de TVA inconnu",IF(COUNTIFS(po_num,A1256,po_sup,"&lt;&gt;"&amp;C1256)&gt;0,"Fournisseur différent sur ce bon",IF(COUNTIFS(po_num,A1256,po_date,"&lt;&gt;"&amp;B1256)&gt;0,"Date différente sur ce bon",IF(COUNTIF(po_num,A1256)&gt;25,"Plus de 25 lignes sur ce bon",IF(R1256="","Date de livraison manquante",IF(R1256&lt;B1256,"Livraison avant la commande",IF(AND(N(T1256)&gt;0,N(S1256)=0),"Date d'envoi manquante",IF(N(T1256)&gt;N(H1256),"Reçu plus que commandé",IF(AND(N(T1256)&gt;0,N(U1256)=0),"Date de réception manquante",IF(AND(N(U1256)&gt;0,U1256&lt;B1256),"Réception avant la commande","OK")))))))))))))))))))))</f>
        <v/>
      </c>
      <c r="AA1256" s="66" t="str">
        <f>IF(AND(X1256="Reçu",ISNUMBER(R1256)),IF(N(U1256)&lt;=R1256,1,0),"")</f>
        <v/>
      </c>
      <c r="AB1256" s="76" t="str">
        <f>IF(OR(X1256="Envoyé",X1256="Partiel",X1256="En retard"),IF(ISNUMBER(R1256),R1256,100000)+ROW()/100000,"")</f>
        <v/>
      </c>
      <c r="AC1256" s="66" t="str">
        <f>IF(A1256="","",IF(COUNTIF($A$6:A1256,A1256)=1,1,""))</f>
        <v/>
      </c>
      <c r="AD1256" s="66" t="str">
        <f>IF(AC1256=1,COUNT($AC$6:AC1256),"")</f>
        <v/>
      </c>
      <c r="AE1256" s="66" t="str">
        <f>IFERROR(INDEX(po_num,MATCH(1251,po_seq,0))&amp;"","")</f>
        <v/>
      </c>
      <c r="AF1256" s="66" t="str">
        <f>IF(OR(A1256="",p_po=""),"",IF(A1256&amp;""=p_po,COUNTIF($A$6:A1256,A1256),""))</f>
        <v/>
      </c>
      <c r="AG1256" s="66" t="str">
        <f>IF(OR(AB1256="",A1256=""),"",IF(COUNTIFS($A$6:A1256,A1256,$AB$6:AB1256,"&gt;0")=1,1,""))</f>
        <v/>
      </c>
      <c r="AH1256" s="70" t="str">
        <f>IF(AB1256="","",ROUND(N(W1256)*N(J1256)*(1-N(K1256)),2))</f>
        <v/>
      </c>
      <c r="AI1256" s="70" t="str">
        <f>IF(OR(J1256="",N(T1256)&lt;=0,V1256="Oui"),"",ROUND(N(T1256)*J1256*(1-N(K1256)),2))</f>
        <v/>
      </c>
    </row>
    <row r="1257">
      <c r="A1257" s="63" t="n"/>
      <c r="B1257" s="64" t="n"/>
      <c r="C1257" s="65" t="n"/>
      <c r="D1257" s="66" t="str">
        <f>IF(C1257="","",IFERROR(INDEX(sup_name,MATCH($C1257,sup_code,0))&amp;"","Fournisseur inconnu"))</f>
        <v/>
      </c>
      <c r="E1257" s="63" t="n"/>
      <c r="F1257" s="66" t="str">
        <f>IF(E1257="","",IFERROR(INDEX(art_des,MATCH($E1257,art_ref,0))&amp;"","Article inconnu"))</f>
        <v/>
      </c>
      <c r="G1257" s="67" t="str">
        <f>IF(E1257="","",IFERROR(INDEX(art_unit,MATCH($E1257,art_ref,0))&amp;"",""))</f>
        <v/>
      </c>
      <c r="H1257" s="68" t="n"/>
      <c r="I1257" s="69" t="n"/>
      <c r="J1257" s="70" t="str">
        <f>IF(E1257="","",IF(ISNUMBER(I1257),I1257,IFERROR(IF(ISNUMBER(INDEX(art_price,MATCH($E1257,art_ref,0))),INDEX(art_price,MATCH($E1257,art_ref,0)),""),"")))</f>
        <v/>
      </c>
      <c r="K1257" s="71" t="n"/>
      <c r="L1257" s="72" t="n"/>
      <c r="M1257" s="72" t="str">
        <f>IF(E1257="","",IF(L1257&lt;&gt;"",L1257,IFERROR(IF(ISNUMBER(INDEX(art_tva,MATCH($E1257,art_ref,0))),INDEX(art_tva,MATCH($E1257,art_ref,0)),""),"")))</f>
        <v/>
      </c>
      <c r="N1257" s="70" t="str">
        <f>IF(OR(E1257="",J1257=""),"",ROUND(N(H1257)*J1257*(1-N(K1257)),2))</f>
        <v/>
      </c>
      <c r="O1257" s="70" t="str">
        <f>IF(OR(N1257="",NOT(ISNUMBER(M1257))),"",ROUND(N1257*M1257,2))</f>
        <v/>
      </c>
      <c r="P1257" s="70" t="str">
        <f>IF(N1257="","",N1257+N(O1257))</f>
        <v/>
      </c>
      <c r="Q1257" s="64" t="n"/>
      <c r="R1257" s="73" t="str">
        <f>IF(N(Q1257)&gt;0,Q1257,IF(OR(N(B1257)=0,ISNA(MATCH($C1257,sup_code,0))),"",IF(ISNUMBER(INDEX(sup_delay,MATCH($C1257,sup_code,0))),B1257+INDEX(sup_delay,MATCH($C1257,sup_code,0)),"")))</f>
        <v/>
      </c>
      <c r="S1257" s="64" t="n"/>
      <c r="T1257" s="68" t="n"/>
      <c r="U1257" s="64" t="n"/>
      <c r="V1257" s="65" t="n"/>
      <c r="W1257" s="74" t="str">
        <f>IF(AND(A1257="",E1257=""),"",IF(V1257="Oui",0,MAX(0,ROUND(N(H1257)-N(T1257),6))))</f>
        <v/>
      </c>
      <c r="X1257" s="67" t="str">
        <f>IF(AND(A1257="",E1257=""),"",IF(V1257="Oui","Annulé",IF(AND(N(H1257)&gt;0,N(T1257)&gt;=N(H1257)),"Reçu",IF(N(S1257)=0,"Brouillon",IF(AND(ISNUMBER(R1257),R1257&lt;p_today),"En retard",IF(N(T1257)&gt;0,"Partiel","Envoyé"))))))</f>
        <v/>
      </c>
      <c r="Y1257" s="75" t="str">
        <f>IF(X1257="En retard",p_today-R1257,IF(AND(X1257="Reçu",ISNUMBER(R1257)),MAX(0,N(U1257)-R1257),""))</f>
        <v/>
      </c>
      <c r="Z1257" s="67" t="str">
        <f>IF(AND(A1257="",E1257=""),"",IF(A1257="","N° de bon manquant",IF(N(B1257)=0,"Date de commande manquante",IF(C1257="","Fournisseur manquant",IF(ISNA(MATCH($C1257,sup_code,0)),"Fournisseur inconnu",IF(E1257="","Article manquant",IF(ISNA(MATCH($E1257,art_ref,0)),"Article inconnu",IF(N(H1257)&lt;=0,"Quantité invalide",IF(J1257="","Prix manquant",IF(OR(N(K1257)&lt;0,N(K1257)&gt;=1),"Remise invalide",IF(M1257="","TVA manquante",IF(ISNA(MATCH(M1257,p_tva,0)),"Taux de TVA inconnu",IF(COUNTIFS(po_num,A1257,po_sup,"&lt;&gt;"&amp;C1257)&gt;0,"Fournisseur différent sur ce bon",IF(COUNTIFS(po_num,A1257,po_date,"&lt;&gt;"&amp;B1257)&gt;0,"Date différente sur ce bon",IF(COUNTIF(po_num,A1257)&gt;25,"Plus de 25 lignes sur ce bon",IF(R1257="","Date de livraison manquante",IF(R1257&lt;B1257,"Livraison avant la commande",IF(AND(N(T1257)&gt;0,N(S1257)=0),"Date d'envoi manquante",IF(N(T1257)&gt;N(H1257),"Reçu plus que commandé",IF(AND(N(T1257)&gt;0,N(U1257)=0),"Date de réception manquante",IF(AND(N(U1257)&gt;0,U1257&lt;B1257),"Réception avant la commande","OK")))))))))))))))))))))</f>
        <v/>
      </c>
      <c r="AA1257" s="66" t="str">
        <f>IF(AND(X1257="Reçu",ISNUMBER(R1257)),IF(N(U1257)&lt;=R1257,1,0),"")</f>
        <v/>
      </c>
      <c r="AB1257" s="76" t="str">
        <f>IF(OR(X1257="Envoyé",X1257="Partiel",X1257="En retard"),IF(ISNUMBER(R1257),R1257,100000)+ROW()/100000,"")</f>
        <v/>
      </c>
      <c r="AC1257" s="66" t="str">
        <f>IF(A1257="","",IF(COUNTIF($A$6:A1257,A1257)=1,1,""))</f>
        <v/>
      </c>
      <c r="AD1257" s="66" t="str">
        <f>IF(AC1257=1,COUNT($AC$6:AC1257),"")</f>
        <v/>
      </c>
      <c r="AE1257" s="66" t="str">
        <f>IFERROR(INDEX(po_num,MATCH(1252,po_seq,0))&amp;"","")</f>
        <v/>
      </c>
      <c r="AF1257" s="66" t="str">
        <f>IF(OR(A1257="",p_po=""),"",IF(A1257&amp;""=p_po,COUNTIF($A$6:A1257,A1257),""))</f>
        <v/>
      </c>
      <c r="AG1257" s="66" t="str">
        <f>IF(OR(AB1257="",A1257=""),"",IF(COUNTIFS($A$6:A1257,A1257,$AB$6:AB1257,"&gt;0")=1,1,""))</f>
        <v/>
      </c>
      <c r="AH1257" s="70" t="str">
        <f>IF(AB1257="","",ROUND(N(W1257)*N(J1257)*(1-N(K1257)),2))</f>
        <v/>
      </c>
      <c r="AI1257" s="70" t="str">
        <f>IF(OR(J1257="",N(T1257)&lt;=0,V1257="Oui"),"",ROUND(N(T1257)*J1257*(1-N(K1257)),2))</f>
        <v/>
      </c>
    </row>
    <row r="1258">
      <c r="A1258" s="63" t="n"/>
      <c r="B1258" s="64" t="n"/>
      <c r="C1258" s="65" t="n"/>
      <c r="D1258" s="66" t="str">
        <f>IF(C1258="","",IFERROR(INDEX(sup_name,MATCH($C1258,sup_code,0))&amp;"","Fournisseur inconnu"))</f>
        <v/>
      </c>
      <c r="E1258" s="63" t="n"/>
      <c r="F1258" s="66" t="str">
        <f>IF(E1258="","",IFERROR(INDEX(art_des,MATCH($E1258,art_ref,0))&amp;"","Article inconnu"))</f>
        <v/>
      </c>
      <c r="G1258" s="67" t="str">
        <f>IF(E1258="","",IFERROR(INDEX(art_unit,MATCH($E1258,art_ref,0))&amp;"",""))</f>
        <v/>
      </c>
      <c r="H1258" s="68" t="n"/>
      <c r="I1258" s="69" t="n"/>
      <c r="J1258" s="70" t="str">
        <f>IF(E1258="","",IF(ISNUMBER(I1258),I1258,IFERROR(IF(ISNUMBER(INDEX(art_price,MATCH($E1258,art_ref,0))),INDEX(art_price,MATCH($E1258,art_ref,0)),""),"")))</f>
        <v/>
      </c>
      <c r="K1258" s="71" t="n"/>
      <c r="L1258" s="72" t="n"/>
      <c r="M1258" s="72" t="str">
        <f>IF(E1258="","",IF(L1258&lt;&gt;"",L1258,IFERROR(IF(ISNUMBER(INDEX(art_tva,MATCH($E1258,art_ref,0))),INDEX(art_tva,MATCH($E1258,art_ref,0)),""),"")))</f>
        <v/>
      </c>
      <c r="N1258" s="70" t="str">
        <f>IF(OR(E1258="",J1258=""),"",ROUND(N(H1258)*J1258*(1-N(K1258)),2))</f>
        <v/>
      </c>
      <c r="O1258" s="70" t="str">
        <f>IF(OR(N1258="",NOT(ISNUMBER(M1258))),"",ROUND(N1258*M1258,2))</f>
        <v/>
      </c>
      <c r="P1258" s="70" t="str">
        <f>IF(N1258="","",N1258+N(O1258))</f>
        <v/>
      </c>
      <c r="Q1258" s="64" t="n"/>
      <c r="R1258" s="73" t="str">
        <f>IF(N(Q1258)&gt;0,Q1258,IF(OR(N(B1258)=0,ISNA(MATCH($C1258,sup_code,0))),"",IF(ISNUMBER(INDEX(sup_delay,MATCH($C1258,sup_code,0))),B1258+INDEX(sup_delay,MATCH($C1258,sup_code,0)),"")))</f>
        <v/>
      </c>
      <c r="S1258" s="64" t="n"/>
      <c r="T1258" s="68" t="n"/>
      <c r="U1258" s="64" t="n"/>
      <c r="V1258" s="65" t="n"/>
      <c r="W1258" s="74" t="str">
        <f>IF(AND(A1258="",E1258=""),"",IF(V1258="Oui",0,MAX(0,ROUND(N(H1258)-N(T1258),6))))</f>
        <v/>
      </c>
      <c r="X1258" s="67" t="str">
        <f>IF(AND(A1258="",E1258=""),"",IF(V1258="Oui","Annulé",IF(AND(N(H1258)&gt;0,N(T1258)&gt;=N(H1258)),"Reçu",IF(N(S1258)=0,"Brouillon",IF(AND(ISNUMBER(R1258),R1258&lt;p_today),"En retard",IF(N(T1258)&gt;0,"Partiel","Envoyé"))))))</f>
        <v/>
      </c>
      <c r="Y1258" s="75" t="str">
        <f>IF(X1258="En retard",p_today-R1258,IF(AND(X1258="Reçu",ISNUMBER(R1258)),MAX(0,N(U1258)-R1258),""))</f>
        <v/>
      </c>
      <c r="Z1258" s="67" t="str">
        <f>IF(AND(A1258="",E1258=""),"",IF(A1258="","N° de bon manquant",IF(N(B1258)=0,"Date de commande manquante",IF(C1258="","Fournisseur manquant",IF(ISNA(MATCH($C1258,sup_code,0)),"Fournisseur inconnu",IF(E1258="","Article manquant",IF(ISNA(MATCH($E1258,art_ref,0)),"Article inconnu",IF(N(H1258)&lt;=0,"Quantité invalide",IF(J1258="","Prix manquant",IF(OR(N(K1258)&lt;0,N(K1258)&gt;=1),"Remise invalide",IF(M1258="","TVA manquante",IF(ISNA(MATCH(M1258,p_tva,0)),"Taux de TVA inconnu",IF(COUNTIFS(po_num,A1258,po_sup,"&lt;&gt;"&amp;C1258)&gt;0,"Fournisseur différent sur ce bon",IF(COUNTIFS(po_num,A1258,po_date,"&lt;&gt;"&amp;B1258)&gt;0,"Date différente sur ce bon",IF(COUNTIF(po_num,A1258)&gt;25,"Plus de 25 lignes sur ce bon",IF(R1258="","Date de livraison manquante",IF(R1258&lt;B1258,"Livraison avant la commande",IF(AND(N(T1258)&gt;0,N(S1258)=0),"Date d'envoi manquante",IF(N(T1258)&gt;N(H1258),"Reçu plus que commandé",IF(AND(N(T1258)&gt;0,N(U1258)=0),"Date de réception manquante",IF(AND(N(U1258)&gt;0,U1258&lt;B1258),"Réception avant la commande","OK")))))))))))))))))))))</f>
        <v/>
      </c>
      <c r="AA1258" s="66" t="str">
        <f>IF(AND(X1258="Reçu",ISNUMBER(R1258)),IF(N(U1258)&lt;=R1258,1,0),"")</f>
        <v/>
      </c>
      <c r="AB1258" s="76" t="str">
        <f>IF(OR(X1258="Envoyé",X1258="Partiel",X1258="En retard"),IF(ISNUMBER(R1258),R1258,100000)+ROW()/100000,"")</f>
        <v/>
      </c>
      <c r="AC1258" s="66" t="str">
        <f>IF(A1258="","",IF(COUNTIF($A$6:A1258,A1258)=1,1,""))</f>
        <v/>
      </c>
      <c r="AD1258" s="66" t="str">
        <f>IF(AC1258=1,COUNT($AC$6:AC1258),"")</f>
        <v/>
      </c>
      <c r="AE1258" s="66" t="str">
        <f>IFERROR(INDEX(po_num,MATCH(1253,po_seq,0))&amp;"","")</f>
        <v/>
      </c>
      <c r="AF1258" s="66" t="str">
        <f>IF(OR(A1258="",p_po=""),"",IF(A1258&amp;""=p_po,COUNTIF($A$6:A1258,A1258),""))</f>
        <v/>
      </c>
      <c r="AG1258" s="66" t="str">
        <f>IF(OR(AB1258="",A1258=""),"",IF(COUNTIFS($A$6:A1258,A1258,$AB$6:AB1258,"&gt;0")=1,1,""))</f>
        <v/>
      </c>
      <c r="AH1258" s="70" t="str">
        <f>IF(AB1258="","",ROUND(N(W1258)*N(J1258)*(1-N(K1258)),2))</f>
        <v/>
      </c>
      <c r="AI1258" s="70" t="str">
        <f>IF(OR(J1258="",N(T1258)&lt;=0,V1258="Oui"),"",ROUND(N(T1258)*J1258*(1-N(K1258)),2))</f>
        <v/>
      </c>
    </row>
    <row r="1259">
      <c r="A1259" s="63" t="n"/>
      <c r="B1259" s="64" t="n"/>
      <c r="C1259" s="65" t="n"/>
      <c r="D1259" s="66" t="str">
        <f>IF(C1259="","",IFERROR(INDEX(sup_name,MATCH($C1259,sup_code,0))&amp;"","Fournisseur inconnu"))</f>
        <v/>
      </c>
      <c r="E1259" s="63" t="n"/>
      <c r="F1259" s="66" t="str">
        <f>IF(E1259="","",IFERROR(INDEX(art_des,MATCH($E1259,art_ref,0))&amp;"","Article inconnu"))</f>
        <v/>
      </c>
      <c r="G1259" s="67" t="str">
        <f>IF(E1259="","",IFERROR(INDEX(art_unit,MATCH($E1259,art_ref,0))&amp;"",""))</f>
        <v/>
      </c>
      <c r="H1259" s="68" t="n"/>
      <c r="I1259" s="69" t="n"/>
      <c r="J1259" s="70" t="str">
        <f>IF(E1259="","",IF(ISNUMBER(I1259),I1259,IFERROR(IF(ISNUMBER(INDEX(art_price,MATCH($E1259,art_ref,0))),INDEX(art_price,MATCH($E1259,art_ref,0)),""),"")))</f>
        <v/>
      </c>
      <c r="K1259" s="71" t="n"/>
      <c r="L1259" s="72" t="n"/>
      <c r="M1259" s="72" t="str">
        <f>IF(E1259="","",IF(L1259&lt;&gt;"",L1259,IFERROR(IF(ISNUMBER(INDEX(art_tva,MATCH($E1259,art_ref,0))),INDEX(art_tva,MATCH($E1259,art_ref,0)),""),"")))</f>
        <v/>
      </c>
      <c r="N1259" s="70" t="str">
        <f>IF(OR(E1259="",J1259=""),"",ROUND(N(H1259)*J1259*(1-N(K1259)),2))</f>
        <v/>
      </c>
      <c r="O1259" s="70" t="str">
        <f>IF(OR(N1259="",NOT(ISNUMBER(M1259))),"",ROUND(N1259*M1259,2))</f>
        <v/>
      </c>
      <c r="P1259" s="70" t="str">
        <f>IF(N1259="","",N1259+N(O1259))</f>
        <v/>
      </c>
      <c r="Q1259" s="64" t="n"/>
      <c r="R1259" s="73" t="str">
        <f>IF(N(Q1259)&gt;0,Q1259,IF(OR(N(B1259)=0,ISNA(MATCH($C1259,sup_code,0))),"",IF(ISNUMBER(INDEX(sup_delay,MATCH($C1259,sup_code,0))),B1259+INDEX(sup_delay,MATCH($C1259,sup_code,0)),"")))</f>
        <v/>
      </c>
      <c r="S1259" s="64" t="n"/>
      <c r="T1259" s="68" t="n"/>
      <c r="U1259" s="64" t="n"/>
      <c r="V1259" s="65" t="n"/>
      <c r="W1259" s="74" t="str">
        <f>IF(AND(A1259="",E1259=""),"",IF(V1259="Oui",0,MAX(0,ROUND(N(H1259)-N(T1259),6))))</f>
        <v/>
      </c>
      <c r="X1259" s="67" t="str">
        <f>IF(AND(A1259="",E1259=""),"",IF(V1259="Oui","Annulé",IF(AND(N(H1259)&gt;0,N(T1259)&gt;=N(H1259)),"Reçu",IF(N(S1259)=0,"Brouillon",IF(AND(ISNUMBER(R1259),R1259&lt;p_today),"En retard",IF(N(T1259)&gt;0,"Partiel","Envoyé"))))))</f>
        <v/>
      </c>
      <c r="Y1259" s="75" t="str">
        <f>IF(X1259="En retard",p_today-R1259,IF(AND(X1259="Reçu",ISNUMBER(R1259)),MAX(0,N(U1259)-R1259),""))</f>
        <v/>
      </c>
      <c r="Z1259" s="67" t="str">
        <f>IF(AND(A1259="",E1259=""),"",IF(A1259="","N° de bon manquant",IF(N(B1259)=0,"Date de commande manquante",IF(C1259="","Fournisseur manquant",IF(ISNA(MATCH($C1259,sup_code,0)),"Fournisseur inconnu",IF(E1259="","Article manquant",IF(ISNA(MATCH($E1259,art_ref,0)),"Article inconnu",IF(N(H1259)&lt;=0,"Quantité invalide",IF(J1259="","Prix manquant",IF(OR(N(K1259)&lt;0,N(K1259)&gt;=1),"Remise invalide",IF(M1259="","TVA manquante",IF(ISNA(MATCH(M1259,p_tva,0)),"Taux de TVA inconnu",IF(COUNTIFS(po_num,A1259,po_sup,"&lt;&gt;"&amp;C1259)&gt;0,"Fournisseur différent sur ce bon",IF(COUNTIFS(po_num,A1259,po_date,"&lt;&gt;"&amp;B1259)&gt;0,"Date différente sur ce bon",IF(COUNTIF(po_num,A1259)&gt;25,"Plus de 25 lignes sur ce bon",IF(R1259="","Date de livraison manquante",IF(R1259&lt;B1259,"Livraison avant la commande",IF(AND(N(T1259)&gt;0,N(S1259)=0),"Date d'envoi manquante",IF(N(T1259)&gt;N(H1259),"Reçu plus que commandé",IF(AND(N(T1259)&gt;0,N(U1259)=0),"Date de réception manquante",IF(AND(N(U1259)&gt;0,U1259&lt;B1259),"Réception avant la commande","OK")))))))))))))))))))))</f>
        <v/>
      </c>
      <c r="AA1259" s="66" t="str">
        <f>IF(AND(X1259="Reçu",ISNUMBER(R1259)),IF(N(U1259)&lt;=R1259,1,0),"")</f>
        <v/>
      </c>
      <c r="AB1259" s="76" t="str">
        <f>IF(OR(X1259="Envoyé",X1259="Partiel",X1259="En retard"),IF(ISNUMBER(R1259),R1259,100000)+ROW()/100000,"")</f>
        <v/>
      </c>
      <c r="AC1259" s="66" t="str">
        <f>IF(A1259="","",IF(COUNTIF($A$6:A1259,A1259)=1,1,""))</f>
        <v/>
      </c>
      <c r="AD1259" s="66" t="str">
        <f>IF(AC1259=1,COUNT($AC$6:AC1259),"")</f>
        <v/>
      </c>
      <c r="AE1259" s="66" t="str">
        <f>IFERROR(INDEX(po_num,MATCH(1254,po_seq,0))&amp;"","")</f>
        <v/>
      </c>
      <c r="AF1259" s="66" t="str">
        <f>IF(OR(A1259="",p_po=""),"",IF(A1259&amp;""=p_po,COUNTIF($A$6:A1259,A1259),""))</f>
        <v/>
      </c>
      <c r="AG1259" s="66" t="str">
        <f>IF(OR(AB1259="",A1259=""),"",IF(COUNTIFS($A$6:A1259,A1259,$AB$6:AB1259,"&gt;0")=1,1,""))</f>
        <v/>
      </c>
      <c r="AH1259" s="70" t="str">
        <f>IF(AB1259="","",ROUND(N(W1259)*N(J1259)*(1-N(K1259)),2))</f>
        <v/>
      </c>
      <c r="AI1259" s="70" t="str">
        <f>IF(OR(J1259="",N(T1259)&lt;=0,V1259="Oui"),"",ROUND(N(T1259)*J1259*(1-N(K1259)),2))</f>
        <v/>
      </c>
    </row>
    <row r="1260">
      <c r="A1260" s="63" t="n"/>
      <c r="B1260" s="64" t="n"/>
      <c r="C1260" s="65" t="n"/>
      <c r="D1260" s="66" t="str">
        <f>IF(C1260="","",IFERROR(INDEX(sup_name,MATCH($C1260,sup_code,0))&amp;"","Fournisseur inconnu"))</f>
        <v/>
      </c>
      <c r="E1260" s="63" t="n"/>
      <c r="F1260" s="66" t="str">
        <f>IF(E1260="","",IFERROR(INDEX(art_des,MATCH($E1260,art_ref,0))&amp;"","Article inconnu"))</f>
        <v/>
      </c>
      <c r="G1260" s="67" t="str">
        <f>IF(E1260="","",IFERROR(INDEX(art_unit,MATCH($E1260,art_ref,0))&amp;"",""))</f>
        <v/>
      </c>
      <c r="H1260" s="68" t="n"/>
      <c r="I1260" s="69" t="n"/>
      <c r="J1260" s="70" t="str">
        <f>IF(E1260="","",IF(ISNUMBER(I1260),I1260,IFERROR(IF(ISNUMBER(INDEX(art_price,MATCH($E1260,art_ref,0))),INDEX(art_price,MATCH($E1260,art_ref,0)),""),"")))</f>
        <v/>
      </c>
      <c r="K1260" s="71" t="n"/>
      <c r="L1260" s="72" t="n"/>
      <c r="M1260" s="72" t="str">
        <f>IF(E1260="","",IF(L1260&lt;&gt;"",L1260,IFERROR(IF(ISNUMBER(INDEX(art_tva,MATCH($E1260,art_ref,0))),INDEX(art_tva,MATCH($E1260,art_ref,0)),""),"")))</f>
        <v/>
      </c>
      <c r="N1260" s="70" t="str">
        <f>IF(OR(E1260="",J1260=""),"",ROUND(N(H1260)*J1260*(1-N(K1260)),2))</f>
        <v/>
      </c>
      <c r="O1260" s="70" t="str">
        <f>IF(OR(N1260="",NOT(ISNUMBER(M1260))),"",ROUND(N1260*M1260,2))</f>
        <v/>
      </c>
      <c r="P1260" s="70" t="str">
        <f>IF(N1260="","",N1260+N(O1260))</f>
        <v/>
      </c>
      <c r="Q1260" s="64" t="n"/>
      <c r="R1260" s="73" t="str">
        <f>IF(N(Q1260)&gt;0,Q1260,IF(OR(N(B1260)=0,ISNA(MATCH($C1260,sup_code,0))),"",IF(ISNUMBER(INDEX(sup_delay,MATCH($C1260,sup_code,0))),B1260+INDEX(sup_delay,MATCH($C1260,sup_code,0)),"")))</f>
        <v/>
      </c>
      <c r="S1260" s="64" t="n"/>
      <c r="T1260" s="68" t="n"/>
      <c r="U1260" s="64" t="n"/>
      <c r="V1260" s="65" t="n"/>
      <c r="W1260" s="74" t="str">
        <f>IF(AND(A1260="",E1260=""),"",IF(V1260="Oui",0,MAX(0,ROUND(N(H1260)-N(T1260),6))))</f>
        <v/>
      </c>
      <c r="X1260" s="67" t="str">
        <f>IF(AND(A1260="",E1260=""),"",IF(V1260="Oui","Annulé",IF(AND(N(H1260)&gt;0,N(T1260)&gt;=N(H1260)),"Reçu",IF(N(S1260)=0,"Brouillon",IF(AND(ISNUMBER(R1260),R1260&lt;p_today),"En retard",IF(N(T1260)&gt;0,"Partiel","Envoyé"))))))</f>
        <v/>
      </c>
      <c r="Y1260" s="75" t="str">
        <f>IF(X1260="En retard",p_today-R1260,IF(AND(X1260="Reçu",ISNUMBER(R1260)),MAX(0,N(U1260)-R1260),""))</f>
        <v/>
      </c>
      <c r="Z1260" s="67" t="str">
        <f>IF(AND(A1260="",E1260=""),"",IF(A1260="","N° de bon manquant",IF(N(B1260)=0,"Date de commande manquante",IF(C1260="","Fournisseur manquant",IF(ISNA(MATCH($C1260,sup_code,0)),"Fournisseur inconnu",IF(E1260="","Article manquant",IF(ISNA(MATCH($E1260,art_ref,0)),"Article inconnu",IF(N(H1260)&lt;=0,"Quantité invalide",IF(J1260="","Prix manquant",IF(OR(N(K1260)&lt;0,N(K1260)&gt;=1),"Remise invalide",IF(M1260="","TVA manquante",IF(ISNA(MATCH(M1260,p_tva,0)),"Taux de TVA inconnu",IF(COUNTIFS(po_num,A1260,po_sup,"&lt;&gt;"&amp;C1260)&gt;0,"Fournisseur différent sur ce bon",IF(COUNTIFS(po_num,A1260,po_date,"&lt;&gt;"&amp;B1260)&gt;0,"Date différente sur ce bon",IF(COUNTIF(po_num,A1260)&gt;25,"Plus de 25 lignes sur ce bon",IF(R1260="","Date de livraison manquante",IF(R1260&lt;B1260,"Livraison avant la commande",IF(AND(N(T1260)&gt;0,N(S1260)=0),"Date d'envoi manquante",IF(N(T1260)&gt;N(H1260),"Reçu plus que commandé",IF(AND(N(T1260)&gt;0,N(U1260)=0),"Date de réception manquante",IF(AND(N(U1260)&gt;0,U1260&lt;B1260),"Réception avant la commande","OK")))))))))))))))))))))</f>
        <v/>
      </c>
      <c r="AA1260" s="66" t="str">
        <f>IF(AND(X1260="Reçu",ISNUMBER(R1260)),IF(N(U1260)&lt;=R1260,1,0),"")</f>
        <v/>
      </c>
      <c r="AB1260" s="76" t="str">
        <f>IF(OR(X1260="Envoyé",X1260="Partiel",X1260="En retard"),IF(ISNUMBER(R1260),R1260,100000)+ROW()/100000,"")</f>
        <v/>
      </c>
      <c r="AC1260" s="66" t="str">
        <f>IF(A1260="","",IF(COUNTIF($A$6:A1260,A1260)=1,1,""))</f>
        <v/>
      </c>
      <c r="AD1260" s="66" t="str">
        <f>IF(AC1260=1,COUNT($AC$6:AC1260),"")</f>
        <v/>
      </c>
      <c r="AE1260" s="66" t="str">
        <f>IFERROR(INDEX(po_num,MATCH(1255,po_seq,0))&amp;"","")</f>
        <v/>
      </c>
      <c r="AF1260" s="66" t="str">
        <f>IF(OR(A1260="",p_po=""),"",IF(A1260&amp;""=p_po,COUNTIF($A$6:A1260,A1260),""))</f>
        <v/>
      </c>
      <c r="AG1260" s="66" t="str">
        <f>IF(OR(AB1260="",A1260=""),"",IF(COUNTIFS($A$6:A1260,A1260,$AB$6:AB1260,"&gt;0")=1,1,""))</f>
        <v/>
      </c>
      <c r="AH1260" s="70" t="str">
        <f>IF(AB1260="","",ROUND(N(W1260)*N(J1260)*(1-N(K1260)),2))</f>
        <v/>
      </c>
      <c r="AI1260" s="70" t="str">
        <f>IF(OR(J1260="",N(T1260)&lt;=0,V1260="Oui"),"",ROUND(N(T1260)*J1260*(1-N(K1260)),2))</f>
        <v/>
      </c>
    </row>
    <row r="1261">
      <c r="A1261" s="63" t="n"/>
      <c r="B1261" s="64" t="n"/>
      <c r="C1261" s="65" t="n"/>
      <c r="D1261" s="66" t="str">
        <f>IF(C1261="","",IFERROR(INDEX(sup_name,MATCH($C1261,sup_code,0))&amp;"","Fournisseur inconnu"))</f>
        <v/>
      </c>
      <c r="E1261" s="63" t="n"/>
      <c r="F1261" s="66" t="str">
        <f>IF(E1261="","",IFERROR(INDEX(art_des,MATCH($E1261,art_ref,0))&amp;"","Article inconnu"))</f>
        <v/>
      </c>
      <c r="G1261" s="67" t="str">
        <f>IF(E1261="","",IFERROR(INDEX(art_unit,MATCH($E1261,art_ref,0))&amp;"",""))</f>
        <v/>
      </c>
      <c r="H1261" s="68" t="n"/>
      <c r="I1261" s="69" t="n"/>
      <c r="J1261" s="70" t="str">
        <f>IF(E1261="","",IF(ISNUMBER(I1261),I1261,IFERROR(IF(ISNUMBER(INDEX(art_price,MATCH($E1261,art_ref,0))),INDEX(art_price,MATCH($E1261,art_ref,0)),""),"")))</f>
        <v/>
      </c>
      <c r="K1261" s="71" t="n"/>
      <c r="L1261" s="72" t="n"/>
      <c r="M1261" s="72" t="str">
        <f>IF(E1261="","",IF(L1261&lt;&gt;"",L1261,IFERROR(IF(ISNUMBER(INDEX(art_tva,MATCH($E1261,art_ref,0))),INDEX(art_tva,MATCH($E1261,art_ref,0)),""),"")))</f>
        <v/>
      </c>
      <c r="N1261" s="70" t="str">
        <f>IF(OR(E1261="",J1261=""),"",ROUND(N(H1261)*J1261*(1-N(K1261)),2))</f>
        <v/>
      </c>
      <c r="O1261" s="70" t="str">
        <f>IF(OR(N1261="",NOT(ISNUMBER(M1261))),"",ROUND(N1261*M1261,2))</f>
        <v/>
      </c>
      <c r="P1261" s="70" t="str">
        <f>IF(N1261="","",N1261+N(O1261))</f>
        <v/>
      </c>
      <c r="Q1261" s="64" t="n"/>
      <c r="R1261" s="73" t="str">
        <f>IF(N(Q1261)&gt;0,Q1261,IF(OR(N(B1261)=0,ISNA(MATCH($C1261,sup_code,0))),"",IF(ISNUMBER(INDEX(sup_delay,MATCH($C1261,sup_code,0))),B1261+INDEX(sup_delay,MATCH($C1261,sup_code,0)),"")))</f>
        <v/>
      </c>
      <c r="S1261" s="64" t="n"/>
      <c r="T1261" s="68" t="n"/>
      <c r="U1261" s="64" t="n"/>
      <c r="V1261" s="65" t="n"/>
      <c r="W1261" s="74" t="str">
        <f>IF(AND(A1261="",E1261=""),"",IF(V1261="Oui",0,MAX(0,ROUND(N(H1261)-N(T1261),6))))</f>
        <v/>
      </c>
      <c r="X1261" s="67" t="str">
        <f>IF(AND(A1261="",E1261=""),"",IF(V1261="Oui","Annulé",IF(AND(N(H1261)&gt;0,N(T1261)&gt;=N(H1261)),"Reçu",IF(N(S1261)=0,"Brouillon",IF(AND(ISNUMBER(R1261),R1261&lt;p_today),"En retard",IF(N(T1261)&gt;0,"Partiel","Envoyé"))))))</f>
        <v/>
      </c>
      <c r="Y1261" s="75" t="str">
        <f>IF(X1261="En retard",p_today-R1261,IF(AND(X1261="Reçu",ISNUMBER(R1261)),MAX(0,N(U1261)-R1261),""))</f>
        <v/>
      </c>
      <c r="Z1261" s="67" t="str">
        <f>IF(AND(A1261="",E1261=""),"",IF(A1261="","N° de bon manquant",IF(N(B1261)=0,"Date de commande manquante",IF(C1261="","Fournisseur manquant",IF(ISNA(MATCH($C1261,sup_code,0)),"Fournisseur inconnu",IF(E1261="","Article manquant",IF(ISNA(MATCH($E1261,art_ref,0)),"Article inconnu",IF(N(H1261)&lt;=0,"Quantité invalide",IF(J1261="","Prix manquant",IF(OR(N(K1261)&lt;0,N(K1261)&gt;=1),"Remise invalide",IF(M1261="","TVA manquante",IF(ISNA(MATCH(M1261,p_tva,0)),"Taux de TVA inconnu",IF(COUNTIFS(po_num,A1261,po_sup,"&lt;&gt;"&amp;C1261)&gt;0,"Fournisseur différent sur ce bon",IF(COUNTIFS(po_num,A1261,po_date,"&lt;&gt;"&amp;B1261)&gt;0,"Date différente sur ce bon",IF(COUNTIF(po_num,A1261)&gt;25,"Plus de 25 lignes sur ce bon",IF(R1261="","Date de livraison manquante",IF(R1261&lt;B1261,"Livraison avant la commande",IF(AND(N(T1261)&gt;0,N(S1261)=0),"Date d'envoi manquante",IF(N(T1261)&gt;N(H1261),"Reçu plus que commandé",IF(AND(N(T1261)&gt;0,N(U1261)=0),"Date de réception manquante",IF(AND(N(U1261)&gt;0,U1261&lt;B1261),"Réception avant la commande","OK")))))))))))))))))))))</f>
        <v/>
      </c>
      <c r="AA1261" s="66" t="str">
        <f>IF(AND(X1261="Reçu",ISNUMBER(R1261)),IF(N(U1261)&lt;=R1261,1,0),"")</f>
        <v/>
      </c>
      <c r="AB1261" s="76" t="str">
        <f>IF(OR(X1261="Envoyé",X1261="Partiel",X1261="En retard"),IF(ISNUMBER(R1261),R1261,100000)+ROW()/100000,"")</f>
        <v/>
      </c>
      <c r="AC1261" s="66" t="str">
        <f>IF(A1261="","",IF(COUNTIF($A$6:A1261,A1261)=1,1,""))</f>
        <v/>
      </c>
      <c r="AD1261" s="66" t="str">
        <f>IF(AC1261=1,COUNT($AC$6:AC1261),"")</f>
        <v/>
      </c>
      <c r="AE1261" s="66" t="str">
        <f>IFERROR(INDEX(po_num,MATCH(1256,po_seq,0))&amp;"","")</f>
        <v/>
      </c>
      <c r="AF1261" s="66" t="str">
        <f>IF(OR(A1261="",p_po=""),"",IF(A1261&amp;""=p_po,COUNTIF($A$6:A1261,A1261),""))</f>
        <v/>
      </c>
      <c r="AG1261" s="66" t="str">
        <f>IF(OR(AB1261="",A1261=""),"",IF(COUNTIFS($A$6:A1261,A1261,$AB$6:AB1261,"&gt;0")=1,1,""))</f>
        <v/>
      </c>
      <c r="AH1261" s="70" t="str">
        <f>IF(AB1261="","",ROUND(N(W1261)*N(J1261)*(1-N(K1261)),2))</f>
        <v/>
      </c>
      <c r="AI1261" s="70" t="str">
        <f>IF(OR(J1261="",N(T1261)&lt;=0,V1261="Oui"),"",ROUND(N(T1261)*J1261*(1-N(K1261)),2))</f>
        <v/>
      </c>
    </row>
    <row r="1262">
      <c r="A1262" s="63" t="n"/>
      <c r="B1262" s="64" t="n"/>
      <c r="C1262" s="65" t="n"/>
      <c r="D1262" s="66" t="str">
        <f>IF(C1262="","",IFERROR(INDEX(sup_name,MATCH($C1262,sup_code,0))&amp;"","Fournisseur inconnu"))</f>
        <v/>
      </c>
      <c r="E1262" s="63" t="n"/>
      <c r="F1262" s="66" t="str">
        <f>IF(E1262="","",IFERROR(INDEX(art_des,MATCH($E1262,art_ref,0))&amp;"","Article inconnu"))</f>
        <v/>
      </c>
      <c r="G1262" s="67" t="str">
        <f>IF(E1262="","",IFERROR(INDEX(art_unit,MATCH($E1262,art_ref,0))&amp;"",""))</f>
        <v/>
      </c>
      <c r="H1262" s="68" t="n"/>
      <c r="I1262" s="69" t="n"/>
      <c r="J1262" s="70" t="str">
        <f>IF(E1262="","",IF(ISNUMBER(I1262),I1262,IFERROR(IF(ISNUMBER(INDEX(art_price,MATCH($E1262,art_ref,0))),INDEX(art_price,MATCH($E1262,art_ref,0)),""),"")))</f>
        <v/>
      </c>
      <c r="K1262" s="71" t="n"/>
      <c r="L1262" s="72" t="n"/>
      <c r="M1262" s="72" t="str">
        <f>IF(E1262="","",IF(L1262&lt;&gt;"",L1262,IFERROR(IF(ISNUMBER(INDEX(art_tva,MATCH($E1262,art_ref,0))),INDEX(art_tva,MATCH($E1262,art_ref,0)),""),"")))</f>
        <v/>
      </c>
      <c r="N1262" s="70" t="str">
        <f>IF(OR(E1262="",J1262=""),"",ROUND(N(H1262)*J1262*(1-N(K1262)),2))</f>
        <v/>
      </c>
      <c r="O1262" s="70" t="str">
        <f>IF(OR(N1262="",NOT(ISNUMBER(M1262))),"",ROUND(N1262*M1262,2))</f>
        <v/>
      </c>
      <c r="P1262" s="70" t="str">
        <f>IF(N1262="","",N1262+N(O1262))</f>
        <v/>
      </c>
      <c r="Q1262" s="64" t="n"/>
      <c r="R1262" s="73" t="str">
        <f>IF(N(Q1262)&gt;0,Q1262,IF(OR(N(B1262)=0,ISNA(MATCH($C1262,sup_code,0))),"",IF(ISNUMBER(INDEX(sup_delay,MATCH($C1262,sup_code,0))),B1262+INDEX(sup_delay,MATCH($C1262,sup_code,0)),"")))</f>
        <v/>
      </c>
      <c r="S1262" s="64" t="n"/>
      <c r="T1262" s="68" t="n"/>
      <c r="U1262" s="64" t="n"/>
      <c r="V1262" s="65" t="n"/>
      <c r="W1262" s="74" t="str">
        <f>IF(AND(A1262="",E1262=""),"",IF(V1262="Oui",0,MAX(0,ROUND(N(H1262)-N(T1262),6))))</f>
        <v/>
      </c>
      <c r="X1262" s="67" t="str">
        <f>IF(AND(A1262="",E1262=""),"",IF(V1262="Oui","Annulé",IF(AND(N(H1262)&gt;0,N(T1262)&gt;=N(H1262)),"Reçu",IF(N(S1262)=0,"Brouillon",IF(AND(ISNUMBER(R1262),R1262&lt;p_today),"En retard",IF(N(T1262)&gt;0,"Partiel","Envoyé"))))))</f>
        <v/>
      </c>
      <c r="Y1262" s="75" t="str">
        <f>IF(X1262="En retard",p_today-R1262,IF(AND(X1262="Reçu",ISNUMBER(R1262)),MAX(0,N(U1262)-R1262),""))</f>
        <v/>
      </c>
      <c r="Z1262" s="67" t="str">
        <f>IF(AND(A1262="",E1262=""),"",IF(A1262="","N° de bon manquant",IF(N(B1262)=0,"Date de commande manquante",IF(C1262="","Fournisseur manquant",IF(ISNA(MATCH($C1262,sup_code,0)),"Fournisseur inconnu",IF(E1262="","Article manquant",IF(ISNA(MATCH($E1262,art_ref,0)),"Article inconnu",IF(N(H1262)&lt;=0,"Quantité invalide",IF(J1262="","Prix manquant",IF(OR(N(K1262)&lt;0,N(K1262)&gt;=1),"Remise invalide",IF(M1262="","TVA manquante",IF(ISNA(MATCH(M1262,p_tva,0)),"Taux de TVA inconnu",IF(COUNTIFS(po_num,A1262,po_sup,"&lt;&gt;"&amp;C1262)&gt;0,"Fournisseur différent sur ce bon",IF(COUNTIFS(po_num,A1262,po_date,"&lt;&gt;"&amp;B1262)&gt;0,"Date différente sur ce bon",IF(COUNTIF(po_num,A1262)&gt;25,"Plus de 25 lignes sur ce bon",IF(R1262="","Date de livraison manquante",IF(R1262&lt;B1262,"Livraison avant la commande",IF(AND(N(T1262)&gt;0,N(S1262)=0),"Date d'envoi manquante",IF(N(T1262)&gt;N(H1262),"Reçu plus que commandé",IF(AND(N(T1262)&gt;0,N(U1262)=0),"Date de réception manquante",IF(AND(N(U1262)&gt;0,U1262&lt;B1262),"Réception avant la commande","OK")))))))))))))))))))))</f>
        <v/>
      </c>
      <c r="AA1262" s="66" t="str">
        <f>IF(AND(X1262="Reçu",ISNUMBER(R1262)),IF(N(U1262)&lt;=R1262,1,0),"")</f>
        <v/>
      </c>
      <c r="AB1262" s="76" t="str">
        <f>IF(OR(X1262="Envoyé",X1262="Partiel",X1262="En retard"),IF(ISNUMBER(R1262),R1262,100000)+ROW()/100000,"")</f>
        <v/>
      </c>
      <c r="AC1262" s="66" t="str">
        <f>IF(A1262="","",IF(COUNTIF($A$6:A1262,A1262)=1,1,""))</f>
        <v/>
      </c>
      <c r="AD1262" s="66" t="str">
        <f>IF(AC1262=1,COUNT($AC$6:AC1262),"")</f>
        <v/>
      </c>
      <c r="AE1262" s="66" t="str">
        <f>IFERROR(INDEX(po_num,MATCH(1257,po_seq,0))&amp;"","")</f>
        <v/>
      </c>
      <c r="AF1262" s="66" t="str">
        <f>IF(OR(A1262="",p_po=""),"",IF(A1262&amp;""=p_po,COUNTIF($A$6:A1262,A1262),""))</f>
        <v/>
      </c>
      <c r="AG1262" s="66" t="str">
        <f>IF(OR(AB1262="",A1262=""),"",IF(COUNTIFS($A$6:A1262,A1262,$AB$6:AB1262,"&gt;0")=1,1,""))</f>
        <v/>
      </c>
      <c r="AH1262" s="70" t="str">
        <f>IF(AB1262="","",ROUND(N(W1262)*N(J1262)*(1-N(K1262)),2))</f>
        <v/>
      </c>
      <c r="AI1262" s="70" t="str">
        <f>IF(OR(J1262="",N(T1262)&lt;=0,V1262="Oui"),"",ROUND(N(T1262)*J1262*(1-N(K1262)),2))</f>
        <v/>
      </c>
    </row>
    <row r="1263">
      <c r="A1263" s="63" t="n"/>
      <c r="B1263" s="64" t="n"/>
      <c r="C1263" s="65" t="n"/>
      <c r="D1263" s="66" t="str">
        <f>IF(C1263="","",IFERROR(INDEX(sup_name,MATCH($C1263,sup_code,0))&amp;"","Fournisseur inconnu"))</f>
        <v/>
      </c>
      <c r="E1263" s="63" t="n"/>
      <c r="F1263" s="66" t="str">
        <f>IF(E1263="","",IFERROR(INDEX(art_des,MATCH($E1263,art_ref,0))&amp;"","Article inconnu"))</f>
        <v/>
      </c>
      <c r="G1263" s="67" t="str">
        <f>IF(E1263="","",IFERROR(INDEX(art_unit,MATCH($E1263,art_ref,0))&amp;"",""))</f>
        <v/>
      </c>
      <c r="H1263" s="68" t="n"/>
      <c r="I1263" s="69" t="n"/>
      <c r="J1263" s="70" t="str">
        <f>IF(E1263="","",IF(ISNUMBER(I1263),I1263,IFERROR(IF(ISNUMBER(INDEX(art_price,MATCH($E1263,art_ref,0))),INDEX(art_price,MATCH($E1263,art_ref,0)),""),"")))</f>
        <v/>
      </c>
      <c r="K1263" s="71" t="n"/>
      <c r="L1263" s="72" t="n"/>
      <c r="M1263" s="72" t="str">
        <f>IF(E1263="","",IF(L1263&lt;&gt;"",L1263,IFERROR(IF(ISNUMBER(INDEX(art_tva,MATCH($E1263,art_ref,0))),INDEX(art_tva,MATCH($E1263,art_ref,0)),""),"")))</f>
        <v/>
      </c>
      <c r="N1263" s="70" t="str">
        <f>IF(OR(E1263="",J1263=""),"",ROUND(N(H1263)*J1263*(1-N(K1263)),2))</f>
        <v/>
      </c>
      <c r="O1263" s="70" t="str">
        <f>IF(OR(N1263="",NOT(ISNUMBER(M1263))),"",ROUND(N1263*M1263,2))</f>
        <v/>
      </c>
      <c r="P1263" s="70" t="str">
        <f>IF(N1263="","",N1263+N(O1263))</f>
        <v/>
      </c>
      <c r="Q1263" s="64" t="n"/>
      <c r="R1263" s="73" t="str">
        <f>IF(N(Q1263)&gt;0,Q1263,IF(OR(N(B1263)=0,ISNA(MATCH($C1263,sup_code,0))),"",IF(ISNUMBER(INDEX(sup_delay,MATCH($C1263,sup_code,0))),B1263+INDEX(sup_delay,MATCH($C1263,sup_code,0)),"")))</f>
        <v/>
      </c>
      <c r="S1263" s="64" t="n"/>
      <c r="T1263" s="68" t="n"/>
      <c r="U1263" s="64" t="n"/>
      <c r="V1263" s="65" t="n"/>
      <c r="W1263" s="74" t="str">
        <f>IF(AND(A1263="",E1263=""),"",IF(V1263="Oui",0,MAX(0,ROUND(N(H1263)-N(T1263),6))))</f>
        <v/>
      </c>
      <c r="X1263" s="67" t="str">
        <f>IF(AND(A1263="",E1263=""),"",IF(V1263="Oui","Annulé",IF(AND(N(H1263)&gt;0,N(T1263)&gt;=N(H1263)),"Reçu",IF(N(S1263)=0,"Brouillon",IF(AND(ISNUMBER(R1263),R1263&lt;p_today),"En retard",IF(N(T1263)&gt;0,"Partiel","Envoyé"))))))</f>
        <v/>
      </c>
      <c r="Y1263" s="75" t="str">
        <f>IF(X1263="En retard",p_today-R1263,IF(AND(X1263="Reçu",ISNUMBER(R1263)),MAX(0,N(U1263)-R1263),""))</f>
        <v/>
      </c>
      <c r="Z1263" s="67" t="str">
        <f>IF(AND(A1263="",E1263=""),"",IF(A1263="","N° de bon manquant",IF(N(B1263)=0,"Date de commande manquante",IF(C1263="","Fournisseur manquant",IF(ISNA(MATCH($C1263,sup_code,0)),"Fournisseur inconnu",IF(E1263="","Article manquant",IF(ISNA(MATCH($E1263,art_ref,0)),"Article inconnu",IF(N(H1263)&lt;=0,"Quantité invalide",IF(J1263="","Prix manquant",IF(OR(N(K1263)&lt;0,N(K1263)&gt;=1),"Remise invalide",IF(M1263="","TVA manquante",IF(ISNA(MATCH(M1263,p_tva,0)),"Taux de TVA inconnu",IF(COUNTIFS(po_num,A1263,po_sup,"&lt;&gt;"&amp;C1263)&gt;0,"Fournisseur différent sur ce bon",IF(COUNTIFS(po_num,A1263,po_date,"&lt;&gt;"&amp;B1263)&gt;0,"Date différente sur ce bon",IF(COUNTIF(po_num,A1263)&gt;25,"Plus de 25 lignes sur ce bon",IF(R1263="","Date de livraison manquante",IF(R1263&lt;B1263,"Livraison avant la commande",IF(AND(N(T1263)&gt;0,N(S1263)=0),"Date d'envoi manquante",IF(N(T1263)&gt;N(H1263),"Reçu plus que commandé",IF(AND(N(T1263)&gt;0,N(U1263)=0),"Date de réception manquante",IF(AND(N(U1263)&gt;0,U1263&lt;B1263),"Réception avant la commande","OK")))))))))))))))))))))</f>
        <v/>
      </c>
      <c r="AA1263" s="66" t="str">
        <f>IF(AND(X1263="Reçu",ISNUMBER(R1263)),IF(N(U1263)&lt;=R1263,1,0),"")</f>
        <v/>
      </c>
      <c r="AB1263" s="76" t="str">
        <f>IF(OR(X1263="Envoyé",X1263="Partiel",X1263="En retard"),IF(ISNUMBER(R1263),R1263,100000)+ROW()/100000,"")</f>
        <v/>
      </c>
      <c r="AC1263" s="66" t="str">
        <f>IF(A1263="","",IF(COUNTIF($A$6:A1263,A1263)=1,1,""))</f>
        <v/>
      </c>
      <c r="AD1263" s="66" t="str">
        <f>IF(AC1263=1,COUNT($AC$6:AC1263),"")</f>
        <v/>
      </c>
      <c r="AE1263" s="66" t="str">
        <f>IFERROR(INDEX(po_num,MATCH(1258,po_seq,0))&amp;"","")</f>
        <v/>
      </c>
      <c r="AF1263" s="66" t="str">
        <f>IF(OR(A1263="",p_po=""),"",IF(A1263&amp;""=p_po,COUNTIF($A$6:A1263,A1263),""))</f>
        <v/>
      </c>
      <c r="AG1263" s="66" t="str">
        <f>IF(OR(AB1263="",A1263=""),"",IF(COUNTIFS($A$6:A1263,A1263,$AB$6:AB1263,"&gt;0")=1,1,""))</f>
        <v/>
      </c>
      <c r="AH1263" s="70" t="str">
        <f>IF(AB1263="","",ROUND(N(W1263)*N(J1263)*(1-N(K1263)),2))</f>
        <v/>
      </c>
      <c r="AI1263" s="70" t="str">
        <f>IF(OR(J1263="",N(T1263)&lt;=0,V1263="Oui"),"",ROUND(N(T1263)*J1263*(1-N(K1263)),2))</f>
        <v/>
      </c>
    </row>
    <row r="1264">
      <c r="A1264" s="63" t="n"/>
      <c r="B1264" s="64" t="n"/>
      <c r="C1264" s="65" t="n"/>
      <c r="D1264" s="66" t="str">
        <f>IF(C1264="","",IFERROR(INDEX(sup_name,MATCH($C1264,sup_code,0))&amp;"","Fournisseur inconnu"))</f>
        <v/>
      </c>
      <c r="E1264" s="63" t="n"/>
      <c r="F1264" s="66" t="str">
        <f>IF(E1264="","",IFERROR(INDEX(art_des,MATCH($E1264,art_ref,0))&amp;"","Article inconnu"))</f>
        <v/>
      </c>
      <c r="G1264" s="67" t="str">
        <f>IF(E1264="","",IFERROR(INDEX(art_unit,MATCH($E1264,art_ref,0))&amp;"",""))</f>
        <v/>
      </c>
      <c r="H1264" s="68" t="n"/>
      <c r="I1264" s="69" t="n"/>
      <c r="J1264" s="70" t="str">
        <f>IF(E1264="","",IF(ISNUMBER(I1264),I1264,IFERROR(IF(ISNUMBER(INDEX(art_price,MATCH($E1264,art_ref,0))),INDEX(art_price,MATCH($E1264,art_ref,0)),""),"")))</f>
        <v/>
      </c>
      <c r="K1264" s="71" t="n"/>
      <c r="L1264" s="72" t="n"/>
      <c r="M1264" s="72" t="str">
        <f>IF(E1264="","",IF(L1264&lt;&gt;"",L1264,IFERROR(IF(ISNUMBER(INDEX(art_tva,MATCH($E1264,art_ref,0))),INDEX(art_tva,MATCH($E1264,art_ref,0)),""),"")))</f>
        <v/>
      </c>
      <c r="N1264" s="70" t="str">
        <f>IF(OR(E1264="",J1264=""),"",ROUND(N(H1264)*J1264*(1-N(K1264)),2))</f>
        <v/>
      </c>
      <c r="O1264" s="70" t="str">
        <f>IF(OR(N1264="",NOT(ISNUMBER(M1264))),"",ROUND(N1264*M1264,2))</f>
        <v/>
      </c>
      <c r="P1264" s="70" t="str">
        <f>IF(N1264="","",N1264+N(O1264))</f>
        <v/>
      </c>
      <c r="Q1264" s="64" t="n"/>
      <c r="R1264" s="73" t="str">
        <f>IF(N(Q1264)&gt;0,Q1264,IF(OR(N(B1264)=0,ISNA(MATCH($C1264,sup_code,0))),"",IF(ISNUMBER(INDEX(sup_delay,MATCH($C1264,sup_code,0))),B1264+INDEX(sup_delay,MATCH($C1264,sup_code,0)),"")))</f>
        <v/>
      </c>
      <c r="S1264" s="64" t="n"/>
      <c r="T1264" s="68" t="n"/>
      <c r="U1264" s="64" t="n"/>
      <c r="V1264" s="65" t="n"/>
      <c r="W1264" s="74" t="str">
        <f>IF(AND(A1264="",E1264=""),"",IF(V1264="Oui",0,MAX(0,ROUND(N(H1264)-N(T1264),6))))</f>
        <v/>
      </c>
      <c r="X1264" s="67" t="str">
        <f>IF(AND(A1264="",E1264=""),"",IF(V1264="Oui","Annulé",IF(AND(N(H1264)&gt;0,N(T1264)&gt;=N(H1264)),"Reçu",IF(N(S1264)=0,"Brouillon",IF(AND(ISNUMBER(R1264),R1264&lt;p_today),"En retard",IF(N(T1264)&gt;0,"Partiel","Envoyé"))))))</f>
        <v/>
      </c>
      <c r="Y1264" s="75" t="str">
        <f>IF(X1264="En retard",p_today-R1264,IF(AND(X1264="Reçu",ISNUMBER(R1264)),MAX(0,N(U1264)-R1264),""))</f>
        <v/>
      </c>
      <c r="Z1264" s="67" t="str">
        <f>IF(AND(A1264="",E1264=""),"",IF(A1264="","N° de bon manquant",IF(N(B1264)=0,"Date de commande manquante",IF(C1264="","Fournisseur manquant",IF(ISNA(MATCH($C1264,sup_code,0)),"Fournisseur inconnu",IF(E1264="","Article manquant",IF(ISNA(MATCH($E1264,art_ref,0)),"Article inconnu",IF(N(H1264)&lt;=0,"Quantité invalide",IF(J1264="","Prix manquant",IF(OR(N(K1264)&lt;0,N(K1264)&gt;=1),"Remise invalide",IF(M1264="","TVA manquante",IF(ISNA(MATCH(M1264,p_tva,0)),"Taux de TVA inconnu",IF(COUNTIFS(po_num,A1264,po_sup,"&lt;&gt;"&amp;C1264)&gt;0,"Fournisseur différent sur ce bon",IF(COUNTIFS(po_num,A1264,po_date,"&lt;&gt;"&amp;B1264)&gt;0,"Date différente sur ce bon",IF(COUNTIF(po_num,A1264)&gt;25,"Plus de 25 lignes sur ce bon",IF(R1264="","Date de livraison manquante",IF(R1264&lt;B1264,"Livraison avant la commande",IF(AND(N(T1264)&gt;0,N(S1264)=0),"Date d'envoi manquante",IF(N(T1264)&gt;N(H1264),"Reçu plus que commandé",IF(AND(N(T1264)&gt;0,N(U1264)=0),"Date de réception manquante",IF(AND(N(U1264)&gt;0,U1264&lt;B1264),"Réception avant la commande","OK")))))))))))))))))))))</f>
        <v/>
      </c>
      <c r="AA1264" s="66" t="str">
        <f>IF(AND(X1264="Reçu",ISNUMBER(R1264)),IF(N(U1264)&lt;=R1264,1,0),"")</f>
        <v/>
      </c>
      <c r="AB1264" s="76" t="str">
        <f>IF(OR(X1264="Envoyé",X1264="Partiel",X1264="En retard"),IF(ISNUMBER(R1264),R1264,100000)+ROW()/100000,"")</f>
        <v/>
      </c>
      <c r="AC1264" s="66" t="str">
        <f>IF(A1264="","",IF(COUNTIF($A$6:A1264,A1264)=1,1,""))</f>
        <v/>
      </c>
      <c r="AD1264" s="66" t="str">
        <f>IF(AC1264=1,COUNT($AC$6:AC1264),"")</f>
        <v/>
      </c>
      <c r="AE1264" s="66" t="str">
        <f>IFERROR(INDEX(po_num,MATCH(1259,po_seq,0))&amp;"","")</f>
        <v/>
      </c>
      <c r="AF1264" s="66" t="str">
        <f>IF(OR(A1264="",p_po=""),"",IF(A1264&amp;""=p_po,COUNTIF($A$6:A1264,A1264),""))</f>
        <v/>
      </c>
      <c r="AG1264" s="66" t="str">
        <f>IF(OR(AB1264="",A1264=""),"",IF(COUNTIFS($A$6:A1264,A1264,$AB$6:AB1264,"&gt;0")=1,1,""))</f>
        <v/>
      </c>
      <c r="AH1264" s="70" t="str">
        <f>IF(AB1264="","",ROUND(N(W1264)*N(J1264)*(1-N(K1264)),2))</f>
        <v/>
      </c>
      <c r="AI1264" s="70" t="str">
        <f>IF(OR(J1264="",N(T1264)&lt;=0,V1264="Oui"),"",ROUND(N(T1264)*J1264*(1-N(K1264)),2))</f>
        <v/>
      </c>
    </row>
    <row r="1265">
      <c r="A1265" s="63" t="n"/>
      <c r="B1265" s="64" t="n"/>
      <c r="C1265" s="65" t="n"/>
      <c r="D1265" s="66" t="str">
        <f>IF(C1265="","",IFERROR(INDEX(sup_name,MATCH($C1265,sup_code,0))&amp;"","Fournisseur inconnu"))</f>
        <v/>
      </c>
      <c r="E1265" s="63" t="n"/>
      <c r="F1265" s="66" t="str">
        <f>IF(E1265="","",IFERROR(INDEX(art_des,MATCH($E1265,art_ref,0))&amp;"","Article inconnu"))</f>
        <v/>
      </c>
      <c r="G1265" s="67" t="str">
        <f>IF(E1265="","",IFERROR(INDEX(art_unit,MATCH($E1265,art_ref,0))&amp;"",""))</f>
        <v/>
      </c>
      <c r="H1265" s="68" t="n"/>
      <c r="I1265" s="69" t="n"/>
      <c r="J1265" s="70" t="str">
        <f>IF(E1265="","",IF(ISNUMBER(I1265),I1265,IFERROR(IF(ISNUMBER(INDEX(art_price,MATCH($E1265,art_ref,0))),INDEX(art_price,MATCH($E1265,art_ref,0)),""),"")))</f>
        <v/>
      </c>
      <c r="K1265" s="71" t="n"/>
      <c r="L1265" s="72" t="n"/>
      <c r="M1265" s="72" t="str">
        <f>IF(E1265="","",IF(L1265&lt;&gt;"",L1265,IFERROR(IF(ISNUMBER(INDEX(art_tva,MATCH($E1265,art_ref,0))),INDEX(art_tva,MATCH($E1265,art_ref,0)),""),"")))</f>
        <v/>
      </c>
      <c r="N1265" s="70" t="str">
        <f>IF(OR(E1265="",J1265=""),"",ROUND(N(H1265)*J1265*(1-N(K1265)),2))</f>
        <v/>
      </c>
      <c r="O1265" s="70" t="str">
        <f>IF(OR(N1265="",NOT(ISNUMBER(M1265))),"",ROUND(N1265*M1265,2))</f>
        <v/>
      </c>
      <c r="P1265" s="70" t="str">
        <f>IF(N1265="","",N1265+N(O1265))</f>
        <v/>
      </c>
      <c r="Q1265" s="64" t="n"/>
      <c r="R1265" s="73" t="str">
        <f>IF(N(Q1265)&gt;0,Q1265,IF(OR(N(B1265)=0,ISNA(MATCH($C1265,sup_code,0))),"",IF(ISNUMBER(INDEX(sup_delay,MATCH($C1265,sup_code,0))),B1265+INDEX(sup_delay,MATCH($C1265,sup_code,0)),"")))</f>
        <v/>
      </c>
      <c r="S1265" s="64" t="n"/>
      <c r="T1265" s="68" t="n"/>
      <c r="U1265" s="64" t="n"/>
      <c r="V1265" s="65" t="n"/>
      <c r="W1265" s="74" t="str">
        <f>IF(AND(A1265="",E1265=""),"",IF(V1265="Oui",0,MAX(0,ROUND(N(H1265)-N(T1265),6))))</f>
        <v/>
      </c>
      <c r="X1265" s="67" t="str">
        <f>IF(AND(A1265="",E1265=""),"",IF(V1265="Oui","Annulé",IF(AND(N(H1265)&gt;0,N(T1265)&gt;=N(H1265)),"Reçu",IF(N(S1265)=0,"Brouillon",IF(AND(ISNUMBER(R1265),R1265&lt;p_today),"En retard",IF(N(T1265)&gt;0,"Partiel","Envoyé"))))))</f>
        <v/>
      </c>
      <c r="Y1265" s="75" t="str">
        <f>IF(X1265="En retard",p_today-R1265,IF(AND(X1265="Reçu",ISNUMBER(R1265)),MAX(0,N(U1265)-R1265),""))</f>
        <v/>
      </c>
      <c r="Z1265" s="67" t="str">
        <f>IF(AND(A1265="",E1265=""),"",IF(A1265="","N° de bon manquant",IF(N(B1265)=0,"Date de commande manquante",IF(C1265="","Fournisseur manquant",IF(ISNA(MATCH($C1265,sup_code,0)),"Fournisseur inconnu",IF(E1265="","Article manquant",IF(ISNA(MATCH($E1265,art_ref,0)),"Article inconnu",IF(N(H1265)&lt;=0,"Quantité invalide",IF(J1265="","Prix manquant",IF(OR(N(K1265)&lt;0,N(K1265)&gt;=1),"Remise invalide",IF(M1265="","TVA manquante",IF(ISNA(MATCH(M1265,p_tva,0)),"Taux de TVA inconnu",IF(COUNTIFS(po_num,A1265,po_sup,"&lt;&gt;"&amp;C1265)&gt;0,"Fournisseur différent sur ce bon",IF(COUNTIFS(po_num,A1265,po_date,"&lt;&gt;"&amp;B1265)&gt;0,"Date différente sur ce bon",IF(COUNTIF(po_num,A1265)&gt;25,"Plus de 25 lignes sur ce bon",IF(R1265="","Date de livraison manquante",IF(R1265&lt;B1265,"Livraison avant la commande",IF(AND(N(T1265)&gt;0,N(S1265)=0),"Date d'envoi manquante",IF(N(T1265)&gt;N(H1265),"Reçu plus que commandé",IF(AND(N(T1265)&gt;0,N(U1265)=0),"Date de réception manquante",IF(AND(N(U1265)&gt;0,U1265&lt;B1265),"Réception avant la commande","OK")))))))))))))))))))))</f>
        <v/>
      </c>
      <c r="AA1265" s="66" t="str">
        <f>IF(AND(X1265="Reçu",ISNUMBER(R1265)),IF(N(U1265)&lt;=R1265,1,0),"")</f>
        <v/>
      </c>
      <c r="AB1265" s="76" t="str">
        <f>IF(OR(X1265="Envoyé",X1265="Partiel",X1265="En retard"),IF(ISNUMBER(R1265),R1265,100000)+ROW()/100000,"")</f>
        <v/>
      </c>
      <c r="AC1265" s="66" t="str">
        <f>IF(A1265="","",IF(COUNTIF($A$6:A1265,A1265)=1,1,""))</f>
        <v/>
      </c>
      <c r="AD1265" s="66" t="str">
        <f>IF(AC1265=1,COUNT($AC$6:AC1265),"")</f>
        <v/>
      </c>
      <c r="AE1265" s="66" t="str">
        <f>IFERROR(INDEX(po_num,MATCH(1260,po_seq,0))&amp;"","")</f>
        <v/>
      </c>
      <c r="AF1265" s="66" t="str">
        <f>IF(OR(A1265="",p_po=""),"",IF(A1265&amp;""=p_po,COUNTIF($A$6:A1265,A1265),""))</f>
        <v/>
      </c>
      <c r="AG1265" s="66" t="str">
        <f>IF(OR(AB1265="",A1265=""),"",IF(COUNTIFS($A$6:A1265,A1265,$AB$6:AB1265,"&gt;0")=1,1,""))</f>
        <v/>
      </c>
      <c r="AH1265" s="70" t="str">
        <f>IF(AB1265="","",ROUND(N(W1265)*N(J1265)*(1-N(K1265)),2))</f>
        <v/>
      </c>
      <c r="AI1265" s="70" t="str">
        <f>IF(OR(J1265="",N(T1265)&lt;=0,V1265="Oui"),"",ROUND(N(T1265)*J1265*(1-N(K1265)),2))</f>
        <v/>
      </c>
    </row>
    <row r="1266">
      <c r="A1266" s="63" t="n"/>
      <c r="B1266" s="64" t="n"/>
      <c r="C1266" s="65" t="n"/>
      <c r="D1266" s="66" t="str">
        <f>IF(C1266="","",IFERROR(INDEX(sup_name,MATCH($C1266,sup_code,0))&amp;"","Fournisseur inconnu"))</f>
        <v/>
      </c>
      <c r="E1266" s="63" t="n"/>
      <c r="F1266" s="66" t="str">
        <f>IF(E1266="","",IFERROR(INDEX(art_des,MATCH($E1266,art_ref,0))&amp;"","Article inconnu"))</f>
        <v/>
      </c>
      <c r="G1266" s="67" t="str">
        <f>IF(E1266="","",IFERROR(INDEX(art_unit,MATCH($E1266,art_ref,0))&amp;"",""))</f>
        <v/>
      </c>
      <c r="H1266" s="68" t="n"/>
      <c r="I1266" s="69" t="n"/>
      <c r="J1266" s="70" t="str">
        <f>IF(E1266="","",IF(ISNUMBER(I1266),I1266,IFERROR(IF(ISNUMBER(INDEX(art_price,MATCH($E1266,art_ref,0))),INDEX(art_price,MATCH($E1266,art_ref,0)),""),"")))</f>
        <v/>
      </c>
      <c r="K1266" s="71" t="n"/>
      <c r="L1266" s="72" t="n"/>
      <c r="M1266" s="72" t="str">
        <f>IF(E1266="","",IF(L1266&lt;&gt;"",L1266,IFERROR(IF(ISNUMBER(INDEX(art_tva,MATCH($E1266,art_ref,0))),INDEX(art_tva,MATCH($E1266,art_ref,0)),""),"")))</f>
        <v/>
      </c>
      <c r="N1266" s="70" t="str">
        <f>IF(OR(E1266="",J1266=""),"",ROUND(N(H1266)*J1266*(1-N(K1266)),2))</f>
        <v/>
      </c>
      <c r="O1266" s="70" t="str">
        <f>IF(OR(N1266="",NOT(ISNUMBER(M1266))),"",ROUND(N1266*M1266,2))</f>
        <v/>
      </c>
      <c r="P1266" s="70" t="str">
        <f>IF(N1266="","",N1266+N(O1266))</f>
        <v/>
      </c>
      <c r="Q1266" s="64" t="n"/>
      <c r="R1266" s="73" t="str">
        <f>IF(N(Q1266)&gt;0,Q1266,IF(OR(N(B1266)=0,ISNA(MATCH($C1266,sup_code,0))),"",IF(ISNUMBER(INDEX(sup_delay,MATCH($C1266,sup_code,0))),B1266+INDEX(sup_delay,MATCH($C1266,sup_code,0)),"")))</f>
        <v/>
      </c>
      <c r="S1266" s="64" t="n"/>
      <c r="T1266" s="68" t="n"/>
      <c r="U1266" s="64" t="n"/>
      <c r="V1266" s="65" t="n"/>
      <c r="W1266" s="74" t="str">
        <f>IF(AND(A1266="",E1266=""),"",IF(V1266="Oui",0,MAX(0,ROUND(N(H1266)-N(T1266),6))))</f>
        <v/>
      </c>
      <c r="X1266" s="67" t="str">
        <f>IF(AND(A1266="",E1266=""),"",IF(V1266="Oui","Annulé",IF(AND(N(H1266)&gt;0,N(T1266)&gt;=N(H1266)),"Reçu",IF(N(S1266)=0,"Brouillon",IF(AND(ISNUMBER(R1266),R1266&lt;p_today),"En retard",IF(N(T1266)&gt;0,"Partiel","Envoyé"))))))</f>
        <v/>
      </c>
      <c r="Y1266" s="75" t="str">
        <f>IF(X1266="En retard",p_today-R1266,IF(AND(X1266="Reçu",ISNUMBER(R1266)),MAX(0,N(U1266)-R1266),""))</f>
        <v/>
      </c>
      <c r="Z1266" s="67" t="str">
        <f>IF(AND(A1266="",E1266=""),"",IF(A1266="","N° de bon manquant",IF(N(B1266)=0,"Date de commande manquante",IF(C1266="","Fournisseur manquant",IF(ISNA(MATCH($C1266,sup_code,0)),"Fournisseur inconnu",IF(E1266="","Article manquant",IF(ISNA(MATCH($E1266,art_ref,0)),"Article inconnu",IF(N(H1266)&lt;=0,"Quantité invalide",IF(J1266="","Prix manquant",IF(OR(N(K1266)&lt;0,N(K1266)&gt;=1),"Remise invalide",IF(M1266="","TVA manquante",IF(ISNA(MATCH(M1266,p_tva,0)),"Taux de TVA inconnu",IF(COUNTIFS(po_num,A1266,po_sup,"&lt;&gt;"&amp;C1266)&gt;0,"Fournisseur différent sur ce bon",IF(COUNTIFS(po_num,A1266,po_date,"&lt;&gt;"&amp;B1266)&gt;0,"Date différente sur ce bon",IF(COUNTIF(po_num,A1266)&gt;25,"Plus de 25 lignes sur ce bon",IF(R1266="","Date de livraison manquante",IF(R1266&lt;B1266,"Livraison avant la commande",IF(AND(N(T1266)&gt;0,N(S1266)=0),"Date d'envoi manquante",IF(N(T1266)&gt;N(H1266),"Reçu plus que commandé",IF(AND(N(T1266)&gt;0,N(U1266)=0),"Date de réception manquante",IF(AND(N(U1266)&gt;0,U1266&lt;B1266),"Réception avant la commande","OK")))))))))))))))))))))</f>
        <v/>
      </c>
      <c r="AA1266" s="66" t="str">
        <f>IF(AND(X1266="Reçu",ISNUMBER(R1266)),IF(N(U1266)&lt;=R1266,1,0),"")</f>
        <v/>
      </c>
      <c r="AB1266" s="76" t="str">
        <f>IF(OR(X1266="Envoyé",X1266="Partiel",X1266="En retard"),IF(ISNUMBER(R1266),R1266,100000)+ROW()/100000,"")</f>
        <v/>
      </c>
      <c r="AC1266" s="66" t="str">
        <f>IF(A1266="","",IF(COUNTIF($A$6:A1266,A1266)=1,1,""))</f>
        <v/>
      </c>
      <c r="AD1266" s="66" t="str">
        <f>IF(AC1266=1,COUNT($AC$6:AC1266),"")</f>
        <v/>
      </c>
      <c r="AE1266" s="66" t="str">
        <f>IFERROR(INDEX(po_num,MATCH(1261,po_seq,0))&amp;"","")</f>
        <v/>
      </c>
      <c r="AF1266" s="66" t="str">
        <f>IF(OR(A1266="",p_po=""),"",IF(A1266&amp;""=p_po,COUNTIF($A$6:A1266,A1266),""))</f>
        <v/>
      </c>
      <c r="AG1266" s="66" t="str">
        <f>IF(OR(AB1266="",A1266=""),"",IF(COUNTIFS($A$6:A1266,A1266,$AB$6:AB1266,"&gt;0")=1,1,""))</f>
        <v/>
      </c>
      <c r="AH1266" s="70" t="str">
        <f>IF(AB1266="","",ROUND(N(W1266)*N(J1266)*(1-N(K1266)),2))</f>
        <v/>
      </c>
      <c r="AI1266" s="70" t="str">
        <f>IF(OR(J1266="",N(T1266)&lt;=0,V1266="Oui"),"",ROUND(N(T1266)*J1266*(1-N(K1266)),2))</f>
        <v/>
      </c>
    </row>
    <row r="1267">
      <c r="A1267" s="63" t="n"/>
      <c r="B1267" s="64" t="n"/>
      <c r="C1267" s="65" t="n"/>
      <c r="D1267" s="66" t="str">
        <f>IF(C1267="","",IFERROR(INDEX(sup_name,MATCH($C1267,sup_code,0))&amp;"","Fournisseur inconnu"))</f>
        <v/>
      </c>
      <c r="E1267" s="63" t="n"/>
      <c r="F1267" s="66" t="str">
        <f>IF(E1267="","",IFERROR(INDEX(art_des,MATCH($E1267,art_ref,0))&amp;"","Article inconnu"))</f>
        <v/>
      </c>
      <c r="G1267" s="67" t="str">
        <f>IF(E1267="","",IFERROR(INDEX(art_unit,MATCH($E1267,art_ref,0))&amp;"",""))</f>
        <v/>
      </c>
      <c r="H1267" s="68" t="n"/>
      <c r="I1267" s="69" t="n"/>
      <c r="J1267" s="70" t="str">
        <f>IF(E1267="","",IF(ISNUMBER(I1267),I1267,IFERROR(IF(ISNUMBER(INDEX(art_price,MATCH($E1267,art_ref,0))),INDEX(art_price,MATCH($E1267,art_ref,0)),""),"")))</f>
        <v/>
      </c>
      <c r="K1267" s="71" t="n"/>
      <c r="L1267" s="72" t="n"/>
      <c r="M1267" s="72" t="str">
        <f>IF(E1267="","",IF(L1267&lt;&gt;"",L1267,IFERROR(IF(ISNUMBER(INDEX(art_tva,MATCH($E1267,art_ref,0))),INDEX(art_tva,MATCH($E1267,art_ref,0)),""),"")))</f>
        <v/>
      </c>
      <c r="N1267" s="70" t="str">
        <f>IF(OR(E1267="",J1267=""),"",ROUND(N(H1267)*J1267*(1-N(K1267)),2))</f>
        <v/>
      </c>
      <c r="O1267" s="70" t="str">
        <f>IF(OR(N1267="",NOT(ISNUMBER(M1267))),"",ROUND(N1267*M1267,2))</f>
        <v/>
      </c>
      <c r="P1267" s="70" t="str">
        <f>IF(N1267="","",N1267+N(O1267))</f>
        <v/>
      </c>
      <c r="Q1267" s="64" t="n"/>
      <c r="R1267" s="73" t="str">
        <f>IF(N(Q1267)&gt;0,Q1267,IF(OR(N(B1267)=0,ISNA(MATCH($C1267,sup_code,0))),"",IF(ISNUMBER(INDEX(sup_delay,MATCH($C1267,sup_code,0))),B1267+INDEX(sup_delay,MATCH($C1267,sup_code,0)),"")))</f>
        <v/>
      </c>
      <c r="S1267" s="64" t="n"/>
      <c r="T1267" s="68" t="n"/>
      <c r="U1267" s="64" t="n"/>
      <c r="V1267" s="65" t="n"/>
      <c r="W1267" s="74" t="str">
        <f>IF(AND(A1267="",E1267=""),"",IF(V1267="Oui",0,MAX(0,ROUND(N(H1267)-N(T1267),6))))</f>
        <v/>
      </c>
      <c r="X1267" s="67" t="str">
        <f>IF(AND(A1267="",E1267=""),"",IF(V1267="Oui","Annulé",IF(AND(N(H1267)&gt;0,N(T1267)&gt;=N(H1267)),"Reçu",IF(N(S1267)=0,"Brouillon",IF(AND(ISNUMBER(R1267),R1267&lt;p_today),"En retard",IF(N(T1267)&gt;0,"Partiel","Envoyé"))))))</f>
        <v/>
      </c>
      <c r="Y1267" s="75" t="str">
        <f>IF(X1267="En retard",p_today-R1267,IF(AND(X1267="Reçu",ISNUMBER(R1267)),MAX(0,N(U1267)-R1267),""))</f>
        <v/>
      </c>
      <c r="Z1267" s="67" t="str">
        <f>IF(AND(A1267="",E1267=""),"",IF(A1267="","N° de bon manquant",IF(N(B1267)=0,"Date de commande manquante",IF(C1267="","Fournisseur manquant",IF(ISNA(MATCH($C1267,sup_code,0)),"Fournisseur inconnu",IF(E1267="","Article manquant",IF(ISNA(MATCH($E1267,art_ref,0)),"Article inconnu",IF(N(H1267)&lt;=0,"Quantité invalide",IF(J1267="","Prix manquant",IF(OR(N(K1267)&lt;0,N(K1267)&gt;=1),"Remise invalide",IF(M1267="","TVA manquante",IF(ISNA(MATCH(M1267,p_tva,0)),"Taux de TVA inconnu",IF(COUNTIFS(po_num,A1267,po_sup,"&lt;&gt;"&amp;C1267)&gt;0,"Fournisseur différent sur ce bon",IF(COUNTIFS(po_num,A1267,po_date,"&lt;&gt;"&amp;B1267)&gt;0,"Date différente sur ce bon",IF(COUNTIF(po_num,A1267)&gt;25,"Plus de 25 lignes sur ce bon",IF(R1267="","Date de livraison manquante",IF(R1267&lt;B1267,"Livraison avant la commande",IF(AND(N(T1267)&gt;0,N(S1267)=0),"Date d'envoi manquante",IF(N(T1267)&gt;N(H1267),"Reçu plus que commandé",IF(AND(N(T1267)&gt;0,N(U1267)=0),"Date de réception manquante",IF(AND(N(U1267)&gt;0,U1267&lt;B1267),"Réception avant la commande","OK")))))))))))))))))))))</f>
        <v/>
      </c>
      <c r="AA1267" s="66" t="str">
        <f>IF(AND(X1267="Reçu",ISNUMBER(R1267)),IF(N(U1267)&lt;=R1267,1,0),"")</f>
        <v/>
      </c>
      <c r="AB1267" s="76" t="str">
        <f>IF(OR(X1267="Envoyé",X1267="Partiel",X1267="En retard"),IF(ISNUMBER(R1267),R1267,100000)+ROW()/100000,"")</f>
        <v/>
      </c>
      <c r="AC1267" s="66" t="str">
        <f>IF(A1267="","",IF(COUNTIF($A$6:A1267,A1267)=1,1,""))</f>
        <v/>
      </c>
      <c r="AD1267" s="66" t="str">
        <f>IF(AC1267=1,COUNT($AC$6:AC1267),"")</f>
        <v/>
      </c>
      <c r="AE1267" s="66" t="str">
        <f>IFERROR(INDEX(po_num,MATCH(1262,po_seq,0))&amp;"","")</f>
        <v/>
      </c>
      <c r="AF1267" s="66" t="str">
        <f>IF(OR(A1267="",p_po=""),"",IF(A1267&amp;""=p_po,COUNTIF($A$6:A1267,A1267),""))</f>
        <v/>
      </c>
      <c r="AG1267" s="66" t="str">
        <f>IF(OR(AB1267="",A1267=""),"",IF(COUNTIFS($A$6:A1267,A1267,$AB$6:AB1267,"&gt;0")=1,1,""))</f>
        <v/>
      </c>
      <c r="AH1267" s="70" t="str">
        <f>IF(AB1267="","",ROUND(N(W1267)*N(J1267)*(1-N(K1267)),2))</f>
        <v/>
      </c>
      <c r="AI1267" s="70" t="str">
        <f>IF(OR(J1267="",N(T1267)&lt;=0,V1267="Oui"),"",ROUND(N(T1267)*J1267*(1-N(K1267)),2))</f>
        <v/>
      </c>
    </row>
    <row r="1268">
      <c r="A1268" s="63" t="n"/>
      <c r="B1268" s="64" t="n"/>
      <c r="C1268" s="65" t="n"/>
      <c r="D1268" s="66" t="str">
        <f>IF(C1268="","",IFERROR(INDEX(sup_name,MATCH($C1268,sup_code,0))&amp;"","Fournisseur inconnu"))</f>
        <v/>
      </c>
      <c r="E1268" s="63" t="n"/>
      <c r="F1268" s="66" t="str">
        <f>IF(E1268="","",IFERROR(INDEX(art_des,MATCH($E1268,art_ref,0))&amp;"","Article inconnu"))</f>
        <v/>
      </c>
      <c r="G1268" s="67" t="str">
        <f>IF(E1268="","",IFERROR(INDEX(art_unit,MATCH($E1268,art_ref,0))&amp;"",""))</f>
        <v/>
      </c>
      <c r="H1268" s="68" t="n"/>
      <c r="I1268" s="69" t="n"/>
      <c r="J1268" s="70" t="str">
        <f>IF(E1268="","",IF(ISNUMBER(I1268),I1268,IFERROR(IF(ISNUMBER(INDEX(art_price,MATCH($E1268,art_ref,0))),INDEX(art_price,MATCH($E1268,art_ref,0)),""),"")))</f>
        <v/>
      </c>
      <c r="K1268" s="71" t="n"/>
      <c r="L1268" s="72" t="n"/>
      <c r="M1268" s="72" t="str">
        <f>IF(E1268="","",IF(L1268&lt;&gt;"",L1268,IFERROR(IF(ISNUMBER(INDEX(art_tva,MATCH($E1268,art_ref,0))),INDEX(art_tva,MATCH($E1268,art_ref,0)),""),"")))</f>
        <v/>
      </c>
      <c r="N1268" s="70" t="str">
        <f>IF(OR(E1268="",J1268=""),"",ROUND(N(H1268)*J1268*(1-N(K1268)),2))</f>
        <v/>
      </c>
      <c r="O1268" s="70" t="str">
        <f>IF(OR(N1268="",NOT(ISNUMBER(M1268))),"",ROUND(N1268*M1268,2))</f>
        <v/>
      </c>
      <c r="P1268" s="70" t="str">
        <f>IF(N1268="","",N1268+N(O1268))</f>
        <v/>
      </c>
      <c r="Q1268" s="64" t="n"/>
      <c r="R1268" s="73" t="str">
        <f>IF(N(Q1268)&gt;0,Q1268,IF(OR(N(B1268)=0,ISNA(MATCH($C1268,sup_code,0))),"",IF(ISNUMBER(INDEX(sup_delay,MATCH($C1268,sup_code,0))),B1268+INDEX(sup_delay,MATCH($C1268,sup_code,0)),"")))</f>
        <v/>
      </c>
      <c r="S1268" s="64" t="n"/>
      <c r="T1268" s="68" t="n"/>
      <c r="U1268" s="64" t="n"/>
      <c r="V1268" s="65" t="n"/>
      <c r="W1268" s="74" t="str">
        <f>IF(AND(A1268="",E1268=""),"",IF(V1268="Oui",0,MAX(0,ROUND(N(H1268)-N(T1268),6))))</f>
        <v/>
      </c>
      <c r="X1268" s="67" t="str">
        <f>IF(AND(A1268="",E1268=""),"",IF(V1268="Oui","Annulé",IF(AND(N(H1268)&gt;0,N(T1268)&gt;=N(H1268)),"Reçu",IF(N(S1268)=0,"Brouillon",IF(AND(ISNUMBER(R1268),R1268&lt;p_today),"En retard",IF(N(T1268)&gt;0,"Partiel","Envoyé"))))))</f>
        <v/>
      </c>
      <c r="Y1268" s="75" t="str">
        <f>IF(X1268="En retard",p_today-R1268,IF(AND(X1268="Reçu",ISNUMBER(R1268)),MAX(0,N(U1268)-R1268),""))</f>
        <v/>
      </c>
      <c r="Z1268" s="67" t="str">
        <f>IF(AND(A1268="",E1268=""),"",IF(A1268="","N° de bon manquant",IF(N(B1268)=0,"Date de commande manquante",IF(C1268="","Fournisseur manquant",IF(ISNA(MATCH($C1268,sup_code,0)),"Fournisseur inconnu",IF(E1268="","Article manquant",IF(ISNA(MATCH($E1268,art_ref,0)),"Article inconnu",IF(N(H1268)&lt;=0,"Quantité invalide",IF(J1268="","Prix manquant",IF(OR(N(K1268)&lt;0,N(K1268)&gt;=1),"Remise invalide",IF(M1268="","TVA manquante",IF(ISNA(MATCH(M1268,p_tva,0)),"Taux de TVA inconnu",IF(COUNTIFS(po_num,A1268,po_sup,"&lt;&gt;"&amp;C1268)&gt;0,"Fournisseur différent sur ce bon",IF(COUNTIFS(po_num,A1268,po_date,"&lt;&gt;"&amp;B1268)&gt;0,"Date différente sur ce bon",IF(COUNTIF(po_num,A1268)&gt;25,"Plus de 25 lignes sur ce bon",IF(R1268="","Date de livraison manquante",IF(R1268&lt;B1268,"Livraison avant la commande",IF(AND(N(T1268)&gt;0,N(S1268)=0),"Date d'envoi manquante",IF(N(T1268)&gt;N(H1268),"Reçu plus que commandé",IF(AND(N(T1268)&gt;0,N(U1268)=0),"Date de réception manquante",IF(AND(N(U1268)&gt;0,U1268&lt;B1268),"Réception avant la commande","OK")))))))))))))))))))))</f>
        <v/>
      </c>
      <c r="AA1268" s="66" t="str">
        <f>IF(AND(X1268="Reçu",ISNUMBER(R1268)),IF(N(U1268)&lt;=R1268,1,0),"")</f>
        <v/>
      </c>
      <c r="AB1268" s="76" t="str">
        <f>IF(OR(X1268="Envoyé",X1268="Partiel",X1268="En retard"),IF(ISNUMBER(R1268),R1268,100000)+ROW()/100000,"")</f>
        <v/>
      </c>
      <c r="AC1268" s="66" t="str">
        <f>IF(A1268="","",IF(COUNTIF($A$6:A1268,A1268)=1,1,""))</f>
        <v/>
      </c>
      <c r="AD1268" s="66" t="str">
        <f>IF(AC1268=1,COUNT($AC$6:AC1268),"")</f>
        <v/>
      </c>
      <c r="AE1268" s="66" t="str">
        <f>IFERROR(INDEX(po_num,MATCH(1263,po_seq,0))&amp;"","")</f>
        <v/>
      </c>
      <c r="AF1268" s="66" t="str">
        <f>IF(OR(A1268="",p_po=""),"",IF(A1268&amp;""=p_po,COUNTIF($A$6:A1268,A1268),""))</f>
        <v/>
      </c>
      <c r="AG1268" s="66" t="str">
        <f>IF(OR(AB1268="",A1268=""),"",IF(COUNTIFS($A$6:A1268,A1268,$AB$6:AB1268,"&gt;0")=1,1,""))</f>
        <v/>
      </c>
      <c r="AH1268" s="70" t="str">
        <f>IF(AB1268="","",ROUND(N(W1268)*N(J1268)*(1-N(K1268)),2))</f>
        <v/>
      </c>
      <c r="AI1268" s="70" t="str">
        <f>IF(OR(J1268="",N(T1268)&lt;=0,V1268="Oui"),"",ROUND(N(T1268)*J1268*(1-N(K1268)),2))</f>
        <v/>
      </c>
    </row>
    <row r="1269">
      <c r="A1269" s="63" t="n"/>
      <c r="B1269" s="64" t="n"/>
      <c r="C1269" s="65" t="n"/>
      <c r="D1269" s="66" t="str">
        <f>IF(C1269="","",IFERROR(INDEX(sup_name,MATCH($C1269,sup_code,0))&amp;"","Fournisseur inconnu"))</f>
        <v/>
      </c>
      <c r="E1269" s="63" t="n"/>
      <c r="F1269" s="66" t="str">
        <f>IF(E1269="","",IFERROR(INDEX(art_des,MATCH($E1269,art_ref,0))&amp;"","Article inconnu"))</f>
        <v/>
      </c>
      <c r="G1269" s="67" t="str">
        <f>IF(E1269="","",IFERROR(INDEX(art_unit,MATCH($E1269,art_ref,0))&amp;"",""))</f>
        <v/>
      </c>
      <c r="H1269" s="68" t="n"/>
      <c r="I1269" s="69" t="n"/>
      <c r="J1269" s="70" t="str">
        <f>IF(E1269="","",IF(ISNUMBER(I1269),I1269,IFERROR(IF(ISNUMBER(INDEX(art_price,MATCH($E1269,art_ref,0))),INDEX(art_price,MATCH($E1269,art_ref,0)),""),"")))</f>
        <v/>
      </c>
      <c r="K1269" s="71" t="n"/>
      <c r="L1269" s="72" t="n"/>
      <c r="M1269" s="72" t="str">
        <f>IF(E1269="","",IF(L1269&lt;&gt;"",L1269,IFERROR(IF(ISNUMBER(INDEX(art_tva,MATCH($E1269,art_ref,0))),INDEX(art_tva,MATCH($E1269,art_ref,0)),""),"")))</f>
        <v/>
      </c>
      <c r="N1269" s="70" t="str">
        <f>IF(OR(E1269="",J1269=""),"",ROUND(N(H1269)*J1269*(1-N(K1269)),2))</f>
        <v/>
      </c>
      <c r="O1269" s="70" t="str">
        <f>IF(OR(N1269="",NOT(ISNUMBER(M1269))),"",ROUND(N1269*M1269,2))</f>
        <v/>
      </c>
      <c r="P1269" s="70" t="str">
        <f>IF(N1269="","",N1269+N(O1269))</f>
        <v/>
      </c>
      <c r="Q1269" s="64" t="n"/>
      <c r="R1269" s="73" t="str">
        <f>IF(N(Q1269)&gt;0,Q1269,IF(OR(N(B1269)=0,ISNA(MATCH($C1269,sup_code,0))),"",IF(ISNUMBER(INDEX(sup_delay,MATCH($C1269,sup_code,0))),B1269+INDEX(sup_delay,MATCH($C1269,sup_code,0)),"")))</f>
        <v/>
      </c>
      <c r="S1269" s="64" t="n"/>
      <c r="T1269" s="68" t="n"/>
      <c r="U1269" s="64" t="n"/>
      <c r="V1269" s="65" t="n"/>
      <c r="W1269" s="74" t="str">
        <f>IF(AND(A1269="",E1269=""),"",IF(V1269="Oui",0,MAX(0,ROUND(N(H1269)-N(T1269),6))))</f>
        <v/>
      </c>
      <c r="X1269" s="67" t="str">
        <f>IF(AND(A1269="",E1269=""),"",IF(V1269="Oui","Annulé",IF(AND(N(H1269)&gt;0,N(T1269)&gt;=N(H1269)),"Reçu",IF(N(S1269)=0,"Brouillon",IF(AND(ISNUMBER(R1269),R1269&lt;p_today),"En retard",IF(N(T1269)&gt;0,"Partiel","Envoyé"))))))</f>
        <v/>
      </c>
      <c r="Y1269" s="75" t="str">
        <f>IF(X1269="En retard",p_today-R1269,IF(AND(X1269="Reçu",ISNUMBER(R1269)),MAX(0,N(U1269)-R1269),""))</f>
        <v/>
      </c>
      <c r="Z1269" s="67" t="str">
        <f>IF(AND(A1269="",E1269=""),"",IF(A1269="","N° de bon manquant",IF(N(B1269)=0,"Date de commande manquante",IF(C1269="","Fournisseur manquant",IF(ISNA(MATCH($C1269,sup_code,0)),"Fournisseur inconnu",IF(E1269="","Article manquant",IF(ISNA(MATCH($E1269,art_ref,0)),"Article inconnu",IF(N(H1269)&lt;=0,"Quantité invalide",IF(J1269="","Prix manquant",IF(OR(N(K1269)&lt;0,N(K1269)&gt;=1),"Remise invalide",IF(M1269="","TVA manquante",IF(ISNA(MATCH(M1269,p_tva,0)),"Taux de TVA inconnu",IF(COUNTIFS(po_num,A1269,po_sup,"&lt;&gt;"&amp;C1269)&gt;0,"Fournisseur différent sur ce bon",IF(COUNTIFS(po_num,A1269,po_date,"&lt;&gt;"&amp;B1269)&gt;0,"Date différente sur ce bon",IF(COUNTIF(po_num,A1269)&gt;25,"Plus de 25 lignes sur ce bon",IF(R1269="","Date de livraison manquante",IF(R1269&lt;B1269,"Livraison avant la commande",IF(AND(N(T1269)&gt;0,N(S1269)=0),"Date d'envoi manquante",IF(N(T1269)&gt;N(H1269),"Reçu plus que commandé",IF(AND(N(T1269)&gt;0,N(U1269)=0),"Date de réception manquante",IF(AND(N(U1269)&gt;0,U1269&lt;B1269),"Réception avant la commande","OK")))))))))))))))))))))</f>
        <v/>
      </c>
      <c r="AA1269" s="66" t="str">
        <f>IF(AND(X1269="Reçu",ISNUMBER(R1269)),IF(N(U1269)&lt;=R1269,1,0),"")</f>
        <v/>
      </c>
      <c r="AB1269" s="76" t="str">
        <f>IF(OR(X1269="Envoyé",X1269="Partiel",X1269="En retard"),IF(ISNUMBER(R1269),R1269,100000)+ROW()/100000,"")</f>
        <v/>
      </c>
      <c r="AC1269" s="66" t="str">
        <f>IF(A1269="","",IF(COUNTIF($A$6:A1269,A1269)=1,1,""))</f>
        <v/>
      </c>
      <c r="AD1269" s="66" t="str">
        <f>IF(AC1269=1,COUNT($AC$6:AC1269),"")</f>
        <v/>
      </c>
      <c r="AE1269" s="66" t="str">
        <f>IFERROR(INDEX(po_num,MATCH(1264,po_seq,0))&amp;"","")</f>
        <v/>
      </c>
      <c r="AF1269" s="66" t="str">
        <f>IF(OR(A1269="",p_po=""),"",IF(A1269&amp;""=p_po,COUNTIF($A$6:A1269,A1269),""))</f>
        <v/>
      </c>
      <c r="AG1269" s="66" t="str">
        <f>IF(OR(AB1269="",A1269=""),"",IF(COUNTIFS($A$6:A1269,A1269,$AB$6:AB1269,"&gt;0")=1,1,""))</f>
        <v/>
      </c>
      <c r="AH1269" s="70" t="str">
        <f>IF(AB1269="","",ROUND(N(W1269)*N(J1269)*(1-N(K1269)),2))</f>
        <v/>
      </c>
      <c r="AI1269" s="70" t="str">
        <f>IF(OR(J1269="",N(T1269)&lt;=0,V1269="Oui"),"",ROUND(N(T1269)*J1269*(1-N(K1269)),2))</f>
        <v/>
      </c>
    </row>
    <row r="1270">
      <c r="A1270" s="63" t="n"/>
      <c r="B1270" s="64" t="n"/>
      <c r="C1270" s="65" t="n"/>
      <c r="D1270" s="66" t="str">
        <f>IF(C1270="","",IFERROR(INDEX(sup_name,MATCH($C1270,sup_code,0))&amp;"","Fournisseur inconnu"))</f>
        <v/>
      </c>
      <c r="E1270" s="63" t="n"/>
      <c r="F1270" s="66" t="str">
        <f>IF(E1270="","",IFERROR(INDEX(art_des,MATCH($E1270,art_ref,0))&amp;"","Article inconnu"))</f>
        <v/>
      </c>
      <c r="G1270" s="67" t="str">
        <f>IF(E1270="","",IFERROR(INDEX(art_unit,MATCH($E1270,art_ref,0))&amp;"",""))</f>
        <v/>
      </c>
      <c r="H1270" s="68" t="n"/>
      <c r="I1270" s="69" t="n"/>
      <c r="J1270" s="70" t="str">
        <f>IF(E1270="","",IF(ISNUMBER(I1270),I1270,IFERROR(IF(ISNUMBER(INDEX(art_price,MATCH($E1270,art_ref,0))),INDEX(art_price,MATCH($E1270,art_ref,0)),""),"")))</f>
        <v/>
      </c>
      <c r="K1270" s="71" t="n"/>
      <c r="L1270" s="72" t="n"/>
      <c r="M1270" s="72" t="str">
        <f>IF(E1270="","",IF(L1270&lt;&gt;"",L1270,IFERROR(IF(ISNUMBER(INDEX(art_tva,MATCH($E1270,art_ref,0))),INDEX(art_tva,MATCH($E1270,art_ref,0)),""),"")))</f>
        <v/>
      </c>
      <c r="N1270" s="70" t="str">
        <f>IF(OR(E1270="",J1270=""),"",ROUND(N(H1270)*J1270*(1-N(K1270)),2))</f>
        <v/>
      </c>
      <c r="O1270" s="70" t="str">
        <f>IF(OR(N1270="",NOT(ISNUMBER(M1270))),"",ROUND(N1270*M1270,2))</f>
        <v/>
      </c>
      <c r="P1270" s="70" t="str">
        <f>IF(N1270="","",N1270+N(O1270))</f>
        <v/>
      </c>
      <c r="Q1270" s="64" t="n"/>
      <c r="R1270" s="73" t="str">
        <f>IF(N(Q1270)&gt;0,Q1270,IF(OR(N(B1270)=0,ISNA(MATCH($C1270,sup_code,0))),"",IF(ISNUMBER(INDEX(sup_delay,MATCH($C1270,sup_code,0))),B1270+INDEX(sup_delay,MATCH($C1270,sup_code,0)),"")))</f>
        <v/>
      </c>
      <c r="S1270" s="64" t="n"/>
      <c r="T1270" s="68" t="n"/>
      <c r="U1270" s="64" t="n"/>
      <c r="V1270" s="65" t="n"/>
      <c r="W1270" s="74" t="str">
        <f>IF(AND(A1270="",E1270=""),"",IF(V1270="Oui",0,MAX(0,ROUND(N(H1270)-N(T1270),6))))</f>
        <v/>
      </c>
      <c r="X1270" s="67" t="str">
        <f>IF(AND(A1270="",E1270=""),"",IF(V1270="Oui","Annulé",IF(AND(N(H1270)&gt;0,N(T1270)&gt;=N(H1270)),"Reçu",IF(N(S1270)=0,"Brouillon",IF(AND(ISNUMBER(R1270),R1270&lt;p_today),"En retard",IF(N(T1270)&gt;0,"Partiel","Envoyé"))))))</f>
        <v/>
      </c>
      <c r="Y1270" s="75" t="str">
        <f>IF(X1270="En retard",p_today-R1270,IF(AND(X1270="Reçu",ISNUMBER(R1270)),MAX(0,N(U1270)-R1270),""))</f>
        <v/>
      </c>
      <c r="Z1270" s="67" t="str">
        <f>IF(AND(A1270="",E1270=""),"",IF(A1270="","N° de bon manquant",IF(N(B1270)=0,"Date de commande manquante",IF(C1270="","Fournisseur manquant",IF(ISNA(MATCH($C1270,sup_code,0)),"Fournisseur inconnu",IF(E1270="","Article manquant",IF(ISNA(MATCH($E1270,art_ref,0)),"Article inconnu",IF(N(H1270)&lt;=0,"Quantité invalide",IF(J1270="","Prix manquant",IF(OR(N(K1270)&lt;0,N(K1270)&gt;=1),"Remise invalide",IF(M1270="","TVA manquante",IF(ISNA(MATCH(M1270,p_tva,0)),"Taux de TVA inconnu",IF(COUNTIFS(po_num,A1270,po_sup,"&lt;&gt;"&amp;C1270)&gt;0,"Fournisseur différent sur ce bon",IF(COUNTIFS(po_num,A1270,po_date,"&lt;&gt;"&amp;B1270)&gt;0,"Date différente sur ce bon",IF(COUNTIF(po_num,A1270)&gt;25,"Plus de 25 lignes sur ce bon",IF(R1270="","Date de livraison manquante",IF(R1270&lt;B1270,"Livraison avant la commande",IF(AND(N(T1270)&gt;0,N(S1270)=0),"Date d'envoi manquante",IF(N(T1270)&gt;N(H1270),"Reçu plus que commandé",IF(AND(N(T1270)&gt;0,N(U1270)=0),"Date de réception manquante",IF(AND(N(U1270)&gt;0,U1270&lt;B1270),"Réception avant la commande","OK")))))))))))))))))))))</f>
        <v/>
      </c>
      <c r="AA1270" s="66" t="str">
        <f>IF(AND(X1270="Reçu",ISNUMBER(R1270)),IF(N(U1270)&lt;=R1270,1,0),"")</f>
        <v/>
      </c>
      <c r="AB1270" s="76" t="str">
        <f>IF(OR(X1270="Envoyé",X1270="Partiel",X1270="En retard"),IF(ISNUMBER(R1270),R1270,100000)+ROW()/100000,"")</f>
        <v/>
      </c>
      <c r="AC1270" s="66" t="str">
        <f>IF(A1270="","",IF(COUNTIF($A$6:A1270,A1270)=1,1,""))</f>
        <v/>
      </c>
      <c r="AD1270" s="66" t="str">
        <f>IF(AC1270=1,COUNT($AC$6:AC1270),"")</f>
        <v/>
      </c>
      <c r="AE1270" s="66" t="str">
        <f>IFERROR(INDEX(po_num,MATCH(1265,po_seq,0))&amp;"","")</f>
        <v/>
      </c>
      <c r="AF1270" s="66" t="str">
        <f>IF(OR(A1270="",p_po=""),"",IF(A1270&amp;""=p_po,COUNTIF($A$6:A1270,A1270),""))</f>
        <v/>
      </c>
      <c r="AG1270" s="66" t="str">
        <f>IF(OR(AB1270="",A1270=""),"",IF(COUNTIFS($A$6:A1270,A1270,$AB$6:AB1270,"&gt;0")=1,1,""))</f>
        <v/>
      </c>
      <c r="AH1270" s="70" t="str">
        <f>IF(AB1270="","",ROUND(N(W1270)*N(J1270)*(1-N(K1270)),2))</f>
        <v/>
      </c>
      <c r="AI1270" s="70" t="str">
        <f>IF(OR(J1270="",N(T1270)&lt;=0,V1270="Oui"),"",ROUND(N(T1270)*J1270*(1-N(K1270)),2))</f>
        <v/>
      </c>
    </row>
    <row r="1271">
      <c r="A1271" s="63" t="n"/>
      <c r="B1271" s="64" t="n"/>
      <c r="C1271" s="65" t="n"/>
      <c r="D1271" s="66" t="str">
        <f>IF(C1271="","",IFERROR(INDEX(sup_name,MATCH($C1271,sup_code,0))&amp;"","Fournisseur inconnu"))</f>
        <v/>
      </c>
      <c r="E1271" s="63" t="n"/>
      <c r="F1271" s="66" t="str">
        <f>IF(E1271="","",IFERROR(INDEX(art_des,MATCH($E1271,art_ref,0))&amp;"","Article inconnu"))</f>
        <v/>
      </c>
      <c r="G1271" s="67" t="str">
        <f>IF(E1271="","",IFERROR(INDEX(art_unit,MATCH($E1271,art_ref,0))&amp;"",""))</f>
        <v/>
      </c>
      <c r="H1271" s="68" t="n"/>
      <c r="I1271" s="69" t="n"/>
      <c r="J1271" s="70" t="str">
        <f>IF(E1271="","",IF(ISNUMBER(I1271),I1271,IFERROR(IF(ISNUMBER(INDEX(art_price,MATCH($E1271,art_ref,0))),INDEX(art_price,MATCH($E1271,art_ref,0)),""),"")))</f>
        <v/>
      </c>
      <c r="K1271" s="71" t="n"/>
      <c r="L1271" s="72" t="n"/>
      <c r="M1271" s="72" t="str">
        <f>IF(E1271="","",IF(L1271&lt;&gt;"",L1271,IFERROR(IF(ISNUMBER(INDEX(art_tva,MATCH($E1271,art_ref,0))),INDEX(art_tva,MATCH($E1271,art_ref,0)),""),"")))</f>
        <v/>
      </c>
      <c r="N1271" s="70" t="str">
        <f>IF(OR(E1271="",J1271=""),"",ROUND(N(H1271)*J1271*(1-N(K1271)),2))</f>
        <v/>
      </c>
      <c r="O1271" s="70" t="str">
        <f>IF(OR(N1271="",NOT(ISNUMBER(M1271))),"",ROUND(N1271*M1271,2))</f>
        <v/>
      </c>
      <c r="P1271" s="70" t="str">
        <f>IF(N1271="","",N1271+N(O1271))</f>
        <v/>
      </c>
      <c r="Q1271" s="64" t="n"/>
      <c r="R1271" s="73" t="str">
        <f>IF(N(Q1271)&gt;0,Q1271,IF(OR(N(B1271)=0,ISNA(MATCH($C1271,sup_code,0))),"",IF(ISNUMBER(INDEX(sup_delay,MATCH($C1271,sup_code,0))),B1271+INDEX(sup_delay,MATCH($C1271,sup_code,0)),"")))</f>
        <v/>
      </c>
      <c r="S1271" s="64" t="n"/>
      <c r="T1271" s="68" t="n"/>
      <c r="U1271" s="64" t="n"/>
      <c r="V1271" s="65" t="n"/>
      <c r="W1271" s="74" t="str">
        <f>IF(AND(A1271="",E1271=""),"",IF(V1271="Oui",0,MAX(0,ROUND(N(H1271)-N(T1271),6))))</f>
        <v/>
      </c>
      <c r="X1271" s="67" t="str">
        <f>IF(AND(A1271="",E1271=""),"",IF(V1271="Oui","Annulé",IF(AND(N(H1271)&gt;0,N(T1271)&gt;=N(H1271)),"Reçu",IF(N(S1271)=0,"Brouillon",IF(AND(ISNUMBER(R1271),R1271&lt;p_today),"En retard",IF(N(T1271)&gt;0,"Partiel","Envoyé"))))))</f>
        <v/>
      </c>
      <c r="Y1271" s="75" t="str">
        <f>IF(X1271="En retard",p_today-R1271,IF(AND(X1271="Reçu",ISNUMBER(R1271)),MAX(0,N(U1271)-R1271),""))</f>
        <v/>
      </c>
      <c r="Z1271" s="67" t="str">
        <f>IF(AND(A1271="",E1271=""),"",IF(A1271="","N° de bon manquant",IF(N(B1271)=0,"Date de commande manquante",IF(C1271="","Fournisseur manquant",IF(ISNA(MATCH($C1271,sup_code,0)),"Fournisseur inconnu",IF(E1271="","Article manquant",IF(ISNA(MATCH($E1271,art_ref,0)),"Article inconnu",IF(N(H1271)&lt;=0,"Quantité invalide",IF(J1271="","Prix manquant",IF(OR(N(K1271)&lt;0,N(K1271)&gt;=1),"Remise invalide",IF(M1271="","TVA manquante",IF(ISNA(MATCH(M1271,p_tva,0)),"Taux de TVA inconnu",IF(COUNTIFS(po_num,A1271,po_sup,"&lt;&gt;"&amp;C1271)&gt;0,"Fournisseur différent sur ce bon",IF(COUNTIFS(po_num,A1271,po_date,"&lt;&gt;"&amp;B1271)&gt;0,"Date différente sur ce bon",IF(COUNTIF(po_num,A1271)&gt;25,"Plus de 25 lignes sur ce bon",IF(R1271="","Date de livraison manquante",IF(R1271&lt;B1271,"Livraison avant la commande",IF(AND(N(T1271)&gt;0,N(S1271)=0),"Date d'envoi manquante",IF(N(T1271)&gt;N(H1271),"Reçu plus que commandé",IF(AND(N(T1271)&gt;0,N(U1271)=0),"Date de réception manquante",IF(AND(N(U1271)&gt;0,U1271&lt;B1271),"Réception avant la commande","OK")))))))))))))))))))))</f>
        <v/>
      </c>
      <c r="AA1271" s="66" t="str">
        <f>IF(AND(X1271="Reçu",ISNUMBER(R1271)),IF(N(U1271)&lt;=R1271,1,0),"")</f>
        <v/>
      </c>
      <c r="AB1271" s="76" t="str">
        <f>IF(OR(X1271="Envoyé",X1271="Partiel",X1271="En retard"),IF(ISNUMBER(R1271),R1271,100000)+ROW()/100000,"")</f>
        <v/>
      </c>
      <c r="AC1271" s="66" t="str">
        <f>IF(A1271="","",IF(COUNTIF($A$6:A1271,A1271)=1,1,""))</f>
        <v/>
      </c>
      <c r="AD1271" s="66" t="str">
        <f>IF(AC1271=1,COUNT($AC$6:AC1271),"")</f>
        <v/>
      </c>
      <c r="AE1271" s="66" t="str">
        <f>IFERROR(INDEX(po_num,MATCH(1266,po_seq,0))&amp;"","")</f>
        <v/>
      </c>
      <c r="AF1271" s="66" t="str">
        <f>IF(OR(A1271="",p_po=""),"",IF(A1271&amp;""=p_po,COUNTIF($A$6:A1271,A1271),""))</f>
        <v/>
      </c>
      <c r="AG1271" s="66" t="str">
        <f>IF(OR(AB1271="",A1271=""),"",IF(COUNTIFS($A$6:A1271,A1271,$AB$6:AB1271,"&gt;0")=1,1,""))</f>
        <v/>
      </c>
      <c r="AH1271" s="70" t="str">
        <f>IF(AB1271="","",ROUND(N(W1271)*N(J1271)*(1-N(K1271)),2))</f>
        <v/>
      </c>
      <c r="AI1271" s="70" t="str">
        <f>IF(OR(J1271="",N(T1271)&lt;=0,V1271="Oui"),"",ROUND(N(T1271)*J1271*(1-N(K1271)),2))</f>
        <v/>
      </c>
    </row>
    <row r="1272">
      <c r="A1272" s="63" t="n"/>
      <c r="B1272" s="64" t="n"/>
      <c r="C1272" s="65" t="n"/>
      <c r="D1272" s="66" t="str">
        <f>IF(C1272="","",IFERROR(INDEX(sup_name,MATCH($C1272,sup_code,0))&amp;"","Fournisseur inconnu"))</f>
        <v/>
      </c>
      <c r="E1272" s="63" t="n"/>
      <c r="F1272" s="66" t="str">
        <f>IF(E1272="","",IFERROR(INDEX(art_des,MATCH($E1272,art_ref,0))&amp;"","Article inconnu"))</f>
        <v/>
      </c>
      <c r="G1272" s="67" t="str">
        <f>IF(E1272="","",IFERROR(INDEX(art_unit,MATCH($E1272,art_ref,0))&amp;"",""))</f>
        <v/>
      </c>
      <c r="H1272" s="68" t="n"/>
      <c r="I1272" s="69" t="n"/>
      <c r="J1272" s="70" t="str">
        <f>IF(E1272="","",IF(ISNUMBER(I1272),I1272,IFERROR(IF(ISNUMBER(INDEX(art_price,MATCH($E1272,art_ref,0))),INDEX(art_price,MATCH($E1272,art_ref,0)),""),"")))</f>
        <v/>
      </c>
      <c r="K1272" s="71" t="n"/>
      <c r="L1272" s="72" t="n"/>
      <c r="M1272" s="72" t="str">
        <f>IF(E1272="","",IF(L1272&lt;&gt;"",L1272,IFERROR(IF(ISNUMBER(INDEX(art_tva,MATCH($E1272,art_ref,0))),INDEX(art_tva,MATCH($E1272,art_ref,0)),""),"")))</f>
        <v/>
      </c>
      <c r="N1272" s="70" t="str">
        <f>IF(OR(E1272="",J1272=""),"",ROUND(N(H1272)*J1272*(1-N(K1272)),2))</f>
        <v/>
      </c>
      <c r="O1272" s="70" t="str">
        <f>IF(OR(N1272="",NOT(ISNUMBER(M1272))),"",ROUND(N1272*M1272,2))</f>
        <v/>
      </c>
      <c r="P1272" s="70" t="str">
        <f>IF(N1272="","",N1272+N(O1272))</f>
        <v/>
      </c>
      <c r="Q1272" s="64" t="n"/>
      <c r="R1272" s="73" t="str">
        <f>IF(N(Q1272)&gt;0,Q1272,IF(OR(N(B1272)=0,ISNA(MATCH($C1272,sup_code,0))),"",IF(ISNUMBER(INDEX(sup_delay,MATCH($C1272,sup_code,0))),B1272+INDEX(sup_delay,MATCH($C1272,sup_code,0)),"")))</f>
        <v/>
      </c>
      <c r="S1272" s="64" t="n"/>
      <c r="T1272" s="68" t="n"/>
      <c r="U1272" s="64" t="n"/>
      <c r="V1272" s="65" t="n"/>
      <c r="W1272" s="74" t="str">
        <f>IF(AND(A1272="",E1272=""),"",IF(V1272="Oui",0,MAX(0,ROUND(N(H1272)-N(T1272),6))))</f>
        <v/>
      </c>
      <c r="X1272" s="67" t="str">
        <f>IF(AND(A1272="",E1272=""),"",IF(V1272="Oui","Annulé",IF(AND(N(H1272)&gt;0,N(T1272)&gt;=N(H1272)),"Reçu",IF(N(S1272)=0,"Brouillon",IF(AND(ISNUMBER(R1272),R1272&lt;p_today),"En retard",IF(N(T1272)&gt;0,"Partiel","Envoyé"))))))</f>
        <v/>
      </c>
      <c r="Y1272" s="75" t="str">
        <f>IF(X1272="En retard",p_today-R1272,IF(AND(X1272="Reçu",ISNUMBER(R1272)),MAX(0,N(U1272)-R1272),""))</f>
        <v/>
      </c>
      <c r="Z1272" s="67" t="str">
        <f>IF(AND(A1272="",E1272=""),"",IF(A1272="","N° de bon manquant",IF(N(B1272)=0,"Date de commande manquante",IF(C1272="","Fournisseur manquant",IF(ISNA(MATCH($C1272,sup_code,0)),"Fournisseur inconnu",IF(E1272="","Article manquant",IF(ISNA(MATCH($E1272,art_ref,0)),"Article inconnu",IF(N(H1272)&lt;=0,"Quantité invalide",IF(J1272="","Prix manquant",IF(OR(N(K1272)&lt;0,N(K1272)&gt;=1),"Remise invalide",IF(M1272="","TVA manquante",IF(ISNA(MATCH(M1272,p_tva,0)),"Taux de TVA inconnu",IF(COUNTIFS(po_num,A1272,po_sup,"&lt;&gt;"&amp;C1272)&gt;0,"Fournisseur différent sur ce bon",IF(COUNTIFS(po_num,A1272,po_date,"&lt;&gt;"&amp;B1272)&gt;0,"Date différente sur ce bon",IF(COUNTIF(po_num,A1272)&gt;25,"Plus de 25 lignes sur ce bon",IF(R1272="","Date de livraison manquante",IF(R1272&lt;B1272,"Livraison avant la commande",IF(AND(N(T1272)&gt;0,N(S1272)=0),"Date d'envoi manquante",IF(N(T1272)&gt;N(H1272),"Reçu plus que commandé",IF(AND(N(T1272)&gt;0,N(U1272)=0),"Date de réception manquante",IF(AND(N(U1272)&gt;0,U1272&lt;B1272),"Réception avant la commande","OK")))))))))))))))))))))</f>
        <v/>
      </c>
      <c r="AA1272" s="66" t="str">
        <f>IF(AND(X1272="Reçu",ISNUMBER(R1272)),IF(N(U1272)&lt;=R1272,1,0),"")</f>
        <v/>
      </c>
      <c r="AB1272" s="76" t="str">
        <f>IF(OR(X1272="Envoyé",X1272="Partiel",X1272="En retard"),IF(ISNUMBER(R1272),R1272,100000)+ROW()/100000,"")</f>
        <v/>
      </c>
      <c r="AC1272" s="66" t="str">
        <f>IF(A1272="","",IF(COUNTIF($A$6:A1272,A1272)=1,1,""))</f>
        <v/>
      </c>
      <c r="AD1272" s="66" t="str">
        <f>IF(AC1272=1,COUNT($AC$6:AC1272),"")</f>
        <v/>
      </c>
      <c r="AE1272" s="66" t="str">
        <f>IFERROR(INDEX(po_num,MATCH(1267,po_seq,0))&amp;"","")</f>
        <v/>
      </c>
      <c r="AF1272" s="66" t="str">
        <f>IF(OR(A1272="",p_po=""),"",IF(A1272&amp;""=p_po,COUNTIF($A$6:A1272,A1272),""))</f>
        <v/>
      </c>
      <c r="AG1272" s="66" t="str">
        <f>IF(OR(AB1272="",A1272=""),"",IF(COUNTIFS($A$6:A1272,A1272,$AB$6:AB1272,"&gt;0")=1,1,""))</f>
        <v/>
      </c>
      <c r="AH1272" s="70" t="str">
        <f>IF(AB1272="","",ROUND(N(W1272)*N(J1272)*(1-N(K1272)),2))</f>
        <v/>
      </c>
      <c r="AI1272" s="70" t="str">
        <f>IF(OR(J1272="",N(T1272)&lt;=0,V1272="Oui"),"",ROUND(N(T1272)*J1272*(1-N(K1272)),2))</f>
        <v/>
      </c>
    </row>
    <row r="1273">
      <c r="A1273" s="63" t="n"/>
      <c r="B1273" s="64" t="n"/>
      <c r="C1273" s="65" t="n"/>
      <c r="D1273" s="66" t="str">
        <f>IF(C1273="","",IFERROR(INDEX(sup_name,MATCH($C1273,sup_code,0))&amp;"","Fournisseur inconnu"))</f>
        <v/>
      </c>
      <c r="E1273" s="63" t="n"/>
      <c r="F1273" s="66" t="str">
        <f>IF(E1273="","",IFERROR(INDEX(art_des,MATCH($E1273,art_ref,0))&amp;"","Article inconnu"))</f>
        <v/>
      </c>
      <c r="G1273" s="67" t="str">
        <f>IF(E1273="","",IFERROR(INDEX(art_unit,MATCH($E1273,art_ref,0))&amp;"",""))</f>
        <v/>
      </c>
      <c r="H1273" s="68" t="n"/>
      <c r="I1273" s="69" t="n"/>
      <c r="J1273" s="70" t="str">
        <f>IF(E1273="","",IF(ISNUMBER(I1273),I1273,IFERROR(IF(ISNUMBER(INDEX(art_price,MATCH($E1273,art_ref,0))),INDEX(art_price,MATCH($E1273,art_ref,0)),""),"")))</f>
        <v/>
      </c>
      <c r="K1273" s="71" t="n"/>
      <c r="L1273" s="72" t="n"/>
      <c r="M1273" s="72" t="str">
        <f>IF(E1273="","",IF(L1273&lt;&gt;"",L1273,IFERROR(IF(ISNUMBER(INDEX(art_tva,MATCH($E1273,art_ref,0))),INDEX(art_tva,MATCH($E1273,art_ref,0)),""),"")))</f>
        <v/>
      </c>
      <c r="N1273" s="70" t="str">
        <f>IF(OR(E1273="",J1273=""),"",ROUND(N(H1273)*J1273*(1-N(K1273)),2))</f>
        <v/>
      </c>
      <c r="O1273" s="70" t="str">
        <f>IF(OR(N1273="",NOT(ISNUMBER(M1273))),"",ROUND(N1273*M1273,2))</f>
        <v/>
      </c>
      <c r="P1273" s="70" t="str">
        <f>IF(N1273="","",N1273+N(O1273))</f>
        <v/>
      </c>
      <c r="Q1273" s="64" t="n"/>
      <c r="R1273" s="73" t="str">
        <f>IF(N(Q1273)&gt;0,Q1273,IF(OR(N(B1273)=0,ISNA(MATCH($C1273,sup_code,0))),"",IF(ISNUMBER(INDEX(sup_delay,MATCH($C1273,sup_code,0))),B1273+INDEX(sup_delay,MATCH($C1273,sup_code,0)),"")))</f>
        <v/>
      </c>
      <c r="S1273" s="64" t="n"/>
      <c r="T1273" s="68" t="n"/>
      <c r="U1273" s="64" t="n"/>
      <c r="V1273" s="65" t="n"/>
      <c r="W1273" s="74" t="str">
        <f>IF(AND(A1273="",E1273=""),"",IF(V1273="Oui",0,MAX(0,ROUND(N(H1273)-N(T1273),6))))</f>
        <v/>
      </c>
      <c r="X1273" s="67" t="str">
        <f>IF(AND(A1273="",E1273=""),"",IF(V1273="Oui","Annulé",IF(AND(N(H1273)&gt;0,N(T1273)&gt;=N(H1273)),"Reçu",IF(N(S1273)=0,"Brouillon",IF(AND(ISNUMBER(R1273),R1273&lt;p_today),"En retard",IF(N(T1273)&gt;0,"Partiel","Envoyé"))))))</f>
        <v/>
      </c>
      <c r="Y1273" s="75" t="str">
        <f>IF(X1273="En retard",p_today-R1273,IF(AND(X1273="Reçu",ISNUMBER(R1273)),MAX(0,N(U1273)-R1273),""))</f>
        <v/>
      </c>
      <c r="Z1273" s="67" t="str">
        <f>IF(AND(A1273="",E1273=""),"",IF(A1273="","N° de bon manquant",IF(N(B1273)=0,"Date de commande manquante",IF(C1273="","Fournisseur manquant",IF(ISNA(MATCH($C1273,sup_code,0)),"Fournisseur inconnu",IF(E1273="","Article manquant",IF(ISNA(MATCH($E1273,art_ref,0)),"Article inconnu",IF(N(H1273)&lt;=0,"Quantité invalide",IF(J1273="","Prix manquant",IF(OR(N(K1273)&lt;0,N(K1273)&gt;=1),"Remise invalide",IF(M1273="","TVA manquante",IF(ISNA(MATCH(M1273,p_tva,0)),"Taux de TVA inconnu",IF(COUNTIFS(po_num,A1273,po_sup,"&lt;&gt;"&amp;C1273)&gt;0,"Fournisseur différent sur ce bon",IF(COUNTIFS(po_num,A1273,po_date,"&lt;&gt;"&amp;B1273)&gt;0,"Date différente sur ce bon",IF(COUNTIF(po_num,A1273)&gt;25,"Plus de 25 lignes sur ce bon",IF(R1273="","Date de livraison manquante",IF(R1273&lt;B1273,"Livraison avant la commande",IF(AND(N(T1273)&gt;0,N(S1273)=0),"Date d'envoi manquante",IF(N(T1273)&gt;N(H1273),"Reçu plus que commandé",IF(AND(N(T1273)&gt;0,N(U1273)=0),"Date de réception manquante",IF(AND(N(U1273)&gt;0,U1273&lt;B1273),"Réception avant la commande","OK")))))))))))))))))))))</f>
        <v/>
      </c>
      <c r="AA1273" s="66" t="str">
        <f>IF(AND(X1273="Reçu",ISNUMBER(R1273)),IF(N(U1273)&lt;=R1273,1,0),"")</f>
        <v/>
      </c>
      <c r="AB1273" s="76" t="str">
        <f>IF(OR(X1273="Envoyé",X1273="Partiel",X1273="En retard"),IF(ISNUMBER(R1273),R1273,100000)+ROW()/100000,"")</f>
        <v/>
      </c>
      <c r="AC1273" s="66" t="str">
        <f>IF(A1273="","",IF(COUNTIF($A$6:A1273,A1273)=1,1,""))</f>
        <v/>
      </c>
      <c r="AD1273" s="66" t="str">
        <f>IF(AC1273=1,COUNT($AC$6:AC1273),"")</f>
        <v/>
      </c>
      <c r="AE1273" s="66" t="str">
        <f>IFERROR(INDEX(po_num,MATCH(1268,po_seq,0))&amp;"","")</f>
        <v/>
      </c>
      <c r="AF1273" s="66" t="str">
        <f>IF(OR(A1273="",p_po=""),"",IF(A1273&amp;""=p_po,COUNTIF($A$6:A1273,A1273),""))</f>
        <v/>
      </c>
      <c r="AG1273" s="66" t="str">
        <f>IF(OR(AB1273="",A1273=""),"",IF(COUNTIFS($A$6:A1273,A1273,$AB$6:AB1273,"&gt;0")=1,1,""))</f>
        <v/>
      </c>
      <c r="AH1273" s="70" t="str">
        <f>IF(AB1273="","",ROUND(N(W1273)*N(J1273)*(1-N(K1273)),2))</f>
        <v/>
      </c>
      <c r="AI1273" s="70" t="str">
        <f>IF(OR(J1273="",N(T1273)&lt;=0,V1273="Oui"),"",ROUND(N(T1273)*J1273*(1-N(K1273)),2))</f>
        <v/>
      </c>
    </row>
    <row r="1274">
      <c r="A1274" s="63" t="n"/>
      <c r="B1274" s="64" t="n"/>
      <c r="C1274" s="65" t="n"/>
      <c r="D1274" s="66" t="str">
        <f>IF(C1274="","",IFERROR(INDEX(sup_name,MATCH($C1274,sup_code,0))&amp;"","Fournisseur inconnu"))</f>
        <v/>
      </c>
      <c r="E1274" s="63" t="n"/>
      <c r="F1274" s="66" t="str">
        <f>IF(E1274="","",IFERROR(INDEX(art_des,MATCH($E1274,art_ref,0))&amp;"","Article inconnu"))</f>
        <v/>
      </c>
      <c r="G1274" s="67" t="str">
        <f>IF(E1274="","",IFERROR(INDEX(art_unit,MATCH($E1274,art_ref,0))&amp;"",""))</f>
        <v/>
      </c>
      <c r="H1274" s="68" t="n"/>
      <c r="I1274" s="69" t="n"/>
      <c r="J1274" s="70" t="str">
        <f>IF(E1274="","",IF(ISNUMBER(I1274),I1274,IFERROR(IF(ISNUMBER(INDEX(art_price,MATCH($E1274,art_ref,0))),INDEX(art_price,MATCH($E1274,art_ref,0)),""),"")))</f>
        <v/>
      </c>
      <c r="K1274" s="71" t="n"/>
      <c r="L1274" s="72" t="n"/>
      <c r="M1274" s="72" t="str">
        <f>IF(E1274="","",IF(L1274&lt;&gt;"",L1274,IFERROR(IF(ISNUMBER(INDEX(art_tva,MATCH($E1274,art_ref,0))),INDEX(art_tva,MATCH($E1274,art_ref,0)),""),"")))</f>
        <v/>
      </c>
      <c r="N1274" s="70" t="str">
        <f>IF(OR(E1274="",J1274=""),"",ROUND(N(H1274)*J1274*(1-N(K1274)),2))</f>
        <v/>
      </c>
      <c r="O1274" s="70" t="str">
        <f>IF(OR(N1274="",NOT(ISNUMBER(M1274))),"",ROUND(N1274*M1274,2))</f>
        <v/>
      </c>
      <c r="P1274" s="70" t="str">
        <f>IF(N1274="","",N1274+N(O1274))</f>
        <v/>
      </c>
      <c r="Q1274" s="64" t="n"/>
      <c r="R1274" s="73" t="str">
        <f>IF(N(Q1274)&gt;0,Q1274,IF(OR(N(B1274)=0,ISNA(MATCH($C1274,sup_code,0))),"",IF(ISNUMBER(INDEX(sup_delay,MATCH($C1274,sup_code,0))),B1274+INDEX(sup_delay,MATCH($C1274,sup_code,0)),"")))</f>
        <v/>
      </c>
      <c r="S1274" s="64" t="n"/>
      <c r="T1274" s="68" t="n"/>
      <c r="U1274" s="64" t="n"/>
      <c r="V1274" s="65" t="n"/>
      <c r="W1274" s="74" t="str">
        <f>IF(AND(A1274="",E1274=""),"",IF(V1274="Oui",0,MAX(0,ROUND(N(H1274)-N(T1274),6))))</f>
        <v/>
      </c>
      <c r="X1274" s="67" t="str">
        <f>IF(AND(A1274="",E1274=""),"",IF(V1274="Oui","Annulé",IF(AND(N(H1274)&gt;0,N(T1274)&gt;=N(H1274)),"Reçu",IF(N(S1274)=0,"Brouillon",IF(AND(ISNUMBER(R1274),R1274&lt;p_today),"En retard",IF(N(T1274)&gt;0,"Partiel","Envoyé"))))))</f>
        <v/>
      </c>
      <c r="Y1274" s="75" t="str">
        <f>IF(X1274="En retard",p_today-R1274,IF(AND(X1274="Reçu",ISNUMBER(R1274)),MAX(0,N(U1274)-R1274),""))</f>
        <v/>
      </c>
      <c r="Z1274" s="67" t="str">
        <f>IF(AND(A1274="",E1274=""),"",IF(A1274="","N° de bon manquant",IF(N(B1274)=0,"Date de commande manquante",IF(C1274="","Fournisseur manquant",IF(ISNA(MATCH($C1274,sup_code,0)),"Fournisseur inconnu",IF(E1274="","Article manquant",IF(ISNA(MATCH($E1274,art_ref,0)),"Article inconnu",IF(N(H1274)&lt;=0,"Quantité invalide",IF(J1274="","Prix manquant",IF(OR(N(K1274)&lt;0,N(K1274)&gt;=1),"Remise invalide",IF(M1274="","TVA manquante",IF(ISNA(MATCH(M1274,p_tva,0)),"Taux de TVA inconnu",IF(COUNTIFS(po_num,A1274,po_sup,"&lt;&gt;"&amp;C1274)&gt;0,"Fournisseur différent sur ce bon",IF(COUNTIFS(po_num,A1274,po_date,"&lt;&gt;"&amp;B1274)&gt;0,"Date différente sur ce bon",IF(COUNTIF(po_num,A1274)&gt;25,"Plus de 25 lignes sur ce bon",IF(R1274="","Date de livraison manquante",IF(R1274&lt;B1274,"Livraison avant la commande",IF(AND(N(T1274)&gt;0,N(S1274)=0),"Date d'envoi manquante",IF(N(T1274)&gt;N(H1274),"Reçu plus que commandé",IF(AND(N(T1274)&gt;0,N(U1274)=0),"Date de réception manquante",IF(AND(N(U1274)&gt;0,U1274&lt;B1274),"Réception avant la commande","OK")))))))))))))))))))))</f>
        <v/>
      </c>
      <c r="AA1274" s="66" t="str">
        <f>IF(AND(X1274="Reçu",ISNUMBER(R1274)),IF(N(U1274)&lt;=R1274,1,0),"")</f>
        <v/>
      </c>
      <c r="AB1274" s="76" t="str">
        <f>IF(OR(X1274="Envoyé",X1274="Partiel",X1274="En retard"),IF(ISNUMBER(R1274),R1274,100000)+ROW()/100000,"")</f>
        <v/>
      </c>
      <c r="AC1274" s="66" t="str">
        <f>IF(A1274="","",IF(COUNTIF($A$6:A1274,A1274)=1,1,""))</f>
        <v/>
      </c>
      <c r="AD1274" s="66" t="str">
        <f>IF(AC1274=1,COUNT($AC$6:AC1274),"")</f>
        <v/>
      </c>
      <c r="AE1274" s="66" t="str">
        <f>IFERROR(INDEX(po_num,MATCH(1269,po_seq,0))&amp;"","")</f>
        <v/>
      </c>
      <c r="AF1274" s="66" t="str">
        <f>IF(OR(A1274="",p_po=""),"",IF(A1274&amp;""=p_po,COUNTIF($A$6:A1274,A1274),""))</f>
        <v/>
      </c>
      <c r="AG1274" s="66" t="str">
        <f>IF(OR(AB1274="",A1274=""),"",IF(COUNTIFS($A$6:A1274,A1274,$AB$6:AB1274,"&gt;0")=1,1,""))</f>
        <v/>
      </c>
      <c r="AH1274" s="70" t="str">
        <f>IF(AB1274="","",ROUND(N(W1274)*N(J1274)*(1-N(K1274)),2))</f>
        <v/>
      </c>
      <c r="AI1274" s="70" t="str">
        <f>IF(OR(J1274="",N(T1274)&lt;=0,V1274="Oui"),"",ROUND(N(T1274)*J1274*(1-N(K1274)),2))</f>
        <v/>
      </c>
    </row>
    <row r="1275">
      <c r="A1275" s="63" t="n"/>
      <c r="B1275" s="64" t="n"/>
      <c r="C1275" s="65" t="n"/>
      <c r="D1275" s="66" t="str">
        <f>IF(C1275="","",IFERROR(INDEX(sup_name,MATCH($C1275,sup_code,0))&amp;"","Fournisseur inconnu"))</f>
        <v/>
      </c>
      <c r="E1275" s="63" t="n"/>
      <c r="F1275" s="66" t="str">
        <f>IF(E1275="","",IFERROR(INDEX(art_des,MATCH($E1275,art_ref,0))&amp;"","Article inconnu"))</f>
        <v/>
      </c>
      <c r="G1275" s="67" t="str">
        <f>IF(E1275="","",IFERROR(INDEX(art_unit,MATCH($E1275,art_ref,0))&amp;"",""))</f>
        <v/>
      </c>
      <c r="H1275" s="68" t="n"/>
      <c r="I1275" s="69" t="n"/>
      <c r="J1275" s="70" t="str">
        <f>IF(E1275="","",IF(ISNUMBER(I1275),I1275,IFERROR(IF(ISNUMBER(INDEX(art_price,MATCH($E1275,art_ref,0))),INDEX(art_price,MATCH($E1275,art_ref,0)),""),"")))</f>
        <v/>
      </c>
      <c r="K1275" s="71" t="n"/>
      <c r="L1275" s="72" t="n"/>
      <c r="M1275" s="72" t="str">
        <f>IF(E1275="","",IF(L1275&lt;&gt;"",L1275,IFERROR(IF(ISNUMBER(INDEX(art_tva,MATCH($E1275,art_ref,0))),INDEX(art_tva,MATCH($E1275,art_ref,0)),""),"")))</f>
        <v/>
      </c>
      <c r="N1275" s="70" t="str">
        <f>IF(OR(E1275="",J1275=""),"",ROUND(N(H1275)*J1275*(1-N(K1275)),2))</f>
        <v/>
      </c>
      <c r="O1275" s="70" t="str">
        <f>IF(OR(N1275="",NOT(ISNUMBER(M1275))),"",ROUND(N1275*M1275,2))</f>
        <v/>
      </c>
      <c r="P1275" s="70" t="str">
        <f>IF(N1275="","",N1275+N(O1275))</f>
        <v/>
      </c>
      <c r="Q1275" s="64" t="n"/>
      <c r="R1275" s="73" t="str">
        <f>IF(N(Q1275)&gt;0,Q1275,IF(OR(N(B1275)=0,ISNA(MATCH($C1275,sup_code,0))),"",IF(ISNUMBER(INDEX(sup_delay,MATCH($C1275,sup_code,0))),B1275+INDEX(sup_delay,MATCH($C1275,sup_code,0)),"")))</f>
        <v/>
      </c>
      <c r="S1275" s="64" t="n"/>
      <c r="T1275" s="68" t="n"/>
      <c r="U1275" s="64" t="n"/>
      <c r="V1275" s="65" t="n"/>
      <c r="W1275" s="74" t="str">
        <f>IF(AND(A1275="",E1275=""),"",IF(V1275="Oui",0,MAX(0,ROUND(N(H1275)-N(T1275),6))))</f>
        <v/>
      </c>
      <c r="X1275" s="67" t="str">
        <f>IF(AND(A1275="",E1275=""),"",IF(V1275="Oui","Annulé",IF(AND(N(H1275)&gt;0,N(T1275)&gt;=N(H1275)),"Reçu",IF(N(S1275)=0,"Brouillon",IF(AND(ISNUMBER(R1275),R1275&lt;p_today),"En retard",IF(N(T1275)&gt;0,"Partiel","Envoyé"))))))</f>
        <v/>
      </c>
      <c r="Y1275" s="75" t="str">
        <f>IF(X1275="En retard",p_today-R1275,IF(AND(X1275="Reçu",ISNUMBER(R1275)),MAX(0,N(U1275)-R1275),""))</f>
        <v/>
      </c>
      <c r="Z1275" s="67" t="str">
        <f>IF(AND(A1275="",E1275=""),"",IF(A1275="","N° de bon manquant",IF(N(B1275)=0,"Date de commande manquante",IF(C1275="","Fournisseur manquant",IF(ISNA(MATCH($C1275,sup_code,0)),"Fournisseur inconnu",IF(E1275="","Article manquant",IF(ISNA(MATCH($E1275,art_ref,0)),"Article inconnu",IF(N(H1275)&lt;=0,"Quantité invalide",IF(J1275="","Prix manquant",IF(OR(N(K1275)&lt;0,N(K1275)&gt;=1),"Remise invalide",IF(M1275="","TVA manquante",IF(ISNA(MATCH(M1275,p_tva,0)),"Taux de TVA inconnu",IF(COUNTIFS(po_num,A1275,po_sup,"&lt;&gt;"&amp;C1275)&gt;0,"Fournisseur différent sur ce bon",IF(COUNTIFS(po_num,A1275,po_date,"&lt;&gt;"&amp;B1275)&gt;0,"Date différente sur ce bon",IF(COUNTIF(po_num,A1275)&gt;25,"Plus de 25 lignes sur ce bon",IF(R1275="","Date de livraison manquante",IF(R1275&lt;B1275,"Livraison avant la commande",IF(AND(N(T1275)&gt;0,N(S1275)=0),"Date d'envoi manquante",IF(N(T1275)&gt;N(H1275),"Reçu plus que commandé",IF(AND(N(T1275)&gt;0,N(U1275)=0),"Date de réception manquante",IF(AND(N(U1275)&gt;0,U1275&lt;B1275),"Réception avant la commande","OK")))))))))))))))))))))</f>
        <v/>
      </c>
      <c r="AA1275" s="66" t="str">
        <f>IF(AND(X1275="Reçu",ISNUMBER(R1275)),IF(N(U1275)&lt;=R1275,1,0),"")</f>
        <v/>
      </c>
      <c r="AB1275" s="76" t="str">
        <f>IF(OR(X1275="Envoyé",X1275="Partiel",X1275="En retard"),IF(ISNUMBER(R1275),R1275,100000)+ROW()/100000,"")</f>
        <v/>
      </c>
      <c r="AC1275" s="66" t="str">
        <f>IF(A1275="","",IF(COUNTIF($A$6:A1275,A1275)=1,1,""))</f>
        <v/>
      </c>
      <c r="AD1275" s="66" t="str">
        <f>IF(AC1275=1,COUNT($AC$6:AC1275),"")</f>
        <v/>
      </c>
      <c r="AE1275" s="66" t="str">
        <f>IFERROR(INDEX(po_num,MATCH(1270,po_seq,0))&amp;"","")</f>
        <v/>
      </c>
      <c r="AF1275" s="66" t="str">
        <f>IF(OR(A1275="",p_po=""),"",IF(A1275&amp;""=p_po,COUNTIF($A$6:A1275,A1275),""))</f>
        <v/>
      </c>
      <c r="AG1275" s="66" t="str">
        <f>IF(OR(AB1275="",A1275=""),"",IF(COUNTIFS($A$6:A1275,A1275,$AB$6:AB1275,"&gt;0")=1,1,""))</f>
        <v/>
      </c>
      <c r="AH1275" s="70" t="str">
        <f>IF(AB1275="","",ROUND(N(W1275)*N(J1275)*(1-N(K1275)),2))</f>
        <v/>
      </c>
      <c r="AI1275" s="70" t="str">
        <f>IF(OR(J1275="",N(T1275)&lt;=0,V1275="Oui"),"",ROUND(N(T1275)*J1275*(1-N(K1275)),2))</f>
        <v/>
      </c>
    </row>
    <row r="1276">
      <c r="A1276" s="63" t="n"/>
      <c r="B1276" s="64" t="n"/>
      <c r="C1276" s="65" t="n"/>
      <c r="D1276" s="66" t="str">
        <f>IF(C1276="","",IFERROR(INDEX(sup_name,MATCH($C1276,sup_code,0))&amp;"","Fournisseur inconnu"))</f>
        <v/>
      </c>
      <c r="E1276" s="63" t="n"/>
      <c r="F1276" s="66" t="str">
        <f>IF(E1276="","",IFERROR(INDEX(art_des,MATCH($E1276,art_ref,0))&amp;"","Article inconnu"))</f>
        <v/>
      </c>
      <c r="G1276" s="67" t="str">
        <f>IF(E1276="","",IFERROR(INDEX(art_unit,MATCH($E1276,art_ref,0))&amp;"",""))</f>
        <v/>
      </c>
      <c r="H1276" s="68" t="n"/>
      <c r="I1276" s="69" t="n"/>
      <c r="J1276" s="70" t="str">
        <f>IF(E1276="","",IF(ISNUMBER(I1276),I1276,IFERROR(IF(ISNUMBER(INDEX(art_price,MATCH($E1276,art_ref,0))),INDEX(art_price,MATCH($E1276,art_ref,0)),""),"")))</f>
        <v/>
      </c>
      <c r="K1276" s="71" t="n"/>
      <c r="L1276" s="72" t="n"/>
      <c r="M1276" s="72" t="str">
        <f>IF(E1276="","",IF(L1276&lt;&gt;"",L1276,IFERROR(IF(ISNUMBER(INDEX(art_tva,MATCH($E1276,art_ref,0))),INDEX(art_tva,MATCH($E1276,art_ref,0)),""),"")))</f>
        <v/>
      </c>
      <c r="N1276" s="70" t="str">
        <f>IF(OR(E1276="",J1276=""),"",ROUND(N(H1276)*J1276*(1-N(K1276)),2))</f>
        <v/>
      </c>
      <c r="O1276" s="70" t="str">
        <f>IF(OR(N1276="",NOT(ISNUMBER(M1276))),"",ROUND(N1276*M1276,2))</f>
        <v/>
      </c>
      <c r="P1276" s="70" t="str">
        <f>IF(N1276="","",N1276+N(O1276))</f>
        <v/>
      </c>
      <c r="Q1276" s="64" t="n"/>
      <c r="R1276" s="73" t="str">
        <f>IF(N(Q1276)&gt;0,Q1276,IF(OR(N(B1276)=0,ISNA(MATCH($C1276,sup_code,0))),"",IF(ISNUMBER(INDEX(sup_delay,MATCH($C1276,sup_code,0))),B1276+INDEX(sup_delay,MATCH($C1276,sup_code,0)),"")))</f>
        <v/>
      </c>
      <c r="S1276" s="64" t="n"/>
      <c r="T1276" s="68" t="n"/>
      <c r="U1276" s="64" t="n"/>
      <c r="V1276" s="65" t="n"/>
      <c r="W1276" s="74" t="str">
        <f>IF(AND(A1276="",E1276=""),"",IF(V1276="Oui",0,MAX(0,ROUND(N(H1276)-N(T1276),6))))</f>
        <v/>
      </c>
      <c r="X1276" s="67" t="str">
        <f>IF(AND(A1276="",E1276=""),"",IF(V1276="Oui","Annulé",IF(AND(N(H1276)&gt;0,N(T1276)&gt;=N(H1276)),"Reçu",IF(N(S1276)=0,"Brouillon",IF(AND(ISNUMBER(R1276),R1276&lt;p_today),"En retard",IF(N(T1276)&gt;0,"Partiel","Envoyé"))))))</f>
        <v/>
      </c>
      <c r="Y1276" s="75" t="str">
        <f>IF(X1276="En retard",p_today-R1276,IF(AND(X1276="Reçu",ISNUMBER(R1276)),MAX(0,N(U1276)-R1276),""))</f>
        <v/>
      </c>
      <c r="Z1276" s="67" t="str">
        <f>IF(AND(A1276="",E1276=""),"",IF(A1276="","N° de bon manquant",IF(N(B1276)=0,"Date de commande manquante",IF(C1276="","Fournisseur manquant",IF(ISNA(MATCH($C1276,sup_code,0)),"Fournisseur inconnu",IF(E1276="","Article manquant",IF(ISNA(MATCH($E1276,art_ref,0)),"Article inconnu",IF(N(H1276)&lt;=0,"Quantité invalide",IF(J1276="","Prix manquant",IF(OR(N(K1276)&lt;0,N(K1276)&gt;=1),"Remise invalide",IF(M1276="","TVA manquante",IF(ISNA(MATCH(M1276,p_tva,0)),"Taux de TVA inconnu",IF(COUNTIFS(po_num,A1276,po_sup,"&lt;&gt;"&amp;C1276)&gt;0,"Fournisseur différent sur ce bon",IF(COUNTIFS(po_num,A1276,po_date,"&lt;&gt;"&amp;B1276)&gt;0,"Date différente sur ce bon",IF(COUNTIF(po_num,A1276)&gt;25,"Plus de 25 lignes sur ce bon",IF(R1276="","Date de livraison manquante",IF(R1276&lt;B1276,"Livraison avant la commande",IF(AND(N(T1276)&gt;0,N(S1276)=0),"Date d'envoi manquante",IF(N(T1276)&gt;N(H1276),"Reçu plus que commandé",IF(AND(N(T1276)&gt;0,N(U1276)=0),"Date de réception manquante",IF(AND(N(U1276)&gt;0,U1276&lt;B1276),"Réception avant la commande","OK")))))))))))))))))))))</f>
        <v/>
      </c>
      <c r="AA1276" s="66" t="str">
        <f>IF(AND(X1276="Reçu",ISNUMBER(R1276)),IF(N(U1276)&lt;=R1276,1,0),"")</f>
        <v/>
      </c>
      <c r="AB1276" s="76" t="str">
        <f>IF(OR(X1276="Envoyé",X1276="Partiel",X1276="En retard"),IF(ISNUMBER(R1276),R1276,100000)+ROW()/100000,"")</f>
        <v/>
      </c>
      <c r="AC1276" s="66" t="str">
        <f>IF(A1276="","",IF(COUNTIF($A$6:A1276,A1276)=1,1,""))</f>
        <v/>
      </c>
      <c r="AD1276" s="66" t="str">
        <f>IF(AC1276=1,COUNT($AC$6:AC1276),"")</f>
        <v/>
      </c>
      <c r="AE1276" s="66" t="str">
        <f>IFERROR(INDEX(po_num,MATCH(1271,po_seq,0))&amp;"","")</f>
        <v/>
      </c>
      <c r="AF1276" s="66" t="str">
        <f>IF(OR(A1276="",p_po=""),"",IF(A1276&amp;""=p_po,COUNTIF($A$6:A1276,A1276),""))</f>
        <v/>
      </c>
      <c r="AG1276" s="66" t="str">
        <f>IF(OR(AB1276="",A1276=""),"",IF(COUNTIFS($A$6:A1276,A1276,$AB$6:AB1276,"&gt;0")=1,1,""))</f>
        <v/>
      </c>
      <c r="AH1276" s="70" t="str">
        <f>IF(AB1276="","",ROUND(N(W1276)*N(J1276)*(1-N(K1276)),2))</f>
        <v/>
      </c>
      <c r="AI1276" s="70" t="str">
        <f>IF(OR(J1276="",N(T1276)&lt;=0,V1276="Oui"),"",ROUND(N(T1276)*J1276*(1-N(K1276)),2))</f>
        <v/>
      </c>
    </row>
    <row r="1277">
      <c r="A1277" s="63" t="n"/>
      <c r="B1277" s="64" t="n"/>
      <c r="C1277" s="65" t="n"/>
      <c r="D1277" s="66" t="str">
        <f>IF(C1277="","",IFERROR(INDEX(sup_name,MATCH($C1277,sup_code,0))&amp;"","Fournisseur inconnu"))</f>
        <v/>
      </c>
      <c r="E1277" s="63" t="n"/>
      <c r="F1277" s="66" t="str">
        <f>IF(E1277="","",IFERROR(INDEX(art_des,MATCH($E1277,art_ref,0))&amp;"","Article inconnu"))</f>
        <v/>
      </c>
      <c r="G1277" s="67" t="str">
        <f>IF(E1277="","",IFERROR(INDEX(art_unit,MATCH($E1277,art_ref,0))&amp;"",""))</f>
        <v/>
      </c>
      <c r="H1277" s="68" t="n"/>
      <c r="I1277" s="69" t="n"/>
      <c r="J1277" s="70" t="str">
        <f>IF(E1277="","",IF(ISNUMBER(I1277),I1277,IFERROR(IF(ISNUMBER(INDEX(art_price,MATCH($E1277,art_ref,0))),INDEX(art_price,MATCH($E1277,art_ref,0)),""),"")))</f>
        <v/>
      </c>
      <c r="K1277" s="71" t="n"/>
      <c r="L1277" s="72" t="n"/>
      <c r="M1277" s="72" t="str">
        <f>IF(E1277="","",IF(L1277&lt;&gt;"",L1277,IFERROR(IF(ISNUMBER(INDEX(art_tva,MATCH($E1277,art_ref,0))),INDEX(art_tva,MATCH($E1277,art_ref,0)),""),"")))</f>
        <v/>
      </c>
      <c r="N1277" s="70" t="str">
        <f>IF(OR(E1277="",J1277=""),"",ROUND(N(H1277)*J1277*(1-N(K1277)),2))</f>
        <v/>
      </c>
      <c r="O1277" s="70" t="str">
        <f>IF(OR(N1277="",NOT(ISNUMBER(M1277))),"",ROUND(N1277*M1277,2))</f>
        <v/>
      </c>
      <c r="P1277" s="70" t="str">
        <f>IF(N1277="","",N1277+N(O1277))</f>
        <v/>
      </c>
      <c r="Q1277" s="64" t="n"/>
      <c r="R1277" s="73" t="str">
        <f>IF(N(Q1277)&gt;0,Q1277,IF(OR(N(B1277)=0,ISNA(MATCH($C1277,sup_code,0))),"",IF(ISNUMBER(INDEX(sup_delay,MATCH($C1277,sup_code,0))),B1277+INDEX(sup_delay,MATCH($C1277,sup_code,0)),"")))</f>
        <v/>
      </c>
      <c r="S1277" s="64" t="n"/>
      <c r="T1277" s="68" t="n"/>
      <c r="U1277" s="64" t="n"/>
      <c r="V1277" s="65" t="n"/>
      <c r="W1277" s="74" t="str">
        <f>IF(AND(A1277="",E1277=""),"",IF(V1277="Oui",0,MAX(0,ROUND(N(H1277)-N(T1277),6))))</f>
        <v/>
      </c>
      <c r="X1277" s="67" t="str">
        <f>IF(AND(A1277="",E1277=""),"",IF(V1277="Oui","Annulé",IF(AND(N(H1277)&gt;0,N(T1277)&gt;=N(H1277)),"Reçu",IF(N(S1277)=0,"Brouillon",IF(AND(ISNUMBER(R1277),R1277&lt;p_today),"En retard",IF(N(T1277)&gt;0,"Partiel","Envoyé"))))))</f>
        <v/>
      </c>
      <c r="Y1277" s="75" t="str">
        <f>IF(X1277="En retard",p_today-R1277,IF(AND(X1277="Reçu",ISNUMBER(R1277)),MAX(0,N(U1277)-R1277),""))</f>
        <v/>
      </c>
      <c r="Z1277" s="67" t="str">
        <f>IF(AND(A1277="",E1277=""),"",IF(A1277="","N° de bon manquant",IF(N(B1277)=0,"Date de commande manquante",IF(C1277="","Fournisseur manquant",IF(ISNA(MATCH($C1277,sup_code,0)),"Fournisseur inconnu",IF(E1277="","Article manquant",IF(ISNA(MATCH($E1277,art_ref,0)),"Article inconnu",IF(N(H1277)&lt;=0,"Quantité invalide",IF(J1277="","Prix manquant",IF(OR(N(K1277)&lt;0,N(K1277)&gt;=1),"Remise invalide",IF(M1277="","TVA manquante",IF(ISNA(MATCH(M1277,p_tva,0)),"Taux de TVA inconnu",IF(COUNTIFS(po_num,A1277,po_sup,"&lt;&gt;"&amp;C1277)&gt;0,"Fournisseur différent sur ce bon",IF(COUNTIFS(po_num,A1277,po_date,"&lt;&gt;"&amp;B1277)&gt;0,"Date différente sur ce bon",IF(COUNTIF(po_num,A1277)&gt;25,"Plus de 25 lignes sur ce bon",IF(R1277="","Date de livraison manquante",IF(R1277&lt;B1277,"Livraison avant la commande",IF(AND(N(T1277)&gt;0,N(S1277)=0),"Date d'envoi manquante",IF(N(T1277)&gt;N(H1277),"Reçu plus que commandé",IF(AND(N(T1277)&gt;0,N(U1277)=0),"Date de réception manquante",IF(AND(N(U1277)&gt;0,U1277&lt;B1277),"Réception avant la commande","OK")))))))))))))))))))))</f>
        <v/>
      </c>
      <c r="AA1277" s="66" t="str">
        <f>IF(AND(X1277="Reçu",ISNUMBER(R1277)),IF(N(U1277)&lt;=R1277,1,0),"")</f>
        <v/>
      </c>
      <c r="AB1277" s="76" t="str">
        <f>IF(OR(X1277="Envoyé",X1277="Partiel",X1277="En retard"),IF(ISNUMBER(R1277),R1277,100000)+ROW()/100000,"")</f>
        <v/>
      </c>
      <c r="AC1277" s="66" t="str">
        <f>IF(A1277="","",IF(COUNTIF($A$6:A1277,A1277)=1,1,""))</f>
        <v/>
      </c>
      <c r="AD1277" s="66" t="str">
        <f>IF(AC1277=1,COUNT($AC$6:AC1277),"")</f>
        <v/>
      </c>
      <c r="AE1277" s="66" t="str">
        <f>IFERROR(INDEX(po_num,MATCH(1272,po_seq,0))&amp;"","")</f>
        <v/>
      </c>
      <c r="AF1277" s="66" t="str">
        <f>IF(OR(A1277="",p_po=""),"",IF(A1277&amp;""=p_po,COUNTIF($A$6:A1277,A1277),""))</f>
        <v/>
      </c>
      <c r="AG1277" s="66" t="str">
        <f>IF(OR(AB1277="",A1277=""),"",IF(COUNTIFS($A$6:A1277,A1277,$AB$6:AB1277,"&gt;0")=1,1,""))</f>
        <v/>
      </c>
      <c r="AH1277" s="70" t="str">
        <f>IF(AB1277="","",ROUND(N(W1277)*N(J1277)*(1-N(K1277)),2))</f>
        <v/>
      </c>
      <c r="AI1277" s="70" t="str">
        <f>IF(OR(J1277="",N(T1277)&lt;=0,V1277="Oui"),"",ROUND(N(T1277)*J1277*(1-N(K1277)),2))</f>
        <v/>
      </c>
    </row>
    <row r="1278">
      <c r="A1278" s="63" t="n"/>
      <c r="B1278" s="64" t="n"/>
      <c r="C1278" s="65" t="n"/>
      <c r="D1278" s="66" t="str">
        <f>IF(C1278="","",IFERROR(INDEX(sup_name,MATCH($C1278,sup_code,0))&amp;"","Fournisseur inconnu"))</f>
        <v/>
      </c>
      <c r="E1278" s="63" t="n"/>
      <c r="F1278" s="66" t="str">
        <f>IF(E1278="","",IFERROR(INDEX(art_des,MATCH($E1278,art_ref,0))&amp;"","Article inconnu"))</f>
        <v/>
      </c>
      <c r="G1278" s="67" t="str">
        <f>IF(E1278="","",IFERROR(INDEX(art_unit,MATCH($E1278,art_ref,0))&amp;"",""))</f>
        <v/>
      </c>
      <c r="H1278" s="68" t="n"/>
      <c r="I1278" s="69" t="n"/>
      <c r="J1278" s="70" t="str">
        <f>IF(E1278="","",IF(ISNUMBER(I1278),I1278,IFERROR(IF(ISNUMBER(INDEX(art_price,MATCH($E1278,art_ref,0))),INDEX(art_price,MATCH($E1278,art_ref,0)),""),"")))</f>
        <v/>
      </c>
      <c r="K1278" s="71" t="n"/>
      <c r="L1278" s="72" t="n"/>
      <c r="M1278" s="72" t="str">
        <f>IF(E1278="","",IF(L1278&lt;&gt;"",L1278,IFERROR(IF(ISNUMBER(INDEX(art_tva,MATCH($E1278,art_ref,0))),INDEX(art_tva,MATCH($E1278,art_ref,0)),""),"")))</f>
        <v/>
      </c>
      <c r="N1278" s="70" t="str">
        <f>IF(OR(E1278="",J1278=""),"",ROUND(N(H1278)*J1278*(1-N(K1278)),2))</f>
        <v/>
      </c>
      <c r="O1278" s="70" t="str">
        <f>IF(OR(N1278="",NOT(ISNUMBER(M1278))),"",ROUND(N1278*M1278,2))</f>
        <v/>
      </c>
      <c r="P1278" s="70" t="str">
        <f>IF(N1278="","",N1278+N(O1278))</f>
        <v/>
      </c>
      <c r="Q1278" s="64" t="n"/>
      <c r="R1278" s="73" t="str">
        <f>IF(N(Q1278)&gt;0,Q1278,IF(OR(N(B1278)=0,ISNA(MATCH($C1278,sup_code,0))),"",IF(ISNUMBER(INDEX(sup_delay,MATCH($C1278,sup_code,0))),B1278+INDEX(sup_delay,MATCH($C1278,sup_code,0)),"")))</f>
        <v/>
      </c>
      <c r="S1278" s="64" t="n"/>
      <c r="T1278" s="68" t="n"/>
      <c r="U1278" s="64" t="n"/>
      <c r="V1278" s="65" t="n"/>
      <c r="W1278" s="74" t="str">
        <f>IF(AND(A1278="",E1278=""),"",IF(V1278="Oui",0,MAX(0,ROUND(N(H1278)-N(T1278),6))))</f>
        <v/>
      </c>
      <c r="X1278" s="67" t="str">
        <f>IF(AND(A1278="",E1278=""),"",IF(V1278="Oui","Annulé",IF(AND(N(H1278)&gt;0,N(T1278)&gt;=N(H1278)),"Reçu",IF(N(S1278)=0,"Brouillon",IF(AND(ISNUMBER(R1278),R1278&lt;p_today),"En retard",IF(N(T1278)&gt;0,"Partiel","Envoyé"))))))</f>
        <v/>
      </c>
      <c r="Y1278" s="75" t="str">
        <f>IF(X1278="En retard",p_today-R1278,IF(AND(X1278="Reçu",ISNUMBER(R1278)),MAX(0,N(U1278)-R1278),""))</f>
        <v/>
      </c>
      <c r="Z1278" s="67" t="str">
        <f>IF(AND(A1278="",E1278=""),"",IF(A1278="","N° de bon manquant",IF(N(B1278)=0,"Date de commande manquante",IF(C1278="","Fournisseur manquant",IF(ISNA(MATCH($C1278,sup_code,0)),"Fournisseur inconnu",IF(E1278="","Article manquant",IF(ISNA(MATCH($E1278,art_ref,0)),"Article inconnu",IF(N(H1278)&lt;=0,"Quantité invalide",IF(J1278="","Prix manquant",IF(OR(N(K1278)&lt;0,N(K1278)&gt;=1),"Remise invalide",IF(M1278="","TVA manquante",IF(ISNA(MATCH(M1278,p_tva,0)),"Taux de TVA inconnu",IF(COUNTIFS(po_num,A1278,po_sup,"&lt;&gt;"&amp;C1278)&gt;0,"Fournisseur différent sur ce bon",IF(COUNTIFS(po_num,A1278,po_date,"&lt;&gt;"&amp;B1278)&gt;0,"Date différente sur ce bon",IF(COUNTIF(po_num,A1278)&gt;25,"Plus de 25 lignes sur ce bon",IF(R1278="","Date de livraison manquante",IF(R1278&lt;B1278,"Livraison avant la commande",IF(AND(N(T1278)&gt;0,N(S1278)=0),"Date d'envoi manquante",IF(N(T1278)&gt;N(H1278),"Reçu plus que commandé",IF(AND(N(T1278)&gt;0,N(U1278)=0),"Date de réception manquante",IF(AND(N(U1278)&gt;0,U1278&lt;B1278),"Réception avant la commande","OK")))))))))))))))))))))</f>
        <v/>
      </c>
      <c r="AA1278" s="66" t="str">
        <f>IF(AND(X1278="Reçu",ISNUMBER(R1278)),IF(N(U1278)&lt;=R1278,1,0),"")</f>
        <v/>
      </c>
      <c r="AB1278" s="76" t="str">
        <f>IF(OR(X1278="Envoyé",X1278="Partiel",X1278="En retard"),IF(ISNUMBER(R1278),R1278,100000)+ROW()/100000,"")</f>
        <v/>
      </c>
      <c r="AC1278" s="66" t="str">
        <f>IF(A1278="","",IF(COUNTIF($A$6:A1278,A1278)=1,1,""))</f>
        <v/>
      </c>
      <c r="AD1278" s="66" t="str">
        <f>IF(AC1278=1,COUNT($AC$6:AC1278),"")</f>
        <v/>
      </c>
      <c r="AE1278" s="66" t="str">
        <f>IFERROR(INDEX(po_num,MATCH(1273,po_seq,0))&amp;"","")</f>
        <v/>
      </c>
      <c r="AF1278" s="66" t="str">
        <f>IF(OR(A1278="",p_po=""),"",IF(A1278&amp;""=p_po,COUNTIF($A$6:A1278,A1278),""))</f>
        <v/>
      </c>
      <c r="AG1278" s="66" t="str">
        <f>IF(OR(AB1278="",A1278=""),"",IF(COUNTIFS($A$6:A1278,A1278,$AB$6:AB1278,"&gt;0")=1,1,""))</f>
        <v/>
      </c>
      <c r="AH1278" s="70" t="str">
        <f>IF(AB1278="","",ROUND(N(W1278)*N(J1278)*(1-N(K1278)),2))</f>
        <v/>
      </c>
      <c r="AI1278" s="70" t="str">
        <f>IF(OR(J1278="",N(T1278)&lt;=0,V1278="Oui"),"",ROUND(N(T1278)*J1278*(1-N(K1278)),2))</f>
        <v/>
      </c>
    </row>
    <row r="1279">
      <c r="A1279" s="63" t="n"/>
      <c r="B1279" s="64" t="n"/>
      <c r="C1279" s="65" t="n"/>
      <c r="D1279" s="66" t="str">
        <f>IF(C1279="","",IFERROR(INDEX(sup_name,MATCH($C1279,sup_code,0))&amp;"","Fournisseur inconnu"))</f>
        <v/>
      </c>
      <c r="E1279" s="63" t="n"/>
      <c r="F1279" s="66" t="str">
        <f>IF(E1279="","",IFERROR(INDEX(art_des,MATCH($E1279,art_ref,0))&amp;"","Article inconnu"))</f>
        <v/>
      </c>
      <c r="G1279" s="67" t="str">
        <f>IF(E1279="","",IFERROR(INDEX(art_unit,MATCH($E1279,art_ref,0))&amp;"",""))</f>
        <v/>
      </c>
      <c r="H1279" s="68" t="n"/>
      <c r="I1279" s="69" t="n"/>
      <c r="J1279" s="70" t="str">
        <f>IF(E1279="","",IF(ISNUMBER(I1279),I1279,IFERROR(IF(ISNUMBER(INDEX(art_price,MATCH($E1279,art_ref,0))),INDEX(art_price,MATCH($E1279,art_ref,0)),""),"")))</f>
        <v/>
      </c>
      <c r="K1279" s="71" t="n"/>
      <c r="L1279" s="72" t="n"/>
      <c r="M1279" s="72" t="str">
        <f>IF(E1279="","",IF(L1279&lt;&gt;"",L1279,IFERROR(IF(ISNUMBER(INDEX(art_tva,MATCH($E1279,art_ref,0))),INDEX(art_tva,MATCH($E1279,art_ref,0)),""),"")))</f>
        <v/>
      </c>
      <c r="N1279" s="70" t="str">
        <f>IF(OR(E1279="",J1279=""),"",ROUND(N(H1279)*J1279*(1-N(K1279)),2))</f>
        <v/>
      </c>
      <c r="O1279" s="70" t="str">
        <f>IF(OR(N1279="",NOT(ISNUMBER(M1279))),"",ROUND(N1279*M1279,2))</f>
        <v/>
      </c>
      <c r="P1279" s="70" t="str">
        <f>IF(N1279="","",N1279+N(O1279))</f>
        <v/>
      </c>
      <c r="Q1279" s="64" t="n"/>
      <c r="R1279" s="73" t="str">
        <f>IF(N(Q1279)&gt;0,Q1279,IF(OR(N(B1279)=0,ISNA(MATCH($C1279,sup_code,0))),"",IF(ISNUMBER(INDEX(sup_delay,MATCH($C1279,sup_code,0))),B1279+INDEX(sup_delay,MATCH($C1279,sup_code,0)),"")))</f>
        <v/>
      </c>
      <c r="S1279" s="64" t="n"/>
      <c r="T1279" s="68" t="n"/>
      <c r="U1279" s="64" t="n"/>
      <c r="V1279" s="65" t="n"/>
      <c r="W1279" s="74" t="str">
        <f>IF(AND(A1279="",E1279=""),"",IF(V1279="Oui",0,MAX(0,ROUND(N(H1279)-N(T1279),6))))</f>
        <v/>
      </c>
      <c r="X1279" s="67" t="str">
        <f>IF(AND(A1279="",E1279=""),"",IF(V1279="Oui","Annulé",IF(AND(N(H1279)&gt;0,N(T1279)&gt;=N(H1279)),"Reçu",IF(N(S1279)=0,"Brouillon",IF(AND(ISNUMBER(R1279),R1279&lt;p_today),"En retard",IF(N(T1279)&gt;0,"Partiel","Envoyé"))))))</f>
        <v/>
      </c>
      <c r="Y1279" s="75" t="str">
        <f>IF(X1279="En retard",p_today-R1279,IF(AND(X1279="Reçu",ISNUMBER(R1279)),MAX(0,N(U1279)-R1279),""))</f>
        <v/>
      </c>
      <c r="Z1279" s="67" t="str">
        <f>IF(AND(A1279="",E1279=""),"",IF(A1279="","N° de bon manquant",IF(N(B1279)=0,"Date de commande manquante",IF(C1279="","Fournisseur manquant",IF(ISNA(MATCH($C1279,sup_code,0)),"Fournisseur inconnu",IF(E1279="","Article manquant",IF(ISNA(MATCH($E1279,art_ref,0)),"Article inconnu",IF(N(H1279)&lt;=0,"Quantité invalide",IF(J1279="","Prix manquant",IF(OR(N(K1279)&lt;0,N(K1279)&gt;=1),"Remise invalide",IF(M1279="","TVA manquante",IF(ISNA(MATCH(M1279,p_tva,0)),"Taux de TVA inconnu",IF(COUNTIFS(po_num,A1279,po_sup,"&lt;&gt;"&amp;C1279)&gt;0,"Fournisseur différent sur ce bon",IF(COUNTIFS(po_num,A1279,po_date,"&lt;&gt;"&amp;B1279)&gt;0,"Date différente sur ce bon",IF(COUNTIF(po_num,A1279)&gt;25,"Plus de 25 lignes sur ce bon",IF(R1279="","Date de livraison manquante",IF(R1279&lt;B1279,"Livraison avant la commande",IF(AND(N(T1279)&gt;0,N(S1279)=0),"Date d'envoi manquante",IF(N(T1279)&gt;N(H1279),"Reçu plus que commandé",IF(AND(N(T1279)&gt;0,N(U1279)=0),"Date de réception manquante",IF(AND(N(U1279)&gt;0,U1279&lt;B1279),"Réception avant la commande","OK")))))))))))))))))))))</f>
        <v/>
      </c>
      <c r="AA1279" s="66" t="str">
        <f>IF(AND(X1279="Reçu",ISNUMBER(R1279)),IF(N(U1279)&lt;=R1279,1,0),"")</f>
        <v/>
      </c>
      <c r="AB1279" s="76" t="str">
        <f>IF(OR(X1279="Envoyé",X1279="Partiel",X1279="En retard"),IF(ISNUMBER(R1279),R1279,100000)+ROW()/100000,"")</f>
        <v/>
      </c>
      <c r="AC1279" s="66" t="str">
        <f>IF(A1279="","",IF(COUNTIF($A$6:A1279,A1279)=1,1,""))</f>
        <v/>
      </c>
      <c r="AD1279" s="66" t="str">
        <f>IF(AC1279=1,COUNT($AC$6:AC1279),"")</f>
        <v/>
      </c>
      <c r="AE1279" s="66" t="str">
        <f>IFERROR(INDEX(po_num,MATCH(1274,po_seq,0))&amp;"","")</f>
        <v/>
      </c>
      <c r="AF1279" s="66" t="str">
        <f>IF(OR(A1279="",p_po=""),"",IF(A1279&amp;""=p_po,COUNTIF($A$6:A1279,A1279),""))</f>
        <v/>
      </c>
      <c r="AG1279" s="66" t="str">
        <f>IF(OR(AB1279="",A1279=""),"",IF(COUNTIFS($A$6:A1279,A1279,$AB$6:AB1279,"&gt;0")=1,1,""))</f>
        <v/>
      </c>
      <c r="AH1279" s="70" t="str">
        <f>IF(AB1279="","",ROUND(N(W1279)*N(J1279)*(1-N(K1279)),2))</f>
        <v/>
      </c>
      <c r="AI1279" s="70" t="str">
        <f>IF(OR(J1279="",N(T1279)&lt;=0,V1279="Oui"),"",ROUND(N(T1279)*J1279*(1-N(K1279)),2))</f>
        <v/>
      </c>
    </row>
    <row r="1280">
      <c r="A1280" s="63" t="n"/>
      <c r="B1280" s="64" t="n"/>
      <c r="C1280" s="65" t="n"/>
      <c r="D1280" s="66" t="str">
        <f>IF(C1280="","",IFERROR(INDEX(sup_name,MATCH($C1280,sup_code,0))&amp;"","Fournisseur inconnu"))</f>
        <v/>
      </c>
      <c r="E1280" s="63" t="n"/>
      <c r="F1280" s="66" t="str">
        <f>IF(E1280="","",IFERROR(INDEX(art_des,MATCH($E1280,art_ref,0))&amp;"","Article inconnu"))</f>
        <v/>
      </c>
      <c r="G1280" s="67" t="str">
        <f>IF(E1280="","",IFERROR(INDEX(art_unit,MATCH($E1280,art_ref,0))&amp;"",""))</f>
        <v/>
      </c>
      <c r="H1280" s="68" t="n"/>
      <c r="I1280" s="69" t="n"/>
      <c r="J1280" s="70" t="str">
        <f>IF(E1280="","",IF(ISNUMBER(I1280),I1280,IFERROR(IF(ISNUMBER(INDEX(art_price,MATCH($E1280,art_ref,0))),INDEX(art_price,MATCH($E1280,art_ref,0)),""),"")))</f>
        <v/>
      </c>
      <c r="K1280" s="71" t="n"/>
      <c r="L1280" s="72" t="n"/>
      <c r="M1280" s="72" t="str">
        <f>IF(E1280="","",IF(L1280&lt;&gt;"",L1280,IFERROR(IF(ISNUMBER(INDEX(art_tva,MATCH($E1280,art_ref,0))),INDEX(art_tva,MATCH($E1280,art_ref,0)),""),"")))</f>
        <v/>
      </c>
      <c r="N1280" s="70" t="str">
        <f>IF(OR(E1280="",J1280=""),"",ROUND(N(H1280)*J1280*(1-N(K1280)),2))</f>
        <v/>
      </c>
      <c r="O1280" s="70" t="str">
        <f>IF(OR(N1280="",NOT(ISNUMBER(M1280))),"",ROUND(N1280*M1280,2))</f>
        <v/>
      </c>
      <c r="P1280" s="70" t="str">
        <f>IF(N1280="","",N1280+N(O1280))</f>
        <v/>
      </c>
      <c r="Q1280" s="64" t="n"/>
      <c r="R1280" s="73" t="str">
        <f>IF(N(Q1280)&gt;0,Q1280,IF(OR(N(B1280)=0,ISNA(MATCH($C1280,sup_code,0))),"",IF(ISNUMBER(INDEX(sup_delay,MATCH($C1280,sup_code,0))),B1280+INDEX(sup_delay,MATCH($C1280,sup_code,0)),"")))</f>
        <v/>
      </c>
      <c r="S1280" s="64" t="n"/>
      <c r="T1280" s="68" t="n"/>
      <c r="U1280" s="64" t="n"/>
      <c r="V1280" s="65" t="n"/>
      <c r="W1280" s="74" t="str">
        <f>IF(AND(A1280="",E1280=""),"",IF(V1280="Oui",0,MAX(0,ROUND(N(H1280)-N(T1280),6))))</f>
        <v/>
      </c>
      <c r="X1280" s="67" t="str">
        <f>IF(AND(A1280="",E1280=""),"",IF(V1280="Oui","Annulé",IF(AND(N(H1280)&gt;0,N(T1280)&gt;=N(H1280)),"Reçu",IF(N(S1280)=0,"Brouillon",IF(AND(ISNUMBER(R1280),R1280&lt;p_today),"En retard",IF(N(T1280)&gt;0,"Partiel","Envoyé"))))))</f>
        <v/>
      </c>
      <c r="Y1280" s="75" t="str">
        <f>IF(X1280="En retard",p_today-R1280,IF(AND(X1280="Reçu",ISNUMBER(R1280)),MAX(0,N(U1280)-R1280),""))</f>
        <v/>
      </c>
      <c r="Z1280" s="67" t="str">
        <f>IF(AND(A1280="",E1280=""),"",IF(A1280="","N° de bon manquant",IF(N(B1280)=0,"Date de commande manquante",IF(C1280="","Fournisseur manquant",IF(ISNA(MATCH($C1280,sup_code,0)),"Fournisseur inconnu",IF(E1280="","Article manquant",IF(ISNA(MATCH($E1280,art_ref,0)),"Article inconnu",IF(N(H1280)&lt;=0,"Quantité invalide",IF(J1280="","Prix manquant",IF(OR(N(K1280)&lt;0,N(K1280)&gt;=1),"Remise invalide",IF(M1280="","TVA manquante",IF(ISNA(MATCH(M1280,p_tva,0)),"Taux de TVA inconnu",IF(COUNTIFS(po_num,A1280,po_sup,"&lt;&gt;"&amp;C1280)&gt;0,"Fournisseur différent sur ce bon",IF(COUNTIFS(po_num,A1280,po_date,"&lt;&gt;"&amp;B1280)&gt;0,"Date différente sur ce bon",IF(COUNTIF(po_num,A1280)&gt;25,"Plus de 25 lignes sur ce bon",IF(R1280="","Date de livraison manquante",IF(R1280&lt;B1280,"Livraison avant la commande",IF(AND(N(T1280)&gt;0,N(S1280)=0),"Date d'envoi manquante",IF(N(T1280)&gt;N(H1280),"Reçu plus que commandé",IF(AND(N(T1280)&gt;0,N(U1280)=0),"Date de réception manquante",IF(AND(N(U1280)&gt;0,U1280&lt;B1280),"Réception avant la commande","OK")))))))))))))))))))))</f>
        <v/>
      </c>
      <c r="AA1280" s="66" t="str">
        <f>IF(AND(X1280="Reçu",ISNUMBER(R1280)),IF(N(U1280)&lt;=R1280,1,0),"")</f>
        <v/>
      </c>
      <c r="AB1280" s="76" t="str">
        <f>IF(OR(X1280="Envoyé",X1280="Partiel",X1280="En retard"),IF(ISNUMBER(R1280),R1280,100000)+ROW()/100000,"")</f>
        <v/>
      </c>
      <c r="AC1280" s="66" t="str">
        <f>IF(A1280="","",IF(COUNTIF($A$6:A1280,A1280)=1,1,""))</f>
        <v/>
      </c>
      <c r="AD1280" s="66" t="str">
        <f>IF(AC1280=1,COUNT($AC$6:AC1280),"")</f>
        <v/>
      </c>
      <c r="AE1280" s="66" t="str">
        <f>IFERROR(INDEX(po_num,MATCH(1275,po_seq,0))&amp;"","")</f>
        <v/>
      </c>
      <c r="AF1280" s="66" t="str">
        <f>IF(OR(A1280="",p_po=""),"",IF(A1280&amp;""=p_po,COUNTIF($A$6:A1280,A1280),""))</f>
        <v/>
      </c>
      <c r="AG1280" s="66" t="str">
        <f>IF(OR(AB1280="",A1280=""),"",IF(COUNTIFS($A$6:A1280,A1280,$AB$6:AB1280,"&gt;0")=1,1,""))</f>
        <v/>
      </c>
      <c r="AH1280" s="70" t="str">
        <f>IF(AB1280="","",ROUND(N(W1280)*N(J1280)*(1-N(K1280)),2))</f>
        <v/>
      </c>
      <c r="AI1280" s="70" t="str">
        <f>IF(OR(J1280="",N(T1280)&lt;=0,V1280="Oui"),"",ROUND(N(T1280)*J1280*(1-N(K1280)),2))</f>
        <v/>
      </c>
    </row>
    <row r="1281">
      <c r="A1281" s="63" t="n"/>
      <c r="B1281" s="64" t="n"/>
      <c r="C1281" s="65" t="n"/>
      <c r="D1281" s="66" t="str">
        <f>IF(C1281="","",IFERROR(INDEX(sup_name,MATCH($C1281,sup_code,0))&amp;"","Fournisseur inconnu"))</f>
        <v/>
      </c>
      <c r="E1281" s="63" t="n"/>
      <c r="F1281" s="66" t="str">
        <f>IF(E1281="","",IFERROR(INDEX(art_des,MATCH($E1281,art_ref,0))&amp;"","Article inconnu"))</f>
        <v/>
      </c>
      <c r="G1281" s="67" t="str">
        <f>IF(E1281="","",IFERROR(INDEX(art_unit,MATCH($E1281,art_ref,0))&amp;"",""))</f>
        <v/>
      </c>
      <c r="H1281" s="68" t="n"/>
      <c r="I1281" s="69" t="n"/>
      <c r="J1281" s="70" t="str">
        <f>IF(E1281="","",IF(ISNUMBER(I1281),I1281,IFERROR(IF(ISNUMBER(INDEX(art_price,MATCH($E1281,art_ref,0))),INDEX(art_price,MATCH($E1281,art_ref,0)),""),"")))</f>
        <v/>
      </c>
      <c r="K1281" s="71" t="n"/>
      <c r="L1281" s="72" t="n"/>
      <c r="M1281" s="72" t="str">
        <f>IF(E1281="","",IF(L1281&lt;&gt;"",L1281,IFERROR(IF(ISNUMBER(INDEX(art_tva,MATCH($E1281,art_ref,0))),INDEX(art_tva,MATCH($E1281,art_ref,0)),""),"")))</f>
        <v/>
      </c>
      <c r="N1281" s="70" t="str">
        <f>IF(OR(E1281="",J1281=""),"",ROUND(N(H1281)*J1281*(1-N(K1281)),2))</f>
        <v/>
      </c>
      <c r="O1281" s="70" t="str">
        <f>IF(OR(N1281="",NOT(ISNUMBER(M1281))),"",ROUND(N1281*M1281,2))</f>
        <v/>
      </c>
      <c r="P1281" s="70" t="str">
        <f>IF(N1281="","",N1281+N(O1281))</f>
        <v/>
      </c>
      <c r="Q1281" s="64" t="n"/>
      <c r="R1281" s="73" t="str">
        <f>IF(N(Q1281)&gt;0,Q1281,IF(OR(N(B1281)=0,ISNA(MATCH($C1281,sup_code,0))),"",IF(ISNUMBER(INDEX(sup_delay,MATCH($C1281,sup_code,0))),B1281+INDEX(sup_delay,MATCH($C1281,sup_code,0)),"")))</f>
        <v/>
      </c>
      <c r="S1281" s="64" t="n"/>
      <c r="T1281" s="68" t="n"/>
      <c r="U1281" s="64" t="n"/>
      <c r="V1281" s="65" t="n"/>
      <c r="W1281" s="74" t="str">
        <f>IF(AND(A1281="",E1281=""),"",IF(V1281="Oui",0,MAX(0,ROUND(N(H1281)-N(T1281),6))))</f>
        <v/>
      </c>
      <c r="X1281" s="67" t="str">
        <f>IF(AND(A1281="",E1281=""),"",IF(V1281="Oui","Annulé",IF(AND(N(H1281)&gt;0,N(T1281)&gt;=N(H1281)),"Reçu",IF(N(S1281)=0,"Brouillon",IF(AND(ISNUMBER(R1281),R1281&lt;p_today),"En retard",IF(N(T1281)&gt;0,"Partiel","Envoyé"))))))</f>
        <v/>
      </c>
      <c r="Y1281" s="75" t="str">
        <f>IF(X1281="En retard",p_today-R1281,IF(AND(X1281="Reçu",ISNUMBER(R1281)),MAX(0,N(U1281)-R1281),""))</f>
        <v/>
      </c>
      <c r="Z1281" s="67" t="str">
        <f>IF(AND(A1281="",E1281=""),"",IF(A1281="","N° de bon manquant",IF(N(B1281)=0,"Date de commande manquante",IF(C1281="","Fournisseur manquant",IF(ISNA(MATCH($C1281,sup_code,0)),"Fournisseur inconnu",IF(E1281="","Article manquant",IF(ISNA(MATCH($E1281,art_ref,0)),"Article inconnu",IF(N(H1281)&lt;=0,"Quantité invalide",IF(J1281="","Prix manquant",IF(OR(N(K1281)&lt;0,N(K1281)&gt;=1),"Remise invalide",IF(M1281="","TVA manquante",IF(ISNA(MATCH(M1281,p_tva,0)),"Taux de TVA inconnu",IF(COUNTIFS(po_num,A1281,po_sup,"&lt;&gt;"&amp;C1281)&gt;0,"Fournisseur différent sur ce bon",IF(COUNTIFS(po_num,A1281,po_date,"&lt;&gt;"&amp;B1281)&gt;0,"Date différente sur ce bon",IF(COUNTIF(po_num,A1281)&gt;25,"Plus de 25 lignes sur ce bon",IF(R1281="","Date de livraison manquante",IF(R1281&lt;B1281,"Livraison avant la commande",IF(AND(N(T1281)&gt;0,N(S1281)=0),"Date d'envoi manquante",IF(N(T1281)&gt;N(H1281),"Reçu plus que commandé",IF(AND(N(T1281)&gt;0,N(U1281)=0),"Date de réception manquante",IF(AND(N(U1281)&gt;0,U1281&lt;B1281),"Réception avant la commande","OK")))))))))))))))))))))</f>
        <v/>
      </c>
      <c r="AA1281" s="66" t="str">
        <f>IF(AND(X1281="Reçu",ISNUMBER(R1281)),IF(N(U1281)&lt;=R1281,1,0),"")</f>
        <v/>
      </c>
      <c r="AB1281" s="76" t="str">
        <f>IF(OR(X1281="Envoyé",X1281="Partiel",X1281="En retard"),IF(ISNUMBER(R1281),R1281,100000)+ROW()/100000,"")</f>
        <v/>
      </c>
      <c r="AC1281" s="66" t="str">
        <f>IF(A1281="","",IF(COUNTIF($A$6:A1281,A1281)=1,1,""))</f>
        <v/>
      </c>
      <c r="AD1281" s="66" t="str">
        <f>IF(AC1281=1,COUNT($AC$6:AC1281),"")</f>
        <v/>
      </c>
      <c r="AE1281" s="66" t="str">
        <f>IFERROR(INDEX(po_num,MATCH(1276,po_seq,0))&amp;"","")</f>
        <v/>
      </c>
      <c r="AF1281" s="66" t="str">
        <f>IF(OR(A1281="",p_po=""),"",IF(A1281&amp;""=p_po,COUNTIF($A$6:A1281,A1281),""))</f>
        <v/>
      </c>
      <c r="AG1281" s="66" t="str">
        <f>IF(OR(AB1281="",A1281=""),"",IF(COUNTIFS($A$6:A1281,A1281,$AB$6:AB1281,"&gt;0")=1,1,""))</f>
        <v/>
      </c>
      <c r="AH1281" s="70" t="str">
        <f>IF(AB1281="","",ROUND(N(W1281)*N(J1281)*(1-N(K1281)),2))</f>
        <v/>
      </c>
      <c r="AI1281" s="70" t="str">
        <f>IF(OR(J1281="",N(T1281)&lt;=0,V1281="Oui"),"",ROUND(N(T1281)*J1281*(1-N(K1281)),2))</f>
        <v/>
      </c>
    </row>
    <row r="1282">
      <c r="A1282" s="63" t="n"/>
      <c r="B1282" s="64" t="n"/>
      <c r="C1282" s="65" t="n"/>
      <c r="D1282" s="66" t="str">
        <f>IF(C1282="","",IFERROR(INDEX(sup_name,MATCH($C1282,sup_code,0))&amp;"","Fournisseur inconnu"))</f>
        <v/>
      </c>
      <c r="E1282" s="63" t="n"/>
      <c r="F1282" s="66" t="str">
        <f>IF(E1282="","",IFERROR(INDEX(art_des,MATCH($E1282,art_ref,0))&amp;"","Article inconnu"))</f>
        <v/>
      </c>
      <c r="G1282" s="67" t="str">
        <f>IF(E1282="","",IFERROR(INDEX(art_unit,MATCH($E1282,art_ref,0))&amp;"",""))</f>
        <v/>
      </c>
      <c r="H1282" s="68" t="n"/>
      <c r="I1282" s="69" t="n"/>
      <c r="J1282" s="70" t="str">
        <f>IF(E1282="","",IF(ISNUMBER(I1282),I1282,IFERROR(IF(ISNUMBER(INDEX(art_price,MATCH($E1282,art_ref,0))),INDEX(art_price,MATCH($E1282,art_ref,0)),""),"")))</f>
        <v/>
      </c>
      <c r="K1282" s="71" t="n"/>
      <c r="L1282" s="72" t="n"/>
      <c r="M1282" s="72" t="str">
        <f>IF(E1282="","",IF(L1282&lt;&gt;"",L1282,IFERROR(IF(ISNUMBER(INDEX(art_tva,MATCH($E1282,art_ref,0))),INDEX(art_tva,MATCH($E1282,art_ref,0)),""),"")))</f>
        <v/>
      </c>
      <c r="N1282" s="70" t="str">
        <f>IF(OR(E1282="",J1282=""),"",ROUND(N(H1282)*J1282*(1-N(K1282)),2))</f>
        <v/>
      </c>
      <c r="O1282" s="70" t="str">
        <f>IF(OR(N1282="",NOT(ISNUMBER(M1282))),"",ROUND(N1282*M1282,2))</f>
        <v/>
      </c>
      <c r="P1282" s="70" t="str">
        <f>IF(N1282="","",N1282+N(O1282))</f>
        <v/>
      </c>
      <c r="Q1282" s="64" t="n"/>
      <c r="R1282" s="73" t="str">
        <f>IF(N(Q1282)&gt;0,Q1282,IF(OR(N(B1282)=0,ISNA(MATCH($C1282,sup_code,0))),"",IF(ISNUMBER(INDEX(sup_delay,MATCH($C1282,sup_code,0))),B1282+INDEX(sup_delay,MATCH($C1282,sup_code,0)),"")))</f>
        <v/>
      </c>
      <c r="S1282" s="64" t="n"/>
      <c r="T1282" s="68" t="n"/>
      <c r="U1282" s="64" t="n"/>
      <c r="V1282" s="65" t="n"/>
      <c r="W1282" s="74" t="str">
        <f>IF(AND(A1282="",E1282=""),"",IF(V1282="Oui",0,MAX(0,ROUND(N(H1282)-N(T1282),6))))</f>
        <v/>
      </c>
      <c r="X1282" s="67" t="str">
        <f>IF(AND(A1282="",E1282=""),"",IF(V1282="Oui","Annulé",IF(AND(N(H1282)&gt;0,N(T1282)&gt;=N(H1282)),"Reçu",IF(N(S1282)=0,"Brouillon",IF(AND(ISNUMBER(R1282),R1282&lt;p_today),"En retard",IF(N(T1282)&gt;0,"Partiel","Envoyé"))))))</f>
        <v/>
      </c>
      <c r="Y1282" s="75" t="str">
        <f>IF(X1282="En retard",p_today-R1282,IF(AND(X1282="Reçu",ISNUMBER(R1282)),MAX(0,N(U1282)-R1282),""))</f>
        <v/>
      </c>
      <c r="Z1282" s="67" t="str">
        <f>IF(AND(A1282="",E1282=""),"",IF(A1282="","N° de bon manquant",IF(N(B1282)=0,"Date de commande manquante",IF(C1282="","Fournisseur manquant",IF(ISNA(MATCH($C1282,sup_code,0)),"Fournisseur inconnu",IF(E1282="","Article manquant",IF(ISNA(MATCH($E1282,art_ref,0)),"Article inconnu",IF(N(H1282)&lt;=0,"Quantité invalide",IF(J1282="","Prix manquant",IF(OR(N(K1282)&lt;0,N(K1282)&gt;=1),"Remise invalide",IF(M1282="","TVA manquante",IF(ISNA(MATCH(M1282,p_tva,0)),"Taux de TVA inconnu",IF(COUNTIFS(po_num,A1282,po_sup,"&lt;&gt;"&amp;C1282)&gt;0,"Fournisseur différent sur ce bon",IF(COUNTIFS(po_num,A1282,po_date,"&lt;&gt;"&amp;B1282)&gt;0,"Date différente sur ce bon",IF(COUNTIF(po_num,A1282)&gt;25,"Plus de 25 lignes sur ce bon",IF(R1282="","Date de livraison manquante",IF(R1282&lt;B1282,"Livraison avant la commande",IF(AND(N(T1282)&gt;0,N(S1282)=0),"Date d'envoi manquante",IF(N(T1282)&gt;N(H1282),"Reçu plus que commandé",IF(AND(N(T1282)&gt;0,N(U1282)=0),"Date de réception manquante",IF(AND(N(U1282)&gt;0,U1282&lt;B1282),"Réception avant la commande","OK")))))))))))))))))))))</f>
        <v/>
      </c>
      <c r="AA1282" s="66" t="str">
        <f>IF(AND(X1282="Reçu",ISNUMBER(R1282)),IF(N(U1282)&lt;=R1282,1,0),"")</f>
        <v/>
      </c>
      <c r="AB1282" s="76" t="str">
        <f>IF(OR(X1282="Envoyé",X1282="Partiel",X1282="En retard"),IF(ISNUMBER(R1282),R1282,100000)+ROW()/100000,"")</f>
        <v/>
      </c>
      <c r="AC1282" s="66" t="str">
        <f>IF(A1282="","",IF(COUNTIF($A$6:A1282,A1282)=1,1,""))</f>
        <v/>
      </c>
      <c r="AD1282" s="66" t="str">
        <f>IF(AC1282=1,COUNT($AC$6:AC1282),"")</f>
        <v/>
      </c>
      <c r="AE1282" s="66" t="str">
        <f>IFERROR(INDEX(po_num,MATCH(1277,po_seq,0))&amp;"","")</f>
        <v/>
      </c>
      <c r="AF1282" s="66" t="str">
        <f>IF(OR(A1282="",p_po=""),"",IF(A1282&amp;""=p_po,COUNTIF($A$6:A1282,A1282),""))</f>
        <v/>
      </c>
      <c r="AG1282" s="66" t="str">
        <f>IF(OR(AB1282="",A1282=""),"",IF(COUNTIFS($A$6:A1282,A1282,$AB$6:AB1282,"&gt;0")=1,1,""))</f>
        <v/>
      </c>
      <c r="AH1282" s="70" t="str">
        <f>IF(AB1282="","",ROUND(N(W1282)*N(J1282)*(1-N(K1282)),2))</f>
        <v/>
      </c>
      <c r="AI1282" s="70" t="str">
        <f>IF(OR(J1282="",N(T1282)&lt;=0,V1282="Oui"),"",ROUND(N(T1282)*J1282*(1-N(K1282)),2))</f>
        <v/>
      </c>
    </row>
    <row r="1283">
      <c r="A1283" s="63" t="n"/>
      <c r="B1283" s="64" t="n"/>
      <c r="C1283" s="65" t="n"/>
      <c r="D1283" s="66" t="str">
        <f>IF(C1283="","",IFERROR(INDEX(sup_name,MATCH($C1283,sup_code,0))&amp;"","Fournisseur inconnu"))</f>
        <v/>
      </c>
      <c r="E1283" s="63" t="n"/>
      <c r="F1283" s="66" t="str">
        <f>IF(E1283="","",IFERROR(INDEX(art_des,MATCH($E1283,art_ref,0))&amp;"","Article inconnu"))</f>
        <v/>
      </c>
      <c r="G1283" s="67" t="str">
        <f>IF(E1283="","",IFERROR(INDEX(art_unit,MATCH($E1283,art_ref,0))&amp;"",""))</f>
        <v/>
      </c>
      <c r="H1283" s="68" t="n"/>
      <c r="I1283" s="69" t="n"/>
      <c r="J1283" s="70" t="str">
        <f>IF(E1283="","",IF(ISNUMBER(I1283),I1283,IFERROR(IF(ISNUMBER(INDEX(art_price,MATCH($E1283,art_ref,0))),INDEX(art_price,MATCH($E1283,art_ref,0)),""),"")))</f>
        <v/>
      </c>
      <c r="K1283" s="71" t="n"/>
      <c r="L1283" s="72" t="n"/>
      <c r="M1283" s="72" t="str">
        <f>IF(E1283="","",IF(L1283&lt;&gt;"",L1283,IFERROR(IF(ISNUMBER(INDEX(art_tva,MATCH($E1283,art_ref,0))),INDEX(art_tva,MATCH($E1283,art_ref,0)),""),"")))</f>
        <v/>
      </c>
      <c r="N1283" s="70" t="str">
        <f>IF(OR(E1283="",J1283=""),"",ROUND(N(H1283)*J1283*(1-N(K1283)),2))</f>
        <v/>
      </c>
      <c r="O1283" s="70" t="str">
        <f>IF(OR(N1283="",NOT(ISNUMBER(M1283))),"",ROUND(N1283*M1283,2))</f>
        <v/>
      </c>
      <c r="P1283" s="70" t="str">
        <f>IF(N1283="","",N1283+N(O1283))</f>
        <v/>
      </c>
      <c r="Q1283" s="64" t="n"/>
      <c r="R1283" s="73" t="str">
        <f>IF(N(Q1283)&gt;0,Q1283,IF(OR(N(B1283)=0,ISNA(MATCH($C1283,sup_code,0))),"",IF(ISNUMBER(INDEX(sup_delay,MATCH($C1283,sup_code,0))),B1283+INDEX(sup_delay,MATCH($C1283,sup_code,0)),"")))</f>
        <v/>
      </c>
      <c r="S1283" s="64" t="n"/>
      <c r="T1283" s="68" t="n"/>
      <c r="U1283" s="64" t="n"/>
      <c r="V1283" s="65" t="n"/>
      <c r="W1283" s="74" t="str">
        <f>IF(AND(A1283="",E1283=""),"",IF(V1283="Oui",0,MAX(0,ROUND(N(H1283)-N(T1283),6))))</f>
        <v/>
      </c>
      <c r="X1283" s="67" t="str">
        <f>IF(AND(A1283="",E1283=""),"",IF(V1283="Oui","Annulé",IF(AND(N(H1283)&gt;0,N(T1283)&gt;=N(H1283)),"Reçu",IF(N(S1283)=0,"Brouillon",IF(AND(ISNUMBER(R1283),R1283&lt;p_today),"En retard",IF(N(T1283)&gt;0,"Partiel","Envoyé"))))))</f>
        <v/>
      </c>
      <c r="Y1283" s="75" t="str">
        <f>IF(X1283="En retard",p_today-R1283,IF(AND(X1283="Reçu",ISNUMBER(R1283)),MAX(0,N(U1283)-R1283),""))</f>
        <v/>
      </c>
      <c r="Z1283" s="67" t="str">
        <f>IF(AND(A1283="",E1283=""),"",IF(A1283="","N° de bon manquant",IF(N(B1283)=0,"Date de commande manquante",IF(C1283="","Fournisseur manquant",IF(ISNA(MATCH($C1283,sup_code,0)),"Fournisseur inconnu",IF(E1283="","Article manquant",IF(ISNA(MATCH($E1283,art_ref,0)),"Article inconnu",IF(N(H1283)&lt;=0,"Quantité invalide",IF(J1283="","Prix manquant",IF(OR(N(K1283)&lt;0,N(K1283)&gt;=1),"Remise invalide",IF(M1283="","TVA manquante",IF(ISNA(MATCH(M1283,p_tva,0)),"Taux de TVA inconnu",IF(COUNTIFS(po_num,A1283,po_sup,"&lt;&gt;"&amp;C1283)&gt;0,"Fournisseur différent sur ce bon",IF(COUNTIFS(po_num,A1283,po_date,"&lt;&gt;"&amp;B1283)&gt;0,"Date différente sur ce bon",IF(COUNTIF(po_num,A1283)&gt;25,"Plus de 25 lignes sur ce bon",IF(R1283="","Date de livraison manquante",IF(R1283&lt;B1283,"Livraison avant la commande",IF(AND(N(T1283)&gt;0,N(S1283)=0),"Date d'envoi manquante",IF(N(T1283)&gt;N(H1283),"Reçu plus que commandé",IF(AND(N(T1283)&gt;0,N(U1283)=0),"Date de réception manquante",IF(AND(N(U1283)&gt;0,U1283&lt;B1283),"Réception avant la commande","OK")))))))))))))))))))))</f>
        <v/>
      </c>
      <c r="AA1283" s="66" t="str">
        <f>IF(AND(X1283="Reçu",ISNUMBER(R1283)),IF(N(U1283)&lt;=R1283,1,0),"")</f>
        <v/>
      </c>
      <c r="AB1283" s="76" t="str">
        <f>IF(OR(X1283="Envoyé",X1283="Partiel",X1283="En retard"),IF(ISNUMBER(R1283),R1283,100000)+ROW()/100000,"")</f>
        <v/>
      </c>
      <c r="AC1283" s="66" t="str">
        <f>IF(A1283="","",IF(COUNTIF($A$6:A1283,A1283)=1,1,""))</f>
        <v/>
      </c>
      <c r="AD1283" s="66" t="str">
        <f>IF(AC1283=1,COUNT($AC$6:AC1283),"")</f>
        <v/>
      </c>
      <c r="AE1283" s="66" t="str">
        <f>IFERROR(INDEX(po_num,MATCH(1278,po_seq,0))&amp;"","")</f>
        <v/>
      </c>
      <c r="AF1283" s="66" t="str">
        <f>IF(OR(A1283="",p_po=""),"",IF(A1283&amp;""=p_po,COUNTIF($A$6:A1283,A1283),""))</f>
        <v/>
      </c>
      <c r="AG1283" s="66" t="str">
        <f>IF(OR(AB1283="",A1283=""),"",IF(COUNTIFS($A$6:A1283,A1283,$AB$6:AB1283,"&gt;0")=1,1,""))</f>
        <v/>
      </c>
      <c r="AH1283" s="70" t="str">
        <f>IF(AB1283="","",ROUND(N(W1283)*N(J1283)*(1-N(K1283)),2))</f>
        <v/>
      </c>
      <c r="AI1283" s="70" t="str">
        <f>IF(OR(J1283="",N(T1283)&lt;=0,V1283="Oui"),"",ROUND(N(T1283)*J1283*(1-N(K1283)),2))</f>
        <v/>
      </c>
    </row>
    <row r="1284">
      <c r="A1284" s="63" t="n"/>
      <c r="B1284" s="64" t="n"/>
      <c r="C1284" s="65" t="n"/>
      <c r="D1284" s="66" t="str">
        <f>IF(C1284="","",IFERROR(INDEX(sup_name,MATCH($C1284,sup_code,0))&amp;"","Fournisseur inconnu"))</f>
        <v/>
      </c>
      <c r="E1284" s="63" t="n"/>
      <c r="F1284" s="66" t="str">
        <f>IF(E1284="","",IFERROR(INDEX(art_des,MATCH($E1284,art_ref,0))&amp;"","Article inconnu"))</f>
        <v/>
      </c>
      <c r="G1284" s="67" t="str">
        <f>IF(E1284="","",IFERROR(INDEX(art_unit,MATCH($E1284,art_ref,0))&amp;"",""))</f>
        <v/>
      </c>
      <c r="H1284" s="68" t="n"/>
      <c r="I1284" s="69" t="n"/>
      <c r="J1284" s="70" t="str">
        <f>IF(E1284="","",IF(ISNUMBER(I1284),I1284,IFERROR(IF(ISNUMBER(INDEX(art_price,MATCH($E1284,art_ref,0))),INDEX(art_price,MATCH($E1284,art_ref,0)),""),"")))</f>
        <v/>
      </c>
      <c r="K1284" s="71" t="n"/>
      <c r="L1284" s="72" t="n"/>
      <c r="M1284" s="72" t="str">
        <f>IF(E1284="","",IF(L1284&lt;&gt;"",L1284,IFERROR(IF(ISNUMBER(INDEX(art_tva,MATCH($E1284,art_ref,0))),INDEX(art_tva,MATCH($E1284,art_ref,0)),""),"")))</f>
        <v/>
      </c>
      <c r="N1284" s="70" t="str">
        <f>IF(OR(E1284="",J1284=""),"",ROUND(N(H1284)*J1284*(1-N(K1284)),2))</f>
        <v/>
      </c>
      <c r="O1284" s="70" t="str">
        <f>IF(OR(N1284="",NOT(ISNUMBER(M1284))),"",ROUND(N1284*M1284,2))</f>
        <v/>
      </c>
      <c r="P1284" s="70" t="str">
        <f>IF(N1284="","",N1284+N(O1284))</f>
        <v/>
      </c>
      <c r="Q1284" s="64" t="n"/>
      <c r="R1284" s="73" t="str">
        <f>IF(N(Q1284)&gt;0,Q1284,IF(OR(N(B1284)=0,ISNA(MATCH($C1284,sup_code,0))),"",IF(ISNUMBER(INDEX(sup_delay,MATCH($C1284,sup_code,0))),B1284+INDEX(sup_delay,MATCH($C1284,sup_code,0)),"")))</f>
        <v/>
      </c>
      <c r="S1284" s="64" t="n"/>
      <c r="T1284" s="68" t="n"/>
      <c r="U1284" s="64" t="n"/>
      <c r="V1284" s="65" t="n"/>
      <c r="W1284" s="74" t="str">
        <f>IF(AND(A1284="",E1284=""),"",IF(V1284="Oui",0,MAX(0,ROUND(N(H1284)-N(T1284),6))))</f>
        <v/>
      </c>
      <c r="X1284" s="67" t="str">
        <f>IF(AND(A1284="",E1284=""),"",IF(V1284="Oui","Annulé",IF(AND(N(H1284)&gt;0,N(T1284)&gt;=N(H1284)),"Reçu",IF(N(S1284)=0,"Brouillon",IF(AND(ISNUMBER(R1284),R1284&lt;p_today),"En retard",IF(N(T1284)&gt;0,"Partiel","Envoyé"))))))</f>
        <v/>
      </c>
      <c r="Y1284" s="75" t="str">
        <f>IF(X1284="En retard",p_today-R1284,IF(AND(X1284="Reçu",ISNUMBER(R1284)),MAX(0,N(U1284)-R1284),""))</f>
        <v/>
      </c>
      <c r="Z1284" s="67" t="str">
        <f>IF(AND(A1284="",E1284=""),"",IF(A1284="","N° de bon manquant",IF(N(B1284)=0,"Date de commande manquante",IF(C1284="","Fournisseur manquant",IF(ISNA(MATCH($C1284,sup_code,0)),"Fournisseur inconnu",IF(E1284="","Article manquant",IF(ISNA(MATCH($E1284,art_ref,0)),"Article inconnu",IF(N(H1284)&lt;=0,"Quantité invalide",IF(J1284="","Prix manquant",IF(OR(N(K1284)&lt;0,N(K1284)&gt;=1),"Remise invalide",IF(M1284="","TVA manquante",IF(ISNA(MATCH(M1284,p_tva,0)),"Taux de TVA inconnu",IF(COUNTIFS(po_num,A1284,po_sup,"&lt;&gt;"&amp;C1284)&gt;0,"Fournisseur différent sur ce bon",IF(COUNTIFS(po_num,A1284,po_date,"&lt;&gt;"&amp;B1284)&gt;0,"Date différente sur ce bon",IF(COUNTIF(po_num,A1284)&gt;25,"Plus de 25 lignes sur ce bon",IF(R1284="","Date de livraison manquante",IF(R1284&lt;B1284,"Livraison avant la commande",IF(AND(N(T1284)&gt;0,N(S1284)=0),"Date d'envoi manquante",IF(N(T1284)&gt;N(H1284),"Reçu plus que commandé",IF(AND(N(T1284)&gt;0,N(U1284)=0),"Date de réception manquante",IF(AND(N(U1284)&gt;0,U1284&lt;B1284),"Réception avant la commande","OK")))))))))))))))))))))</f>
        <v/>
      </c>
      <c r="AA1284" s="66" t="str">
        <f>IF(AND(X1284="Reçu",ISNUMBER(R1284)),IF(N(U1284)&lt;=R1284,1,0),"")</f>
        <v/>
      </c>
      <c r="AB1284" s="76" t="str">
        <f>IF(OR(X1284="Envoyé",X1284="Partiel",X1284="En retard"),IF(ISNUMBER(R1284),R1284,100000)+ROW()/100000,"")</f>
        <v/>
      </c>
      <c r="AC1284" s="66" t="str">
        <f>IF(A1284="","",IF(COUNTIF($A$6:A1284,A1284)=1,1,""))</f>
        <v/>
      </c>
      <c r="AD1284" s="66" t="str">
        <f>IF(AC1284=1,COUNT($AC$6:AC1284),"")</f>
        <v/>
      </c>
      <c r="AE1284" s="66" t="str">
        <f>IFERROR(INDEX(po_num,MATCH(1279,po_seq,0))&amp;"","")</f>
        <v/>
      </c>
      <c r="AF1284" s="66" t="str">
        <f>IF(OR(A1284="",p_po=""),"",IF(A1284&amp;""=p_po,COUNTIF($A$6:A1284,A1284),""))</f>
        <v/>
      </c>
      <c r="AG1284" s="66" t="str">
        <f>IF(OR(AB1284="",A1284=""),"",IF(COUNTIFS($A$6:A1284,A1284,$AB$6:AB1284,"&gt;0")=1,1,""))</f>
        <v/>
      </c>
      <c r="AH1284" s="70" t="str">
        <f>IF(AB1284="","",ROUND(N(W1284)*N(J1284)*(1-N(K1284)),2))</f>
        <v/>
      </c>
      <c r="AI1284" s="70" t="str">
        <f>IF(OR(J1284="",N(T1284)&lt;=0,V1284="Oui"),"",ROUND(N(T1284)*J1284*(1-N(K1284)),2))</f>
        <v/>
      </c>
    </row>
    <row r="1285">
      <c r="A1285" s="63" t="n"/>
      <c r="B1285" s="64" t="n"/>
      <c r="C1285" s="65" t="n"/>
      <c r="D1285" s="66" t="str">
        <f>IF(C1285="","",IFERROR(INDEX(sup_name,MATCH($C1285,sup_code,0))&amp;"","Fournisseur inconnu"))</f>
        <v/>
      </c>
      <c r="E1285" s="63" t="n"/>
      <c r="F1285" s="66" t="str">
        <f>IF(E1285="","",IFERROR(INDEX(art_des,MATCH($E1285,art_ref,0))&amp;"","Article inconnu"))</f>
        <v/>
      </c>
      <c r="G1285" s="67" t="str">
        <f>IF(E1285="","",IFERROR(INDEX(art_unit,MATCH($E1285,art_ref,0))&amp;"",""))</f>
        <v/>
      </c>
      <c r="H1285" s="68" t="n"/>
      <c r="I1285" s="69" t="n"/>
      <c r="J1285" s="70" t="str">
        <f>IF(E1285="","",IF(ISNUMBER(I1285),I1285,IFERROR(IF(ISNUMBER(INDEX(art_price,MATCH($E1285,art_ref,0))),INDEX(art_price,MATCH($E1285,art_ref,0)),""),"")))</f>
        <v/>
      </c>
      <c r="K1285" s="71" t="n"/>
      <c r="L1285" s="72" t="n"/>
      <c r="M1285" s="72" t="str">
        <f>IF(E1285="","",IF(L1285&lt;&gt;"",L1285,IFERROR(IF(ISNUMBER(INDEX(art_tva,MATCH($E1285,art_ref,0))),INDEX(art_tva,MATCH($E1285,art_ref,0)),""),"")))</f>
        <v/>
      </c>
      <c r="N1285" s="70" t="str">
        <f>IF(OR(E1285="",J1285=""),"",ROUND(N(H1285)*J1285*(1-N(K1285)),2))</f>
        <v/>
      </c>
      <c r="O1285" s="70" t="str">
        <f>IF(OR(N1285="",NOT(ISNUMBER(M1285))),"",ROUND(N1285*M1285,2))</f>
        <v/>
      </c>
      <c r="P1285" s="70" t="str">
        <f>IF(N1285="","",N1285+N(O1285))</f>
        <v/>
      </c>
      <c r="Q1285" s="64" t="n"/>
      <c r="R1285" s="73" t="str">
        <f>IF(N(Q1285)&gt;0,Q1285,IF(OR(N(B1285)=0,ISNA(MATCH($C1285,sup_code,0))),"",IF(ISNUMBER(INDEX(sup_delay,MATCH($C1285,sup_code,0))),B1285+INDEX(sup_delay,MATCH($C1285,sup_code,0)),"")))</f>
        <v/>
      </c>
      <c r="S1285" s="64" t="n"/>
      <c r="T1285" s="68" t="n"/>
      <c r="U1285" s="64" t="n"/>
      <c r="V1285" s="65" t="n"/>
      <c r="W1285" s="74" t="str">
        <f>IF(AND(A1285="",E1285=""),"",IF(V1285="Oui",0,MAX(0,ROUND(N(H1285)-N(T1285),6))))</f>
        <v/>
      </c>
      <c r="X1285" s="67" t="str">
        <f>IF(AND(A1285="",E1285=""),"",IF(V1285="Oui","Annulé",IF(AND(N(H1285)&gt;0,N(T1285)&gt;=N(H1285)),"Reçu",IF(N(S1285)=0,"Brouillon",IF(AND(ISNUMBER(R1285),R1285&lt;p_today),"En retard",IF(N(T1285)&gt;0,"Partiel","Envoyé"))))))</f>
        <v/>
      </c>
      <c r="Y1285" s="75" t="str">
        <f>IF(X1285="En retard",p_today-R1285,IF(AND(X1285="Reçu",ISNUMBER(R1285)),MAX(0,N(U1285)-R1285),""))</f>
        <v/>
      </c>
      <c r="Z1285" s="67" t="str">
        <f>IF(AND(A1285="",E1285=""),"",IF(A1285="","N° de bon manquant",IF(N(B1285)=0,"Date de commande manquante",IF(C1285="","Fournisseur manquant",IF(ISNA(MATCH($C1285,sup_code,0)),"Fournisseur inconnu",IF(E1285="","Article manquant",IF(ISNA(MATCH($E1285,art_ref,0)),"Article inconnu",IF(N(H1285)&lt;=0,"Quantité invalide",IF(J1285="","Prix manquant",IF(OR(N(K1285)&lt;0,N(K1285)&gt;=1),"Remise invalide",IF(M1285="","TVA manquante",IF(ISNA(MATCH(M1285,p_tva,0)),"Taux de TVA inconnu",IF(COUNTIFS(po_num,A1285,po_sup,"&lt;&gt;"&amp;C1285)&gt;0,"Fournisseur différent sur ce bon",IF(COUNTIFS(po_num,A1285,po_date,"&lt;&gt;"&amp;B1285)&gt;0,"Date différente sur ce bon",IF(COUNTIF(po_num,A1285)&gt;25,"Plus de 25 lignes sur ce bon",IF(R1285="","Date de livraison manquante",IF(R1285&lt;B1285,"Livraison avant la commande",IF(AND(N(T1285)&gt;0,N(S1285)=0),"Date d'envoi manquante",IF(N(T1285)&gt;N(H1285),"Reçu plus que commandé",IF(AND(N(T1285)&gt;0,N(U1285)=0),"Date de réception manquante",IF(AND(N(U1285)&gt;0,U1285&lt;B1285),"Réception avant la commande","OK")))))))))))))))))))))</f>
        <v/>
      </c>
      <c r="AA1285" s="66" t="str">
        <f>IF(AND(X1285="Reçu",ISNUMBER(R1285)),IF(N(U1285)&lt;=R1285,1,0),"")</f>
        <v/>
      </c>
      <c r="AB1285" s="76" t="str">
        <f>IF(OR(X1285="Envoyé",X1285="Partiel",X1285="En retard"),IF(ISNUMBER(R1285),R1285,100000)+ROW()/100000,"")</f>
        <v/>
      </c>
      <c r="AC1285" s="66" t="str">
        <f>IF(A1285="","",IF(COUNTIF($A$6:A1285,A1285)=1,1,""))</f>
        <v/>
      </c>
      <c r="AD1285" s="66" t="str">
        <f>IF(AC1285=1,COUNT($AC$6:AC1285),"")</f>
        <v/>
      </c>
      <c r="AE1285" s="66" t="str">
        <f>IFERROR(INDEX(po_num,MATCH(1280,po_seq,0))&amp;"","")</f>
        <v/>
      </c>
      <c r="AF1285" s="66" t="str">
        <f>IF(OR(A1285="",p_po=""),"",IF(A1285&amp;""=p_po,COUNTIF($A$6:A1285,A1285),""))</f>
        <v/>
      </c>
      <c r="AG1285" s="66" t="str">
        <f>IF(OR(AB1285="",A1285=""),"",IF(COUNTIFS($A$6:A1285,A1285,$AB$6:AB1285,"&gt;0")=1,1,""))</f>
        <v/>
      </c>
      <c r="AH1285" s="70" t="str">
        <f>IF(AB1285="","",ROUND(N(W1285)*N(J1285)*(1-N(K1285)),2))</f>
        <v/>
      </c>
      <c r="AI1285" s="70" t="str">
        <f>IF(OR(J1285="",N(T1285)&lt;=0,V1285="Oui"),"",ROUND(N(T1285)*J1285*(1-N(K1285)),2))</f>
        <v/>
      </c>
    </row>
    <row r="1286">
      <c r="A1286" s="63" t="n"/>
      <c r="B1286" s="64" t="n"/>
      <c r="C1286" s="65" t="n"/>
      <c r="D1286" s="66" t="str">
        <f>IF(C1286="","",IFERROR(INDEX(sup_name,MATCH($C1286,sup_code,0))&amp;"","Fournisseur inconnu"))</f>
        <v/>
      </c>
      <c r="E1286" s="63" t="n"/>
      <c r="F1286" s="66" t="str">
        <f>IF(E1286="","",IFERROR(INDEX(art_des,MATCH($E1286,art_ref,0))&amp;"","Article inconnu"))</f>
        <v/>
      </c>
      <c r="G1286" s="67" t="str">
        <f>IF(E1286="","",IFERROR(INDEX(art_unit,MATCH($E1286,art_ref,0))&amp;"",""))</f>
        <v/>
      </c>
      <c r="H1286" s="68" t="n"/>
      <c r="I1286" s="69" t="n"/>
      <c r="J1286" s="70" t="str">
        <f>IF(E1286="","",IF(ISNUMBER(I1286),I1286,IFERROR(IF(ISNUMBER(INDEX(art_price,MATCH($E1286,art_ref,0))),INDEX(art_price,MATCH($E1286,art_ref,0)),""),"")))</f>
        <v/>
      </c>
      <c r="K1286" s="71" t="n"/>
      <c r="L1286" s="72" t="n"/>
      <c r="M1286" s="72" t="str">
        <f>IF(E1286="","",IF(L1286&lt;&gt;"",L1286,IFERROR(IF(ISNUMBER(INDEX(art_tva,MATCH($E1286,art_ref,0))),INDEX(art_tva,MATCH($E1286,art_ref,0)),""),"")))</f>
        <v/>
      </c>
      <c r="N1286" s="70" t="str">
        <f>IF(OR(E1286="",J1286=""),"",ROUND(N(H1286)*J1286*(1-N(K1286)),2))</f>
        <v/>
      </c>
      <c r="O1286" s="70" t="str">
        <f>IF(OR(N1286="",NOT(ISNUMBER(M1286))),"",ROUND(N1286*M1286,2))</f>
        <v/>
      </c>
      <c r="P1286" s="70" t="str">
        <f>IF(N1286="","",N1286+N(O1286))</f>
        <v/>
      </c>
      <c r="Q1286" s="64" t="n"/>
      <c r="R1286" s="73" t="str">
        <f>IF(N(Q1286)&gt;0,Q1286,IF(OR(N(B1286)=0,ISNA(MATCH($C1286,sup_code,0))),"",IF(ISNUMBER(INDEX(sup_delay,MATCH($C1286,sup_code,0))),B1286+INDEX(sup_delay,MATCH($C1286,sup_code,0)),"")))</f>
        <v/>
      </c>
      <c r="S1286" s="64" t="n"/>
      <c r="T1286" s="68" t="n"/>
      <c r="U1286" s="64" t="n"/>
      <c r="V1286" s="65" t="n"/>
      <c r="W1286" s="74" t="str">
        <f>IF(AND(A1286="",E1286=""),"",IF(V1286="Oui",0,MAX(0,ROUND(N(H1286)-N(T1286),6))))</f>
        <v/>
      </c>
      <c r="X1286" s="67" t="str">
        <f>IF(AND(A1286="",E1286=""),"",IF(V1286="Oui","Annulé",IF(AND(N(H1286)&gt;0,N(T1286)&gt;=N(H1286)),"Reçu",IF(N(S1286)=0,"Brouillon",IF(AND(ISNUMBER(R1286),R1286&lt;p_today),"En retard",IF(N(T1286)&gt;0,"Partiel","Envoyé"))))))</f>
        <v/>
      </c>
      <c r="Y1286" s="75" t="str">
        <f>IF(X1286="En retard",p_today-R1286,IF(AND(X1286="Reçu",ISNUMBER(R1286)),MAX(0,N(U1286)-R1286),""))</f>
        <v/>
      </c>
      <c r="Z1286" s="67" t="str">
        <f>IF(AND(A1286="",E1286=""),"",IF(A1286="","N° de bon manquant",IF(N(B1286)=0,"Date de commande manquante",IF(C1286="","Fournisseur manquant",IF(ISNA(MATCH($C1286,sup_code,0)),"Fournisseur inconnu",IF(E1286="","Article manquant",IF(ISNA(MATCH($E1286,art_ref,0)),"Article inconnu",IF(N(H1286)&lt;=0,"Quantité invalide",IF(J1286="","Prix manquant",IF(OR(N(K1286)&lt;0,N(K1286)&gt;=1),"Remise invalide",IF(M1286="","TVA manquante",IF(ISNA(MATCH(M1286,p_tva,0)),"Taux de TVA inconnu",IF(COUNTIFS(po_num,A1286,po_sup,"&lt;&gt;"&amp;C1286)&gt;0,"Fournisseur différent sur ce bon",IF(COUNTIFS(po_num,A1286,po_date,"&lt;&gt;"&amp;B1286)&gt;0,"Date différente sur ce bon",IF(COUNTIF(po_num,A1286)&gt;25,"Plus de 25 lignes sur ce bon",IF(R1286="","Date de livraison manquante",IF(R1286&lt;B1286,"Livraison avant la commande",IF(AND(N(T1286)&gt;0,N(S1286)=0),"Date d'envoi manquante",IF(N(T1286)&gt;N(H1286),"Reçu plus que commandé",IF(AND(N(T1286)&gt;0,N(U1286)=0),"Date de réception manquante",IF(AND(N(U1286)&gt;0,U1286&lt;B1286),"Réception avant la commande","OK")))))))))))))))))))))</f>
        <v/>
      </c>
      <c r="AA1286" s="66" t="str">
        <f>IF(AND(X1286="Reçu",ISNUMBER(R1286)),IF(N(U1286)&lt;=R1286,1,0),"")</f>
        <v/>
      </c>
      <c r="AB1286" s="76" t="str">
        <f>IF(OR(X1286="Envoyé",X1286="Partiel",X1286="En retard"),IF(ISNUMBER(R1286),R1286,100000)+ROW()/100000,"")</f>
        <v/>
      </c>
      <c r="AC1286" s="66" t="str">
        <f>IF(A1286="","",IF(COUNTIF($A$6:A1286,A1286)=1,1,""))</f>
        <v/>
      </c>
      <c r="AD1286" s="66" t="str">
        <f>IF(AC1286=1,COUNT($AC$6:AC1286),"")</f>
        <v/>
      </c>
      <c r="AE1286" s="66" t="str">
        <f>IFERROR(INDEX(po_num,MATCH(1281,po_seq,0))&amp;"","")</f>
        <v/>
      </c>
      <c r="AF1286" s="66" t="str">
        <f>IF(OR(A1286="",p_po=""),"",IF(A1286&amp;""=p_po,COUNTIF($A$6:A1286,A1286),""))</f>
        <v/>
      </c>
      <c r="AG1286" s="66" t="str">
        <f>IF(OR(AB1286="",A1286=""),"",IF(COUNTIFS($A$6:A1286,A1286,$AB$6:AB1286,"&gt;0")=1,1,""))</f>
        <v/>
      </c>
      <c r="AH1286" s="70" t="str">
        <f>IF(AB1286="","",ROUND(N(W1286)*N(J1286)*(1-N(K1286)),2))</f>
        <v/>
      </c>
      <c r="AI1286" s="70" t="str">
        <f>IF(OR(J1286="",N(T1286)&lt;=0,V1286="Oui"),"",ROUND(N(T1286)*J1286*(1-N(K1286)),2))</f>
        <v/>
      </c>
    </row>
    <row r="1287">
      <c r="A1287" s="63" t="n"/>
      <c r="B1287" s="64" t="n"/>
      <c r="C1287" s="65" t="n"/>
      <c r="D1287" s="66" t="str">
        <f>IF(C1287="","",IFERROR(INDEX(sup_name,MATCH($C1287,sup_code,0))&amp;"","Fournisseur inconnu"))</f>
        <v/>
      </c>
      <c r="E1287" s="63" t="n"/>
      <c r="F1287" s="66" t="str">
        <f>IF(E1287="","",IFERROR(INDEX(art_des,MATCH($E1287,art_ref,0))&amp;"","Article inconnu"))</f>
        <v/>
      </c>
      <c r="G1287" s="67" t="str">
        <f>IF(E1287="","",IFERROR(INDEX(art_unit,MATCH($E1287,art_ref,0))&amp;"",""))</f>
        <v/>
      </c>
      <c r="H1287" s="68" t="n"/>
      <c r="I1287" s="69" t="n"/>
      <c r="J1287" s="70" t="str">
        <f>IF(E1287="","",IF(ISNUMBER(I1287),I1287,IFERROR(IF(ISNUMBER(INDEX(art_price,MATCH($E1287,art_ref,0))),INDEX(art_price,MATCH($E1287,art_ref,0)),""),"")))</f>
        <v/>
      </c>
      <c r="K1287" s="71" t="n"/>
      <c r="L1287" s="72" t="n"/>
      <c r="M1287" s="72" t="str">
        <f>IF(E1287="","",IF(L1287&lt;&gt;"",L1287,IFERROR(IF(ISNUMBER(INDEX(art_tva,MATCH($E1287,art_ref,0))),INDEX(art_tva,MATCH($E1287,art_ref,0)),""),"")))</f>
        <v/>
      </c>
      <c r="N1287" s="70" t="str">
        <f>IF(OR(E1287="",J1287=""),"",ROUND(N(H1287)*J1287*(1-N(K1287)),2))</f>
        <v/>
      </c>
      <c r="O1287" s="70" t="str">
        <f>IF(OR(N1287="",NOT(ISNUMBER(M1287))),"",ROUND(N1287*M1287,2))</f>
        <v/>
      </c>
      <c r="P1287" s="70" t="str">
        <f>IF(N1287="","",N1287+N(O1287))</f>
        <v/>
      </c>
      <c r="Q1287" s="64" t="n"/>
      <c r="R1287" s="73" t="str">
        <f>IF(N(Q1287)&gt;0,Q1287,IF(OR(N(B1287)=0,ISNA(MATCH($C1287,sup_code,0))),"",IF(ISNUMBER(INDEX(sup_delay,MATCH($C1287,sup_code,0))),B1287+INDEX(sup_delay,MATCH($C1287,sup_code,0)),"")))</f>
        <v/>
      </c>
      <c r="S1287" s="64" t="n"/>
      <c r="T1287" s="68" t="n"/>
      <c r="U1287" s="64" t="n"/>
      <c r="V1287" s="65" t="n"/>
      <c r="W1287" s="74" t="str">
        <f>IF(AND(A1287="",E1287=""),"",IF(V1287="Oui",0,MAX(0,ROUND(N(H1287)-N(T1287),6))))</f>
        <v/>
      </c>
      <c r="X1287" s="67" t="str">
        <f>IF(AND(A1287="",E1287=""),"",IF(V1287="Oui","Annulé",IF(AND(N(H1287)&gt;0,N(T1287)&gt;=N(H1287)),"Reçu",IF(N(S1287)=0,"Brouillon",IF(AND(ISNUMBER(R1287),R1287&lt;p_today),"En retard",IF(N(T1287)&gt;0,"Partiel","Envoyé"))))))</f>
        <v/>
      </c>
      <c r="Y1287" s="75" t="str">
        <f>IF(X1287="En retard",p_today-R1287,IF(AND(X1287="Reçu",ISNUMBER(R1287)),MAX(0,N(U1287)-R1287),""))</f>
        <v/>
      </c>
      <c r="Z1287" s="67" t="str">
        <f>IF(AND(A1287="",E1287=""),"",IF(A1287="","N° de bon manquant",IF(N(B1287)=0,"Date de commande manquante",IF(C1287="","Fournisseur manquant",IF(ISNA(MATCH($C1287,sup_code,0)),"Fournisseur inconnu",IF(E1287="","Article manquant",IF(ISNA(MATCH($E1287,art_ref,0)),"Article inconnu",IF(N(H1287)&lt;=0,"Quantité invalide",IF(J1287="","Prix manquant",IF(OR(N(K1287)&lt;0,N(K1287)&gt;=1),"Remise invalide",IF(M1287="","TVA manquante",IF(ISNA(MATCH(M1287,p_tva,0)),"Taux de TVA inconnu",IF(COUNTIFS(po_num,A1287,po_sup,"&lt;&gt;"&amp;C1287)&gt;0,"Fournisseur différent sur ce bon",IF(COUNTIFS(po_num,A1287,po_date,"&lt;&gt;"&amp;B1287)&gt;0,"Date différente sur ce bon",IF(COUNTIF(po_num,A1287)&gt;25,"Plus de 25 lignes sur ce bon",IF(R1287="","Date de livraison manquante",IF(R1287&lt;B1287,"Livraison avant la commande",IF(AND(N(T1287)&gt;0,N(S1287)=0),"Date d'envoi manquante",IF(N(T1287)&gt;N(H1287),"Reçu plus que commandé",IF(AND(N(T1287)&gt;0,N(U1287)=0),"Date de réception manquante",IF(AND(N(U1287)&gt;0,U1287&lt;B1287),"Réception avant la commande","OK")))))))))))))))))))))</f>
        <v/>
      </c>
      <c r="AA1287" s="66" t="str">
        <f>IF(AND(X1287="Reçu",ISNUMBER(R1287)),IF(N(U1287)&lt;=R1287,1,0),"")</f>
        <v/>
      </c>
      <c r="AB1287" s="76" t="str">
        <f>IF(OR(X1287="Envoyé",X1287="Partiel",X1287="En retard"),IF(ISNUMBER(R1287),R1287,100000)+ROW()/100000,"")</f>
        <v/>
      </c>
      <c r="AC1287" s="66" t="str">
        <f>IF(A1287="","",IF(COUNTIF($A$6:A1287,A1287)=1,1,""))</f>
        <v/>
      </c>
      <c r="AD1287" s="66" t="str">
        <f>IF(AC1287=1,COUNT($AC$6:AC1287),"")</f>
        <v/>
      </c>
      <c r="AE1287" s="66" t="str">
        <f>IFERROR(INDEX(po_num,MATCH(1282,po_seq,0))&amp;"","")</f>
        <v/>
      </c>
      <c r="AF1287" s="66" t="str">
        <f>IF(OR(A1287="",p_po=""),"",IF(A1287&amp;""=p_po,COUNTIF($A$6:A1287,A1287),""))</f>
        <v/>
      </c>
      <c r="AG1287" s="66" t="str">
        <f>IF(OR(AB1287="",A1287=""),"",IF(COUNTIFS($A$6:A1287,A1287,$AB$6:AB1287,"&gt;0")=1,1,""))</f>
        <v/>
      </c>
      <c r="AH1287" s="70" t="str">
        <f>IF(AB1287="","",ROUND(N(W1287)*N(J1287)*(1-N(K1287)),2))</f>
        <v/>
      </c>
      <c r="AI1287" s="70" t="str">
        <f>IF(OR(J1287="",N(T1287)&lt;=0,V1287="Oui"),"",ROUND(N(T1287)*J1287*(1-N(K1287)),2))</f>
        <v/>
      </c>
    </row>
    <row r="1288">
      <c r="A1288" s="63" t="n"/>
      <c r="B1288" s="64" t="n"/>
      <c r="C1288" s="65" t="n"/>
      <c r="D1288" s="66" t="str">
        <f>IF(C1288="","",IFERROR(INDEX(sup_name,MATCH($C1288,sup_code,0))&amp;"","Fournisseur inconnu"))</f>
        <v/>
      </c>
      <c r="E1288" s="63" t="n"/>
      <c r="F1288" s="66" t="str">
        <f>IF(E1288="","",IFERROR(INDEX(art_des,MATCH($E1288,art_ref,0))&amp;"","Article inconnu"))</f>
        <v/>
      </c>
      <c r="G1288" s="67" t="str">
        <f>IF(E1288="","",IFERROR(INDEX(art_unit,MATCH($E1288,art_ref,0))&amp;"",""))</f>
        <v/>
      </c>
      <c r="H1288" s="68" t="n"/>
      <c r="I1288" s="69" t="n"/>
      <c r="J1288" s="70" t="str">
        <f>IF(E1288="","",IF(ISNUMBER(I1288),I1288,IFERROR(IF(ISNUMBER(INDEX(art_price,MATCH($E1288,art_ref,0))),INDEX(art_price,MATCH($E1288,art_ref,0)),""),"")))</f>
        <v/>
      </c>
      <c r="K1288" s="71" t="n"/>
      <c r="L1288" s="72" t="n"/>
      <c r="M1288" s="72" t="str">
        <f>IF(E1288="","",IF(L1288&lt;&gt;"",L1288,IFERROR(IF(ISNUMBER(INDEX(art_tva,MATCH($E1288,art_ref,0))),INDEX(art_tva,MATCH($E1288,art_ref,0)),""),"")))</f>
        <v/>
      </c>
      <c r="N1288" s="70" t="str">
        <f>IF(OR(E1288="",J1288=""),"",ROUND(N(H1288)*J1288*(1-N(K1288)),2))</f>
        <v/>
      </c>
      <c r="O1288" s="70" t="str">
        <f>IF(OR(N1288="",NOT(ISNUMBER(M1288))),"",ROUND(N1288*M1288,2))</f>
        <v/>
      </c>
      <c r="P1288" s="70" t="str">
        <f>IF(N1288="","",N1288+N(O1288))</f>
        <v/>
      </c>
      <c r="Q1288" s="64" t="n"/>
      <c r="R1288" s="73" t="str">
        <f>IF(N(Q1288)&gt;0,Q1288,IF(OR(N(B1288)=0,ISNA(MATCH($C1288,sup_code,0))),"",IF(ISNUMBER(INDEX(sup_delay,MATCH($C1288,sup_code,0))),B1288+INDEX(sup_delay,MATCH($C1288,sup_code,0)),"")))</f>
        <v/>
      </c>
      <c r="S1288" s="64" t="n"/>
      <c r="T1288" s="68" t="n"/>
      <c r="U1288" s="64" t="n"/>
      <c r="V1288" s="65" t="n"/>
      <c r="W1288" s="74" t="str">
        <f>IF(AND(A1288="",E1288=""),"",IF(V1288="Oui",0,MAX(0,ROUND(N(H1288)-N(T1288),6))))</f>
        <v/>
      </c>
      <c r="X1288" s="67" t="str">
        <f>IF(AND(A1288="",E1288=""),"",IF(V1288="Oui","Annulé",IF(AND(N(H1288)&gt;0,N(T1288)&gt;=N(H1288)),"Reçu",IF(N(S1288)=0,"Brouillon",IF(AND(ISNUMBER(R1288),R1288&lt;p_today),"En retard",IF(N(T1288)&gt;0,"Partiel","Envoyé"))))))</f>
        <v/>
      </c>
      <c r="Y1288" s="75" t="str">
        <f>IF(X1288="En retard",p_today-R1288,IF(AND(X1288="Reçu",ISNUMBER(R1288)),MAX(0,N(U1288)-R1288),""))</f>
        <v/>
      </c>
      <c r="Z1288" s="67" t="str">
        <f>IF(AND(A1288="",E1288=""),"",IF(A1288="","N° de bon manquant",IF(N(B1288)=0,"Date de commande manquante",IF(C1288="","Fournisseur manquant",IF(ISNA(MATCH($C1288,sup_code,0)),"Fournisseur inconnu",IF(E1288="","Article manquant",IF(ISNA(MATCH($E1288,art_ref,0)),"Article inconnu",IF(N(H1288)&lt;=0,"Quantité invalide",IF(J1288="","Prix manquant",IF(OR(N(K1288)&lt;0,N(K1288)&gt;=1),"Remise invalide",IF(M1288="","TVA manquante",IF(ISNA(MATCH(M1288,p_tva,0)),"Taux de TVA inconnu",IF(COUNTIFS(po_num,A1288,po_sup,"&lt;&gt;"&amp;C1288)&gt;0,"Fournisseur différent sur ce bon",IF(COUNTIFS(po_num,A1288,po_date,"&lt;&gt;"&amp;B1288)&gt;0,"Date différente sur ce bon",IF(COUNTIF(po_num,A1288)&gt;25,"Plus de 25 lignes sur ce bon",IF(R1288="","Date de livraison manquante",IF(R1288&lt;B1288,"Livraison avant la commande",IF(AND(N(T1288)&gt;0,N(S1288)=0),"Date d'envoi manquante",IF(N(T1288)&gt;N(H1288),"Reçu plus que commandé",IF(AND(N(T1288)&gt;0,N(U1288)=0),"Date de réception manquante",IF(AND(N(U1288)&gt;0,U1288&lt;B1288),"Réception avant la commande","OK")))))))))))))))))))))</f>
        <v/>
      </c>
      <c r="AA1288" s="66" t="str">
        <f>IF(AND(X1288="Reçu",ISNUMBER(R1288)),IF(N(U1288)&lt;=R1288,1,0),"")</f>
        <v/>
      </c>
      <c r="AB1288" s="76" t="str">
        <f>IF(OR(X1288="Envoyé",X1288="Partiel",X1288="En retard"),IF(ISNUMBER(R1288),R1288,100000)+ROW()/100000,"")</f>
        <v/>
      </c>
      <c r="AC1288" s="66" t="str">
        <f>IF(A1288="","",IF(COUNTIF($A$6:A1288,A1288)=1,1,""))</f>
        <v/>
      </c>
      <c r="AD1288" s="66" t="str">
        <f>IF(AC1288=1,COUNT($AC$6:AC1288),"")</f>
        <v/>
      </c>
      <c r="AE1288" s="66" t="str">
        <f>IFERROR(INDEX(po_num,MATCH(1283,po_seq,0))&amp;"","")</f>
        <v/>
      </c>
      <c r="AF1288" s="66" t="str">
        <f>IF(OR(A1288="",p_po=""),"",IF(A1288&amp;""=p_po,COUNTIF($A$6:A1288,A1288),""))</f>
        <v/>
      </c>
      <c r="AG1288" s="66" t="str">
        <f>IF(OR(AB1288="",A1288=""),"",IF(COUNTIFS($A$6:A1288,A1288,$AB$6:AB1288,"&gt;0")=1,1,""))</f>
        <v/>
      </c>
      <c r="AH1288" s="70" t="str">
        <f>IF(AB1288="","",ROUND(N(W1288)*N(J1288)*(1-N(K1288)),2))</f>
        <v/>
      </c>
      <c r="AI1288" s="70" t="str">
        <f>IF(OR(J1288="",N(T1288)&lt;=0,V1288="Oui"),"",ROUND(N(T1288)*J1288*(1-N(K1288)),2))</f>
        <v/>
      </c>
    </row>
    <row r="1289">
      <c r="A1289" s="63" t="n"/>
      <c r="B1289" s="64" t="n"/>
      <c r="C1289" s="65" t="n"/>
      <c r="D1289" s="66" t="str">
        <f>IF(C1289="","",IFERROR(INDEX(sup_name,MATCH($C1289,sup_code,0))&amp;"","Fournisseur inconnu"))</f>
        <v/>
      </c>
      <c r="E1289" s="63" t="n"/>
      <c r="F1289" s="66" t="str">
        <f>IF(E1289="","",IFERROR(INDEX(art_des,MATCH($E1289,art_ref,0))&amp;"","Article inconnu"))</f>
        <v/>
      </c>
      <c r="G1289" s="67" t="str">
        <f>IF(E1289="","",IFERROR(INDEX(art_unit,MATCH($E1289,art_ref,0))&amp;"",""))</f>
        <v/>
      </c>
      <c r="H1289" s="68" t="n"/>
      <c r="I1289" s="69" t="n"/>
      <c r="J1289" s="70" t="str">
        <f>IF(E1289="","",IF(ISNUMBER(I1289),I1289,IFERROR(IF(ISNUMBER(INDEX(art_price,MATCH($E1289,art_ref,0))),INDEX(art_price,MATCH($E1289,art_ref,0)),""),"")))</f>
        <v/>
      </c>
      <c r="K1289" s="71" t="n"/>
      <c r="L1289" s="72" t="n"/>
      <c r="M1289" s="72" t="str">
        <f>IF(E1289="","",IF(L1289&lt;&gt;"",L1289,IFERROR(IF(ISNUMBER(INDEX(art_tva,MATCH($E1289,art_ref,0))),INDEX(art_tva,MATCH($E1289,art_ref,0)),""),"")))</f>
        <v/>
      </c>
      <c r="N1289" s="70" t="str">
        <f>IF(OR(E1289="",J1289=""),"",ROUND(N(H1289)*J1289*(1-N(K1289)),2))</f>
        <v/>
      </c>
      <c r="O1289" s="70" t="str">
        <f>IF(OR(N1289="",NOT(ISNUMBER(M1289))),"",ROUND(N1289*M1289,2))</f>
        <v/>
      </c>
      <c r="P1289" s="70" t="str">
        <f>IF(N1289="","",N1289+N(O1289))</f>
        <v/>
      </c>
      <c r="Q1289" s="64" t="n"/>
      <c r="R1289" s="73" t="str">
        <f>IF(N(Q1289)&gt;0,Q1289,IF(OR(N(B1289)=0,ISNA(MATCH($C1289,sup_code,0))),"",IF(ISNUMBER(INDEX(sup_delay,MATCH($C1289,sup_code,0))),B1289+INDEX(sup_delay,MATCH($C1289,sup_code,0)),"")))</f>
        <v/>
      </c>
      <c r="S1289" s="64" t="n"/>
      <c r="T1289" s="68" t="n"/>
      <c r="U1289" s="64" t="n"/>
      <c r="V1289" s="65" t="n"/>
      <c r="W1289" s="74" t="str">
        <f>IF(AND(A1289="",E1289=""),"",IF(V1289="Oui",0,MAX(0,ROUND(N(H1289)-N(T1289),6))))</f>
        <v/>
      </c>
      <c r="X1289" s="67" t="str">
        <f>IF(AND(A1289="",E1289=""),"",IF(V1289="Oui","Annulé",IF(AND(N(H1289)&gt;0,N(T1289)&gt;=N(H1289)),"Reçu",IF(N(S1289)=0,"Brouillon",IF(AND(ISNUMBER(R1289),R1289&lt;p_today),"En retard",IF(N(T1289)&gt;0,"Partiel","Envoyé"))))))</f>
        <v/>
      </c>
      <c r="Y1289" s="75" t="str">
        <f>IF(X1289="En retard",p_today-R1289,IF(AND(X1289="Reçu",ISNUMBER(R1289)),MAX(0,N(U1289)-R1289),""))</f>
        <v/>
      </c>
      <c r="Z1289" s="67" t="str">
        <f>IF(AND(A1289="",E1289=""),"",IF(A1289="","N° de bon manquant",IF(N(B1289)=0,"Date de commande manquante",IF(C1289="","Fournisseur manquant",IF(ISNA(MATCH($C1289,sup_code,0)),"Fournisseur inconnu",IF(E1289="","Article manquant",IF(ISNA(MATCH($E1289,art_ref,0)),"Article inconnu",IF(N(H1289)&lt;=0,"Quantité invalide",IF(J1289="","Prix manquant",IF(OR(N(K1289)&lt;0,N(K1289)&gt;=1),"Remise invalide",IF(M1289="","TVA manquante",IF(ISNA(MATCH(M1289,p_tva,0)),"Taux de TVA inconnu",IF(COUNTIFS(po_num,A1289,po_sup,"&lt;&gt;"&amp;C1289)&gt;0,"Fournisseur différent sur ce bon",IF(COUNTIFS(po_num,A1289,po_date,"&lt;&gt;"&amp;B1289)&gt;0,"Date différente sur ce bon",IF(COUNTIF(po_num,A1289)&gt;25,"Plus de 25 lignes sur ce bon",IF(R1289="","Date de livraison manquante",IF(R1289&lt;B1289,"Livraison avant la commande",IF(AND(N(T1289)&gt;0,N(S1289)=0),"Date d'envoi manquante",IF(N(T1289)&gt;N(H1289),"Reçu plus que commandé",IF(AND(N(T1289)&gt;0,N(U1289)=0),"Date de réception manquante",IF(AND(N(U1289)&gt;0,U1289&lt;B1289),"Réception avant la commande","OK")))))))))))))))))))))</f>
        <v/>
      </c>
      <c r="AA1289" s="66" t="str">
        <f>IF(AND(X1289="Reçu",ISNUMBER(R1289)),IF(N(U1289)&lt;=R1289,1,0),"")</f>
        <v/>
      </c>
      <c r="AB1289" s="76" t="str">
        <f>IF(OR(X1289="Envoyé",X1289="Partiel",X1289="En retard"),IF(ISNUMBER(R1289),R1289,100000)+ROW()/100000,"")</f>
        <v/>
      </c>
      <c r="AC1289" s="66" t="str">
        <f>IF(A1289="","",IF(COUNTIF($A$6:A1289,A1289)=1,1,""))</f>
        <v/>
      </c>
      <c r="AD1289" s="66" t="str">
        <f>IF(AC1289=1,COUNT($AC$6:AC1289),"")</f>
        <v/>
      </c>
      <c r="AE1289" s="66" t="str">
        <f>IFERROR(INDEX(po_num,MATCH(1284,po_seq,0))&amp;"","")</f>
        <v/>
      </c>
      <c r="AF1289" s="66" t="str">
        <f>IF(OR(A1289="",p_po=""),"",IF(A1289&amp;""=p_po,COUNTIF($A$6:A1289,A1289),""))</f>
        <v/>
      </c>
      <c r="AG1289" s="66" t="str">
        <f>IF(OR(AB1289="",A1289=""),"",IF(COUNTIFS($A$6:A1289,A1289,$AB$6:AB1289,"&gt;0")=1,1,""))</f>
        <v/>
      </c>
      <c r="AH1289" s="70" t="str">
        <f>IF(AB1289="","",ROUND(N(W1289)*N(J1289)*(1-N(K1289)),2))</f>
        <v/>
      </c>
      <c r="AI1289" s="70" t="str">
        <f>IF(OR(J1289="",N(T1289)&lt;=0,V1289="Oui"),"",ROUND(N(T1289)*J1289*(1-N(K1289)),2))</f>
        <v/>
      </c>
    </row>
    <row r="1290">
      <c r="A1290" s="63" t="n"/>
      <c r="B1290" s="64" t="n"/>
      <c r="C1290" s="65" t="n"/>
      <c r="D1290" s="66" t="str">
        <f>IF(C1290="","",IFERROR(INDEX(sup_name,MATCH($C1290,sup_code,0))&amp;"","Fournisseur inconnu"))</f>
        <v/>
      </c>
      <c r="E1290" s="63" t="n"/>
      <c r="F1290" s="66" t="str">
        <f>IF(E1290="","",IFERROR(INDEX(art_des,MATCH($E1290,art_ref,0))&amp;"","Article inconnu"))</f>
        <v/>
      </c>
      <c r="G1290" s="67" t="str">
        <f>IF(E1290="","",IFERROR(INDEX(art_unit,MATCH($E1290,art_ref,0))&amp;"",""))</f>
        <v/>
      </c>
      <c r="H1290" s="68" t="n"/>
      <c r="I1290" s="69" t="n"/>
      <c r="J1290" s="70" t="str">
        <f>IF(E1290="","",IF(ISNUMBER(I1290),I1290,IFERROR(IF(ISNUMBER(INDEX(art_price,MATCH($E1290,art_ref,0))),INDEX(art_price,MATCH($E1290,art_ref,0)),""),"")))</f>
        <v/>
      </c>
      <c r="K1290" s="71" t="n"/>
      <c r="L1290" s="72" t="n"/>
      <c r="M1290" s="72" t="str">
        <f>IF(E1290="","",IF(L1290&lt;&gt;"",L1290,IFERROR(IF(ISNUMBER(INDEX(art_tva,MATCH($E1290,art_ref,0))),INDEX(art_tva,MATCH($E1290,art_ref,0)),""),"")))</f>
        <v/>
      </c>
      <c r="N1290" s="70" t="str">
        <f>IF(OR(E1290="",J1290=""),"",ROUND(N(H1290)*J1290*(1-N(K1290)),2))</f>
        <v/>
      </c>
      <c r="O1290" s="70" t="str">
        <f>IF(OR(N1290="",NOT(ISNUMBER(M1290))),"",ROUND(N1290*M1290,2))</f>
        <v/>
      </c>
      <c r="P1290" s="70" t="str">
        <f>IF(N1290="","",N1290+N(O1290))</f>
        <v/>
      </c>
      <c r="Q1290" s="64" t="n"/>
      <c r="R1290" s="73" t="str">
        <f>IF(N(Q1290)&gt;0,Q1290,IF(OR(N(B1290)=0,ISNA(MATCH($C1290,sup_code,0))),"",IF(ISNUMBER(INDEX(sup_delay,MATCH($C1290,sup_code,0))),B1290+INDEX(sup_delay,MATCH($C1290,sup_code,0)),"")))</f>
        <v/>
      </c>
      <c r="S1290" s="64" t="n"/>
      <c r="T1290" s="68" t="n"/>
      <c r="U1290" s="64" t="n"/>
      <c r="V1290" s="65" t="n"/>
      <c r="W1290" s="74" t="str">
        <f>IF(AND(A1290="",E1290=""),"",IF(V1290="Oui",0,MAX(0,ROUND(N(H1290)-N(T1290),6))))</f>
        <v/>
      </c>
      <c r="X1290" s="67" t="str">
        <f>IF(AND(A1290="",E1290=""),"",IF(V1290="Oui","Annulé",IF(AND(N(H1290)&gt;0,N(T1290)&gt;=N(H1290)),"Reçu",IF(N(S1290)=0,"Brouillon",IF(AND(ISNUMBER(R1290),R1290&lt;p_today),"En retard",IF(N(T1290)&gt;0,"Partiel","Envoyé"))))))</f>
        <v/>
      </c>
      <c r="Y1290" s="75" t="str">
        <f>IF(X1290="En retard",p_today-R1290,IF(AND(X1290="Reçu",ISNUMBER(R1290)),MAX(0,N(U1290)-R1290),""))</f>
        <v/>
      </c>
      <c r="Z1290" s="67" t="str">
        <f>IF(AND(A1290="",E1290=""),"",IF(A1290="","N° de bon manquant",IF(N(B1290)=0,"Date de commande manquante",IF(C1290="","Fournisseur manquant",IF(ISNA(MATCH($C1290,sup_code,0)),"Fournisseur inconnu",IF(E1290="","Article manquant",IF(ISNA(MATCH($E1290,art_ref,0)),"Article inconnu",IF(N(H1290)&lt;=0,"Quantité invalide",IF(J1290="","Prix manquant",IF(OR(N(K1290)&lt;0,N(K1290)&gt;=1),"Remise invalide",IF(M1290="","TVA manquante",IF(ISNA(MATCH(M1290,p_tva,0)),"Taux de TVA inconnu",IF(COUNTIFS(po_num,A1290,po_sup,"&lt;&gt;"&amp;C1290)&gt;0,"Fournisseur différent sur ce bon",IF(COUNTIFS(po_num,A1290,po_date,"&lt;&gt;"&amp;B1290)&gt;0,"Date différente sur ce bon",IF(COUNTIF(po_num,A1290)&gt;25,"Plus de 25 lignes sur ce bon",IF(R1290="","Date de livraison manquante",IF(R1290&lt;B1290,"Livraison avant la commande",IF(AND(N(T1290)&gt;0,N(S1290)=0),"Date d'envoi manquante",IF(N(T1290)&gt;N(H1290),"Reçu plus que commandé",IF(AND(N(T1290)&gt;0,N(U1290)=0),"Date de réception manquante",IF(AND(N(U1290)&gt;0,U1290&lt;B1290),"Réception avant la commande","OK")))))))))))))))))))))</f>
        <v/>
      </c>
      <c r="AA1290" s="66" t="str">
        <f>IF(AND(X1290="Reçu",ISNUMBER(R1290)),IF(N(U1290)&lt;=R1290,1,0),"")</f>
        <v/>
      </c>
      <c r="AB1290" s="76" t="str">
        <f>IF(OR(X1290="Envoyé",X1290="Partiel",X1290="En retard"),IF(ISNUMBER(R1290),R1290,100000)+ROW()/100000,"")</f>
        <v/>
      </c>
      <c r="AC1290" s="66" t="str">
        <f>IF(A1290="","",IF(COUNTIF($A$6:A1290,A1290)=1,1,""))</f>
        <v/>
      </c>
      <c r="AD1290" s="66" t="str">
        <f>IF(AC1290=1,COUNT($AC$6:AC1290),"")</f>
        <v/>
      </c>
      <c r="AE1290" s="66" t="str">
        <f>IFERROR(INDEX(po_num,MATCH(1285,po_seq,0))&amp;"","")</f>
        <v/>
      </c>
      <c r="AF1290" s="66" t="str">
        <f>IF(OR(A1290="",p_po=""),"",IF(A1290&amp;""=p_po,COUNTIF($A$6:A1290,A1290),""))</f>
        <v/>
      </c>
      <c r="AG1290" s="66" t="str">
        <f>IF(OR(AB1290="",A1290=""),"",IF(COUNTIFS($A$6:A1290,A1290,$AB$6:AB1290,"&gt;0")=1,1,""))</f>
        <v/>
      </c>
      <c r="AH1290" s="70" t="str">
        <f>IF(AB1290="","",ROUND(N(W1290)*N(J1290)*(1-N(K1290)),2))</f>
        <v/>
      </c>
      <c r="AI1290" s="70" t="str">
        <f>IF(OR(J1290="",N(T1290)&lt;=0,V1290="Oui"),"",ROUND(N(T1290)*J1290*(1-N(K1290)),2))</f>
        <v/>
      </c>
    </row>
    <row r="1291">
      <c r="A1291" s="63" t="n"/>
      <c r="B1291" s="64" t="n"/>
      <c r="C1291" s="65" t="n"/>
      <c r="D1291" s="66" t="str">
        <f>IF(C1291="","",IFERROR(INDEX(sup_name,MATCH($C1291,sup_code,0))&amp;"","Fournisseur inconnu"))</f>
        <v/>
      </c>
      <c r="E1291" s="63" t="n"/>
      <c r="F1291" s="66" t="str">
        <f>IF(E1291="","",IFERROR(INDEX(art_des,MATCH($E1291,art_ref,0))&amp;"","Article inconnu"))</f>
        <v/>
      </c>
      <c r="G1291" s="67" t="str">
        <f>IF(E1291="","",IFERROR(INDEX(art_unit,MATCH($E1291,art_ref,0))&amp;"",""))</f>
        <v/>
      </c>
      <c r="H1291" s="68" t="n"/>
      <c r="I1291" s="69" t="n"/>
      <c r="J1291" s="70" t="str">
        <f>IF(E1291="","",IF(ISNUMBER(I1291),I1291,IFERROR(IF(ISNUMBER(INDEX(art_price,MATCH($E1291,art_ref,0))),INDEX(art_price,MATCH($E1291,art_ref,0)),""),"")))</f>
        <v/>
      </c>
      <c r="K1291" s="71" t="n"/>
      <c r="L1291" s="72" t="n"/>
      <c r="M1291" s="72" t="str">
        <f>IF(E1291="","",IF(L1291&lt;&gt;"",L1291,IFERROR(IF(ISNUMBER(INDEX(art_tva,MATCH($E1291,art_ref,0))),INDEX(art_tva,MATCH($E1291,art_ref,0)),""),"")))</f>
        <v/>
      </c>
      <c r="N1291" s="70" t="str">
        <f>IF(OR(E1291="",J1291=""),"",ROUND(N(H1291)*J1291*(1-N(K1291)),2))</f>
        <v/>
      </c>
      <c r="O1291" s="70" t="str">
        <f>IF(OR(N1291="",NOT(ISNUMBER(M1291))),"",ROUND(N1291*M1291,2))</f>
        <v/>
      </c>
      <c r="P1291" s="70" t="str">
        <f>IF(N1291="","",N1291+N(O1291))</f>
        <v/>
      </c>
      <c r="Q1291" s="64" t="n"/>
      <c r="R1291" s="73" t="str">
        <f>IF(N(Q1291)&gt;0,Q1291,IF(OR(N(B1291)=0,ISNA(MATCH($C1291,sup_code,0))),"",IF(ISNUMBER(INDEX(sup_delay,MATCH($C1291,sup_code,0))),B1291+INDEX(sup_delay,MATCH($C1291,sup_code,0)),"")))</f>
        <v/>
      </c>
      <c r="S1291" s="64" t="n"/>
      <c r="T1291" s="68" t="n"/>
      <c r="U1291" s="64" t="n"/>
      <c r="V1291" s="65" t="n"/>
      <c r="W1291" s="74" t="str">
        <f>IF(AND(A1291="",E1291=""),"",IF(V1291="Oui",0,MAX(0,ROUND(N(H1291)-N(T1291),6))))</f>
        <v/>
      </c>
      <c r="X1291" s="67" t="str">
        <f>IF(AND(A1291="",E1291=""),"",IF(V1291="Oui","Annulé",IF(AND(N(H1291)&gt;0,N(T1291)&gt;=N(H1291)),"Reçu",IF(N(S1291)=0,"Brouillon",IF(AND(ISNUMBER(R1291),R1291&lt;p_today),"En retard",IF(N(T1291)&gt;0,"Partiel","Envoyé"))))))</f>
        <v/>
      </c>
      <c r="Y1291" s="75" t="str">
        <f>IF(X1291="En retard",p_today-R1291,IF(AND(X1291="Reçu",ISNUMBER(R1291)),MAX(0,N(U1291)-R1291),""))</f>
        <v/>
      </c>
      <c r="Z1291" s="67" t="str">
        <f>IF(AND(A1291="",E1291=""),"",IF(A1291="","N° de bon manquant",IF(N(B1291)=0,"Date de commande manquante",IF(C1291="","Fournisseur manquant",IF(ISNA(MATCH($C1291,sup_code,0)),"Fournisseur inconnu",IF(E1291="","Article manquant",IF(ISNA(MATCH($E1291,art_ref,0)),"Article inconnu",IF(N(H1291)&lt;=0,"Quantité invalide",IF(J1291="","Prix manquant",IF(OR(N(K1291)&lt;0,N(K1291)&gt;=1),"Remise invalide",IF(M1291="","TVA manquante",IF(ISNA(MATCH(M1291,p_tva,0)),"Taux de TVA inconnu",IF(COUNTIFS(po_num,A1291,po_sup,"&lt;&gt;"&amp;C1291)&gt;0,"Fournisseur différent sur ce bon",IF(COUNTIFS(po_num,A1291,po_date,"&lt;&gt;"&amp;B1291)&gt;0,"Date différente sur ce bon",IF(COUNTIF(po_num,A1291)&gt;25,"Plus de 25 lignes sur ce bon",IF(R1291="","Date de livraison manquante",IF(R1291&lt;B1291,"Livraison avant la commande",IF(AND(N(T1291)&gt;0,N(S1291)=0),"Date d'envoi manquante",IF(N(T1291)&gt;N(H1291),"Reçu plus que commandé",IF(AND(N(T1291)&gt;0,N(U1291)=0),"Date de réception manquante",IF(AND(N(U1291)&gt;0,U1291&lt;B1291),"Réception avant la commande","OK")))))))))))))))))))))</f>
        <v/>
      </c>
      <c r="AA1291" s="66" t="str">
        <f>IF(AND(X1291="Reçu",ISNUMBER(R1291)),IF(N(U1291)&lt;=R1291,1,0),"")</f>
        <v/>
      </c>
      <c r="AB1291" s="76" t="str">
        <f>IF(OR(X1291="Envoyé",X1291="Partiel",X1291="En retard"),IF(ISNUMBER(R1291),R1291,100000)+ROW()/100000,"")</f>
        <v/>
      </c>
      <c r="AC1291" s="66" t="str">
        <f>IF(A1291="","",IF(COUNTIF($A$6:A1291,A1291)=1,1,""))</f>
        <v/>
      </c>
      <c r="AD1291" s="66" t="str">
        <f>IF(AC1291=1,COUNT($AC$6:AC1291),"")</f>
        <v/>
      </c>
      <c r="AE1291" s="66" t="str">
        <f>IFERROR(INDEX(po_num,MATCH(1286,po_seq,0))&amp;"","")</f>
        <v/>
      </c>
      <c r="AF1291" s="66" t="str">
        <f>IF(OR(A1291="",p_po=""),"",IF(A1291&amp;""=p_po,COUNTIF($A$6:A1291,A1291),""))</f>
        <v/>
      </c>
      <c r="AG1291" s="66" t="str">
        <f>IF(OR(AB1291="",A1291=""),"",IF(COUNTIFS($A$6:A1291,A1291,$AB$6:AB1291,"&gt;0")=1,1,""))</f>
        <v/>
      </c>
      <c r="AH1291" s="70" t="str">
        <f>IF(AB1291="","",ROUND(N(W1291)*N(J1291)*(1-N(K1291)),2))</f>
        <v/>
      </c>
      <c r="AI1291" s="70" t="str">
        <f>IF(OR(J1291="",N(T1291)&lt;=0,V1291="Oui"),"",ROUND(N(T1291)*J1291*(1-N(K1291)),2))</f>
        <v/>
      </c>
    </row>
    <row r="1292">
      <c r="A1292" s="63" t="n"/>
      <c r="B1292" s="64" t="n"/>
      <c r="C1292" s="65" t="n"/>
      <c r="D1292" s="66" t="str">
        <f>IF(C1292="","",IFERROR(INDEX(sup_name,MATCH($C1292,sup_code,0))&amp;"","Fournisseur inconnu"))</f>
        <v/>
      </c>
      <c r="E1292" s="63" t="n"/>
      <c r="F1292" s="66" t="str">
        <f>IF(E1292="","",IFERROR(INDEX(art_des,MATCH($E1292,art_ref,0))&amp;"","Article inconnu"))</f>
        <v/>
      </c>
      <c r="G1292" s="67" t="str">
        <f>IF(E1292="","",IFERROR(INDEX(art_unit,MATCH($E1292,art_ref,0))&amp;"",""))</f>
        <v/>
      </c>
      <c r="H1292" s="68" t="n"/>
      <c r="I1292" s="69" t="n"/>
      <c r="J1292" s="70" t="str">
        <f>IF(E1292="","",IF(ISNUMBER(I1292),I1292,IFERROR(IF(ISNUMBER(INDEX(art_price,MATCH($E1292,art_ref,0))),INDEX(art_price,MATCH($E1292,art_ref,0)),""),"")))</f>
        <v/>
      </c>
      <c r="K1292" s="71" t="n"/>
      <c r="L1292" s="72" t="n"/>
      <c r="M1292" s="72" t="str">
        <f>IF(E1292="","",IF(L1292&lt;&gt;"",L1292,IFERROR(IF(ISNUMBER(INDEX(art_tva,MATCH($E1292,art_ref,0))),INDEX(art_tva,MATCH($E1292,art_ref,0)),""),"")))</f>
        <v/>
      </c>
      <c r="N1292" s="70" t="str">
        <f>IF(OR(E1292="",J1292=""),"",ROUND(N(H1292)*J1292*(1-N(K1292)),2))</f>
        <v/>
      </c>
      <c r="O1292" s="70" t="str">
        <f>IF(OR(N1292="",NOT(ISNUMBER(M1292))),"",ROUND(N1292*M1292,2))</f>
        <v/>
      </c>
      <c r="P1292" s="70" t="str">
        <f>IF(N1292="","",N1292+N(O1292))</f>
        <v/>
      </c>
      <c r="Q1292" s="64" t="n"/>
      <c r="R1292" s="73" t="str">
        <f>IF(N(Q1292)&gt;0,Q1292,IF(OR(N(B1292)=0,ISNA(MATCH($C1292,sup_code,0))),"",IF(ISNUMBER(INDEX(sup_delay,MATCH($C1292,sup_code,0))),B1292+INDEX(sup_delay,MATCH($C1292,sup_code,0)),"")))</f>
        <v/>
      </c>
      <c r="S1292" s="64" t="n"/>
      <c r="T1292" s="68" t="n"/>
      <c r="U1292" s="64" t="n"/>
      <c r="V1292" s="65" t="n"/>
      <c r="W1292" s="74" t="str">
        <f>IF(AND(A1292="",E1292=""),"",IF(V1292="Oui",0,MAX(0,ROUND(N(H1292)-N(T1292),6))))</f>
        <v/>
      </c>
      <c r="X1292" s="67" t="str">
        <f>IF(AND(A1292="",E1292=""),"",IF(V1292="Oui","Annulé",IF(AND(N(H1292)&gt;0,N(T1292)&gt;=N(H1292)),"Reçu",IF(N(S1292)=0,"Brouillon",IF(AND(ISNUMBER(R1292),R1292&lt;p_today),"En retard",IF(N(T1292)&gt;0,"Partiel","Envoyé"))))))</f>
        <v/>
      </c>
      <c r="Y1292" s="75" t="str">
        <f>IF(X1292="En retard",p_today-R1292,IF(AND(X1292="Reçu",ISNUMBER(R1292)),MAX(0,N(U1292)-R1292),""))</f>
        <v/>
      </c>
      <c r="Z1292" s="67" t="str">
        <f>IF(AND(A1292="",E1292=""),"",IF(A1292="","N° de bon manquant",IF(N(B1292)=0,"Date de commande manquante",IF(C1292="","Fournisseur manquant",IF(ISNA(MATCH($C1292,sup_code,0)),"Fournisseur inconnu",IF(E1292="","Article manquant",IF(ISNA(MATCH($E1292,art_ref,0)),"Article inconnu",IF(N(H1292)&lt;=0,"Quantité invalide",IF(J1292="","Prix manquant",IF(OR(N(K1292)&lt;0,N(K1292)&gt;=1),"Remise invalide",IF(M1292="","TVA manquante",IF(ISNA(MATCH(M1292,p_tva,0)),"Taux de TVA inconnu",IF(COUNTIFS(po_num,A1292,po_sup,"&lt;&gt;"&amp;C1292)&gt;0,"Fournisseur différent sur ce bon",IF(COUNTIFS(po_num,A1292,po_date,"&lt;&gt;"&amp;B1292)&gt;0,"Date différente sur ce bon",IF(COUNTIF(po_num,A1292)&gt;25,"Plus de 25 lignes sur ce bon",IF(R1292="","Date de livraison manquante",IF(R1292&lt;B1292,"Livraison avant la commande",IF(AND(N(T1292)&gt;0,N(S1292)=0),"Date d'envoi manquante",IF(N(T1292)&gt;N(H1292),"Reçu plus que commandé",IF(AND(N(T1292)&gt;0,N(U1292)=0),"Date de réception manquante",IF(AND(N(U1292)&gt;0,U1292&lt;B1292),"Réception avant la commande","OK")))))))))))))))))))))</f>
        <v/>
      </c>
      <c r="AA1292" s="66" t="str">
        <f>IF(AND(X1292="Reçu",ISNUMBER(R1292)),IF(N(U1292)&lt;=R1292,1,0),"")</f>
        <v/>
      </c>
      <c r="AB1292" s="76" t="str">
        <f>IF(OR(X1292="Envoyé",X1292="Partiel",X1292="En retard"),IF(ISNUMBER(R1292),R1292,100000)+ROW()/100000,"")</f>
        <v/>
      </c>
      <c r="AC1292" s="66" t="str">
        <f>IF(A1292="","",IF(COUNTIF($A$6:A1292,A1292)=1,1,""))</f>
        <v/>
      </c>
      <c r="AD1292" s="66" t="str">
        <f>IF(AC1292=1,COUNT($AC$6:AC1292),"")</f>
        <v/>
      </c>
      <c r="AE1292" s="66" t="str">
        <f>IFERROR(INDEX(po_num,MATCH(1287,po_seq,0))&amp;"","")</f>
        <v/>
      </c>
      <c r="AF1292" s="66" t="str">
        <f>IF(OR(A1292="",p_po=""),"",IF(A1292&amp;""=p_po,COUNTIF($A$6:A1292,A1292),""))</f>
        <v/>
      </c>
      <c r="AG1292" s="66" t="str">
        <f>IF(OR(AB1292="",A1292=""),"",IF(COUNTIFS($A$6:A1292,A1292,$AB$6:AB1292,"&gt;0")=1,1,""))</f>
        <v/>
      </c>
      <c r="AH1292" s="70" t="str">
        <f>IF(AB1292="","",ROUND(N(W1292)*N(J1292)*(1-N(K1292)),2))</f>
        <v/>
      </c>
      <c r="AI1292" s="70" t="str">
        <f>IF(OR(J1292="",N(T1292)&lt;=0,V1292="Oui"),"",ROUND(N(T1292)*J1292*(1-N(K1292)),2))</f>
        <v/>
      </c>
    </row>
    <row r="1293">
      <c r="A1293" s="63" t="n"/>
      <c r="B1293" s="64" t="n"/>
      <c r="C1293" s="65" t="n"/>
      <c r="D1293" s="66" t="str">
        <f>IF(C1293="","",IFERROR(INDEX(sup_name,MATCH($C1293,sup_code,0))&amp;"","Fournisseur inconnu"))</f>
        <v/>
      </c>
      <c r="E1293" s="63" t="n"/>
      <c r="F1293" s="66" t="str">
        <f>IF(E1293="","",IFERROR(INDEX(art_des,MATCH($E1293,art_ref,0))&amp;"","Article inconnu"))</f>
        <v/>
      </c>
      <c r="G1293" s="67" t="str">
        <f>IF(E1293="","",IFERROR(INDEX(art_unit,MATCH($E1293,art_ref,0))&amp;"",""))</f>
        <v/>
      </c>
      <c r="H1293" s="68" t="n"/>
      <c r="I1293" s="69" t="n"/>
      <c r="J1293" s="70" t="str">
        <f>IF(E1293="","",IF(ISNUMBER(I1293),I1293,IFERROR(IF(ISNUMBER(INDEX(art_price,MATCH($E1293,art_ref,0))),INDEX(art_price,MATCH($E1293,art_ref,0)),""),"")))</f>
        <v/>
      </c>
      <c r="K1293" s="71" t="n"/>
      <c r="L1293" s="72" t="n"/>
      <c r="M1293" s="72" t="str">
        <f>IF(E1293="","",IF(L1293&lt;&gt;"",L1293,IFERROR(IF(ISNUMBER(INDEX(art_tva,MATCH($E1293,art_ref,0))),INDEX(art_tva,MATCH($E1293,art_ref,0)),""),"")))</f>
        <v/>
      </c>
      <c r="N1293" s="70" t="str">
        <f>IF(OR(E1293="",J1293=""),"",ROUND(N(H1293)*J1293*(1-N(K1293)),2))</f>
        <v/>
      </c>
      <c r="O1293" s="70" t="str">
        <f>IF(OR(N1293="",NOT(ISNUMBER(M1293))),"",ROUND(N1293*M1293,2))</f>
        <v/>
      </c>
      <c r="P1293" s="70" t="str">
        <f>IF(N1293="","",N1293+N(O1293))</f>
        <v/>
      </c>
      <c r="Q1293" s="64" t="n"/>
      <c r="R1293" s="73" t="str">
        <f>IF(N(Q1293)&gt;0,Q1293,IF(OR(N(B1293)=0,ISNA(MATCH($C1293,sup_code,0))),"",IF(ISNUMBER(INDEX(sup_delay,MATCH($C1293,sup_code,0))),B1293+INDEX(sup_delay,MATCH($C1293,sup_code,0)),"")))</f>
        <v/>
      </c>
      <c r="S1293" s="64" t="n"/>
      <c r="T1293" s="68" t="n"/>
      <c r="U1293" s="64" t="n"/>
      <c r="V1293" s="65" t="n"/>
      <c r="W1293" s="74" t="str">
        <f>IF(AND(A1293="",E1293=""),"",IF(V1293="Oui",0,MAX(0,ROUND(N(H1293)-N(T1293),6))))</f>
        <v/>
      </c>
      <c r="X1293" s="67" t="str">
        <f>IF(AND(A1293="",E1293=""),"",IF(V1293="Oui","Annulé",IF(AND(N(H1293)&gt;0,N(T1293)&gt;=N(H1293)),"Reçu",IF(N(S1293)=0,"Brouillon",IF(AND(ISNUMBER(R1293),R1293&lt;p_today),"En retard",IF(N(T1293)&gt;0,"Partiel","Envoyé"))))))</f>
        <v/>
      </c>
      <c r="Y1293" s="75" t="str">
        <f>IF(X1293="En retard",p_today-R1293,IF(AND(X1293="Reçu",ISNUMBER(R1293)),MAX(0,N(U1293)-R1293),""))</f>
        <v/>
      </c>
      <c r="Z1293" s="67" t="str">
        <f>IF(AND(A1293="",E1293=""),"",IF(A1293="","N° de bon manquant",IF(N(B1293)=0,"Date de commande manquante",IF(C1293="","Fournisseur manquant",IF(ISNA(MATCH($C1293,sup_code,0)),"Fournisseur inconnu",IF(E1293="","Article manquant",IF(ISNA(MATCH($E1293,art_ref,0)),"Article inconnu",IF(N(H1293)&lt;=0,"Quantité invalide",IF(J1293="","Prix manquant",IF(OR(N(K1293)&lt;0,N(K1293)&gt;=1),"Remise invalide",IF(M1293="","TVA manquante",IF(ISNA(MATCH(M1293,p_tva,0)),"Taux de TVA inconnu",IF(COUNTIFS(po_num,A1293,po_sup,"&lt;&gt;"&amp;C1293)&gt;0,"Fournisseur différent sur ce bon",IF(COUNTIFS(po_num,A1293,po_date,"&lt;&gt;"&amp;B1293)&gt;0,"Date différente sur ce bon",IF(COUNTIF(po_num,A1293)&gt;25,"Plus de 25 lignes sur ce bon",IF(R1293="","Date de livraison manquante",IF(R1293&lt;B1293,"Livraison avant la commande",IF(AND(N(T1293)&gt;0,N(S1293)=0),"Date d'envoi manquante",IF(N(T1293)&gt;N(H1293),"Reçu plus que commandé",IF(AND(N(T1293)&gt;0,N(U1293)=0),"Date de réception manquante",IF(AND(N(U1293)&gt;0,U1293&lt;B1293),"Réception avant la commande","OK")))))))))))))))))))))</f>
        <v/>
      </c>
      <c r="AA1293" s="66" t="str">
        <f>IF(AND(X1293="Reçu",ISNUMBER(R1293)),IF(N(U1293)&lt;=R1293,1,0),"")</f>
        <v/>
      </c>
      <c r="AB1293" s="76" t="str">
        <f>IF(OR(X1293="Envoyé",X1293="Partiel",X1293="En retard"),IF(ISNUMBER(R1293),R1293,100000)+ROW()/100000,"")</f>
        <v/>
      </c>
      <c r="AC1293" s="66" t="str">
        <f>IF(A1293="","",IF(COUNTIF($A$6:A1293,A1293)=1,1,""))</f>
        <v/>
      </c>
      <c r="AD1293" s="66" t="str">
        <f>IF(AC1293=1,COUNT($AC$6:AC1293),"")</f>
        <v/>
      </c>
      <c r="AE1293" s="66" t="str">
        <f>IFERROR(INDEX(po_num,MATCH(1288,po_seq,0))&amp;"","")</f>
        <v/>
      </c>
      <c r="AF1293" s="66" t="str">
        <f>IF(OR(A1293="",p_po=""),"",IF(A1293&amp;""=p_po,COUNTIF($A$6:A1293,A1293),""))</f>
        <v/>
      </c>
      <c r="AG1293" s="66" t="str">
        <f>IF(OR(AB1293="",A1293=""),"",IF(COUNTIFS($A$6:A1293,A1293,$AB$6:AB1293,"&gt;0")=1,1,""))</f>
        <v/>
      </c>
      <c r="AH1293" s="70" t="str">
        <f>IF(AB1293="","",ROUND(N(W1293)*N(J1293)*(1-N(K1293)),2))</f>
        <v/>
      </c>
      <c r="AI1293" s="70" t="str">
        <f>IF(OR(J1293="",N(T1293)&lt;=0,V1293="Oui"),"",ROUND(N(T1293)*J1293*(1-N(K1293)),2))</f>
        <v/>
      </c>
    </row>
    <row r="1294">
      <c r="A1294" s="63" t="n"/>
      <c r="B1294" s="64" t="n"/>
      <c r="C1294" s="65" t="n"/>
      <c r="D1294" s="66" t="str">
        <f>IF(C1294="","",IFERROR(INDEX(sup_name,MATCH($C1294,sup_code,0))&amp;"","Fournisseur inconnu"))</f>
        <v/>
      </c>
      <c r="E1294" s="63" t="n"/>
      <c r="F1294" s="66" t="str">
        <f>IF(E1294="","",IFERROR(INDEX(art_des,MATCH($E1294,art_ref,0))&amp;"","Article inconnu"))</f>
        <v/>
      </c>
      <c r="G1294" s="67" t="str">
        <f>IF(E1294="","",IFERROR(INDEX(art_unit,MATCH($E1294,art_ref,0))&amp;"",""))</f>
        <v/>
      </c>
      <c r="H1294" s="68" t="n"/>
      <c r="I1294" s="69" t="n"/>
      <c r="J1294" s="70" t="str">
        <f>IF(E1294="","",IF(ISNUMBER(I1294),I1294,IFERROR(IF(ISNUMBER(INDEX(art_price,MATCH($E1294,art_ref,0))),INDEX(art_price,MATCH($E1294,art_ref,0)),""),"")))</f>
        <v/>
      </c>
      <c r="K1294" s="71" t="n"/>
      <c r="L1294" s="72" t="n"/>
      <c r="M1294" s="72" t="str">
        <f>IF(E1294="","",IF(L1294&lt;&gt;"",L1294,IFERROR(IF(ISNUMBER(INDEX(art_tva,MATCH($E1294,art_ref,0))),INDEX(art_tva,MATCH($E1294,art_ref,0)),""),"")))</f>
        <v/>
      </c>
      <c r="N1294" s="70" t="str">
        <f>IF(OR(E1294="",J1294=""),"",ROUND(N(H1294)*J1294*(1-N(K1294)),2))</f>
        <v/>
      </c>
      <c r="O1294" s="70" t="str">
        <f>IF(OR(N1294="",NOT(ISNUMBER(M1294))),"",ROUND(N1294*M1294,2))</f>
        <v/>
      </c>
      <c r="P1294" s="70" t="str">
        <f>IF(N1294="","",N1294+N(O1294))</f>
        <v/>
      </c>
      <c r="Q1294" s="64" t="n"/>
      <c r="R1294" s="73" t="str">
        <f>IF(N(Q1294)&gt;0,Q1294,IF(OR(N(B1294)=0,ISNA(MATCH($C1294,sup_code,0))),"",IF(ISNUMBER(INDEX(sup_delay,MATCH($C1294,sup_code,0))),B1294+INDEX(sup_delay,MATCH($C1294,sup_code,0)),"")))</f>
        <v/>
      </c>
      <c r="S1294" s="64" t="n"/>
      <c r="T1294" s="68" t="n"/>
      <c r="U1294" s="64" t="n"/>
      <c r="V1294" s="65" t="n"/>
      <c r="W1294" s="74" t="str">
        <f>IF(AND(A1294="",E1294=""),"",IF(V1294="Oui",0,MAX(0,ROUND(N(H1294)-N(T1294),6))))</f>
        <v/>
      </c>
      <c r="X1294" s="67" t="str">
        <f>IF(AND(A1294="",E1294=""),"",IF(V1294="Oui","Annulé",IF(AND(N(H1294)&gt;0,N(T1294)&gt;=N(H1294)),"Reçu",IF(N(S1294)=0,"Brouillon",IF(AND(ISNUMBER(R1294),R1294&lt;p_today),"En retard",IF(N(T1294)&gt;0,"Partiel","Envoyé"))))))</f>
        <v/>
      </c>
      <c r="Y1294" s="75" t="str">
        <f>IF(X1294="En retard",p_today-R1294,IF(AND(X1294="Reçu",ISNUMBER(R1294)),MAX(0,N(U1294)-R1294),""))</f>
        <v/>
      </c>
      <c r="Z1294" s="67" t="str">
        <f>IF(AND(A1294="",E1294=""),"",IF(A1294="","N° de bon manquant",IF(N(B1294)=0,"Date de commande manquante",IF(C1294="","Fournisseur manquant",IF(ISNA(MATCH($C1294,sup_code,0)),"Fournisseur inconnu",IF(E1294="","Article manquant",IF(ISNA(MATCH($E1294,art_ref,0)),"Article inconnu",IF(N(H1294)&lt;=0,"Quantité invalide",IF(J1294="","Prix manquant",IF(OR(N(K1294)&lt;0,N(K1294)&gt;=1),"Remise invalide",IF(M1294="","TVA manquante",IF(ISNA(MATCH(M1294,p_tva,0)),"Taux de TVA inconnu",IF(COUNTIFS(po_num,A1294,po_sup,"&lt;&gt;"&amp;C1294)&gt;0,"Fournisseur différent sur ce bon",IF(COUNTIFS(po_num,A1294,po_date,"&lt;&gt;"&amp;B1294)&gt;0,"Date différente sur ce bon",IF(COUNTIF(po_num,A1294)&gt;25,"Plus de 25 lignes sur ce bon",IF(R1294="","Date de livraison manquante",IF(R1294&lt;B1294,"Livraison avant la commande",IF(AND(N(T1294)&gt;0,N(S1294)=0),"Date d'envoi manquante",IF(N(T1294)&gt;N(H1294),"Reçu plus que commandé",IF(AND(N(T1294)&gt;0,N(U1294)=0),"Date de réception manquante",IF(AND(N(U1294)&gt;0,U1294&lt;B1294),"Réception avant la commande","OK")))))))))))))))))))))</f>
        <v/>
      </c>
      <c r="AA1294" s="66" t="str">
        <f>IF(AND(X1294="Reçu",ISNUMBER(R1294)),IF(N(U1294)&lt;=R1294,1,0),"")</f>
        <v/>
      </c>
      <c r="AB1294" s="76" t="str">
        <f>IF(OR(X1294="Envoyé",X1294="Partiel",X1294="En retard"),IF(ISNUMBER(R1294),R1294,100000)+ROW()/100000,"")</f>
        <v/>
      </c>
      <c r="AC1294" s="66" t="str">
        <f>IF(A1294="","",IF(COUNTIF($A$6:A1294,A1294)=1,1,""))</f>
        <v/>
      </c>
      <c r="AD1294" s="66" t="str">
        <f>IF(AC1294=1,COUNT($AC$6:AC1294),"")</f>
        <v/>
      </c>
      <c r="AE1294" s="66" t="str">
        <f>IFERROR(INDEX(po_num,MATCH(1289,po_seq,0))&amp;"","")</f>
        <v/>
      </c>
      <c r="AF1294" s="66" t="str">
        <f>IF(OR(A1294="",p_po=""),"",IF(A1294&amp;""=p_po,COUNTIF($A$6:A1294,A1294),""))</f>
        <v/>
      </c>
      <c r="AG1294" s="66" t="str">
        <f>IF(OR(AB1294="",A1294=""),"",IF(COUNTIFS($A$6:A1294,A1294,$AB$6:AB1294,"&gt;0")=1,1,""))</f>
        <v/>
      </c>
      <c r="AH1294" s="70" t="str">
        <f>IF(AB1294="","",ROUND(N(W1294)*N(J1294)*(1-N(K1294)),2))</f>
        <v/>
      </c>
      <c r="AI1294" s="70" t="str">
        <f>IF(OR(J1294="",N(T1294)&lt;=0,V1294="Oui"),"",ROUND(N(T1294)*J1294*(1-N(K1294)),2))</f>
        <v/>
      </c>
    </row>
    <row r="1295">
      <c r="A1295" s="63" t="n"/>
      <c r="B1295" s="64" t="n"/>
      <c r="C1295" s="65" t="n"/>
      <c r="D1295" s="66" t="str">
        <f>IF(C1295="","",IFERROR(INDEX(sup_name,MATCH($C1295,sup_code,0))&amp;"","Fournisseur inconnu"))</f>
        <v/>
      </c>
      <c r="E1295" s="63" t="n"/>
      <c r="F1295" s="66" t="str">
        <f>IF(E1295="","",IFERROR(INDEX(art_des,MATCH($E1295,art_ref,0))&amp;"","Article inconnu"))</f>
        <v/>
      </c>
      <c r="G1295" s="67" t="str">
        <f>IF(E1295="","",IFERROR(INDEX(art_unit,MATCH($E1295,art_ref,0))&amp;"",""))</f>
        <v/>
      </c>
      <c r="H1295" s="68" t="n"/>
      <c r="I1295" s="69" t="n"/>
      <c r="J1295" s="70" t="str">
        <f>IF(E1295="","",IF(ISNUMBER(I1295),I1295,IFERROR(IF(ISNUMBER(INDEX(art_price,MATCH($E1295,art_ref,0))),INDEX(art_price,MATCH($E1295,art_ref,0)),""),"")))</f>
        <v/>
      </c>
      <c r="K1295" s="71" t="n"/>
      <c r="L1295" s="72" t="n"/>
      <c r="M1295" s="72" t="str">
        <f>IF(E1295="","",IF(L1295&lt;&gt;"",L1295,IFERROR(IF(ISNUMBER(INDEX(art_tva,MATCH($E1295,art_ref,0))),INDEX(art_tva,MATCH($E1295,art_ref,0)),""),"")))</f>
        <v/>
      </c>
      <c r="N1295" s="70" t="str">
        <f>IF(OR(E1295="",J1295=""),"",ROUND(N(H1295)*J1295*(1-N(K1295)),2))</f>
        <v/>
      </c>
      <c r="O1295" s="70" t="str">
        <f>IF(OR(N1295="",NOT(ISNUMBER(M1295))),"",ROUND(N1295*M1295,2))</f>
        <v/>
      </c>
      <c r="P1295" s="70" t="str">
        <f>IF(N1295="","",N1295+N(O1295))</f>
        <v/>
      </c>
      <c r="Q1295" s="64" t="n"/>
      <c r="R1295" s="73" t="str">
        <f>IF(N(Q1295)&gt;0,Q1295,IF(OR(N(B1295)=0,ISNA(MATCH($C1295,sup_code,0))),"",IF(ISNUMBER(INDEX(sup_delay,MATCH($C1295,sup_code,0))),B1295+INDEX(sup_delay,MATCH($C1295,sup_code,0)),"")))</f>
        <v/>
      </c>
      <c r="S1295" s="64" t="n"/>
      <c r="T1295" s="68" t="n"/>
      <c r="U1295" s="64" t="n"/>
      <c r="V1295" s="65" t="n"/>
      <c r="W1295" s="74" t="str">
        <f>IF(AND(A1295="",E1295=""),"",IF(V1295="Oui",0,MAX(0,ROUND(N(H1295)-N(T1295),6))))</f>
        <v/>
      </c>
      <c r="X1295" s="67" t="str">
        <f>IF(AND(A1295="",E1295=""),"",IF(V1295="Oui","Annulé",IF(AND(N(H1295)&gt;0,N(T1295)&gt;=N(H1295)),"Reçu",IF(N(S1295)=0,"Brouillon",IF(AND(ISNUMBER(R1295),R1295&lt;p_today),"En retard",IF(N(T1295)&gt;0,"Partiel","Envoyé"))))))</f>
        <v/>
      </c>
      <c r="Y1295" s="75" t="str">
        <f>IF(X1295="En retard",p_today-R1295,IF(AND(X1295="Reçu",ISNUMBER(R1295)),MAX(0,N(U1295)-R1295),""))</f>
        <v/>
      </c>
      <c r="Z1295" s="67" t="str">
        <f>IF(AND(A1295="",E1295=""),"",IF(A1295="","N° de bon manquant",IF(N(B1295)=0,"Date de commande manquante",IF(C1295="","Fournisseur manquant",IF(ISNA(MATCH($C1295,sup_code,0)),"Fournisseur inconnu",IF(E1295="","Article manquant",IF(ISNA(MATCH($E1295,art_ref,0)),"Article inconnu",IF(N(H1295)&lt;=0,"Quantité invalide",IF(J1295="","Prix manquant",IF(OR(N(K1295)&lt;0,N(K1295)&gt;=1),"Remise invalide",IF(M1295="","TVA manquante",IF(ISNA(MATCH(M1295,p_tva,0)),"Taux de TVA inconnu",IF(COUNTIFS(po_num,A1295,po_sup,"&lt;&gt;"&amp;C1295)&gt;0,"Fournisseur différent sur ce bon",IF(COUNTIFS(po_num,A1295,po_date,"&lt;&gt;"&amp;B1295)&gt;0,"Date différente sur ce bon",IF(COUNTIF(po_num,A1295)&gt;25,"Plus de 25 lignes sur ce bon",IF(R1295="","Date de livraison manquante",IF(R1295&lt;B1295,"Livraison avant la commande",IF(AND(N(T1295)&gt;0,N(S1295)=0),"Date d'envoi manquante",IF(N(T1295)&gt;N(H1295),"Reçu plus que commandé",IF(AND(N(T1295)&gt;0,N(U1295)=0),"Date de réception manquante",IF(AND(N(U1295)&gt;0,U1295&lt;B1295),"Réception avant la commande","OK")))))))))))))))))))))</f>
        <v/>
      </c>
      <c r="AA1295" s="66" t="str">
        <f>IF(AND(X1295="Reçu",ISNUMBER(R1295)),IF(N(U1295)&lt;=R1295,1,0),"")</f>
        <v/>
      </c>
      <c r="AB1295" s="76" t="str">
        <f>IF(OR(X1295="Envoyé",X1295="Partiel",X1295="En retard"),IF(ISNUMBER(R1295),R1295,100000)+ROW()/100000,"")</f>
        <v/>
      </c>
      <c r="AC1295" s="66" t="str">
        <f>IF(A1295="","",IF(COUNTIF($A$6:A1295,A1295)=1,1,""))</f>
        <v/>
      </c>
      <c r="AD1295" s="66" t="str">
        <f>IF(AC1295=1,COUNT($AC$6:AC1295),"")</f>
        <v/>
      </c>
      <c r="AE1295" s="66" t="str">
        <f>IFERROR(INDEX(po_num,MATCH(1290,po_seq,0))&amp;"","")</f>
        <v/>
      </c>
      <c r="AF1295" s="66" t="str">
        <f>IF(OR(A1295="",p_po=""),"",IF(A1295&amp;""=p_po,COUNTIF($A$6:A1295,A1295),""))</f>
        <v/>
      </c>
      <c r="AG1295" s="66" t="str">
        <f>IF(OR(AB1295="",A1295=""),"",IF(COUNTIFS($A$6:A1295,A1295,$AB$6:AB1295,"&gt;0")=1,1,""))</f>
        <v/>
      </c>
      <c r="AH1295" s="70" t="str">
        <f>IF(AB1295="","",ROUND(N(W1295)*N(J1295)*(1-N(K1295)),2))</f>
        <v/>
      </c>
      <c r="AI1295" s="70" t="str">
        <f>IF(OR(J1295="",N(T1295)&lt;=0,V1295="Oui"),"",ROUND(N(T1295)*J1295*(1-N(K1295)),2))</f>
        <v/>
      </c>
    </row>
    <row r="1296">
      <c r="A1296" s="63" t="n"/>
      <c r="B1296" s="64" t="n"/>
      <c r="C1296" s="65" t="n"/>
      <c r="D1296" s="66" t="str">
        <f>IF(C1296="","",IFERROR(INDEX(sup_name,MATCH($C1296,sup_code,0))&amp;"","Fournisseur inconnu"))</f>
        <v/>
      </c>
      <c r="E1296" s="63" t="n"/>
      <c r="F1296" s="66" t="str">
        <f>IF(E1296="","",IFERROR(INDEX(art_des,MATCH($E1296,art_ref,0))&amp;"","Article inconnu"))</f>
        <v/>
      </c>
      <c r="G1296" s="67" t="str">
        <f>IF(E1296="","",IFERROR(INDEX(art_unit,MATCH($E1296,art_ref,0))&amp;"",""))</f>
        <v/>
      </c>
      <c r="H1296" s="68" t="n"/>
      <c r="I1296" s="69" t="n"/>
      <c r="J1296" s="70" t="str">
        <f>IF(E1296="","",IF(ISNUMBER(I1296),I1296,IFERROR(IF(ISNUMBER(INDEX(art_price,MATCH($E1296,art_ref,0))),INDEX(art_price,MATCH($E1296,art_ref,0)),""),"")))</f>
        <v/>
      </c>
      <c r="K1296" s="71" t="n"/>
      <c r="L1296" s="72" t="n"/>
      <c r="M1296" s="72" t="str">
        <f>IF(E1296="","",IF(L1296&lt;&gt;"",L1296,IFERROR(IF(ISNUMBER(INDEX(art_tva,MATCH($E1296,art_ref,0))),INDEX(art_tva,MATCH($E1296,art_ref,0)),""),"")))</f>
        <v/>
      </c>
      <c r="N1296" s="70" t="str">
        <f>IF(OR(E1296="",J1296=""),"",ROUND(N(H1296)*J1296*(1-N(K1296)),2))</f>
        <v/>
      </c>
      <c r="O1296" s="70" t="str">
        <f>IF(OR(N1296="",NOT(ISNUMBER(M1296))),"",ROUND(N1296*M1296,2))</f>
        <v/>
      </c>
      <c r="P1296" s="70" t="str">
        <f>IF(N1296="","",N1296+N(O1296))</f>
        <v/>
      </c>
      <c r="Q1296" s="64" t="n"/>
      <c r="R1296" s="73" t="str">
        <f>IF(N(Q1296)&gt;0,Q1296,IF(OR(N(B1296)=0,ISNA(MATCH($C1296,sup_code,0))),"",IF(ISNUMBER(INDEX(sup_delay,MATCH($C1296,sup_code,0))),B1296+INDEX(sup_delay,MATCH($C1296,sup_code,0)),"")))</f>
        <v/>
      </c>
      <c r="S1296" s="64" t="n"/>
      <c r="T1296" s="68" t="n"/>
      <c r="U1296" s="64" t="n"/>
      <c r="V1296" s="65" t="n"/>
      <c r="W1296" s="74" t="str">
        <f>IF(AND(A1296="",E1296=""),"",IF(V1296="Oui",0,MAX(0,ROUND(N(H1296)-N(T1296),6))))</f>
        <v/>
      </c>
      <c r="X1296" s="67" t="str">
        <f>IF(AND(A1296="",E1296=""),"",IF(V1296="Oui","Annulé",IF(AND(N(H1296)&gt;0,N(T1296)&gt;=N(H1296)),"Reçu",IF(N(S1296)=0,"Brouillon",IF(AND(ISNUMBER(R1296),R1296&lt;p_today),"En retard",IF(N(T1296)&gt;0,"Partiel","Envoyé"))))))</f>
        <v/>
      </c>
      <c r="Y1296" s="75" t="str">
        <f>IF(X1296="En retard",p_today-R1296,IF(AND(X1296="Reçu",ISNUMBER(R1296)),MAX(0,N(U1296)-R1296),""))</f>
        <v/>
      </c>
      <c r="Z1296" s="67" t="str">
        <f>IF(AND(A1296="",E1296=""),"",IF(A1296="","N° de bon manquant",IF(N(B1296)=0,"Date de commande manquante",IF(C1296="","Fournisseur manquant",IF(ISNA(MATCH($C1296,sup_code,0)),"Fournisseur inconnu",IF(E1296="","Article manquant",IF(ISNA(MATCH($E1296,art_ref,0)),"Article inconnu",IF(N(H1296)&lt;=0,"Quantité invalide",IF(J1296="","Prix manquant",IF(OR(N(K1296)&lt;0,N(K1296)&gt;=1),"Remise invalide",IF(M1296="","TVA manquante",IF(ISNA(MATCH(M1296,p_tva,0)),"Taux de TVA inconnu",IF(COUNTIFS(po_num,A1296,po_sup,"&lt;&gt;"&amp;C1296)&gt;0,"Fournisseur différent sur ce bon",IF(COUNTIFS(po_num,A1296,po_date,"&lt;&gt;"&amp;B1296)&gt;0,"Date différente sur ce bon",IF(COUNTIF(po_num,A1296)&gt;25,"Plus de 25 lignes sur ce bon",IF(R1296="","Date de livraison manquante",IF(R1296&lt;B1296,"Livraison avant la commande",IF(AND(N(T1296)&gt;0,N(S1296)=0),"Date d'envoi manquante",IF(N(T1296)&gt;N(H1296),"Reçu plus que commandé",IF(AND(N(T1296)&gt;0,N(U1296)=0),"Date de réception manquante",IF(AND(N(U1296)&gt;0,U1296&lt;B1296),"Réception avant la commande","OK")))))))))))))))))))))</f>
        <v/>
      </c>
      <c r="AA1296" s="66" t="str">
        <f>IF(AND(X1296="Reçu",ISNUMBER(R1296)),IF(N(U1296)&lt;=R1296,1,0),"")</f>
        <v/>
      </c>
      <c r="AB1296" s="76" t="str">
        <f>IF(OR(X1296="Envoyé",X1296="Partiel",X1296="En retard"),IF(ISNUMBER(R1296),R1296,100000)+ROW()/100000,"")</f>
        <v/>
      </c>
      <c r="AC1296" s="66" t="str">
        <f>IF(A1296="","",IF(COUNTIF($A$6:A1296,A1296)=1,1,""))</f>
        <v/>
      </c>
      <c r="AD1296" s="66" t="str">
        <f>IF(AC1296=1,COUNT($AC$6:AC1296),"")</f>
        <v/>
      </c>
      <c r="AE1296" s="66" t="str">
        <f>IFERROR(INDEX(po_num,MATCH(1291,po_seq,0))&amp;"","")</f>
        <v/>
      </c>
      <c r="AF1296" s="66" t="str">
        <f>IF(OR(A1296="",p_po=""),"",IF(A1296&amp;""=p_po,COUNTIF($A$6:A1296,A1296),""))</f>
        <v/>
      </c>
      <c r="AG1296" s="66" t="str">
        <f>IF(OR(AB1296="",A1296=""),"",IF(COUNTIFS($A$6:A1296,A1296,$AB$6:AB1296,"&gt;0")=1,1,""))</f>
        <v/>
      </c>
      <c r="AH1296" s="70" t="str">
        <f>IF(AB1296="","",ROUND(N(W1296)*N(J1296)*(1-N(K1296)),2))</f>
        <v/>
      </c>
      <c r="AI1296" s="70" t="str">
        <f>IF(OR(J1296="",N(T1296)&lt;=0,V1296="Oui"),"",ROUND(N(T1296)*J1296*(1-N(K1296)),2))</f>
        <v/>
      </c>
    </row>
    <row r="1297">
      <c r="A1297" s="63" t="n"/>
      <c r="B1297" s="64" t="n"/>
      <c r="C1297" s="65" t="n"/>
      <c r="D1297" s="66" t="str">
        <f>IF(C1297="","",IFERROR(INDEX(sup_name,MATCH($C1297,sup_code,0))&amp;"","Fournisseur inconnu"))</f>
        <v/>
      </c>
      <c r="E1297" s="63" t="n"/>
      <c r="F1297" s="66" t="str">
        <f>IF(E1297="","",IFERROR(INDEX(art_des,MATCH($E1297,art_ref,0))&amp;"","Article inconnu"))</f>
        <v/>
      </c>
      <c r="G1297" s="67" t="str">
        <f>IF(E1297="","",IFERROR(INDEX(art_unit,MATCH($E1297,art_ref,0))&amp;"",""))</f>
        <v/>
      </c>
      <c r="H1297" s="68" t="n"/>
      <c r="I1297" s="69" t="n"/>
      <c r="J1297" s="70" t="str">
        <f>IF(E1297="","",IF(ISNUMBER(I1297),I1297,IFERROR(IF(ISNUMBER(INDEX(art_price,MATCH($E1297,art_ref,0))),INDEX(art_price,MATCH($E1297,art_ref,0)),""),"")))</f>
        <v/>
      </c>
      <c r="K1297" s="71" t="n"/>
      <c r="L1297" s="72" t="n"/>
      <c r="M1297" s="72" t="str">
        <f>IF(E1297="","",IF(L1297&lt;&gt;"",L1297,IFERROR(IF(ISNUMBER(INDEX(art_tva,MATCH($E1297,art_ref,0))),INDEX(art_tva,MATCH($E1297,art_ref,0)),""),"")))</f>
        <v/>
      </c>
      <c r="N1297" s="70" t="str">
        <f>IF(OR(E1297="",J1297=""),"",ROUND(N(H1297)*J1297*(1-N(K1297)),2))</f>
        <v/>
      </c>
      <c r="O1297" s="70" t="str">
        <f>IF(OR(N1297="",NOT(ISNUMBER(M1297))),"",ROUND(N1297*M1297,2))</f>
        <v/>
      </c>
      <c r="P1297" s="70" t="str">
        <f>IF(N1297="","",N1297+N(O1297))</f>
        <v/>
      </c>
      <c r="Q1297" s="64" t="n"/>
      <c r="R1297" s="73" t="str">
        <f>IF(N(Q1297)&gt;0,Q1297,IF(OR(N(B1297)=0,ISNA(MATCH($C1297,sup_code,0))),"",IF(ISNUMBER(INDEX(sup_delay,MATCH($C1297,sup_code,0))),B1297+INDEX(sup_delay,MATCH($C1297,sup_code,0)),"")))</f>
        <v/>
      </c>
      <c r="S1297" s="64" t="n"/>
      <c r="T1297" s="68" t="n"/>
      <c r="U1297" s="64" t="n"/>
      <c r="V1297" s="65" t="n"/>
      <c r="W1297" s="74" t="str">
        <f>IF(AND(A1297="",E1297=""),"",IF(V1297="Oui",0,MAX(0,ROUND(N(H1297)-N(T1297),6))))</f>
        <v/>
      </c>
      <c r="X1297" s="67" t="str">
        <f>IF(AND(A1297="",E1297=""),"",IF(V1297="Oui","Annulé",IF(AND(N(H1297)&gt;0,N(T1297)&gt;=N(H1297)),"Reçu",IF(N(S1297)=0,"Brouillon",IF(AND(ISNUMBER(R1297),R1297&lt;p_today),"En retard",IF(N(T1297)&gt;0,"Partiel","Envoyé"))))))</f>
        <v/>
      </c>
      <c r="Y1297" s="75" t="str">
        <f>IF(X1297="En retard",p_today-R1297,IF(AND(X1297="Reçu",ISNUMBER(R1297)),MAX(0,N(U1297)-R1297),""))</f>
        <v/>
      </c>
      <c r="Z1297" s="67" t="str">
        <f>IF(AND(A1297="",E1297=""),"",IF(A1297="","N° de bon manquant",IF(N(B1297)=0,"Date de commande manquante",IF(C1297="","Fournisseur manquant",IF(ISNA(MATCH($C1297,sup_code,0)),"Fournisseur inconnu",IF(E1297="","Article manquant",IF(ISNA(MATCH($E1297,art_ref,0)),"Article inconnu",IF(N(H1297)&lt;=0,"Quantité invalide",IF(J1297="","Prix manquant",IF(OR(N(K1297)&lt;0,N(K1297)&gt;=1),"Remise invalide",IF(M1297="","TVA manquante",IF(ISNA(MATCH(M1297,p_tva,0)),"Taux de TVA inconnu",IF(COUNTIFS(po_num,A1297,po_sup,"&lt;&gt;"&amp;C1297)&gt;0,"Fournisseur différent sur ce bon",IF(COUNTIFS(po_num,A1297,po_date,"&lt;&gt;"&amp;B1297)&gt;0,"Date différente sur ce bon",IF(COUNTIF(po_num,A1297)&gt;25,"Plus de 25 lignes sur ce bon",IF(R1297="","Date de livraison manquante",IF(R1297&lt;B1297,"Livraison avant la commande",IF(AND(N(T1297)&gt;0,N(S1297)=0),"Date d'envoi manquante",IF(N(T1297)&gt;N(H1297),"Reçu plus que commandé",IF(AND(N(T1297)&gt;0,N(U1297)=0),"Date de réception manquante",IF(AND(N(U1297)&gt;0,U1297&lt;B1297),"Réception avant la commande","OK")))))))))))))))))))))</f>
        <v/>
      </c>
      <c r="AA1297" s="66" t="str">
        <f>IF(AND(X1297="Reçu",ISNUMBER(R1297)),IF(N(U1297)&lt;=R1297,1,0),"")</f>
        <v/>
      </c>
      <c r="AB1297" s="76" t="str">
        <f>IF(OR(X1297="Envoyé",X1297="Partiel",X1297="En retard"),IF(ISNUMBER(R1297),R1297,100000)+ROW()/100000,"")</f>
        <v/>
      </c>
      <c r="AC1297" s="66" t="str">
        <f>IF(A1297="","",IF(COUNTIF($A$6:A1297,A1297)=1,1,""))</f>
        <v/>
      </c>
      <c r="AD1297" s="66" t="str">
        <f>IF(AC1297=1,COUNT($AC$6:AC1297),"")</f>
        <v/>
      </c>
      <c r="AE1297" s="66" t="str">
        <f>IFERROR(INDEX(po_num,MATCH(1292,po_seq,0))&amp;"","")</f>
        <v/>
      </c>
      <c r="AF1297" s="66" t="str">
        <f>IF(OR(A1297="",p_po=""),"",IF(A1297&amp;""=p_po,COUNTIF($A$6:A1297,A1297),""))</f>
        <v/>
      </c>
      <c r="AG1297" s="66" t="str">
        <f>IF(OR(AB1297="",A1297=""),"",IF(COUNTIFS($A$6:A1297,A1297,$AB$6:AB1297,"&gt;0")=1,1,""))</f>
        <v/>
      </c>
      <c r="AH1297" s="70" t="str">
        <f>IF(AB1297="","",ROUND(N(W1297)*N(J1297)*(1-N(K1297)),2))</f>
        <v/>
      </c>
      <c r="AI1297" s="70" t="str">
        <f>IF(OR(J1297="",N(T1297)&lt;=0,V1297="Oui"),"",ROUND(N(T1297)*J1297*(1-N(K1297)),2))</f>
        <v/>
      </c>
    </row>
    <row r="1298">
      <c r="A1298" s="63" t="n"/>
      <c r="B1298" s="64" t="n"/>
      <c r="C1298" s="65" t="n"/>
      <c r="D1298" s="66" t="str">
        <f>IF(C1298="","",IFERROR(INDEX(sup_name,MATCH($C1298,sup_code,0))&amp;"","Fournisseur inconnu"))</f>
        <v/>
      </c>
      <c r="E1298" s="63" t="n"/>
      <c r="F1298" s="66" t="str">
        <f>IF(E1298="","",IFERROR(INDEX(art_des,MATCH($E1298,art_ref,0))&amp;"","Article inconnu"))</f>
        <v/>
      </c>
      <c r="G1298" s="67" t="str">
        <f>IF(E1298="","",IFERROR(INDEX(art_unit,MATCH($E1298,art_ref,0))&amp;"",""))</f>
        <v/>
      </c>
      <c r="H1298" s="68" t="n"/>
      <c r="I1298" s="69" t="n"/>
      <c r="J1298" s="70" t="str">
        <f>IF(E1298="","",IF(ISNUMBER(I1298),I1298,IFERROR(IF(ISNUMBER(INDEX(art_price,MATCH($E1298,art_ref,0))),INDEX(art_price,MATCH($E1298,art_ref,0)),""),"")))</f>
        <v/>
      </c>
      <c r="K1298" s="71" t="n"/>
      <c r="L1298" s="72" t="n"/>
      <c r="M1298" s="72" t="str">
        <f>IF(E1298="","",IF(L1298&lt;&gt;"",L1298,IFERROR(IF(ISNUMBER(INDEX(art_tva,MATCH($E1298,art_ref,0))),INDEX(art_tva,MATCH($E1298,art_ref,0)),""),"")))</f>
        <v/>
      </c>
      <c r="N1298" s="70" t="str">
        <f>IF(OR(E1298="",J1298=""),"",ROUND(N(H1298)*J1298*(1-N(K1298)),2))</f>
        <v/>
      </c>
      <c r="O1298" s="70" t="str">
        <f>IF(OR(N1298="",NOT(ISNUMBER(M1298))),"",ROUND(N1298*M1298,2))</f>
        <v/>
      </c>
      <c r="P1298" s="70" t="str">
        <f>IF(N1298="","",N1298+N(O1298))</f>
        <v/>
      </c>
      <c r="Q1298" s="64" t="n"/>
      <c r="R1298" s="73" t="str">
        <f>IF(N(Q1298)&gt;0,Q1298,IF(OR(N(B1298)=0,ISNA(MATCH($C1298,sup_code,0))),"",IF(ISNUMBER(INDEX(sup_delay,MATCH($C1298,sup_code,0))),B1298+INDEX(sup_delay,MATCH($C1298,sup_code,0)),"")))</f>
        <v/>
      </c>
      <c r="S1298" s="64" t="n"/>
      <c r="T1298" s="68" t="n"/>
      <c r="U1298" s="64" t="n"/>
      <c r="V1298" s="65" t="n"/>
      <c r="W1298" s="74" t="str">
        <f>IF(AND(A1298="",E1298=""),"",IF(V1298="Oui",0,MAX(0,ROUND(N(H1298)-N(T1298),6))))</f>
        <v/>
      </c>
      <c r="X1298" s="67" t="str">
        <f>IF(AND(A1298="",E1298=""),"",IF(V1298="Oui","Annulé",IF(AND(N(H1298)&gt;0,N(T1298)&gt;=N(H1298)),"Reçu",IF(N(S1298)=0,"Brouillon",IF(AND(ISNUMBER(R1298),R1298&lt;p_today),"En retard",IF(N(T1298)&gt;0,"Partiel","Envoyé"))))))</f>
        <v/>
      </c>
      <c r="Y1298" s="75" t="str">
        <f>IF(X1298="En retard",p_today-R1298,IF(AND(X1298="Reçu",ISNUMBER(R1298)),MAX(0,N(U1298)-R1298),""))</f>
        <v/>
      </c>
      <c r="Z1298" s="67" t="str">
        <f>IF(AND(A1298="",E1298=""),"",IF(A1298="","N° de bon manquant",IF(N(B1298)=0,"Date de commande manquante",IF(C1298="","Fournisseur manquant",IF(ISNA(MATCH($C1298,sup_code,0)),"Fournisseur inconnu",IF(E1298="","Article manquant",IF(ISNA(MATCH($E1298,art_ref,0)),"Article inconnu",IF(N(H1298)&lt;=0,"Quantité invalide",IF(J1298="","Prix manquant",IF(OR(N(K1298)&lt;0,N(K1298)&gt;=1),"Remise invalide",IF(M1298="","TVA manquante",IF(ISNA(MATCH(M1298,p_tva,0)),"Taux de TVA inconnu",IF(COUNTIFS(po_num,A1298,po_sup,"&lt;&gt;"&amp;C1298)&gt;0,"Fournisseur différent sur ce bon",IF(COUNTIFS(po_num,A1298,po_date,"&lt;&gt;"&amp;B1298)&gt;0,"Date différente sur ce bon",IF(COUNTIF(po_num,A1298)&gt;25,"Plus de 25 lignes sur ce bon",IF(R1298="","Date de livraison manquante",IF(R1298&lt;B1298,"Livraison avant la commande",IF(AND(N(T1298)&gt;0,N(S1298)=0),"Date d'envoi manquante",IF(N(T1298)&gt;N(H1298),"Reçu plus que commandé",IF(AND(N(T1298)&gt;0,N(U1298)=0),"Date de réception manquante",IF(AND(N(U1298)&gt;0,U1298&lt;B1298),"Réception avant la commande","OK")))))))))))))))))))))</f>
        <v/>
      </c>
      <c r="AA1298" s="66" t="str">
        <f>IF(AND(X1298="Reçu",ISNUMBER(R1298)),IF(N(U1298)&lt;=R1298,1,0),"")</f>
        <v/>
      </c>
      <c r="AB1298" s="76" t="str">
        <f>IF(OR(X1298="Envoyé",X1298="Partiel",X1298="En retard"),IF(ISNUMBER(R1298),R1298,100000)+ROW()/100000,"")</f>
        <v/>
      </c>
      <c r="AC1298" s="66" t="str">
        <f>IF(A1298="","",IF(COUNTIF($A$6:A1298,A1298)=1,1,""))</f>
        <v/>
      </c>
      <c r="AD1298" s="66" t="str">
        <f>IF(AC1298=1,COUNT($AC$6:AC1298),"")</f>
        <v/>
      </c>
      <c r="AE1298" s="66" t="str">
        <f>IFERROR(INDEX(po_num,MATCH(1293,po_seq,0))&amp;"","")</f>
        <v/>
      </c>
      <c r="AF1298" s="66" t="str">
        <f>IF(OR(A1298="",p_po=""),"",IF(A1298&amp;""=p_po,COUNTIF($A$6:A1298,A1298),""))</f>
        <v/>
      </c>
      <c r="AG1298" s="66" t="str">
        <f>IF(OR(AB1298="",A1298=""),"",IF(COUNTIFS($A$6:A1298,A1298,$AB$6:AB1298,"&gt;0")=1,1,""))</f>
        <v/>
      </c>
      <c r="AH1298" s="70" t="str">
        <f>IF(AB1298="","",ROUND(N(W1298)*N(J1298)*(1-N(K1298)),2))</f>
        <v/>
      </c>
      <c r="AI1298" s="70" t="str">
        <f>IF(OR(J1298="",N(T1298)&lt;=0,V1298="Oui"),"",ROUND(N(T1298)*J1298*(1-N(K1298)),2))</f>
        <v/>
      </c>
    </row>
    <row r="1299">
      <c r="A1299" s="63" t="n"/>
      <c r="B1299" s="64" t="n"/>
      <c r="C1299" s="65" t="n"/>
      <c r="D1299" s="66" t="str">
        <f>IF(C1299="","",IFERROR(INDEX(sup_name,MATCH($C1299,sup_code,0))&amp;"","Fournisseur inconnu"))</f>
        <v/>
      </c>
      <c r="E1299" s="63" t="n"/>
      <c r="F1299" s="66" t="str">
        <f>IF(E1299="","",IFERROR(INDEX(art_des,MATCH($E1299,art_ref,0))&amp;"","Article inconnu"))</f>
        <v/>
      </c>
      <c r="G1299" s="67" t="str">
        <f>IF(E1299="","",IFERROR(INDEX(art_unit,MATCH($E1299,art_ref,0))&amp;"",""))</f>
        <v/>
      </c>
      <c r="H1299" s="68" t="n"/>
      <c r="I1299" s="69" t="n"/>
      <c r="J1299" s="70" t="str">
        <f>IF(E1299="","",IF(ISNUMBER(I1299),I1299,IFERROR(IF(ISNUMBER(INDEX(art_price,MATCH($E1299,art_ref,0))),INDEX(art_price,MATCH($E1299,art_ref,0)),""),"")))</f>
        <v/>
      </c>
      <c r="K1299" s="71" t="n"/>
      <c r="L1299" s="72" t="n"/>
      <c r="M1299" s="72" t="str">
        <f>IF(E1299="","",IF(L1299&lt;&gt;"",L1299,IFERROR(IF(ISNUMBER(INDEX(art_tva,MATCH($E1299,art_ref,0))),INDEX(art_tva,MATCH($E1299,art_ref,0)),""),"")))</f>
        <v/>
      </c>
      <c r="N1299" s="70" t="str">
        <f>IF(OR(E1299="",J1299=""),"",ROUND(N(H1299)*J1299*(1-N(K1299)),2))</f>
        <v/>
      </c>
      <c r="O1299" s="70" t="str">
        <f>IF(OR(N1299="",NOT(ISNUMBER(M1299))),"",ROUND(N1299*M1299,2))</f>
        <v/>
      </c>
      <c r="P1299" s="70" t="str">
        <f>IF(N1299="","",N1299+N(O1299))</f>
        <v/>
      </c>
      <c r="Q1299" s="64" t="n"/>
      <c r="R1299" s="73" t="str">
        <f>IF(N(Q1299)&gt;0,Q1299,IF(OR(N(B1299)=0,ISNA(MATCH($C1299,sup_code,0))),"",IF(ISNUMBER(INDEX(sup_delay,MATCH($C1299,sup_code,0))),B1299+INDEX(sup_delay,MATCH($C1299,sup_code,0)),"")))</f>
        <v/>
      </c>
      <c r="S1299" s="64" t="n"/>
      <c r="T1299" s="68" t="n"/>
      <c r="U1299" s="64" t="n"/>
      <c r="V1299" s="65" t="n"/>
      <c r="W1299" s="74" t="str">
        <f>IF(AND(A1299="",E1299=""),"",IF(V1299="Oui",0,MAX(0,ROUND(N(H1299)-N(T1299),6))))</f>
        <v/>
      </c>
      <c r="X1299" s="67" t="str">
        <f>IF(AND(A1299="",E1299=""),"",IF(V1299="Oui","Annulé",IF(AND(N(H1299)&gt;0,N(T1299)&gt;=N(H1299)),"Reçu",IF(N(S1299)=0,"Brouillon",IF(AND(ISNUMBER(R1299),R1299&lt;p_today),"En retard",IF(N(T1299)&gt;0,"Partiel","Envoyé"))))))</f>
        <v/>
      </c>
      <c r="Y1299" s="75" t="str">
        <f>IF(X1299="En retard",p_today-R1299,IF(AND(X1299="Reçu",ISNUMBER(R1299)),MAX(0,N(U1299)-R1299),""))</f>
        <v/>
      </c>
      <c r="Z1299" s="67" t="str">
        <f>IF(AND(A1299="",E1299=""),"",IF(A1299="","N° de bon manquant",IF(N(B1299)=0,"Date de commande manquante",IF(C1299="","Fournisseur manquant",IF(ISNA(MATCH($C1299,sup_code,0)),"Fournisseur inconnu",IF(E1299="","Article manquant",IF(ISNA(MATCH($E1299,art_ref,0)),"Article inconnu",IF(N(H1299)&lt;=0,"Quantité invalide",IF(J1299="","Prix manquant",IF(OR(N(K1299)&lt;0,N(K1299)&gt;=1),"Remise invalide",IF(M1299="","TVA manquante",IF(ISNA(MATCH(M1299,p_tva,0)),"Taux de TVA inconnu",IF(COUNTIFS(po_num,A1299,po_sup,"&lt;&gt;"&amp;C1299)&gt;0,"Fournisseur différent sur ce bon",IF(COUNTIFS(po_num,A1299,po_date,"&lt;&gt;"&amp;B1299)&gt;0,"Date différente sur ce bon",IF(COUNTIF(po_num,A1299)&gt;25,"Plus de 25 lignes sur ce bon",IF(R1299="","Date de livraison manquante",IF(R1299&lt;B1299,"Livraison avant la commande",IF(AND(N(T1299)&gt;0,N(S1299)=0),"Date d'envoi manquante",IF(N(T1299)&gt;N(H1299),"Reçu plus que commandé",IF(AND(N(T1299)&gt;0,N(U1299)=0),"Date de réception manquante",IF(AND(N(U1299)&gt;0,U1299&lt;B1299),"Réception avant la commande","OK")))))))))))))))))))))</f>
        <v/>
      </c>
      <c r="AA1299" s="66" t="str">
        <f>IF(AND(X1299="Reçu",ISNUMBER(R1299)),IF(N(U1299)&lt;=R1299,1,0),"")</f>
        <v/>
      </c>
      <c r="AB1299" s="76" t="str">
        <f>IF(OR(X1299="Envoyé",X1299="Partiel",X1299="En retard"),IF(ISNUMBER(R1299),R1299,100000)+ROW()/100000,"")</f>
        <v/>
      </c>
      <c r="AC1299" s="66" t="str">
        <f>IF(A1299="","",IF(COUNTIF($A$6:A1299,A1299)=1,1,""))</f>
        <v/>
      </c>
      <c r="AD1299" s="66" t="str">
        <f>IF(AC1299=1,COUNT($AC$6:AC1299),"")</f>
        <v/>
      </c>
      <c r="AE1299" s="66" t="str">
        <f>IFERROR(INDEX(po_num,MATCH(1294,po_seq,0))&amp;"","")</f>
        <v/>
      </c>
      <c r="AF1299" s="66" t="str">
        <f>IF(OR(A1299="",p_po=""),"",IF(A1299&amp;""=p_po,COUNTIF($A$6:A1299,A1299),""))</f>
        <v/>
      </c>
      <c r="AG1299" s="66" t="str">
        <f>IF(OR(AB1299="",A1299=""),"",IF(COUNTIFS($A$6:A1299,A1299,$AB$6:AB1299,"&gt;0")=1,1,""))</f>
        <v/>
      </c>
      <c r="AH1299" s="70" t="str">
        <f>IF(AB1299="","",ROUND(N(W1299)*N(J1299)*(1-N(K1299)),2))</f>
        <v/>
      </c>
      <c r="AI1299" s="70" t="str">
        <f>IF(OR(J1299="",N(T1299)&lt;=0,V1299="Oui"),"",ROUND(N(T1299)*J1299*(1-N(K1299)),2))</f>
        <v/>
      </c>
    </row>
    <row r="1300">
      <c r="A1300" s="63" t="n"/>
      <c r="B1300" s="64" t="n"/>
      <c r="C1300" s="65" t="n"/>
      <c r="D1300" s="66" t="str">
        <f>IF(C1300="","",IFERROR(INDEX(sup_name,MATCH($C1300,sup_code,0))&amp;"","Fournisseur inconnu"))</f>
        <v/>
      </c>
      <c r="E1300" s="63" t="n"/>
      <c r="F1300" s="66" t="str">
        <f>IF(E1300="","",IFERROR(INDEX(art_des,MATCH($E1300,art_ref,0))&amp;"","Article inconnu"))</f>
        <v/>
      </c>
      <c r="G1300" s="67" t="str">
        <f>IF(E1300="","",IFERROR(INDEX(art_unit,MATCH($E1300,art_ref,0))&amp;"",""))</f>
        <v/>
      </c>
      <c r="H1300" s="68" t="n"/>
      <c r="I1300" s="69" t="n"/>
      <c r="J1300" s="70" t="str">
        <f>IF(E1300="","",IF(ISNUMBER(I1300),I1300,IFERROR(IF(ISNUMBER(INDEX(art_price,MATCH($E1300,art_ref,0))),INDEX(art_price,MATCH($E1300,art_ref,0)),""),"")))</f>
        <v/>
      </c>
      <c r="K1300" s="71" t="n"/>
      <c r="L1300" s="72" t="n"/>
      <c r="M1300" s="72" t="str">
        <f>IF(E1300="","",IF(L1300&lt;&gt;"",L1300,IFERROR(IF(ISNUMBER(INDEX(art_tva,MATCH($E1300,art_ref,0))),INDEX(art_tva,MATCH($E1300,art_ref,0)),""),"")))</f>
        <v/>
      </c>
      <c r="N1300" s="70" t="str">
        <f>IF(OR(E1300="",J1300=""),"",ROUND(N(H1300)*J1300*(1-N(K1300)),2))</f>
        <v/>
      </c>
      <c r="O1300" s="70" t="str">
        <f>IF(OR(N1300="",NOT(ISNUMBER(M1300))),"",ROUND(N1300*M1300,2))</f>
        <v/>
      </c>
      <c r="P1300" s="70" t="str">
        <f>IF(N1300="","",N1300+N(O1300))</f>
        <v/>
      </c>
      <c r="Q1300" s="64" t="n"/>
      <c r="R1300" s="73" t="str">
        <f>IF(N(Q1300)&gt;0,Q1300,IF(OR(N(B1300)=0,ISNA(MATCH($C1300,sup_code,0))),"",IF(ISNUMBER(INDEX(sup_delay,MATCH($C1300,sup_code,0))),B1300+INDEX(sup_delay,MATCH($C1300,sup_code,0)),"")))</f>
        <v/>
      </c>
      <c r="S1300" s="64" t="n"/>
      <c r="T1300" s="68" t="n"/>
      <c r="U1300" s="64" t="n"/>
      <c r="V1300" s="65" t="n"/>
      <c r="W1300" s="74" t="str">
        <f>IF(AND(A1300="",E1300=""),"",IF(V1300="Oui",0,MAX(0,ROUND(N(H1300)-N(T1300),6))))</f>
        <v/>
      </c>
      <c r="X1300" s="67" t="str">
        <f>IF(AND(A1300="",E1300=""),"",IF(V1300="Oui","Annulé",IF(AND(N(H1300)&gt;0,N(T1300)&gt;=N(H1300)),"Reçu",IF(N(S1300)=0,"Brouillon",IF(AND(ISNUMBER(R1300),R1300&lt;p_today),"En retard",IF(N(T1300)&gt;0,"Partiel","Envoyé"))))))</f>
        <v/>
      </c>
      <c r="Y1300" s="75" t="str">
        <f>IF(X1300="En retard",p_today-R1300,IF(AND(X1300="Reçu",ISNUMBER(R1300)),MAX(0,N(U1300)-R1300),""))</f>
        <v/>
      </c>
      <c r="Z1300" s="67" t="str">
        <f>IF(AND(A1300="",E1300=""),"",IF(A1300="","N° de bon manquant",IF(N(B1300)=0,"Date de commande manquante",IF(C1300="","Fournisseur manquant",IF(ISNA(MATCH($C1300,sup_code,0)),"Fournisseur inconnu",IF(E1300="","Article manquant",IF(ISNA(MATCH($E1300,art_ref,0)),"Article inconnu",IF(N(H1300)&lt;=0,"Quantité invalide",IF(J1300="","Prix manquant",IF(OR(N(K1300)&lt;0,N(K1300)&gt;=1),"Remise invalide",IF(M1300="","TVA manquante",IF(ISNA(MATCH(M1300,p_tva,0)),"Taux de TVA inconnu",IF(COUNTIFS(po_num,A1300,po_sup,"&lt;&gt;"&amp;C1300)&gt;0,"Fournisseur différent sur ce bon",IF(COUNTIFS(po_num,A1300,po_date,"&lt;&gt;"&amp;B1300)&gt;0,"Date différente sur ce bon",IF(COUNTIF(po_num,A1300)&gt;25,"Plus de 25 lignes sur ce bon",IF(R1300="","Date de livraison manquante",IF(R1300&lt;B1300,"Livraison avant la commande",IF(AND(N(T1300)&gt;0,N(S1300)=0),"Date d'envoi manquante",IF(N(T1300)&gt;N(H1300),"Reçu plus que commandé",IF(AND(N(T1300)&gt;0,N(U1300)=0),"Date de réception manquante",IF(AND(N(U1300)&gt;0,U1300&lt;B1300),"Réception avant la commande","OK")))))))))))))))))))))</f>
        <v/>
      </c>
      <c r="AA1300" s="66" t="str">
        <f>IF(AND(X1300="Reçu",ISNUMBER(R1300)),IF(N(U1300)&lt;=R1300,1,0),"")</f>
        <v/>
      </c>
      <c r="AB1300" s="76" t="str">
        <f>IF(OR(X1300="Envoyé",X1300="Partiel",X1300="En retard"),IF(ISNUMBER(R1300),R1300,100000)+ROW()/100000,"")</f>
        <v/>
      </c>
      <c r="AC1300" s="66" t="str">
        <f>IF(A1300="","",IF(COUNTIF($A$6:A1300,A1300)=1,1,""))</f>
        <v/>
      </c>
      <c r="AD1300" s="66" t="str">
        <f>IF(AC1300=1,COUNT($AC$6:AC1300),"")</f>
        <v/>
      </c>
      <c r="AE1300" s="66" t="str">
        <f>IFERROR(INDEX(po_num,MATCH(1295,po_seq,0))&amp;"","")</f>
        <v/>
      </c>
      <c r="AF1300" s="66" t="str">
        <f>IF(OR(A1300="",p_po=""),"",IF(A1300&amp;""=p_po,COUNTIF($A$6:A1300,A1300),""))</f>
        <v/>
      </c>
      <c r="AG1300" s="66" t="str">
        <f>IF(OR(AB1300="",A1300=""),"",IF(COUNTIFS($A$6:A1300,A1300,$AB$6:AB1300,"&gt;0")=1,1,""))</f>
        <v/>
      </c>
      <c r="AH1300" s="70" t="str">
        <f>IF(AB1300="","",ROUND(N(W1300)*N(J1300)*(1-N(K1300)),2))</f>
        <v/>
      </c>
      <c r="AI1300" s="70" t="str">
        <f>IF(OR(J1300="",N(T1300)&lt;=0,V1300="Oui"),"",ROUND(N(T1300)*J1300*(1-N(K1300)),2))</f>
        <v/>
      </c>
    </row>
    <row r="1301">
      <c r="A1301" s="63" t="n"/>
      <c r="B1301" s="64" t="n"/>
      <c r="C1301" s="65" t="n"/>
      <c r="D1301" s="66" t="str">
        <f>IF(C1301="","",IFERROR(INDEX(sup_name,MATCH($C1301,sup_code,0))&amp;"","Fournisseur inconnu"))</f>
        <v/>
      </c>
      <c r="E1301" s="63" t="n"/>
      <c r="F1301" s="66" t="str">
        <f>IF(E1301="","",IFERROR(INDEX(art_des,MATCH($E1301,art_ref,0))&amp;"","Article inconnu"))</f>
        <v/>
      </c>
      <c r="G1301" s="67" t="str">
        <f>IF(E1301="","",IFERROR(INDEX(art_unit,MATCH($E1301,art_ref,0))&amp;"",""))</f>
        <v/>
      </c>
      <c r="H1301" s="68" t="n"/>
      <c r="I1301" s="69" t="n"/>
      <c r="J1301" s="70" t="str">
        <f>IF(E1301="","",IF(ISNUMBER(I1301),I1301,IFERROR(IF(ISNUMBER(INDEX(art_price,MATCH($E1301,art_ref,0))),INDEX(art_price,MATCH($E1301,art_ref,0)),""),"")))</f>
        <v/>
      </c>
      <c r="K1301" s="71" t="n"/>
      <c r="L1301" s="72" t="n"/>
      <c r="M1301" s="72" t="str">
        <f>IF(E1301="","",IF(L1301&lt;&gt;"",L1301,IFERROR(IF(ISNUMBER(INDEX(art_tva,MATCH($E1301,art_ref,0))),INDEX(art_tva,MATCH($E1301,art_ref,0)),""),"")))</f>
        <v/>
      </c>
      <c r="N1301" s="70" t="str">
        <f>IF(OR(E1301="",J1301=""),"",ROUND(N(H1301)*J1301*(1-N(K1301)),2))</f>
        <v/>
      </c>
      <c r="O1301" s="70" t="str">
        <f>IF(OR(N1301="",NOT(ISNUMBER(M1301))),"",ROUND(N1301*M1301,2))</f>
        <v/>
      </c>
      <c r="P1301" s="70" t="str">
        <f>IF(N1301="","",N1301+N(O1301))</f>
        <v/>
      </c>
      <c r="Q1301" s="64" t="n"/>
      <c r="R1301" s="73" t="str">
        <f>IF(N(Q1301)&gt;0,Q1301,IF(OR(N(B1301)=0,ISNA(MATCH($C1301,sup_code,0))),"",IF(ISNUMBER(INDEX(sup_delay,MATCH($C1301,sup_code,0))),B1301+INDEX(sup_delay,MATCH($C1301,sup_code,0)),"")))</f>
        <v/>
      </c>
      <c r="S1301" s="64" t="n"/>
      <c r="T1301" s="68" t="n"/>
      <c r="U1301" s="64" t="n"/>
      <c r="V1301" s="65" t="n"/>
      <c r="W1301" s="74" t="str">
        <f>IF(AND(A1301="",E1301=""),"",IF(V1301="Oui",0,MAX(0,ROUND(N(H1301)-N(T1301),6))))</f>
        <v/>
      </c>
      <c r="X1301" s="67" t="str">
        <f>IF(AND(A1301="",E1301=""),"",IF(V1301="Oui","Annulé",IF(AND(N(H1301)&gt;0,N(T1301)&gt;=N(H1301)),"Reçu",IF(N(S1301)=0,"Brouillon",IF(AND(ISNUMBER(R1301),R1301&lt;p_today),"En retard",IF(N(T1301)&gt;0,"Partiel","Envoyé"))))))</f>
        <v/>
      </c>
      <c r="Y1301" s="75" t="str">
        <f>IF(X1301="En retard",p_today-R1301,IF(AND(X1301="Reçu",ISNUMBER(R1301)),MAX(0,N(U1301)-R1301),""))</f>
        <v/>
      </c>
      <c r="Z1301" s="67" t="str">
        <f>IF(AND(A1301="",E1301=""),"",IF(A1301="","N° de bon manquant",IF(N(B1301)=0,"Date de commande manquante",IF(C1301="","Fournisseur manquant",IF(ISNA(MATCH($C1301,sup_code,0)),"Fournisseur inconnu",IF(E1301="","Article manquant",IF(ISNA(MATCH($E1301,art_ref,0)),"Article inconnu",IF(N(H1301)&lt;=0,"Quantité invalide",IF(J1301="","Prix manquant",IF(OR(N(K1301)&lt;0,N(K1301)&gt;=1),"Remise invalide",IF(M1301="","TVA manquante",IF(ISNA(MATCH(M1301,p_tva,0)),"Taux de TVA inconnu",IF(COUNTIFS(po_num,A1301,po_sup,"&lt;&gt;"&amp;C1301)&gt;0,"Fournisseur différent sur ce bon",IF(COUNTIFS(po_num,A1301,po_date,"&lt;&gt;"&amp;B1301)&gt;0,"Date différente sur ce bon",IF(COUNTIF(po_num,A1301)&gt;25,"Plus de 25 lignes sur ce bon",IF(R1301="","Date de livraison manquante",IF(R1301&lt;B1301,"Livraison avant la commande",IF(AND(N(T1301)&gt;0,N(S1301)=0),"Date d'envoi manquante",IF(N(T1301)&gt;N(H1301),"Reçu plus que commandé",IF(AND(N(T1301)&gt;0,N(U1301)=0),"Date de réception manquante",IF(AND(N(U1301)&gt;0,U1301&lt;B1301),"Réception avant la commande","OK")))))))))))))))))))))</f>
        <v/>
      </c>
      <c r="AA1301" s="66" t="str">
        <f>IF(AND(X1301="Reçu",ISNUMBER(R1301)),IF(N(U1301)&lt;=R1301,1,0),"")</f>
        <v/>
      </c>
      <c r="AB1301" s="76" t="str">
        <f>IF(OR(X1301="Envoyé",X1301="Partiel",X1301="En retard"),IF(ISNUMBER(R1301),R1301,100000)+ROW()/100000,"")</f>
        <v/>
      </c>
      <c r="AC1301" s="66" t="str">
        <f>IF(A1301="","",IF(COUNTIF($A$6:A1301,A1301)=1,1,""))</f>
        <v/>
      </c>
      <c r="AD1301" s="66" t="str">
        <f>IF(AC1301=1,COUNT($AC$6:AC1301),"")</f>
        <v/>
      </c>
      <c r="AE1301" s="66" t="str">
        <f>IFERROR(INDEX(po_num,MATCH(1296,po_seq,0))&amp;"","")</f>
        <v/>
      </c>
      <c r="AF1301" s="66" t="str">
        <f>IF(OR(A1301="",p_po=""),"",IF(A1301&amp;""=p_po,COUNTIF($A$6:A1301,A1301),""))</f>
        <v/>
      </c>
      <c r="AG1301" s="66" t="str">
        <f>IF(OR(AB1301="",A1301=""),"",IF(COUNTIFS($A$6:A1301,A1301,$AB$6:AB1301,"&gt;0")=1,1,""))</f>
        <v/>
      </c>
      <c r="AH1301" s="70" t="str">
        <f>IF(AB1301="","",ROUND(N(W1301)*N(J1301)*(1-N(K1301)),2))</f>
        <v/>
      </c>
      <c r="AI1301" s="70" t="str">
        <f>IF(OR(J1301="",N(T1301)&lt;=0,V1301="Oui"),"",ROUND(N(T1301)*J1301*(1-N(K1301)),2))</f>
        <v/>
      </c>
    </row>
    <row r="1302">
      <c r="A1302" s="63" t="n"/>
      <c r="B1302" s="64" t="n"/>
      <c r="C1302" s="65" t="n"/>
      <c r="D1302" s="66" t="str">
        <f>IF(C1302="","",IFERROR(INDEX(sup_name,MATCH($C1302,sup_code,0))&amp;"","Fournisseur inconnu"))</f>
        <v/>
      </c>
      <c r="E1302" s="63" t="n"/>
      <c r="F1302" s="66" t="str">
        <f>IF(E1302="","",IFERROR(INDEX(art_des,MATCH($E1302,art_ref,0))&amp;"","Article inconnu"))</f>
        <v/>
      </c>
      <c r="G1302" s="67" t="str">
        <f>IF(E1302="","",IFERROR(INDEX(art_unit,MATCH($E1302,art_ref,0))&amp;"",""))</f>
        <v/>
      </c>
      <c r="H1302" s="68" t="n"/>
      <c r="I1302" s="69" t="n"/>
      <c r="J1302" s="70" t="str">
        <f>IF(E1302="","",IF(ISNUMBER(I1302),I1302,IFERROR(IF(ISNUMBER(INDEX(art_price,MATCH($E1302,art_ref,0))),INDEX(art_price,MATCH($E1302,art_ref,0)),""),"")))</f>
        <v/>
      </c>
      <c r="K1302" s="71" t="n"/>
      <c r="L1302" s="72" t="n"/>
      <c r="M1302" s="72" t="str">
        <f>IF(E1302="","",IF(L1302&lt;&gt;"",L1302,IFERROR(IF(ISNUMBER(INDEX(art_tva,MATCH($E1302,art_ref,0))),INDEX(art_tva,MATCH($E1302,art_ref,0)),""),"")))</f>
        <v/>
      </c>
      <c r="N1302" s="70" t="str">
        <f>IF(OR(E1302="",J1302=""),"",ROUND(N(H1302)*J1302*(1-N(K1302)),2))</f>
        <v/>
      </c>
      <c r="O1302" s="70" t="str">
        <f>IF(OR(N1302="",NOT(ISNUMBER(M1302))),"",ROUND(N1302*M1302,2))</f>
        <v/>
      </c>
      <c r="P1302" s="70" t="str">
        <f>IF(N1302="","",N1302+N(O1302))</f>
        <v/>
      </c>
      <c r="Q1302" s="64" t="n"/>
      <c r="R1302" s="73" t="str">
        <f>IF(N(Q1302)&gt;0,Q1302,IF(OR(N(B1302)=0,ISNA(MATCH($C1302,sup_code,0))),"",IF(ISNUMBER(INDEX(sup_delay,MATCH($C1302,sup_code,0))),B1302+INDEX(sup_delay,MATCH($C1302,sup_code,0)),"")))</f>
        <v/>
      </c>
      <c r="S1302" s="64" t="n"/>
      <c r="T1302" s="68" t="n"/>
      <c r="U1302" s="64" t="n"/>
      <c r="V1302" s="65" t="n"/>
      <c r="W1302" s="74" t="str">
        <f>IF(AND(A1302="",E1302=""),"",IF(V1302="Oui",0,MAX(0,ROUND(N(H1302)-N(T1302),6))))</f>
        <v/>
      </c>
      <c r="X1302" s="67" t="str">
        <f>IF(AND(A1302="",E1302=""),"",IF(V1302="Oui","Annulé",IF(AND(N(H1302)&gt;0,N(T1302)&gt;=N(H1302)),"Reçu",IF(N(S1302)=0,"Brouillon",IF(AND(ISNUMBER(R1302),R1302&lt;p_today),"En retard",IF(N(T1302)&gt;0,"Partiel","Envoyé"))))))</f>
        <v/>
      </c>
      <c r="Y1302" s="75" t="str">
        <f>IF(X1302="En retard",p_today-R1302,IF(AND(X1302="Reçu",ISNUMBER(R1302)),MAX(0,N(U1302)-R1302),""))</f>
        <v/>
      </c>
      <c r="Z1302" s="67" t="str">
        <f>IF(AND(A1302="",E1302=""),"",IF(A1302="","N° de bon manquant",IF(N(B1302)=0,"Date de commande manquante",IF(C1302="","Fournisseur manquant",IF(ISNA(MATCH($C1302,sup_code,0)),"Fournisseur inconnu",IF(E1302="","Article manquant",IF(ISNA(MATCH($E1302,art_ref,0)),"Article inconnu",IF(N(H1302)&lt;=0,"Quantité invalide",IF(J1302="","Prix manquant",IF(OR(N(K1302)&lt;0,N(K1302)&gt;=1),"Remise invalide",IF(M1302="","TVA manquante",IF(ISNA(MATCH(M1302,p_tva,0)),"Taux de TVA inconnu",IF(COUNTIFS(po_num,A1302,po_sup,"&lt;&gt;"&amp;C1302)&gt;0,"Fournisseur différent sur ce bon",IF(COUNTIFS(po_num,A1302,po_date,"&lt;&gt;"&amp;B1302)&gt;0,"Date différente sur ce bon",IF(COUNTIF(po_num,A1302)&gt;25,"Plus de 25 lignes sur ce bon",IF(R1302="","Date de livraison manquante",IF(R1302&lt;B1302,"Livraison avant la commande",IF(AND(N(T1302)&gt;0,N(S1302)=0),"Date d'envoi manquante",IF(N(T1302)&gt;N(H1302),"Reçu plus que commandé",IF(AND(N(T1302)&gt;0,N(U1302)=0),"Date de réception manquante",IF(AND(N(U1302)&gt;0,U1302&lt;B1302),"Réception avant la commande","OK")))))))))))))))))))))</f>
        <v/>
      </c>
      <c r="AA1302" s="66" t="str">
        <f>IF(AND(X1302="Reçu",ISNUMBER(R1302)),IF(N(U1302)&lt;=R1302,1,0),"")</f>
        <v/>
      </c>
      <c r="AB1302" s="76" t="str">
        <f>IF(OR(X1302="Envoyé",X1302="Partiel",X1302="En retard"),IF(ISNUMBER(R1302),R1302,100000)+ROW()/100000,"")</f>
        <v/>
      </c>
      <c r="AC1302" s="66" t="str">
        <f>IF(A1302="","",IF(COUNTIF($A$6:A1302,A1302)=1,1,""))</f>
        <v/>
      </c>
      <c r="AD1302" s="66" t="str">
        <f>IF(AC1302=1,COUNT($AC$6:AC1302),"")</f>
        <v/>
      </c>
      <c r="AE1302" s="66" t="str">
        <f>IFERROR(INDEX(po_num,MATCH(1297,po_seq,0))&amp;"","")</f>
        <v/>
      </c>
      <c r="AF1302" s="66" t="str">
        <f>IF(OR(A1302="",p_po=""),"",IF(A1302&amp;""=p_po,COUNTIF($A$6:A1302,A1302),""))</f>
        <v/>
      </c>
      <c r="AG1302" s="66" t="str">
        <f>IF(OR(AB1302="",A1302=""),"",IF(COUNTIFS($A$6:A1302,A1302,$AB$6:AB1302,"&gt;0")=1,1,""))</f>
        <v/>
      </c>
      <c r="AH1302" s="70" t="str">
        <f>IF(AB1302="","",ROUND(N(W1302)*N(J1302)*(1-N(K1302)),2))</f>
        <v/>
      </c>
      <c r="AI1302" s="70" t="str">
        <f>IF(OR(J1302="",N(T1302)&lt;=0,V1302="Oui"),"",ROUND(N(T1302)*J1302*(1-N(K1302)),2))</f>
        <v/>
      </c>
    </row>
    <row r="1303">
      <c r="A1303" s="63" t="n"/>
      <c r="B1303" s="64" t="n"/>
      <c r="C1303" s="65" t="n"/>
      <c r="D1303" s="66" t="str">
        <f>IF(C1303="","",IFERROR(INDEX(sup_name,MATCH($C1303,sup_code,0))&amp;"","Fournisseur inconnu"))</f>
        <v/>
      </c>
      <c r="E1303" s="63" t="n"/>
      <c r="F1303" s="66" t="str">
        <f>IF(E1303="","",IFERROR(INDEX(art_des,MATCH($E1303,art_ref,0))&amp;"","Article inconnu"))</f>
        <v/>
      </c>
      <c r="G1303" s="67" t="str">
        <f>IF(E1303="","",IFERROR(INDEX(art_unit,MATCH($E1303,art_ref,0))&amp;"",""))</f>
        <v/>
      </c>
      <c r="H1303" s="68" t="n"/>
      <c r="I1303" s="69" t="n"/>
      <c r="J1303" s="70" t="str">
        <f>IF(E1303="","",IF(ISNUMBER(I1303),I1303,IFERROR(IF(ISNUMBER(INDEX(art_price,MATCH($E1303,art_ref,0))),INDEX(art_price,MATCH($E1303,art_ref,0)),""),"")))</f>
        <v/>
      </c>
      <c r="K1303" s="71" t="n"/>
      <c r="L1303" s="72" t="n"/>
      <c r="M1303" s="72" t="str">
        <f>IF(E1303="","",IF(L1303&lt;&gt;"",L1303,IFERROR(IF(ISNUMBER(INDEX(art_tva,MATCH($E1303,art_ref,0))),INDEX(art_tva,MATCH($E1303,art_ref,0)),""),"")))</f>
        <v/>
      </c>
      <c r="N1303" s="70" t="str">
        <f>IF(OR(E1303="",J1303=""),"",ROUND(N(H1303)*J1303*(1-N(K1303)),2))</f>
        <v/>
      </c>
      <c r="O1303" s="70" t="str">
        <f>IF(OR(N1303="",NOT(ISNUMBER(M1303))),"",ROUND(N1303*M1303,2))</f>
        <v/>
      </c>
      <c r="P1303" s="70" t="str">
        <f>IF(N1303="","",N1303+N(O1303))</f>
        <v/>
      </c>
      <c r="Q1303" s="64" t="n"/>
      <c r="R1303" s="73" t="str">
        <f>IF(N(Q1303)&gt;0,Q1303,IF(OR(N(B1303)=0,ISNA(MATCH($C1303,sup_code,0))),"",IF(ISNUMBER(INDEX(sup_delay,MATCH($C1303,sup_code,0))),B1303+INDEX(sup_delay,MATCH($C1303,sup_code,0)),"")))</f>
        <v/>
      </c>
      <c r="S1303" s="64" t="n"/>
      <c r="T1303" s="68" t="n"/>
      <c r="U1303" s="64" t="n"/>
      <c r="V1303" s="65" t="n"/>
      <c r="W1303" s="74" t="str">
        <f>IF(AND(A1303="",E1303=""),"",IF(V1303="Oui",0,MAX(0,ROUND(N(H1303)-N(T1303),6))))</f>
        <v/>
      </c>
      <c r="X1303" s="67" t="str">
        <f>IF(AND(A1303="",E1303=""),"",IF(V1303="Oui","Annulé",IF(AND(N(H1303)&gt;0,N(T1303)&gt;=N(H1303)),"Reçu",IF(N(S1303)=0,"Brouillon",IF(AND(ISNUMBER(R1303),R1303&lt;p_today),"En retard",IF(N(T1303)&gt;0,"Partiel","Envoyé"))))))</f>
        <v/>
      </c>
      <c r="Y1303" s="75" t="str">
        <f>IF(X1303="En retard",p_today-R1303,IF(AND(X1303="Reçu",ISNUMBER(R1303)),MAX(0,N(U1303)-R1303),""))</f>
        <v/>
      </c>
      <c r="Z1303" s="67" t="str">
        <f>IF(AND(A1303="",E1303=""),"",IF(A1303="","N° de bon manquant",IF(N(B1303)=0,"Date de commande manquante",IF(C1303="","Fournisseur manquant",IF(ISNA(MATCH($C1303,sup_code,0)),"Fournisseur inconnu",IF(E1303="","Article manquant",IF(ISNA(MATCH($E1303,art_ref,0)),"Article inconnu",IF(N(H1303)&lt;=0,"Quantité invalide",IF(J1303="","Prix manquant",IF(OR(N(K1303)&lt;0,N(K1303)&gt;=1),"Remise invalide",IF(M1303="","TVA manquante",IF(ISNA(MATCH(M1303,p_tva,0)),"Taux de TVA inconnu",IF(COUNTIFS(po_num,A1303,po_sup,"&lt;&gt;"&amp;C1303)&gt;0,"Fournisseur différent sur ce bon",IF(COUNTIFS(po_num,A1303,po_date,"&lt;&gt;"&amp;B1303)&gt;0,"Date différente sur ce bon",IF(COUNTIF(po_num,A1303)&gt;25,"Plus de 25 lignes sur ce bon",IF(R1303="","Date de livraison manquante",IF(R1303&lt;B1303,"Livraison avant la commande",IF(AND(N(T1303)&gt;0,N(S1303)=0),"Date d'envoi manquante",IF(N(T1303)&gt;N(H1303),"Reçu plus que commandé",IF(AND(N(T1303)&gt;0,N(U1303)=0),"Date de réception manquante",IF(AND(N(U1303)&gt;0,U1303&lt;B1303),"Réception avant la commande","OK")))))))))))))))))))))</f>
        <v/>
      </c>
      <c r="AA1303" s="66" t="str">
        <f>IF(AND(X1303="Reçu",ISNUMBER(R1303)),IF(N(U1303)&lt;=R1303,1,0),"")</f>
        <v/>
      </c>
      <c r="AB1303" s="76" t="str">
        <f>IF(OR(X1303="Envoyé",X1303="Partiel",X1303="En retard"),IF(ISNUMBER(R1303),R1303,100000)+ROW()/100000,"")</f>
        <v/>
      </c>
      <c r="AC1303" s="66" t="str">
        <f>IF(A1303="","",IF(COUNTIF($A$6:A1303,A1303)=1,1,""))</f>
        <v/>
      </c>
      <c r="AD1303" s="66" t="str">
        <f>IF(AC1303=1,COUNT($AC$6:AC1303),"")</f>
        <v/>
      </c>
      <c r="AE1303" s="66" t="str">
        <f>IFERROR(INDEX(po_num,MATCH(1298,po_seq,0))&amp;"","")</f>
        <v/>
      </c>
      <c r="AF1303" s="66" t="str">
        <f>IF(OR(A1303="",p_po=""),"",IF(A1303&amp;""=p_po,COUNTIF($A$6:A1303,A1303),""))</f>
        <v/>
      </c>
      <c r="AG1303" s="66" t="str">
        <f>IF(OR(AB1303="",A1303=""),"",IF(COUNTIFS($A$6:A1303,A1303,$AB$6:AB1303,"&gt;0")=1,1,""))</f>
        <v/>
      </c>
      <c r="AH1303" s="70" t="str">
        <f>IF(AB1303="","",ROUND(N(W1303)*N(J1303)*(1-N(K1303)),2))</f>
        <v/>
      </c>
      <c r="AI1303" s="70" t="str">
        <f>IF(OR(J1303="",N(T1303)&lt;=0,V1303="Oui"),"",ROUND(N(T1303)*J1303*(1-N(K1303)),2))</f>
        <v/>
      </c>
    </row>
    <row r="1304">
      <c r="A1304" s="63" t="n"/>
      <c r="B1304" s="64" t="n"/>
      <c r="C1304" s="65" t="n"/>
      <c r="D1304" s="66" t="str">
        <f>IF(C1304="","",IFERROR(INDEX(sup_name,MATCH($C1304,sup_code,0))&amp;"","Fournisseur inconnu"))</f>
        <v/>
      </c>
      <c r="E1304" s="63" t="n"/>
      <c r="F1304" s="66" t="str">
        <f>IF(E1304="","",IFERROR(INDEX(art_des,MATCH($E1304,art_ref,0))&amp;"","Article inconnu"))</f>
        <v/>
      </c>
      <c r="G1304" s="67" t="str">
        <f>IF(E1304="","",IFERROR(INDEX(art_unit,MATCH($E1304,art_ref,0))&amp;"",""))</f>
        <v/>
      </c>
      <c r="H1304" s="68" t="n"/>
      <c r="I1304" s="69" t="n"/>
      <c r="J1304" s="70" t="str">
        <f>IF(E1304="","",IF(ISNUMBER(I1304),I1304,IFERROR(IF(ISNUMBER(INDEX(art_price,MATCH($E1304,art_ref,0))),INDEX(art_price,MATCH($E1304,art_ref,0)),""),"")))</f>
        <v/>
      </c>
      <c r="K1304" s="71" t="n"/>
      <c r="L1304" s="72" t="n"/>
      <c r="M1304" s="72" t="str">
        <f>IF(E1304="","",IF(L1304&lt;&gt;"",L1304,IFERROR(IF(ISNUMBER(INDEX(art_tva,MATCH($E1304,art_ref,0))),INDEX(art_tva,MATCH($E1304,art_ref,0)),""),"")))</f>
        <v/>
      </c>
      <c r="N1304" s="70" t="str">
        <f>IF(OR(E1304="",J1304=""),"",ROUND(N(H1304)*J1304*(1-N(K1304)),2))</f>
        <v/>
      </c>
      <c r="O1304" s="70" t="str">
        <f>IF(OR(N1304="",NOT(ISNUMBER(M1304))),"",ROUND(N1304*M1304,2))</f>
        <v/>
      </c>
      <c r="P1304" s="70" t="str">
        <f>IF(N1304="","",N1304+N(O1304))</f>
        <v/>
      </c>
      <c r="Q1304" s="64" t="n"/>
      <c r="R1304" s="73" t="str">
        <f>IF(N(Q1304)&gt;0,Q1304,IF(OR(N(B1304)=0,ISNA(MATCH($C1304,sup_code,0))),"",IF(ISNUMBER(INDEX(sup_delay,MATCH($C1304,sup_code,0))),B1304+INDEX(sup_delay,MATCH($C1304,sup_code,0)),"")))</f>
        <v/>
      </c>
      <c r="S1304" s="64" t="n"/>
      <c r="T1304" s="68" t="n"/>
      <c r="U1304" s="64" t="n"/>
      <c r="V1304" s="65" t="n"/>
      <c r="W1304" s="74" t="str">
        <f>IF(AND(A1304="",E1304=""),"",IF(V1304="Oui",0,MAX(0,ROUND(N(H1304)-N(T1304),6))))</f>
        <v/>
      </c>
      <c r="X1304" s="67" t="str">
        <f>IF(AND(A1304="",E1304=""),"",IF(V1304="Oui","Annulé",IF(AND(N(H1304)&gt;0,N(T1304)&gt;=N(H1304)),"Reçu",IF(N(S1304)=0,"Brouillon",IF(AND(ISNUMBER(R1304),R1304&lt;p_today),"En retard",IF(N(T1304)&gt;0,"Partiel","Envoyé"))))))</f>
        <v/>
      </c>
      <c r="Y1304" s="75" t="str">
        <f>IF(X1304="En retard",p_today-R1304,IF(AND(X1304="Reçu",ISNUMBER(R1304)),MAX(0,N(U1304)-R1304),""))</f>
        <v/>
      </c>
      <c r="Z1304" s="67" t="str">
        <f>IF(AND(A1304="",E1304=""),"",IF(A1304="","N° de bon manquant",IF(N(B1304)=0,"Date de commande manquante",IF(C1304="","Fournisseur manquant",IF(ISNA(MATCH($C1304,sup_code,0)),"Fournisseur inconnu",IF(E1304="","Article manquant",IF(ISNA(MATCH($E1304,art_ref,0)),"Article inconnu",IF(N(H1304)&lt;=0,"Quantité invalide",IF(J1304="","Prix manquant",IF(OR(N(K1304)&lt;0,N(K1304)&gt;=1),"Remise invalide",IF(M1304="","TVA manquante",IF(ISNA(MATCH(M1304,p_tva,0)),"Taux de TVA inconnu",IF(COUNTIFS(po_num,A1304,po_sup,"&lt;&gt;"&amp;C1304)&gt;0,"Fournisseur différent sur ce bon",IF(COUNTIFS(po_num,A1304,po_date,"&lt;&gt;"&amp;B1304)&gt;0,"Date différente sur ce bon",IF(COUNTIF(po_num,A1304)&gt;25,"Plus de 25 lignes sur ce bon",IF(R1304="","Date de livraison manquante",IF(R1304&lt;B1304,"Livraison avant la commande",IF(AND(N(T1304)&gt;0,N(S1304)=0),"Date d'envoi manquante",IF(N(T1304)&gt;N(H1304),"Reçu plus que commandé",IF(AND(N(T1304)&gt;0,N(U1304)=0),"Date de réception manquante",IF(AND(N(U1304)&gt;0,U1304&lt;B1304),"Réception avant la commande","OK")))))))))))))))))))))</f>
        <v/>
      </c>
      <c r="AA1304" s="66" t="str">
        <f>IF(AND(X1304="Reçu",ISNUMBER(R1304)),IF(N(U1304)&lt;=R1304,1,0),"")</f>
        <v/>
      </c>
      <c r="AB1304" s="76" t="str">
        <f>IF(OR(X1304="Envoyé",X1304="Partiel",X1304="En retard"),IF(ISNUMBER(R1304),R1304,100000)+ROW()/100000,"")</f>
        <v/>
      </c>
      <c r="AC1304" s="66" t="str">
        <f>IF(A1304="","",IF(COUNTIF($A$6:A1304,A1304)=1,1,""))</f>
        <v/>
      </c>
      <c r="AD1304" s="66" t="str">
        <f>IF(AC1304=1,COUNT($AC$6:AC1304),"")</f>
        <v/>
      </c>
      <c r="AE1304" s="66" t="str">
        <f>IFERROR(INDEX(po_num,MATCH(1299,po_seq,0))&amp;"","")</f>
        <v/>
      </c>
      <c r="AF1304" s="66" t="str">
        <f>IF(OR(A1304="",p_po=""),"",IF(A1304&amp;""=p_po,COUNTIF($A$6:A1304,A1304),""))</f>
        <v/>
      </c>
      <c r="AG1304" s="66" t="str">
        <f>IF(OR(AB1304="",A1304=""),"",IF(COUNTIFS($A$6:A1304,A1304,$AB$6:AB1304,"&gt;0")=1,1,""))</f>
        <v/>
      </c>
      <c r="AH1304" s="70" t="str">
        <f>IF(AB1304="","",ROUND(N(W1304)*N(J1304)*(1-N(K1304)),2))</f>
        <v/>
      </c>
      <c r="AI1304" s="70" t="str">
        <f>IF(OR(J1304="",N(T1304)&lt;=0,V1304="Oui"),"",ROUND(N(T1304)*J1304*(1-N(K1304)),2))</f>
        <v/>
      </c>
    </row>
    <row r="1305">
      <c r="A1305" s="63" t="n"/>
      <c r="B1305" s="64" t="n"/>
      <c r="C1305" s="65" t="n"/>
      <c r="D1305" s="66" t="str">
        <f>IF(C1305="","",IFERROR(INDEX(sup_name,MATCH($C1305,sup_code,0))&amp;"","Fournisseur inconnu"))</f>
        <v/>
      </c>
      <c r="E1305" s="63" t="n"/>
      <c r="F1305" s="66" t="str">
        <f>IF(E1305="","",IFERROR(INDEX(art_des,MATCH($E1305,art_ref,0))&amp;"","Article inconnu"))</f>
        <v/>
      </c>
      <c r="G1305" s="67" t="str">
        <f>IF(E1305="","",IFERROR(INDEX(art_unit,MATCH($E1305,art_ref,0))&amp;"",""))</f>
        <v/>
      </c>
      <c r="H1305" s="68" t="n"/>
      <c r="I1305" s="69" t="n"/>
      <c r="J1305" s="70" t="str">
        <f>IF(E1305="","",IF(ISNUMBER(I1305),I1305,IFERROR(IF(ISNUMBER(INDEX(art_price,MATCH($E1305,art_ref,0))),INDEX(art_price,MATCH($E1305,art_ref,0)),""),"")))</f>
        <v/>
      </c>
      <c r="K1305" s="71" t="n"/>
      <c r="L1305" s="72" t="n"/>
      <c r="M1305" s="72" t="str">
        <f>IF(E1305="","",IF(L1305&lt;&gt;"",L1305,IFERROR(IF(ISNUMBER(INDEX(art_tva,MATCH($E1305,art_ref,0))),INDEX(art_tva,MATCH($E1305,art_ref,0)),""),"")))</f>
        <v/>
      </c>
      <c r="N1305" s="70" t="str">
        <f>IF(OR(E1305="",J1305=""),"",ROUND(N(H1305)*J1305*(1-N(K1305)),2))</f>
        <v/>
      </c>
      <c r="O1305" s="70" t="str">
        <f>IF(OR(N1305="",NOT(ISNUMBER(M1305))),"",ROUND(N1305*M1305,2))</f>
        <v/>
      </c>
      <c r="P1305" s="70" t="str">
        <f>IF(N1305="","",N1305+N(O1305))</f>
        <v/>
      </c>
      <c r="Q1305" s="64" t="n"/>
      <c r="R1305" s="73" t="str">
        <f>IF(N(Q1305)&gt;0,Q1305,IF(OR(N(B1305)=0,ISNA(MATCH($C1305,sup_code,0))),"",IF(ISNUMBER(INDEX(sup_delay,MATCH($C1305,sup_code,0))),B1305+INDEX(sup_delay,MATCH($C1305,sup_code,0)),"")))</f>
        <v/>
      </c>
      <c r="S1305" s="64" t="n"/>
      <c r="T1305" s="68" t="n"/>
      <c r="U1305" s="64" t="n"/>
      <c r="V1305" s="65" t="n"/>
      <c r="W1305" s="74" t="str">
        <f>IF(AND(A1305="",E1305=""),"",IF(V1305="Oui",0,MAX(0,ROUND(N(H1305)-N(T1305),6))))</f>
        <v/>
      </c>
      <c r="X1305" s="67" t="str">
        <f>IF(AND(A1305="",E1305=""),"",IF(V1305="Oui","Annulé",IF(AND(N(H1305)&gt;0,N(T1305)&gt;=N(H1305)),"Reçu",IF(N(S1305)=0,"Brouillon",IF(AND(ISNUMBER(R1305),R1305&lt;p_today),"En retard",IF(N(T1305)&gt;0,"Partiel","Envoyé"))))))</f>
        <v/>
      </c>
      <c r="Y1305" s="75" t="str">
        <f>IF(X1305="En retard",p_today-R1305,IF(AND(X1305="Reçu",ISNUMBER(R1305)),MAX(0,N(U1305)-R1305),""))</f>
        <v/>
      </c>
      <c r="Z1305" s="67" t="str">
        <f>IF(AND(A1305="",E1305=""),"",IF(A1305="","N° de bon manquant",IF(N(B1305)=0,"Date de commande manquante",IF(C1305="","Fournisseur manquant",IF(ISNA(MATCH($C1305,sup_code,0)),"Fournisseur inconnu",IF(E1305="","Article manquant",IF(ISNA(MATCH($E1305,art_ref,0)),"Article inconnu",IF(N(H1305)&lt;=0,"Quantité invalide",IF(J1305="","Prix manquant",IF(OR(N(K1305)&lt;0,N(K1305)&gt;=1),"Remise invalide",IF(M1305="","TVA manquante",IF(ISNA(MATCH(M1305,p_tva,0)),"Taux de TVA inconnu",IF(COUNTIFS(po_num,A1305,po_sup,"&lt;&gt;"&amp;C1305)&gt;0,"Fournisseur différent sur ce bon",IF(COUNTIFS(po_num,A1305,po_date,"&lt;&gt;"&amp;B1305)&gt;0,"Date différente sur ce bon",IF(COUNTIF(po_num,A1305)&gt;25,"Plus de 25 lignes sur ce bon",IF(R1305="","Date de livraison manquante",IF(R1305&lt;B1305,"Livraison avant la commande",IF(AND(N(T1305)&gt;0,N(S1305)=0),"Date d'envoi manquante",IF(N(T1305)&gt;N(H1305),"Reçu plus que commandé",IF(AND(N(T1305)&gt;0,N(U1305)=0),"Date de réception manquante",IF(AND(N(U1305)&gt;0,U1305&lt;B1305),"Réception avant la commande","OK")))))))))))))))))))))</f>
        <v/>
      </c>
      <c r="AA1305" s="66" t="str">
        <f>IF(AND(X1305="Reçu",ISNUMBER(R1305)),IF(N(U1305)&lt;=R1305,1,0),"")</f>
        <v/>
      </c>
      <c r="AB1305" s="76" t="str">
        <f>IF(OR(X1305="Envoyé",X1305="Partiel",X1305="En retard"),IF(ISNUMBER(R1305),R1305,100000)+ROW()/100000,"")</f>
        <v/>
      </c>
      <c r="AC1305" s="66" t="str">
        <f>IF(A1305="","",IF(COUNTIF($A$6:A1305,A1305)=1,1,""))</f>
        <v/>
      </c>
      <c r="AD1305" s="66" t="str">
        <f>IF(AC1305=1,COUNT($AC$6:AC1305),"")</f>
        <v/>
      </c>
      <c r="AE1305" s="66" t="str">
        <f>IFERROR(INDEX(po_num,MATCH(1300,po_seq,0))&amp;"","")</f>
        <v/>
      </c>
      <c r="AF1305" s="66" t="str">
        <f>IF(OR(A1305="",p_po=""),"",IF(A1305&amp;""=p_po,COUNTIF($A$6:A1305,A1305),""))</f>
        <v/>
      </c>
      <c r="AG1305" s="66" t="str">
        <f>IF(OR(AB1305="",A1305=""),"",IF(COUNTIFS($A$6:A1305,A1305,$AB$6:AB1305,"&gt;0")=1,1,""))</f>
        <v/>
      </c>
      <c r="AH1305" s="70" t="str">
        <f>IF(AB1305="","",ROUND(N(W1305)*N(J1305)*(1-N(K1305)),2))</f>
        <v/>
      </c>
      <c r="AI1305" s="70" t="str">
        <f>IF(OR(J1305="",N(T1305)&lt;=0,V1305="Oui"),"",ROUND(N(T1305)*J1305*(1-N(K1305)),2))</f>
        <v/>
      </c>
    </row>
    <row r="1306">
      <c r="A1306" s="63" t="n"/>
      <c r="B1306" s="64" t="n"/>
      <c r="C1306" s="65" t="n"/>
      <c r="D1306" s="66" t="str">
        <f>IF(C1306="","",IFERROR(INDEX(sup_name,MATCH($C1306,sup_code,0))&amp;"","Fournisseur inconnu"))</f>
        <v/>
      </c>
      <c r="E1306" s="63" t="n"/>
      <c r="F1306" s="66" t="str">
        <f>IF(E1306="","",IFERROR(INDEX(art_des,MATCH($E1306,art_ref,0))&amp;"","Article inconnu"))</f>
        <v/>
      </c>
      <c r="G1306" s="67" t="str">
        <f>IF(E1306="","",IFERROR(INDEX(art_unit,MATCH($E1306,art_ref,0))&amp;"",""))</f>
        <v/>
      </c>
      <c r="H1306" s="68" t="n"/>
      <c r="I1306" s="69" t="n"/>
      <c r="J1306" s="70" t="str">
        <f>IF(E1306="","",IF(ISNUMBER(I1306),I1306,IFERROR(IF(ISNUMBER(INDEX(art_price,MATCH($E1306,art_ref,0))),INDEX(art_price,MATCH($E1306,art_ref,0)),""),"")))</f>
        <v/>
      </c>
      <c r="K1306" s="71" t="n"/>
      <c r="L1306" s="72" t="n"/>
      <c r="M1306" s="72" t="str">
        <f>IF(E1306="","",IF(L1306&lt;&gt;"",L1306,IFERROR(IF(ISNUMBER(INDEX(art_tva,MATCH($E1306,art_ref,0))),INDEX(art_tva,MATCH($E1306,art_ref,0)),""),"")))</f>
        <v/>
      </c>
      <c r="N1306" s="70" t="str">
        <f>IF(OR(E1306="",J1306=""),"",ROUND(N(H1306)*J1306*(1-N(K1306)),2))</f>
        <v/>
      </c>
      <c r="O1306" s="70" t="str">
        <f>IF(OR(N1306="",NOT(ISNUMBER(M1306))),"",ROUND(N1306*M1306,2))</f>
        <v/>
      </c>
      <c r="P1306" s="70" t="str">
        <f>IF(N1306="","",N1306+N(O1306))</f>
        <v/>
      </c>
      <c r="Q1306" s="64" t="n"/>
      <c r="R1306" s="73" t="str">
        <f>IF(N(Q1306)&gt;0,Q1306,IF(OR(N(B1306)=0,ISNA(MATCH($C1306,sup_code,0))),"",IF(ISNUMBER(INDEX(sup_delay,MATCH($C1306,sup_code,0))),B1306+INDEX(sup_delay,MATCH($C1306,sup_code,0)),"")))</f>
        <v/>
      </c>
      <c r="S1306" s="64" t="n"/>
      <c r="T1306" s="68" t="n"/>
      <c r="U1306" s="64" t="n"/>
      <c r="V1306" s="65" t="n"/>
      <c r="W1306" s="74" t="str">
        <f>IF(AND(A1306="",E1306=""),"",IF(V1306="Oui",0,MAX(0,ROUND(N(H1306)-N(T1306),6))))</f>
        <v/>
      </c>
      <c r="X1306" s="67" t="str">
        <f>IF(AND(A1306="",E1306=""),"",IF(V1306="Oui","Annulé",IF(AND(N(H1306)&gt;0,N(T1306)&gt;=N(H1306)),"Reçu",IF(N(S1306)=0,"Brouillon",IF(AND(ISNUMBER(R1306),R1306&lt;p_today),"En retard",IF(N(T1306)&gt;0,"Partiel","Envoyé"))))))</f>
        <v/>
      </c>
      <c r="Y1306" s="75" t="str">
        <f>IF(X1306="En retard",p_today-R1306,IF(AND(X1306="Reçu",ISNUMBER(R1306)),MAX(0,N(U1306)-R1306),""))</f>
        <v/>
      </c>
      <c r="Z1306" s="67" t="str">
        <f>IF(AND(A1306="",E1306=""),"",IF(A1306="","N° de bon manquant",IF(N(B1306)=0,"Date de commande manquante",IF(C1306="","Fournisseur manquant",IF(ISNA(MATCH($C1306,sup_code,0)),"Fournisseur inconnu",IF(E1306="","Article manquant",IF(ISNA(MATCH($E1306,art_ref,0)),"Article inconnu",IF(N(H1306)&lt;=0,"Quantité invalide",IF(J1306="","Prix manquant",IF(OR(N(K1306)&lt;0,N(K1306)&gt;=1),"Remise invalide",IF(M1306="","TVA manquante",IF(ISNA(MATCH(M1306,p_tva,0)),"Taux de TVA inconnu",IF(COUNTIFS(po_num,A1306,po_sup,"&lt;&gt;"&amp;C1306)&gt;0,"Fournisseur différent sur ce bon",IF(COUNTIFS(po_num,A1306,po_date,"&lt;&gt;"&amp;B1306)&gt;0,"Date différente sur ce bon",IF(COUNTIF(po_num,A1306)&gt;25,"Plus de 25 lignes sur ce bon",IF(R1306="","Date de livraison manquante",IF(R1306&lt;B1306,"Livraison avant la commande",IF(AND(N(T1306)&gt;0,N(S1306)=0),"Date d'envoi manquante",IF(N(T1306)&gt;N(H1306),"Reçu plus que commandé",IF(AND(N(T1306)&gt;0,N(U1306)=0),"Date de réception manquante",IF(AND(N(U1306)&gt;0,U1306&lt;B1306),"Réception avant la commande","OK")))))))))))))))))))))</f>
        <v/>
      </c>
      <c r="AA1306" s="66" t="str">
        <f>IF(AND(X1306="Reçu",ISNUMBER(R1306)),IF(N(U1306)&lt;=R1306,1,0),"")</f>
        <v/>
      </c>
      <c r="AB1306" s="76" t="str">
        <f>IF(OR(X1306="Envoyé",X1306="Partiel",X1306="En retard"),IF(ISNUMBER(R1306),R1306,100000)+ROW()/100000,"")</f>
        <v/>
      </c>
      <c r="AC1306" s="66" t="str">
        <f>IF(A1306="","",IF(COUNTIF($A$6:A1306,A1306)=1,1,""))</f>
        <v/>
      </c>
      <c r="AD1306" s="66" t="str">
        <f>IF(AC1306=1,COUNT($AC$6:AC1306),"")</f>
        <v/>
      </c>
      <c r="AE1306" s="66" t="str">
        <f>IFERROR(INDEX(po_num,MATCH(1301,po_seq,0))&amp;"","")</f>
        <v/>
      </c>
      <c r="AF1306" s="66" t="str">
        <f>IF(OR(A1306="",p_po=""),"",IF(A1306&amp;""=p_po,COUNTIF($A$6:A1306,A1306),""))</f>
        <v/>
      </c>
      <c r="AG1306" s="66" t="str">
        <f>IF(OR(AB1306="",A1306=""),"",IF(COUNTIFS($A$6:A1306,A1306,$AB$6:AB1306,"&gt;0")=1,1,""))</f>
        <v/>
      </c>
      <c r="AH1306" s="70" t="str">
        <f>IF(AB1306="","",ROUND(N(W1306)*N(J1306)*(1-N(K1306)),2))</f>
        <v/>
      </c>
      <c r="AI1306" s="70" t="str">
        <f>IF(OR(J1306="",N(T1306)&lt;=0,V1306="Oui"),"",ROUND(N(T1306)*J1306*(1-N(K1306)),2))</f>
        <v/>
      </c>
    </row>
    <row r="1307">
      <c r="A1307" s="63" t="n"/>
      <c r="B1307" s="64" t="n"/>
      <c r="C1307" s="65" t="n"/>
      <c r="D1307" s="66" t="str">
        <f>IF(C1307="","",IFERROR(INDEX(sup_name,MATCH($C1307,sup_code,0))&amp;"","Fournisseur inconnu"))</f>
        <v/>
      </c>
      <c r="E1307" s="63" t="n"/>
      <c r="F1307" s="66" t="str">
        <f>IF(E1307="","",IFERROR(INDEX(art_des,MATCH($E1307,art_ref,0))&amp;"","Article inconnu"))</f>
        <v/>
      </c>
      <c r="G1307" s="67" t="str">
        <f>IF(E1307="","",IFERROR(INDEX(art_unit,MATCH($E1307,art_ref,0))&amp;"",""))</f>
        <v/>
      </c>
      <c r="H1307" s="68" t="n"/>
      <c r="I1307" s="69" t="n"/>
      <c r="J1307" s="70" t="str">
        <f>IF(E1307="","",IF(ISNUMBER(I1307),I1307,IFERROR(IF(ISNUMBER(INDEX(art_price,MATCH($E1307,art_ref,0))),INDEX(art_price,MATCH($E1307,art_ref,0)),""),"")))</f>
        <v/>
      </c>
      <c r="K1307" s="71" t="n"/>
      <c r="L1307" s="72" t="n"/>
      <c r="M1307" s="72" t="str">
        <f>IF(E1307="","",IF(L1307&lt;&gt;"",L1307,IFERROR(IF(ISNUMBER(INDEX(art_tva,MATCH($E1307,art_ref,0))),INDEX(art_tva,MATCH($E1307,art_ref,0)),""),"")))</f>
        <v/>
      </c>
      <c r="N1307" s="70" t="str">
        <f>IF(OR(E1307="",J1307=""),"",ROUND(N(H1307)*J1307*(1-N(K1307)),2))</f>
        <v/>
      </c>
      <c r="O1307" s="70" t="str">
        <f>IF(OR(N1307="",NOT(ISNUMBER(M1307))),"",ROUND(N1307*M1307,2))</f>
        <v/>
      </c>
      <c r="P1307" s="70" t="str">
        <f>IF(N1307="","",N1307+N(O1307))</f>
        <v/>
      </c>
      <c r="Q1307" s="64" t="n"/>
      <c r="R1307" s="73" t="str">
        <f>IF(N(Q1307)&gt;0,Q1307,IF(OR(N(B1307)=0,ISNA(MATCH($C1307,sup_code,0))),"",IF(ISNUMBER(INDEX(sup_delay,MATCH($C1307,sup_code,0))),B1307+INDEX(sup_delay,MATCH($C1307,sup_code,0)),"")))</f>
        <v/>
      </c>
      <c r="S1307" s="64" t="n"/>
      <c r="T1307" s="68" t="n"/>
      <c r="U1307" s="64" t="n"/>
      <c r="V1307" s="65" t="n"/>
      <c r="W1307" s="74" t="str">
        <f>IF(AND(A1307="",E1307=""),"",IF(V1307="Oui",0,MAX(0,ROUND(N(H1307)-N(T1307),6))))</f>
        <v/>
      </c>
      <c r="X1307" s="67" t="str">
        <f>IF(AND(A1307="",E1307=""),"",IF(V1307="Oui","Annulé",IF(AND(N(H1307)&gt;0,N(T1307)&gt;=N(H1307)),"Reçu",IF(N(S1307)=0,"Brouillon",IF(AND(ISNUMBER(R1307),R1307&lt;p_today),"En retard",IF(N(T1307)&gt;0,"Partiel","Envoyé"))))))</f>
        <v/>
      </c>
      <c r="Y1307" s="75" t="str">
        <f>IF(X1307="En retard",p_today-R1307,IF(AND(X1307="Reçu",ISNUMBER(R1307)),MAX(0,N(U1307)-R1307),""))</f>
        <v/>
      </c>
      <c r="Z1307" s="67" t="str">
        <f>IF(AND(A1307="",E1307=""),"",IF(A1307="","N° de bon manquant",IF(N(B1307)=0,"Date de commande manquante",IF(C1307="","Fournisseur manquant",IF(ISNA(MATCH($C1307,sup_code,0)),"Fournisseur inconnu",IF(E1307="","Article manquant",IF(ISNA(MATCH($E1307,art_ref,0)),"Article inconnu",IF(N(H1307)&lt;=0,"Quantité invalide",IF(J1307="","Prix manquant",IF(OR(N(K1307)&lt;0,N(K1307)&gt;=1),"Remise invalide",IF(M1307="","TVA manquante",IF(ISNA(MATCH(M1307,p_tva,0)),"Taux de TVA inconnu",IF(COUNTIFS(po_num,A1307,po_sup,"&lt;&gt;"&amp;C1307)&gt;0,"Fournisseur différent sur ce bon",IF(COUNTIFS(po_num,A1307,po_date,"&lt;&gt;"&amp;B1307)&gt;0,"Date différente sur ce bon",IF(COUNTIF(po_num,A1307)&gt;25,"Plus de 25 lignes sur ce bon",IF(R1307="","Date de livraison manquante",IF(R1307&lt;B1307,"Livraison avant la commande",IF(AND(N(T1307)&gt;0,N(S1307)=0),"Date d'envoi manquante",IF(N(T1307)&gt;N(H1307),"Reçu plus que commandé",IF(AND(N(T1307)&gt;0,N(U1307)=0),"Date de réception manquante",IF(AND(N(U1307)&gt;0,U1307&lt;B1307),"Réception avant la commande","OK")))))))))))))))))))))</f>
        <v/>
      </c>
      <c r="AA1307" s="66" t="str">
        <f>IF(AND(X1307="Reçu",ISNUMBER(R1307)),IF(N(U1307)&lt;=R1307,1,0),"")</f>
        <v/>
      </c>
      <c r="AB1307" s="76" t="str">
        <f>IF(OR(X1307="Envoyé",X1307="Partiel",X1307="En retard"),IF(ISNUMBER(R1307),R1307,100000)+ROW()/100000,"")</f>
        <v/>
      </c>
      <c r="AC1307" s="66" t="str">
        <f>IF(A1307="","",IF(COUNTIF($A$6:A1307,A1307)=1,1,""))</f>
        <v/>
      </c>
      <c r="AD1307" s="66" t="str">
        <f>IF(AC1307=1,COUNT($AC$6:AC1307),"")</f>
        <v/>
      </c>
      <c r="AE1307" s="66" t="str">
        <f>IFERROR(INDEX(po_num,MATCH(1302,po_seq,0))&amp;"","")</f>
        <v/>
      </c>
      <c r="AF1307" s="66" t="str">
        <f>IF(OR(A1307="",p_po=""),"",IF(A1307&amp;""=p_po,COUNTIF($A$6:A1307,A1307),""))</f>
        <v/>
      </c>
      <c r="AG1307" s="66" t="str">
        <f>IF(OR(AB1307="",A1307=""),"",IF(COUNTIFS($A$6:A1307,A1307,$AB$6:AB1307,"&gt;0")=1,1,""))</f>
        <v/>
      </c>
      <c r="AH1307" s="70" t="str">
        <f>IF(AB1307="","",ROUND(N(W1307)*N(J1307)*(1-N(K1307)),2))</f>
        <v/>
      </c>
      <c r="AI1307" s="70" t="str">
        <f>IF(OR(J1307="",N(T1307)&lt;=0,V1307="Oui"),"",ROUND(N(T1307)*J1307*(1-N(K1307)),2))</f>
        <v/>
      </c>
    </row>
    <row r="1308">
      <c r="A1308" s="63" t="n"/>
      <c r="B1308" s="64" t="n"/>
      <c r="C1308" s="65" t="n"/>
      <c r="D1308" s="66" t="str">
        <f>IF(C1308="","",IFERROR(INDEX(sup_name,MATCH($C1308,sup_code,0))&amp;"","Fournisseur inconnu"))</f>
        <v/>
      </c>
      <c r="E1308" s="63" t="n"/>
      <c r="F1308" s="66" t="str">
        <f>IF(E1308="","",IFERROR(INDEX(art_des,MATCH($E1308,art_ref,0))&amp;"","Article inconnu"))</f>
        <v/>
      </c>
      <c r="G1308" s="67" t="str">
        <f>IF(E1308="","",IFERROR(INDEX(art_unit,MATCH($E1308,art_ref,0))&amp;"",""))</f>
        <v/>
      </c>
      <c r="H1308" s="68" t="n"/>
      <c r="I1308" s="69" t="n"/>
      <c r="J1308" s="70" t="str">
        <f>IF(E1308="","",IF(ISNUMBER(I1308),I1308,IFERROR(IF(ISNUMBER(INDEX(art_price,MATCH($E1308,art_ref,0))),INDEX(art_price,MATCH($E1308,art_ref,0)),""),"")))</f>
        <v/>
      </c>
      <c r="K1308" s="71" t="n"/>
      <c r="L1308" s="72" t="n"/>
      <c r="M1308" s="72" t="str">
        <f>IF(E1308="","",IF(L1308&lt;&gt;"",L1308,IFERROR(IF(ISNUMBER(INDEX(art_tva,MATCH($E1308,art_ref,0))),INDEX(art_tva,MATCH($E1308,art_ref,0)),""),"")))</f>
        <v/>
      </c>
      <c r="N1308" s="70" t="str">
        <f>IF(OR(E1308="",J1308=""),"",ROUND(N(H1308)*J1308*(1-N(K1308)),2))</f>
        <v/>
      </c>
      <c r="O1308" s="70" t="str">
        <f>IF(OR(N1308="",NOT(ISNUMBER(M1308))),"",ROUND(N1308*M1308,2))</f>
        <v/>
      </c>
      <c r="P1308" s="70" t="str">
        <f>IF(N1308="","",N1308+N(O1308))</f>
        <v/>
      </c>
      <c r="Q1308" s="64" t="n"/>
      <c r="R1308" s="73" t="str">
        <f>IF(N(Q1308)&gt;0,Q1308,IF(OR(N(B1308)=0,ISNA(MATCH($C1308,sup_code,0))),"",IF(ISNUMBER(INDEX(sup_delay,MATCH($C1308,sup_code,0))),B1308+INDEX(sup_delay,MATCH($C1308,sup_code,0)),"")))</f>
        <v/>
      </c>
      <c r="S1308" s="64" t="n"/>
      <c r="T1308" s="68" t="n"/>
      <c r="U1308" s="64" t="n"/>
      <c r="V1308" s="65" t="n"/>
      <c r="W1308" s="74" t="str">
        <f>IF(AND(A1308="",E1308=""),"",IF(V1308="Oui",0,MAX(0,ROUND(N(H1308)-N(T1308),6))))</f>
        <v/>
      </c>
      <c r="X1308" s="67" t="str">
        <f>IF(AND(A1308="",E1308=""),"",IF(V1308="Oui","Annulé",IF(AND(N(H1308)&gt;0,N(T1308)&gt;=N(H1308)),"Reçu",IF(N(S1308)=0,"Brouillon",IF(AND(ISNUMBER(R1308),R1308&lt;p_today),"En retard",IF(N(T1308)&gt;0,"Partiel","Envoyé"))))))</f>
        <v/>
      </c>
      <c r="Y1308" s="75" t="str">
        <f>IF(X1308="En retard",p_today-R1308,IF(AND(X1308="Reçu",ISNUMBER(R1308)),MAX(0,N(U1308)-R1308),""))</f>
        <v/>
      </c>
      <c r="Z1308" s="67" t="str">
        <f>IF(AND(A1308="",E1308=""),"",IF(A1308="","N° de bon manquant",IF(N(B1308)=0,"Date de commande manquante",IF(C1308="","Fournisseur manquant",IF(ISNA(MATCH($C1308,sup_code,0)),"Fournisseur inconnu",IF(E1308="","Article manquant",IF(ISNA(MATCH($E1308,art_ref,0)),"Article inconnu",IF(N(H1308)&lt;=0,"Quantité invalide",IF(J1308="","Prix manquant",IF(OR(N(K1308)&lt;0,N(K1308)&gt;=1),"Remise invalide",IF(M1308="","TVA manquante",IF(ISNA(MATCH(M1308,p_tva,0)),"Taux de TVA inconnu",IF(COUNTIFS(po_num,A1308,po_sup,"&lt;&gt;"&amp;C1308)&gt;0,"Fournisseur différent sur ce bon",IF(COUNTIFS(po_num,A1308,po_date,"&lt;&gt;"&amp;B1308)&gt;0,"Date différente sur ce bon",IF(COUNTIF(po_num,A1308)&gt;25,"Plus de 25 lignes sur ce bon",IF(R1308="","Date de livraison manquante",IF(R1308&lt;B1308,"Livraison avant la commande",IF(AND(N(T1308)&gt;0,N(S1308)=0),"Date d'envoi manquante",IF(N(T1308)&gt;N(H1308),"Reçu plus que commandé",IF(AND(N(T1308)&gt;0,N(U1308)=0),"Date de réception manquante",IF(AND(N(U1308)&gt;0,U1308&lt;B1308),"Réception avant la commande","OK")))))))))))))))))))))</f>
        <v/>
      </c>
      <c r="AA1308" s="66" t="str">
        <f>IF(AND(X1308="Reçu",ISNUMBER(R1308)),IF(N(U1308)&lt;=R1308,1,0),"")</f>
        <v/>
      </c>
      <c r="AB1308" s="76" t="str">
        <f>IF(OR(X1308="Envoyé",X1308="Partiel",X1308="En retard"),IF(ISNUMBER(R1308),R1308,100000)+ROW()/100000,"")</f>
        <v/>
      </c>
      <c r="AC1308" s="66" t="str">
        <f>IF(A1308="","",IF(COUNTIF($A$6:A1308,A1308)=1,1,""))</f>
        <v/>
      </c>
      <c r="AD1308" s="66" t="str">
        <f>IF(AC1308=1,COUNT($AC$6:AC1308),"")</f>
        <v/>
      </c>
      <c r="AE1308" s="66" t="str">
        <f>IFERROR(INDEX(po_num,MATCH(1303,po_seq,0))&amp;"","")</f>
        <v/>
      </c>
      <c r="AF1308" s="66" t="str">
        <f>IF(OR(A1308="",p_po=""),"",IF(A1308&amp;""=p_po,COUNTIF($A$6:A1308,A1308),""))</f>
        <v/>
      </c>
      <c r="AG1308" s="66" t="str">
        <f>IF(OR(AB1308="",A1308=""),"",IF(COUNTIFS($A$6:A1308,A1308,$AB$6:AB1308,"&gt;0")=1,1,""))</f>
        <v/>
      </c>
      <c r="AH1308" s="70" t="str">
        <f>IF(AB1308="","",ROUND(N(W1308)*N(J1308)*(1-N(K1308)),2))</f>
        <v/>
      </c>
      <c r="AI1308" s="70" t="str">
        <f>IF(OR(J1308="",N(T1308)&lt;=0,V1308="Oui"),"",ROUND(N(T1308)*J1308*(1-N(K1308)),2))</f>
        <v/>
      </c>
    </row>
    <row r="1309">
      <c r="A1309" s="63" t="n"/>
      <c r="B1309" s="64" t="n"/>
      <c r="C1309" s="65" t="n"/>
      <c r="D1309" s="66" t="str">
        <f>IF(C1309="","",IFERROR(INDEX(sup_name,MATCH($C1309,sup_code,0))&amp;"","Fournisseur inconnu"))</f>
        <v/>
      </c>
      <c r="E1309" s="63" t="n"/>
      <c r="F1309" s="66" t="str">
        <f>IF(E1309="","",IFERROR(INDEX(art_des,MATCH($E1309,art_ref,0))&amp;"","Article inconnu"))</f>
        <v/>
      </c>
      <c r="G1309" s="67" t="str">
        <f>IF(E1309="","",IFERROR(INDEX(art_unit,MATCH($E1309,art_ref,0))&amp;"",""))</f>
        <v/>
      </c>
      <c r="H1309" s="68" t="n"/>
      <c r="I1309" s="69" t="n"/>
      <c r="J1309" s="70" t="str">
        <f>IF(E1309="","",IF(ISNUMBER(I1309),I1309,IFERROR(IF(ISNUMBER(INDEX(art_price,MATCH($E1309,art_ref,0))),INDEX(art_price,MATCH($E1309,art_ref,0)),""),"")))</f>
        <v/>
      </c>
      <c r="K1309" s="71" t="n"/>
      <c r="L1309" s="72" t="n"/>
      <c r="M1309" s="72" t="str">
        <f>IF(E1309="","",IF(L1309&lt;&gt;"",L1309,IFERROR(IF(ISNUMBER(INDEX(art_tva,MATCH($E1309,art_ref,0))),INDEX(art_tva,MATCH($E1309,art_ref,0)),""),"")))</f>
        <v/>
      </c>
      <c r="N1309" s="70" t="str">
        <f>IF(OR(E1309="",J1309=""),"",ROUND(N(H1309)*J1309*(1-N(K1309)),2))</f>
        <v/>
      </c>
      <c r="O1309" s="70" t="str">
        <f>IF(OR(N1309="",NOT(ISNUMBER(M1309))),"",ROUND(N1309*M1309,2))</f>
        <v/>
      </c>
      <c r="P1309" s="70" t="str">
        <f>IF(N1309="","",N1309+N(O1309))</f>
        <v/>
      </c>
      <c r="Q1309" s="64" t="n"/>
      <c r="R1309" s="73" t="str">
        <f>IF(N(Q1309)&gt;0,Q1309,IF(OR(N(B1309)=0,ISNA(MATCH($C1309,sup_code,0))),"",IF(ISNUMBER(INDEX(sup_delay,MATCH($C1309,sup_code,0))),B1309+INDEX(sup_delay,MATCH($C1309,sup_code,0)),"")))</f>
        <v/>
      </c>
      <c r="S1309" s="64" t="n"/>
      <c r="T1309" s="68" t="n"/>
      <c r="U1309" s="64" t="n"/>
      <c r="V1309" s="65" t="n"/>
      <c r="W1309" s="74" t="str">
        <f>IF(AND(A1309="",E1309=""),"",IF(V1309="Oui",0,MAX(0,ROUND(N(H1309)-N(T1309),6))))</f>
        <v/>
      </c>
      <c r="X1309" s="67" t="str">
        <f>IF(AND(A1309="",E1309=""),"",IF(V1309="Oui","Annulé",IF(AND(N(H1309)&gt;0,N(T1309)&gt;=N(H1309)),"Reçu",IF(N(S1309)=0,"Brouillon",IF(AND(ISNUMBER(R1309),R1309&lt;p_today),"En retard",IF(N(T1309)&gt;0,"Partiel","Envoyé"))))))</f>
        <v/>
      </c>
      <c r="Y1309" s="75" t="str">
        <f>IF(X1309="En retard",p_today-R1309,IF(AND(X1309="Reçu",ISNUMBER(R1309)),MAX(0,N(U1309)-R1309),""))</f>
        <v/>
      </c>
      <c r="Z1309" s="67" t="str">
        <f>IF(AND(A1309="",E1309=""),"",IF(A1309="","N° de bon manquant",IF(N(B1309)=0,"Date de commande manquante",IF(C1309="","Fournisseur manquant",IF(ISNA(MATCH($C1309,sup_code,0)),"Fournisseur inconnu",IF(E1309="","Article manquant",IF(ISNA(MATCH($E1309,art_ref,0)),"Article inconnu",IF(N(H1309)&lt;=0,"Quantité invalide",IF(J1309="","Prix manquant",IF(OR(N(K1309)&lt;0,N(K1309)&gt;=1),"Remise invalide",IF(M1309="","TVA manquante",IF(ISNA(MATCH(M1309,p_tva,0)),"Taux de TVA inconnu",IF(COUNTIFS(po_num,A1309,po_sup,"&lt;&gt;"&amp;C1309)&gt;0,"Fournisseur différent sur ce bon",IF(COUNTIFS(po_num,A1309,po_date,"&lt;&gt;"&amp;B1309)&gt;0,"Date différente sur ce bon",IF(COUNTIF(po_num,A1309)&gt;25,"Plus de 25 lignes sur ce bon",IF(R1309="","Date de livraison manquante",IF(R1309&lt;B1309,"Livraison avant la commande",IF(AND(N(T1309)&gt;0,N(S1309)=0),"Date d'envoi manquante",IF(N(T1309)&gt;N(H1309),"Reçu plus que commandé",IF(AND(N(T1309)&gt;0,N(U1309)=0),"Date de réception manquante",IF(AND(N(U1309)&gt;0,U1309&lt;B1309),"Réception avant la commande","OK")))))))))))))))))))))</f>
        <v/>
      </c>
      <c r="AA1309" s="66" t="str">
        <f>IF(AND(X1309="Reçu",ISNUMBER(R1309)),IF(N(U1309)&lt;=R1309,1,0),"")</f>
        <v/>
      </c>
      <c r="AB1309" s="76" t="str">
        <f>IF(OR(X1309="Envoyé",X1309="Partiel",X1309="En retard"),IF(ISNUMBER(R1309),R1309,100000)+ROW()/100000,"")</f>
        <v/>
      </c>
      <c r="AC1309" s="66" t="str">
        <f>IF(A1309="","",IF(COUNTIF($A$6:A1309,A1309)=1,1,""))</f>
        <v/>
      </c>
      <c r="AD1309" s="66" t="str">
        <f>IF(AC1309=1,COUNT($AC$6:AC1309),"")</f>
        <v/>
      </c>
      <c r="AE1309" s="66" t="str">
        <f>IFERROR(INDEX(po_num,MATCH(1304,po_seq,0))&amp;"","")</f>
        <v/>
      </c>
      <c r="AF1309" s="66" t="str">
        <f>IF(OR(A1309="",p_po=""),"",IF(A1309&amp;""=p_po,COUNTIF($A$6:A1309,A1309),""))</f>
        <v/>
      </c>
      <c r="AG1309" s="66" t="str">
        <f>IF(OR(AB1309="",A1309=""),"",IF(COUNTIFS($A$6:A1309,A1309,$AB$6:AB1309,"&gt;0")=1,1,""))</f>
        <v/>
      </c>
      <c r="AH1309" s="70" t="str">
        <f>IF(AB1309="","",ROUND(N(W1309)*N(J1309)*(1-N(K1309)),2))</f>
        <v/>
      </c>
      <c r="AI1309" s="70" t="str">
        <f>IF(OR(J1309="",N(T1309)&lt;=0,V1309="Oui"),"",ROUND(N(T1309)*J1309*(1-N(K1309)),2))</f>
        <v/>
      </c>
    </row>
    <row r="1310">
      <c r="A1310" s="63" t="n"/>
      <c r="B1310" s="64" t="n"/>
      <c r="C1310" s="65" t="n"/>
      <c r="D1310" s="66" t="str">
        <f>IF(C1310="","",IFERROR(INDEX(sup_name,MATCH($C1310,sup_code,0))&amp;"","Fournisseur inconnu"))</f>
        <v/>
      </c>
      <c r="E1310" s="63" t="n"/>
      <c r="F1310" s="66" t="str">
        <f>IF(E1310="","",IFERROR(INDEX(art_des,MATCH($E1310,art_ref,0))&amp;"","Article inconnu"))</f>
        <v/>
      </c>
      <c r="G1310" s="67" t="str">
        <f>IF(E1310="","",IFERROR(INDEX(art_unit,MATCH($E1310,art_ref,0))&amp;"",""))</f>
        <v/>
      </c>
      <c r="H1310" s="68" t="n"/>
      <c r="I1310" s="69" t="n"/>
      <c r="J1310" s="70" t="str">
        <f>IF(E1310="","",IF(ISNUMBER(I1310),I1310,IFERROR(IF(ISNUMBER(INDEX(art_price,MATCH($E1310,art_ref,0))),INDEX(art_price,MATCH($E1310,art_ref,0)),""),"")))</f>
        <v/>
      </c>
      <c r="K1310" s="71" t="n"/>
      <c r="L1310" s="72" t="n"/>
      <c r="M1310" s="72" t="str">
        <f>IF(E1310="","",IF(L1310&lt;&gt;"",L1310,IFERROR(IF(ISNUMBER(INDEX(art_tva,MATCH($E1310,art_ref,0))),INDEX(art_tva,MATCH($E1310,art_ref,0)),""),"")))</f>
        <v/>
      </c>
      <c r="N1310" s="70" t="str">
        <f>IF(OR(E1310="",J1310=""),"",ROUND(N(H1310)*J1310*(1-N(K1310)),2))</f>
        <v/>
      </c>
      <c r="O1310" s="70" t="str">
        <f>IF(OR(N1310="",NOT(ISNUMBER(M1310))),"",ROUND(N1310*M1310,2))</f>
        <v/>
      </c>
      <c r="P1310" s="70" t="str">
        <f>IF(N1310="","",N1310+N(O1310))</f>
        <v/>
      </c>
      <c r="Q1310" s="64" t="n"/>
      <c r="R1310" s="73" t="str">
        <f>IF(N(Q1310)&gt;0,Q1310,IF(OR(N(B1310)=0,ISNA(MATCH($C1310,sup_code,0))),"",IF(ISNUMBER(INDEX(sup_delay,MATCH($C1310,sup_code,0))),B1310+INDEX(sup_delay,MATCH($C1310,sup_code,0)),"")))</f>
        <v/>
      </c>
      <c r="S1310" s="64" t="n"/>
      <c r="T1310" s="68" t="n"/>
      <c r="U1310" s="64" t="n"/>
      <c r="V1310" s="65" t="n"/>
      <c r="W1310" s="74" t="str">
        <f>IF(AND(A1310="",E1310=""),"",IF(V1310="Oui",0,MAX(0,ROUND(N(H1310)-N(T1310),6))))</f>
        <v/>
      </c>
      <c r="X1310" s="67" t="str">
        <f>IF(AND(A1310="",E1310=""),"",IF(V1310="Oui","Annulé",IF(AND(N(H1310)&gt;0,N(T1310)&gt;=N(H1310)),"Reçu",IF(N(S1310)=0,"Brouillon",IF(AND(ISNUMBER(R1310),R1310&lt;p_today),"En retard",IF(N(T1310)&gt;0,"Partiel","Envoyé"))))))</f>
        <v/>
      </c>
      <c r="Y1310" s="75" t="str">
        <f>IF(X1310="En retard",p_today-R1310,IF(AND(X1310="Reçu",ISNUMBER(R1310)),MAX(0,N(U1310)-R1310),""))</f>
        <v/>
      </c>
      <c r="Z1310" s="67" t="str">
        <f>IF(AND(A1310="",E1310=""),"",IF(A1310="","N° de bon manquant",IF(N(B1310)=0,"Date de commande manquante",IF(C1310="","Fournisseur manquant",IF(ISNA(MATCH($C1310,sup_code,0)),"Fournisseur inconnu",IF(E1310="","Article manquant",IF(ISNA(MATCH($E1310,art_ref,0)),"Article inconnu",IF(N(H1310)&lt;=0,"Quantité invalide",IF(J1310="","Prix manquant",IF(OR(N(K1310)&lt;0,N(K1310)&gt;=1),"Remise invalide",IF(M1310="","TVA manquante",IF(ISNA(MATCH(M1310,p_tva,0)),"Taux de TVA inconnu",IF(COUNTIFS(po_num,A1310,po_sup,"&lt;&gt;"&amp;C1310)&gt;0,"Fournisseur différent sur ce bon",IF(COUNTIFS(po_num,A1310,po_date,"&lt;&gt;"&amp;B1310)&gt;0,"Date différente sur ce bon",IF(COUNTIF(po_num,A1310)&gt;25,"Plus de 25 lignes sur ce bon",IF(R1310="","Date de livraison manquante",IF(R1310&lt;B1310,"Livraison avant la commande",IF(AND(N(T1310)&gt;0,N(S1310)=0),"Date d'envoi manquante",IF(N(T1310)&gt;N(H1310),"Reçu plus que commandé",IF(AND(N(T1310)&gt;0,N(U1310)=0),"Date de réception manquante",IF(AND(N(U1310)&gt;0,U1310&lt;B1310),"Réception avant la commande","OK")))))))))))))))))))))</f>
        <v/>
      </c>
      <c r="AA1310" s="66" t="str">
        <f>IF(AND(X1310="Reçu",ISNUMBER(R1310)),IF(N(U1310)&lt;=R1310,1,0),"")</f>
        <v/>
      </c>
      <c r="AB1310" s="76" t="str">
        <f>IF(OR(X1310="Envoyé",X1310="Partiel",X1310="En retard"),IF(ISNUMBER(R1310),R1310,100000)+ROW()/100000,"")</f>
        <v/>
      </c>
      <c r="AC1310" s="66" t="str">
        <f>IF(A1310="","",IF(COUNTIF($A$6:A1310,A1310)=1,1,""))</f>
        <v/>
      </c>
      <c r="AD1310" s="66" t="str">
        <f>IF(AC1310=1,COUNT($AC$6:AC1310),"")</f>
        <v/>
      </c>
      <c r="AE1310" s="66" t="str">
        <f>IFERROR(INDEX(po_num,MATCH(1305,po_seq,0))&amp;"","")</f>
        <v/>
      </c>
      <c r="AF1310" s="66" t="str">
        <f>IF(OR(A1310="",p_po=""),"",IF(A1310&amp;""=p_po,COUNTIF($A$6:A1310,A1310),""))</f>
        <v/>
      </c>
      <c r="AG1310" s="66" t="str">
        <f>IF(OR(AB1310="",A1310=""),"",IF(COUNTIFS($A$6:A1310,A1310,$AB$6:AB1310,"&gt;0")=1,1,""))</f>
        <v/>
      </c>
      <c r="AH1310" s="70" t="str">
        <f>IF(AB1310="","",ROUND(N(W1310)*N(J1310)*(1-N(K1310)),2))</f>
        <v/>
      </c>
      <c r="AI1310" s="70" t="str">
        <f>IF(OR(J1310="",N(T1310)&lt;=0,V1310="Oui"),"",ROUND(N(T1310)*J1310*(1-N(K1310)),2))</f>
        <v/>
      </c>
    </row>
    <row r="1311">
      <c r="A1311" s="63" t="n"/>
      <c r="B1311" s="64" t="n"/>
      <c r="C1311" s="65" t="n"/>
      <c r="D1311" s="66" t="str">
        <f>IF(C1311="","",IFERROR(INDEX(sup_name,MATCH($C1311,sup_code,0))&amp;"","Fournisseur inconnu"))</f>
        <v/>
      </c>
      <c r="E1311" s="63" t="n"/>
      <c r="F1311" s="66" t="str">
        <f>IF(E1311="","",IFERROR(INDEX(art_des,MATCH($E1311,art_ref,0))&amp;"","Article inconnu"))</f>
        <v/>
      </c>
      <c r="G1311" s="67" t="str">
        <f>IF(E1311="","",IFERROR(INDEX(art_unit,MATCH($E1311,art_ref,0))&amp;"",""))</f>
        <v/>
      </c>
      <c r="H1311" s="68" t="n"/>
      <c r="I1311" s="69" t="n"/>
      <c r="J1311" s="70" t="str">
        <f>IF(E1311="","",IF(ISNUMBER(I1311),I1311,IFERROR(IF(ISNUMBER(INDEX(art_price,MATCH($E1311,art_ref,0))),INDEX(art_price,MATCH($E1311,art_ref,0)),""),"")))</f>
        <v/>
      </c>
      <c r="K1311" s="71" t="n"/>
      <c r="L1311" s="72" t="n"/>
      <c r="M1311" s="72" t="str">
        <f>IF(E1311="","",IF(L1311&lt;&gt;"",L1311,IFERROR(IF(ISNUMBER(INDEX(art_tva,MATCH($E1311,art_ref,0))),INDEX(art_tva,MATCH($E1311,art_ref,0)),""),"")))</f>
        <v/>
      </c>
      <c r="N1311" s="70" t="str">
        <f>IF(OR(E1311="",J1311=""),"",ROUND(N(H1311)*J1311*(1-N(K1311)),2))</f>
        <v/>
      </c>
      <c r="O1311" s="70" t="str">
        <f>IF(OR(N1311="",NOT(ISNUMBER(M1311))),"",ROUND(N1311*M1311,2))</f>
        <v/>
      </c>
      <c r="P1311" s="70" t="str">
        <f>IF(N1311="","",N1311+N(O1311))</f>
        <v/>
      </c>
      <c r="Q1311" s="64" t="n"/>
      <c r="R1311" s="73" t="str">
        <f>IF(N(Q1311)&gt;0,Q1311,IF(OR(N(B1311)=0,ISNA(MATCH($C1311,sup_code,0))),"",IF(ISNUMBER(INDEX(sup_delay,MATCH($C1311,sup_code,0))),B1311+INDEX(sup_delay,MATCH($C1311,sup_code,0)),"")))</f>
        <v/>
      </c>
      <c r="S1311" s="64" t="n"/>
      <c r="T1311" s="68" t="n"/>
      <c r="U1311" s="64" t="n"/>
      <c r="V1311" s="65" t="n"/>
      <c r="W1311" s="74" t="str">
        <f>IF(AND(A1311="",E1311=""),"",IF(V1311="Oui",0,MAX(0,ROUND(N(H1311)-N(T1311),6))))</f>
        <v/>
      </c>
      <c r="X1311" s="67" t="str">
        <f>IF(AND(A1311="",E1311=""),"",IF(V1311="Oui","Annulé",IF(AND(N(H1311)&gt;0,N(T1311)&gt;=N(H1311)),"Reçu",IF(N(S1311)=0,"Brouillon",IF(AND(ISNUMBER(R1311),R1311&lt;p_today),"En retard",IF(N(T1311)&gt;0,"Partiel","Envoyé"))))))</f>
        <v/>
      </c>
      <c r="Y1311" s="75" t="str">
        <f>IF(X1311="En retard",p_today-R1311,IF(AND(X1311="Reçu",ISNUMBER(R1311)),MAX(0,N(U1311)-R1311),""))</f>
        <v/>
      </c>
      <c r="Z1311" s="67" t="str">
        <f>IF(AND(A1311="",E1311=""),"",IF(A1311="","N° de bon manquant",IF(N(B1311)=0,"Date de commande manquante",IF(C1311="","Fournisseur manquant",IF(ISNA(MATCH($C1311,sup_code,0)),"Fournisseur inconnu",IF(E1311="","Article manquant",IF(ISNA(MATCH($E1311,art_ref,0)),"Article inconnu",IF(N(H1311)&lt;=0,"Quantité invalide",IF(J1311="","Prix manquant",IF(OR(N(K1311)&lt;0,N(K1311)&gt;=1),"Remise invalide",IF(M1311="","TVA manquante",IF(ISNA(MATCH(M1311,p_tva,0)),"Taux de TVA inconnu",IF(COUNTIFS(po_num,A1311,po_sup,"&lt;&gt;"&amp;C1311)&gt;0,"Fournisseur différent sur ce bon",IF(COUNTIFS(po_num,A1311,po_date,"&lt;&gt;"&amp;B1311)&gt;0,"Date différente sur ce bon",IF(COUNTIF(po_num,A1311)&gt;25,"Plus de 25 lignes sur ce bon",IF(R1311="","Date de livraison manquante",IF(R1311&lt;B1311,"Livraison avant la commande",IF(AND(N(T1311)&gt;0,N(S1311)=0),"Date d'envoi manquante",IF(N(T1311)&gt;N(H1311),"Reçu plus que commandé",IF(AND(N(T1311)&gt;0,N(U1311)=0),"Date de réception manquante",IF(AND(N(U1311)&gt;0,U1311&lt;B1311),"Réception avant la commande","OK")))))))))))))))))))))</f>
        <v/>
      </c>
      <c r="AA1311" s="66" t="str">
        <f>IF(AND(X1311="Reçu",ISNUMBER(R1311)),IF(N(U1311)&lt;=R1311,1,0),"")</f>
        <v/>
      </c>
      <c r="AB1311" s="76" t="str">
        <f>IF(OR(X1311="Envoyé",X1311="Partiel",X1311="En retard"),IF(ISNUMBER(R1311),R1311,100000)+ROW()/100000,"")</f>
        <v/>
      </c>
      <c r="AC1311" s="66" t="str">
        <f>IF(A1311="","",IF(COUNTIF($A$6:A1311,A1311)=1,1,""))</f>
        <v/>
      </c>
      <c r="AD1311" s="66" t="str">
        <f>IF(AC1311=1,COUNT($AC$6:AC1311),"")</f>
        <v/>
      </c>
      <c r="AE1311" s="66" t="str">
        <f>IFERROR(INDEX(po_num,MATCH(1306,po_seq,0))&amp;"","")</f>
        <v/>
      </c>
      <c r="AF1311" s="66" t="str">
        <f>IF(OR(A1311="",p_po=""),"",IF(A1311&amp;""=p_po,COUNTIF($A$6:A1311,A1311),""))</f>
        <v/>
      </c>
      <c r="AG1311" s="66" t="str">
        <f>IF(OR(AB1311="",A1311=""),"",IF(COUNTIFS($A$6:A1311,A1311,$AB$6:AB1311,"&gt;0")=1,1,""))</f>
        <v/>
      </c>
      <c r="AH1311" s="70" t="str">
        <f>IF(AB1311="","",ROUND(N(W1311)*N(J1311)*(1-N(K1311)),2))</f>
        <v/>
      </c>
      <c r="AI1311" s="70" t="str">
        <f>IF(OR(J1311="",N(T1311)&lt;=0,V1311="Oui"),"",ROUND(N(T1311)*J1311*(1-N(K1311)),2))</f>
        <v/>
      </c>
    </row>
    <row r="1312">
      <c r="A1312" s="63" t="n"/>
      <c r="B1312" s="64" t="n"/>
      <c r="C1312" s="65" t="n"/>
      <c r="D1312" s="66" t="str">
        <f>IF(C1312="","",IFERROR(INDEX(sup_name,MATCH($C1312,sup_code,0))&amp;"","Fournisseur inconnu"))</f>
        <v/>
      </c>
      <c r="E1312" s="63" t="n"/>
      <c r="F1312" s="66" t="str">
        <f>IF(E1312="","",IFERROR(INDEX(art_des,MATCH($E1312,art_ref,0))&amp;"","Article inconnu"))</f>
        <v/>
      </c>
      <c r="G1312" s="67" t="str">
        <f>IF(E1312="","",IFERROR(INDEX(art_unit,MATCH($E1312,art_ref,0))&amp;"",""))</f>
        <v/>
      </c>
      <c r="H1312" s="68" t="n"/>
      <c r="I1312" s="69" t="n"/>
      <c r="J1312" s="70" t="str">
        <f>IF(E1312="","",IF(ISNUMBER(I1312),I1312,IFERROR(IF(ISNUMBER(INDEX(art_price,MATCH($E1312,art_ref,0))),INDEX(art_price,MATCH($E1312,art_ref,0)),""),"")))</f>
        <v/>
      </c>
      <c r="K1312" s="71" t="n"/>
      <c r="L1312" s="72" t="n"/>
      <c r="M1312" s="72" t="str">
        <f>IF(E1312="","",IF(L1312&lt;&gt;"",L1312,IFERROR(IF(ISNUMBER(INDEX(art_tva,MATCH($E1312,art_ref,0))),INDEX(art_tva,MATCH($E1312,art_ref,0)),""),"")))</f>
        <v/>
      </c>
      <c r="N1312" s="70" t="str">
        <f>IF(OR(E1312="",J1312=""),"",ROUND(N(H1312)*J1312*(1-N(K1312)),2))</f>
        <v/>
      </c>
      <c r="O1312" s="70" t="str">
        <f>IF(OR(N1312="",NOT(ISNUMBER(M1312))),"",ROUND(N1312*M1312,2))</f>
        <v/>
      </c>
      <c r="P1312" s="70" t="str">
        <f>IF(N1312="","",N1312+N(O1312))</f>
        <v/>
      </c>
      <c r="Q1312" s="64" t="n"/>
      <c r="R1312" s="73" t="str">
        <f>IF(N(Q1312)&gt;0,Q1312,IF(OR(N(B1312)=0,ISNA(MATCH($C1312,sup_code,0))),"",IF(ISNUMBER(INDEX(sup_delay,MATCH($C1312,sup_code,0))),B1312+INDEX(sup_delay,MATCH($C1312,sup_code,0)),"")))</f>
        <v/>
      </c>
      <c r="S1312" s="64" t="n"/>
      <c r="T1312" s="68" t="n"/>
      <c r="U1312" s="64" t="n"/>
      <c r="V1312" s="65" t="n"/>
      <c r="W1312" s="74" t="str">
        <f>IF(AND(A1312="",E1312=""),"",IF(V1312="Oui",0,MAX(0,ROUND(N(H1312)-N(T1312),6))))</f>
        <v/>
      </c>
      <c r="X1312" s="67" t="str">
        <f>IF(AND(A1312="",E1312=""),"",IF(V1312="Oui","Annulé",IF(AND(N(H1312)&gt;0,N(T1312)&gt;=N(H1312)),"Reçu",IF(N(S1312)=0,"Brouillon",IF(AND(ISNUMBER(R1312),R1312&lt;p_today),"En retard",IF(N(T1312)&gt;0,"Partiel","Envoyé"))))))</f>
        <v/>
      </c>
      <c r="Y1312" s="75" t="str">
        <f>IF(X1312="En retard",p_today-R1312,IF(AND(X1312="Reçu",ISNUMBER(R1312)),MAX(0,N(U1312)-R1312),""))</f>
        <v/>
      </c>
      <c r="Z1312" s="67" t="str">
        <f>IF(AND(A1312="",E1312=""),"",IF(A1312="","N° de bon manquant",IF(N(B1312)=0,"Date de commande manquante",IF(C1312="","Fournisseur manquant",IF(ISNA(MATCH($C1312,sup_code,0)),"Fournisseur inconnu",IF(E1312="","Article manquant",IF(ISNA(MATCH($E1312,art_ref,0)),"Article inconnu",IF(N(H1312)&lt;=0,"Quantité invalide",IF(J1312="","Prix manquant",IF(OR(N(K1312)&lt;0,N(K1312)&gt;=1),"Remise invalide",IF(M1312="","TVA manquante",IF(ISNA(MATCH(M1312,p_tva,0)),"Taux de TVA inconnu",IF(COUNTIFS(po_num,A1312,po_sup,"&lt;&gt;"&amp;C1312)&gt;0,"Fournisseur différent sur ce bon",IF(COUNTIFS(po_num,A1312,po_date,"&lt;&gt;"&amp;B1312)&gt;0,"Date différente sur ce bon",IF(COUNTIF(po_num,A1312)&gt;25,"Plus de 25 lignes sur ce bon",IF(R1312="","Date de livraison manquante",IF(R1312&lt;B1312,"Livraison avant la commande",IF(AND(N(T1312)&gt;0,N(S1312)=0),"Date d'envoi manquante",IF(N(T1312)&gt;N(H1312),"Reçu plus que commandé",IF(AND(N(T1312)&gt;0,N(U1312)=0),"Date de réception manquante",IF(AND(N(U1312)&gt;0,U1312&lt;B1312),"Réception avant la commande","OK")))))))))))))))))))))</f>
        <v/>
      </c>
      <c r="AA1312" s="66" t="str">
        <f>IF(AND(X1312="Reçu",ISNUMBER(R1312)),IF(N(U1312)&lt;=R1312,1,0),"")</f>
        <v/>
      </c>
      <c r="AB1312" s="76" t="str">
        <f>IF(OR(X1312="Envoyé",X1312="Partiel",X1312="En retard"),IF(ISNUMBER(R1312),R1312,100000)+ROW()/100000,"")</f>
        <v/>
      </c>
      <c r="AC1312" s="66" t="str">
        <f>IF(A1312="","",IF(COUNTIF($A$6:A1312,A1312)=1,1,""))</f>
        <v/>
      </c>
      <c r="AD1312" s="66" t="str">
        <f>IF(AC1312=1,COUNT($AC$6:AC1312),"")</f>
        <v/>
      </c>
      <c r="AE1312" s="66" t="str">
        <f>IFERROR(INDEX(po_num,MATCH(1307,po_seq,0))&amp;"","")</f>
        <v/>
      </c>
      <c r="AF1312" s="66" t="str">
        <f>IF(OR(A1312="",p_po=""),"",IF(A1312&amp;""=p_po,COUNTIF($A$6:A1312,A1312),""))</f>
        <v/>
      </c>
      <c r="AG1312" s="66" t="str">
        <f>IF(OR(AB1312="",A1312=""),"",IF(COUNTIFS($A$6:A1312,A1312,$AB$6:AB1312,"&gt;0")=1,1,""))</f>
        <v/>
      </c>
      <c r="AH1312" s="70" t="str">
        <f>IF(AB1312="","",ROUND(N(W1312)*N(J1312)*(1-N(K1312)),2))</f>
        <v/>
      </c>
      <c r="AI1312" s="70" t="str">
        <f>IF(OR(J1312="",N(T1312)&lt;=0,V1312="Oui"),"",ROUND(N(T1312)*J1312*(1-N(K1312)),2))</f>
        <v/>
      </c>
    </row>
    <row r="1313">
      <c r="A1313" s="63" t="n"/>
      <c r="B1313" s="64" t="n"/>
      <c r="C1313" s="65" t="n"/>
      <c r="D1313" s="66" t="str">
        <f>IF(C1313="","",IFERROR(INDEX(sup_name,MATCH($C1313,sup_code,0))&amp;"","Fournisseur inconnu"))</f>
        <v/>
      </c>
      <c r="E1313" s="63" t="n"/>
      <c r="F1313" s="66" t="str">
        <f>IF(E1313="","",IFERROR(INDEX(art_des,MATCH($E1313,art_ref,0))&amp;"","Article inconnu"))</f>
        <v/>
      </c>
      <c r="G1313" s="67" t="str">
        <f>IF(E1313="","",IFERROR(INDEX(art_unit,MATCH($E1313,art_ref,0))&amp;"",""))</f>
        <v/>
      </c>
      <c r="H1313" s="68" t="n"/>
      <c r="I1313" s="69" t="n"/>
      <c r="J1313" s="70" t="str">
        <f>IF(E1313="","",IF(ISNUMBER(I1313),I1313,IFERROR(IF(ISNUMBER(INDEX(art_price,MATCH($E1313,art_ref,0))),INDEX(art_price,MATCH($E1313,art_ref,0)),""),"")))</f>
        <v/>
      </c>
      <c r="K1313" s="71" t="n"/>
      <c r="L1313" s="72" t="n"/>
      <c r="M1313" s="72" t="str">
        <f>IF(E1313="","",IF(L1313&lt;&gt;"",L1313,IFERROR(IF(ISNUMBER(INDEX(art_tva,MATCH($E1313,art_ref,0))),INDEX(art_tva,MATCH($E1313,art_ref,0)),""),"")))</f>
        <v/>
      </c>
      <c r="N1313" s="70" t="str">
        <f>IF(OR(E1313="",J1313=""),"",ROUND(N(H1313)*J1313*(1-N(K1313)),2))</f>
        <v/>
      </c>
      <c r="O1313" s="70" t="str">
        <f>IF(OR(N1313="",NOT(ISNUMBER(M1313))),"",ROUND(N1313*M1313,2))</f>
        <v/>
      </c>
      <c r="P1313" s="70" t="str">
        <f>IF(N1313="","",N1313+N(O1313))</f>
        <v/>
      </c>
      <c r="Q1313" s="64" t="n"/>
      <c r="R1313" s="73" t="str">
        <f>IF(N(Q1313)&gt;0,Q1313,IF(OR(N(B1313)=0,ISNA(MATCH($C1313,sup_code,0))),"",IF(ISNUMBER(INDEX(sup_delay,MATCH($C1313,sup_code,0))),B1313+INDEX(sup_delay,MATCH($C1313,sup_code,0)),"")))</f>
        <v/>
      </c>
      <c r="S1313" s="64" t="n"/>
      <c r="T1313" s="68" t="n"/>
      <c r="U1313" s="64" t="n"/>
      <c r="V1313" s="65" t="n"/>
      <c r="W1313" s="74" t="str">
        <f>IF(AND(A1313="",E1313=""),"",IF(V1313="Oui",0,MAX(0,ROUND(N(H1313)-N(T1313),6))))</f>
        <v/>
      </c>
      <c r="X1313" s="67" t="str">
        <f>IF(AND(A1313="",E1313=""),"",IF(V1313="Oui","Annulé",IF(AND(N(H1313)&gt;0,N(T1313)&gt;=N(H1313)),"Reçu",IF(N(S1313)=0,"Brouillon",IF(AND(ISNUMBER(R1313),R1313&lt;p_today),"En retard",IF(N(T1313)&gt;0,"Partiel","Envoyé"))))))</f>
        <v/>
      </c>
      <c r="Y1313" s="75" t="str">
        <f>IF(X1313="En retard",p_today-R1313,IF(AND(X1313="Reçu",ISNUMBER(R1313)),MAX(0,N(U1313)-R1313),""))</f>
        <v/>
      </c>
      <c r="Z1313" s="67" t="str">
        <f>IF(AND(A1313="",E1313=""),"",IF(A1313="","N° de bon manquant",IF(N(B1313)=0,"Date de commande manquante",IF(C1313="","Fournisseur manquant",IF(ISNA(MATCH($C1313,sup_code,0)),"Fournisseur inconnu",IF(E1313="","Article manquant",IF(ISNA(MATCH($E1313,art_ref,0)),"Article inconnu",IF(N(H1313)&lt;=0,"Quantité invalide",IF(J1313="","Prix manquant",IF(OR(N(K1313)&lt;0,N(K1313)&gt;=1),"Remise invalide",IF(M1313="","TVA manquante",IF(ISNA(MATCH(M1313,p_tva,0)),"Taux de TVA inconnu",IF(COUNTIFS(po_num,A1313,po_sup,"&lt;&gt;"&amp;C1313)&gt;0,"Fournisseur différent sur ce bon",IF(COUNTIFS(po_num,A1313,po_date,"&lt;&gt;"&amp;B1313)&gt;0,"Date différente sur ce bon",IF(COUNTIF(po_num,A1313)&gt;25,"Plus de 25 lignes sur ce bon",IF(R1313="","Date de livraison manquante",IF(R1313&lt;B1313,"Livraison avant la commande",IF(AND(N(T1313)&gt;0,N(S1313)=0),"Date d'envoi manquante",IF(N(T1313)&gt;N(H1313),"Reçu plus que commandé",IF(AND(N(T1313)&gt;0,N(U1313)=0),"Date de réception manquante",IF(AND(N(U1313)&gt;0,U1313&lt;B1313),"Réception avant la commande","OK")))))))))))))))))))))</f>
        <v/>
      </c>
      <c r="AA1313" s="66" t="str">
        <f>IF(AND(X1313="Reçu",ISNUMBER(R1313)),IF(N(U1313)&lt;=R1313,1,0),"")</f>
        <v/>
      </c>
      <c r="AB1313" s="76" t="str">
        <f>IF(OR(X1313="Envoyé",X1313="Partiel",X1313="En retard"),IF(ISNUMBER(R1313),R1313,100000)+ROW()/100000,"")</f>
        <v/>
      </c>
      <c r="AC1313" s="66" t="str">
        <f>IF(A1313="","",IF(COUNTIF($A$6:A1313,A1313)=1,1,""))</f>
        <v/>
      </c>
      <c r="AD1313" s="66" t="str">
        <f>IF(AC1313=1,COUNT($AC$6:AC1313),"")</f>
        <v/>
      </c>
      <c r="AE1313" s="66" t="str">
        <f>IFERROR(INDEX(po_num,MATCH(1308,po_seq,0))&amp;"","")</f>
        <v/>
      </c>
      <c r="AF1313" s="66" t="str">
        <f>IF(OR(A1313="",p_po=""),"",IF(A1313&amp;""=p_po,COUNTIF($A$6:A1313,A1313),""))</f>
        <v/>
      </c>
      <c r="AG1313" s="66" t="str">
        <f>IF(OR(AB1313="",A1313=""),"",IF(COUNTIFS($A$6:A1313,A1313,$AB$6:AB1313,"&gt;0")=1,1,""))</f>
        <v/>
      </c>
      <c r="AH1313" s="70" t="str">
        <f>IF(AB1313="","",ROUND(N(W1313)*N(J1313)*(1-N(K1313)),2))</f>
        <v/>
      </c>
      <c r="AI1313" s="70" t="str">
        <f>IF(OR(J1313="",N(T1313)&lt;=0,V1313="Oui"),"",ROUND(N(T1313)*J1313*(1-N(K1313)),2))</f>
        <v/>
      </c>
    </row>
    <row r="1314">
      <c r="A1314" s="63" t="n"/>
      <c r="B1314" s="64" t="n"/>
      <c r="C1314" s="65" t="n"/>
      <c r="D1314" s="66" t="str">
        <f>IF(C1314="","",IFERROR(INDEX(sup_name,MATCH($C1314,sup_code,0))&amp;"","Fournisseur inconnu"))</f>
        <v/>
      </c>
      <c r="E1314" s="63" t="n"/>
      <c r="F1314" s="66" t="str">
        <f>IF(E1314="","",IFERROR(INDEX(art_des,MATCH($E1314,art_ref,0))&amp;"","Article inconnu"))</f>
        <v/>
      </c>
      <c r="G1314" s="67" t="str">
        <f>IF(E1314="","",IFERROR(INDEX(art_unit,MATCH($E1314,art_ref,0))&amp;"",""))</f>
        <v/>
      </c>
      <c r="H1314" s="68" t="n"/>
      <c r="I1314" s="69" t="n"/>
      <c r="J1314" s="70" t="str">
        <f>IF(E1314="","",IF(ISNUMBER(I1314),I1314,IFERROR(IF(ISNUMBER(INDEX(art_price,MATCH($E1314,art_ref,0))),INDEX(art_price,MATCH($E1314,art_ref,0)),""),"")))</f>
        <v/>
      </c>
      <c r="K1314" s="71" t="n"/>
      <c r="L1314" s="72" t="n"/>
      <c r="M1314" s="72" t="str">
        <f>IF(E1314="","",IF(L1314&lt;&gt;"",L1314,IFERROR(IF(ISNUMBER(INDEX(art_tva,MATCH($E1314,art_ref,0))),INDEX(art_tva,MATCH($E1314,art_ref,0)),""),"")))</f>
        <v/>
      </c>
      <c r="N1314" s="70" t="str">
        <f>IF(OR(E1314="",J1314=""),"",ROUND(N(H1314)*J1314*(1-N(K1314)),2))</f>
        <v/>
      </c>
      <c r="O1314" s="70" t="str">
        <f>IF(OR(N1314="",NOT(ISNUMBER(M1314))),"",ROUND(N1314*M1314,2))</f>
        <v/>
      </c>
      <c r="P1314" s="70" t="str">
        <f>IF(N1314="","",N1314+N(O1314))</f>
        <v/>
      </c>
      <c r="Q1314" s="64" t="n"/>
      <c r="R1314" s="73" t="str">
        <f>IF(N(Q1314)&gt;0,Q1314,IF(OR(N(B1314)=0,ISNA(MATCH($C1314,sup_code,0))),"",IF(ISNUMBER(INDEX(sup_delay,MATCH($C1314,sup_code,0))),B1314+INDEX(sup_delay,MATCH($C1314,sup_code,0)),"")))</f>
        <v/>
      </c>
      <c r="S1314" s="64" t="n"/>
      <c r="T1314" s="68" t="n"/>
      <c r="U1314" s="64" t="n"/>
      <c r="V1314" s="65" t="n"/>
      <c r="W1314" s="74" t="str">
        <f>IF(AND(A1314="",E1314=""),"",IF(V1314="Oui",0,MAX(0,ROUND(N(H1314)-N(T1314),6))))</f>
        <v/>
      </c>
      <c r="X1314" s="67" t="str">
        <f>IF(AND(A1314="",E1314=""),"",IF(V1314="Oui","Annulé",IF(AND(N(H1314)&gt;0,N(T1314)&gt;=N(H1314)),"Reçu",IF(N(S1314)=0,"Brouillon",IF(AND(ISNUMBER(R1314),R1314&lt;p_today),"En retard",IF(N(T1314)&gt;0,"Partiel","Envoyé"))))))</f>
        <v/>
      </c>
      <c r="Y1314" s="75" t="str">
        <f>IF(X1314="En retard",p_today-R1314,IF(AND(X1314="Reçu",ISNUMBER(R1314)),MAX(0,N(U1314)-R1314),""))</f>
        <v/>
      </c>
      <c r="Z1314" s="67" t="str">
        <f>IF(AND(A1314="",E1314=""),"",IF(A1314="","N° de bon manquant",IF(N(B1314)=0,"Date de commande manquante",IF(C1314="","Fournisseur manquant",IF(ISNA(MATCH($C1314,sup_code,0)),"Fournisseur inconnu",IF(E1314="","Article manquant",IF(ISNA(MATCH($E1314,art_ref,0)),"Article inconnu",IF(N(H1314)&lt;=0,"Quantité invalide",IF(J1314="","Prix manquant",IF(OR(N(K1314)&lt;0,N(K1314)&gt;=1),"Remise invalide",IF(M1314="","TVA manquante",IF(ISNA(MATCH(M1314,p_tva,0)),"Taux de TVA inconnu",IF(COUNTIFS(po_num,A1314,po_sup,"&lt;&gt;"&amp;C1314)&gt;0,"Fournisseur différent sur ce bon",IF(COUNTIFS(po_num,A1314,po_date,"&lt;&gt;"&amp;B1314)&gt;0,"Date différente sur ce bon",IF(COUNTIF(po_num,A1314)&gt;25,"Plus de 25 lignes sur ce bon",IF(R1314="","Date de livraison manquante",IF(R1314&lt;B1314,"Livraison avant la commande",IF(AND(N(T1314)&gt;0,N(S1314)=0),"Date d'envoi manquante",IF(N(T1314)&gt;N(H1314),"Reçu plus que commandé",IF(AND(N(T1314)&gt;0,N(U1314)=0),"Date de réception manquante",IF(AND(N(U1314)&gt;0,U1314&lt;B1314),"Réception avant la commande","OK")))))))))))))))))))))</f>
        <v/>
      </c>
      <c r="AA1314" s="66" t="str">
        <f>IF(AND(X1314="Reçu",ISNUMBER(R1314)),IF(N(U1314)&lt;=R1314,1,0),"")</f>
        <v/>
      </c>
      <c r="AB1314" s="76" t="str">
        <f>IF(OR(X1314="Envoyé",X1314="Partiel",X1314="En retard"),IF(ISNUMBER(R1314),R1314,100000)+ROW()/100000,"")</f>
        <v/>
      </c>
      <c r="AC1314" s="66" t="str">
        <f>IF(A1314="","",IF(COUNTIF($A$6:A1314,A1314)=1,1,""))</f>
        <v/>
      </c>
      <c r="AD1314" s="66" t="str">
        <f>IF(AC1314=1,COUNT($AC$6:AC1314),"")</f>
        <v/>
      </c>
      <c r="AE1314" s="66" t="str">
        <f>IFERROR(INDEX(po_num,MATCH(1309,po_seq,0))&amp;"","")</f>
        <v/>
      </c>
      <c r="AF1314" s="66" t="str">
        <f>IF(OR(A1314="",p_po=""),"",IF(A1314&amp;""=p_po,COUNTIF($A$6:A1314,A1314),""))</f>
        <v/>
      </c>
      <c r="AG1314" s="66" t="str">
        <f>IF(OR(AB1314="",A1314=""),"",IF(COUNTIFS($A$6:A1314,A1314,$AB$6:AB1314,"&gt;0")=1,1,""))</f>
        <v/>
      </c>
      <c r="AH1314" s="70" t="str">
        <f>IF(AB1314="","",ROUND(N(W1314)*N(J1314)*(1-N(K1314)),2))</f>
        <v/>
      </c>
      <c r="AI1314" s="70" t="str">
        <f>IF(OR(J1314="",N(T1314)&lt;=0,V1314="Oui"),"",ROUND(N(T1314)*J1314*(1-N(K1314)),2))</f>
        <v/>
      </c>
    </row>
    <row r="1315">
      <c r="A1315" s="63" t="n"/>
      <c r="B1315" s="64" t="n"/>
      <c r="C1315" s="65" t="n"/>
      <c r="D1315" s="66" t="str">
        <f>IF(C1315="","",IFERROR(INDEX(sup_name,MATCH($C1315,sup_code,0))&amp;"","Fournisseur inconnu"))</f>
        <v/>
      </c>
      <c r="E1315" s="63" t="n"/>
      <c r="F1315" s="66" t="str">
        <f>IF(E1315="","",IFERROR(INDEX(art_des,MATCH($E1315,art_ref,0))&amp;"","Article inconnu"))</f>
        <v/>
      </c>
      <c r="G1315" s="67" t="str">
        <f>IF(E1315="","",IFERROR(INDEX(art_unit,MATCH($E1315,art_ref,0))&amp;"",""))</f>
        <v/>
      </c>
      <c r="H1315" s="68" t="n"/>
      <c r="I1315" s="69" t="n"/>
      <c r="J1315" s="70" t="str">
        <f>IF(E1315="","",IF(ISNUMBER(I1315),I1315,IFERROR(IF(ISNUMBER(INDEX(art_price,MATCH($E1315,art_ref,0))),INDEX(art_price,MATCH($E1315,art_ref,0)),""),"")))</f>
        <v/>
      </c>
      <c r="K1315" s="71" t="n"/>
      <c r="L1315" s="72" t="n"/>
      <c r="M1315" s="72" t="str">
        <f>IF(E1315="","",IF(L1315&lt;&gt;"",L1315,IFERROR(IF(ISNUMBER(INDEX(art_tva,MATCH($E1315,art_ref,0))),INDEX(art_tva,MATCH($E1315,art_ref,0)),""),"")))</f>
        <v/>
      </c>
      <c r="N1315" s="70" t="str">
        <f>IF(OR(E1315="",J1315=""),"",ROUND(N(H1315)*J1315*(1-N(K1315)),2))</f>
        <v/>
      </c>
      <c r="O1315" s="70" t="str">
        <f>IF(OR(N1315="",NOT(ISNUMBER(M1315))),"",ROUND(N1315*M1315,2))</f>
        <v/>
      </c>
      <c r="P1315" s="70" t="str">
        <f>IF(N1315="","",N1315+N(O1315))</f>
        <v/>
      </c>
      <c r="Q1315" s="64" t="n"/>
      <c r="R1315" s="73" t="str">
        <f>IF(N(Q1315)&gt;0,Q1315,IF(OR(N(B1315)=0,ISNA(MATCH($C1315,sup_code,0))),"",IF(ISNUMBER(INDEX(sup_delay,MATCH($C1315,sup_code,0))),B1315+INDEX(sup_delay,MATCH($C1315,sup_code,0)),"")))</f>
        <v/>
      </c>
      <c r="S1315" s="64" t="n"/>
      <c r="T1315" s="68" t="n"/>
      <c r="U1315" s="64" t="n"/>
      <c r="V1315" s="65" t="n"/>
      <c r="W1315" s="74" t="str">
        <f>IF(AND(A1315="",E1315=""),"",IF(V1315="Oui",0,MAX(0,ROUND(N(H1315)-N(T1315),6))))</f>
        <v/>
      </c>
      <c r="X1315" s="67" t="str">
        <f>IF(AND(A1315="",E1315=""),"",IF(V1315="Oui","Annulé",IF(AND(N(H1315)&gt;0,N(T1315)&gt;=N(H1315)),"Reçu",IF(N(S1315)=0,"Brouillon",IF(AND(ISNUMBER(R1315),R1315&lt;p_today),"En retard",IF(N(T1315)&gt;0,"Partiel","Envoyé"))))))</f>
        <v/>
      </c>
      <c r="Y1315" s="75" t="str">
        <f>IF(X1315="En retard",p_today-R1315,IF(AND(X1315="Reçu",ISNUMBER(R1315)),MAX(0,N(U1315)-R1315),""))</f>
        <v/>
      </c>
      <c r="Z1315" s="67" t="str">
        <f>IF(AND(A1315="",E1315=""),"",IF(A1315="","N° de bon manquant",IF(N(B1315)=0,"Date de commande manquante",IF(C1315="","Fournisseur manquant",IF(ISNA(MATCH($C1315,sup_code,0)),"Fournisseur inconnu",IF(E1315="","Article manquant",IF(ISNA(MATCH($E1315,art_ref,0)),"Article inconnu",IF(N(H1315)&lt;=0,"Quantité invalide",IF(J1315="","Prix manquant",IF(OR(N(K1315)&lt;0,N(K1315)&gt;=1),"Remise invalide",IF(M1315="","TVA manquante",IF(ISNA(MATCH(M1315,p_tva,0)),"Taux de TVA inconnu",IF(COUNTIFS(po_num,A1315,po_sup,"&lt;&gt;"&amp;C1315)&gt;0,"Fournisseur différent sur ce bon",IF(COUNTIFS(po_num,A1315,po_date,"&lt;&gt;"&amp;B1315)&gt;0,"Date différente sur ce bon",IF(COUNTIF(po_num,A1315)&gt;25,"Plus de 25 lignes sur ce bon",IF(R1315="","Date de livraison manquante",IF(R1315&lt;B1315,"Livraison avant la commande",IF(AND(N(T1315)&gt;0,N(S1315)=0),"Date d'envoi manquante",IF(N(T1315)&gt;N(H1315),"Reçu plus que commandé",IF(AND(N(T1315)&gt;0,N(U1315)=0),"Date de réception manquante",IF(AND(N(U1315)&gt;0,U1315&lt;B1315),"Réception avant la commande","OK")))))))))))))))))))))</f>
        <v/>
      </c>
      <c r="AA1315" s="66" t="str">
        <f>IF(AND(X1315="Reçu",ISNUMBER(R1315)),IF(N(U1315)&lt;=R1315,1,0),"")</f>
        <v/>
      </c>
      <c r="AB1315" s="76" t="str">
        <f>IF(OR(X1315="Envoyé",X1315="Partiel",X1315="En retard"),IF(ISNUMBER(R1315),R1315,100000)+ROW()/100000,"")</f>
        <v/>
      </c>
      <c r="AC1315" s="66" t="str">
        <f>IF(A1315="","",IF(COUNTIF($A$6:A1315,A1315)=1,1,""))</f>
        <v/>
      </c>
      <c r="AD1315" s="66" t="str">
        <f>IF(AC1315=1,COUNT($AC$6:AC1315),"")</f>
        <v/>
      </c>
      <c r="AE1315" s="66" t="str">
        <f>IFERROR(INDEX(po_num,MATCH(1310,po_seq,0))&amp;"","")</f>
        <v/>
      </c>
      <c r="AF1315" s="66" t="str">
        <f>IF(OR(A1315="",p_po=""),"",IF(A1315&amp;""=p_po,COUNTIF($A$6:A1315,A1315),""))</f>
        <v/>
      </c>
      <c r="AG1315" s="66" t="str">
        <f>IF(OR(AB1315="",A1315=""),"",IF(COUNTIFS($A$6:A1315,A1315,$AB$6:AB1315,"&gt;0")=1,1,""))</f>
        <v/>
      </c>
      <c r="AH1315" s="70" t="str">
        <f>IF(AB1315="","",ROUND(N(W1315)*N(J1315)*(1-N(K1315)),2))</f>
        <v/>
      </c>
      <c r="AI1315" s="70" t="str">
        <f>IF(OR(J1315="",N(T1315)&lt;=0,V1315="Oui"),"",ROUND(N(T1315)*J1315*(1-N(K1315)),2))</f>
        <v/>
      </c>
    </row>
    <row r="1316">
      <c r="A1316" s="63" t="n"/>
      <c r="B1316" s="64" t="n"/>
      <c r="C1316" s="65" t="n"/>
      <c r="D1316" s="66" t="str">
        <f>IF(C1316="","",IFERROR(INDEX(sup_name,MATCH($C1316,sup_code,0))&amp;"","Fournisseur inconnu"))</f>
        <v/>
      </c>
      <c r="E1316" s="63" t="n"/>
      <c r="F1316" s="66" t="str">
        <f>IF(E1316="","",IFERROR(INDEX(art_des,MATCH($E1316,art_ref,0))&amp;"","Article inconnu"))</f>
        <v/>
      </c>
      <c r="G1316" s="67" t="str">
        <f>IF(E1316="","",IFERROR(INDEX(art_unit,MATCH($E1316,art_ref,0))&amp;"",""))</f>
        <v/>
      </c>
      <c r="H1316" s="68" t="n"/>
      <c r="I1316" s="69" t="n"/>
      <c r="J1316" s="70" t="str">
        <f>IF(E1316="","",IF(ISNUMBER(I1316),I1316,IFERROR(IF(ISNUMBER(INDEX(art_price,MATCH($E1316,art_ref,0))),INDEX(art_price,MATCH($E1316,art_ref,0)),""),"")))</f>
        <v/>
      </c>
      <c r="K1316" s="71" t="n"/>
      <c r="L1316" s="72" t="n"/>
      <c r="M1316" s="72" t="str">
        <f>IF(E1316="","",IF(L1316&lt;&gt;"",L1316,IFERROR(IF(ISNUMBER(INDEX(art_tva,MATCH($E1316,art_ref,0))),INDEX(art_tva,MATCH($E1316,art_ref,0)),""),"")))</f>
        <v/>
      </c>
      <c r="N1316" s="70" t="str">
        <f>IF(OR(E1316="",J1316=""),"",ROUND(N(H1316)*J1316*(1-N(K1316)),2))</f>
        <v/>
      </c>
      <c r="O1316" s="70" t="str">
        <f>IF(OR(N1316="",NOT(ISNUMBER(M1316))),"",ROUND(N1316*M1316,2))</f>
        <v/>
      </c>
      <c r="P1316" s="70" t="str">
        <f>IF(N1316="","",N1316+N(O1316))</f>
        <v/>
      </c>
      <c r="Q1316" s="64" t="n"/>
      <c r="R1316" s="73" t="str">
        <f>IF(N(Q1316)&gt;0,Q1316,IF(OR(N(B1316)=0,ISNA(MATCH($C1316,sup_code,0))),"",IF(ISNUMBER(INDEX(sup_delay,MATCH($C1316,sup_code,0))),B1316+INDEX(sup_delay,MATCH($C1316,sup_code,0)),"")))</f>
        <v/>
      </c>
      <c r="S1316" s="64" t="n"/>
      <c r="T1316" s="68" t="n"/>
      <c r="U1316" s="64" t="n"/>
      <c r="V1316" s="65" t="n"/>
      <c r="W1316" s="74" t="str">
        <f>IF(AND(A1316="",E1316=""),"",IF(V1316="Oui",0,MAX(0,ROUND(N(H1316)-N(T1316),6))))</f>
        <v/>
      </c>
      <c r="X1316" s="67" t="str">
        <f>IF(AND(A1316="",E1316=""),"",IF(V1316="Oui","Annulé",IF(AND(N(H1316)&gt;0,N(T1316)&gt;=N(H1316)),"Reçu",IF(N(S1316)=0,"Brouillon",IF(AND(ISNUMBER(R1316),R1316&lt;p_today),"En retard",IF(N(T1316)&gt;0,"Partiel","Envoyé"))))))</f>
        <v/>
      </c>
      <c r="Y1316" s="75" t="str">
        <f>IF(X1316="En retard",p_today-R1316,IF(AND(X1316="Reçu",ISNUMBER(R1316)),MAX(0,N(U1316)-R1316),""))</f>
        <v/>
      </c>
      <c r="Z1316" s="67" t="str">
        <f>IF(AND(A1316="",E1316=""),"",IF(A1316="","N° de bon manquant",IF(N(B1316)=0,"Date de commande manquante",IF(C1316="","Fournisseur manquant",IF(ISNA(MATCH($C1316,sup_code,0)),"Fournisseur inconnu",IF(E1316="","Article manquant",IF(ISNA(MATCH($E1316,art_ref,0)),"Article inconnu",IF(N(H1316)&lt;=0,"Quantité invalide",IF(J1316="","Prix manquant",IF(OR(N(K1316)&lt;0,N(K1316)&gt;=1),"Remise invalide",IF(M1316="","TVA manquante",IF(ISNA(MATCH(M1316,p_tva,0)),"Taux de TVA inconnu",IF(COUNTIFS(po_num,A1316,po_sup,"&lt;&gt;"&amp;C1316)&gt;0,"Fournisseur différent sur ce bon",IF(COUNTIFS(po_num,A1316,po_date,"&lt;&gt;"&amp;B1316)&gt;0,"Date différente sur ce bon",IF(COUNTIF(po_num,A1316)&gt;25,"Plus de 25 lignes sur ce bon",IF(R1316="","Date de livraison manquante",IF(R1316&lt;B1316,"Livraison avant la commande",IF(AND(N(T1316)&gt;0,N(S1316)=0),"Date d'envoi manquante",IF(N(T1316)&gt;N(H1316),"Reçu plus que commandé",IF(AND(N(T1316)&gt;0,N(U1316)=0),"Date de réception manquante",IF(AND(N(U1316)&gt;0,U1316&lt;B1316),"Réception avant la commande","OK")))))))))))))))))))))</f>
        <v/>
      </c>
      <c r="AA1316" s="66" t="str">
        <f>IF(AND(X1316="Reçu",ISNUMBER(R1316)),IF(N(U1316)&lt;=R1316,1,0),"")</f>
        <v/>
      </c>
      <c r="AB1316" s="76" t="str">
        <f>IF(OR(X1316="Envoyé",X1316="Partiel",X1316="En retard"),IF(ISNUMBER(R1316),R1316,100000)+ROW()/100000,"")</f>
        <v/>
      </c>
      <c r="AC1316" s="66" t="str">
        <f>IF(A1316="","",IF(COUNTIF($A$6:A1316,A1316)=1,1,""))</f>
        <v/>
      </c>
      <c r="AD1316" s="66" t="str">
        <f>IF(AC1316=1,COUNT($AC$6:AC1316),"")</f>
        <v/>
      </c>
      <c r="AE1316" s="66" t="str">
        <f>IFERROR(INDEX(po_num,MATCH(1311,po_seq,0))&amp;"","")</f>
        <v/>
      </c>
      <c r="AF1316" s="66" t="str">
        <f>IF(OR(A1316="",p_po=""),"",IF(A1316&amp;""=p_po,COUNTIF($A$6:A1316,A1316),""))</f>
        <v/>
      </c>
      <c r="AG1316" s="66" t="str">
        <f>IF(OR(AB1316="",A1316=""),"",IF(COUNTIFS($A$6:A1316,A1316,$AB$6:AB1316,"&gt;0")=1,1,""))</f>
        <v/>
      </c>
      <c r="AH1316" s="70" t="str">
        <f>IF(AB1316="","",ROUND(N(W1316)*N(J1316)*(1-N(K1316)),2))</f>
        <v/>
      </c>
      <c r="AI1316" s="70" t="str">
        <f>IF(OR(J1316="",N(T1316)&lt;=0,V1316="Oui"),"",ROUND(N(T1316)*J1316*(1-N(K1316)),2))</f>
        <v/>
      </c>
    </row>
    <row r="1317">
      <c r="A1317" s="63" t="n"/>
      <c r="B1317" s="64" t="n"/>
      <c r="C1317" s="65" t="n"/>
      <c r="D1317" s="66" t="str">
        <f>IF(C1317="","",IFERROR(INDEX(sup_name,MATCH($C1317,sup_code,0))&amp;"","Fournisseur inconnu"))</f>
        <v/>
      </c>
      <c r="E1317" s="63" t="n"/>
      <c r="F1317" s="66" t="str">
        <f>IF(E1317="","",IFERROR(INDEX(art_des,MATCH($E1317,art_ref,0))&amp;"","Article inconnu"))</f>
        <v/>
      </c>
      <c r="G1317" s="67" t="str">
        <f>IF(E1317="","",IFERROR(INDEX(art_unit,MATCH($E1317,art_ref,0))&amp;"",""))</f>
        <v/>
      </c>
      <c r="H1317" s="68" t="n"/>
      <c r="I1317" s="69" t="n"/>
      <c r="J1317" s="70" t="str">
        <f>IF(E1317="","",IF(ISNUMBER(I1317),I1317,IFERROR(IF(ISNUMBER(INDEX(art_price,MATCH($E1317,art_ref,0))),INDEX(art_price,MATCH($E1317,art_ref,0)),""),"")))</f>
        <v/>
      </c>
      <c r="K1317" s="71" t="n"/>
      <c r="L1317" s="72" t="n"/>
      <c r="M1317" s="72" t="str">
        <f>IF(E1317="","",IF(L1317&lt;&gt;"",L1317,IFERROR(IF(ISNUMBER(INDEX(art_tva,MATCH($E1317,art_ref,0))),INDEX(art_tva,MATCH($E1317,art_ref,0)),""),"")))</f>
        <v/>
      </c>
      <c r="N1317" s="70" t="str">
        <f>IF(OR(E1317="",J1317=""),"",ROUND(N(H1317)*J1317*(1-N(K1317)),2))</f>
        <v/>
      </c>
      <c r="O1317" s="70" t="str">
        <f>IF(OR(N1317="",NOT(ISNUMBER(M1317))),"",ROUND(N1317*M1317,2))</f>
        <v/>
      </c>
      <c r="P1317" s="70" t="str">
        <f>IF(N1317="","",N1317+N(O1317))</f>
        <v/>
      </c>
      <c r="Q1317" s="64" t="n"/>
      <c r="R1317" s="73" t="str">
        <f>IF(N(Q1317)&gt;0,Q1317,IF(OR(N(B1317)=0,ISNA(MATCH($C1317,sup_code,0))),"",IF(ISNUMBER(INDEX(sup_delay,MATCH($C1317,sup_code,0))),B1317+INDEX(sup_delay,MATCH($C1317,sup_code,0)),"")))</f>
        <v/>
      </c>
      <c r="S1317" s="64" t="n"/>
      <c r="T1317" s="68" t="n"/>
      <c r="U1317" s="64" t="n"/>
      <c r="V1317" s="65" t="n"/>
      <c r="W1317" s="74" t="str">
        <f>IF(AND(A1317="",E1317=""),"",IF(V1317="Oui",0,MAX(0,ROUND(N(H1317)-N(T1317),6))))</f>
        <v/>
      </c>
      <c r="X1317" s="67" t="str">
        <f>IF(AND(A1317="",E1317=""),"",IF(V1317="Oui","Annulé",IF(AND(N(H1317)&gt;0,N(T1317)&gt;=N(H1317)),"Reçu",IF(N(S1317)=0,"Brouillon",IF(AND(ISNUMBER(R1317),R1317&lt;p_today),"En retard",IF(N(T1317)&gt;0,"Partiel","Envoyé"))))))</f>
        <v/>
      </c>
      <c r="Y1317" s="75" t="str">
        <f>IF(X1317="En retard",p_today-R1317,IF(AND(X1317="Reçu",ISNUMBER(R1317)),MAX(0,N(U1317)-R1317),""))</f>
        <v/>
      </c>
      <c r="Z1317" s="67" t="str">
        <f>IF(AND(A1317="",E1317=""),"",IF(A1317="","N° de bon manquant",IF(N(B1317)=0,"Date de commande manquante",IF(C1317="","Fournisseur manquant",IF(ISNA(MATCH($C1317,sup_code,0)),"Fournisseur inconnu",IF(E1317="","Article manquant",IF(ISNA(MATCH($E1317,art_ref,0)),"Article inconnu",IF(N(H1317)&lt;=0,"Quantité invalide",IF(J1317="","Prix manquant",IF(OR(N(K1317)&lt;0,N(K1317)&gt;=1),"Remise invalide",IF(M1317="","TVA manquante",IF(ISNA(MATCH(M1317,p_tva,0)),"Taux de TVA inconnu",IF(COUNTIFS(po_num,A1317,po_sup,"&lt;&gt;"&amp;C1317)&gt;0,"Fournisseur différent sur ce bon",IF(COUNTIFS(po_num,A1317,po_date,"&lt;&gt;"&amp;B1317)&gt;0,"Date différente sur ce bon",IF(COUNTIF(po_num,A1317)&gt;25,"Plus de 25 lignes sur ce bon",IF(R1317="","Date de livraison manquante",IF(R1317&lt;B1317,"Livraison avant la commande",IF(AND(N(T1317)&gt;0,N(S1317)=0),"Date d'envoi manquante",IF(N(T1317)&gt;N(H1317),"Reçu plus que commandé",IF(AND(N(T1317)&gt;0,N(U1317)=0),"Date de réception manquante",IF(AND(N(U1317)&gt;0,U1317&lt;B1317),"Réception avant la commande","OK")))))))))))))))))))))</f>
        <v/>
      </c>
      <c r="AA1317" s="66" t="str">
        <f>IF(AND(X1317="Reçu",ISNUMBER(R1317)),IF(N(U1317)&lt;=R1317,1,0),"")</f>
        <v/>
      </c>
      <c r="AB1317" s="76" t="str">
        <f>IF(OR(X1317="Envoyé",X1317="Partiel",X1317="En retard"),IF(ISNUMBER(R1317),R1317,100000)+ROW()/100000,"")</f>
        <v/>
      </c>
      <c r="AC1317" s="66" t="str">
        <f>IF(A1317="","",IF(COUNTIF($A$6:A1317,A1317)=1,1,""))</f>
        <v/>
      </c>
      <c r="AD1317" s="66" t="str">
        <f>IF(AC1317=1,COUNT($AC$6:AC1317),"")</f>
        <v/>
      </c>
      <c r="AE1317" s="66" t="str">
        <f>IFERROR(INDEX(po_num,MATCH(1312,po_seq,0))&amp;"","")</f>
        <v/>
      </c>
      <c r="AF1317" s="66" t="str">
        <f>IF(OR(A1317="",p_po=""),"",IF(A1317&amp;""=p_po,COUNTIF($A$6:A1317,A1317),""))</f>
        <v/>
      </c>
      <c r="AG1317" s="66" t="str">
        <f>IF(OR(AB1317="",A1317=""),"",IF(COUNTIFS($A$6:A1317,A1317,$AB$6:AB1317,"&gt;0")=1,1,""))</f>
        <v/>
      </c>
      <c r="AH1317" s="70" t="str">
        <f>IF(AB1317="","",ROUND(N(W1317)*N(J1317)*(1-N(K1317)),2))</f>
        <v/>
      </c>
      <c r="AI1317" s="70" t="str">
        <f>IF(OR(J1317="",N(T1317)&lt;=0,V1317="Oui"),"",ROUND(N(T1317)*J1317*(1-N(K1317)),2))</f>
        <v/>
      </c>
    </row>
    <row r="1318">
      <c r="A1318" s="63" t="n"/>
      <c r="B1318" s="64" t="n"/>
      <c r="C1318" s="65" t="n"/>
      <c r="D1318" s="66" t="str">
        <f>IF(C1318="","",IFERROR(INDEX(sup_name,MATCH($C1318,sup_code,0))&amp;"","Fournisseur inconnu"))</f>
        <v/>
      </c>
      <c r="E1318" s="63" t="n"/>
      <c r="F1318" s="66" t="str">
        <f>IF(E1318="","",IFERROR(INDEX(art_des,MATCH($E1318,art_ref,0))&amp;"","Article inconnu"))</f>
        <v/>
      </c>
      <c r="G1318" s="67" t="str">
        <f>IF(E1318="","",IFERROR(INDEX(art_unit,MATCH($E1318,art_ref,0))&amp;"",""))</f>
        <v/>
      </c>
      <c r="H1318" s="68" t="n"/>
      <c r="I1318" s="69" t="n"/>
      <c r="J1318" s="70" t="str">
        <f>IF(E1318="","",IF(ISNUMBER(I1318),I1318,IFERROR(IF(ISNUMBER(INDEX(art_price,MATCH($E1318,art_ref,0))),INDEX(art_price,MATCH($E1318,art_ref,0)),""),"")))</f>
        <v/>
      </c>
      <c r="K1318" s="71" t="n"/>
      <c r="L1318" s="72" t="n"/>
      <c r="M1318" s="72" t="str">
        <f>IF(E1318="","",IF(L1318&lt;&gt;"",L1318,IFERROR(IF(ISNUMBER(INDEX(art_tva,MATCH($E1318,art_ref,0))),INDEX(art_tva,MATCH($E1318,art_ref,0)),""),"")))</f>
        <v/>
      </c>
      <c r="N1318" s="70" t="str">
        <f>IF(OR(E1318="",J1318=""),"",ROUND(N(H1318)*J1318*(1-N(K1318)),2))</f>
        <v/>
      </c>
      <c r="O1318" s="70" t="str">
        <f>IF(OR(N1318="",NOT(ISNUMBER(M1318))),"",ROUND(N1318*M1318,2))</f>
        <v/>
      </c>
      <c r="P1318" s="70" t="str">
        <f>IF(N1318="","",N1318+N(O1318))</f>
        <v/>
      </c>
      <c r="Q1318" s="64" t="n"/>
      <c r="R1318" s="73" t="str">
        <f>IF(N(Q1318)&gt;0,Q1318,IF(OR(N(B1318)=0,ISNA(MATCH($C1318,sup_code,0))),"",IF(ISNUMBER(INDEX(sup_delay,MATCH($C1318,sup_code,0))),B1318+INDEX(sup_delay,MATCH($C1318,sup_code,0)),"")))</f>
        <v/>
      </c>
      <c r="S1318" s="64" t="n"/>
      <c r="T1318" s="68" t="n"/>
      <c r="U1318" s="64" t="n"/>
      <c r="V1318" s="65" t="n"/>
      <c r="W1318" s="74" t="str">
        <f>IF(AND(A1318="",E1318=""),"",IF(V1318="Oui",0,MAX(0,ROUND(N(H1318)-N(T1318),6))))</f>
        <v/>
      </c>
      <c r="X1318" s="67" t="str">
        <f>IF(AND(A1318="",E1318=""),"",IF(V1318="Oui","Annulé",IF(AND(N(H1318)&gt;0,N(T1318)&gt;=N(H1318)),"Reçu",IF(N(S1318)=0,"Brouillon",IF(AND(ISNUMBER(R1318),R1318&lt;p_today),"En retard",IF(N(T1318)&gt;0,"Partiel","Envoyé"))))))</f>
        <v/>
      </c>
      <c r="Y1318" s="75" t="str">
        <f>IF(X1318="En retard",p_today-R1318,IF(AND(X1318="Reçu",ISNUMBER(R1318)),MAX(0,N(U1318)-R1318),""))</f>
        <v/>
      </c>
      <c r="Z1318" s="67" t="str">
        <f>IF(AND(A1318="",E1318=""),"",IF(A1318="","N° de bon manquant",IF(N(B1318)=0,"Date de commande manquante",IF(C1318="","Fournisseur manquant",IF(ISNA(MATCH($C1318,sup_code,0)),"Fournisseur inconnu",IF(E1318="","Article manquant",IF(ISNA(MATCH($E1318,art_ref,0)),"Article inconnu",IF(N(H1318)&lt;=0,"Quantité invalide",IF(J1318="","Prix manquant",IF(OR(N(K1318)&lt;0,N(K1318)&gt;=1),"Remise invalide",IF(M1318="","TVA manquante",IF(ISNA(MATCH(M1318,p_tva,0)),"Taux de TVA inconnu",IF(COUNTIFS(po_num,A1318,po_sup,"&lt;&gt;"&amp;C1318)&gt;0,"Fournisseur différent sur ce bon",IF(COUNTIFS(po_num,A1318,po_date,"&lt;&gt;"&amp;B1318)&gt;0,"Date différente sur ce bon",IF(COUNTIF(po_num,A1318)&gt;25,"Plus de 25 lignes sur ce bon",IF(R1318="","Date de livraison manquante",IF(R1318&lt;B1318,"Livraison avant la commande",IF(AND(N(T1318)&gt;0,N(S1318)=0),"Date d'envoi manquante",IF(N(T1318)&gt;N(H1318),"Reçu plus que commandé",IF(AND(N(T1318)&gt;0,N(U1318)=0),"Date de réception manquante",IF(AND(N(U1318)&gt;0,U1318&lt;B1318),"Réception avant la commande","OK")))))))))))))))))))))</f>
        <v/>
      </c>
      <c r="AA1318" s="66" t="str">
        <f>IF(AND(X1318="Reçu",ISNUMBER(R1318)),IF(N(U1318)&lt;=R1318,1,0),"")</f>
        <v/>
      </c>
      <c r="AB1318" s="76" t="str">
        <f>IF(OR(X1318="Envoyé",X1318="Partiel",X1318="En retard"),IF(ISNUMBER(R1318),R1318,100000)+ROW()/100000,"")</f>
        <v/>
      </c>
      <c r="AC1318" s="66" t="str">
        <f>IF(A1318="","",IF(COUNTIF($A$6:A1318,A1318)=1,1,""))</f>
        <v/>
      </c>
      <c r="AD1318" s="66" t="str">
        <f>IF(AC1318=1,COUNT($AC$6:AC1318),"")</f>
        <v/>
      </c>
      <c r="AE1318" s="66" t="str">
        <f>IFERROR(INDEX(po_num,MATCH(1313,po_seq,0))&amp;"","")</f>
        <v/>
      </c>
      <c r="AF1318" s="66" t="str">
        <f>IF(OR(A1318="",p_po=""),"",IF(A1318&amp;""=p_po,COUNTIF($A$6:A1318,A1318),""))</f>
        <v/>
      </c>
      <c r="AG1318" s="66" t="str">
        <f>IF(OR(AB1318="",A1318=""),"",IF(COUNTIFS($A$6:A1318,A1318,$AB$6:AB1318,"&gt;0")=1,1,""))</f>
        <v/>
      </c>
      <c r="AH1318" s="70" t="str">
        <f>IF(AB1318="","",ROUND(N(W1318)*N(J1318)*(1-N(K1318)),2))</f>
        <v/>
      </c>
      <c r="AI1318" s="70" t="str">
        <f>IF(OR(J1318="",N(T1318)&lt;=0,V1318="Oui"),"",ROUND(N(T1318)*J1318*(1-N(K1318)),2))</f>
        <v/>
      </c>
    </row>
    <row r="1319">
      <c r="A1319" s="63" t="n"/>
      <c r="B1319" s="64" t="n"/>
      <c r="C1319" s="65" t="n"/>
      <c r="D1319" s="66" t="str">
        <f>IF(C1319="","",IFERROR(INDEX(sup_name,MATCH($C1319,sup_code,0))&amp;"","Fournisseur inconnu"))</f>
        <v/>
      </c>
      <c r="E1319" s="63" t="n"/>
      <c r="F1319" s="66" t="str">
        <f>IF(E1319="","",IFERROR(INDEX(art_des,MATCH($E1319,art_ref,0))&amp;"","Article inconnu"))</f>
        <v/>
      </c>
      <c r="G1319" s="67" t="str">
        <f>IF(E1319="","",IFERROR(INDEX(art_unit,MATCH($E1319,art_ref,0))&amp;"",""))</f>
        <v/>
      </c>
      <c r="H1319" s="68" t="n"/>
      <c r="I1319" s="69" t="n"/>
      <c r="J1319" s="70" t="str">
        <f>IF(E1319="","",IF(ISNUMBER(I1319),I1319,IFERROR(IF(ISNUMBER(INDEX(art_price,MATCH($E1319,art_ref,0))),INDEX(art_price,MATCH($E1319,art_ref,0)),""),"")))</f>
        <v/>
      </c>
      <c r="K1319" s="71" t="n"/>
      <c r="L1319" s="72" t="n"/>
      <c r="M1319" s="72" t="str">
        <f>IF(E1319="","",IF(L1319&lt;&gt;"",L1319,IFERROR(IF(ISNUMBER(INDEX(art_tva,MATCH($E1319,art_ref,0))),INDEX(art_tva,MATCH($E1319,art_ref,0)),""),"")))</f>
        <v/>
      </c>
      <c r="N1319" s="70" t="str">
        <f>IF(OR(E1319="",J1319=""),"",ROUND(N(H1319)*J1319*(1-N(K1319)),2))</f>
        <v/>
      </c>
      <c r="O1319" s="70" t="str">
        <f>IF(OR(N1319="",NOT(ISNUMBER(M1319))),"",ROUND(N1319*M1319,2))</f>
        <v/>
      </c>
      <c r="P1319" s="70" t="str">
        <f>IF(N1319="","",N1319+N(O1319))</f>
        <v/>
      </c>
      <c r="Q1319" s="64" t="n"/>
      <c r="R1319" s="73" t="str">
        <f>IF(N(Q1319)&gt;0,Q1319,IF(OR(N(B1319)=0,ISNA(MATCH($C1319,sup_code,0))),"",IF(ISNUMBER(INDEX(sup_delay,MATCH($C1319,sup_code,0))),B1319+INDEX(sup_delay,MATCH($C1319,sup_code,0)),"")))</f>
        <v/>
      </c>
      <c r="S1319" s="64" t="n"/>
      <c r="T1319" s="68" t="n"/>
      <c r="U1319" s="64" t="n"/>
      <c r="V1319" s="65" t="n"/>
      <c r="W1319" s="74" t="str">
        <f>IF(AND(A1319="",E1319=""),"",IF(V1319="Oui",0,MAX(0,ROUND(N(H1319)-N(T1319),6))))</f>
        <v/>
      </c>
      <c r="X1319" s="67" t="str">
        <f>IF(AND(A1319="",E1319=""),"",IF(V1319="Oui","Annulé",IF(AND(N(H1319)&gt;0,N(T1319)&gt;=N(H1319)),"Reçu",IF(N(S1319)=0,"Brouillon",IF(AND(ISNUMBER(R1319),R1319&lt;p_today),"En retard",IF(N(T1319)&gt;0,"Partiel","Envoyé"))))))</f>
        <v/>
      </c>
      <c r="Y1319" s="75" t="str">
        <f>IF(X1319="En retard",p_today-R1319,IF(AND(X1319="Reçu",ISNUMBER(R1319)),MAX(0,N(U1319)-R1319),""))</f>
        <v/>
      </c>
      <c r="Z1319" s="67" t="str">
        <f>IF(AND(A1319="",E1319=""),"",IF(A1319="","N° de bon manquant",IF(N(B1319)=0,"Date de commande manquante",IF(C1319="","Fournisseur manquant",IF(ISNA(MATCH($C1319,sup_code,0)),"Fournisseur inconnu",IF(E1319="","Article manquant",IF(ISNA(MATCH($E1319,art_ref,0)),"Article inconnu",IF(N(H1319)&lt;=0,"Quantité invalide",IF(J1319="","Prix manquant",IF(OR(N(K1319)&lt;0,N(K1319)&gt;=1),"Remise invalide",IF(M1319="","TVA manquante",IF(ISNA(MATCH(M1319,p_tva,0)),"Taux de TVA inconnu",IF(COUNTIFS(po_num,A1319,po_sup,"&lt;&gt;"&amp;C1319)&gt;0,"Fournisseur différent sur ce bon",IF(COUNTIFS(po_num,A1319,po_date,"&lt;&gt;"&amp;B1319)&gt;0,"Date différente sur ce bon",IF(COUNTIF(po_num,A1319)&gt;25,"Plus de 25 lignes sur ce bon",IF(R1319="","Date de livraison manquante",IF(R1319&lt;B1319,"Livraison avant la commande",IF(AND(N(T1319)&gt;0,N(S1319)=0),"Date d'envoi manquante",IF(N(T1319)&gt;N(H1319),"Reçu plus que commandé",IF(AND(N(T1319)&gt;0,N(U1319)=0),"Date de réception manquante",IF(AND(N(U1319)&gt;0,U1319&lt;B1319),"Réception avant la commande","OK")))))))))))))))))))))</f>
        <v/>
      </c>
      <c r="AA1319" s="66" t="str">
        <f>IF(AND(X1319="Reçu",ISNUMBER(R1319)),IF(N(U1319)&lt;=R1319,1,0),"")</f>
        <v/>
      </c>
      <c r="AB1319" s="76" t="str">
        <f>IF(OR(X1319="Envoyé",X1319="Partiel",X1319="En retard"),IF(ISNUMBER(R1319),R1319,100000)+ROW()/100000,"")</f>
        <v/>
      </c>
      <c r="AC1319" s="66" t="str">
        <f>IF(A1319="","",IF(COUNTIF($A$6:A1319,A1319)=1,1,""))</f>
        <v/>
      </c>
      <c r="AD1319" s="66" t="str">
        <f>IF(AC1319=1,COUNT($AC$6:AC1319),"")</f>
        <v/>
      </c>
      <c r="AE1319" s="66" t="str">
        <f>IFERROR(INDEX(po_num,MATCH(1314,po_seq,0))&amp;"","")</f>
        <v/>
      </c>
      <c r="AF1319" s="66" t="str">
        <f>IF(OR(A1319="",p_po=""),"",IF(A1319&amp;""=p_po,COUNTIF($A$6:A1319,A1319),""))</f>
        <v/>
      </c>
      <c r="AG1319" s="66" t="str">
        <f>IF(OR(AB1319="",A1319=""),"",IF(COUNTIFS($A$6:A1319,A1319,$AB$6:AB1319,"&gt;0")=1,1,""))</f>
        <v/>
      </c>
      <c r="AH1319" s="70" t="str">
        <f>IF(AB1319="","",ROUND(N(W1319)*N(J1319)*(1-N(K1319)),2))</f>
        <v/>
      </c>
      <c r="AI1319" s="70" t="str">
        <f>IF(OR(J1319="",N(T1319)&lt;=0,V1319="Oui"),"",ROUND(N(T1319)*J1319*(1-N(K1319)),2))</f>
        <v/>
      </c>
    </row>
    <row r="1320">
      <c r="A1320" s="63" t="n"/>
      <c r="B1320" s="64" t="n"/>
      <c r="C1320" s="65" t="n"/>
      <c r="D1320" s="66" t="str">
        <f>IF(C1320="","",IFERROR(INDEX(sup_name,MATCH($C1320,sup_code,0))&amp;"","Fournisseur inconnu"))</f>
        <v/>
      </c>
      <c r="E1320" s="63" t="n"/>
      <c r="F1320" s="66" t="str">
        <f>IF(E1320="","",IFERROR(INDEX(art_des,MATCH($E1320,art_ref,0))&amp;"","Article inconnu"))</f>
        <v/>
      </c>
      <c r="G1320" s="67" t="str">
        <f>IF(E1320="","",IFERROR(INDEX(art_unit,MATCH($E1320,art_ref,0))&amp;"",""))</f>
        <v/>
      </c>
      <c r="H1320" s="68" t="n"/>
      <c r="I1320" s="69" t="n"/>
      <c r="J1320" s="70" t="str">
        <f>IF(E1320="","",IF(ISNUMBER(I1320),I1320,IFERROR(IF(ISNUMBER(INDEX(art_price,MATCH($E1320,art_ref,0))),INDEX(art_price,MATCH($E1320,art_ref,0)),""),"")))</f>
        <v/>
      </c>
      <c r="K1320" s="71" t="n"/>
      <c r="L1320" s="72" t="n"/>
      <c r="M1320" s="72" t="str">
        <f>IF(E1320="","",IF(L1320&lt;&gt;"",L1320,IFERROR(IF(ISNUMBER(INDEX(art_tva,MATCH($E1320,art_ref,0))),INDEX(art_tva,MATCH($E1320,art_ref,0)),""),"")))</f>
        <v/>
      </c>
      <c r="N1320" s="70" t="str">
        <f>IF(OR(E1320="",J1320=""),"",ROUND(N(H1320)*J1320*(1-N(K1320)),2))</f>
        <v/>
      </c>
      <c r="O1320" s="70" t="str">
        <f>IF(OR(N1320="",NOT(ISNUMBER(M1320))),"",ROUND(N1320*M1320,2))</f>
        <v/>
      </c>
      <c r="P1320" s="70" t="str">
        <f>IF(N1320="","",N1320+N(O1320))</f>
        <v/>
      </c>
      <c r="Q1320" s="64" t="n"/>
      <c r="R1320" s="73" t="str">
        <f>IF(N(Q1320)&gt;0,Q1320,IF(OR(N(B1320)=0,ISNA(MATCH($C1320,sup_code,0))),"",IF(ISNUMBER(INDEX(sup_delay,MATCH($C1320,sup_code,0))),B1320+INDEX(sup_delay,MATCH($C1320,sup_code,0)),"")))</f>
        <v/>
      </c>
      <c r="S1320" s="64" t="n"/>
      <c r="T1320" s="68" t="n"/>
      <c r="U1320" s="64" t="n"/>
      <c r="V1320" s="65" t="n"/>
      <c r="W1320" s="74" t="str">
        <f>IF(AND(A1320="",E1320=""),"",IF(V1320="Oui",0,MAX(0,ROUND(N(H1320)-N(T1320),6))))</f>
        <v/>
      </c>
      <c r="X1320" s="67" t="str">
        <f>IF(AND(A1320="",E1320=""),"",IF(V1320="Oui","Annulé",IF(AND(N(H1320)&gt;0,N(T1320)&gt;=N(H1320)),"Reçu",IF(N(S1320)=0,"Brouillon",IF(AND(ISNUMBER(R1320),R1320&lt;p_today),"En retard",IF(N(T1320)&gt;0,"Partiel","Envoyé"))))))</f>
        <v/>
      </c>
      <c r="Y1320" s="75" t="str">
        <f>IF(X1320="En retard",p_today-R1320,IF(AND(X1320="Reçu",ISNUMBER(R1320)),MAX(0,N(U1320)-R1320),""))</f>
        <v/>
      </c>
      <c r="Z1320" s="67" t="str">
        <f>IF(AND(A1320="",E1320=""),"",IF(A1320="","N° de bon manquant",IF(N(B1320)=0,"Date de commande manquante",IF(C1320="","Fournisseur manquant",IF(ISNA(MATCH($C1320,sup_code,0)),"Fournisseur inconnu",IF(E1320="","Article manquant",IF(ISNA(MATCH($E1320,art_ref,0)),"Article inconnu",IF(N(H1320)&lt;=0,"Quantité invalide",IF(J1320="","Prix manquant",IF(OR(N(K1320)&lt;0,N(K1320)&gt;=1),"Remise invalide",IF(M1320="","TVA manquante",IF(ISNA(MATCH(M1320,p_tva,0)),"Taux de TVA inconnu",IF(COUNTIFS(po_num,A1320,po_sup,"&lt;&gt;"&amp;C1320)&gt;0,"Fournisseur différent sur ce bon",IF(COUNTIFS(po_num,A1320,po_date,"&lt;&gt;"&amp;B1320)&gt;0,"Date différente sur ce bon",IF(COUNTIF(po_num,A1320)&gt;25,"Plus de 25 lignes sur ce bon",IF(R1320="","Date de livraison manquante",IF(R1320&lt;B1320,"Livraison avant la commande",IF(AND(N(T1320)&gt;0,N(S1320)=0),"Date d'envoi manquante",IF(N(T1320)&gt;N(H1320),"Reçu plus que commandé",IF(AND(N(T1320)&gt;0,N(U1320)=0),"Date de réception manquante",IF(AND(N(U1320)&gt;0,U1320&lt;B1320),"Réception avant la commande","OK")))))))))))))))))))))</f>
        <v/>
      </c>
      <c r="AA1320" s="66" t="str">
        <f>IF(AND(X1320="Reçu",ISNUMBER(R1320)),IF(N(U1320)&lt;=R1320,1,0),"")</f>
        <v/>
      </c>
      <c r="AB1320" s="76" t="str">
        <f>IF(OR(X1320="Envoyé",X1320="Partiel",X1320="En retard"),IF(ISNUMBER(R1320),R1320,100000)+ROW()/100000,"")</f>
        <v/>
      </c>
      <c r="AC1320" s="66" t="str">
        <f>IF(A1320="","",IF(COUNTIF($A$6:A1320,A1320)=1,1,""))</f>
        <v/>
      </c>
      <c r="AD1320" s="66" t="str">
        <f>IF(AC1320=1,COUNT($AC$6:AC1320),"")</f>
        <v/>
      </c>
      <c r="AE1320" s="66" t="str">
        <f>IFERROR(INDEX(po_num,MATCH(1315,po_seq,0))&amp;"","")</f>
        <v/>
      </c>
      <c r="AF1320" s="66" t="str">
        <f>IF(OR(A1320="",p_po=""),"",IF(A1320&amp;""=p_po,COUNTIF($A$6:A1320,A1320),""))</f>
        <v/>
      </c>
      <c r="AG1320" s="66" t="str">
        <f>IF(OR(AB1320="",A1320=""),"",IF(COUNTIFS($A$6:A1320,A1320,$AB$6:AB1320,"&gt;0")=1,1,""))</f>
        <v/>
      </c>
      <c r="AH1320" s="70" t="str">
        <f>IF(AB1320="","",ROUND(N(W1320)*N(J1320)*(1-N(K1320)),2))</f>
        <v/>
      </c>
      <c r="AI1320" s="70" t="str">
        <f>IF(OR(J1320="",N(T1320)&lt;=0,V1320="Oui"),"",ROUND(N(T1320)*J1320*(1-N(K1320)),2))</f>
        <v/>
      </c>
    </row>
    <row r="1321">
      <c r="A1321" s="63" t="n"/>
      <c r="B1321" s="64" t="n"/>
      <c r="C1321" s="65" t="n"/>
      <c r="D1321" s="66" t="str">
        <f>IF(C1321="","",IFERROR(INDEX(sup_name,MATCH($C1321,sup_code,0))&amp;"","Fournisseur inconnu"))</f>
        <v/>
      </c>
      <c r="E1321" s="63" t="n"/>
      <c r="F1321" s="66" t="str">
        <f>IF(E1321="","",IFERROR(INDEX(art_des,MATCH($E1321,art_ref,0))&amp;"","Article inconnu"))</f>
        <v/>
      </c>
      <c r="G1321" s="67" t="str">
        <f>IF(E1321="","",IFERROR(INDEX(art_unit,MATCH($E1321,art_ref,0))&amp;"",""))</f>
        <v/>
      </c>
      <c r="H1321" s="68" t="n"/>
      <c r="I1321" s="69" t="n"/>
      <c r="J1321" s="70" t="str">
        <f>IF(E1321="","",IF(ISNUMBER(I1321),I1321,IFERROR(IF(ISNUMBER(INDEX(art_price,MATCH($E1321,art_ref,0))),INDEX(art_price,MATCH($E1321,art_ref,0)),""),"")))</f>
        <v/>
      </c>
      <c r="K1321" s="71" t="n"/>
      <c r="L1321" s="72" t="n"/>
      <c r="M1321" s="72" t="str">
        <f>IF(E1321="","",IF(L1321&lt;&gt;"",L1321,IFERROR(IF(ISNUMBER(INDEX(art_tva,MATCH($E1321,art_ref,0))),INDEX(art_tva,MATCH($E1321,art_ref,0)),""),"")))</f>
        <v/>
      </c>
      <c r="N1321" s="70" t="str">
        <f>IF(OR(E1321="",J1321=""),"",ROUND(N(H1321)*J1321*(1-N(K1321)),2))</f>
        <v/>
      </c>
      <c r="O1321" s="70" t="str">
        <f>IF(OR(N1321="",NOT(ISNUMBER(M1321))),"",ROUND(N1321*M1321,2))</f>
        <v/>
      </c>
      <c r="P1321" s="70" t="str">
        <f>IF(N1321="","",N1321+N(O1321))</f>
        <v/>
      </c>
      <c r="Q1321" s="64" t="n"/>
      <c r="R1321" s="73" t="str">
        <f>IF(N(Q1321)&gt;0,Q1321,IF(OR(N(B1321)=0,ISNA(MATCH($C1321,sup_code,0))),"",IF(ISNUMBER(INDEX(sup_delay,MATCH($C1321,sup_code,0))),B1321+INDEX(sup_delay,MATCH($C1321,sup_code,0)),"")))</f>
        <v/>
      </c>
      <c r="S1321" s="64" t="n"/>
      <c r="T1321" s="68" t="n"/>
      <c r="U1321" s="64" t="n"/>
      <c r="V1321" s="65" t="n"/>
      <c r="W1321" s="74" t="str">
        <f>IF(AND(A1321="",E1321=""),"",IF(V1321="Oui",0,MAX(0,ROUND(N(H1321)-N(T1321),6))))</f>
        <v/>
      </c>
      <c r="X1321" s="67" t="str">
        <f>IF(AND(A1321="",E1321=""),"",IF(V1321="Oui","Annulé",IF(AND(N(H1321)&gt;0,N(T1321)&gt;=N(H1321)),"Reçu",IF(N(S1321)=0,"Brouillon",IF(AND(ISNUMBER(R1321),R1321&lt;p_today),"En retard",IF(N(T1321)&gt;0,"Partiel","Envoyé"))))))</f>
        <v/>
      </c>
      <c r="Y1321" s="75" t="str">
        <f>IF(X1321="En retard",p_today-R1321,IF(AND(X1321="Reçu",ISNUMBER(R1321)),MAX(0,N(U1321)-R1321),""))</f>
        <v/>
      </c>
      <c r="Z1321" s="67" t="str">
        <f>IF(AND(A1321="",E1321=""),"",IF(A1321="","N° de bon manquant",IF(N(B1321)=0,"Date de commande manquante",IF(C1321="","Fournisseur manquant",IF(ISNA(MATCH($C1321,sup_code,0)),"Fournisseur inconnu",IF(E1321="","Article manquant",IF(ISNA(MATCH($E1321,art_ref,0)),"Article inconnu",IF(N(H1321)&lt;=0,"Quantité invalide",IF(J1321="","Prix manquant",IF(OR(N(K1321)&lt;0,N(K1321)&gt;=1),"Remise invalide",IF(M1321="","TVA manquante",IF(ISNA(MATCH(M1321,p_tva,0)),"Taux de TVA inconnu",IF(COUNTIFS(po_num,A1321,po_sup,"&lt;&gt;"&amp;C1321)&gt;0,"Fournisseur différent sur ce bon",IF(COUNTIFS(po_num,A1321,po_date,"&lt;&gt;"&amp;B1321)&gt;0,"Date différente sur ce bon",IF(COUNTIF(po_num,A1321)&gt;25,"Plus de 25 lignes sur ce bon",IF(R1321="","Date de livraison manquante",IF(R1321&lt;B1321,"Livraison avant la commande",IF(AND(N(T1321)&gt;0,N(S1321)=0),"Date d'envoi manquante",IF(N(T1321)&gt;N(H1321),"Reçu plus que commandé",IF(AND(N(T1321)&gt;0,N(U1321)=0),"Date de réception manquante",IF(AND(N(U1321)&gt;0,U1321&lt;B1321),"Réception avant la commande","OK")))))))))))))))))))))</f>
        <v/>
      </c>
      <c r="AA1321" s="66" t="str">
        <f>IF(AND(X1321="Reçu",ISNUMBER(R1321)),IF(N(U1321)&lt;=R1321,1,0),"")</f>
        <v/>
      </c>
      <c r="AB1321" s="76" t="str">
        <f>IF(OR(X1321="Envoyé",X1321="Partiel",X1321="En retard"),IF(ISNUMBER(R1321),R1321,100000)+ROW()/100000,"")</f>
        <v/>
      </c>
      <c r="AC1321" s="66" t="str">
        <f>IF(A1321="","",IF(COUNTIF($A$6:A1321,A1321)=1,1,""))</f>
        <v/>
      </c>
      <c r="AD1321" s="66" t="str">
        <f>IF(AC1321=1,COUNT($AC$6:AC1321),"")</f>
        <v/>
      </c>
      <c r="AE1321" s="66" t="str">
        <f>IFERROR(INDEX(po_num,MATCH(1316,po_seq,0))&amp;"","")</f>
        <v/>
      </c>
      <c r="AF1321" s="66" t="str">
        <f>IF(OR(A1321="",p_po=""),"",IF(A1321&amp;""=p_po,COUNTIF($A$6:A1321,A1321),""))</f>
        <v/>
      </c>
      <c r="AG1321" s="66" t="str">
        <f>IF(OR(AB1321="",A1321=""),"",IF(COUNTIFS($A$6:A1321,A1321,$AB$6:AB1321,"&gt;0")=1,1,""))</f>
        <v/>
      </c>
      <c r="AH1321" s="70" t="str">
        <f>IF(AB1321="","",ROUND(N(W1321)*N(J1321)*(1-N(K1321)),2))</f>
        <v/>
      </c>
      <c r="AI1321" s="70" t="str">
        <f>IF(OR(J1321="",N(T1321)&lt;=0,V1321="Oui"),"",ROUND(N(T1321)*J1321*(1-N(K1321)),2))</f>
        <v/>
      </c>
    </row>
    <row r="1322">
      <c r="A1322" s="63" t="n"/>
      <c r="B1322" s="64" t="n"/>
      <c r="C1322" s="65" t="n"/>
      <c r="D1322" s="66" t="str">
        <f>IF(C1322="","",IFERROR(INDEX(sup_name,MATCH($C1322,sup_code,0))&amp;"","Fournisseur inconnu"))</f>
        <v/>
      </c>
      <c r="E1322" s="63" t="n"/>
      <c r="F1322" s="66" t="str">
        <f>IF(E1322="","",IFERROR(INDEX(art_des,MATCH($E1322,art_ref,0))&amp;"","Article inconnu"))</f>
        <v/>
      </c>
      <c r="G1322" s="67" t="str">
        <f>IF(E1322="","",IFERROR(INDEX(art_unit,MATCH($E1322,art_ref,0))&amp;"",""))</f>
        <v/>
      </c>
      <c r="H1322" s="68" t="n"/>
      <c r="I1322" s="69" t="n"/>
      <c r="J1322" s="70" t="str">
        <f>IF(E1322="","",IF(ISNUMBER(I1322),I1322,IFERROR(IF(ISNUMBER(INDEX(art_price,MATCH($E1322,art_ref,0))),INDEX(art_price,MATCH($E1322,art_ref,0)),""),"")))</f>
        <v/>
      </c>
      <c r="K1322" s="71" t="n"/>
      <c r="L1322" s="72" t="n"/>
      <c r="M1322" s="72" t="str">
        <f>IF(E1322="","",IF(L1322&lt;&gt;"",L1322,IFERROR(IF(ISNUMBER(INDEX(art_tva,MATCH($E1322,art_ref,0))),INDEX(art_tva,MATCH($E1322,art_ref,0)),""),"")))</f>
        <v/>
      </c>
      <c r="N1322" s="70" t="str">
        <f>IF(OR(E1322="",J1322=""),"",ROUND(N(H1322)*J1322*(1-N(K1322)),2))</f>
        <v/>
      </c>
      <c r="O1322" s="70" t="str">
        <f>IF(OR(N1322="",NOT(ISNUMBER(M1322))),"",ROUND(N1322*M1322,2))</f>
        <v/>
      </c>
      <c r="P1322" s="70" t="str">
        <f>IF(N1322="","",N1322+N(O1322))</f>
        <v/>
      </c>
      <c r="Q1322" s="64" t="n"/>
      <c r="R1322" s="73" t="str">
        <f>IF(N(Q1322)&gt;0,Q1322,IF(OR(N(B1322)=0,ISNA(MATCH($C1322,sup_code,0))),"",IF(ISNUMBER(INDEX(sup_delay,MATCH($C1322,sup_code,0))),B1322+INDEX(sup_delay,MATCH($C1322,sup_code,0)),"")))</f>
        <v/>
      </c>
      <c r="S1322" s="64" t="n"/>
      <c r="T1322" s="68" t="n"/>
      <c r="U1322" s="64" t="n"/>
      <c r="V1322" s="65" t="n"/>
      <c r="W1322" s="74" t="str">
        <f>IF(AND(A1322="",E1322=""),"",IF(V1322="Oui",0,MAX(0,ROUND(N(H1322)-N(T1322),6))))</f>
        <v/>
      </c>
      <c r="X1322" s="67" t="str">
        <f>IF(AND(A1322="",E1322=""),"",IF(V1322="Oui","Annulé",IF(AND(N(H1322)&gt;0,N(T1322)&gt;=N(H1322)),"Reçu",IF(N(S1322)=0,"Brouillon",IF(AND(ISNUMBER(R1322),R1322&lt;p_today),"En retard",IF(N(T1322)&gt;0,"Partiel","Envoyé"))))))</f>
        <v/>
      </c>
      <c r="Y1322" s="75" t="str">
        <f>IF(X1322="En retard",p_today-R1322,IF(AND(X1322="Reçu",ISNUMBER(R1322)),MAX(0,N(U1322)-R1322),""))</f>
        <v/>
      </c>
      <c r="Z1322" s="67" t="str">
        <f>IF(AND(A1322="",E1322=""),"",IF(A1322="","N° de bon manquant",IF(N(B1322)=0,"Date de commande manquante",IF(C1322="","Fournisseur manquant",IF(ISNA(MATCH($C1322,sup_code,0)),"Fournisseur inconnu",IF(E1322="","Article manquant",IF(ISNA(MATCH($E1322,art_ref,0)),"Article inconnu",IF(N(H1322)&lt;=0,"Quantité invalide",IF(J1322="","Prix manquant",IF(OR(N(K1322)&lt;0,N(K1322)&gt;=1),"Remise invalide",IF(M1322="","TVA manquante",IF(ISNA(MATCH(M1322,p_tva,0)),"Taux de TVA inconnu",IF(COUNTIFS(po_num,A1322,po_sup,"&lt;&gt;"&amp;C1322)&gt;0,"Fournisseur différent sur ce bon",IF(COUNTIFS(po_num,A1322,po_date,"&lt;&gt;"&amp;B1322)&gt;0,"Date différente sur ce bon",IF(COUNTIF(po_num,A1322)&gt;25,"Plus de 25 lignes sur ce bon",IF(R1322="","Date de livraison manquante",IF(R1322&lt;B1322,"Livraison avant la commande",IF(AND(N(T1322)&gt;0,N(S1322)=0),"Date d'envoi manquante",IF(N(T1322)&gt;N(H1322),"Reçu plus que commandé",IF(AND(N(T1322)&gt;0,N(U1322)=0),"Date de réception manquante",IF(AND(N(U1322)&gt;0,U1322&lt;B1322),"Réception avant la commande","OK")))))))))))))))))))))</f>
        <v/>
      </c>
      <c r="AA1322" s="66" t="str">
        <f>IF(AND(X1322="Reçu",ISNUMBER(R1322)),IF(N(U1322)&lt;=R1322,1,0),"")</f>
        <v/>
      </c>
      <c r="AB1322" s="76" t="str">
        <f>IF(OR(X1322="Envoyé",X1322="Partiel",X1322="En retard"),IF(ISNUMBER(R1322),R1322,100000)+ROW()/100000,"")</f>
        <v/>
      </c>
      <c r="AC1322" s="66" t="str">
        <f>IF(A1322="","",IF(COUNTIF($A$6:A1322,A1322)=1,1,""))</f>
        <v/>
      </c>
      <c r="AD1322" s="66" t="str">
        <f>IF(AC1322=1,COUNT($AC$6:AC1322),"")</f>
        <v/>
      </c>
      <c r="AE1322" s="66" t="str">
        <f>IFERROR(INDEX(po_num,MATCH(1317,po_seq,0))&amp;"","")</f>
        <v/>
      </c>
      <c r="AF1322" s="66" t="str">
        <f>IF(OR(A1322="",p_po=""),"",IF(A1322&amp;""=p_po,COUNTIF($A$6:A1322,A1322),""))</f>
        <v/>
      </c>
      <c r="AG1322" s="66" t="str">
        <f>IF(OR(AB1322="",A1322=""),"",IF(COUNTIFS($A$6:A1322,A1322,$AB$6:AB1322,"&gt;0")=1,1,""))</f>
        <v/>
      </c>
      <c r="AH1322" s="70" t="str">
        <f>IF(AB1322="","",ROUND(N(W1322)*N(J1322)*(1-N(K1322)),2))</f>
        <v/>
      </c>
      <c r="AI1322" s="70" t="str">
        <f>IF(OR(J1322="",N(T1322)&lt;=0,V1322="Oui"),"",ROUND(N(T1322)*J1322*(1-N(K1322)),2))</f>
        <v/>
      </c>
    </row>
    <row r="1323">
      <c r="A1323" s="63" t="n"/>
      <c r="B1323" s="64" t="n"/>
      <c r="C1323" s="65" t="n"/>
      <c r="D1323" s="66" t="str">
        <f>IF(C1323="","",IFERROR(INDEX(sup_name,MATCH($C1323,sup_code,0))&amp;"","Fournisseur inconnu"))</f>
        <v/>
      </c>
      <c r="E1323" s="63" t="n"/>
      <c r="F1323" s="66" t="str">
        <f>IF(E1323="","",IFERROR(INDEX(art_des,MATCH($E1323,art_ref,0))&amp;"","Article inconnu"))</f>
        <v/>
      </c>
      <c r="G1323" s="67" t="str">
        <f>IF(E1323="","",IFERROR(INDEX(art_unit,MATCH($E1323,art_ref,0))&amp;"",""))</f>
        <v/>
      </c>
      <c r="H1323" s="68" t="n"/>
      <c r="I1323" s="69" t="n"/>
      <c r="J1323" s="70" t="str">
        <f>IF(E1323="","",IF(ISNUMBER(I1323),I1323,IFERROR(IF(ISNUMBER(INDEX(art_price,MATCH($E1323,art_ref,0))),INDEX(art_price,MATCH($E1323,art_ref,0)),""),"")))</f>
        <v/>
      </c>
      <c r="K1323" s="71" t="n"/>
      <c r="L1323" s="72" t="n"/>
      <c r="M1323" s="72" t="str">
        <f>IF(E1323="","",IF(L1323&lt;&gt;"",L1323,IFERROR(IF(ISNUMBER(INDEX(art_tva,MATCH($E1323,art_ref,0))),INDEX(art_tva,MATCH($E1323,art_ref,0)),""),"")))</f>
        <v/>
      </c>
      <c r="N1323" s="70" t="str">
        <f>IF(OR(E1323="",J1323=""),"",ROUND(N(H1323)*J1323*(1-N(K1323)),2))</f>
        <v/>
      </c>
      <c r="O1323" s="70" t="str">
        <f>IF(OR(N1323="",NOT(ISNUMBER(M1323))),"",ROUND(N1323*M1323,2))</f>
        <v/>
      </c>
      <c r="P1323" s="70" t="str">
        <f>IF(N1323="","",N1323+N(O1323))</f>
        <v/>
      </c>
      <c r="Q1323" s="64" t="n"/>
      <c r="R1323" s="73" t="str">
        <f>IF(N(Q1323)&gt;0,Q1323,IF(OR(N(B1323)=0,ISNA(MATCH($C1323,sup_code,0))),"",IF(ISNUMBER(INDEX(sup_delay,MATCH($C1323,sup_code,0))),B1323+INDEX(sup_delay,MATCH($C1323,sup_code,0)),"")))</f>
        <v/>
      </c>
      <c r="S1323" s="64" t="n"/>
      <c r="T1323" s="68" t="n"/>
      <c r="U1323" s="64" t="n"/>
      <c r="V1323" s="65" t="n"/>
      <c r="W1323" s="74" t="str">
        <f>IF(AND(A1323="",E1323=""),"",IF(V1323="Oui",0,MAX(0,ROUND(N(H1323)-N(T1323),6))))</f>
        <v/>
      </c>
      <c r="X1323" s="67" t="str">
        <f>IF(AND(A1323="",E1323=""),"",IF(V1323="Oui","Annulé",IF(AND(N(H1323)&gt;0,N(T1323)&gt;=N(H1323)),"Reçu",IF(N(S1323)=0,"Brouillon",IF(AND(ISNUMBER(R1323),R1323&lt;p_today),"En retard",IF(N(T1323)&gt;0,"Partiel","Envoyé"))))))</f>
        <v/>
      </c>
      <c r="Y1323" s="75" t="str">
        <f>IF(X1323="En retard",p_today-R1323,IF(AND(X1323="Reçu",ISNUMBER(R1323)),MAX(0,N(U1323)-R1323),""))</f>
        <v/>
      </c>
      <c r="Z1323" s="67" t="str">
        <f>IF(AND(A1323="",E1323=""),"",IF(A1323="","N° de bon manquant",IF(N(B1323)=0,"Date de commande manquante",IF(C1323="","Fournisseur manquant",IF(ISNA(MATCH($C1323,sup_code,0)),"Fournisseur inconnu",IF(E1323="","Article manquant",IF(ISNA(MATCH($E1323,art_ref,0)),"Article inconnu",IF(N(H1323)&lt;=0,"Quantité invalide",IF(J1323="","Prix manquant",IF(OR(N(K1323)&lt;0,N(K1323)&gt;=1),"Remise invalide",IF(M1323="","TVA manquante",IF(ISNA(MATCH(M1323,p_tva,0)),"Taux de TVA inconnu",IF(COUNTIFS(po_num,A1323,po_sup,"&lt;&gt;"&amp;C1323)&gt;0,"Fournisseur différent sur ce bon",IF(COUNTIFS(po_num,A1323,po_date,"&lt;&gt;"&amp;B1323)&gt;0,"Date différente sur ce bon",IF(COUNTIF(po_num,A1323)&gt;25,"Plus de 25 lignes sur ce bon",IF(R1323="","Date de livraison manquante",IF(R1323&lt;B1323,"Livraison avant la commande",IF(AND(N(T1323)&gt;0,N(S1323)=0),"Date d'envoi manquante",IF(N(T1323)&gt;N(H1323),"Reçu plus que commandé",IF(AND(N(T1323)&gt;0,N(U1323)=0),"Date de réception manquante",IF(AND(N(U1323)&gt;0,U1323&lt;B1323),"Réception avant la commande","OK")))))))))))))))))))))</f>
        <v/>
      </c>
      <c r="AA1323" s="66" t="str">
        <f>IF(AND(X1323="Reçu",ISNUMBER(R1323)),IF(N(U1323)&lt;=R1323,1,0),"")</f>
        <v/>
      </c>
      <c r="AB1323" s="76" t="str">
        <f>IF(OR(X1323="Envoyé",X1323="Partiel",X1323="En retard"),IF(ISNUMBER(R1323),R1323,100000)+ROW()/100000,"")</f>
        <v/>
      </c>
      <c r="AC1323" s="66" t="str">
        <f>IF(A1323="","",IF(COUNTIF($A$6:A1323,A1323)=1,1,""))</f>
        <v/>
      </c>
      <c r="AD1323" s="66" t="str">
        <f>IF(AC1323=1,COUNT($AC$6:AC1323),"")</f>
        <v/>
      </c>
      <c r="AE1323" s="66" t="str">
        <f>IFERROR(INDEX(po_num,MATCH(1318,po_seq,0))&amp;"","")</f>
        <v/>
      </c>
      <c r="AF1323" s="66" t="str">
        <f>IF(OR(A1323="",p_po=""),"",IF(A1323&amp;""=p_po,COUNTIF($A$6:A1323,A1323),""))</f>
        <v/>
      </c>
      <c r="AG1323" s="66" t="str">
        <f>IF(OR(AB1323="",A1323=""),"",IF(COUNTIFS($A$6:A1323,A1323,$AB$6:AB1323,"&gt;0")=1,1,""))</f>
        <v/>
      </c>
      <c r="AH1323" s="70" t="str">
        <f>IF(AB1323="","",ROUND(N(W1323)*N(J1323)*(1-N(K1323)),2))</f>
        <v/>
      </c>
      <c r="AI1323" s="70" t="str">
        <f>IF(OR(J1323="",N(T1323)&lt;=0,V1323="Oui"),"",ROUND(N(T1323)*J1323*(1-N(K1323)),2))</f>
        <v/>
      </c>
    </row>
    <row r="1324">
      <c r="A1324" s="63" t="n"/>
      <c r="B1324" s="64" t="n"/>
      <c r="C1324" s="65" t="n"/>
      <c r="D1324" s="66" t="str">
        <f>IF(C1324="","",IFERROR(INDEX(sup_name,MATCH($C1324,sup_code,0))&amp;"","Fournisseur inconnu"))</f>
        <v/>
      </c>
      <c r="E1324" s="63" t="n"/>
      <c r="F1324" s="66" t="str">
        <f>IF(E1324="","",IFERROR(INDEX(art_des,MATCH($E1324,art_ref,0))&amp;"","Article inconnu"))</f>
        <v/>
      </c>
      <c r="G1324" s="67" t="str">
        <f>IF(E1324="","",IFERROR(INDEX(art_unit,MATCH($E1324,art_ref,0))&amp;"",""))</f>
        <v/>
      </c>
      <c r="H1324" s="68" t="n"/>
      <c r="I1324" s="69" t="n"/>
      <c r="J1324" s="70" t="str">
        <f>IF(E1324="","",IF(ISNUMBER(I1324),I1324,IFERROR(IF(ISNUMBER(INDEX(art_price,MATCH($E1324,art_ref,0))),INDEX(art_price,MATCH($E1324,art_ref,0)),""),"")))</f>
        <v/>
      </c>
      <c r="K1324" s="71" t="n"/>
      <c r="L1324" s="72" t="n"/>
      <c r="M1324" s="72" t="str">
        <f>IF(E1324="","",IF(L1324&lt;&gt;"",L1324,IFERROR(IF(ISNUMBER(INDEX(art_tva,MATCH($E1324,art_ref,0))),INDEX(art_tva,MATCH($E1324,art_ref,0)),""),"")))</f>
        <v/>
      </c>
      <c r="N1324" s="70" t="str">
        <f>IF(OR(E1324="",J1324=""),"",ROUND(N(H1324)*J1324*(1-N(K1324)),2))</f>
        <v/>
      </c>
      <c r="O1324" s="70" t="str">
        <f>IF(OR(N1324="",NOT(ISNUMBER(M1324))),"",ROUND(N1324*M1324,2))</f>
        <v/>
      </c>
      <c r="P1324" s="70" t="str">
        <f>IF(N1324="","",N1324+N(O1324))</f>
        <v/>
      </c>
      <c r="Q1324" s="64" t="n"/>
      <c r="R1324" s="73" t="str">
        <f>IF(N(Q1324)&gt;0,Q1324,IF(OR(N(B1324)=0,ISNA(MATCH($C1324,sup_code,0))),"",IF(ISNUMBER(INDEX(sup_delay,MATCH($C1324,sup_code,0))),B1324+INDEX(sup_delay,MATCH($C1324,sup_code,0)),"")))</f>
        <v/>
      </c>
      <c r="S1324" s="64" t="n"/>
      <c r="T1324" s="68" t="n"/>
      <c r="U1324" s="64" t="n"/>
      <c r="V1324" s="65" t="n"/>
      <c r="W1324" s="74" t="str">
        <f>IF(AND(A1324="",E1324=""),"",IF(V1324="Oui",0,MAX(0,ROUND(N(H1324)-N(T1324),6))))</f>
        <v/>
      </c>
      <c r="X1324" s="67" t="str">
        <f>IF(AND(A1324="",E1324=""),"",IF(V1324="Oui","Annulé",IF(AND(N(H1324)&gt;0,N(T1324)&gt;=N(H1324)),"Reçu",IF(N(S1324)=0,"Brouillon",IF(AND(ISNUMBER(R1324),R1324&lt;p_today),"En retard",IF(N(T1324)&gt;0,"Partiel","Envoyé"))))))</f>
        <v/>
      </c>
      <c r="Y1324" s="75" t="str">
        <f>IF(X1324="En retard",p_today-R1324,IF(AND(X1324="Reçu",ISNUMBER(R1324)),MAX(0,N(U1324)-R1324),""))</f>
        <v/>
      </c>
      <c r="Z1324" s="67" t="str">
        <f>IF(AND(A1324="",E1324=""),"",IF(A1324="","N° de bon manquant",IF(N(B1324)=0,"Date de commande manquante",IF(C1324="","Fournisseur manquant",IF(ISNA(MATCH($C1324,sup_code,0)),"Fournisseur inconnu",IF(E1324="","Article manquant",IF(ISNA(MATCH($E1324,art_ref,0)),"Article inconnu",IF(N(H1324)&lt;=0,"Quantité invalide",IF(J1324="","Prix manquant",IF(OR(N(K1324)&lt;0,N(K1324)&gt;=1),"Remise invalide",IF(M1324="","TVA manquante",IF(ISNA(MATCH(M1324,p_tva,0)),"Taux de TVA inconnu",IF(COUNTIFS(po_num,A1324,po_sup,"&lt;&gt;"&amp;C1324)&gt;0,"Fournisseur différent sur ce bon",IF(COUNTIFS(po_num,A1324,po_date,"&lt;&gt;"&amp;B1324)&gt;0,"Date différente sur ce bon",IF(COUNTIF(po_num,A1324)&gt;25,"Plus de 25 lignes sur ce bon",IF(R1324="","Date de livraison manquante",IF(R1324&lt;B1324,"Livraison avant la commande",IF(AND(N(T1324)&gt;0,N(S1324)=0),"Date d'envoi manquante",IF(N(T1324)&gt;N(H1324),"Reçu plus que commandé",IF(AND(N(T1324)&gt;0,N(U1324)=0),"Date de réception manquante",IF(AND(N(U1324)&gt;0,U1324&lt;B1324),"Réception avant la commande","OK")))))))))))))))))))))</f>
        <v/>
      </c>
      <c r="AA1324" s="66" t="str">
        <f>IF(AND(X1324="Reçu",ISNUMBER(R1324)),IF(N(U1324)&lt;=R1324,1,0),"")</f>
        <v/>
      </c>
      <c r="AB1324" s="76" t="str">
        <f>IF(OR(X1324="Envoyé",X1324="Partiel",X1324="En retard"),IF(ISNUMBER(R1324),R1324,100000)+ROW()/100000,"")</f>
        <v/>
      </c>
      <c r="AC1324" s="66" t="str">
        <f>IF(A1324="","",IF(COUNTIF($A$6:A1324,A1324)=1,1,""))</f>
        <v/>
      </c>
      <c r="AD1324" s="66" t="str">
        <f>IF(AC1324=1,COUNT($AC$6:AC1324),"")</f>
        <v/>
      </c>
      <c r="AE1324" s="66" t="str">
        <f>IFERROR(INDEX(po_num,MATCH(1319,po_seq,0))&amp;"","")</f>
        <v/>
      </c>
      <c r="AF1324" s="66" t="str">
        <f>IF(OR(A1324="",p_po=""),"",IF(A1324&amp;""=p_po,COUNTIF($A$6:A1324,A1324),""))</f>
        <v/>
      </c>
      <c r="AG1324" s="66" t="str">
        <f>IF(OR(AB1324="",A1324=""),"",IF(COUNTIFS($A$6:A1324,A1324,$AB$6:AB1324,"&gt;0")=1,1,""))</f>
        <v/>
      </c>
      <c r="AH1324" s="70" t="str">
        <f>IF(AB1324="","",ROUND(N(W1324)*N(J1324)*(1-N(K1324)),2))</f>
        <v/>
      </c>
      <c r="AI1324" s="70" t="str">
        <f>IF(OR(J1324="",N(T1324)&lt;=0,V1324="Oui"),"",ROUND(N(T1324)*J1324*(1-N(K1324)),2))</f>
        <v/>
      </c>
    </row>
    <row r="1325">
      <c r="A1325" s="63" t="n"/>
      <c r="B1325" s="64" t="n"/>
      <c r="C1325" s="65" t="n"/>
      <c r="D1325" s="66" t="str">
        <f>IF(C1325="","",IFERROR(INDEX(sup_name,MATCH($C1325,sup_code,0))&amp;"","Fournisseur inconnu"))</f>
        <v/>
      </c>
      <c r="E1325" s="63" t="n"/>
      <c r="F1325" s="66" t="str">
        <f>IF(E1325="","",IFERROR(INDEX(art_des,MATCH($E1325,art_ref,0))&amp;"","Article inconnu"))</f>
        <v/>
      </c>
      <c r="G1325" s="67" t="str">
        <f>IF(E1325="","",IFERROR(INDEX(art_unit,MATCH($E1325,art_ref,0))&amp;"",""))</f>
        <v/>
      </c>
      <c r="H1325" s="68" t="n"/>
      <c r="I1325" s="69" t="n"/>
      <c r="J1325" s="70" t="str">
        <f>IF(E1325="","",IF(ISNUMBER(I1325),I1325,IFERROR(IF(ISNUMBER(INDEX(art_price,MATCH($E1325,art_ref,0))),INDEX(art_price,MATCH($E1325,art_ref,0)),""),"")))</f>
        <v/>
      </c>
      <c r="K1325" s="71" t="n"/>
      <c r="L1325" s="72" t="n"/>
      <c r="M1325" s="72" t="str">
        <f>IF(E1325="","",IF(L1325&lt;&gt;"",L1325,IFERROR(IF(ISNUMBER(INDEX(art_tva,MATCH($E1325,art_ref,0))),INDEX(art_tva,MATCH($E1325,art_ref,0)),""),"")))</f>
        <v/>
      </c>
      <c r="N1325" s="70" t="str">
        <f>IF(OR(E1325="",J1325=""),"",ROUND(N(H1325)*J1325*(1-N(K1325)),2))</f>
        <v/>
      </c>
      <c r="O1325" s="70" t="str">
        <f>IF(OR(N1325="",NOT(ISNUMBER(M1325))),"",ROUND(N1325*M1325,2))</f>
        <v/>
      </c>
      <c r="P1325" s="70" t="str">
        <f>IF(N1325="","",N1325+N(O1325))</f>
        <v/>
      </c>
      <c r="Q1325" s="64" t="n"/>
      <c r="R1325" s="73" t="str">
        <f>IF(N(Q1325)&gt;0,Q1325,IF(OR(N(B1325)=0,ISNA(MATCH($C1325,sup_code,0))),"",IF(ISNUMBER(INDEX(sup_delay,MATCH($C1325,sup_code,0))),B1325+INDEX(sup_delay,MATCH($C1325,sup_code,0)),"")))</f>
        <v/>
      </c>
      <c r="S1325" s="64" t="n"/>
      <c r="T1325" s="68" t="n"/>
      <c r="U1325" s="64" t="n"/>
      <c r="V1325" s="65" t="n"/>
      <c r="W1325" s="74" t="str">
        <f>IF(AND(A1325="",E1325=""),"",IF(V1325="Oui",0,MAX(0,ROUND(N(H1325)-N(T1325),6))))</f>
        <v/>
      </c>
      <c r="X1325" s="67" t="str">
        <f>IF(AND(A1325="",E1325=""),"",IF(V1325="Oui","Annulé",IF(AND(N(H1325)&gt;0,N(T1325)&gt;=N(H1325)),"Reçu",IF(N(S1325)=0,"Brouillon",IF(AND(ISNUMBER(R1325),R1325&lt;p_today),"En retard",IF(N(T1325)&gt;0,"Partiel","Envoyé"))))))</f>
        <v/>
      </c>
      <c r="Y1325" s="75" t="str">
        <f>IF(X1325="En retard",p_today-R1325,IF(AND(X1325="Reçu",ISNUMBER(R1325)),MAX(0,N(U1325)-R1325),""))</f>
        <v/>
      </c>
      <c r="Z1325" s="67" t="str">
        <f>IF(AND(A1325="",E1325=""),"",IF(A1325="","N° de bon manquant",IF(N(B1325)=0,"Date de commande manquante",IF(C1325="","Fournisseur manquant",IF(ISNA(MATCH($C1325,sup_code,0)),"Fournisseur inconnu",IF(E1325="","Article manquant",IF(ISNA(MATCH($E1325,art_ref,0)),"Article inconnu",IF(N(H1325)&lt;=0,"Quantité invalide",IF(J1325="","Prix manquant",IF(OR(N(K1325)&lt;0,N(K1325)&gt;=1),"Remise invalide",IF(M1325="","TVA manquante",IF(ISNA(MATCH(M1325,p_tva,0)),"Taux de TVA inconnu",IF(COUNTIFS(po_num,A1325,po_sup,"&lt;&gt;"&amp;C1325)&gt;0,"Fournisseur différent sur ce bon",IF(COUNTIFS(po_num,A1325,po_date,"&lt;&gt;"&amp;B1325)&gt;0,"Date différente sur ce bon",IF(COUNTIF(po_num,A1325)&gt;25,"Plus de 25 lignes sur ce bon",IF(R1325="","Date de livraison manquante",IF(R1325&lt;B1325,"Livraison avant la commande",IF(AND(N(T1325)&gt;0,N(S1325)=0),"Date d'envoi manquante",IF(N(T1325)&gt;N(H1325),"Reçu plus que commandé",IF(AND(N(T1325)&gt;0,N(U1325)=0),"Date de réception manquante",IF(AND(N(U1325)&gt;0,U1325&lt;B1325),"Réception avant la commande","OK")))))))))))))))))))))</f>
        <v/>
      </c>
      <c r="AA1325" s="66" t="str">
        <f>IF(AND(X1325="Reçu",ISNUMBER(R1325)),IF(N(U1325)&lt;=R1325,1,0),"")</f>
        <v/>
      </c>
      <c r="AB1325" s="76" t="str">
        <f>IF(OR(X1325="Envoyé",X1325="Partiel",X1325="En retard"),IF(ISNUMBER(R1325),R1325,100000)+ROW()/100000,"")</f>
        <v/>
      </c>
      <c r="AC1325" s="66" t="str">
        <f>IF(A1325="","",IF(COUNTIF($A$6:A1325,A1325)=1,1,""))</f>
        <v/>
      </c>
      <c r="AD1325" s="66" t="str">
        <f>IF(AC1325=1,COUNT($AC$6:AC1325),"")</f>
        <v/>
      </c>
      <c r="AE1325" s="66" t="str">
        <f>IFERROR(INDEX(po_num,MATCH(1320,po_seq,0))&amp;"","")</f>
        <v/>
      </c>
      <c r="AF1325" s="66" t="str">
        <f>IF(OR(A1325="",p_po=""),"",IF(A1325&amp;""=p_po,COUNTIF($A$6:A1325,A1325),""))</f>
        <v/>
      </c>
      <c r="AG1325" s="66" t="str">
        <f>IF(OR(AB1325="",A1325=""),"",IF(COUNTIFS($A$6:A1325,A1325,$AB$6:AB1325,"&gt;0")=1,1,""))</f>
        <v/>
      </c>
      <c r="AH1325" s="70" t="str">
        <f>IF(AB1325="","",ROUND(N(W1325)*N(J1325)*(1-N(K1325)),2))</f>
        <v/>
      </c>
      <c r="AI1325" s="70" t="str">
        <f>IF(OR(J1325="",N(T1325)&lt;=0,V1325="Oui"),"",ROUND(N(T1325)*J1325*(1-N(K1325)),2))</f>
        <v/>
      </c>
    </row>
    <row r="1326">
      <c r="A1326" s="63" t="n"/>
      <c r="B1326" s="64" t="n"/>
      <c r="C1326" s="65" t="n"/>
      <c r="D1326" s="66" t="str">
        <f>IF(C1326="","",IFERROR(INDEX(sup_name,MATCH($C1326,sup_code,0))&amp;"","Fournisseur inconnu"))</f>
        <v/>
      </c>
      <c r="E1326" s="63" t="n"/>
      <c r="F1326" s="66" t="str">
        <f>IF(E1326="","",IFERROR(INDEX(art_des,MATCH($E1326,art_ref,0))&amp;"","Article inconnu"))</f>
        <v/>
      </c>
      <c r="G1326" s="67" t="str">
        <f>IF(E1326="","",IFERROR(INDEX(art_unit,MATCH($E1326,art_ref,0))&amp;"",""))</f>
        <v/>
      </c>
      <c r="H1326" s="68" t="n"/>
      <c r="I1326" s="69" t="n"/>
      <c r="J1326" s="70" t="str">
        <f>IF(E1326="","",IF(ISNUMBER(I1326),I1326,IFERROR(IF(ISNUMBER(INDEX(art_price,MATCH($E1326,art_ref,0))),INDEX(art_price,MATCH($E1326,art_ref,0)),""),"")))</f>
        <v/>
      </c>
      <c r="K1326" s="71" t="n"/>
      <c r="L1326" s="72" t="n"/>
      <c r="M1326" s="72" t="str">
        <f>IF(E1326="","",IF(L1326&lt;&gt;"",L1326,IFERROR(IF(ISNUMBER(INDEX(art_tva,MATCH($E1326,art_ref,0))),INDEX(art_tva,MATCH($E1326,art_ref,0)),""),"")))</f>
        <v/>
      </c>
      <c r="N1326" s="70" t="str">
        <f>IF(OR(E1326="",J1326=""),"",ROUND(N(H1326)*J1326*(1-N(K1326)),2))</f>
        <v/>
      </c>
      <c r="O1326" s="70" t="str">
        <f>IF(OR(N1326="",NOT(ISNUMBER(M1326))),"",ROUND(N1326*M1326,2))</f>
        <v/>
      </c>
      <c r="P1326" s="70" t="str">
        <f>IF(N1326="","",N1326+N(O1326))</f>
        <v/>
      </c>
      <c r="Q1326" s="64" t="n"/>
      <c r="R1326" s="73" t="str">
        <f>IF(N(Q1326)&gt;0,Q1326,IF(OR(N(B1326)=0,ISNA(MATCH($C1326,sup_code,0))),"",IF(ISNUMBER(INDEX(sup_delay,MATCH($C1326,sup_code,0))),B1326+INDEX(sup_delay,MATCH($C1326,sup_code,0)),"")))</f>
        <v/>
      </c>
      <c r="S1326" s="64" t="n"/>
      <c r="T1326" s="68" t="n"/>
      <c r="U1326" s="64" t="n"/>
      <c r="V1326" s="65" t="n"/>
      <c r="W1326" s="74" t="str">
        <f>IF(AND(A1326="",E1326=""),"",IF(V1326="Oui",0,MAX(0,ROUND(N(H1326)-N(T1326),6))))</f>
        <v/>
      </c>
      <c r="X1326" s="67" t="str">
        <f>IF(AND(A1326="",E1326=""),"",IF(V1326="Oui","Annulé",IF(AND(N(H1326)&gt;0,N(T1326)&gt;=N(H1326)),"Reçu",IF(N(S1326)=0,"Brouillon",IF(AND(ISNUMBER(R1326),R1326&lt;p_today),"En retard",IF(N(T1326)&gt;0,"Partiel","Envoyé"))))))</f>
        <v/>
      </c>
      <c r="Y1326" s="75" t="str">
        <f>IF(X1326="En retard",p_today-R1326,IF(AND(X1326="Reçu",ISNUMBER(R1326)),MAX(0,N(U1326)-R1326),""))</f>
        <v/>
      </c>
      <c r="Z1326" s="67" t="str">
        <f>IF(AND(A1326="",E1326=""),"",IF(A1326="","N° de bon manquant",IF(N(B1326)=0,"Date de commande manquante",IF(C1326="","Fournisseur manquant",IF(ISNA(MATCH($C1326,sup_code,0)),"Fournisseur inconnu",IF(E1326="","Article manquant",IF(ISNA(MATCH($E1326,art_ref,0)),"Article inconnu",IF(N(H1326)&lt;=0,"Quantité invalide",IF(J1326="","Prix manquant",IF(OR(N(K1326)&lt;0,N(K1326)&gt;=1),"Remise invalide",IF(M1326="","TVA manquante",IF(ISNA(MATCH(M1326,p_tva,0)),"Taux de TVA inconnu",IF(COUNTIFS(po_num,A1326,po_sup,"&lt;&gt;"&amp;C1326)&gt;0,"Fournisseur différent sur ce bon",IF(COUNTIFS(po_num,A1326,po_date,"&lt;&gt;"&amp;B1326)&gt;0,"Date différente sur ce bon",IF(COUNTIF(po_num,A1326)&gt;25,"Plus de 25 lignes sur ce bon",IF(R1326="","Date de livraison manquante",IF(R1326&lt;B1326,"Livraison avant la commande",IF(AND(N(T1326)&gt;0,N(S1326)=0),"Date d'envoi manquante",IF(N(T1326)&gt;N(H1326),"Reçu plus que commandé",IF(AND(N(T1326)&gt;0,N(U1326)=0),"Date de réception manquante",IF(AND(N(U1326)&gt;0,U1326&lt;B1326),"Réception avant la commande","OK")))))))))))))))))))))</f>
        <v/>
      </c>
      <c r="AA1326" s="66" t="str">
        <f>IF(AND(X1326="Reçu",ISNUMBER(R1326)),IF(N(U1326)&lt;=R1326,1,0),"")</f>
        <v/>
      </c>
      <c r="AB1326" s="76" t="str">
        <f>IF(OR(X1326="Envoyé",X1326="Partiel",X1326="En retard"),IF(ISNUMBER(R1326),R1326,100000)+ROW()/100000,"")</f>
        <v/>
      </c>
      <c r="AC1326" s="66" t="str">
        <f>IF(A1326="","",IF(COUNTIF($A$6:A1326,A1326)=1,1,""))</f>
        <v/>
      </c>
      <c r="AD1326" s="66" t="str">
        <f>IF(AC1326=1,COUNT($AC$6:AC1326),"")</f>
        <v/>
      </c>
      <c r="AE1326" s="66" t="str">
        <f>IFERROR(INDEX(po_num,MATCH(1321,po_seq,0))&amp;"","")</f>
        <v/>
      </c>
      <c r="AF1326" s="66" t="str">
        <f>IF(OR(A1326="",p_po=""),"",IF(A1326&amp;""=p_po,COUNTIF($A$6:A1326,A1326),""))</f>
        <v/>
      </c>
      <c r="AG1326" s="66" t="str">
        <f>IF(OR(AB1326="",A1326=""),"",IF(COUNTIFS($A$6:A1326,A1326,$AB$6:AB1326,"&gt;0")=1,1,""))</f>
        <v/>
      </c>
      <c r="AH1326" s="70" t="str">
        <f>IF(AB1326="","",ROUND(N(W1326)*N(J1326)*(1-N(K1326)),2))</f>
        <v/>
      </c>
      <c r="AI1326" s="70" t="str">
        <f>IF(OR(J1326="",N(T1326)&lt;=0,V1326="Oui"),"",ROUND(N(T1326)*J1326*(1-N(K1326)),2))</f>
        <v/>
      </c>
    </row>
    <row r="1327">
      <c r="A1327" s="63" t="n"/>
      <c r="B1327" s="64" t="n"/>
      <c r="C1327" s="65" t="n"/>
      <c r="D1327" s="66" t="str">
        <f>IF(C1327="","",IFERROR(INDEX(sup_name,MATCH($C1327,sup_code,0))&amp;"","Fournisseur inconnu"))</f>
        <v/>
      </c>
      <c r="E1327" s="63" t="n"/>
      <c r="F1327" s="66" t="str">
        <f>IF(E1327="","",IFERROR(INDEX(art_des,MATCH($E1327,art_ref,0))&amp;"","Article inconnu"))</f>
        <v/>
      </c>
      <c r="G1327" s="67" t="str">
        <f>IF(E1327="","",IFERROR(INDEX(art_unit,MATCH($E1327,art_ref,0))&amp;"",""))</f>
        <v/>
      </c>
      <c r="H1327" s="68" t="n"/>
      <c r="I1327" s="69" t="n"/>
      <c r="J1327" s="70" t="str">
        <f>IF(E1327="","",IF(ISNUMBER(I1327),I1327,IFERROR(IF(ISNUMBER(INDEX(art_price,MATCH($E1327,art_ref,0))),INDEX(art_price,MATCH($E1327,art_ref,0)),""),"")))</f>
        <v/>
      </c>
      <c r="K1327" s="71" t="n"/>
      <c r="L1327" s="72" t="n"/>
      <c r="M1327" s="72" t="str">
        <f>IF(E1327="","",IF(L1327&lt;&gt;"",L1327,IFERROR(IF(ISNUMBER(INDEX(art_tva,MATCH($E1327,art_ref,0))),INDEX(art_tva,MATCH($E1327,art_ref,0)),""),"")))</f>
        <v/>
      </c>
      <c r="N1327" s="70" t="str">
        <f>IF(OR(E1327="",J1327=""),"",ROUND(N(H1327)*J1327*(1-N(K1327)),2))</f>
        <v/>
      </c>
      <c r="O1327" s="70" t="str">
        <f>IF(OR(N1327="",NOT(ISNUMBER(M1327))),"",ROUND(N1327*M1327,2))</f>
        <v/>
      </c>
      <c r="P1327" s="70" t="str">
        <f>IF(N1327="","",N1327+N(O1327))</f>
        <v/>
      </c>
      <c r="Q1327" s="64" t="n"/>
      <c r="R1327" s="73" t="str">
        <f>IF(N(Q1327)&gt;0,Q1327,IF(OR(N(B1327)=0,ISNA(MATCH($C1327,sup_code,0))),"",IF(ISNUMBER(INDEX(sup_delay,MATCH($C1327,sup_code,0))),B1327+INDEX(sup_delay,MATCH($C1327,sup_code,0)),"")))</f>
        <v/>
      </c>
      <c r="S1327" s="64" t="n"/>
      <c r="T1327" s="68" t="n"/>
      <c r="U1327" s="64" t="n"/>
      <c r="V1327" s="65" t="n"/>
      <c r="W1327" s="74" t="str">
        <f>IF(AND(A1327="",E1327=""),"",IF(V1327="Oui",0,MAX(0,ROUND(N(H1327)-N(T1327),6))))</f>
        <v/>
      </c>
      <c r="X1327" s="67" t="str">
        <f>IF(AND(A1327="",E1327=""),"",IF(V1327="Oui","Annulé",IF(AND(N(H1327)&gt;0,N(T1327)&gt;=N(H1327)),"Reçu",IF(N(S1327)=0,"Brouillon",IF(AND(ISNUMBER(R1327),R1327&lt;p_today),"En retard",IF(N(T1327)&gt;0,"Partiel","Envoyé"))))))</f>
        <v/>
      </c>
      <c r="Y1327" s="75" t="str">
        <f>IF(X1327="En retard",p_today-R1327,IF(AND(X1327="Reçu",ISNUMBER(R1327)),MAX(0,N(U1327)-R1327),""))</f>
        <v/>
      </c>
      <c r="Z1327" s="67" t="str">
        <f>IF(AND(A1327="",E1327=""),"",IF(A1327="","N° de bon manquant",IF(N(B1327)=0,"Date de commande manquante",IF(C1327="","Fournisseur manquant",IF(ISNA(MATCH($C1327,sup_code,0)),"Fournisseur inconnu",IF(E1327="","Article manquant",IF(ISNA(MATCH($E1327,art_ref,0)),"Article inconnu",IF(N(H1327)&lt;=0,"Quantité invalide",IF(J1327="","Prix manquant",IF(OR(N(K1327)&lt;0,N(K1327)&gt;=1),"Remise invalide",IF(M1327="","TVA manquante",IF(ISNA(MATCH(M1327,p_tva,0)),"Taux de TVA inconnu",IF(COUNTIFS(po_num,A1327,po_sup,"&lt;&gt;"&amp;C1327)&gt;0,"Fournisseur différent sur ce bon",IF(COUNTIFS(po_num,A1327,po_date,"&lt;&gt;"&amp;B1327)&gt;0,"Date différente sur ce bon",IF(COUNTIF(po_num,A1327)&gt;25,"Plus de 25 lignes sur ce bon",IF(R1327="","Date de livraison manquante",IF(R1327&lt;B1327,"Livraison avant la commande",IF(AND(N(T1327)&gt;0,N(S1327)=0),"Date d'envoi manquante",IF(N(T1327)&gt;N(H1327),"Reçu plus que commandé",IF(AND(N(T1327)&gt;0,N(U1327)=0),"Date de réception manquante",IF(AND(N(U1327)&gt;0,U1327&lt;B1327),"Réception avant la commande","OK")))))))))))))))))))))</f>
        <v/>
      </c>
      <c r="AA1327" s="66" t="str">
        <f>IF(AND(X1327="Reçu",ISNUMBER(R1327)),IF(N(U1327)&lt;=R1327,1,0),"")</f>
        <v/>
      </c>
      <c r="AB1327" s="76" t="str">
        <f>IF(OR(X1327="Envoyé",X1327="Partiel",X1327="En retard"),IF(ISNUMBER(R1327),R1327,100000)+ROW()/100000,"")</f>
        <v/>
      </c>
      <c r="AC1327" s="66" t="str">
        <f>IF(A1327="","",IF(COUNTIF($A$6:A1327,A1327)=1,1,""))</f>
        <v/>
      </c>
      <c r="AD1327" s="66" t="str">
        <f>IF(AC1327=1,COUNT($AC$6:AC1327),"")</f>
        <v/>
      </c>
      <c r="AE1327" s="66" t="str">
        <f>IFERROR(INDEX(po_num,MATCH(1322,po_seq,0))&amp;"","")</f>
        <v/>
      </c>
      <c r="AF1327" s="66" t="str">
        <f>IF(OR(A1327="",p_po=""),"",IF(A1327&amp;""=p_po,COUNTIF($A$6:A1327,A1327),""))</f>
        <v/>
      </c>
      <c r="AG1327" s="66" t="str">
        <f>IF(OR(AB1327="",A1327=""),"",IF(COUNTIFS($A$6:A1327,A1327,$AB$6:AB1327,"&gt;0")=1,1,""))</f>
        <v/>
      </c>
      <c r="AH1327" s="70" t="str">
        <f>IF(AB1327="","",ROUND(N(W1327)*N(J1327)*(1-N(K1327)),2))</f>
        <v/>
      </c>
      <c r="AI1327" s="70" t="str">
        <f>IF(OR(J1327="",N(T1327)&lt;=0,V1327="Oui"),"",ROUND(N(T1327)*J1327*(1-N(K1327)),2))</f>
        <v/>
      </c>
    </row>
    <row r="1328">
      <c r="A1328" s="63" t="n"/>
      <c r="B1328" s="64" t="n"/>
      <c r="C1328" s="65" t="n"/>
      <c r="D1328" s="66" t="str">
        <f>IF(C1328="","",IFERROR(INDEX(sup_name,MATCH($C1328,sup_code,0))&amp;"","Fournisseur inconnu"))</f>
        <v/>
      </c>
      <c r="E1328" s="63" t="n"/>
      <c r="F1328" s="66" t="str">
        <f>IF(E1328="","",IFERROR(INDEX(art_des,MATCH($E1328,art_ref,0))&amp;"","Article inconnu"))</f>
        <v/>
      </c>
      <c r="G1328" s="67" t="str">
        <f>IF(E1328="","",IFERROR(INDEX(art_unit,MATCH($E1328,art_ref,0))&amp;"",""))</f>
        <v/>
      </c>
      <c r="H1328" s="68" t="n"/>
      <c r="I1328" s="69" t="n"/>
      <c r="J1328" s="70" t="str">
        <f>IF(E1328="","",IF(ISNUMBER(I1328),I1328,IFERROR(IF(ISNUMBER(INDEX(art_price,MATCH($E1328,art_ref,0))),INDEX(art_price,MATCH($E1328,art_ref,0)),""),"")))</f>
        <v/>
      </c>
      <c r="K1328" s="71" t="n"/>
      <c r="L1328" s="72" t="n"/>
      <c r="M1328" s="72" t="str">
        <f>IF(E1328="","",IF(L1328&lt;&gt;"",L1328,IFERROR(IF(ISNUMBER(INDEX(art_tva,MATCH($E1328,art_ref,0))),INDEX(art_tva,MATCH($E1328,art_ref,0)),""),"")))</f>
        <v/>
      </c>
      <c r="N1328" s="70" t="str">
        <f>IF(OR(E1328="",J1328=""),"",ROUND(N(H1328)*J1328*(1-N(K1328)),2))</f>
        <v/>
      </c>
      <c r="O1328" s="70" t="str">
        <f>IF(OR(N1328="",NOT(ISNUMBER(M1328))),"",ROUND(N1328*M1328,2))</f>
        <v/>
      </c>
      <c r="P1328" s="70" t="str">
        <f>IF(N1328="","",N1328+N(O1328))</f>
        <v/>
      </c>
      <c r="Q1328" s="64" t="n"/>
      <c r="R1328" s="73" t="str">
        <f>IF(N(Q1328)&gt;0,Q1328,IF(OR(N(B1328)=0,ISNA(MATCH($C1328,sup_code,0))),"",IF(ISNUMBER(INDEX(sup_delay,MATCH($C1328,sup_code,0))),B1328+INDEX(sup_delay,MATCH($C1328,sup_code,0)),"")))</f>
        <v/>
      </c>
      <c r="S1328" s="64" t="n"/>
      <c r="T1328" s="68" t="n"/>
      <c r="U1328" s="64" t="n"/>
      <c r="V1328" s="65" t="n"/>
      <c r="W1328" s="74" t="str">
        <f>IF(AND(A1328="",E1328=""),"",IF(V1328="Oui",0,MAX(0,ROUND(N(H1328)-N(T1328),6))))</f>
        <v/>
      </c>
      <c r="X1328" s="67" t="str">
        <f>IF(AND(A1328="",E1328=""),"",IF(V1328="Oui","Annulé",IF(AND(N(H1328)&gt;0,N(T1328)&gt;=N(H1328)),"Reçu",IF(N(S1328)=0,"Brouillon",IF(AND(ISNUMBER(R1328),R1328&lt;p_today),"En retard",IF(N(T1328)&gt;0,"Partiel","Envoyé"))))))</f>
        <v/>
      </c>
      <c r="Y1328" s="75" t="str">
        <f>IF(X1328="En retard",p_today-R1328,IF(AND(X1328="Reçu",ISNUMBER(R1328)),MAX(0,N(U1328)-R1328),""))</f>
        <v/>
      </c>
      <c r="Z1328" s="67" t="str">
        <f>IF(AND(A1328="",E1328=""),"",IF(A1328="","N° de bon manquant",IF(N(B1328)=0,"Date de commande manquante",IF(C1328="","Fournisseur manquant",IF(ISNA(MATCH($C1328,sup_code,0)),"Fournisseur inconnu",IF(E1328="","Article manquant",IF(ISNA(MATCH($E1328,art_ref,0)),"Article inconnu",IF(N(H1328)&lt;=0,"Quantité invalide",IF(J1328="","Prix manquant",IF(OR(N(K1328)&lt;0,N(K1328)&gt;=1),"Remise invalide",IF(M1328="","TVA manquante",IF(ISNA(MATCH(M1328,p_tva,0)),"Taux de TVA inconnu",IF(COUNTIFS(po_num,A1328,po_sup,"&lt;&gt;"&amp;C1328)&gt;0,"Fournisseur différent sur ce bon",IF(COUNTIFS(po_num,A1328,po_date,"&lt;&gt;"&amp;B1328)&gt;0,"Date différente sur ce bon",IF(COUNTIF(po_num,A1328)&gt;25,"Plus de 25 lignes sur ce bon",IF(R1328="","Date de livraison manquante",IF(R1328&lt;B1328,"Livraison avant la commande",IF(AND(N(T1328)&gt;0,N(S1328)=0),"Date d'envoi manquante",IF(N(T1328)&gt;N(H1328),"Reçu plus que commandé",IF(AND(N(T1328)&gt;0,N(U1328)=0),"Date de réception manquante",IF(AND(N(U1328)&gt;0,U1328&lt;B1328),"Réception avant la commande","OK")))))))))))))))))))))</f>
        <v/>
      </c>
      <c r="AA1328" s="66" t="str">
        <f>IF(AND(X1328="Reçu",ISNUMBER(R1328)),IF(N(U1328)&lt;=R1328,1,0),"")</f>
        <v/>
      </c>
      <c r="AB1328" s="76" t="str">
        <f>IF(OR(X1328="Envoyé",X1328="Partiel",X1328="En retard"),IF(ISNUMBER(R1328),R1328,100000)+ROW()/100000,"")</f>
        <v/>
      </c>
      <c r="AC1328" s="66" t="str">
        <f>IF(A1328="","",IF(COUNTIF($A$6:A1328,A1328)=1,1,""))</f>
        <v/>
      </c>
      <c r="AD1328" s="66" t="str">
        <f>IF(AC1328=1,COUNT($AC$6:AC1328),"")</f>
        <v/>
      </c>
      <c r="AE1328" s="66" t="str">
        <f>IFERROR(INDEX(po_num,MATCH(1323,po_seq,0))&amp;"","")</f>
        <v/>
      </c>
      <c r="AF1328" s="66" t="str">
        <f>IF(OR(A1328="",p_po=""),"",IF(A1328&amp;""=p_po,COUNTIF($A$6:A1328,A1328),""))</f>
        <v/>
      </c>
      <c r="AG1328" s="66" t="str">
        <f>IF(OR(AB1328="",A1328=""),"",IF(COUNTIFS($A$6:A1328,A1328,$AB$6:AB1328,"&gt;0")=1,1,""))</f>
        <v/>
      </c>
      <c r="AH1328" s="70" t="str">
        <f>IF(AB1328="","",ROUND(N(W1328)*N(J1328)*(1-N(K1328)),2))</f>
        <v/>
      </c>
      <c r="AI1328" s="70" t="str">
        <f>IF(OR(J1328="",N(T1328)&lt;=0,V1328="Oui"),"",ROUND(N(T1328)*J1328*(1-N(K1328)),2))</f>
        <v/>
      </c>
    </row>
    <row r="1329">
      <c r="A1329" s="63" t="n"/>
      <c r="B1329" s="64" t="n"/>
      <c r="C1329" s="65" t="n"/>
      <c r="D1329" s="66" t="str">
        <f>IF(C1329="","",IFERROR(INDEX(sup_name,MATCH($C1329,sup_code,0))&amp;"","Fournisseur inconnu"))</f>
        <v/>
      </c>
      <c r="E1329" s="63" t="n"/>
      <c r="F1329" s="66" t="str">
        <f>IF(E1329="","",IFERROR(INDEX(art_des,MATCH($E1329,art_ref,0))&amp;"","Article inconnu"))</f>
        <v/>
      </c>
      <c r="G1329" s="67" t="str">
        <f>IF(E1329="","",IFERROR(INDEX(art_unit,MATCH($E1329,art_ref,0))&amp;"",""))</f>
        <v/>
      </c>
      <c r="H1329" s="68" t="n"/>
      <c r="I1329" s="69" t="n"/>
      <c r="J1329" s="70" t="str">
        <f>IF(E1329="","",IF(ISNUMBER(I1329),I1329,IFERROR(IF(ISNUMBER(INDEX(art_price,MATCH($E1329,art_ref,0))),INDEX(art_price,MATCH($E1329,art_ref,0)),""),"")))</f>
        <v/>
      </c>
      <c r="K1329" s="71" t="n"/>
      <c r="L1329" s="72" t="n"/>
      <c r="M1329" s="72" t="str">
        <f>IF(E1329="","",IF(L1329&lt;&gt;"",L1329,IFERROR(IF(ISNUMBER(INDEX(art_tva,MATCH($E1329,art_ref,0))),INDEX(art_tva,MATCH($E1329,art_ref,0)),""),"")))</f>
        <v/>
      </c>
      <c r="N1329" s="70" t="str">
        <f>IF(OR(E1329="",J1329=""),"",ROUND(N(H1329)*J1329*(1-N(K1329)),2))</f>
        <v/>
      </c>
      <c r="O1329" s="70" t="str">
        <f>IF(OR(N1329="",NOT(ISNUMBER(M1329))),"",ROUND(N1329*M1329,2))</f>
        <v/>
      </c>
      <c r="P1329" s="70" t="str">
        <f>IF(N1329="","",N1329+N(O1329))</f>
        <v/>
      </c>
      <c r="Q1329" s="64" t="n"/>
      <c r="R1329" s="73" t="str">
        <f>IF(N(Q1329)&gt;0,Q1329,IF(OR(N(B1329)=0,ISNA(MATCH($C1329,sup_code,0))),"",IF(ISNUMBER(INDEX(sup_delay,MATCH($C1329,sup_code,0))),B1329+INDEX(sup_delay,MATCH($C1329,sup_code,0)),"")))</f>
        <v/>
      </c>
      <c r="S1329" s="64" t="n"/>
      <c r="T1329" s="68" t="n"/>
      <c r="U1329" s="64" t="n"/>
      <c r="V1329" s="65" t="n"/>
      <c r="W1329" s="74" t="str">
        <f>IF(AND(A1329="",E1329=""),"",IF(V1329="Oui",0,MAX(0,ROUND(N(H1329)-N(T1329),6))))</f>
        <v/>
      </c>
      <c r="X1329" s="67" t="str">
        <f>IF(AND(A1329="",E1329=""),"",IF(V1329="Oui","Annulé",IF(AND(N(H1329)&gt;0,N(T1329)&gt;=N(H1329)),"Reçu",IF(N(S1329)=0,"Brouillon",IF(AND(ISNUMBER(R1329),R1329&lt;p_today),"En retard",IF(N(T1329)&gt;0,"Partiel","Envoyé"))))))</f>
        <v/>
      </c>
      <c r="Y1329" s="75" t="str">
        <f>IF(X1329="En retard",p_today-R1329,IF(AND(X1329="Reçu",ISNUMBER(R1329)),MAX(0,N(U1329)-R1329),""))</f>
        <v/>
      </c>
      <c r="Z1329" s="67" t="str">
        <f>IF(AND(A1329="",E1329=""),"",IF(A1329="","N° de bon manquant",IF(N(B1329)=0,"Date de commande manquante",IF(C1329="","Fournisseur manquant",IF(ISNA(MATCH($C1329,sup_code,0)),"Fournisseur inconnu",IF(E1329="","Article manquant",IF(ISNA(MATCH($E1329,art_ref,0)),"Article inconnu",IF(N(H1329)&lt;=0,"Quantité invalide",IF(J1329="","Prix manquant",IF(OR(N(K1329)&lt;0,N(K1329)&gt;=1),"Remise invalide",IF(M1329="","TVA manquante",IF(ISNA(MATCH(M1329,p_tva,0)),"Taux de TVA inconnu",IF(COUNTIFS(po_num,A1329,po_sup,"&lt;&gt;"&amp;C1329)&gt;0,"Fournisseur différent sur ce bon",IF(COUNTIFS(po_num,A1329,po_date,"&lt;&gt;"&amp;B1329)&gt;0,"Date différente sur ce bon",IF(COUNTIF(po_num,A1329)&gt;25,"Plus de 25 lignes sur ce bon",IF(R1329="","Date de livraison manquante",IF(R1329&lt;B1329,"Livraison avant la commande",IF(AND(N(T1329)&gt;0,N(S1329)=0),"Date d'envoi manquante",IF(N(T1329)&gt;N(H1329),"Reçu plus que commandé",IF(AND(N(T1329)&gt;0,N(U1329)=0),"Date de réception manquante",IF(AND(N(U1329)&gt;0,U1329&lt;B1329),"Réception avant la commande","OK")))))))))))))))))))))</f>
        <v/>
      </c>
      <c r="AA1329" s="66" t="str">
        <f>IF(AND(X1329="Reçu",ISNUMBER(R1329)),IF(N(U1329)&lt;=R1329,1,0),"")</f>
        <v/>
      </c>
      <c r="AB1329" s="76" t="str">
        <f>IF(OR(X1329="Envoyé",X1329="Partiel",X1329="En retard"),IF(ISNUMBER(R1329),R1329,100000)+ROW()/100000,"")</f>
        <v/>
      </c>
      <c r="AC1329" s="66" t="str">
        <f>IF(A1329="","",IF(COUNTIF($A$6:A1329,A1329)=1,1,""))</f>
        <v/>
      </c>
      <c r="AD1329" s="66" t="str">
        <f>IF(AC1329=1,COUNT($AC$6:AC1329),"")</f>
        <v/>
      </c>
      <c r="AE1329" s="66" t="str">
        <f>IFERROR(INDEX(po_num,MATCH(1324,po_seq,0))&amp;"","")</f>
        <v/>
      </c>
      <c r="AF1329" s="66" t="str">
        <f>IF(OR(A1329="",p_po=""),"",IF(A1329&amp;""=p_po,COUNTIF($A$6:A1329,A1329),""))</f>
        <v/>
      </c>
      <c r="AG1329" s="66" t="str">
        <f>IF(OR(AB1329="",A1329=""),"",IF(COUNTIFS($A$6:A1329,A1329,$AB$6:AB1329,"&gt;0")=1,1,""))</f>
        <v/>
      </c>
      <c r="AH1329" s="70" t="str">
        <f>IF(AB1329="","",ROUND(N(W1329)*N(J1329)*(1-N(K1329)),2))</f>
        <v/>
      </c>
      <c r="AI1329" s="70" t="str">
        <f>IF(OR(J1329="",N(T1329)&lt;=0,V1329="Oui"),"",ROUND(N(T1329)*J1329*(1-N(K1329)),2))</f>
        <v/>
      </c>
    </row>
    <row r="1330">
      <c r="A1330" s="63" t="n"/>
      <c r="B1330" s="64" t="n"/>
      <c r="C1330" s="65" t="n"/>
      <c r="D1330" s="66" t="str">
        <f>IF(C1330="","",IFERROR(INDEX(sup_name,MATCH($C1330,sup_code,0))&amp;"","Fournisseur inconnu"))</f>
        <v/>
      </c>
      <c r="E1330" s="63" t="n"/>
      <c r="F1330" s="66" t="str">
        <f>IF(E1330="","",IFERROR(INDEX(art_des,MATCH($E1330,art_ref,0))&amp;"","Article inconnu"))</f>
        <v/>
      </c>
      <c r="G1330" s="67" t="str">
        <f>IF(E1330="","",IFERROR(INDEX(art_unit,MATCH($E1330,art_ref,0))&amp;"",""))</f>
        <v/>
      </c>
      <c r="H1330" s="68" t="n"/>
      <c r="I1330" s="69" t="n"/>
      <c r="J1330" s="70" t="str">
        <f>IF(E1330="","",IF(ISNUMBER(I1330),I1330,IFERROR(IF(ISNUMBER(INDEX(art_price,MATCH($E1330,art_ref,0))),INDEX(art_price,MATCH($E1330,art_ref,0)),""),"")))</f>
        <v/>
      </c>
      <c r="K1330" s="71" t="n"/>
      <c r="L1330" s="72" t="n"/>
      <c r="M1330" s="72" t="str">
        <f>IF(E1330="","",IF(L1330&lt;&gt;"",L1330,IFERROR(IF(ISNUMBER(INDEX(art_tva,MATCH($E1330,art_ref,0))),INDEX(art_tva,MATCH($E1330,art_ref,0)),""),"")))</f>
        <v/>
      </c>
      <c r="N1330" s="70" t="str">
        <f>IF(OR(E1330="",J1330=""),"",ROUND(N(H1330)*J1330*(1-N(K1330)),2))</f>
        <v/>
      </c>
      <c r="O1330" s="70" t="str">
        <f>IF(OR(N1330="",NOT(ISNUMBER(M1330))),"",ROUND(N1330*M1330,2))</f>
        <v/>
      </c>
      <c r="P1330" s="70" t="str">
        <f>IF(N1330="","",N1330+N(O1330))</f>
        <v/>
      </c>
      <c r="Q1330" s="64" t="n"/>
      <c r="R1330" s="73" t="str">
        <f>IF(N(Q1330)&gt;0,Q1330,IF(OR(N(B1330)=0,ISNA(MATCH($C1330,sup_code,0))),"",IF(ISNUMBER(INDEX(sup_delay,MATCH($C1330,sup_code,0))),B1330+INDEX(sup_delay,MATCH($C1330,sup_code,0)),"")))</f>
        <v/>
      </c>
      <c r="S1330" s="64" t="n"/>
      <c r="T1330" s="68" t="n"/>
      <c r="U1330" s="64" t="n"/>
      <c r="V1330" s="65" t="n"/>
      <c r="W1330" s="74" t="str">
        <f>IF(AND(A1330="",E1330=""),"",IF(V1330="Oui",0,MAX(0,ROUND(N(H1330)-N(T1330),6))))</f>
        <v/>
      </c>
      <c r="X1330" s="67" t="str">
        <f>IF(AND(A1330="",E1330=""),"",IF(V1330="Oui","Annulé",IF(AND(N(H1330)&gt;0,N(T1330)&gt;=N(H1330)),"Reçu",IF(N(S1330)=0,"Brouillon",IF(AND(ISNUMBER(R1330),R1330&lt;p_today),"En retard",IF(N(T1330)&gt;0,"Partiel","Envoyé"))))))</f>
        <v/>
      </c>
      <c r="Y1330" s="75" t="str">
        <f>IF(X1330="En retard",p_today-R1330,IF(AND(X1330="Reçu",ISNUMBER(R1330)),MAX(0,N(U1330)-R1330),""))</f>
        <v/>
      </c>
      <c r="Z1330" s="67" t="str">
        <f>IF(AND(A1330="",E1330=""),"",IF(A1330="","N° de bon manquant",IF(N(B1330)=0,"Date de commande manquante",IF(C1330="","Fournisseur manquant",IF(ISNA(MATCH($C1330,sup_code,0)),"Fournisseur inconnu",IF(E1330="","Article manquant",IF(ISNA(MATCH($E1330,art_ref,0)),"Article inconnu",IF(N(H1330)&lt;=0,"Quantité invalide",IF(J1330="","Prix manquant",IF(OR(N(K1330)&lt;0,N(K1330)&gt;=1),"Remise invalide",IF(M1330="","TVA manquante",IF(ISNA(MATCH(M1330,p_tva,0)),"Taux de TVA inconnu",IF(COUNTIFS(po_num,A1330,po_sup,"&lt;&gt;"&amp;C1330)&gt;0,"Fournisseur différent sur ce bon",IF(COUNTIFS(po_num,A1330,po_date,"&lt;&gt;"&amp;B1330)&gt;0,"Date différente sur ce bon",IF(COUNTIF(po_num,A1330)&gt;25,"Plus de 25 lignes sur ce bon",IF(R1330="","Date de livraison manquante",IF(R1330&lt;B1330,"Livraison avant la commande",IF(AND(N(T1330)&gt;0,N(S1330)=0),"Date d'envoi manquante",IF(N(T1330)&gt;N(H1330),"Reçu plus que commandé",IF(AND(N(T1330)&gt;0,N(U1330)=0),"Date de réception manquante",IF(AND(N(U1330)&gt;0,U1330&lt;B1330),"Réception avant la commande","OK")))))))))))))))))))))</f>
        <v/>
      </c>
      <c r="AA1330" s="66" t="str">
        <f>IF(AND(X1330="Reçu",ISNUMBER(R1330)),IF(N(U1330)&lt;=R1330,1,0),"")</f>
        <v/>
      </c>
      <c r="AB1330" s="76" t="str">
        <f>IF(OR(X1330="Envoyé",X1330="Partiel",X1330="En retard"),IF(ISNUMBER(R1330),R1330,100000)+ROW()/100000,"")</f>
        <v/>
      </c>
      <c r="AC1330" s="66" t="str">
        <f>IF(A1330="","",IF(COUNTIF($A$6:A1330,A1330)=1,1,""))</f>
        <v/>
      </c>
      <c r="AD1330" s="66" t="str">
        <f>IF(AC1330=1,COUNT($AC$6:AC1330),"")</f>
        <v/>
      </c>
      <c r="AE1330" s="66" t="str">
        <f>IFERROR(INDEX(po_num,MATCH(1325,po_seq,0))&amp;"","")</f>
        <v/>
      </c>
      <c r="AF1330" s="66" t="str">
        <f>IF(OR(A1330="",p_po=""),"",IF(A1330&amp;""=p_po,COUNTIF($A$6:A1330,A1330),""))</f>
        <v/>
      </c>
      <c r="AG1330" s="66" t="str">
        <f>IF(OR(AB1330="",A1330=""),"",IF(COUNTIFS($A$6:A1330,A1330,$AB$6:AB1330,"&gt;0")=1,1,""))</f>
        <v/>
      </c>
      <c r="AH1330" s="70" t="str">
        <f>IF(AB1330="","",ROUND(N(W1330)*N(J1330)*(1-N(K1330)),2))</f>
        <v/>
      </c>
      <c r="AI1330" s="70" t="str">
        <f>IF(OR(J1330="",N(T1330)&lt;=0,V1330="Oui"),"",ROUND(N(T1330)*J1330*(1-N(K1330)),2))</f>
        <v/>
      </c>
    </row>
    <row r="1331">
      <c r="A1331" s="63" t="n"/>
      <c r="B1331" s="64" t="n"/>
      <c r="C1331" s="65" t="n"/>
      <c r="D1331" s="66" t="str">
        <f>IF(C1331="","",IFERROR(INDEX(sup_name,MATCH($C1331,sup_code,0))&amp;"","Fournisseur inconnu"))</f>
        <v/>
      </c>
      <c r="E1331" s="63" t="n"/>
      <c r="F1331" s="66" t="str">
        <f>IF(E1331="","",IFERROR(INDEX(art_des,MATCH($E1331,art_ref,0))&amp;"","Article inconnu"))</f>
        <v/>
      </c>
      <c r="G1331" s="67" t="str">
        <f>IF(E1331="","",IFERROR(INDEX(art_unit,MATCH($E1331,art_ref,0))&amp;"",""))</f>
        <v/>
      </c>
      <c r="H1331" s="68" t="n"/>
      <c r="I1331" s="69" t="n"/>
      <c r="J1331" s="70" t="str">
        <f>IF(E1331="","",IF(ISNUMBER(I1331),I1331,IFERROR(IF(ISNUMBER(INDEX(art_price,MATCH($E1331,art_ref,0))),INDEX(art_price,MATCH($E1331,art_ref,0)),""),"")))</f>
        <v/>
      </c>
      <c r="K1331" s="71" t="n"/>
      <c r="L1331" s="72" t="n"/>
      <c r="M1331" s="72" t="str">
        <f>IF(E1331="","",IF(L1331&lt;&gt;"",L1331,IFERROR(IF(ISNUMBER(INDEX(art_tva,MATCH($E1331,art_ref,0))),INDEX(art_tva,MATCH($E1331,art_ref,0)),""),"")))</f>
        <v/>
      </c>
      <c r="N1331" s="70" t="str">
        <f>IF(OR(E1331="",J1331=""),"",ROUND(N(H1331)*J1331*(1-N(K1331)),2))</f>
        <v/>
      </c>
      <c r="O1331" s="70" t="str">
        <f>IF(OR(N1331="",NOT(ISNUMBER(M1331))),"",ROUND(N1331*M1331,2))</f>
        <v/>
      </c>
      <c r="P1331" s="70" t="str">
        <f>IF(N1331="","",N1331+N(O1331))</f>
        <v/>
      </c>
      <c r="Q1331" s="64" t="n"/>
      <c r="R1331" s="73" t="str">
        <f>IF(N(Q1331)&gt;0,Q1331,IF(OR(N(B1331)=0,ISNA(MATCH($C1331,sup_code,0))),"",IF(ISNUMBER(INDEX(sup_delay,MATCH($C1331,sup_code,0))),B1331+INDEX(sup_delay,MATCH($C1331,sup_code,0)),"")))</f>
        <v/>
      </c>
      <c r="S1331" s="64" t="n"/>
      <c r="T1331" s="68" t="n"/>
      <c r="U1331" s="64" t="n"/>
      <c r="V1331" s="65" t="n"/>
      <c r="W1331" s="74" t="str">
        <f>IF(AND(A1331="",E1331=""),"",IF(V1331="Oui",0,MAX(0,ROUND(N(H1331)-N(T1331),6))))</f>
        <v/>
      </c>
      <c r="X1331" s="67" t="str">
        <f>IF(AND(A1331="",E1331=""),"",IF(V1331="Oui","Annulé",IF(AND(N(H1331)&gt;0,N(T1331)&gt;=N(H1331)),"Reçu",IF(N(S1331)=0,"Brouillon",IF(AND(ISNUMBER(R1331),R1331&lt;p_today),"En retard",IF(N(T1331)&gt;0,"Partiel","Envoyé"))))))</f>
        <v/>
      </c>
      <c r="Y1331" s="75" t="str">
        <f>IF(X1331="En retard",p_today-R1331,IF(AND(X1331="Reçu",ISNUMBER(R1331)),MAX(0,N(U1331)-R1331),""))</f>
        <v/>
      </c>
      <c r="Z1331" s="67" t="str">
        <f>IF(AND(A1331="",E1331=""),"",IF(A1331="","N° de bon manquant",IF(N(B1331)=0,"Date de commande manquante",IF(C1331="","Fournisseur manquant",IF(ISNA(MATCH($C1331,sup_code,0)),"Fournisseur inconnu",IF(E1331="","Article manquant",IF(ISNA(MATCH($E1331,art_ref,0)),"Article inconnu",IF(N(H1331)&lt;=0,"Quantité invalide",IF(J1331="","Prix manquant",IF(OR(N(K1331)&lt;0,N(K1331)&gt;=1),"Remise invalide",IF(M1331="","TVA manquante",IF(ISNA(MATCH(M1331,p_tva,0)),"Taux de TVA inconnu",IF(COUNTIFS(po_num,A1331,po_sup,"&lt;&gt;"&amp;C1331)&gt;0,"Fournisseur différent sur ce bon",IF(COUNTIFS(po_num,A1331,po_date,"&lt;&gt;"&amp;B1331)&gt;0,"Date différente sur ce bon",IF(COUNTIF(po_num,A1331)&gt;25,"Plus de 25 lignes sur ce bon",IF(R1331="","Date de livraison manquante",IF(R1331&lt;B1331,"Livraison avant la commande",IF(AND(N(T1331)&gt;0,N(S1331)=0),"Date d'envoi manquante",IF(N(T1331)&gt;N(H1331),"Reçu plus que commandé",IF(AND(N(T1331)&gt;0,N(U1331)=0),"Date de réception manquante",IF(AND(N(U1331)&gt;0,U1331&lt;B1331),"Réception avant la commande","OK")))))))))))))))))))))</f>
        <v/>
      </c>
      <c r="AA1331" s="66" t="str">
        <f>IF(AND(X1331="Reçu",ISNUMBER(R1331)),IF(N(U1331)&lt;=R1331,1,0),"")</f>
        <v/>
      </c>
      <c r="AB1331" s="76" t="str">
        <f>IF(OR(X1331="Envoyé",X1331="Partiel",X1331="En retard"),IF(ISNUMBER(R1331),R1331,100000)+ROW()/100000,"")</f>
        <v/>
      </c>
      <c r="AC1331" s="66" t="str">
        <f>IF(A1331="","",IF(COUNTIF($A$6:A1331,A1331)=1,1,""))</f>
        <v/>
      </c>
      <c r="AD1331" s="66" t="str">
        <f>IF(AC1331=1,COUNT($AC$6:AC1331),"")</f>
        <v/>
      </c>
      <c r="AE1331" s="66" t="str">
        <f>IFERROR(INDEX(po_num,MATCH(1326,po_seq,0))&amp;"","")</f>
        <v/>
      </c>
      <c r="AF1331" s="66" t="str">
        <f>IF(OR(A1331="",p_po=""),"",IF(A1331&amp;""=p_po,COUNTIF($A$6:A1331,A1331),""))</f>
        <v/>
      </c>
      <c r="AG1331" s="66" t="str">
        <f>IF(OR(AB1331="",A1331=""),"",IF(COUNTIFS($A$6:A1331,A1331,$AB$6:AB1331,"&gt;0")=1,1,""))</f>
        <v/>
      </c>
      <c r="AH1331" s="70" t="str">
        <f>IF(AB1331="","",ROUND(N(W1331)*N(J1331)*(1-N(K1331)),2))</f>
        <v/>
      </c>
      <c r="AI1331" s="70" t="str">
        <f>IF(OR(J1331="",N(T1331)&lt;=0,V1331="Oui"),"",ROUND(N(T1331)*J1331*(1-N(K1331)),2))</f>
        <v/>
      </c>
    </row>
    <row r="1332">
      <c r="A1332" s="63" t="n"/>
      <c r="B1332" s="64" t="n"/>
      <c r="C1332" s="65" t="n"/>
      <c r="D1332" s="66" t="str">
        <f>IF(C1332="","",IFERROR(INDEX(sup_name,MATCH($C1332,sup_code,0))&amp;"","Fournisseur inconnu"))</f>
        <v/>
      </c>
      <c r="E1332" s="63" t="n"/>
      <c r="F1332" s="66" t="str">
        <f>IF(E1332="","",IFERROR(INDEX(art_des,MATCH($E1332,art_ref,0))&amp;"","Article inconnu"))</f>
        <v/>
      </c>
      <c r="G1332" s="67" t="str">
        <f>IF(E1332="","",IFERROR(INDEX(art_unit,MATCH($E1332,art_ref,0))&amp;"",""))</f>
        <v/>
      </c>
      <c r="H1332" s="68" t="n"/>
      <c r="I1332" s="69" t="n"/>
      <c r="J1332" s="70" t="str">
        <f>IF(E1332="","",IF(ISNUMBER(I1332),I1332,IFERROR(IF(ISNUMBER(INDEX(art_price,MATCH($E1332,art_ref,0))),INDEX(art_price,MATCH($E1332,art_ref,0)),""),"")))</f>
        <v/>
      </c>
      <c r="K1332" s="71" t="n"/>
      <c r="L1332" s="72" t="n"/>
      <c r="M1332" s="72" t="str">
        <f>IF(E1332="","",IF(L1332&lt;&gt;"",L1332,IFERROR(IF(ISNUMBER(INDEX(art_tva,MATCH($E1332,art_ref,0))),INDEX(art_tva,MATCH($E1332,art_ref,0)),""),"")))</f>
        <v/>
      </c>
      <c r="N1332" s="70" t="str">
        <f>IF(OR(E1332="",J1332=""),"",ROUND(N(H1332)*J1332*(1-N(K1332)),2))</f>
        <v/>
      </c>
      <c r="O1332" s="70" t="str">
        <f>IF(OR(N1332="",NOT(ISNUMBER(M1332))),"",ROUND(N1332*M1332,2))</f>
        <v/>
      </c>
      <c r="P1332" s="70" t="str">
        <f>IF(N1332="","",N1332+N(O1332))</f>
        <v/>
      </c>
      <c r="Q1332" s="64" t="n"/>
      <c r="R1332" s="73" t="str">
        <f>IF(N(Q1332)&gt;0,Q1332,IF(OR(N(B1332)=0,ISNA(MATCH($C1332,sup_code,0))),"",IF(ISNUMBER(INDEX(sup_delay,MATCH($C1332,sup_code,0))),B1332+INDEX(sup_delay,MATCH($C1332,sup_code,0)),"")))</f>
        <v/>
      </c>
      <c r="S1332" s="64" t="n"/>
      <c r="T1332" s="68" t="n"/>
      <c r="U1332" s="64" t="n"/>
      <c r="V1332" s="65" t="n"/>
      <c r="W1332" s="74" t="str">
        <f>IF(AND(A1332="",E1332=""),"",IF(V1332="Oui",0,MAX(0,ROUND(N(H1332)-N(T1332),6))))</f>
        <v/>
      </c>
      <c r="X1332" s="67" t="str">
        <f>IF(AND(A1332="",E1332=""),"",IF(V1332="Oui","Annulé",IF(AND(N(H1332)&gt;0,N(T1332)&gt;=N(H1332)),"Reçu",IF(N(S1332)=0,"Brouillon",IF(AND(ISNUMBER(R1332),R1332&lt;p_today),"En retard",IF(N(T1332)&gt;0,"Partiel","Envoyé"))))))</f>
        <v/>
      </c>
      <c r="Y1332" s="75" t="str">
        <f>IF(X1332="En retard",p_today-R1332,IF(AND(X1332="Reçu",ISNUMBER(R1332)),MAX(0,N(U1332)-R1332),""))</f>
        <v/>
      </c>
      <c r="Z1332" s="67" t="str">
        <f>IF(AND(A1332="",E1332=""),"",IF(A1332="","N° de bon manquant",IF(N(B1332)=0,"Date de commande manquante",IF(C1332="","Fournisseur manquant",IF(ISNA(MATCH($C1332,sup_code,0)),"Fournisseur inconnu",IF(E1332="","Article manquant",IF(ISNA(MATCH($E1332,art_ref,0)),"Article inconnu",IF(N(H1332)&lt;=0,"Quantité invalide",IF(J1332="","Prix manquant",IF(OR(N(K1332)&lt;0,N(K1332)&gt;=1),"Remise invalide",IF(M1332="","TVA manquante",IF(ISNA(MATCH(M1332,p_tva,0)),"Taux de TVA inconnu",IF(COUNTIFS(po_num,A1332,po_sup,"&lt;&gt;"&amp;C1332)&gt;0,"Fournisseur différent sur ce bon",IF(COUNTIFS(po_num,A1332,po_date,"&lt;&gt;"&amp;B1332)&gt;0,"Date différente sur ce bon",IF(COUNTIF(po_num,A1332)&gt;25,"Plus de 25 lignes sur ce bon",IF(R1332="","Date de livraison manquante",IF(R1332&lt;B1332,"Livraison avant la commande",IF(AND(N(T1332)&gt;0,N(S1332)=0),"Date d'envoi manquante",IF(N(T1332)&gt;N(H1332),"Reçu plus que commandé",IF(AND(N(T1332)&gt;0,N(U1332)=0),"Date de réception manquante",IF(AND(N(U1332)&gt;0,U1332&lt;B1332),"Réception avant la commande","OK")))))))))))))))))))))</f>
        <v/>
      </c>
      <c r="AA1332" s="66" t="str">
        <f>IF(AND(X1332="Reçu",ISNUMBER(R1332)),IF(N(U1332)&lt;=R1332,1,0),"")</f>
        <v/>
      </c>
      <c r="AB1332" s="76" t="str">
        <f>IF(OR(X1332="Envoyé",X1332="Partiel",X1332="En retard"),IF(ISNUMBER(R1332),R1332,100000)+ROW()/100000,"")</f>
        <v/>
      </c>
      <c r="AC1332" s="66" t="str">
        <f>IF(A1332="","",IF(COUNTIF($A$6:A1332,A1332)=1,1,""))</f>
        <v/>
      </c>
      <c r="AD1332" s="66" t="str">
        <f>IF(AC1332=1,COUNT($AC$6:AC1332),"")</f>
        <v/>
      </c>
      <c r="AE1332" s="66" t="str">
        <f>IFERROR(INDEX(po_num,MATCH(1327,po_seq,0))&amp;"","")</f>
        <v/>
      </c>
      <c r="AF1332" s="66" t="str">
        <f>IF(OR(A1332="",p_po=""),"",IF(A1332&amp;""=p_po,COUNTIF($A$6:A1332,A1332),""))</f>
        <v/>
      </c>
      <c r="AG1332" s="66" t="str">
        <f>IF(OR(AB1332="",A1332=""),"",IF(COUNTIFS($A$6:A1332,A1332,$AB$6:AB1332,"&gt;0")=1,1,""))</f>
        <v/>
      </c>
      <c r="AH1332" s="70" t="str">
        <f>IF(AB1332="","",ROUND(N(W1332)*N(J1332)*(1-N(K1332)),2))</f>
        <v/>
      </c>
      <c r="AI1332" s="70" t="str">
        <f>IF(OR(J1332="",N(T1332)&lt;=0,V1332="Oui"),"",ROUND(N(T1332)*J1332*(1-N(K1332)),2))</f>
        <v/>
      </c>
    </row>
    <row r="1333">
      <c r="A1333" s="63" t="n"/>
      <c r="B1333" s="64" t="n"/>
      <c r="C1333" s="65" t="n"/>
      <c r="D1333" s="66" t="str">
        <f>IF(C1333="","",IFERROR(INDEX(sup_name,MATCH($C1333,sup_code,0))&amp;"","Fournisseur inconnu"))</f>
        <v/>
      </c>
      <c r="E1333" s="63" t="n"/>
      <c r="F1333" s="66" t="str">
        <f>IF(E1333="","",IFERROR(INDEX(art_des,MATCH($E1333,art_ref,0))&amp;"","Article inconnu"))</f>
        <v/>
      </c>
      <c r="G1333" s="67" t="str">
        <f>IF(E1333="","",IFERROR(INDEX(art_unit,MATCH($E1333,art_ref,0))&amp;"",""))</f>
        <v/>
      </c>
      <c r="H1333" s="68" t="n"/>
      <c r="I1333" s="69" t="n"/>
      <c r="J1333" s="70" t="str">
        <f>IF(E1333="","",IF(ISNUMBER(I1333),I1333,IFERROR(IF(ISNUMBER(INDEX(art_price,MATCH($E1333,art_ref,0))),INDEX(art_price,MATCH($E1333,art_ref,0)),""),"")))</f>
        <v/>
      </c>
      <c r="K1333" s="71" t="n"/>
      <c r="L1333" s="72" t="n"/>
      <c r="M1333" s="72" t="str">
        <f>IF(E1333="","",IF(L1333&lt;&gt;"",L1333,IFERROR(IF(ISNUMBER(INDEX(art_tva,MATCH($E1333,art_ref,0))),INDEX(art_tva,MATCH($E1333,art_ref,0)),""),"")))</f>
        <v/>
      </c>
      <c r="N1333" s="70" t="str">
        <f>IF(OR(E1333="",J1333=""),"",ROUND(N(H1333)*J1333*(1-N(K1333)),2))</f>
        <v/>
      </c>
      <c r="O1333" s="70" t="str">
        <f>IF(OR(N1333="",NOT(ISNUMBER(M1333))),"",ROUND(N1333*M1333,2))</f>
        <v/>
      </c>
      <c r="P1333" s="70" t="str">
        <f>IF(N1333="","",N1333+N(O1333))</f>
        <v/>
      </c>
      <c r="Q1333" s="64" t="n"/>
      <c r="R1333" s="73" t="str">
        <f>IF(N(Q1333)&gt;0,Q1333,IF(OR(N(B1333)=0,ISNA(MATCH($C1333,sup_code,0))),"",IF(ISNUMBER(INDEX(sup_delay,MATCH($C1333,sup_code,0))),B1333+INDEX(sup_delay,MATCH($C1333,sup_code,0)),"")))</f>
        <v/>
      </c>
      <c r="S1333" s="64" t="n"/>
      <c r="T1333" s="68" t="n"/>
      <c r="U1333" s="64" t="n"/>
      <c r="V1333" s="65" t="n"/>
      <c r="W1333" s="74" t="str">
        <f>IF(AND(A1333="",E1333=""),"",IF(V1333="Oui",0,MAX(0,ROUND(N(H1333)-N(T1333),6))))</f>
        <v/>
      </c>
      <c r="X1333" s="67" t="str">
        <f>IF(AND(A1333="",E1333=""),"",IF(V1333="Oui","Annulé",IF(AND(N(H1333)&gt;0,N(T1333)&gt;=N(H1333)),"Reçu",IF(N(S1333)=0,"Brouillon",IF(AND(ISNUMBER(R1333),R1333&lt;p_today),"En retard",IF(N(T1333)&gt;0,"Partiel","Envoyé"))))))</f>
        <v/>
      </c>
      <c r="Y1333" s="75" t="str">
        <f>IF(X1333="En retard",p_today-R1333,IF(AND(X1333="Reçu",ISNUMBER(R1333)),MAX(0,N(U1333)-R1333),""))</f>
        <v/>
      </c>
      <c r="Z1333" s="67" t="str">
        <f>IF(AND(A1333="",E1333=""),"",IF(A1333="","N° de bon manquant",IF(N(B1333)=0,"Date de commande manquante",IF(C1333="","Fournisseur manquant",IF(ISNA(MATCH($C1333,sup_code,0)),"Fournisseur inconnu",IF(E1333="","Article manquant",IF(ISNA(MATCH($E1333,art_ref,0)),"Article inconnu",IF(N(H1333)&lt;=0,"Quantité invalide",IF(J1333="","Prix manquant",IF(OR(N(K1333)&lt;0,N(K1333)&gt;=1),"Remise invalide",IF(M1333="","TVA manquante",IF(ISNA(MATCH(M1333,p_tva,0)),"Taux de TVA inconnu",IF(COUNTIFS(po_num,A1333,po_sup,"&lt;&gt;"&amp;C1333)&gt;0,"Fournisseur différent sur ce bon",IF(COUNTIFS(po_num,A1333,po_date,"&lt;&gt;"&amp;B1333)&gt;0,"Date différente sur ce bon",IF(COUNTIF(po_num,A1333)&gt;25,"Plus de 25 lignes sur ce bon",IF(R1333="","Date de livraison manquante",IF(R1333&lt;B1333,"Livraison avant la commande",IF(AND(N(T1333)&gt;0,N(S1333)=0),"Date d'envoi manquante",IF(N(T1333)&gt;N(H1333),"Reçu plus que commandé",IF(AND(N(T1333)&gt;0,N(U1333)=0),"Date de réception manquante",IF(AND(N(U1333)&gt;0,U1333&lt;B1333),"Réception avant la commande","OK")))))))))))))))))))))</f>
        <v/>
      </c>
      <c r="AA1333" s="66" t="str">
        <f>IF(AND(X1333="Reçu",ISNUMBER(R1333)),IF(N(U1333)&lt;=R1333,1,0),"")</f>
        <v/>
      </c>
      <c r="AB1333" s="76" t="str">
        <f>IF(OR(X1333="Envoyé",X1333="Partiel",X1333="En retard"),IF(ISNUMBER(R1333),R1333,100000)+ROW()/100000,"")</f>
        <v/>
      </c>
      <c r="AC1333" s="66" t="str">
        <f>IF(A1333="","",IF(COUNTIF($A$6:A1333,A1333)=1,1,""))</f>
        <v/>
      </c>
      <c r="AD1333" s="66" t="str">
        <f>IF(AC1333=1,COUNT($AC$6:AC1333),"")</f>
        <v/>
      </c>
      <c r="AE1333" s="66" t="str">
        <f>IFERROR(INDEX(po_num,MATCH(1328,po_seq,0))&amp;"","")</f>
        <v/>
      </c>
      <c r="AF1333" s="66" t="str">
        <f>IF(OR(A1333="",p_po=""),"",IF(A1333&amp;""=p_po,COUNTIF($A$6:A1333,A1333),""))</f>
        <v/>
      </c>
      <c r="AG1333" s="66" t="str">
        <f>IF(OR(AB1333="",A1333=""),"",IF(COUNTIFS($A$6:A1333,A1333,$AB$6:AB1333,"&gt;0")=1,1,""))</f>
        <v/>
      </c>
      <c r="AH1333" s="70" t="str">
        <f>IF(AB1333="","",ROUND(N(W1333)*N(J1333)*(1-N(K1333)),2))</f>
        <v/>
      </c>
      <c r="AI1333" s="70" t="str">
        <f>IF(OR(J1333="",N(T1333)&lt;=0,V1333="Oui"),"",ROUND(N(T1333)*J1333*(1-N(K1333)),2))</f>
        <v/>
      </c>
    </row>
    <row r="1334">
      <c r="A1334" s="63" t="n"/>
      <c r="B1334" s="64" t="n"/>
      <c r="C1334" s="65" t="n"/>
      <c r="D1334" s="66" t="str">
        <f>IF(C1334="","",IFERROR(INDEX(sup_name,MATCH($C1334,sup_code,0))&amp;"","Fournisseur inconnu"))</f>
        <v/>
      </c>
      <c r="E1334" s="63" t="n"/>
      <c r="F1334" s="66" t="str">
        <f>IF(E1334="","",IFERROR(INDEX(art_des,MATCH($E1334,art_ref,0))&amp;"","Article inconnu"))</f>
        <v/>
      </c>
      <c r="G1334" s="67" t="str">
        <f>IF(E1334="","",IFERROR(INDEX(art_unit,MATCH($E1334,art_ref,0))&amp;"",""))</f>
        <v/>
      </c>
      <c r="H1334" s="68" t="n"/>
      <c r="I1334" s="69" t="n"/>
      <c r="J1334" s="70" t="str">
        <f>IF(E1334="","",IF(ISNUMBER(I1334),I1334,IFERROR(IF(ISNUMBER(INDEX(art_price,MATCH($E1334,art_ref,0))),INDEX(art_price,MATCH($E1334,art_ref,0)),""),"")))</f>
        <v/>
      </c>
      <c r="K1334" s="71" t="n"/>
      <c r="L1334" s="72" t="n"/>
      <c r="M1334" s="72" t="str">
        <f>IF(E1334="","",IF(L1334&lt;&gt;"",L1334,IFERROR(IF(ISNUMBER(INDEX(art_tva,MATCH($E1334,art_ref,0))),INDEX(art_tva,MATCH($E1334,art_ref,0)),""),"")))</f>
        <v/>
      </c>
      <c r="N1334" s="70" t="str">
        <f>IF(OR(E1334="",J1334=""),"",ROUND(N(H1334)*J1334*(1-N(K1334)),2))</f>
        <v/>
      </c>
      <c r="O1334" s="70" t="str">
        <f>IF(OR(N1334="",NOT(ISNUMBER(M1334))),"",ROUND(N1334*M1334,2))</f>
        <v/>
      </c>
      <c r="P1334" s="70" t="str">
        <f>IF(N1334="","",N1334+N(O1334))</f>
        <v/>
      </c>
      <c r="Q1334" s="64" t="n"/>
      <c r="R1334" s="73" t="str">
        <f>IF(N(Q1334)&gt;0,Q1334,IF(OR(N(B1334)=0,ISNA(MATCH($C1334,sup_code,0))),"",IF(ISNUMBER(INDEX(sup_delay,MATCH($C1334,sup_code,0))),B1334+INDEX(sup_delay,MATCH($C1334,sup_code,0)),"")))</f>
        <v/>
      </c>
      <c r="S1334" s="64" t="n"/>
      <c r="T1334" s="68" t="n"/>
      <c r="U1334" s="64" t="n"/>
      <c r="V1334" s="65" t="n"/>
      <c r="W1334" s="74" t="str">
        <f>IF(AND(A1334="",E1334=""),"",IF(V1334="Oui",0,MAX(0,ROUND(N(H1334)-N(T1334),6))))</f>
        <v/>
      </c>
      <c r="X1334" s="67" t="str">
        <f>IF(AND(A1334="",E1334=""),"",IF(V1334="Oui","Annulé",IF(AND(N(H1334)&gt;0,N(T1334)&gt;=N(H1334)),"Reçu",IF(N(S1334)=0,"Brouillon",IF(AND(ISNUMBER(R1334),R1334&lt;p_today),"En retard",IF(N(T1334)&gt;0,"Partiel","Envoyé"))))))</f>
        <v/>
      </c>
      <c r="Y1334" s="75" t="str">
        <f>IF(X1334="En retard",p_today-R1334,IF(AND(X1334="Reçu",ISNUMBER(R1334)),MAX(0,N(U1334)-R1334),""))</f>
        <v/>
      </c>
      <c r="Z1334" s="67" t="str">
        <f>IF(AND(A1334="",E1334=""),"",IF(A1334="","N° de bon manquant",IF(N(B1334)=0,"Date de commande manquante",IF(C1334="","Fournisseur manquant",IF(ISNA(MATCH($C1334,sup_code,0)),"Fournisseur inconnu",IF(E1334="","Article manquant",IF(ISNA(MATCH($E1334,art_ref,0)),"Article inconnu",IF(N(H1334)&lt;=0,"Quantité invalide",IF(J1334="","Prix manquant",IF(OR(N(K1334)&lt;0,N(K1334)&gt;=1),"Remise invalide",IF(M1334="","TVA manquante",IF(ISNA(MATCH(M1334,p_tva,0)),"Taux de TVA inconnu",IF(COUNTIFS(po_num,A1334,po_sup,"&lt;&gt;"&amp;C1334)&gt;0,"Fournisseur différent sur ce bon",IF(COUNTIFS(po_num,A1334,po_date,"&lt;&gt;"&amp;B1334)&gt;0,"Date différente sur ce bon",IF(COUNTIF(po_num,A1334)&gt;25,"Plus de 25 lignes sur ce bon",IF(R1334="","Date de livraison manquante",IF(R1334&lt;B1334,"Livraison avant la commande",IF(AND(N(T1334)&gt;0,N(S1334)=0),"Date d'envoi manquante",IF(N(T1334)&gt;N(H1334),"Reçu plus que commandé",IF(AND(N(T1334)&gt;0,N(U1334)=0),"Date de réception manquante",IF(AND(N(U1334)&gt;0,U1334&lt;B1334),"Réception avant la commande","OK")))))))))))))))))))))</f>
        <v/>
      </c>
      <c r="AA1334" s="66" t="str">
        <f>IF(AND(X1334="Reçu",ISNUMBER(R1334)),IF(N(U1334)&lt;=R1334,1,0),"")</f>
        <v/>
      </c>
      <c r="AB1334" s="76" t="str">
        <f>IF(OR(X1334="Envoyé",X1334="Partiel",X1334="En retard"),IF(ISNUMBER(R1334),R1334,100000)+ROW()/100000,"")</f>
        <v/>
      </c>
      <c r="AC1334" s="66" t="str">
        <f>IF(A1334="","",IF(COUNTIF($A$6:A1334,A1334)=1,1,""))</f>
        <v/>
      </c>
      <c r="AD1334" s="66" t="str">
        <f>IF(AC1334=1,COUNT($AC$6:AC1334),"")</f>
        <v/>
      </c>
      <c r="AE1334" s="66" t="str">
        <f>IFERROR(INDEX(po_num,MATCH(1329,po_seq,0))&amp;"","")</f>
        <v/>
      </c>
      <c r="AF1334" s="66" t="str">
        <f>IF(OR(A1334="",p_po=""),"",IF(A1334&amp;""=p_po,COUNTIF($A$6:A1334,A1334),""))</f>
        <v/>
      </c>
      <c r="AG1334" s="66" t="str">
        <f>IF(OR(AB1334="",A1334=""),"",IF(COUNTIFS($A$6:A1334,A1334,$AB$6:AB1334,"&gt;0")=1,1,""))</f>
        <v/>
      </c>
      <c r="AH1334" s="70" t="str">
        <f>IF(AB1334="","",ROUND(N(W1334)*N(J1334)*(1-N(K1334)),2))</f>
        <v/>
      </c>
      <c r="AI1334" s="70" t="str">
        <f>IF(OR(J1334="",N(T1334)&lt;=0,V1334="Oui"),"",ROUND(N(T1334)*J1334*(1-N(K1334)),2))</f>
        <v/>
      </c>
    </row>
    <row r="1335">
      <c r="A1335" s="63" t="n"/>
      <c r="B1335" s="64" t="n"/>
      <c r="C1335" s="65" t="n"/>
      <c r="D1335" s="66" t="str">
        <f>IF(C1335="","",IFERROR(INDEX(sup_name,MATCH($C1335,sup_code,0))&amp;"","Fournisseur inconnu"))</f>
        <v/>
      </c>
      <c r="E1335" s="63" t="n"/>
      <c r="F1335" s="66" t="str">
        <f>IF(E1335="","",IFERROR(INDEX(art_des,MATCH($E1335,art_ref,0))&amp;"","Article inconnu"))</f>
        <v/>
      </c>
      <c r="G1335" s="67" t="str">
        <f>IF(E1335="","",IFERROR(INDEX(art_unit,MATCH($E1335,art_ref,0))&amp;"",""))</f>
        <v/>
      </c>
      <c r="H1335" s="68" t="n"/>
      <c r="I1335" s="69" t="n"/>
      <c r="J1335" s="70" t="str">
        <f>IF(E1335="","",IF(ISNUMBER(I1335),I1335,IFERROR(IF(ISNUMBER(INDEX(art_price,MATCH($E1335,art_ref,0))),INDEX(art_price,MATCH($E1335,art_ref,0)),""),"")))</f>
        <v/>
      </c>
      <c r="K1335" s="71" t="n"/>
      <c r="L1335" s="72" t="n"/>
      <c r="M1335" s="72" t="str">
        <f>IF(E1335="","",IF(L1335&lt;&gt;"",L1335,IFERROR(IF(ISNUMBER(INDEX(art_tva,MATCH($E1335,art_ref,0))),INDEX(art_tva,MATCH($E1335,art_ref,0)),""),"")))</f>
        <v/>
      </c>
      <c r="N1335" s="70" t="str">
        <f>IF(OR(E1335="",J1335=""),"",ROUND(N(H1335)*J1335*(1-N(K1335)),2))</f>
        <v/>
      </c>
      <c r="O1335" s="70" t="str">
        <f>IF(OR(N1335="",NOT(ISNUMBER(M1335))),"",ROUND(N1335*M1335,2))</f>
        <v/>
      </c>
      <c r="P1335" s="70" t="str">
        <f>IF(N1335="","",N1335+N(O1335))</f>
        <v/>
      </c>
      <c r="Q1335" s="64" t="n"/>
      <c r="R1335" s="73" t="str">
        <f>IF(N(Q1335)&gt;0,Q1335,IF(OR(N(B1335)=0,ISNA(MATCH($C1335,sup_code,0))),"",IF(ISNUMBER(INDEX(sup_delay,MATCH($C1335,sup_code,0))),B1335+INDEX(sup_delay,MATCH($C1335,sup_code,0)),"")))</f>
        <v/>
      </c>
      <c r="S1335" s="64" t="n"/>
      <c r="T1335" s="68" t="n"/>
      <c r="U1335" s="64" t="n"/>
      <c r="V1335" s="65" t="n"/>
      <c r="W1335" s="74" t="str">
        <f>IF(AND(A1335="",E1335=""),"",IF(V1335="Oui",0,MAX(0,ROUND(N(H1335)-N(T1335),6))))</f>
        <v/>
      </c>
      <c r="X1335" s="67" t="str">
        <f>IF(AND(A1335="",E1335=""),"",IF(V1335="Oui","Annulé",IF(AND(N(H1335)&gt;0,N(T1335)&gt;=N(H1335)),"Reçu",IF(N(S1335)=0,"Brouillon",IF(AND(ISNUMBER(R1335),R1335&lt;p_today),"En retard",IF(N(T1335)&gt;0,"Partiel","Envoyé"))))))</f>
        <v/>
      </c>
      <c r="Y1335" s="75" t="str">
        <f>IF(X1335="En retard",p_today-R1335,IF(AND(X1335="Reçu",ISNUMBER(R1335)),MAX(0,N(U1335)-R1335),""))</f>
        <v/>
      </c>
      <c r="Z1335" s="67" t="str">
        <f>IF(AND(A1335="",E1335=""),"",IF(A1335="","N° de bon manquant",IF(N(B1335)=0,"Date de commande manquante",IF(C1335="","Fournisseur manquant",IF(ISNA(MATCH($C1335,sup_code,0)),"Fournisseur inconnu",IF(E1335="","Article manquant",IF(ISNA(MATCH($E1335,art_ref,0)),"Article inconnu",IF(N(H1335)&lt;=0,"Quantité invalide",IF(J1335="","Prix manquant",IF(OR(N(K1335)&lt;0,N(K1335)&gt;=1),"Remise invalide",IF(M1335="","TVA manquante",IF(ISNA(MATCH(M1335,p_tva,0)),"Taux de TVA inconnu",IF(COUNTIFS(po_num,A1335,po_sup,"&lt;&gt;"&amp;C1335)&gt;0,"Fournisseur différent sur ce bon",IF(COUNTIFS(po_num,A1335,po_date,"&lt;&gt;"&amp;B1335)&gt;0,"Date différente sur ce bon",IF(COUNTIF(po_num,A1335)&gt;25,"Plus de 25 lignes sur ce bon",IF(R1335="","Date de livraison manquante",IF(R1335&lt;B1335,"Livraison avant la commande",IF(AND(N(T1335)&gt;0,N(S1335)=0),"Date d'envoi manquante",IF(N(T1335)&gt;N(H1335),"Reçu plus que commandé",IF(AND(N(T1335)&gt;0,N(U1335)=0),"Date de réception manquante",IF(AND(N(U1335)&gt;0,U1335&lt;B1335),"Réception avant la commande","OK")))))))))))))))))))))</f>
        <v/>
      </c>
      <c r="AA1335" s="66" t="str">
        <f>IF(AND(X1335="Reçu",ISNUMBER(R1335)),IF(N(U1335)&lt;=R1335,1,0),"")</f>
        <v/>
      </c>
      <c r="AB1335" s="76" t="str">
        <f>IF(OR(X1335="Envoyé",X1335="Partiel",X1335="En retard"),IF(ISNUMBER(R1335),R1335,100000)+ROW()/100000,"")</f>
        <v/>
      </c>
      <c r="AC1335" s="66" t="str">
        <f>IF(A1335="","",IF(COUNTIF($A$6:A1335,A1335)=1,1,""))</f>
        <v/>
      </c>
      <c r="AD1335" s="66" t="str">
        <f>IF(AC1335=1,COUNT($AC$6:AC1335),"")</f>
        <v/>
      </c>
      <c r="AE1335" s="66" t="str">
        <f>IFERROR(INDEX(po_num,MATCH(1330,po_seq,0))&amp;"","")</f>
        <v/>
      </c>
      <c r="AF1335" s="66" t="str">
        <f>IF(OR(A1335="",p_po=""),"",IF(A1335&amp;""=p_po,COUNTIF($A$6:A1335,A1335),""))</f>
        <v/>
      </c>
      <c r="AG1335" s="66" t="str">
        <f>IF(OR(AB1335="",A1335=""),"",IF(COUNTIFS($A$6:A1335,A1335,$AB$6:AB1335,"&gt;0")=1,1,""))</f>
        <v/>
      </c>
      <c r="AH1335" s="70" t="str">
        <f>IF(AB1335="","",ROUND(N(W1335)*N(J1335)*(1-N(K1335)),2))</f>
        <v/>
      </c>
      <c r="AI1335" s="70" t="str">
        <f>IF(OR(J1335="",N(T1335)&lt;=0,V1335="Oui"),"",ROUND(N(T1335)*J1335*(1-N(K1335)),2))</f>
        <v/>
      </c>
    </row>
    <row r="1336">
      <c r="A1336" s="63" t="n"/>
      <c r="B1336" s="64" t="n"/>
      <c r="C1336" s="65" t="n"/>
      <c r="D1336" s="66" t="str">
        <f>IF(C1336="","",IFERROR(INDEX(sup_name,MATCH($C1336,sup_code,0))&amp;"","Fournisseur inconnu"))</f>
        <v/>
      </c>
      <c r="E1336" s="63" t="n"/>
      <c r="F1336" s="66" t="str">
        <f>IF(E1336="","",IFERROR(INDEX(art_des,MATCH($E1336,art_ref,0))&amp;"","Article inconnu"))</f>
        <v/>
      </c>
      <c r="G1336" s="67" t="str">
        <f>IF(E1336="","",IFERROR(INDEX(art_unit,MATCH($E1336,art_ref,0))&amp;"",""))</f>
        <v/>
      </c>
      <c r="H1336" s="68" t="n"/>
      <c r="I1336" s="69" t="n"/>
      <c r="J1336" s="70" t="str">
        <f>IF(E1336="","",IF(ISNUMBER(I1336),I1336,IFERROR(IF(ISNUMBER(INDEX(art_price,MATCH($E1336,art_ref,0))),INDEX(art_price,MATCH($E1336,art_ref,0)),""),"")))</f>
        <v/>
      </c>
      <c r="K1336" s="71" t="n"/>
      <c r="L1336" s="72" t="n"/>
      <c r="M1336" s="72" t="str">
        <f>IF(E1336="","",IF(L1336&lt;&gt;"",L1336,IFERROR(IF(ISNUMBER(INDEX(art_tva,MATCH($E1336,art_ref,0))),INDEX(art_tva,MATCH($E1336,art_ref,0)),""),"")))</f>
        <v/>
      </c>
      <c r="N1336" s="70" t="str">
        <f>IF(OR(E1336="",J1336=""),"",ROUND(N(H1336)*J1336*(1-N(K1336)),2))</f>
        <v/>
      </c>
      <c r="O1336" s="70" t="str">
        <f>IF(OR(N1336="",NOT(ISNUMBER(M1336))),"",ROUND(N1336*M1336,2))</f>
        <v/>
      </c>
      <c r="P1336" s="70" t="str">
        <f>IF(N1336="","",N1336+N(O1336))</f>
        <v/>
      </c>
      <c r="Q1336" s="64" t="n"/>
      <c r="R1336" s="73" t="str">
        <f>IF(N(Q1336)&gt;0,Q1336,IF(OR(N(B1336)=0,ISNA(MATCH($C1336,sup_code,0))),"",IF(ISNUMBER(INDEX(sup_delay,MATCH($C1336,sup_code,0))),B1336+INDEX(sup_delay,MATCH($C1336,sup_code,0)),"")))</f>
        <v/>
      </c>
      <c r="S1336" s="64" t="n"/>
      <c r="T1336" s="68" t="n"/>
      <c r="U1336" s="64" t="n"/>
      <c r="V1336" s="65" t="n"/>
      <c r="W1336" s="74" t="str">
        <f>IF(AND(A1336="",E1336=""),"",IF(V1336="Oui",0,MAX(0,ROUND(N(H1336)-N(T1336),6))))</f>
        <v/>
      </c>
      <c r="X1336" s="67" t="str">
        <f>IF(AND(A1336="",E1336=""),"",IF(V1336="Oui","Annulé",IF(AND(N(H1336)&gt;0,N(T1336)&gt;=N(H1336)),"Reçu",IF(N(S1336)=0,"Brouillon",IF(AND(ISNUMBER(R1336),R1336&lt;p_today),"En retard",IF(N(T1336)&gt;0,"Partiel","Envoyé"))))))</f>
        <v/>
      </c>
      <c r="Y1336" s="75" t="str">
        <f>IF(X1336="En retard",p_today-R1336,IF(AND(X1336="Reçu",ISNUMBER(R1336)),MAX(0,N(U1336)-R1336),""))</f>
        <v/>
      </c>
      <c r="Z1336" s="67" t="str">
        <f>IF(AND(A1336="",E1336=""),"",IF(A1336="","N° de bon manquant",IF(N(B1336)=0,"Date de commande manquante",IF(C1336="","Fournisseur manquant",IF(ISNA(MATCH($C1336,sup_code,0)),"Fournisseur inconnu",IF(E1336="","Article manquant",IF(ISNA(MATCH($E1336,art_ref,0)),"Article inconnu",IF(N(H1336)&lt;=0,"Quantité invalide",IF(J1336="","Prix manquant",IF(OR(N(K1336)&lt;0,N(K1336)&gt;=1),"Remise invalide",IF(M1336="","TVA manquante",IF(ISNA(MATCH(M1336,p_tva,0)),"Taux de TVA inconnu",IF(COUNTIFS(po_num,A1336,po_sup,"&lt;&gt;"&amp;C1336)&gt;0,"Fournisseur différent sur ce bon",IF(COUNTIFS(po_num,A1336,po_date,"&lt;&gt;"&amp;B1336)&gt;0,"Date différente sur ce bon",IF(COUNTIF(po_num,A1336)&gt;25,"Plus de 25 lignes sur ce bon",IF(R1336="","Date de livraison manquante",IF(R1336&lt;B1336,"Livraison avant la commande",IF(AND(N(T1336)&gt;0,N(S1336)=0),"Date d'envoi manquante",IF(N(T1336)&gt;N(H1336),"Reçu plus que commandé",IF(AND(N(T1336)&gt;0,N(U1336)=0),"Date de réception manquante",IF(AND(N(U1336)&gt;0,U1336&lt;B1336),"Réception avant la commande","OK")))))))))))))))))))))</f>
        <v/>
      </c>
      <c r="AA1336" s="66" t="str">
        <f>IF(AND(X1336="Reçu",ISNUMBER(R1336)),IF(N(U1336)&lt;=R1336,1,0),"")</f>
        <v/>
      </c>
      <c r="AB1336" s="76" t="str">
        <f>IF(OR(X1336="Envoyé",X1336="Partiel",X1336="En retard"),IF(ISNUMBER(R1336),R1336,100000)+ROW()/100000,"")</f>
        <v/>
      </c>
      <c r="AC1336" s="66" t="str">
        <f>IF(A1336="","",IF(COUNTIF($A$6:A1336,A1336)=1,1,""))</f>
        <v/>
      </c>
      <c r="AD1336" s="66" t="str">
        <f>IF(AC1336=1,COUNT($AC$6:AC1336),"")</f>
        <v/>
      </c>
      <c r="AE1336" s="66" t="str">
        <f>IFERROR(INDEX(po_num,MATCH(1331,po_seq,0))&amp;"","")</f>
        <v/>
      </c>
      <c r="AF1336" s="66" t="str">
        <f>IF(OR(A1336="",p_po=""),"",IF(A1336&amp;""=p_po,COUNTIF($A$6:A1336,A1336),""))</f>
        <v/>
      </c>
      <c r="AG1336" s="66" t="str">
        <f>IF(OR(AB1336="",A1336=""),"",IF(COUNTIFS($A$6:A1336,A1336,$AB$6:AB1336,"&gt;0")=1,1,""))</f>
        <v/>
      </c>
      <c r="AH1336" s="70" t="str">
        <f>IF(AB1336="","",ROUND(N(W1336)*N(J1336)*(1-N(K1336)),2))</f>
        <v/>
      </c>
      <c r="AI1336" s="70" t="str">
        <f>IF(OR(J1336="",N(T1336)&lt;=0,V1336="Oui"),"",ROUND(N(T1336)*J1336*(1-N(K1336)),2))</f>
        <v/>
      </c>
    </row>
    <row r="1337">
      <c r="A1337" s="63" t="n"/>
      <c r="B1337" s="64" t="n"/>
      <c r="C1337" s="65" t="n"/>
      <c r="D1337" s="66" t="str">
        <f>IF(C1337="","",IFERROR(INDEX(sup_name,MATCH($C1337,sup_code,0))&amp;"","Fournisseur inconnu"))</f>
        <v/>
      </c>
      <c r="E1337" s="63" t="n"/>
      <c r="F1337" s="66" t="str">
        <f>IF(E1337="","",IFERROR(INDEX(art_des,MATCH($E1337,art_ref,0))&amp;"","Article inconnu"))</f>
        <v/>
      </c>
      <c r="G1337" s="67" t="str">
        <f>IF(E1337="","",IFERROR(INDEX(art_unit,MATCH($E1337,art_ref,0))&amp;"",""))</f>
        <v/>
      </c>
      <c r="H1337" s="68" t="n"/>
      <c r="I1337" s="69" t="n"/>
      <c r="J1337" s="70" t="str">
        <f>IF(E1337="","",IF(ISNUMBER(I1337),I1337,IFERROR(IF(ISNUMBER(INDEX(art_price,MATCH($E1337,art_ref,0))),INDEX(art_price,MATCH($E1337,art_ref,0)),""),"")))</f>
        <v/>
      </c>
      <c r="K1337" s="71" t="n"/>
      <c r="L1337" s="72" t="n"/>
      <c r="M1337" s="72" t="str">
        <f>IF(E1337="","",IF(L1337&lt;&gt;"",L1337,IFERROR(IF(ISNUMBER(INDEX(art_tva,MATCH($E1337,art_ref,0))),INDEX(art_tva,MATCH($E1337,art_ref,0)),""),"")))</f>
        <v/>
      </c>
      <c r="N1337" s="70" t="str">
        <f>IF(OR(E1337="",J1337=""),"",ROUND(N(H1337)*J1337*(1-N(K1337)),2))</f>
        <v/>
      </c>
      <c r="O1337" s="70" t="str">
        <f>IF(OR(N1337="",NOT(ISNUMBER(M1337))),"",ROUND(N1337*M1337,2))</f>
        <v/>
      </c>
      <c r="P1337" s="70" t="str">
        <f>IF(N1337="","",N1337+N(O1337))</f>
        <v/>
      </c>
      <c r="Q1337" s="64" t="n"/>
      <c r="R1337" s="73" t="str">
        <f>IF(N(Q1337)&gt;0,Q1337,IF(OR(N(B1337)=0,ISNA(MATCH($C1337,sup_code,0))),"",IF(ISNUMBER(INDEX(sup_delay,MATCH($C1337,sup_code,0))),B1337+INDEX(sup_delay,MATCH($C1337,sup_code,0)),"")))</f>
        <v/>
      </c>
      <c r="S1337" s="64" t="n"/>
      <c r="T1337" s="68" t="n"/>
      <c r="U1337" s="64" t="n"/>
      <c r="V1337" s="65" t="n"/>
      <c r="W1337" s="74" t="str">
        <f>IF(AND(A1337="",E1337=""),"",IF(V1337="Oui",0,MAX(0,ROUND(N(H1337)-N(T1337),6))))</f>
        <v/>
      </c>
      <c r="X1337" s="67" t="str">
        <f>IF(AND(A1337="",E1337=""),"",IF(V1337="Oui","Annulé",IF(AND(N(H1337)&gt;0,N(T1337)&gt;=N(H1337)),"Reçu",IF(N(S1337)=0,"Brouillon",IF(AND(ISNUMBER(R1337),R1337&lt;p_today),"En retard",IF(N(T1337)&gt;0,"Partiel","Envoyé"))))))</f>
        <v/>
      </c>
      <c r="Y1337" s="75" t="str">
        <f>IF(X1337="En retard",p_today-R1337,IF(AND(X1337="Reçu",ISNUMBER(R1337)),MAX(0,N(U1337)-R1337),""))</f>
        <v/>
      </c>
      <c r="Z1337" s="67" t="str">
        <f>IF(AND(A1337="",E1337=""),"",IF(A1337="","N° de bon manquant",IF(N(B1337)=0,"Date de commande manquante",IF(C1337="","Fournisseur manquant",IF(ISNA(MATCH($C1337,sup_code,0)),"Fournisseur inconnu",IF(E1337="","Article manquant",IF(ISNA(MATCH($E1337,art_ref,0)),"Article inconnu",IF(N(H1337)&lt;=0,"Quantité invalide",IF(J1337="","Prix manquant",IF(OR(N(K1337)&lt;0,N(K1337)&gt;=1),"Remise invalide",IF(M1337="","TVA manquante",IF(ISNA(MATCH(M1337,p_tva,0)),"Taux de TVA inconnu",IF(COUNTIFS(po_num,A1337,po_sup,"&lt;&gt;"&amp;C1337)&gt;0,"Fournisseur différent sur ce bon",IF(COUNTIFS(po_num,A1337,po_date,"&lt;&gt;"&amp;B1337)&gt;0,"Date différente sur ce bon",IF(COUNTIF(po_num,A1337)&gt;25,"Plus de 25 lignes sur ce bon",IF(R1337="","Date de livraison manquante",IF(R1337&lt;B1337,"Livraison avant la commande",IF(AND(N(T1337)&gt;0,N(S1337)=0),"Date d'envoi manquante",IF(N(T1337)&gt;N(H1337),"Reçu plus que commandé",IF(AND(N(T1337)&gt;0,N(U1337)=0),"Date de réception manquante",IF(AND(N(U1337)&gt;0,U1337&lt;B1337),"Réception avant la commande","OK")))))))))))))))))))))</f>
        <v/>
      </c>
      <c r="AA1337" s="66" t="str">
        <f>IF(AND(X1337="Reçu",ISNUMBER(R1337)),IF(N(U1337)&lt;=R1337,1,0),"")</f>
        <v/>
      </c>
      <c r="AB1337" s="76" t="str">
        <f>IF(OR(X1337="Envoyé",X1337="Partiel",X1337="En retard"),IF(ISNUMBER(R1337),R1337,100000)+ROW()/100000,"")</f>
        <v/>
      </c>
      <c r="AC1337" s="66" t="str">
        <f>IF(A1337="","",IF(COUNTIF($A$6:A1337,A1337)=1,1,""))</f>
        <v/>
      </c>
      <c r="AD1337" s="66" t="str">
        <f>IF(AC1337=1,COUNT($AC$6:AC1337),"")</f>
        <v/>
      </c>
      <c r="AE1337" s="66" t="str">
        <f>IFERROR(INDEX(po_num,MATCH(1332,po_seq,0))&amp;"","")</f>
        <v/>
      </c>
      <c r="AF1337" s="66" t="str">
        <f>IF(OR(A1337="",p_po=""),"",IF(A1337&amp;""=p_po,COUNTIF($A$6:A1337,A1337),""))</f>
        <v/>
      </c>
      <c r="AG1337" s="66" t="str">
        <f>IF(OR(AB1337="",A1337=""),"",IF(COUNTIFS($A$6:A1337,A1337,$AB$6:AB1337,"&gt;0")=1,1,""))</f>
        <v/>
      </c>
      <c r="AH1337" s="70" t="str">
        <f>IF(AB1337="","",ROUND(N(W1337)*N(J1337)*(1-N(K1337)),2))</f>
        <v/>
      </c>
      <c r="AI1337" s="70" t="str">
        <f>IF(OR(J1337="",N(T1337)&lt;=0,V1337="Oui"),"",ROUND(N(T1337)*J1337*(1-N(K1337)),2))</f>
        <v/>
      </c>
    </row>
    <row r="1338">
      <c r="A1338" s="63" t="n"/>
      <c r="B1338" s="64" t="n"/>
      <c r="C1338" s="65" t="n"/>
      <c r="D1338" s="66" t="str">
        <f>IF(C1338="","",IFERROR(INDEX(sup_name,MATCH($C1338,sup_code,0))&amp;"","Fournisseur inconnu"))</f>
        <v/>
      </c>
      <c r="E1338" s="63" t="n"/>
      <c r="F1338" s="66" t="str">
        <f>IF(E1338="","",IFERROR(INDEX(art_des,MATCH($E1338,art_ref,0))&amp;"","Article inconnu"))</f>
        <v/>
      </c>
      <c r="G1338" s="67" t="str">
        <f>IF(E1338="","",IFERROR(INDEX(art_unit,MATCH($E1338,art_ref,0))&amp;"",""))</f>
        <v/>
      </c>
      <c r="H1338" s="68" t="n"/>
      <c r="I1338" s="69" t="n"/>
      <c r="J1338" s="70" t="str">
        <f>IF(E1338="","",IF(ISNUMBER(I1338),I1338,IFERROR(IF(ISNUMBER(INDEX(art_price,MATCH($E1338,art_ref,0))),INDEX(art_price,MATCH($E1338,art_ref,0)),""),"")))</f>
        <v/>
      </c>
      <c r="K1338" s="71" t="n"/>
      <c r="L1338" s="72" t="n"/>
      <c r="M1338" s="72" t="str">
        <f>IF(E1338="","",IF(L1338&lt;&gt;"",L1338,IFERROR(IF(ISNUMBER(INDEX(art_tva,MATCH($E1338,art_ref,0))),INDEX(art_tva,MATCH($E1338,art_ref,0)),""),"")))</f>
        <v/>
      </c>
      <c r="N1338" s="70" t="str">
        <f>IF(OR(E1338="",J1338=""),"",ROUND(N(H1338)*J1338*(1-N(K1338)),2))</f>
        <v/>
      </c>
      <c r="O1338" s="70" t="str">
        <f>IF(OR(N1338="",NOT(ISNUMBER(M1338))),"",ROUND(N1338*M1338,2))</f>
        <v/>
      </c>
      <c r="P1338" s="70" t="str">
        <f>IF(N1338="","",N1338+N(O1338))</f>
        <v/>
      </c>
      <c r="Q1338" s="64" t="n"/>
      <c r="R1338" s="73" t="str">
        <f>IF(N(Q1338)&gt;0,Q1338,IF(OR(N(B1338)=0,ISNA(MATCH($C1338,sup_code,0))),"",IF(ISNUMBER(INDEX(sup_delay,MATCH($C1338,sup_code,0))),B1338+INDEX(sup_delay,MATCH($C1338,sup_code,0)),"")))</f>
        <v/>
      </c>
      <c r="S1338" s="64" t="n"/>
      <c r="T1338" s="68" t="n"/>
      <c r="U1338" s="64" t="n"/>
      <c r="V1338" s="65" t="n"/>
      <c r="W1338" s="74" t="str">
        <f>IF(AND(A1338="",E1338=""),"",IF(V1338="Oui",0,MAX(0,ROUND(N(H1338)-N(T1338),6))))</f>
        <v/>
      </c>
      <c r="X1338" s="67" t="str">
        <f>IF(AND(A1338="",E1338=""),"",IF(V1338="Oui","Annulé",IF(AND(N(H1338)&gt;0,N(T1338)&gt;=N(H1338)),"Reçu",IF(N(S1338)=0,"Brouillon",IF(AND(ISNUMBER(R1338),R1338&lt;p_today),"En retard",IF(N(T1338)&gt;0,"Partiel","Envoyé"))))))</f>
        <v/>
      </c>
      <c r="Y1338" s="75" t="str">
        <f>IF(X1338="En retard",p_today-R1338,IF(AND(X1338="Reçu",ISNUMBER(R1338)),MAX(0,N(U1338)-R1338),""))</f>
        <v/>
      </c>
      <c r="Z1338" s="67" t="str">
        <f>IF(AND(A1338="",E1338=""),"",IF(A1338="","N° de bon manquant",IF(N(B1338)=0,"Date de commande manquante",IF(C1338="","Fournisseur manquant",IF(ISNA(MATCH($C1338,sup_code,0)),"Fournisseur inconnu",IF(E1338="","Article manquant",IF(ISNA(MATCH($E1338,art_ref,0)),"Article inconnu",IF(N(H1338)&lt;=0,"Quantité invalide",IF(J1338="","Prix manquant",IF(OR(N(K1338)&lt;0,N(K1338)&gt;=1),"Remise invalide",IF(M1338="","TVA manquante",IF(ISNA(MATCH(M1338,p_tva,0)),"Taux de TVA inconnu",IF(COUNTIFS(po_num,A1338,po_sup,"&lt;&gt;"&amp;C1338)&gt;0,"Fournisseur différent sur ce bon",IF(COUNTIFS(po_num,A1338,po_date,"&lt;&gt;"&amp;B1338)&gt;0,"Date différente sur ce bon",IF(COUNTIF(po_num,A1338)&gt;25,"Plus de 25 lignes sur ce bon",IF(R1338="","Date de livraison manquante",IF(R1338&lt;B1338,"Livraison avant la commande",IF(AND(N(T1338)&gt;0,N(S1338)=0),"Date d'envoi manquante",IF(N(T1338)&gt;N(H1338),"Reçu plus que commandé",IF(AND(N(T1338)&gt;0,N(U1338)=0),"Date de réception manquante",IF(AND(N(U1338)&gt;0,U1338&lt;B1338),"Réception avant la commande","OK")))))))))))))))))))))</f>
        <v/>
      </c>
      <c r="AA1338" s="66" t="str">
        <f>IF(AND(X1338="Reçu",ISNUMBER(R1338)),IF(N(U1338)&lt;=R1338,1,0),"")</f>
        <v/>
      </c>
      <c r="AB1338" s="76" t="str">
        <f>IF(OR(X1338="Envoyé",X1338="Partiel",X1338="En retard"),IF(ISNUMBER(R1338),R1338,100000)+ROW()/100000,"")</f>
        <v/>
      </c>
      <c r="AC1338" s="66" t="str">
        <f>IF(A1338="","",IF(COUNTIF($A$6:A1338,A1338)=1,1,""))</f>
        <v/>
      </c>
      <c r="AD1338" s="66" t="str">
        <f>IF(AC1338=1,COUNT($AC$6:AC1338),"")</f>
        <v/>
      </c>
      <c r="AE1338" s="66" t="str">
        <f>IFERROR(INDEX(po_num,MATCH(1333,po_seq,0))&amp;"","")</f>
        <v/>
      </c>
      <c r="AF1338" s="66" t="str">
        <f>IF(OR(A1338="",p_po=""),"",IF(A1338&amp;""=p_po,COUNTIF($A$6:A1338,A1338),""))</f>
        <v/>
      </c>
      <c r="AG1338" s="66" t="str">
        <f>IF(OR(AB1338="",A1338=""),"",IF(COUNTIFS($A$6:A1338,A1338,$AB$6:AB1338,"&gt;0")=1,1,""))</f>
        <v/>
      </c>
      <c r="AH1338" s="70" t="str">
        <f>IF(AB1338="","",ROUND(N(W1338)*N(J1338)*(1-N(K1338)),2))</f>
        <v/>
      </c>
      <c r="AI1338" s="70" t="str">
        <f>IF(OR(J1338="",N(T1338)&lt;=0,V1338="Oui"),"",ROUND(N(T1338)*J1338*(1-N(K1338)),2))</f>
        <v/>
      </c>
    </row>
    <row r="1339">
      <c r="A1339" s="63" t="n"/>
      <c r="B1339" s="64" t="n"/>
      <c r="C1339" s="65" t="n"/>
      <c r="D1339" s="66" t="str">
        <f>IF(C1339="","",IFERROR(INDEX(sup_name,MATCH($C1339,sup_code,0))&amp;"","Fournisseur inconnu"))</f>
        <v/>
      </c>
      <c r="E1339" s="63" t="n"/>
      <c r="F1339" s="66" t="str">
        <f>IF(E1339="","",IFERROR(INDEX(art_des,MATCH($E1339,art_ref,0))&amp;"","Article inconnu"))</f>
        <v/>
      </c>
      <c r="G1339" s="67" t="str">
        <f>IF(E1339="","",IFERROR(INDEX(art_unit,MATCH($E1339,art_ref,0))&amp;"",""))</f>
        <v/>
      </c>
      <c r="H1339" s="68" t="n"/>
      <c r="I1339" s="69" t="n"/>
      <c r="J1339" s="70" t="str">
        <f>IF(E1339="","",IF(ISNUMBER(I1339),I1339,IFERROR(IF(ISNUMBER(INDEX(art_price,MATCH($E1339,art_ref,0))),INDEX(art_price,MATCH($E1339,art_ref,0)),""),"")))</f>
        <v/>
      </c>
      <c r="K1339" s="71" t="n"/>
      <c r="L1339" s="72" t="n"/>
      <c r="M1339" s="72" t="str">
        <f>IF(E1339="","",IF(L1339&lt;&gt;"",L1339,IFERROR(IF(ISNUMBER(INDEX(art_tva,MATCH($E1339,art_ref,0))),INDEX(art_tva,MATCH($E1339,art_ref,0)),""),"")))</f>
        <v/>
      </c>
      <c r="N1339" s="70" t="str">
        <f>IF(OR(E1339="",J1339=""),"",ROUND(N(H1339)*J1339*(1-N(K1339)),2))</f>
        <v/>
      </c>
      <c r="O1339" s="70" t="str">
        <f>IF(OR(N1339="",NOT(ISNUMBER(M1339))),"",ROUND(N1339*M1339,2))</f>
        <v/>
      </c>
      <c r="P1339" s="70" t="str">
        <f>IF(N1339="","",N1339+N(O1339))</f>
        <v/>
      </c>
      <c r="Q1339" s="64" t="n"/>
      <c r="R1339" s="73" t="str">
        <f>IF(N(Q1339)&gt;0,Q1339,IF(OR(N(B1339)=0,ISNA(MATCH($C1339,sup_code,0))),"",IF(ISNUMBER(INDEX(sup_delay,MATCH($C1339,sup_code,0))),B1339+INDEX(sup_delay,MATCH($C1339,sup_code,0)),"")))</f>
        <v/>
      </c>
      <c r="S1339" s="64" t="n"/>
      <c r="T1339" s="68" t="n"/>
      <c r="U1339" s="64" t="n"/>
      <c r="V1339" s="65" t="n"/>
      <c r="W1339" s="74" t="str">
        <f>IF(AND(A1339="",E1339=""),"",IF(V1339="Oui",0,MAX(0,ROUND(N(H1339)-N(T1339),6))))</f>
        <v/>
      </c>
      <c r="X1339" s="67" t="str">
        <f>IF(AND(A1339="",E1339=""),"",IF(V1339="Oui","Annulé",IF(AND(N(H1339)&gt;0,N(T1339)&gt;=N(H1339)),"Reçu",IF(N(S1339)=0,"Brouillon",IF(AND(ISNUMBER(R1339),R1339&lt;p_today),"En retard",IF(N(T1339)&gt;0,"Partiel","Envoyé"))))))</f>
        <v/>
      </c>
      <c r="Y1339" s="75" t="str">
        <f>IF(X1339="En retard",p_today-R1339,IF(AND(X1339="Reçu",ISNUMBER(R1339)),MAX(0,N(U1339)-R1339),""))</f>
        <v/>
      </c>
      <c r="Z1339" s="67" t="str">
        <f>IF(AND(A1339="",E1339=""),"",IF(A1339="","N° de bon manquant",IF(N(B1339)=0,"Date de commande manquante",IF(C1339="","Fournisseur manquant",IF(ISNA(MATCH($C1339,sup_code,0)),"Fournisseur inconnu",IF(E1339="","Article manquant",IF(ISNA(MATCH($E1339,art_ref,0)),"Article inconnu",IF(N(H1339)&lt;=0,"Quantité invalide",IF(J1339="","Prix manquant",IF(OR(N(K1339)&lt;0,N(K1339)&gt;=1),"Remise invalide",IF(M1339="","TVA manquante",IF(ISNA(MATCH(M1339,p_tva,0)),"Taux de TVA inconnu",IF(COUNTIFS(po_num,A1339,po_sup,"&lt;&gt;"&amp;C1339)&gt;0,"Fournisseur différent sur ce bon",IF(COUNTIFS(po_num,A1339,po_date,"&lt;&gt;"&amp;B1339)&gt;0,"Date différente sur ce bon",IF(COUNTIF(po_num,A1339)&gt;25,"Plus de 25 lignes sur ce bon",IF(R1339="","Date de livraison manquante",IF(R1339&lt;B1339,"Livraison avant la commande",IF(AND(N(T1339)&gt;0,N(S1339)=0),"Date d'envoi manquante",IF(N(T1339)&gt;N(H1339),"Reçu plus que commandé",IF(AND(N(T1339)&gt;0,N(U1339)=0),"Date de réception manquante",IF(AND(N(U1339)&gt;0,U1339&lt;B1339),"Réception avant la commande","OK")))))))))))))))))))))</f>
        <v/>
      </c>
      <c r="AA1339" s="66" t="str">
        <f>IF(AND(X1339="Reçu",ISNUMBER(R1339)),IF(N(U1339)&lt;=R1339,1,0),"")</f>
        <v/>
      </c>
      <c r="AB1339" s="76" t="str">
        <f>IF(OR(X1339="Envoyé",X1339="Partiel",X1339="En retard"),IF(ISNUMBER(R1339),R1339,100000)+ROW()/100000,"")</f>
        <v/>
      </c>
      <c r="AC1339" s="66" t="str">
        <f>IF(A1339="","",IF(COUNTIF($A$6:A1339,A1339)=1,1,""))</f>
        <v/>
      </c>
      <c r="AD1339" s="66" t="str">
        <f>IF(AC1339=1,COUNT($AC$6:AC1339),"")</f>
        <v/>
      </c>
      <c r="AE1339" s="66" t="str">
        <f>IFERROR(INDEX(po_num,MATCH(1334,po_seq,0))&amp;"","")</f>
        <v/>
      </c>
      <c r="AF1339" s="66" t="str">
        <f>IF(OR(A1339="",p_po=""),"",IF(A1339&amp;""=p_po,COUNTIF($A$6:A1339,A1339),""))</f>
        <v/>
      </c>
      <c r="AG1339" s="66" t="str">
        <f>IF(OR(AB1339="",A1339=""),"",IF(COUNTIFS($A$6:A1339,A1339,$AB$6:AB1339,"&gt;0")=1,1,""))</f>
        <v/>
      </c>
      <c r="AH1339" s="70" t="str">
        <f>IF(AB1339="","",ROUND(N(W1339)*N(J1339)*(1-N(K1339)),2))</f>
        <v/>
      </c>
      <c r="AI1339" s="70" t="str">
        <f>IF(OR(J1339="",N(T1339)&lt;=0,V1339="Oui"),"",ROUND(N(T1339)*J1339*(1-N(K1339)),2))</f>
        <v/>
      </c>
    </row>
    <row r="1340">
      <c r="A1340" s="63" t="n"/>
      <c r="B1340" s="64" t="n"/>
      <c r="C1340" s="65" t="n"/>
      <c r="D1340" s="66" t="str">
        <f>IF(C1340="","",IFERROR(INDEX(sup_name,MATCH($C1340,sup_code,0))&amp;"","Fournisseur inconnu"))</f>
        <v/>
      </c>
      <c r="E1340" s="63" t="n"/>
      <c r="F1340" s="66" t="str">
        <f>IF(E1340="","",IFERROR(INDEX(art_des,MATCH($E1340,art_ref,0))&amp;"","Article inconnu"))</f>
        <v/>
      </c>
      <c r="G1340" s="67" t="str">
        <f>IF(E1340="","",IFERROR(INDEX(art_unit,MATCH($E1340,art_ref,0))&amp;"",""))</f>
        <v/>
      </c>
      <c r="H1340" s="68" t="n"/>
      <c r="I1340" s="69" t="n"/>
      <c r="J1340" s="70" t="str">
        <f>IF(E1340="","",IF(ISNUMBER(I1340),I1340,IFERROR(IF(ISNUMBER(INDEX(art_price,MATCH($E1340,art_ref,0))),INDEX(art_price,MATCH($E1340,art_ref,0)),""),"")))</f>
        <v/>
      </c>
      <c r="K1340" s="71" t="n"/>
      <c r="L1340" s="72" t="n"/>
      <c r="M1340" s="72" t="str">
        <f>IF(E1340="","",IF(L1340&lt;&gt;"",L1340,IFERROR(IF(ISNUMBER(INDEX(art_tva,MATCH($E1340,art_ref,0))),INDEX(art_tva,MATCH($E1340,art_ref,0)),""),"")))</f>
        <v/>
      </c>
      <c r="N1340" s="70" t="str">
        <f>IF(OR(E1340="",J1340=""),"",ROUND(N(H1340)*J1340*(1-N(K1340)),2))</f>
        <v/>
      </c>
      <c r="O1340" s="70" t="str">
        <f>IF(OR(N1340="",NOT(ISNUMBER(M1340))),"",ROUND(N1340*M1340,2))</f>
        <v/>
      </c>
      <c r="P1340" s="70" t="str">
        <f>IF(N1340="","",N1340+N(O1340))</f>
        <v/>
      </c>
      <c r="Q1340" s="64" t="n"/>
      <c r="R1340" s="73" t="str">
        <f>IF(N(Q1340)&gt;0,Q1340,IF(OR(N(B1340)=0,ISNA(MATCH($C1340,sup_code,0))),"",IF(ISNUMBER(INDEX(sup_delay,MATCH($C1340,sup_code,0))),B1340+INDEX(sup_delay,MATCH($C1340,sup_code,0)),"")))</f>
        <v/>
      </c>
      <c r="S1340" s="64" t="n"/>
      <c r="T1340" s="68" t="n"/>
      <c r="U1340" s="64" t="n"/>
      <c r="V1340" s="65" t="n"/>
      <c r="W1340" s="74" t="str">
        <f>IF(AND(A1340="",E1340=""),"",IF(V1340="Oui",0,MAX(0,ROUND(N(H1340)-N(T1340),6))))</f>
        <v/>
      </c>
      <c r="X1340" s="67" t="str">
        <f>IF(AND(A1340="",E1340=""),"",IF(V1340="Oui","Annulé",IF(AND(N(H1340)&gt;0,N(T1340)&gt;=N(H1340)),"Reçu",IF(N(S1340)=0,"Brouillon",IF(AND(ISNUMBER(R1340),R1340&lt;p_today),"En retard",IF(N(T1340)&gt;0,"Partiel","Envoyé"))))))</f>
        <v/>
      </c>
      <c r="Y1340" s="75" t="str">
        <f>IF(X1340="En retard",p_today-R1340,IF(AND(X1340="Reçu",ISNUMBER(R1340)),MAX(0,N(U1340)-R1340),""))</f>
        <v/>
      </c>
      <c r="Z1340" s="67" t="str">
        <f>IF(AND(A1340="",E1340=""),"",IF(A1340="","N° de bon manquant",IF(N(B1340)=0,"Date de commande manquante",IF(C1340="","Fournisseur manquant",IF(ISNA(MATCH($C1340,sup_code,0)),"Fournisseur inconnu",IF(E1340="","Article manquant",IF(ISNA(MATCH($E1340,art_ref,0)),"Article inconnu",IF(N(H1340)&lt;=0,"Quantité invalide",IF(J1340="","Prix manquant",IF(OR(N(K1340)&lt;0,N(K1340)&gt;=1),"Remise invalide",IF(M1340="","TVA manquante",IF(ISNA(MATCH(M1340,p_tva,0)),"Taux de TVA inconnu",IF(COUNTIFS(po_num,A1340,po_sup,"&lt;&gt;"&amp;C1340)&gt;0,"Fournisseur différent sur ce bon",IF(COUNTIFS(po_num,A1340,po_date,"&lt;&gt;"&amp;B1340)&gt;0,"Date différente sur ce bon",IF(COUNTIF(po_num,A1340)&gt;25,"Plus de 25 lignes sur ce bon",IF(R1340="","Date de livraison manquante",IF(R1340&lt;B1340,"Livraison avant la commande",IF(AND(N(T1340)&gt;0,N(S1340)=0),"Date d'envoi manquante",IF(N(T1340)&gt;N(H1340),"Reçu plus que commandé",IF(AND(N(T1340)&gt;0,N(U1340)=0),"Date de réception manquante",IF(AND(N(U1340)&gt;0,U1340&lt;B1340),"Réception avant la commande","OK")))))))))))))))))))))</f>
        <v/>
      </c>
      <c r="AA1340" s="66" t="str">
        <f>IF(AND(X1340="Reçu",ISNUMBER(R1340)),IF(N(U1340)&lt;=R1340,1,0),"")</f>
        <v/>
      </c>
      <c r="AB1340" s="76" t="str">
        <f>IF(OR(X1340="Envoyé",X1340="Partiel",X1340="En retard"),IF(ISNUMBER(R1340),R1340,100000)+ROW()/100000,"")</f>
        <v/>
      </c>
      <c r="AC1340" s="66" t="str">
        <f>IF(A1340="","",IF(COUNTIF($A$6:A1340,A1340)=1,1,""))</f>
        <v/>
      </c>
      <c r="AD1340" s="66" t="str">
        <f>IF(AC1340=1,COUNT($AC$6:AC1340),"")</f>
        <v/>
      </c>
      <c r="AE1340" s="66" t="str">
        <f>IFERROR(INDEX(po_num,MATCH(1335,po_seq,0))&amp;"","")</f>
        <v/>
      </c>
      <c r="AF1340" s="66" t="str">
        <f>IF(OR(A1340="",p_po=""),"",IF(A1340&amp;""=p_po,COUNTIF($A$6:A1340,A1340),""))</f>
        <v/>
      </c>
      <c r="AG1340" s="66" t="str">
        <f>IF(OR(AB1340="",A1340=""),"",IF(COUNTIFS($A$6:A1340,A1340,$AB$6:AB1340,"&gt;0")=1,1,""))</f>
        <v/>
      </c>
      <c r="AH1340" s="70" t="str">
        <f>IF(AB1340="","",ROUND(N(W1340)*N(J1340)*(1-N(K1340)),2))</f>
        <v/>
      </c>
      <c r="AI1340" s="70" t="str">
        <f>IF(OR(J1340="",N(T1340)&lt;=0,V1340="Oui"),"",ROUND(N(T1340)*J1340*(1-N(K1340)),2))</f>
        <v/>
      </c>
    </row>
    <row r="1341">
      <c r="A1341" s="63" t="n"/>
      <c r="B1341" s="64" t="n"/>
      <c r="C1341" s="65" t="n"/>
      <c r="D1341" s="66" t="str">
        <f>IF(C1341="","",IFERROR(INDEX(sup_name,MATCH($C1341,sup_code,0))&amp;"","Fournisseur inconnu"))</f>
        <v/>
      </c>
      <c r="E1341" s="63" t="n"/>
      <c r="F1341" s="66" t="str">
        <f>IF(E1341="","",IFERROR(INDEX(art_des,MATCH($E1341,art_ref,0))&amp;"","Article inconnu"))</f>
        <v/>
      </c>
      <c r="G1341" s="67" t="str">
        <f>IF(E1341="","",IFERROR(INDEX(art_unit,MATCH($E1341,art_ref,0))&amp;"",""))</f>
        <v/>
      </c>
      <c r="H1341" s="68" t="n"/>
      <c r="I1341" s="69" t="n"/>
      <c r="J1341" s="70" t="str">
        <f>IF(E1341="","",IF(ISNUMBER(I1341),I1341,IFERROR(IF(ISNUMBER(INDEX(art_price,MATCH($E1341,art_ref,0))),INDEX(art_price,MATCH($E1341,art_ref,0)),""),"")))</f>
        <v/>
      </c>
      <c r="K1341" s="71" t="n"/>
      <c r="L1341" s="72" t="n"/>
      <c r="M1341" s="72" t="str">
        <f>IF(E1341="","",IF(L1341&lt;&gt;"",L1341,IFERROR(IF(ISNUMBER(INDEX(art_tva,MATCH($E1341,art_ref,0))),INDEX(art_tva,MATCH($E1341,art_ref,0)),""),"")))</f>
        <v/>
      </c>
      <c r="N1341" s="70" t="str">
        <f>IF(OR(E1341="",J1341=""),"",ROUND(N(H1341)*J1341*(1-N(K1341)),2))</f>
        <v/>
      </c>
      <c r="O1341" s="70" t="str">
        <f>IF(OR(N1341="",NOT(ISNUMBER(M1341))),"",ROUND(N1341*M1341,2))</f>
        <v/>
      </c>
      <c r="P1341" s="70" t="str">
        <f>IF(N1341="","",N1341+N(O1341))</f>
        <v/>
      </c>
      <c r="Q1341" s="64" t="n"/>
      <c r="R1341" s="73" t="str">
        <f>IF(N(Q1341)&gt;0,Q1341,IF(OR(N(B1341)=0,ISNA(MATCH($C1341,sup_code,0))),"",IF(ISNUMBER(INDEX(sup_delay,MATCH($C1341,sup_code,0))),B1341+INDEX(sup_delay,MATCH($C1341,sup_code,0)),"")))</f>
        <v/>
      </c>
      <c r="S1341" s="64" t="n"/>
      <c r="T1341" s="68" t="n"/>
      <c r="U1341" s="64" t="n"/>
      <c r="V1341" s="65" t="n"/>
      <c r="W1341" s="74" t="str">
        <f>IF(AND(A1341="",E1341=""),"",IF(V1341="Oui",0,MAX(0,ROUND(N(H1341)-N(T1341),6))))</f>
        <v/>
      </c>
      <c r="X1341" s="67" t="str">
        <f>IF(AND(A1341="",E1341=""),"",IF(V1341="Oui","Annulé",IF(AND(N(H1341)&gt;0,N(T1341)&gt;=N(H1341)),"Reçu",IF(N(S1341)=0,"Brouillon",IF(AND(ISNUMBER(R1341),R1341&lt;p_today),"En retard",IF(N(T1341)&gt;0,"Partiel","Envoyé"))))))</f>
        <v/>
      </c>
      <c r="Y1341" s="75" t="str">
        <f>IF(X1341="En retard",p_today-R1341,IF(AND(X1341="Reçu",ISNUMBER(R1341)),MAX(0,N(U1341)-R1341),""))</f>
        <v/>
      </c>
      <c r="Z1341" s="67" t="str">
        <f>IF(AND(A1341="",E1341=""),"",IF(A1341="","N° de bon manquant",IF(N(B1341)=0,"Date de commande manquante",IF(C1341="","Fournisseur manquant",IF(ISNA(MATCH($C1341,sup_code,0)),"Fournisseur inconnu",IF(E1341="","Article manquant",IF(ISNA(MATCH($E1341,art_ref,0)),"Article inconnu",IF(N(H1341)&lt;=0,"Quantité invalide",IF(J1341="","Prix manquant",IF(OR(N(K1341)&lt;0,N(K1341)&gt;=1),"Remise invalide",IF(M1341="","TVA manquante",IF(ISNA(MATCH(M1341,p_tva,0)),"Taux de TVA inconnu",IF(COUNTIFS(po_num,A1341,po_sup,"&lt;&gt;"&amp;C1341)&gt;0,"Fournisseur différent sur ce bon",IF(COUNTIFS(po_num,A1341,po_date,"&lt;&gt;"&amp;B1341)&gt;0,"Date différente sur ce bon",IF(COUNTIF(po_num,A1341)&gt;25,"Plus de 25 lignes sur ce bon",IF(R1341="","Date de livraison manquante",IF(R1341&lt;B1341,"Livraison avant la commande",IF(AND(N(T1341)&gt;0,N(S1341)=0),"Date d'envoi manquante",IF(N(T1341)&gt;N(H1341),"Reçu plus que commandé",IF(AND(N(T1341)&gt;0,N(U1341)=0),"Date de réception manquante",IF(AND(N(U1341)&gt;0,U1341&lt;B1341),"Réception avant la commande","OK")))))))))))))))))))))</f>
        <v/>
      </c>
      <c r="AA1341" s="66" t="str">
        <f>IF(AND(X1341="Reçu",ISNUMBER(R1341)),IF(N(U1341)&lt;=R1341,1,0),"")</f>
        <v/>
      </c>
      <c r="AB1341" s="76" t="str">
        <f>IF(OR(X1341="Envoyé",X1341="Partiel",X1341="En retard"),IF(ISNUMBER(R1341),R1341,100000)+ROW()/100000,"")</f>
        <v/>
      </c>
      <c r="AC1341" s="66" t="str">
        <f>IF(A1341="","",IF(COUNTIF($A$6:A1341,A1341)=1,1,""))</f>
        <v/>
      </c>
      <c r="AD1341" s="66" t="str">
        <f>IF(AC1341=1,COUNT($AC$6:AC1341),"")</f>
        <v/>
      </c>
      <c r="AE1341" s="66" t="str">
        <f>IFERROR(INDEX(po_num,MATCH(1336,po_seq,0))&amp;"","")</f>
        <v/>
      </c>
      <c r="AF1341" s="66" t="str">
        <f>IF(OR(A1341="",p_po=""),"",IF(A1341&amp;""=p_po,COUNTIF($A$6:A1341,A1341),""))</f>
        <v/>
      </c>
      <c r="AG1341" s="66" t="str">
        <f>IF(OR(AB1341="",A1341=""),"",IF(COUNTIFS($A$6:A1341,A1341,$AB$6:AB1341,"&gt;0")=1,1,""))</f>
        <v/>
      </c>
      <c r="AH1341" s="70" t="str">
        <f>IF(AB1341="","",ROUND(N(W1341)*N(J1341)*(1-N(K1341)),2))</f>
        <v/>
      </c>
      <c r="AI1341" s="70" t="str">
        <f>IF(OR(J1341="",N(T1341)&lt;=0,V1341="Oui"),"",ROUND(N(T1341)*J1341*(1-N(K1341)),2))</f>
        <v/>
      </c>
    </row>
    <row r="1342">
      <c r="A1342" s="63" t="n"/>
      <c r="B1342" s="64" t="n"/>
      <c r="C1342" s="65" t="n"/>
      <c r="D1342" s="66" t="str">
        <f>IF(C1342="","",IFERROR(INDEX(sup_name,MATCH($C1342,sup_code,0))&amp;"","Fournisseur inconnu"))</f>
        <v/>
      </c>
      <c r="E1342" s="63" t="n"/>
      <c r="F1342" s="66" t="str">
        <f>IF(E1342="","",IFERROR(INDEX(art_des,MATCH($E1342,art_ref,0))&amp;"","Article inconnu"))</f>
        <v/>
      </c>
      <c r="G1342" s="67" t="str">
        <f>IF(E1342="","",IFERROR(INDEX(art_unit,MATCH($E1342,art_ref,0))&amp;"",""))</f>
        <v/>
      </c>
      <c r="H1342" s="68" t="n"/>
      <c r="I1342" s="69" t="n"/>
      <c r="J1342" s="70" t="str">
        <f>IF(E1342="","",IF(ISNUMBER(I1342),I1342,IFERROR(IF(ISNUMBER(INDEX(art_price,MATCH($E1342,art_ref,0))),INDEX(art_price,MATCH($E1342,art_ref,0)),""),"")))</f>
        <v/>
      </c>
      <c r="K1342" s="71" t="n"/>
      <c r="L1342" s="72" t="n"/>
      <c r="M1342" s="72" t="str">
        <f>IF(E1342="","",IF(L1342&lt;&gt;"",L1342,IFERROR(IF(ISNUMBER(INDEX(art_tva,MATCH($E1342,art_ref,0))),INDEX(art_tva,MATCH($E1342,art_ref,0)),""),"")))</f>
        <v/>
      </c>
      <c r="N1342" s="70" t="str">
        <f>IF(OR(E1342="",J1342=""),"",ROUND(N(H1342)*J1342*(1-N(K1342)),2))</f>
        <v/>
      </c>
      <c r="O1342" s="70" t="str">
        <f>IF(OR(N1342="",NOT(ISNUMBER(M1342))),"",ROUND(N1342*M1342,2))</f>
        <v/>
      </c>
      <c r="P1342" s="70" t="str">
        <f>IF(N1342="","",N1342+N(O1342))</f>
        <v/>
      </c>
      <c r="Q1342" s="64" t="n"/>
      <c r="R1342" s="73" t="str">
        <f>IF(N(Q1342)&gt;0,Q1342,IF(OR(N(B1342)=0,ISNA(MATCH($C1342,sup_code,0))),"",IF(ISNUMBER(INDEX(sup_delay,MATCH($C1342,sup_code,0))),B1342+INDEX(sup_delay,MATCH($C1342,sup_code,0)),"")))</f>
        <v/>
      </c>
      <c r="S1342" s="64" t="n"/>
      <c r="T1342" s="68" t="n"/>
      <c r="U1342" s="64" t="n"/>
      <c r="V1342" s="65" t="n"/>
      <c r="W1342" s="74" t="str">
        <f>IF(AND(A1342="",E1342=""),"",IF(V1342="Oui",0,MAX(0,ROUND(N(H1342)-N(T1342),6))))</f>
        <v/>
      </c>
      <c r="X1342" s="67" t="str">
        <f>IF(AND(A1342="",E1342=""),"",IF(V1342="Oui","Annulé",IF(AND(N(H1342)&gt;0,N(T1342)&gt;=N(H1342)),"Reçu",IF(N(S1342)=0,"Brouillon",IF(AND(ISNUMBER(R1342),R1342&lt;p_today),"En retard",IF(N(T1342)&gt;0,"Partiel","Envoyé"))))))</f>
        <v/>
      </c>
      <c r="Y1342" s="75" t="str">
        <f>IF(X1342="En retard",p_today-R1342,IF(AND(X1342="Reçu",ISNUMBER(R1342)),MAX(0,N(U1342)-R1342),""))</f>
        <v/>
      </c>
      <c r="Z1342" s="67" t="str">
        <f>IF(AND(A1342="",E1342=""),"",IF(A1342="","N° de bon manquant",IF(N(B1342)=0,"Date de commande manquante",IF(C1342="","Fournisseur manquant",IF(ISNA(MATCH($C1342,sup_code,0)),"Fournisseur inconnu",IF(E1342="","Article manquant",IF(ISNA(MATCH($E1342,art_ref,0)),"Article inconnu",IF(N(H1342)&lt;=0,"Quantité invalide",IF(J1342="","Prix manquant",IF(OR(N(K1342)&lt;0,N(K1342)&gt;=1),"Remise invalide",IF(M1342="","TVA manquante",IF(ISNA(MATCH(M1342,p_tva,0)),"Taux de TVA inconnu",IF(COUNTIFS(po_num,A1342,po_sup,"&lt;&gt;"&amp;C1342)&gt;0,"Fournisseur différent sur ce bon",IF(COUNTIFS(po_num,A1342,po_date,"&lt;&gt;"&amp;B1342)&gt;0,"Date différente sur ce bon",IF(COUNTIF(po_num,A1342)&gt;25,"Plus de 25 lignes sur ce bon",IF(R1342="","Date de livraison manquante",IF(R1342&lt;B1342,"Livraison avant la commande",IF(AND(N(T1342)&gt;0,N(S1342)=0),"Date d'envoi manquante",IF(N(T1342)&gt;N(H1342),"Reçu plus que commandé",IF(AND(N(T1342)&gt;0,N(U1342)=0),"Date de réception manquante",IF(AND(N(U1342)&gt;0,U1342&lt;B1342),"Réception avant la commande","OK")))))))))))))))))))))</f>
        <v/>
      </c>
      <c r="AA1342" s="66" t="str">
        <f>IF(AND(X1342="Reçu",ISNUMBER(R1342)),IF(N(U1342)&lt;=R1342,1,0),"")</f>
        <v/>
      </c>
      <c r="AB1342" s="76" t="str">
        <f>IF(OR(X1342="Envoyé",X1342="Partiel",X1342="En retard"),IF(ISNUMBER(R1342),R1342,100000)+ROW()/100000,"")</f>
        <v/>
      </c>
      <c r="AC1342" s="66" t="str">
        <f>IF(A1342="","",IF(COUNTIF($A$6:A1342,A1342)=1,1,""))</f>
        <v/>
      </c>
      <c r="AD1342" s="66" t="str">
        <f>IF(AC1342=1,COUNT($AC$6:AC1342),"")</f>
        <v/>
      </c>
      <c r="AE1342" s="66" t="str">
        <f>IFERROR(INDEX(po_num,MATCH(1337,po_seq,0))&amp;"","")</f>
        <v/>
      </c>
      <c r="AF1342" s="66" t="str">
        <f>IF(OR(A1342="",p_po=""),"",IF(A1342&amp;""=p_po,COUNTIF($A$6:A1342,A1342),""))</f>
        <v/>
      </c>
      <c r="AG1342" s="66" t="str">
        <f>IF(OR(AB1342="",A1342=""),"",IF(COUNTIFS($A$6:A1342,A1342,$AB$6:AB1342,"&gt;0")=1,1,""))</f>
        <v/>
      </c>
      <c r="AH1342" s="70" t="str">
        <f>IF(AB1342="","",ROUND(N(W1342)*N(J1342)*(1-N(K1342)),2))</f>
        <v/>
      </c>
      <c r="AI1342" s="70" t="str">
        <f>IF(OR(J1342="",N(T1342)&lt;=0,V1342="Oui"),"",ROUND(N(T1342)*J1342*(1-N(K1342)),2))</f>
        <v/>
      </c>
    </row>
    <row r="1343">
      <c r="A1343" s="63" t="n"/>
      <c r="B1343" s="64" t="n"/>
      <c r="C1343" s="65" t="n"/>
      <c r="D1343" s="66" t="str">
        <f>IF(C1343="","",IFERROR(INDEX(sup_name,MATCH($C1343,sup_code,0))&amp;"","Fournisseur inconnu"))</f>
        <v/>
      </c>
      <c r="E1343" s="63" t="n"/>
      <c r="F1343" s="66" t="str">
        <f>IF(E1343="","",IFERROR(INDEX(art_des,MATCH($E1343,art_ref,0))&amp;"","Article inconnu"))</f>
        <v/>
      </c>
      <c r="G1343" s="67" t="str">
        <f>IF(E1343="","",IFERROR(INDEX(art_unit,MATCH($E1343,art_ref,0))&amp;"",""))</f>
        <v/>
      </c>
      <c r="H1343" s="68" t="n"/>
      <c r="I1343" s="69" t="n"/>
      <c r="J1343" s="70" t="str">
        <f>IF(E1343="","",IF(ISNUMBER(I1343),I1343,IFERROR(IF(ISNUMBER(INDEX(art_price,MATCH($E1343,art_ref,0))),INDEX(art_price,MATCH($E1343,art_ref,0)),""),"")))</f>
        <v/>
      </c>
      <c r="K1343" s="71" t="n"/>
      <c r="L1343" s="72" t="n"/>
      <c r="M1343" s="72" t="str">
        <f>IF(E1343="","",IF(L1343&lt;&gt;"",L1343,IFERROR(IF(ISNUMBER(INDEX(art_tva,MATCH($E1343,art_ref,0))),INDEX(art_tva,MATCH($E1343,art_ref,0)),""),"")))</f>
        <v/>
      </c>
      <c r="N1343" s="70" t="str">
        <f>IF(OR(E1343="",J1343=""),"",ROUND(N(H1343)*J1343*(1-N(K1343)),2))</f>
        <v/>
      </c>
      <c r="O1343" s="70" t="str">
        <f>IF(OR(N1343="",NOT(ISNUMBER(M1343))),"",ROUND(N1343*M1343,2))</f>
        <v/>
      </c>
      <c r="P1343" s="70" t="str">
        <f>IF(N1343="","",N1343+N(O1343))</f>
        <v/>
      </c>
      <c r="Q1343" s="64" t="n"/>
      <c r="R1343" s="73" t="str">
        <f>IF(N(Q1343)&gt;0,Q1343,IF(OR(N(B1343)=0,ISNA(MATCH($C1343,sup_code,0))),"",IF(ISNUMBER(INDEX(sup_delay,MATCH($C1343,sup_code,0))),B1343+INDEX(sup_delay,MATCH($C1343,sup_code,0)),"")))</f>
        <v/>
      </c>
      <c r="S1343" s="64" t="n"/>
      <c r="T1343" s="68" t="n"/>
      <c r="U1343" s="64" t="n"/>
      <c r="V1343" s="65" t="n"/>
      <c r="W1343" s="74" t="str">
        <f>IF(AND(A1343="",E1343=""),"",IF(V1343="Oui",0,MAX(0,ROUND(N(H1343)-N(T1343),6))))</f>
        <v/>
      </c>
      <c r="X1343" s="67" t="str">
        <f>IF(AND(A1343="",E1343=""),"",IF(V1343="Oui","Annulé",IF(AND(N(H1343)&gt;0,N(T1343)&gt;=N(H1343)),"Reçu",IF(N(S1343)=0,"Brouillon",IF(AND(ISNUMBER(R1343),R1343&lt;p_today),"En retard",IF(N(T1343)&gt;0,"Partiel","Envoyé"))))))</f>
        <v/>
      </c>
      <c r="Y1343" s="75" t="str">
        <f>IF(X1343="En retard",p_today-R1343,IF(AND(X1343="Reçu",ISNUMBER(R1343)),MAX(0,N(U1343)-R1343),""))</f>
        <v/>
      </c>
      <c r="Z1343" s="67" t="str">
        <f>IF(AND(A1343="",E1343=""),"",IF(A1343="","N° de bon manquant",IF(N(B1343)=0,"Date de commande manquante",IF(C1343="","Fournisseur manquant",IF(ISNA(MATCH($C1343,sup_code,0)),"Fournisseur inconnu",IF(E1343="","Article manquant",IF(ISNA(MATCH($E1343,art_ref,0)),"Article inconnu",IF(N(H1343)&lt;=0,"Quantité invalide",IF(J1343="","Prix manquant",IF(OR(N(K1343)&lt;0,N(K1343)&gt;=1),"Remise invalide",IF(M1343="","TVA manquante",IF(ISNA(MATCH(M1343,p_tva,0)),"Taux de TVA inconnu",IF(COUNTIFS(po_num,A1343,po_sup,"&lt;&gt;"&amp;C1343)&gt;0,"Fournisseur différent sur ce bon",IF(COUNTIFS(po_num,A1343,po_date,"&lt;&gt;"&amp;B1343)&gt;0,"Date différente sur ce bon",IF(COUNTIF(po_num,A1343)&gt;25,"Plus de 25 lignes sur ce bon",IF(R1343="","Date de livraison manquante",IF(R1343&lt;B1343,"Livraison avant la commande",IF(AND(N(T1343)&gt;0,N(S1343)=0),"Date d'envoi manquante",IF(N(T1343)&gt;N(H1343),"Reçu plus que commandé",IF(AND(N(T1343)&gt;0,N(U1343)=0),"Date de réception manquante",IF(AND(N(U1343)&gt;0,U1343&lt;B1343),"Réception avant la commande","OK")))))))))))))))))))))</f>
        <v/>
      </c>
      <c r="AA1343" s="66" t="str">
        <f>IF(AND(X1343="Reçu",ISNUMBER(R1343)),IF(N(U1343)&lt;=R1343,1,0),"")</f>
        <v/>
      </c>
      <c r="AB1343" s="76" t="str">
        <f>IF(OR(X1343="Envoyé",X1343="Partiel",X1343="En retard"),IF(ISNUMBER(R1343),R1343,100000)+ROW()/100000,"")</f>
        <v/>
      </c>
      <c r="AC1343" s="66" t="str">
        <f>IF(A1343="","",IF(COUNTIF($A$6:A1343,A1343)=1,1,""))</f>
        <v/>
      </c>
      <c r="AD1343" s="66" t="str">
        <f>IF(AC1343=1,COUNT($AC$6:AC1343),"")</f>
        <v/>
      </c>
      <c r="AE1343" s="66" t="str">
        <f>IFERROR(INDEX(po_num,MATCH(1338,po_seq,0))&amp;"","")</f>
        <v/>
      </c>
      <c r="AF1343" s="66" t="str">
        <f>IF(OR(A1343="",p_po=""),"",IF(A1343&amp;""=p_po,COUNTIF($A$6:A1343,A1343),""))</f>
        <v/>
      </c>
      <c r="AG1343" s="66" t="str">
        <f>IF(OR(AB1343="",A1343=""),"",IF(COUNTIFS($A$6:A1343,A1343,$AB$6:AB1343,"&gt;0")=1,1,""))</f>
        <v/>
      </c>
      <c r="AH1343" s="70" t="str">
        <f>IF(AB1343="","",ROUND(N(W1343)*N(J1343)*(1-N(K1343)),2))</f>
        <v/>
      </c>
      <c r="AI1343" s="70" t="str">
        <f>IF(OR(J1343="",N(T1343)&lt;=0,V1343="Oui"),"",ROUND(N(T1343)*J1343*(1-N(K1343)),2))</f>
        <v/>
      </c>
    </row>
    <row r="1344">
      <c r="A1344" s="63" t="n"/>
      <c r="B1344" s="64" t="n"/>
      <c r="C1344" s="65" t="n"/>
      <c r="D1344" s="66" t="str">
        <f>IF(C1344="","",IFERROR(INDEX(sup_name,MATCH($C1344,sup_code,0))&amp;"","Fournisseur inconnu"))</f>
        <v/>
      </c>
      <c r="E1344" s="63" t="n"/>
      <c r="F1344" s="66" t="str">
        <f>IF(E1344="","",IFERROR(INDEX(art_des,MATCH($E1344,art_ref,0))&amp;"","Article inconnu"))</f>
        <v/>
      </c>
      <c r="G1344" s="67" t="str">
        <f>IF(E1344="","",IFERROR(INDEX(art_unit,MATCH($E1344,art_ref,0))&amp;"",""))</f>
        <v/>
      </c>
      <c r="H1344" s="68" t="n"/>
      <c r="I1344" s="69" t="n"/>
      <c r="J1344" s="70" t="str">
        <f>IF(E1344="","",IF(ISNUMBER(I1344),I1344,IFERROR(IF(ISNUMBER(INDEX(art_price,MATCH($E1344,art_ref,0))),INDEX(art_price,MATCH($E1344,art_ref,0)),""),"")))</f>
        <v/>
      </c>
      <c r="K1344" s="71" t="n"/>
      <c r="L1344" s="72" t="n"/>
      <c r="M1344" s="72" t="str">
        <f>IF(E1344="","",IF(L1344&lt;&gt;"",L1344,IFERROR(IF(ISNUMBER(INDEX(art_tva,MATCH($E1344,art_ref,0))),INDEX(art_tva,MATCH($E1344,art_ref,0)),""),"")))</f>
        <v/>
      </c>
      <c r="N1344" s="70" t="str">
        <f>IF(OR(E1344="",J1344=""),"",ROUND(N(H1344)*J1344*(1-N(K1344)),2))</f>
        <v/>
      </c>
      <c r="O1344" s="70" t="str">
        <f>IF(OR(N1344="",NOT(ISNUMBER(M1344))),"",ROUND(N1344*M1344,2))</f>
        <v/>
      </c>
      <c r="P1344" s="70" t="str">
        <f>IF(N1344="","",N1344+N(O1344))</f>
        <v/>
      </c>
      <c r="Q1344" s="64" t="n"/>
      <c r="R1344" s="73" t="str">
        <f>IF(N(Q1344)&gt;0,Q1344,IF(OR(N(B1344)=0,ISNA(MATCH($C1344,sup_code,0))),"",IF(ISNUMBER(INDEX(sup_delay,MATCH($C1344,sup_code,0))),B1344+INDEX(sup_delay,MATCH($C1344,sup_code,0)),"")))</f>
        <v/>
      </c>
      <c r="S1344" s="64" t="n"/>
      <c r="T1344" s="68" t="n"/>
      <c r="U1344" s="64" t="n"/>
      <c r="V1344" s="65" t="n"/>
      <c r="W1344" s="74" t="str">
        <f>IF(AND(A1344="",E1344=""),"",IF(V1344="Oui",0,MAX(0,ROUND(N(H1344)-N(T1344),6))))</f>
        <v/>
      </c>
      <c r="X1344" s="67" t="str">
        <f>IF(AND(A1344="",E1344=""),"",IF(V1344="Oui","Annulé",IF(AND(N(H1344)&gt;0,N(T1344)&gt;=N(H1344)),"Reçu",IF(N(S1344)=0,"Brouillon",IF(AND(ISNUMBER(R1344),R1344&lt;p_today),"En retard",IF(N(T1344)&gt;0,"Partiel","Envoyé"))))))</f>
        <v/>
      </c>
      <c r="Y1344" s="75" t="str">
        <f>IF(X1344="En retard",p_today-R1344,IF(AND(X1344="Reçu",ISNUMBER(R1344)),MAX(0,N(U1344)-R1344),""))</f>
        <v/>
      </c>
      <c r="Z1344" s="67" t="str">
        <f>IF(AND(A1344="",E1344=""),"",IF(A1344="","N° de bon manquant",IF(N(B1344)=0,"Date de commande manquante",IF(C1344="","Fournisseur manquant",IF(ISNA(MATCH($C1344,sup_code,0)),"Fournisseur inconnu",IF(E1344="","Article manquant",IF(ISNA(MATCH($E1344,art_ref,0)),"Article inconnu",IF(N(H1344)&lt;=0,"Quantité invalide",IF(J1344="","Prix manquant",IF(OR(N(K1344)&lt;0,N(K1344)&gt;=1),"Remise invalide",IF(M1344="","TVA manquante",IF(ISNA(MATCH(M1344,p_tva,0)),"Taux de TVA inconnu",IF(COUNTIFS(po_num,A1344,po_sup,"&lt;&gt;"&amp;C1344)&gt;0,"Fournisseur différent sur ce bon",IF(COUNTIFS(po_num,A1344,po_date,"&lt;&gt;"&amp;B1344)&gt;0,"Date différente sur ce bon",IF(COUNTIF(po_num,A1344)&gt;25,"Plus de 25 lignes sur ce bon",IF(R1344="","Date de livraison manquante",IF(R1344&lt;B1344,"Livraison avant la commande",IF(AND(N(T1344)&gt;0,N(S1344)=0),"Date d'envoi manquante",IF(N(T1344)&gt;N(H1344),"Reçu plus que commandé",IF(AND(N(T1344)&gt;0,N(U1344)=0),"Date de réception manquante",IF(AND(N(U1344)&gt;0,U1344&lt;B1344),"Réception avant la commande","OK")))))))))))))))))))))</f>
        <v/>
      </c>
      <c r="AA1344" s="66" t="str">
        <f>IF(AND(X1344="Reçu",ISNUMBER(R1344)),IF(N(U1344)&lt;=R1344,1,0),"")</f>
        <v/>
      </c>
      <c r="AB1344" s="76" t="str">
        <f>IF(OR(X1344="Envoyé",X1344="Partiel",X1344="En retard"),IF(ISNUMBER(R1344),R1344,100000)+ROW()/100000,"")</f>
        <v/>
      </c>
      <c r="AC1344" s="66" t="str">
        <f>IF(A1344="","",IF(COUNTIF($A$6:A1344,A1344)=1,1,""))</f>
        <v/>
      </c>
      <c r="AD1344" s="66" t="str">
        <f>IF(AC1344=1,COUNT($AC$6:AC1344),"")</f>
        <v/>
      </c>
      <c r="AE1344" s="66" t="str">
        <f>IFERROR(INDEX(po_num,MATCH(1339,po_seq,0))&amp;"","")</f>
        <v/>
      </c>
      <c r="AF1344" s="66" t="str">
        <f>IF(OR(A1344="",p_po=""),"",IF(A1344&amp;""=p_po,COUNTIF($A$6:A1344,A1344),""))</f>
        <v/>
      </c>
      <c r="AG1344" s="66" t="str">
        <f>IF(OR(AB1344="",A1344=""),"",IF(COUNTIFS($A$6:A1344,A1344,$AB$6:AB1344,"&gt;0")=1,1,""))</f>
        <v/>
      </c>
      <c r="AH1344" s="70" t="str">
        <f>IF(AB1344="","",ROUND(N(W1344)*N(J1344)*(1-N(K1344)),2))</f>
        <v/>
      </c>
      <c r="AI1344" s="70" t="str">
        <f>IF(OR(J1344="",N(T1344)&lt;=0,V1344="Oui"),"",ROUND(N(T1344)*J1344*(1-N(K1344)),2))</f>
        <v/>
      </c>
    </row>
    <row r="1345">
      <c r="A1345" s="63" t="n"/>
      <c r="B1345" s="64" t="n"/>
      <c r="C1345" s="65" t="n"/>
      <c r="D1345" s="66" t="str">
        <f>IF(C1345="","",IFERROR(INDEX(sup_name,MATCH($C1345,sup_code,0))&amp;"","Fournisseur inconnu"))</f>
        <v/>
      </c>
      <c r="E1345" s="63" t="n"/>
      <c r="F1345" s="66" t="str">
        <f>IF(E1345="","",IFERROR(INDEX(art_des,MATCH($E1345,art_ref,0))&amp;"","Article inconnu"))</f>
        <v/>
      </c>
      <c r="G1345" s="67" t="str">
        <f>IF(E1345="","",IFERROR(INDEX(art_unit,MATCH($E1345,art_ref,0))&amp;"",""))</f>
        <v/>
      </c>
      <c r="H1345" s="68" t="n"/>
      <c r="I1345" s="69" t="n"/>
      <c r="J1345" s="70" t="str">
        <f>IF(E1345="","",IF(ISNUMBER(I1345),I1345,IFERROR(IF(ISNUMBER(INDEX(art_price,MATCH($E1345,art_ref,0))),INDEX(art_price,MATCH($E1345,art_ref,0)),""),"")))</f>
        <v/>
      </c>
      <c r="K1345" s="71" t="n"/>
      <c r="L1345" s="72" t="n"/>
      <c r="M1345" s="72" t="str">
        <f>IF(E1345="","",IF(L1345&lt;&gt;"",L1345,IFERROR(IF(ISNUMBER(INDEX(art_tva,MATCH($E1345,art_ref,0))),INDEX(art_tva,MATCH($E1345,art_ref,0)),""),"")))</f>
        <v/>
      </c>
      <c r="N1345" s="70" t="str">
        <f>IF(OR(E1345="",J1345=""),"",ROUND(N(H1345)*J1345*(1-N(K1345)),2))</f>
        <v/>
      </c>
      <c r="O1345" s="70" t="str">
        <f>IF(OR(N1345="",NOT(ISNUMBER(M1345))),"",ROUND(N1345*M1345,2))</f>
        <v/>
      </c>
      <c r="P1345" s="70" t="str">
        <f>IF(N1345="","",N1345+N(O1345))</f>
        <v/>
      </c>
      <c r="Q1345" s="64" t="n"/>
      <c r="R1345" s="73" t="str">
        <f>IF(N(Q1345)&gt;0,Q1345,IF(OR(N(B1345)=0,ISNA(MATCH($C1345,sup_code,0))),"",IF(ISNUMBER(INDEX(sup_delay,MATCH($C1345,sup_code,0))),B1345+INDEX(sup_delay,MATCH($C1345,sup_code,0)),"")))</f>
        <v/>
      </c>
      <c r="S1345" s="64" t="n"/>
      <c r="T1345" s="68" t="n"/>
      <c r="U1345" s="64" t="n"/>
      <c r="V1345" s="65" t="n"/>
      <c r="W1345" s="74" t="str">
        <f>IF(AND(A1345="",E1345=""),"",IF(V1345="Oui",0,MAX(0,ROUND(N(H1345)-N(T1345),6))))</f>
        <v/>
      </c>
      <c r="X1345" s="67" t="str">
        <f>IF(AND(A1345="",E1345=""),"",IF(V1345="Oui","Annulé",IF(AND(N(H1345)&gt;0,N(T1345)&gt;=N(H1345)),"Reçu",IF(N(S1345)=0,"Brouillon",IF(AND(ISNUMBER(R1345),R1345&lt;p_today),"En retard",IF(N(T1345)&gt;0,"Partiel","Envoyé"))))))</f>
        <v/>
      </c>
      <c r="Y1345" s="75" t="str">
        <f>IF(X1345="En retard",p_today-R1345,IF(AND(X1345="Reçu",ISNUMBER(R1345)),MAX(0,N(U1345)-R1345),""))</f>
        <v/>
      </c>
      <c r="Z1345" s="67" t="str">
        <f>IF(AND(A1345="",E1345=""),"",IF(A1345="","N° de bon manquant",IF(N(B1345)=0,"Date de commande manquante",IF(C1345="","Fournisseur manquant",IF(ISNA(MATCH($C1345,sup_code,0)),"Fournisseur inconnu",IF(E1345="","Article manquant",IF(ISNA(MATCH($E1345,art_ref,0)),"Article inconnu",IF(N(H1345)&lt;=0,"Quantité invalide",IF(J1345="","Prix manquant",IF(OR(N(K1345)&lt;0,N(K1345)&gt;=1),"Remise invalide",IF(M1345="","TVA manquante",IF(ISNA(MATCH(M1345,p_tva,0)),"Taux de TVA inconnu",IF(COUNTIFS(po_num,A1345,po_sup,"&lt;&gt;"&amp;C1345)&gt;0,"Fournisseur différent sur ce bon",IF(COUNTIFS(po_num,A1345,po_date,"&lt;&gt;"&amp;B1345)&gt;0,"Date différente sur ce bon",IF(COUNTIF(po_num,A1345)&gt;25,"Plus de 25 lignes sur ce bon",IF(R1345="","Date de livraison manquante",IF(R1345&lt;B1345,"Livraison avant la commande",IF(AND(N(T1345)&gt;0,N(S1345)=0),"Date d'envoi manquante",IF(N(T1345)&gt;N(H1345),"Reçu plus que commandé",IF(AND(N(T1345)&gt;0,N(U1345)=0),"Date de réception manquante",IF(AND(N(U1345)&gt;0,U1345&lt;B1345),"Réception avant la commande","OK")))))))))))))))))))))</f>
        <v/>
      </c>
      <c r="AA1345" s="66" t="str">
        <f>IF(AND(X1345="Reçu",ISNUMBER(R1345)),IF(N(U1345)&lt;=R1345,1,0),"")</f>
        <v/>
      </c>
      <c r="AB1345" s="76" t="str">
        <f>IF(OR(X1345="Envoyé",X1345="Partiel",X1345="En retard"),IF(ISNUMBER(R1345),R1345,100000)+ROW()/100000,"")</f>
        <v/>
      </c>
      <c r="AC1345" s="66" t="str">
        <f>IF(A1345="","",IF(COUNTIF($A$6:A1345,A1345)=1,1,""))</f>
        <v/>
      </c>
      <c r="AD1345" s="66" t="str">
        <f>IF(AC1345=1,COUNT($AC$6:AC1345),"")</f>
        <v/>
      </c>
      <c r="AE1345" s="66" t="str">
        <f>IFERROR(INDEX(po_num,MATCH(1340,po_seq,0))&amp;"","")</f>
        <v/>
      </c>
      <c r="AF1345" s="66" t="str">
        <f>IF(OR(A1345="",p_po=""),"",IF(A1345&amp;""=p_po,COUNTIF($A$6:A1345,A1345),""))</f>
        <v/>
      </c>
      <c r="AG1345" s="66" t="str">
        <f>IF(OR(AB1345="",A1345=""),"",IF(COUNTIFS($A$6:A1345,A1345,$AB$6:AB1345,"&gt;0")=1,1,""))</f>
        <v/>
      </c>
      <c r="AH1345" s="70" t="str">
        <f>IF(AB1345="","",ROUND(N(W1345)*N(J1345)*(1-N(K1345)),2))</f>
        <v/>
      </c>
      <c r="AI1345" s="70" t="str">
        <f>IF(OR(J1345="",N(T1345)&lt;=0,V1345="Oui"),"",ROUND(N(T1345)*J1345*(1-N(K1345)),2))</f>
        <v/>
      </c>
    </row>
    <row r="1346">
      <c r="A1346" s="63" t="n"/>
      <c r="B1346" s="64" t="n"/>
      <c r="C1346" s="65" t="n"/>
      <c r="D1346" s="66" t="str">
        <f>IF(C1346="","",IFERROR(INDEX(sup_name,MATCH($C1346,sup_code,0))&amp;"","Fournisseur inconnu"))</f>
        <v/>
      </c>
      <c r="E1346" s="63" t="n"/>
      <c r="F1346" s="66" t="str">
        <f>IF(E1346="","",IFERROR(INDEX(art_des,MATCH($E1346,art_ref,0))&amp;"","Article inconnu"))</f>
        <v/>
      </c>
      <c r="G1346" s="67" t="str">
        <f>IF(E1346="","",IFERROR(INDEX(art_unit,MATCH($E1346,art_ref,0))&amp;"",""))</f>
        <v/>
      </c>
      <c r="H1346" s="68" t="n"/>
      <c r="I1346" s="69" t="n"/>
      <c r="J1346" s="70" t="str">
        <f>IF(E1346="","",IF(ISNUMBER(I1346),I1346,IFERROR(IF(ISNUMBER(INDEX(art_price,MATCH($E1346,art_ref,0))),INDEX(art_price,MATCH($E1346,art_ref,0)),""),"")))</f>
        <v/>
      </c>
      <c r="K1346" s="71" t="n"/>
      <c r="L1346" s="72" t="n"/>
      <c r="M1346" s="72" t="str">
        <f>IF(E1346="","",IF(L1346&lt;&gt;"",L1346,IFERROR(IF(ISNUMBER(INDEX(art_tva,MATCH($E1346,art_ref,0))),INDEX(art_tva,MATCH($E1346,art_ref,0)),""),"")))</f>
        <v/>
      </c>
      <c r="N1346" s="70" t="str">
        <f>IF(OR(E1346="",J1346=""),"",ROUND(N(H1346)*J1346*(1-N(K1346)),2))</f>
        <v/>
      </c>
      <c r="O1346" s="70" t="str">
        <f>IF(OR(N1346="",NOT(ISNUMBER(M1346))),"",ROUND(N1346*M1346,2))</f>
        <v/>
      </c>
      <c r="P1346" s="70" t="str">
        <f>IF(N1346="","",N1346+N(O1346))</f>
        <v/>
      </c>
      <c r="Q1346" s="64" t="n"/>
      <c r="R1346" s="73" t="str">
        <f>IF(N(Q1346)&gt;0,Q1346,IF(OR(N(B1346)=0,ISNA(MATCH($C1346,sup_code,0))),"",IF(ISNUMBER(INDEX(sup_delay,MATCH($C1346,sup_code,0))),B1346+INDEX(sup_delay,MATCH($C1346,sup_code,0)),"")))</f>
        <v/>
      </c>
      <c r="S1346" s="64" t="n"/>
      <c r="T1346" s="68" t="n"/>
      <c r="U1346" s="64" t="n"/>
      <c r="V1346" s="65" t="n"/>
      <c r="W1346" s="74" t="str">
        <f>IF(AND(A1346="",E1346=""),"",IF(V1346="Oui",0,MAX(0,ROUND(N(H1346)-N(T1346),6))))</f>
        <v/>
      </c>
      <c r="X1346" s="67" t="str">
        <f>IF(AND(A1346="",E1346=""),"",IF(V1346="Oui","Annulé",IF(AND(N(H1346)&gt;0,N(T1346)&gt;=N(H1346)),"Reçu",IF(N(S1346)=0,"Brouillon",IF(AND(ISNUMBER(R1346),R1346&lt;p_today),"En retard",IF(N(T1346)&gt;0,"Partiel","Envoyé"))))))</f>
        <v/>
      </c>
      <c r="Y1346" s="75" t="str">
        <f>IF(X1346="En retard",p_today-R1346,IF(AND(X1346="Reçu",ISNUMBER(R1346)),MAX(0,N(U1346)-R1346),""))</f>
        <v/>
      </c>
      <c r="Z1346" s="67" t="str">
        <f>IF(AND(A1346="",E1346=""),"",IF(A1346="","N° de bon manquant",IF(N(B1346)=0,"Date de commande manquante",IF(C1346="","Fournisseur manquant",IF(ISNA(MATCH($C1346,sup_code,0)),"Fournisseur inconnu",IF(E1346="","Article manquant",IF(ISNA(MATCH($E1346,art_ref,0)),"Article inconnu",IF(N(H1346)&lt;=0,"Quantité invalide",IF(J1346="","Prix manquant",IF(OR(N(K1346)&lt;0,N(K1346)&gt;=1),"Remise invalide",IF(M1346="","TVA manquante",IF(ISNA(MATCH(M1346,p_tva,0)),"Taux de TVA inconnu",IF(COUNTIFS(po_num,A1346,po_sup,"&lt;&gt;"&amp;C1346)&gt;0,"Fournisseur différent sur ce bon",IF(COUNTIFS(po_num,A1346,po_date,"&lt;&gt;"&amp;B1346)&gt;0,"Date différente sur ce bon",IF(COUNTIF(po_num,A1346)&gt;25,"Plus de 25 lignes sur ce bon",IF(R1346="","Date de livraison manquante",IF(R1346&lt;B1346,"Livraison avant la commande",IF(AND(N(T1346)&gt;0,N(S1346)=0),"Date d'envoi manquante",IF(N(T1346)&gt;N(H1346),"Reçu plus que commandé",IF(AND(N(T1346)&gt;0,N(U1346)=0),"Date de réception manquante",IF(AND(N(U1346)&gt;0,U1346&lt;B1346),"Réception avant la commande","OK")))))))))))))))))))))</f>
        <v/>
      </c>
      <c r="AA1346" s="66" t="str">
        <f>IF(AND(X1346="Reçu",ISNUMBER(R1346)),IF(N(U1346)&lt;=R1346,1,0),"")</f>
        <v/>
      </c>
      <c r="AB1346" s="76" t="str">
        <f>IF(OR(X1346="Envoyé",X1346="Partiel",X1346="En retard"),IF(ISNUMBER(R1346),R1346,100000)+ROW()/100000,"")</f>
        <v/>
      </c>
      <c r="AC1346" s="66" t="str">
        <f>IF(A1346="","",IF(COUNTIF($A$6:A1346,A1346)=1,1,""))</f>
        <v/>
      </c>
      <c r="AD1346" s="66" t="str">
        <f>IF(AC1346=1,COUNT($AC$6:AC1346),"")</f>
        <v/>
      </c>
      <c r="AE1346" s="66" t="str">
        <f>IFERROR(INDEX(po_num,MATCH(1341,po_seq,0))&amp;"","")</f>
        <v/>
      </c>
      <c r="AF1346" s="66" t="str">
        <f>IF(OR(A1346="",p_po=""),"",IF(A1346&amp;""=p_po,COUNTIF($A$6:A1346,A1346),""))</f>
        <v/>
      </c>
      <c r="AG1346" s="66" t="str">
        <f>IF(OR(AB1346="",A1346=""),"",IF(COUNTIFS($A$6:A1346,A1346,$AB$6:AB1346,"&gt;0")=1,1,""))</f>
        <v/>
      </c>
      <c r="AH1346" s="70" t="str">
        <f>IF(AB1346="","",ROUND(N(W1346)*N(J1346)*(1-N(K1346)),2))</f>
        <v/>
      </c>
      <c r="AI1346" s="70" t="str">
        <f>IF(OR(J1346="",N(T1346)&lt;=0,V1346="Oui"),"",ROUND(N(T1346)*J1346*(1-N(K1346)),2))</f>
        <v/>
      </c>
    </row>
    <row r="1347">
      <c r="A1347" s="63" t="n"/>
      <c r="B1347" s="64" t="n"/>
      <c r="C1347" s="65" t="n"/>
      <c r="D1347" s="66" t="str">
        <f>IF(C1347="","",IFERROR(INDEX(sup_name,MATCH($C1347,sup_code,0))&amp;"","Fournisseur inconnu"))</f>
        <v/>
      </c>
      <c r="E1347" s="63" t="n"/>
      <c r="F1347" s="66" t="str">
        <f>IF(E1347="","",IFERROR(INDEX(art_des,MATCH($E1347,art_ref,0))&amp;"","Article inconnu"))</f>
        <v/>
      </c>
      <c r="G1347" s="67" t="str">
        <f>IF(E1347="","",IFERROR(INDEX(art_unit,MATCH($E1347,art_ref,0))&amp;"",""))</f>
        <v/>
      </c>
      <c r="H1347" s="68" t="n"/>
      <c r="I1347" s="69" t="n"/>
      <c r="J1347" s="70" t="str">
        <f>IF(E1347="","",IF(ISNUMBER(I1347),I1347,IFERROR(IF(ISNUMBER(INDEX(art_price,MATCH($E1347,art_ref,0))),INDEX(art_price,MATCH($E1347,art_ref,0)),""),"")))</f>
        <v/>
      </c>
      <c r="K1347" s="71" t="n"/>
      <c r="L1347" s="72" t="n"/>
      <c r="M1347" s="72" t="str">
        <f>IF(E1347="","",IF(L1347&lt;&gt;"",L1347,IFERROR(IF(ISNUMBER(INDEX(art_tva,MATCH($E1347,art_ref,0))),INDEX(art_tva,MATCH($E1347,art_ref,0)),""),"")))</f>
        <v/>
      </c>
      <c r="N1347" s="70" t="str">
        <f>IF(OR(E1347="",J1347=""),"",ROUND(N(H1347)*J1347*(1-N(K1347)),2))</f>
        <v/>
      </c>
      <c r="O1347" s="70" t="str">
        <f>IF(OR(N1347="",NOT(ISNUMBER(M1347))),"",ROUND(N1347*M1347,2))</f>
        <v/>
      </c>
      <c r="P1347" s="70" t="str">
        <f>IF(N1347="","",N1347+N(O1347))</f>
        <v/>
      </c>
      <c r="Q1347" s="64" t="n"/>
      <c r="R1347" s="73" t="str">
        <f>IF(N(Q1347)&gt;0,Q1347,IF(OR(N(B1347)=0,ISNA(MATCH($C1347,sup_code,0))),"",IF(ISNUMBER(INDEX(sup_delay,MATCH($C1347,sup_code,0))),B1347+INDEX(sup_delay,MATCH($C1347,sup_code,0)),"")))</f>
        <v/>
      </c>
      <c r="S1347" s="64" t="n"/>
      <c r="T1347" s="68" t="n"/>
      <c r="U1347" s="64" t="n"/>
      <c r="V1347" s="65" t="n"/>
      <c r="W1347" s="74" t="str">
        <f>IF(AND(A1347="",E1347=""),"",IF(V1347="Oui",0,MAX(0,ROUND(N(H1347)-N(T1347),6))))</f>
        <v/>
      </c>
      <c r="X1347" s="67" t="str">
        <f>IF(AND(A1347="",E1347=""),"",IF(V1347="Oui","Annulé",IF(AND(N(H1347)&gt;0,N(T1347)&gt;=N(H1347)),"Reçu",IF(N(S1347)=0,"Brouillon",IF(AND(ISNUMBER(R1347),R1347&lt;p_today),"En retard",IF(N(T1347)&gt;0,"Partiel","Envoyé"))))))</f>
        <v/>
      </c>
      <c r="Y1347" s="75" t="str">
        <f>IF(X1347="En retard",p_today-R1347,IF(AND(X1347="Reçu",ISNUMBER(R1347)),MAX(0,N(U1347)-R1347),""))</f>
        <v/>
      </c>
      <c r="Z1347" s="67" t="str">
        <f>IF(AND(A1347="",E1347=""),"",IF(A1347="","N° de bon manquant",IF(N(B1347)=0,"Date de commande manquante",IF(C1347="","Fournisseur manquant",IF(ISNA(MATCH($C1347,sup_code,0)),"Fournisseur inconnu",IF(E1347="","Article manquant",IF(ISNA(MATCH($E1347,art_ref,0)),"Article inconnu",IF(N(H1347)&lt;=0,"Quantité invalide",IF(J1347="","Prix manquant",IF(OR(N(K1347)&lt;0,N(K1347)&gt;=1),"Remise invalide",IF(M1347="","TVA manquante",IF(ISNA(MATCH(M1347,p_tva,0)),"Taux de TVA inconnu",IF(COUNTIFS(po_num,A1347,po_sup,"&lt;&gt;"&amp;C1347)&gt;0,"Fournisseur différent sur ce bon",IF(COUNTIFS(po_num,A1347,po_date,"&lt;&gt;"&amp;B1347)&gt;0,"Date différente sur ce bon",IF(COUNTIF(po_num,A1347)&gt;25,"Plus de 25 lignes sur ce bon",IF(R1347="","Date de livraison manquante",IF(R1347&lt;B1347,"Livraison avant la commande",IF(AND(N(T1347)&gt;0,N(S1347)=0),"Date d'envoi manquante",IF(N(T1347)&gt;N(H1347),"Reçu plus que commandé",IF(AND(N(T1347)&gt;0,N(U1347)=0),"Date de réception manquante",IF(AND(N(U1347)&gt;0,U1347&lt;B1347),"Réception avant la commande","OK")))))))))))))))))))))</f>
        <v/>
      </c>
      <c r="AA1347" s="66" t="str">
        <f>IF(AND(X1347="Reçu",ISNUMBER(R1347)),IF(N(U1347)&lt;=R1347,1,0),"")</f>
        <v/>
      </c>
      <c r="AB1347" s="76" t="str">
        <f>IF(OR(X1347="Envoyé",X1347="Partiel",X1347="En retard"),IF(ISNUMBER(R1347),R1347,100000)+ROW()/100000,"")</f>
        <v/>
      </c>
      <c r="AC1347" s="66" t="str">
        <f>IF(A1347="","",IF(COUNTIF($A$6:A1347,A1347)=1,1,""))</f>
        <v/>
      </c>
      <c r="AD1347" s="66" t="str">
        <f>IF(AC1347=1,COUNT($AC$6:AC1347),"")</f>
        <v/>
      </c>
      <c r="AE1347" s="66" t="str">
        <f>IFERROR(INDEX(po_num,MATCH(1342,po_seq,0))&amp;"","")</f>
        <v/>
      </c>
      <c r="AF1347" s="66" t="str">
        <f>IF(OR(A1347="",p_po=""),"",IF(A1347&amp;""=p_po,COUNTIF($A$6:A1347,A1347),""))</f>
        <v/>
      </c>
      <c r="AG1347" s="66" t="str">
        <f>IF(OR(AB1347="",A1347=""),"",IF(COUNTIFS($A$6:A1347,A1347,$AB$6:AB1347,"&gt;0")=1,1,""))</f>
        <v/>
      </c>
      <c r="AH1347" s="70" t="str">
        <f>IF(AB1347="","",ROUND(N(W1347)*N(J1347)*(1-N(K1347)),2))</f>
        <v/>
      </c>
      <c r="AI1347" s="70" t="str">
        <f>IF(OR(J1347="",N(T1347)&lt;=0,V1347="Oui"),"",ROUND(N(T1347)*J1347*(1-N(K1347)),2))</f>
        <v/>
      </c>
    </row>
    <row r="1348">
      <c r="A1348" s="63" t="n"/>
      <c r="B1348" s="64" t="n"/>
      <c r="C1348" s="65" t="n"/>
      <c r="D1348" s="66" t="str">
        <f>IF(C1348="","",IFERROR(INDEX(sup_name,MATCH($C1348,sup_code,0))&amp;"","Fournisseur inconnu"))</f>
        <v/>
      </c>
      <c r="E1348" s="63" t="n"/>
      <c r="F1348" s="66" t="str">
        <f>IF(E1348="","",IFERROR(INDEX(art_des,MATCH($E1348,art_ref,0))&amp;"","Article inconnu"))</f>
        <v/>
      </c>
      <c r="G1348" s="67" t="str">
        <f>IF(E1348="","",IFERROR(INDEX(art_unit,MATCH($E1348,art_ref,0))&amp;"",""))</f>
        <v/>
      </c>
      <c r="H1348" s="68" t="n"/>
      <c r="I1348" s="69" t="n"/>
      <c r="J1348" s="70" t="str">
        <f>IF(E1348="","",IF(ISNUMBER(I1348),I1348,IFERROR(IF(ISNUMBER(INDEX(art_price,MATCH($E1348,art_ref,0))),INDEX(art_price,MATCH($E1348,art_ref,0)),""),"")))</f>
        <v/>
      </c>
      <c r="K1348" s="71" t="n"/>
      <c r="L1348" s="72" t="n"/>
      <c r="M1348" s="72" t="str">
        <f>IF(E1348="","",IF(L1348&lt;&gt;"",L1348,IFERROR(IF(ISNUMBER(INDEX(art_tva,MATCH($E1348,art_ref,0))),INDEX(art_tva,MATCH($E1348,art_ref,0)),""),"")))</f>
        <v/>
      </c>
      <c r="N1348" s="70" t="str">
        <f>IF(OR(E1348="",J1348=""),"",ROUND(N(H1348)*J1348*(1-N(K1348)),2))</f>
        <v/>
      </c>
      <c r="O1348" s="70" t="str">
        <f>IF(OR(N1348="",NOT(ISNUMBER(M1348))),"",ROUND(N1348*M1348,2))</f>
        <v/>
      </c>
      <c r="P1348" s="70" t="str">
        <f>IF(N1348="","",N1348+N(O1348))</f>
        <v/>
      </c>
      <c r="Q1348" s="64" t="n"/>
      <c r="R1348" s="73" t="str">
        <f>IF(N(Q1348)&gt;0,Q1348,IF(OR(N(B1348)=0,ISNA(MATCH($C1348,sup_code,0))),"",IF(ISNUMBER(INDEX(sup_delay,MATCH($C1348,sup_code,0))),B1348+INDEX(sup_delay,MATCH($C1348,sup_code,0)),"")))</f>
        <v/>
      </c>
      <c r="S1348" s="64" t="n"/>
      <c r="T1348" s="68" t="n"/>
      <c r="U1348" s="64" t="n"/>
      <c r="V1348" s="65" t="n"/>
      <c r="W1348" s="74" t="str">
        <f>IF(AND(A1348="",E1348=""),"",IF(V1348="Oui",0,MAX(0,ROUND(N(H1348)-N(T1348),6))))</f>
        <v/>
      </c>
      <c r="X1348" s="67" t="str">
        <f>IF(AND(A1348="",E1348=""),"",IF(V1348="Oui","Annulé",IF(AND(N(H1348)&gt;0,N(T1348)&gt;=N(H1348)),"Reçu",IF(N(S1348)=0,"Brouillon",IF(AND(ISNUMBER(R1348),R1348&lt;p_today),"En retard",IF(N(T1348)&gt;0,"Partiel","Envoyé"))))))</f>
        <v/>
      </c>
      <c r="Y1348" s="75" t="str">
        <f>IF(X1348="En retard",p_today-R1348,IF(AND(X1348="Reçu",ISNUMBER(R1348)),MAX(0,N(U1348)-R1348),""))</f>
        <v/>
      </c>
      <c r="Z1348" s="67" t="str">
        <f>IF(AND(A1348="",E1348=""),"",IF(A1348="","N° de bon manquant",IF(N(B1348)=0,"Date de commande manquante",IF(C1348="","Fournisseur manquant",IF(ISNA(MATCH($C1348,sup_code,0)),"Fournisseur inconnu",IF(E1348="","Article manquant",IF(ISNA(MATCH($E1348,art_ref,0)),"Article inconnu",IF(N(H1348)&lt;=0,"Quantité invalide",IF(J1348="","Prix manquant",IF(OR(N(K1348)&lt;0,N(K1348)&gt;=1),"Remise invalide",IF(M1348="","TVA manquante",IF(ISNA(MATCH(M1348,p_tva,0)),"Taux de TVA inconnu",IF(COUNTIFS(po_num,A1348,po_sup,"&lt;&gt;"&amp;C1348)&gt;0,"Fournisseur différent sur ce bon",IF(COUNTIFS(po_num,A1348,po_date,"&lt;&gt;"&amp;B1348)&gt;0,"Date différente sur ce bon",IF(COUNTIF(po_num,A1348)&gt;25,"Plus de 25 lignes sur ce bon",IF(R1348="","Date de livraison manquante",IF(R1348&lt;B1348,"Livraison avant la commande",IF(AND(N(T1348)&gt;0,N(S1348)=0),"Date d'envoi manquante",IF(N(T1348)&gt;N(H1348),"Reçu plus que commandé",IF(AND(N(T1348)&gt;0,N(U1348)=0),"Date de réception manquante",IF(AND(N(U1348)&gt;0,U1348&lt;B1348),"Réception avant la commande","OK")))))))))))))))))))))</f>
        <v/>
      </c>
      <c r="AA1348" s="66" t="str">
        <f>IF(AND(X1348="Reçu",ISNUMBER(R1348)),IF(N(U1348)&lt;=R1348,1,0),"")</f>
        <v/>
      </c>
      <c r="AB1348" s="76" t="str">
        <f>IF(OR(X1348="Envoyé",X1348="Partiel",X1348="En retard"),IF(ISNUMBER(R1348),R1348,100000)+ROW()/100000,"")</f>
        <v/>
      </c>
      <c r="AC1348" s="66" t="str">
        <f>IF(A1348="","",IF(COUNTIF($A$6:A1348,A1348)=1,1,""))</f>
        <v/>
      </c>
      <c r="AD1348" s="66" t="str">
        <f>IF(AC1348=1,COUNT($AC$6:AC1348),"")</f>
        <v/>
      </c>
      <c r="AE1348" s="66" t="str">
        <f>IFERROR(INDEX(po_num,MATCH(1343,po_seq,0))&amp;"","")</f>
        <v/>
      </c>
      <c r="AF1348" s="66" t="str">
        <f>IF(OR(A1348="",p_po=""),"",IF(A1348&amp;""=p_po,COUNTIF($A$6:A1348,A1348),""))</f>
        <v/>
      </c>
      <c r="AG1348" s="66" t="str">
        <f>IF(OR(AB1348="",A1348=""),"",IF(COUNTIFS($A$6:A1348,A1348,$AB$6:AB1348,"&gt;0")=1,1,""))</f>
        <v/>
      </c>
      <c r="AH1348" s="70" t="str">
        <f>IF(AB1348="","",ROUND(N(W1348)*N(J1348)*(1-N(K1348)),2))</f>
        <v/>
      </c>
      <c r="AI1348" s="70" t="str">
        <f>IF(OR(J1348="",N(T1348)&lt;=0,V1348="Oui"),"",ROUND(N(T1348)*J1348*(1-N(K1348)),2))</f>
        <v/>
      </c>
    </row>
    <row r="1349">
      <c r="A1349" s="63" t="n"/>
      <c r="B1349" s="64" t="n"/>
      <c r="C1349" s="65" t="n"/>
      <c r="D1349" s="66" t="str">
        <f>IF(C1349="","",IFERROR(INDEX(sup_name,MATCH($C1349,sup_code,0))&amp;"","Fournisseur inconnu"))</f>
        <v/>
      </c>
      <c r="E1349" s="63" t="n"/>
      <c r="F1349" s="66" t="str">
        <f>IF(E1349="","",IFERROR(INDEX(art_des,MATCH($E1349,art_ref,0))&amp;"","Article inconnu"))</f>
        <v/>
      </c>
      <c r="G1349" s="67" t="str">
        <f>IF(E1349="","",IFERROR(INDEX(art_unit,MATCH($E1349,art_ref,0))&amp;"",""))</f>
        <v/>
      </c>
      <c r="H1349" s="68" t="n"/>
      <c r="I1349" s="69" t="n"/>
      <c r="J1349" s="70" t="str">
        <f>IF(E1349="","",IF(ISNUMBER(I1349),I1349,IFERROR(IF(ISNUMBER(INDEX(art_price,MATCH($E1349,art_ref,0))),INDEX(art_price,MATCH($E1349,art_ref,0)),""),"")))</f>
        <v/>
      </c>
      <c r="K1349" s="71" t="n"/>
      <c r="L1349" s="72" t="n"/>
      <c r="M1349" s="72" t="str">
        <f>IF(E1349="","",IF(L1349&lt;&gt;"",L1349,IFERROR(IF(ISNUMBER(INDEX(art_tva,MATCH($E1349,art_ref,0))),INDEX(art_tva,MATCH($E1349,art_ref,0)),""),"")))</f>
        <v/>
      </c>
      <c r="N1349" s="70" t="str">
        <f>IF(OR(E1349="",J1349=""),"",ROUND(N(H1349)*J1349*(1-N(K1349)),2))</f>
        <v/>
      </c>
      <c r="O1349" s="70" t="str">
        <f>IF(OR(N1349="",NOT(ISNUMBER(M1349))),"",ROUND(N1349*M1349,2))</f>
        <v/>
      </c>
      <c r="P1349" s="70" t="str">
        <f>IF(N1349="","",N1349+N(O1349))</f>
        <v/>
      </c>
      <c r="Q1349" s="64" t="n"/>
      <c r="R1349" s="73" t="str">
        <f>IF(N(Q1349)&gt;0,Q1349,IF(OR(N(B1349)=0,ISNA(MATCH($C1349,sup_code,0))),"",IF(ISNUMBER(INDEX(sup_delay,MATCH($C1349,sup_code,0))),B1349+INDEX(sup_delay,MATCH($C1349,sup_code,0)),"")))</f>
        <v/>
      </c>
      <c r="S1349" s="64" t="n"/>
      <c r="T1349" s="68" t="n"/>
      <c r="U1349" s="64" t="n"/>
      <c r="V1349" s="65" t="n"/>
      <c r="W1349" s="74" t="str">
        <f>IF(AND(A1349="",E1349=""),"",IF(V1349="Oui",0,MAX(0,ROUND(N(H1349)-N(T1349),6))))</f>
        <v/>
      </c>
      <c r="X1349" s="67" t="str">
        <f>IF(AND(A1349="",E1349=""),"",IF(V1349="Oui","Annulé",IF(AND(N(H1349)&gt;0,N(T1349)&gt;=N(H1349)),"Reçu",IF(N(S1349)=0,"Brouillon",IF(AND(ISNUMBER(R1349),R1349&lt;p_today),"En retard",IF(N(T1349)&gt;0,"Partiel","Envoyé"))))))</f>
        <v/>
      </c>
      <c r="Y1349" s="75" t="str">
        <f>IF(X1349="En retard",p_today-R1349,IF(AND(X1349="Reçu",ISNUMBER(R1349)),MAX(0,N(U1349)-R1349),""))</f>
        <v/>
      </c>
      <c r="Z1349" s="67" t="str">
        <f>IF(AND(A1349="",E1349=""),"",IF(A1349="","N° de bon manquant",IF(N(B1349)=0,"Date de commande manquante",IF(C1349="","Fournisseur manquant",IF(ISNA(MATCH($C1349,sup_code,0)),"Fournisseur inconnu",IF(E1349="","Article manquant",IF(ISNA(MATCH($E1349,art_ref,0)),"Article inconnu",IF(N(H1349)&lt;=0,"Quantité invalide",IF(J1349="","Prix manquant",IF(OR(N(K1349)&lt;0,N(K1349)&gt;=1),"Remise invalide",IF(M1349="","TVA manquante",IF(ISNA(MATCH(M1349,p_tva,0)),"Taux de TVA inconnu",IF(COUNTIFS(po_num,A1349,po_sup,"&lt;&gt;"&amp;C1349)&gt;0,"Fournisseur différent sur ce bon",IF(COUNTIFS(po_num,A1349,po_date,"&lt;&gt;"&amp;B1349)&gt;0,"Date différente sur ce bon",IF(COUNTIF(po_num,A1349)&gt;25,"Plus de 25 lignes sur ce bon",IF(R1349="","Date de livraison manquante",IF(R1349&lt;B1349,"Livraison avant la commande",IF(AND(N(T1349)&gt;0,N(S1349)=0),"Date d'envoi manquante",IF(N(T1349)&gt;N(H1349),"Reçu plus que commandé",IF(AND(N(T1349)&gt;0,N(U1349)=0),"Date de réception manquante",IF(AND(N(U1349)&gt;0,U1349&lt;B1349),"Réception avant la commande","OK")))))))))))))))))))))</f>
        <v/>
      </c>
      <c r="AA1349" s="66" t="str">
        <f>IF(AND(X1349="Reçu",ISNUMBER(R1349)),IF(N(U1349)&lt;=R1349,1,0),"")</f>
        <v/>
      </c>
      <c r="AB1349" s="76" t="str">
        <f>IF(OR(X1349="Envoyé",X1349="Partiel",X1349="En retard"),IF(ISNUMBER(R1349),R1349,100000)+ROW()/100000,"")</f>
        <v/>
      </c>
      <c r="AC1349" s="66" t="str">
        <f>IF(A1349="","",IF(COUNTIF($A$6:A1349,A1349)=1,1,""))</f>
        <v/>
      </c>
      <c r="AD1349" s="66" t="str">
        <f>IF(AC1349=1,COUNT($AC$6:AC1349),"")</f>
        <v/>
      </c>
      <c r="AE1349" s="66" t="str">
        <f>IFERROR(INDEX(po_num,MATCH(1344,po_seq,0))&amp;"","")</f>
        <v/>
      </c>
      <c r="AF1349" s="66" t="str">
        <f>IF(OR(A1349="",p_po=""),"",IF(A1349&amp;""=p_po,COUNTIF($A$6:A1349,A1349),""))</f>
        <v/>
      </c>
      <c r="AG1349" s="66" t="str">
        <f>IF(OR(AB1349="",A1349=""),"",IF(COUNTIFS($A$6:A1349,A1349,$AB$6:AB1349,"&gt;0")=1,1,""))</f>
        <v/>
      </c>
      <c r="AH1349" s="70" t="str">
        <f>IF(AB1349="","",ROUND(N(W1349)*N(J1349)*(1-N(K1349)),2))</f>
        <v/>
      </c>
      <c r="AI1349" s="70" t="str">
        <f>IF(OR(J1349="",N(T1349)&lt;=0,V1349="Oui"),"",ROUND(N(T1349)*J1349*(1-N(K1349)),2))</f>
        <v/>
      </c>
    </row>
    <row r="1350">
      <c r="A1350" s="63" t="n"/>
      <c r="B1350" s="64" t="n"/>
      <c r="C1350" s="65" t="n"/>
      <c r="D1350" s="66" t="str">
        <f>IF(C1350="","",IFERROR(INDEX(sup_name,MATCH($C1350,sup_code,0))&amp;"","Fournisseur inconnu"))</f>
        <v/>
      </c>
      <c r="E1350" s="63" t="n"/>
      <c r="F1350" s="66" t="str">
        <f>IF(E1350="","",IFERROR(INDEX(art_des,MATCH($E1350,art_ref,0))&amp;"","Article inconnu"))</f>
        <v/>
      </c>
      <c r="G1350" s="67" t="str">
        <f>IF(E1350="","",IFERROR(INDEX(art_unit,MATCH($E1350,art_ref,0))&amp;"",""))</f>
        <v/>
      </c>
      <c r="H1350" s="68" t="n"/>
      <c r="I1350" s="69" t="n"/>
      <c r="J1350" s="70" t="str">
        <f>IF(E1350="","",IF(ISNUMBER(I1350),I1350,IFERROR(IF(ISNUMBER(INDEX(art_price,MATCH($E1350,art_ref,0))),INDEX(art_price,MATCH($E1350,art_ref,0)),""),"")))</f>
        <v/>
      </c>
      <c r="K1350" s="71" t="n"/>
      <c r="L1350" s="72" t="n"/>
      <c r="M1350" s="72" t="str">
        <f>IF(E1350="","",IF(L1350&lt;&gt;"",L1350,IFERROR(IF(ISNUMBER(INDEX(art_tva,MATCH($E1350,art_ref,0))),INDEX(art_tva,MATCH($E1350,art_ref,0)),""),"")))</f>
        <v/>
      </c>
      <c r="N1350" s="70" t="str">
        <f>IF(OR(E1350="",J1350=""),"",ROUND(N(H1350)*J1350*(1-N(K1350)),2))</f>
        <v/>
      </c>
      <c r="O1350" s="70" t="str">
        <f>IF(OR(N1350="",NOT(ISNUMBER(M1350))),"",ROUND(N1350*M1350,2))</f>
        <v/>
      </c>
      <c r="P1350" s="70" t="str">
        <f>IF(N1350="","",N1350+N(O1350))</f>
        <v/>
      </c>
      <c r="Q1350" s="64" t="n"/>
      <c r="R1350" s="73" t="str">
        <f>IF(N(Q1350)&gt;0,Q1350,IF(OR(N(B1350)=0,ISNA(MATCH($C1350,sup_code,0))),"",IF(ISNUMBER(INDEX(sup_delay,MATCH($C1350,sup_code,0))),B1350+INDEX(sup_delay,MATCH($C1350,sup_code,0)),"")))</f>
        <v/>
      </c>
      <c r="S1350" s="64" t="n"/>
      <c r="T1350" s="68" t="n"/>
      <c r="U1350" s="64" t="n"/>
      <c r="V1350" s="65" t="n"/>
      <c r="W1350" s="74" t="str">
        <f>IF(AND(A1350="",E1350=""),"",IF(V1350="Oui",0,MAX(0,ROUND(N(H1350)-N(T1350),6))))</f>
        <v/>
      </c>
      <c r="X1350" s="67" t="str">
        <f>IF(AND(A1350="",E1350=""),"",IF(V1350="Oui","Annulé",IF(AND(N(H1350)&gt;0,N(T1350)&gt;=N(H1350)),"Reçu",IF(N(S1350)=0,"Brouillon",IF(AND(ISNUMBER(R1350),R1350&lt;p_today),"En retard",IF(N(T1350)&gt;0,"Partiel","Envoyé"))))))</f>
        <v/>
      </c>
      <c r="Y1350" s="75" t="str">
        <f>IF(X1350="En retard",p_today-R1350,IF(AND(X1350="Reçu",ISNUMBER(R1350)),MAX(0,N(U1350)-R1350),""))</f>
        <v/>
      </c>
      <c r="Z1350" s="67" t="str">
        <f>IF(AND(A1350="",E1350=""),"",IF(A1350="","N° de bon manquant",IF(N(B1350)=0,"Date de commande manquante",IF(C1350="","Fournisseur manquant",IF(ISNA(MATCH($C1350,sup_code,0)),"Fournisseur inconnu",IF(E1350="","Article manquant",IF(ISNA(MATCH($E1350,art_ref,0)),"Article inconnu",IF(N(H1350)&lt;=0,"Quantité invalide",IF(J1350="","Prix manquant",IF(OR(N(K1350)&lt;0,N(K1350)&gt;=1),"Remise invalide",IF(M1350="","TVA manquante",IF(ISNA(MATCH(M1350,p_tva,0)),"Taux de TVA inconnu",IF(COUNTIFS(po_num,A1350,po_sup,"&lt;&gt;"&amp;C1350)&gt;0,"Fournisseur différent sur ce bon",IF(COUNTIFS(po_num,A1350,po_date,"&lt;&gt;"&amp;B1350)&gt;0,"Date différente sur ce bon",IF(COUNTIF(po_num,A1350)&gt;25,"Plus de 25 lignes sur ce bon",IF(R1350="","Date de livraison manquante",IF(R1350&lt;B1350,"Livraison avant la commande",IF(AND(N(T1350)&gt;0,N(S1350)=0),"Date d'envoi manquante",IF(N(T1350)&gt;N(H1350),"Reçu plus que commandé",IF(AND(N(T1350)&gt;0,N(U1350)=0),"Date de réception manquante",IF(AND(N(U1350)&gt;0,U1350&lt;B1350),"Réception avant la commande","OK")))))))))))))))))))))</f>
        <v/>
      </c>
      <c r="AA1350" s="66" t="str">
        <f>IF(AND(X1350="Reçu",ISNUMBER(R1350)),IF(N(U1350)&lt;=R1350,1,0),"")</f>
        <v/>
      </c>
      <c r="AB1350" s="76" t="str">
        <f>IF(OR(X1350="Envoyé",X1350="Partiel",X1350="En retard"),IF(ISNUMBER(R1350),R1350,100000)+ROW()/100000,"")</f>
        <v/>
      </c>
      <c r="AC1350" s="66" t="str">
        <f>IF(A1350="","",IF(COUNTIF($A$6:A1350,A1350)=1,1,""))</f>
        <v/>
      </c>
      <c r="AD1350" s="66" t="str">
        <f>IF(AC1350=1,COUNT($AC$6:AC1350),"")</f>
        <v/>
      </c>
      <c r="AE1350" s="66" t="str">
        <f>IFERROR(INDEX(po_num,MATCH(1345,po_seq,0))&amp;"","")</f>
        <v/>
      </c>
      <c r="AF1350" s="66" t="str">
        <f>IF(OR(A1350="",p_po=""),"",IF(A1350&amp;""=p_po,COUNTIF($A$6:A1350,A1350),""))</f>
        <v/>
      </c>
      <c r="AG1350" s="66" t="str">
        <f>IF(OR(AB1350="",A1350=""),"",IF(COUNTIFS($A$6:A1350,A1350,$AB$6:AB1350,"&gt;0")=1,1,""))</f>
        <v/>
      </c>
      <c r="AH1350" s="70" t="str">
        <f>IF(AB1350="","",ROUND(N(W1350)*N(J1350)*(1-N(K1350)),2))</f>
        <v/>
      </c>
      <c r="AI1350" s="70" t="str">
        <f>IF(OR(J1350="",N(T1350)&lt;=0,V1350="Oui"),"",ROUND(N(T1350)*J1350*(1-N(K1350)),2))</f>
        <v/>
      </c>
    </row>
    <row r="1351">
      <c r="A1351" s="63" t="n"/>
      <c r="B1351" s="64" t="n"/>
      <c r="C1351" s="65" t="n"/>
      <c r="D1351" s="66" t="str">
        <f>IF(C1351="","",IFERROR(INDEX(sup_name,MATCH($C1351,sup_code,0))&amp;"","Fournisseur inconnu"))</f>
        <v/>
      </c>
      <c r="E1351" s="63" t="n"/>
      <c r="F1351" s="66" t="str">
        <f>IF(E1351="","",IFERROR(INDEX(art_des,MATCH($E1351,art_ref,0))&amp;"","Article inconnu"))</f>
        <v/>
      </c>
      <c r="G1351" s="67" t="str">
        <f>IF(E1351="","",IFERROR(INDEX(art_unit,MATCH($E1351,art_ref,0))&amp;"",""))</f>
        <v/>
      </c>
      <c r="H1351" s="68" t="n"/>
      <c r="I1351" s="69" t="n"/>
      <c r="J1351" s="70" t="str">
        <f>IF(E1351="","",IF(ISNUMBER(I1351),I1351,IFERROR(IF(ISNUMBER(INDEX(art_price,MATCH($E1351,art_ref,0))),INDEX(art_price,MATCH($E1351,art_ref,0)),""),"")))</f>
        <v/>
      </c>
      <c r="K1351" s="71" t="n"/>
      <c r="L1351" s="72" t="n"/>
      <c r="M1351" s="72" t="str">
        <f>IF(E1351="","",IF(L1351&lt;&gt;"",L1351,IFERROR(IF(ISNUMBER(INDEX(art_tva,MATCH($E1351,art_ref,0))),INDEX(art_tva,MATCH($E1351,art_ref,0)),""),"")))</f>
        <v/>
      </c>
      <c r="N1351" s="70" t="str">
        <f>IF(OR(E1351="",J1351=""),"",ROUND(N(H1351)*J1351*(1-N(K1351)),2))</f>
        <v/>
      </c>
      <c r="O1351" s="70" t="str">
        <f>IF(OR(N1351="",NOT(ISNUMBER(M1351))),"",ROUND(N1351*M1351,2))</f>
        <v/>
      </c>
      <c r="P1351" s="70" t="str">
        <f>IF(N1351="","",N1351+N(O1351))</f>
        <v/>
      </c>
      <c r="Q1351" s="64" t="n"/>
      <c r="R1351" s="73" t="str">
        <f>IF(N(Q1351)&gt;0,Q1351,IF(OR(N(B1351)=0,ISNA(MATCH($C1351,sup_code,0))),"",IF(ISNUMBER(INDEX(sup_delay,MATCH($C1351,sup_code,0))),B1351+INDEX(sup_delay,MATCH($C1351,sup_code,0)),"")))</f>
        <v/>
      </c>
      <c r="S1351" s="64" t="n"/>
      <c r="T1351" s="68" t="n"/>
      <c r="U1351" s="64" t="n"/>
      <c r="V1351" s="65" t="n"/>
      <c r="W1351" s="74" t="str">
        <f>IF(AND(A1351="",E1351=""),"",IF(V1351="Oui",0,MAX(0,ROUND(N(H1351)-N(T1351),6))))</f>
        <v/>
      </c>
      <c r="X1351" s="67" t="str">
        <f>IF(AND(A1351="",E1351=""),"",IF(V1351="Oui","Annulé",IF(AND(N(H1351)&gt;0,N(T1351)&gt;=N(H1351)),"Reçu",IF(N(S1351)=0,"Brouillon",IF(AND(ISNUMBER(R1351),R1351&lt;p_today),"En retard",IF(N(T1351)&gt;0,"Partiel","Envoyé"))))))</f>
        <v/>
      </c>
      <c r="Y1351" s="75" t="str">
        <f>IF(X1351="En retard",p_today-R1351,IF(AND(X1351="Reçu",ISNUMBER(R1351)),MAX(0,N(U1351)-R1351),""))</f>
        <v/>
      </c>
      <c r="Z1351" s="67" t="str">
        <f>IF(AND(A1351="",E1351=""),"",IF(A1351="","N° de bon manquant",IF(N(B1351)=0,"Date de commande manquante",IF(C1351="","Fournisseur manquant",IF(ISNA(MATCH($C1351,sup_code,0)),"Fournisseur inconnu",IF(E1351="","Article manquant",IF(ISNA(MATCH($E1351,art_ref,0)),"Article inconnu",IF(N(H1351)&lt;=0,"Quantité invalide",IF(J1351="","Prix manquant",IF(OR(N(K1351)&lt;0,N(K1351)&gt;=1),"Remise invalide",IF(M1351="","TVA manquante",IF(ISNA(MATCH(M1351,p_tva,0)),"Taux de TVA inconnu",IF(COUNTIFS(po_num,A1351,po_sup,"&lt;&gt;"&amp;C1351)&gt;0,"Fournisseur différent sur ce bon",IF(COUNTIFS(po_num,A1351,po_date,"&lt;&gt;"&amp;B1351)&gt;0,"Date différente sur ce bon",IF(COUNTIF(po_num,A1351)&gt;25,"Plus de 25 lignes sur ce bon",IF(R1351="","Date de livraison manquante",IF(R1351&lt;B1351,"Livraison avant la commande",IF(AND(N(T1351)&gt;0,N(S1351)=0),"Date d'envoi manquante",IF(N(T1351)&gt;N(H1351),"Reçu plus que commandé",IF(AND(N(T1351)&gt;0,N(U1351)=0),"Date de réception manquante",IF(AND(N(U1351)&gt;0,U1351&lt;B1351),"Réception avant la commande","OK")))))))))))))))))))))</f>
        <v/>
      </c>
      <c r="AA1351" s="66" t="str">
        <f>IF(AND(X1351="Reçu",ISNUMBER(R1351)),IF(N(U1351)&lt;=R1351,1,0),"")</f>
        <v/>
      </c>
      <c r="AB1351" s="76" t="str">
        <f>IF(OR(X1351="Envoyé",X1351="Partiel",X1351="En retard"),IF(ISNUMBER(R1351),R1351,100000)+ROW()/100000,"")</f>
        <v/>
      </c>
      <c r="AC1351" s="66" t="str">
        <f>IF(A1351="","",IF(COUNTIF($A$6:A1351,A1351)=1,1,""))</f>
        <v/>
      </c>
      <c r="AD1351" s="66" t="str">
        <f>IF(AC1351=1,COUNT($AC$6:AC1351),"")</f>
        <v/>
      </c>
      <c r="AE1351" s="66" t="str">
        <f>IFERROR(INDEX(po_num,MATCH(1346,po_seq,0))&amp;"","")</f>
        <v/>
      </c>
      <c r="AF1351" s="66" t="str">
        <f>IF(OR(A1351="",p_po=""),"",IF(A1351&amp;""=p_po,COUNTIF($A$6:A1351,A1351),""))</f>
        <v/>
      </c>
      <c r="AG1351" s="66" t="str">
        <f>IF(OR(AB1351="",A1351=""),"",IF(COUNTIFS($A$6:A1351,A1351,$AB$6:AB1351,"&gt;0")=1,1,""))</f>
        <v/>
      </c>
      <c r="AH1351" s="70" t="str">
        <f>IF(AB1351="","",ROUND(N(W1351)*N(J1351)*(1-N(K1351)),2))</f>
        <v/>
      </c>
      <c r="AI1351" s="70" t="str">
        <f>IF(OR(J1351="",N(T1351)&lt;=0,V1351="Oui"),"",ROUND(N(T1351)*J1351*(1-N(K1351)),2))</f>
        <v/>
      </c>
    </row>
    <row r="1352">
      <c r="A1352" s="63" t="n"/>
      <c r="B1352" s="64" t="n"/>
      <c r="C1352" s="65" t="n"/>
      <c r="D1352" s="66" t="str">
        <f>IF(C1352="","",IFERROR(INDEX(sup_name,MATCH($C1352,sup_code,0))&amp;"","Fournisseur inconnu"))</f>
        <v/>
      </c>
      <c r="E1352" s="63" t="n"/>
      <c r="F1352" s="66" t="str">
        <f>IF(E1352="","",IFERROR(INDEX(art_des,MATCH($E1352,art_ref,0))&amp;"","Article inconnu"))</f>
        <v/>
      </c>
      <c r="G1352" s="67" t="str">
        <f>IF(E1352="","",IFERROR(INDEX(art_unit,MATCH($E1352,art_ref,0))&amp;"",""))</f>
        <v/>
      </c>
      <c r="H1352" s="68" t="n"/>
      <c r="I1352" s="69" t="n"/>
      <c r="J1352" s="70" t="str">
        <f>IF(E1352="","",IF(ISNUMBER(I1352),I1352,IFERROR(IF(ISNUMBER(INDEX(art_price,MATCH($E1352,art_ref,0))),INDEX(art_price,MATCH($E1352,art_ref,0)),""),"")))</f>
        <v/>
      </c>
      <c r="K1352" s="71" t="n"/>
      <c r="L1352" s="72" t="n"/>
      <c r="M1352" s="72" t="str">
        <f>IF(E1352="","",IF(L1352&lt;&gt;"",L1352,IFERROR(IF(ISNUMBER(INDEX(art_tva,MATCH($E1352,art_ref,0))),INDEX(art_tva,MATCH($E1352,art_ref,0)),""),"")))</f>
        <v/>
      </c>
      <c r="N1352" s="70" t="str">
        <f>IF(OR(E1352="",J1352=""),"",ROUND(N(H1352)*J1352*(1-N(K1352)),2))</f>
        <v/>
      </c>
      <c r="O1352" s="70" t="str">
        <f>IF(OR(N1352="",NOT(ISNUMBER(M1352))),"",ROUND(N1352*M1352,2))</f>
        <v/>
      </c>
      <c r="P1352" s="70" t="str">
        <f>IF(N1352="","",N1352+N(O1352))</f>
        <v/>
      </c>
      <c r="Q1352" s="64" t="n"/>
      <c r="R1352" s="73" t="str">
        <f>IF(N(Q1352)&gt;0,Q1352,IF(OR(N(B1352)=0,ISNA(MATCH($C1352,sup_code,0))),"",IF(ISNUMBER(INDEX(sup_delay,MATCH($C1352,sup_code,0))),B1352+INDEX(sup_delay,MATCH($C1352,sup_code,0)),"")))</f>
        <v/>
      </c>
      <c r="S1352" s="64" t="n"/>
      <c r="T1352" s="68" t="n"/>
      <c r="U1352" s="64" t="n"/>
      <c r="V1352" s="65" t="n"/>
      <c r="W1352" s="74" t="str">
        <f>IF(AND(A1352="",E1352=""),"",IF(V1352="Oui",0,MAX(0,ROUND(N(H1352)-N(T1352),6))))</f>
        <v/>
      </c>
      <c r="X1352" s="67" t="str">
        <f>IF(AND(A1352="",E1352=""),"",IF(V1352="Oui","Annulé",IF(AND(N(H1352)&gt;0,N(T1352)&gt;=N(H1352)),"Reçu",IF(N(S1352)=0,"Brouillon",IF(AND(ISNUMBER(R1352),R1352&lt;p_today),"En retard",IF(N(T1352)&gt;0,"Partiel","Envoyé"))))))</f>
        <v/>
      </c>
      <c r="Y1352" s="75" t="str">
        <f>IF(X1352="En retard",p_today-R1352,IF(AND(X1352="Reçu",ISNUMBER(R1352)),MAX(0,N(U1352)-R1352),""))</f>
        <v/>
      </c>
      <c r="Z1352" s="67" t="str">
        <f>IF(AND(A1352="",E1352=""),"",IF(A1352="","N° de bon manquant",IF(N(B1352)=0,"Date de commande manquante",IF(C1352="","Fournisseur manquant",IF(ISNA(MATCH($C1352,sup_code,0)),"Fournisseur inconnu",IF(E1352="","Article manquant",IF(ISNA(MATCH($E1352,art_ref,0)),"Article inconnu",IF(N(H1352)&lt;=0,"Quantité invalide",IF(J1352="","Prix manquant",IF(OR(N(K1352)&lt;0,N(K1352)&gt;=1),"Remise invalide",IF(M1352="","TVA manquante",IF(ISNA(MATCH(M1352,p_tva,0)),"Taux de TVA inconnu",IF(COUNTIFS(po_num,A1352,po_sup,"&lt;&gt;"&amp;C1352)&gt;0,"Fournisseur différent sur ce bon",IF(COUNTIFS(po_num,A1352,po_date,"&lt;&gt;"&amp;B1352)&gt;0,"Date différente sur ce bon",IF(COUNTIF(po_num,A1352)&gt;25,"Plus de 25 lignes sur ce bon",IF(R1352="","Date de livraison manquante",IF(R1352&lt;B1352,"Livraison avant la commande",IF(AND(N(T1352)&gt;0,N(S1352)=0),"Date d'envoi manquante",IF(N(T1352)&gt;N(H1352),"Reçu plus que commandé",IF(AND(N(T1352)&gt;0,N(U1352)=0),"Date de réception manquante",IF(AND(N(U1352)&gt;0,U1352&lt;B1352),"Réception avant la commande","OK")))))))))))))))))))))</f>
        <v/>
      </c>
      <c r="AA1352" s="66" t="str">
        <f>IF(AND(X1352="Reçu",ISNUMBER(R1352)),IF(N(U1352)&lt;=R1352,1,0),"")</f>
        <v/>
      </c>
      <c r="AB1352" s="76" t="str">
        <f>IF(OR(X1352="Envoyé",X1352="Partiel",X1352="En retard"),IF(ISNUMBER(R1352),R1352,100000)+ROW()/100000,"")</f>
        <v/>
      </c>
      <c r="AC1352" s="66" t="str">
        <f>IF(A1352="","",IF(COUNTIF($A$6:A1352,A1352)=1,1,""))</f>
        <v/>
      </c>
      <c r="AD1352" s="66" t="str">
        <f>IF(AC1352=1,COUNT($AC$6:AC1352),"")</f>
        <v/>
      </c>
      <c r="AE1352" s="66" t="str">
        <f>IFERROR(INDEX(po_num,MATCH(1347,po_seq,0))&amp;"","")</f>
        <v/>
      </c>
      <c r="AF1352" s="66" t="str">
        <f>IF(OR(A1352="",p_po=""),"",IF(A1352&amp;""=p_po,COUNTIF($A$6:A1352,A1352),""))</f>
        <v/>
      </c>
      <c r="AG1352" s="66" t="str">
        <f>IF(OR(AB1352="",A1352=""),"",IF(COUNTIFS($A$6:A1352,A1352,$AB$6:AB1352,"&gt;0")=1,1,""))</f>
        <v/>
      </c>
      <c r="AH1352" s="70" t="str">
        <f>IF(AB1352="","",ROUND(N(W1352)*N(J1352)*(1-N(K1352)),2))</f>
        <v/>
      </c>
      <c r="AI1352" s="70" t="str">
        <f>IF(OR(J1352="",N(T1352)&lt;=0,V1352="Oui"),"",ROUND(N(T1352)*J1352*(1-N(K1352)),2))</f>
        <v/>
      </c>
    </row>
    <row r="1353">
      <c r="A1353" s="63" t="n"/>
      <c r="B1353" s="64" t="n"/>
      <c r="C1353" s="65" t="n"/>
      <c r="D1353" s="66" t="str">
        <f>IF(C1353="","",IFERROR(INDEX(sup_name,MATCH($C1353,sup_code,0))&amp;"","Fournisseur inconnu"))</f>
        <v/>
      </c>
      <c r="E1353" s="63" t="n"/>
      <c r="F1353" s="66" t="str">
        <f>IF(E1353="","",IFERROR(INDEX(art_des,MATCH($E1353,art_ref,0))&amp;"","Article inconnu"))</f>
        <v/>
      </c>
      <c r="G1353" s="67" t="str">
        <f>IF(E1353="","",IFERROR(INDEX(art_unit,MATCH($E1353,art_ref,0))&amp;"",""))</f>
        <v/>
      </c>
      <c r="H1353" s="68" t="n"/>
      <c r="I1353" s="69" t="n"/>
      <c r="J1353" s="70" t="str">
        <f>IF(E1353="","",IF(ISNUMBER(I1353),I1353,IFERROR(IF(ISNUMBER(INDEX(art_price,MATCH($E1353,art_ref,0))),INDEX(art_price,MATCH($E1353,art_ref,0)),""),"")))</f>
        <v/>
      </c>
      <c r="K1353" s="71" t="n"/>
      <c r="L1353" s="72" t="n"/>
      <c r="M1353" s="72" t="str">
        <f>IF(E1353="","",IF(L1353&lt;&gt;"",L1353,IFERROR(IF(ISNUMBER(INDEX(art_tva,MATCH($E1353,art_ref,0))),INDEX(art_tva,MATCH($E1353,art_ref,0)),""),"")))</f>
        <v/>
      </c>
      <c r="N1353" s="70" t="str">
        <f>IF(OR(E1353="",J1353=""),"",ROUND(N(H1353)*J1353*(1-N(K1353)),2))</f>
        <v/>
      </c>
      <c r="O1353" s="70" t="str">
        <f>IF(OR(N1353="",NOT(ISNUMBER(M1353))),"",ROUND(N1353*M1353,2))</f>
        <v/>
      </c>
      <c r="P1353" s="70" t="str">
        <f>IF(N1353="","",N1353+N(O1353))</f>
        <v/>
      </c>
      <c r="Q1353" s="64" t="n"/>
      <c r="R1353" s="73" t="str">
        <f>IF(N(Q1353)&gt;0,Q1353,IF(OR(N(B1353)=0,ISNA(MATCH($C1353,sup_code,0))),"",IF(ISNUMBER(INDEX(sup_delay,MATCH($C1353,sup_code,0))),B1353+INDEX(sup_delay,MATCH($C1353,sup_code,0)),"")))</f>
        <v/>
      </c>
      <c r="S1353" s="64" t="n"/>
      <c r="T1353" s="68" t="n"/>
      <c r="U1353" s="64" t="n"/>
      <c r="V1353" s="65" t="n"/>
      <c r="W1353" s="74" t="str">
        <f>IF(AND(A1353="",E1353=""),"",IF(V1353="Oui",0,MAX(0,ROUND(N(H1353)-N(T1353),6))))</f>
        <v/>
      </c>
      <c r="X1353" s="67" t="str">
        <f>IF(AND(A1353="",E1353=""),"",IF(V1353="Oui","Annulé",IF(AND(N(H1353)&gt;0,N(T1353)&gt;=N(H1353)),"Reçu",IF(N(S1353)=0,"Brouillon",IF(AND(ISNUMBER(R1353),R1353&lt;p_today),"En retard",IF(N(T1353)&gt;0,"Partiel","Envoyé"))))))</f>
        <v/>
      </c>
      <c r="Y1353" s="75" t="str">
        <f>IF(X1353="En retard",p_today-R1353,IF(AND(X1353="Reçu",ISNUMBER(R1353)),MAX(0,N(U1353)-R1353),""))</f>
        <v/>
      </c>
      <c r="Z1353" s="67" t="str">
        <f>IF(AND(A1353="",E1353=""),"",IF(A1353="","N° de bon manquant",IF(N(B1353)=0,"Date de commande manquante",IF(C1353="","Fournisseur manquant",IF(ISNA(MATCH($C1353,sup_code,0)),"Fournisseur inconnu",IF(E1353="","Article manquant",IF(ISNA(MATCH($E1353,art_ref,0)),"Article inconnu",IF(N(H1353)&lt;=0,"Quantité invalide",IF(J1353="","Prix manquant",IF(OR(N(K1353)&lt;0,N(K1353)&gt;=1),"Remise invalide",IF(M1353="","TVA manquante",IF(ISNA(MATCH(M1353,p_tva,0)),"Taux de TVA inconnu",IF(COUNTIFS(po_num,A1353,po_sup,"&lt;&gt;"&amp;C1353)&gt;0,"Fournisseur différent sur ce bon",IF(COUNTIFS(po_num,A1353,po_date,"&lt;&gt;"&amp;B1353)&gt;0,"Date différente sur ce bon",IF(COUNTIF(po_num,A1353)&gt;25,"Plus de 25 lignes sur ce bon",IF(R1353="","Date de livraison manquante",IF(R1353&lt;B1353,"Livraison avant la commande",IF(AND(N(T1353)&gt;0,N(S1353)=0),"Date d'envoi manquante",IF(N(T1353)&gt;N(H1353),"Reçu plus que commandé",IF(AND(N(T1353)&gt;0,N(U1353)=0),"Date de réception manquante",IF(AND(N(U1353)&gt;0,U1353&lt;B1353),"Réception avant la commande","OK")))))))))))))))))))))</f>
        <v/>
      </c>
      <c r="AA1353" s="66" t="str">
        <f>IF(AND(X1353="Reçu",ISNUMBER(R1353)),IF(N(U1353)&lt;=R1353,1,0),"")</f>
        <v/>
      </c>
      <c r="AB1353" s="76" t="str">
        <f>IF(OR(X1353="Envoyé",X1353="Partiel",X1353="En retard"),IF(ISNUMBER(R1353),R1353,100000)+ROW()/100000,"")</f>
        <v/>
      </c>
      <c r="AC1353" s="66" t="str">
        <f>IF(A1353="","",IF(COUNTIF($A$6:A1353,A1353)=1,1,""))</f>
        <v/>
      </c>
      <c r="AD1353" s="66" t="str">
        <f>IF(AC1353=1,COUNT($AC$6:AC1353),"")</f>
        <v/>
      </c>
      <c r="AE1353" s="66" t="str">
        <f>IFERROR(INDEX(po_num,MATCH(1348,po_seq,0))&amp;"","")</f>
        <v/>
      </c>
      <c r="AF1353" s="66" t="str">
        <f>IF(OR(A1353="",p_po=""),"",IF(A1353&amp;""=p_po,COUNTIF($A$6:A1353,A1353),""))</f>
        <v/>
      </c>
      <c r="AG1353" s="66" t="str">
        <f>IF(OR(AB1353="",A1353=""),"",IF(COUNTIFS($A$6:A1353,A1353,$AB$6:AB1353,"&gt;0")=1,1,""))</f>
        <v/>
      </c>
      <c r="AH1353" s="70" t="str">
        <f>IF(AB1353="","",ROUND(N(W1353)*N(J1353)*(1-N(K1353)),2))</f>
        <v/>
      </c>
      <c r="AI1353" s="70" t="str">
        <f>IF(OR(J1353="",N(T1353)&lt;=0,V1353="Oui"),"",ROUND(N(T1353)*J1353*(1-N(K1353)),2))</f>
        <v/>
      </c>
    </row>
    <row r="1354">
      <c r="A1354" s="63" t="n"/>
      <c r="B1354" s="64" t="n"/>
      <c r="C1354" s="65" t="n"/>
      <c r="D1354" s="66" t="str">
        <f>IF(C1354="","",IFERROR(INDEX(sup_name,MATCH($C1354,sup_code,0))&amp;"","Fournisseur inconnu"))</f>
        <v/>
      </c>
      <c r="E1354" s="63" t="n"/>
      <c r="F1354" s="66" t="str">
        <f>IF(E1354="","",IFERROR(INDEX(art_des,MATCH($E1354,art_ref,0))&amp;"","Article inconnu"))</f>
        <v/>
      </c>
      <c r="G1354" s="67" t="str">
        <f>IF(E1354="","",IFERROR(INDEX(art_unit,MATCH($E1354,art_ref,0))&amp;"",""))</f>
        <v/>
      </c>
      <c r="H1354" s="68" t="n"/>
      <c r="I1354" s="69" t="n"/>
      <c r="J1354" s="70" t="str">
        <f>IF(E1354="","",IF(ISNUMBER(I1354),I1354,IFERROR(IF(ISNUMBER(INDEX(art_price,MATCH($E1354,art_ref,0))),INDEX(art_price,MATCH($E1354,art_ref,0)),""),"")))</f>
        <v/>
      </c>
      <c r="K1354" s="71" t="n"/>
      <c r="L1354" s="72" t="n"/>
      <c r="M1354" s="72" t="str">
        <f>IF(E1354="","",IF(L1354&lt;&gt;"",L1354,IFERROR(IF(ISNUMBER(INDEX(art_tva,MATCH($E1354,art_ref,0))),INDEX(art_tva,MATCH($E1354,art_ref,0)),""),"")))</f>
        <v/>
      </c>
      <c r="N1354" s="70" t="str">
        <f>IF(OR(E1354="",J1354=""),"",ROUND(N(H1354)*J1354*(1-N(K1354)),2))</f>
        <v/>
      </c>
      <c r="O1354" s="70" t="str">
        <f>IF(OR(N1354="",NOT(ISNUMBER(M1354))),"",ROUND(N1354*M1354,2))</f>
        <v/>
      </c>
      <c r="P1354" s="70" t="str">
        <f>IF(N1354="","",N1354+N(O1354))</f>
        <v/>
      </c>
      <c r="Q1354" s="64" t="n"/>
      <c r="R1354" s="73" t="str">
        <f>IF(N(Q1354)&gt;0,Q1354,IF(OR(N(B1354)=0,ISNA(MATCH($C1354,sup_code,0))),"",IF(ISNUMBER(INDEX(sup_delay,MATCH($C1354,sup_code,0))),B1354+INDEX(sup_delay,MATCH($C1354,sup_code,0)),"")))</f>
        <v/>
      </c>
      <c r="S1354" s="64" t="n"/>
      <c r="T1354" s="68" t="n"/>
      <c r="U1354" s="64" t="n"/>
      <c r="V1354" s="65" t="n"/>
      <c r="W1354" s="74" t="str">
        <f>IF(AND(A1354="",E1354=""),"",IF(V1354="Oui",0,MAX(0,ROUND(N(H1354)-N(T1354),6))))</f>
        <v/>
      </c>
      <c r="X1354" s="67" t="str">
        <f>IF(AND(A1354="",E1354=""),"",IF(V1354="Oui","Annulé",IF(AND(N(H1354)&gt;0,N(T1354)&gt;=N(H1354)),"Reçu",IF(N(S1354)=0,"Brouillon",IF(AND(ISNUMBER(R1354),R1354&lt;p_today),"En retard",IF(N(T1354)&gt;0,"Partiel","Envoyé"))))))</f>
        <v/>
      </c>
      <c r="Y1354" s="75" t="str">
        <f>IF(X1354="En retard",p_today-R1354,IF(AND(X1354="Reçu",ISNUMBER(R1354)),MAX(0,N(U1354)-R1354),""))</f>
        <v/>
      </c>
      <c r="Z1354" s="67" t="str">
        <f>IF(AND(A1354="",E1354=""),"",IF(A1354="","N° de bon manquant",IF(N(B1354)=0,"Date de commande manquante",IF(C1354="","Fournisseur manquant",IF(ISNA(MATCH($C1354,sup_code,0)),"Fournisseur inconnu",IF(E1354="","Article manquant",IF(ISNA(MATCH($E1354,art_ref,0)),"Article inconnu",IF(N(H1354)&lt;=0,"Quantité invalide",IF(J1354="","Prix manquant",IF(OR(N(K1354)&lt;0,N(K1354)&gt;=1),"Remise invalide",IF(M1354="","TVA manquante",IF(ISNA(MATCH(M1354,p_tva,0)),"Taux de TVA inconnu",IF(COUNTIFS(po_num,A1354,po_sup,"&lt;&gt;"&amp;C1354)&gt;0,"Fournisseur différent sur ce bon",IF(COUNTIFS(po_num,A1354,po_date,"&lt;&gt;"&amp;B1354)&gt;0,"Date différente sur ce bon",IF(COUNTIF(po_num,A1354)&gt;25,"Plus de 25 lignes sur ce bon",IF(R1354="","Date de livraison manquante",IF(R1354&lt;B1354,"Livraison avant la commande",IF(AND(N(T1354)&gt;0,N(S1354)=0),"Date d'envoi manquante",IF(N(T1354)&gt;N(H1354),"Reçu plus que commandé",IF(AND(N(T1354)&gt;0,N(U1354)=0),"Date de réception manquante",IF(AND(N(U1354)&gt;0,U1354&lt;B1354),"Réception avant la commande","OK")))))))))))))))))))))</f>
        <v/>
      </c>
      <c r="AA1354" s="66" t="str">
        <f>IF(AND(X1354="Reçu",ISNUMBER(R1354)),IF(N(U1354)&lt;=R1354,1,0),"")</f>
        <v/>
      </c>
      <c r="AB1354" s="76" t="str">
        <f>IF(OR(X1354="Envoyé",X1354="Partiel",X1354="En retard"),IF(ISNUMBER(R1354),R1354,100000)+ROW()/100000,"")</f>
        <v/>
      </c>
      <c r="AC1354" s="66" t="str">
        <f>IF(A1354="","",IF(COUNTIF($A$6:A1354,A1354)=1,1,""))</f>
        <v/>
      </c>
      <c r="AD1354" s="66" t="str">
        <f>IF(AC1354=1,COUNT($AC$6:AC1354),"")</f>
        <v/>
      </c>
      <c r="AE1354" s="66" t="str">
        <f>IFERROR(INDEX(po_num,MATCH(1349,po_seq,0))&amp;"","")</f>
        <v/>
      </c>
      <c r="AF1354" s="66" t="str">
        <f>IF(OR(A1354="",p_po=""),"",IF(A1354&amp;""=p_po,COUNTIF($A$6:A1354,A1354),""))</f>
        <v/>
      </c>
      <c r="AG1354" s="66" t="str">
        <f>IF(OR(AB1354="",A1354=""),"",IF(COUNTIFS($A$6:A1354,A1354,$AB$6:AB1354,"&gt;0")=1,1,""))</f>
        <v/>
      </c>
      <c r="AH1354" s="70" t="str">
        <f>IF(AB1354="","",ROUND(N(W1354)*N(J1354)*(1-N(K1354)),2))</f>
        <v/>
      </c>
      <c r="AI1354" s="70" t="str">
        <f>IF(OR(J1354="",N(T1354)&lt;=0,V1354="Oui"),"",ROUND(N(T1354)*J1354*(1-N(K1354)),2))</f>
        <v/>
      </c>
    </row>
    <row r="1355">
      <c r="A1355" s="63" t="n"/>
      <c r="B1355" s="64" t="n"/>
      <c r="C1355" s="65" t="n"/>
      <c r="D1355" s="66" t="str">
        <f>IF(C1355="","",IFERROR(INDEX(sup_name,MATCH($C1355,sup_code,0))&amp;"","Fournisseur inconnu"))</f>
        <v/>
      </c>
      <c r="E1355" s="63" t="n"/>
      <c r="F1355" s="66" t="str">
        <f>IF(E1355="","",IFERROR(INDEX(art_des,MATCH($E1355,art_ref,0))&amp;"","Article inconnu"))</f>
        <v/>
      </c>
      <c r="G1355" s="67" t="str">
        <f>IF(E1355="","",IFERROR(INDEX(art_unit,MATCH($E1355,art_ref,0))&amp;"",""))</f>
        <v/>
      </c>
      <c r="H1355" s="68" t="n"/>
      <c r="I1355" s="69" t="n"/>
      <c r="J1355" s="70" t="str">
        <f>IF(E1355="","",IF(ISNUMBER(I1355),I1355,IFERROR(IF(ISNUMBER(INDEX(art_price,MATCH($E1355,art_ref,0))),INDEX(art_price,MATCH($E1355,art_ref,0)),""),"")))</f>
        <v/>
      </c>
      <c r="K1355" s="71" t="n"/>
      <c r="L1355" s="72" t="n"/>
      <c r="M1355" s="72" t="str">
        <f>IF(E1355="","",IF(L1355&lt;&gt;"",L1355,IFERROR(IF(ISNUMBER(INDEX(art_tva,MATCH($E1355,art_ref,0))),INDEX(art_tva,MATCH($E1355,art_ref,0)),""),"")))</f>
        <v/>
      </c>
      <c r="N1355" s="70" t="str">
        <f>IF(OR(E1355="",J1355=""),"",ROUND(N(H1355)*J1355*(1-N(K1355)),2))</f>
        <v/>
      </c>
      <c r="O1355" s="70" t="str">
        <f>IF(OR(N1355="",NOT(ISNUMBER(M1355))),"",ROUND(N1355*M1355,2))</f>
        <v/>
      </c>
      <c r="P1355" s="70" t="str">
        <f>IF(N1355="","",N1355+N(O1355))</f>
        <v/>
      </c>
      <c r="Q1355" s="64" t="n"/>
      <c r="R1355" s="73" t="str">
        <f>IF(N(Q1355)&gt;0,Q1355,IF(OR(N(B1355)=0,ISNA(MATCH($C1355,sup_code,0))),"",IF(ISNUMBER(INDEX(sup_delay,MATCH($C1355,sup_code,0))),B1355+INDEX(sup_delay,MATCH($C1355,sup_code,0)),"")))</f>
        <v/>
      </c>
      <c r="S1355" s="64" t="n"/>
      <c r="T1355" s="68" t="n"/>
      <c r="U1355" s="64" t="n"/>
      <c r="V1355" s="65" t="n"/>
      <c r="W1355" s="74" t="str">
        <f>IF(AND(A1355="",E1355=""),"",IF(V1355="Oui",0,MAX(0,ROUND(N(H1355)-N(T1355),6))))</f>
        <v/>
      </c>
      <c r="X1355" s="67" t="str">
        <f>IF(AND(A1355="",E1355=""),"",IF(V1355="Oui","Annulé",IF(AND(N(H1355)&gt;0,N(T1355)&gt;=N(H1355)),"Reçu",IF(N(S1355)=0,"Brouillon",IF(AND(ISNUMBER(R1355),R1355&lt;p_today),"En retard",IF(N(T1355)&gt;0,"Partiel","Envoyé"))))))</f>
        <v/>
      </c>
      <c r="Y1355" s="75" t="str">
        <f>IF(X1355="En retard",p_today-R1355,IF(AND(X1355="Reçu",ISNUMBER(R1355)),MAX(0,N(U1355)-R1355),""))</f>
        <v/>
      </c>
      <c r="Z1355" s="67" t="str">
        <f>IF(AND(A1355="",E1355=""),"",IF(A1355="","N° de bon manquant",IF(N(B1355)=0,"Date de commande manquante",IF(C1355="","Fournisseur manquant",IF(ISNA(MATCH($C1355,sup_code,0)),"Fournisseur inconnu",IF(E1355="","Article manquant",IF(ISNA(MATCH($E1355,art_ref,0)),"Article inconnu",IF(N(H1355)&lt;=0,"Quantité invalide",IF(J1355="","Prix manquant",IF(OR(N(K1355)&lt;0,N(K1355)&gt;=1),"Remise invalide",IF(M1355="","TVA manquante",IF(ISNA(MATCH(M1355,p_tva,0)),"Taux de TVA inconnu",IF(COUNTIFS(po_num,A1355,po_sup,"&lt;&gt;"&amp;C1355)&gt;0,"Fournisseur différent sur ce bon",IF(COUNTIFS(po_num,A1355,po_date,"&lt;&gt;"&amp;B1355)&gt;0,"Date différente sur ce bon",IF(COUNTIF(po_num,A1355)&gt;25,"Plus de 25 lignes sur ce bon",IF(R1355="","Date de livraison manquante",IF(R1355&lt;B1355,"Livraison avant la commande",IF(AND(N(T1355)&gt;0,N(S1355)=0),"Date d'envoi manquante",IF(N(T1355)&gt;N(H1355),"Reçu plus que commandé",IF(AND(N(T1355)&gt;0,N(U1355)=0),"Date de réception manquante",IF(AND(N(U1355)&gt;0,U1355&lt;B1355),"Réception avant la commande","OK")))))))))))))))))))))</f>
        <v/>
      </c>
      <c r="AA1355" s="66" t="str">
        <f>IF(AND(X1355="Reçu",ISNUMBER(R1355)),IF(N(U1355)&lt;=R1355,1,0),"")</f>
        <v/>
      </c>
      <c r="AB1355" s="76" t="str">
        <f>IF(OR(X1355="Envoyé",X1355="Partiel",X1355="En retard"),IF(ISNUMBER(R1355),R1355,100000)+ROW()/100000,"")</f>
        <v/>
      </c>
      <c r="AC1355" s="66" t="str">
        <f>IF(A1355="","",IF(COUNTIF($A$6:A1355,A1355)=1,1,""))</f>
        <v/>
      </c>
      <c r="AD1355" s="66" t="str">
        <f>IF(AC1355=1,COUNT($AC$6:AC1355),"")</f>
        <v/>
      </c>
      <c r="AE1355" s="66" t="str">
        <f>IFERROR(INDEX(po_num,MATCH(1350,po_seq,0))&amp;"","")</f>
        <v/>
      </c>
      <c r="AF1355" s="66" t="str">
        <f>IF(OR(A1355="",p_po=""),"",IF(A1355&amp;""=p_po,COUNTIF($A$6:A1355,A1355),""))</f>
        <v/>
      </c>
      <c r="AG1355" s="66" t="str">
        <f>IF(OR(AB1355="",A1355=""),"",IF(COUNTIFS($A$6:A1355,A1355,$AB$6:AB1355,"&gt;0")=1,1,""))</f>
        <v/>
      </c>
      <c r="AH1355" s="70" t="str">
        <f>IF(AB1355="","",ROUND(N(W1355)*N(J1355)*(1-N(K1355)),2))</f>
        <v/>
      </c>
      <c r="AI1355" s="70" t="str">
        <f>IF(OR(J1355="",N(T1355)&lt;=0,V1355="Oui"),"",ROUND(N(T1355)*J1355*(1-N(K1355)),2))</f>
        <v/>
      </c>
    </row>
    <row r="1356">
      <c r="A1356" s="63" t="n"/>
      <c r="B1356" s="64" t="n"/>
      <c r="C1356" s="65" t="n"/>
      <c r="D1356" s="66" t="str">
        <f>IF(C1356="","",IFERROR(INDEX(sup_name,MATCH($C1356,sup_code,0))&amp;"","Fournisseur inconnu"))</f>
        <v/>
      </c>
      <c r="E1356" s="63" t="n"/>
      <c r="F1356" s="66" t="str">
        <f>IF(E1356="","",IFERROR(INDEX(art_des,MATCH($E1356,art_ref,0))&amp;"","Article inconnu"))</f>
        <v/>
      </c>
      <c r="G1356" s="67" t="str">
        <f>IF(E1356="","",IFERROR(INDEX(art_unit,MATCH($E1356,art_ref,0))&amp;"",""))</f>
        <v/>
      </c>
      <c r="H1356" s="68" t="n"/>
      <c r="I1356" s="69" t="n"/>
      <c r="J1356" s="70" t="str">
        <f>IF(E1356="","",IF(ISNUMBER(I1356),I1356,IFERROR(IF(ISNUMBER(INDEX(art_price,MATCH($E1356,art_ref,0))),INDEX(art_price,MATCH($E1356,art_ref,0)),""),"")))</f>
        <v/>
      </c>
      <c r="K1356" s="71" t="n"/>
      <c r="L1356" s="72" t="n"/>
      <c r="M1356" s="72" t="str">
        <f>IF(E1356="","",IF(L1356&lt;&gt;"",L1356,IFERROR(IF(ISNUMBER(INDEX(art_tva,MATCH($E1356,art_ref,0))),INDEX(art_tva,MATCH($E1356,art_ref,0)),""),"")))</f>
        <v/>
      </c>
      <c r="N1356" s="70" t="str">
        <f>IF(OR(E1356="",J1356=""),"",ROUND(N(H1356)*J1356*(1-N(K1356)),2))</f>
        <v/>
      </c>
      <c r="O1356" s="70" t="str">
        <f>IF(OR(N1356="",NOT(ISNUMBER(M1356))),"",ROUND(N1356*M1356,2))</f>
        <v/>
      </c>
      <c r="P1356" s="70" t="str">
        <f>IF(N1356="","",N1356+N(O1356))</f>
        <v/>
      </c>
      <c r="Q1356" s="64" t="n"/>
      <c r="R1356" s="73" t="str">
        <f>IF(N(Q1356)&gt;0,Q1356,IF(OR(N(B1356)=0,ISNA(MATCH($C1356,sup_code,0))),"",IF(ISNUMBER(INDEX(sup_delay,MATCH($C1356,sup_code,0))),B1356+INDEX(sup_delay,MATCH($C1356,sup_code,0)),"")))</f>
        <v/>
      </c>
      <c r="S1356" s="64" t="n"/>
      <c r="T1356" s="68" t="n"/>
      <c r="U1356" s="64" t="n"/>
      <c r="V1356" s="65" t="n"/>
      <c r="W1356" s="74" t="str">
        <f>IF(AND(A1356="",E1356=""),"",IF(V1356="Oui",0,MAX(0,ROUND(N(H1356)-N(T1356),6))))</f>
        <v/>
      </c>
      <c r="X1356" s="67" t="str">
        <f>IF(AND(A1356="",E1356=""),"",IF(V1356="Oui","Annulé",IF(AND(N(H1356)&gt;0,N(T1356)&gt;=N(H1356)),"Reçu",IF(N(S1356)=0,"Brouillon",IF(AND(ISNUMBER(R1356),R1356&lt;p_today),"En retard",IF(N(T1356)&gt;0,"Partiel","Envoyé"))))))</f>
        <v/>
      </c>
      <c r="Y1356" s="75" t="str">
        <f>IF(X1356="En retard",p_today-R1356,IF(AND(X1356="Reçu",ISNUMBER(R1356)),MAX(0,N(U1356)-R1356),""))</f>
        <v/>
      </c>
      <c r="Z1356" s="67" t="str">
        <f>IF(AND(A1356="",E1356=""),"",IF(A1356="","N° de bon manquant",IF(N(B1356)=0,"Date de commande manquante",IF(C1356="","Fournisseur manquant",IF(ISNA(MATCH($C1356,sup_code,0)),"Fournisseur inconnu",IF(E1356="","Article manquant",IF(ISNA(MATCH($E1356,art_ref,0)),"Article inconnu",IF(N(H1356)&lt;=0,"Quantité invalide",IF(J1356="","Prix manquant",IF(OR(N(K1356)&lt;0,N(K1356)&gt;=1),"Remise invalide",IF(M1356="","TVA manquante",IF(ISNA(MATCH(M1356,p_tva,0)),"Taux de TVA inconnu",IF(COUNTIFS(po_num,A1356,po_sup,"&lt;&gt;"&amp;C1356)&gt;0,"Fournisseur différent sur ce bon",IF(COUNTIFS(po_num,A1356,po_date,"&lt;&gt;"&amp;B1356)&gt;0,"Date différente sur ce bon",IF(COUNTIF(po_num,A1356)&gt;25,"Plus de 25 lignes sur ce bon",IF(R1356="","Date de livraison manquante",IF(R1356&lt;B1356,"Livraison avant la commande",IF(AND(N(T1356)&gt;0,N(S1356)=0),"Date d'envoi manquante",IF(N(T1356)&gt;N(H1356),"Reçu plus que commandé",IF(AND(N(T1356)&gt;0,N(U1356)=0),"Date de réception manquante",IF(AND(N(U1356)&gt;0,U1356&lt;B1356),"Réception avant la commande","OK")))))))))))))))))))))</f>
        <v/>
      </c>
      <c r="AA1356" s="66" t="str">
        <f>IF(AND(X1356="Reçu",ISNUMBER(R1356)),IF(N(U1356)&lt;=R1356,1,0),"")</f>
        <v/>
      </c>
      <c r="AB1356" s="76" t="str">
        <f>IF(OR(X1356="Envoyé",X1356="Partiel",X1356="En retard"),IF(ISNUMBER(R1356),R1356,100000)+ROW()/100000,"")</f>
        <v/>
      </c>
      <c r="AC1356" s="66" t="str">
        <f>IF(A1356="","",IF(COUNTIF($A$6:A1356,A1356)=1,1,""))</f>
        <v/>
      </c>
      <c r="AD1356" s="66" t="str">
        <f>IF(AC1356=1,COUNT($AC$6:AC1356),"")</f>
        <v/>
      </c>
      <c r="AE1356" s="66" t="str">
        <f>IFERROR(INDEX(po_num,MATCH(1351,po_seq,0))&amp;"","")</f>
        <v/>
      </c>
      <c r="AF1356" s="66" t="str">
        <f>IF(OR(A1356="",p_po=""),"",IF(A1356&amp;""=p_po,COUNTIF($A$6:A1356,A1356),""))</f>
        <v/>
      </c>
      <c r="AG1356" s="66" t="str">
        <f>IF(OR(AB1356="",A1356=""),"",IF(COUNTIFS($A$6:A1356,A1356,$AB$6:AB1356,"&gt;0")=1,1,""))</f>
        <v/>
      </c>
      <c r="AH1356" s="70" t="str">
        <f>IF(AB1356="","",ROUND(N(W1356)*N(J1356)*(1-N(K1356)),2))</f>
        <v/>
      </c>
      <c r="AI1356" s="70" t="str">
        <f>IF(OR(J1356="",N(T1356)&lt;=0,V1356="Oui"),"",ROUND(N(T1356)*J1356*(1-N(K1356)),2))</f>
        <v/>
      </c>
    </row>
    <row r="1357">
      <c r="A1357" s="63" t="n"/>
      <c r="B1357" s="64" t="n"/>
      <c r="C1357" s="65" t="n"/>
      <c r="D1357" s="66" t="str">
        <f>IF(C1357="","",IFERROR(INDEX(sup_name,MATCH($C1357,sup_code,0))&amp;"","Fournisseur inconnu"))</f>
        <v/>
      </c>
      <c r="E1357" s="63" t="n"/>
      <c r="F1357" s="66" t="str">
        <f>IF(E1357="","",IFERROR(INDEX(art_des,MATCH($E1357,art_ref,0))&amp;"","Article inconnu"))</f>
        <v/>
      </c>
      <c r="G1357" s="67" t="str">
        <f>IF(E1357="","",IFERROR(INDEX(art_unit,MATCH($E1357,art_ref,0))&amp;"",""))</f>
        <v/>
      </c>
      <c r="H1357" s="68" t="n"/>
      <c r="I1357" s="69" t="n"/>
      <c r="J1357" s="70" t="str">
        <f>IF(E1357="","",IF(ISNUMBER(I1357),I1357,IFERROR(IF(ISNUMBER(INDEX(art_price,MATCH($E1357,art_ref,0))),INDEX(art_price,MATCH($E1357,art_ref,0)),""),"")))</f>
        <v/>
      </c>
      <c r="K1357" s="71" t="n"/>
      <c r="L1357" s="72" t="n"/>
      <c r="M1357" s="72" t="str">
        <f>IF(E1357="","",IF(L1357&lt;&gt;"",L1357,IFERROR(IF(ISNUMBER(INDEX(art_tva,MATCH($E1357,art_ref,0))),INDEX(art_tva,MATCH($E1357,art_ref,0)),""),"")))</f>
        <v/>
      </c>
      <c r="N1357" s="70" t="str">
        <f>IF(OR(E1357="",J1357=""),"",ROUND(N(H1357)*J1357*(1-N(K1357)),2))</f>
        <v/>
      </c>
      <c r="O1357" s="70" t="str">
        <f>IF(OR(N1357="",NOT(ISNUMBER(M1357))),"",ROUND(N1357*M1357,2))</f>
        <v/>
      </c>
      <c r="P1357" s="70" t="str">
        <f>IF(N1357="","",N1357+N(O1357))</f>
        <v/>
      </c>
      <c r="Q1357" s="64" t="n"/>
      <c r="R1357" s="73" t="str">
        <f>IF(N(Q1357)&gt;0,Q1357,IF(OR(N(B1357)=0,ISNA(MATCH($C1357,sup_code,0))),"",IF(ISNUMBER(INDEX(sup_delay,MATCH($C1357,sup_code,0))),B1357+INDEX(sup_delay,MATCH($C1357,sup_code,0)),"")))</f>
        <v/>
      </c>
      <c r="S1357" s="64" t="n"/>
      <c r="T1357" s="68" t="n"/>
      <c r="U1357" s="64" t="n"/>
      <c r="V1357" s="65" t="n"/>
      <c r="W1357" s="74" t="str">
        <f>IF(AND(A1357="",E1357=""),"",IF(V1357="Oui",0,MAX(0,ROUND(N(H1357)-N(T1357),6))))</f>
        <v/>
      </c>
      <c r="X1357" s="67" t="str">
        <f>IF(AND(A1357="",E1357=""),"",IF(V1357="Oui","Annulé",IF(AND(N(H1357)&gt;0,N(T1357)&gt;=N(H1357)),"Reçu",IF(N(S1357)=0,"Brouillon",IF(AND(ISNUMBER(R1357),R1357&lt;p_today),"En retard",IF(N(T1357)&gt;0,"Partiel","Envoyé"))))))</f>
        <v/>
      </c>
      <c r="Y1357" s="75" t="str">
        <f>IF(X1357="En retard",p_today-R1357,IF(AND(X1357="Reçu",ISNUMBER(R1357)),MAX(0,N(U1357)-R1357),""))</f>
        <v/>
      </c>
      <c r="Z1357" s="67" t="str">
        <f>IF(AND(A1357="",E1357=""),"",IF(A1357="","N° de bon manquant",IF(N(B1357)=0,"Date de commande manquante",IF(C1357="","Fournisseur manquant",IF(ISNA(MATCH($C1357,sup_code,0)),"Fournisseur inconnu",IF(E1357="","Article manquant",IF(ISNA(MATCH($E1357,art_ref,0)),"Article inconnu",IF(N(H1357)&lt;=0,"Quantité invalide",IF(J1357="","Prix manquant",IF(OR(N(K1357)&lt;0,N(K1357)&gt;=1),"Remise invalide",IF(M1357="","TVA manquante",IF(ISNA(MATCH(M1357,p_tva,0)),"Taux de TVA inconnu",IF(COUNTIFS(po_num,A1357,po_sup,"&lt;&gt;"&amp;C1357)&gt;0,"Fournisseur différent sur ce bon",IF(COUNTIFS(po_num,A1357,po_date,"&lt;&gt;"&amp;B1357)&gt;0,"Date différente sur ce bon",IF(COUNTIF(po_num,A1357)&gt;25,"Plus de 25 lignes sur ce bon",IF(R1357="","Date de livraison manquante",IF(R1357&lt;B1357,"Livraison avant la commande",IF(AND(N(T1357)&gt;0,N(S1357)=0),"Date d'envoi manquante",IF(N(T1357)&gt;N(H1357),"Reçu plus que commandé",IF(AND(N(T1357)&gt;0,N(U1357)=0),"Date de réception manquante",IF(AND(N(U1357)&gt;0,U1357&lt;B1357),"Réception avant la commande","OK")))))))))))))))))))))</f>
        <v/>
      </c>
      <c r="AA1357" s="66" t="str">
        <f>IF(AND(X1357="Reçu",ISNUMBER(R1357)),IF(N(U1357)&lt;=R1357,1,0),"")</f>
        <v/>
      </c>
      <c r="AB1357" s="76" t="str">
        <f>IF(OR(X1357="Envoyé",X1357="Partiel",X1357="En retard"),IF(ISNUMBER(R1357),R1357,100000)+ROW()/100000,"")</f>
        <v/>
      </c>
      <c r="AC1357" s="66" t="str">
        <f>IF(A1357="","",IF(COUNTIF($A$6:A1357,A1357)=1,1,""))</f>
        <v/>
      </c>
      <c r="AD1357" s="66" t="str">
        <f>IF(AC1357=1,COUNT($AC$6:AC1357),"")</f>
        <v/>
      </c>
      <c r="AE1357" s="66" t="str">
        <f>IFERROR(INDEX(po_num,MATCH(1352,po_seq,0))&amp;"","")</f>
        <v/>
      </c>
      <c r="AF1357" s="66" t="str">
        <f>IF(OR(A1357="",p_po=""),"",IF(A1357&amp;""=p_po,COUNTIF($A$6:A1357,A1357),""))</f>
        <v/>
      </c>
      <c r="AG1357" s="66" t="str">
        <f>IF(OR(AB1357="",A1357=""),"",IF(COUNTIFS($A$6:A1357,A1357,$AB$6:AB1357,"&gt;0")=1,1,""))</f>
        <v/>
      </c>
      <c r="AH1357" s="70" t="str">
        <f>IF(AB1357="","",ROUND(N(W1357)*N(J1357)*(1-N(K1357)),2))</f>
        <v/>
      </c>
      <c r="AI1357" s="70" t="str">
        <f>IF(OR(J1357="",N(T1357)&lt;=0,V1357="Oui"),"",ROUND(N(T1357)*J1357*(1-N(K1357)),2))</f>
        <v/>
      </c>
    </row>
    <row r="1358">
      <c r="A1358" s="63" t="n"/>
      <c r="B1358" s="64" t="n"/>
      <c r="C1358" s="65" t="n"/>
      <c r="D1358" s="66" t="str">
        <f>IF(C1358="","",IFERROR(INDEX(sup_name,MATCH($C1358,sup_code,0))&amp;"","Fournisseur inconnu"))</f>
        <v/>
      </c>
      <c r="E1358" s="63" t="n"/>
      <c r="F1358" s="66" t="str">
        <f>IF(E1358="","",IFERROR(INDEX(art_des,MATCH($E1358,art_ref,0))&amp;"","Article inconnu"))</f>
        <v/>
      </c>
      <c r="G1358" s="67" t="str">
        <f>IF(E1358="","",IFERROR(INDEX(art_unit,MATCH($E1358,art_ref,0))&amp;"",""))</f>
        <v/>
      </c>
      <c r="H1358" s="68" t="n"/>
      <c r="I1358" s="69" t="n"/>
      <c r="J1358" s="70" t="str">
        <f>IF(E1358="","",IF(ISNUMBER(I1358),I1358,IFERROR(IF(ISNUMBER(INDEX(art_price,MATCH($E1358,art_ref,0))),INDEX(art_price,MATCH($E1358,art_ref,0)),""),"")))</f>
        <v/>
      </c>
      <c r="K1358" s="71" t="n"/>
      <c r="L1358" s="72" t="n"/>
      <c r="M1358" s="72" t="str">
        <f>IF(E1358="","",IF(L1358&lt;&gt;"",L1358,IFERROR(IF(ISNUMBER(INDEX(art_tva,MATCH($E1358,art_ref,0))),INDEX(art_tva,MATCH($E1358,art_ref,0)),""),"")))</f>
        <v/>
      </c>
      <c r="N1358" s="70" t="str">
        <f>IF(OR(E1358="",J1358=""),"",ROUND(N(H1358)*J1358*(1-N(K1358)),2))</f>
        <v/>
      </c>
      <c r="O1358" s="70" t="str">
        <f>IF(OR(N1358="",NOT(ISNUMBER(M1358))),"",ROUND(N1358*M1358,2))</f>
        <v/>
      </c>
      <c r="P1358" s="70" t="str">
        <f>IF(N1358="","",N1358+N(O1358))</f>
        <v/>
      </c>
      <c r="Q1358" s="64" t="n"/>
      <c r="R1358" s="73" t="str">
        <f>IF(N(Q1358)&gt;0,Q1358,IF(OR(N(B1358)=0,ISNA(MATCH($C1358,sup_code,0))),"",IF(ISNUMBER(INDEX(sup_delay,MATCH($C1358,sup_code,0))),B1358+INDEX(sup_delay,MATCH($C1358,sup_code,0)),"")))</f>
        <v/>
      </c>
      <c r="S1358" s="64" t="n"/>
      <c r="T1358" s="68" t="n"/>
      <c r="U1358" s="64" t="n"/>
      <c r="V1358" s="65" t="n"/>
      <c r="W1358" s="74" t="str">
        <f>IF(AND(A1358="",E1358=""),"",IF(V1358="Oui",0,MAX(0,ROUND(N(H1358)-N(T1358),6))))</f>
        <v/>
      </c>
      <c r="X1358" s="67" t="str">
        <f>IF(AND(A1358="",E1358=""),"",IF(V1358="Oui","Annulé",IF(AND(N(H1358)&gt;0,N(T1358)&gt;=N(H1358)),"Reçu",IF(N(S1358)=0,"Brouillon",IF(AND(ISNUMBER(R1358),R1358&lt;p_today),"En retard",IF(N(T1358)&gt;0,"Partiel","Envoyé"))))))</f>
        <v/>
      </c>
      <c r="Y1358" s="75" t="str">
        <f>IF(X1358="En retard",p_today-R1358,IF(AND(X1358="Reçu",ISNUMBER(R1358)),MAX(0,N(U1358)-R1358),""))</f>
        <v/>
      </c>
      <c r="Z1358" s="67" t="str">
        <f>IF(AND(A1358="",E1358=""),"",IF(A1358="","N° de bon manquant",IF(N(B1358)=0,"Date de commande manquante",IF(C1358="","Fournisseur manquant",IF(ISNA(MATCH($C1358,sup_code,0)),"Fournisseur inconnu",IF(E1358="","Article manquant",IF(ISNA(MATCH($E1358,art_ref,0)),"Article inconnu",IF(N(H1358)&lt;=0,"Quantité invalide",IF(J1358="","Prix manquant",IF(OR(N(K1358)&lt;0,N(K1358)&gt;=1),"Remise invalide",IF(M1358="","TVA manquante",IF(ISNA(MATCH(M1358,p_tva,0)),"Taux de TVA inconnu",IF(COUNTIFS(po_num,A1358,po_sup,"&lt;&gt;"&amp;C1358)&gt;0,"Fournisseur différent sur ce bon",IF(COUNTIFS(po_num,A1358,po_date,"&lt;&gt;"&amp;B1358)&gt;0,"Date différente sur ce bon",IF(COUNTIF(po_num,A1358)&gt;25,"Plus de 25 lignes sur ce bon",IF(R1358="","Date de livraison manquante",IF(R1358&lt;B1358,"Livraison avant la commande",IF(AND(N(T1358)&gt;0,N(S1358)=0),"Date d'envoi manquante",IF(N(T1358)&gt;N(H1358),"Reçu plus que commandé",IF(AND(N(T1358)&gt;0,N(U1358)=0),"Date de réception manquante",IF(AND(N(U1358)&gt;0,U1358&lt;B1358),"Réception avant la commande","OK")))))))))))))))))))))</f>
        <v/>
      </c>
      <c r="AA1358" s="66" t="str">
        <f>IF(AND(X1358="Reçu",ISNUMBER(R1358)),IF(N(U1358)&lt;=R1358,1,0),"")</f>
        <v/>
      </c>
      <c r="AB1358" s="76" t="str">
        <f>IF(OR(X1358="Envoyé",X1358="Partiel",X1358="En retard"),IF(ISNUMBER(R1358),R1358,100000)+ROW()/100000,"")</f>
        <v/>
      </c>
      <c r="AC1358" s="66" t="str">
        <f>IF(A1358="","",IF(COUNTIF($A$6:A1358,A1358)=1,1,""))</f>
        <v/>
      </c>
      <c r="AD1358" s="66" t="str">
        <f>IF(AC1358=1,COUNT($AC$6:AC1358),"")</f>
        <v/>
      </c>
      <c r="AE1358" s="66" t="str">
        <f>IFERROR(INDEX(po_num,MATCH(1353,po_seq,0))&amp;"","")</f>
        <v/>
      </c>
      <c r="AF1358" s="66" t="str">
        <f>IF(OR(A1358="",p_po=""),"",IF(A1358&amp;""=p_po,COUNTIF($A$6:A1358,A1358),""))</f>
        <v/>
      </c>
      <c r="AG1358" s="66" t="str">
        <f>IF(OR(AB1358="",A1358=""),"",IF(COUNTIFS($A$6:A1358,A1358,$AB$6:AB1358,"&gt;0")=1,1,""))</f>
        <v/>
      </c>
      <c r="AH1358" s="70" t="str">
        <f>IF(AB1358="","",ROUND(N(W1358)*N(J1358)*(1-N(K1358)),2))</f>
        <v/>
      </c>
      <c r="AI1358" s="70" t="str">
        <f>IF(OR(J1358="",N(T1358)&lt;=0,V1358="Oui"),"",ROUND(N(T1358)*J1358*(1-N(K1358)),2))</f>
        <v/>
      </c>
    </row>
    <row r="1359">
      <c r="A1359" s="63" t="n"/>
      <c r="B1359" s="64" t="n"/>
      <c r="C1359" s="65" t="n"/>
      <c r="D1359" s="66" t="str">
        <f>IF(C1359="","",IFERROR(INDEX(sup_name,MATCH($C1359,sup_code,0))&amp;"","Fournisseur inconnu"))</f>
        <v/>
      </c>
      <c r="E1359" s="63" t="n"/>
      <c r="F1359" s="66" t="str">
        <f>IF(E1359="","",IFERROR(INDEX(art_des,MATCH($E1359,art_ref,0))&amp;"","Article inconnu"))</f>
        <v/>
      </c>
      <c r="G1359" s="67" t="str">
        <f>IF(E1359="","",IFERROR(INDEX(art_unit,MATCH($E1359,art_ref,0))&amp;"",""))</f>
        <v/>
      </c>
      <c r="H1359" s="68" t="n"/>
      <c r="I1359" s="69" t="n"/>
      <c r="J1359" s="70" t="str">
        <f>IF(E1359="","",IF(ISNUMBER(I1359),I1359,IFERROR(IF(ISNUMBER(INDEX(art_price,MATCH($E1359,art_ref,0))),INDEX(art_price,MATCH($E1359,art_ref,0)),""),"")))</f>
        <v/>
      </c>
      <c r="K1359" s="71" t="n"/>
      <c r="L1359" s="72" t="n"/>
      <c r="M1359" s="72" t="str">
        <f>IF(E1359="","",IF(L1359&lt;&gt;"",L1359,IFERROR(IF(ISNUMBER(INDEX(art_tva,MATCH($E1359,art_ref,0))),INDEX(art_tva,MATCH($E1359,art_ref,0)),""),"")))</f>
        <v/>
      </c>
      <c r="N1359" s="70" t="str">
        <f>IF(OR(E1359="",J1359=""),"",ROUND(N(H1359)*J1359*(1-N(K1359)),2))</f>
        <v/>
      </c>
      <c r="O1359" s="70" t="str">
        <f>IF(OR(N1359="",NOT(ISNUMBER(M1359))),"",ROUND(N1359*M1359,2))</f>
        <v/>
      </c>
      <c r="P1359" s="70" t="str">
        <f>IF(N1359="","",N1359+N(O1359))</f>
        <v/>
      </c>
      <c r="Q1359" s="64" t="n"/>
      <c r="R1359" s="73" t="str">
        <f>IF(N(Q1359)&gt;0,Q1359,IF(OR(N(B1359)=0,ISNA(MATCH($C1359,sup_code,0))),"",IF(ISNUMBER(INDEX(sup_delay,MATCH($C1359,sup_code,0))),B1359+INDEX(sup_delay,MATCH($C1359,sup_code,0)),"")))</f>
        <v/>
      </c>
      <c r="S1359" s="64" t="n"/>
      <c r="T1359" s="68" t="n"/>
      <c r="U1359" s="64" t="n"/>
      <c r="V1359" s="65" t="n"/>
      <c r="W1359" s="74" t="str">
        <f>IF(AND(A1359="",E1359=""),"",IF(V1359="Oui",0,MAX(0,ROUND(N(H1359)-N(T1359),6))))</f>
        <v/>
      </c>
      <c r="X1359" s="67" t="str">
        <f>IF(AND(A1359="",E1359=""),"",IF(V1359="Oui","Annulé",IF(AND(N(H1359)&gt;0,N(T1359)&gt;=N(H1359)),"Reçu",IF(N(S1359)=0,"Brouillon",IF(AND(ISNUMBER(R1359),R1359&lt;p_today),"En retard",IF(N(T1359)&gt;0,"Partiel","Envoyé"))))))</f>
        <v/>
      </c>
      <c r="Y1359" s="75" t="str">
        <f>IF(X1359="En retard",p_today-R1359,IF(AND(X1359="Reçu",ISNUMBER(R1359)),MAX(0,N(U1359)-R1359),""))</f>
        <v/>
      </c>
      <c r="Z1359" s="67" t="str">
        <f>IF(AND(A1359="",E1359=""),"",IF(A1359="","N° de bon manquant",IF(N(B1359)=0,"Date de commande manquante",IF(C1359="","Fournisseur manquant",IF(ISNA(MATCH($C1359,sup_code,0)),"Fournisseur inconnu",IF(E1359="","Article manquant",IF(ISNA(MATCH($E1359,art_ref,0)),"Article inconnu",IF(N(H1359)&lt;=0,"Quantité invalide",IF(J1359="","Prix manquant",IF(OR(N(K1359)&lt;0,N(K1359)&gt;=1),"Remise invalide",IF(M1359="","TVA manquante",IF(ISNA(MATCH(M1359,p_tva,0)),"Taux de TVA inconnu",IF(COUNTIFS(po_num,A1359,po_sup,"&lt;&gt;"&amp;C1359)&gt;0,"Fournisseur différent sur ce bon",IF(COUNTIFS(po_num,A1359,po_date,"&lt;&gt;"&amp;B1359)&gt;0,"Date différente sur ce bon",IF(COUNTIF(po_num,A1359)&gt;25,"Plus de 25 lignes sur ce bon",IF(R1359="","Date de livraison manquante",IF(R1359&lt;B1359,"Livraison avant la commande",IF(AND(N(T1359)&gt;0,N(S1359)=0),"Date d'envoi manquante",IF(N(T1359)&gt;N(H1359),"Reçu plus que commandé",IF(AND(N(T1359)&gt;0,N(U1359)=0),"Date de réception manquante",IF(AND(N(U1359)&gt;0,U1359&lt;B1359),"Réception avant la commande","OK")))))))))))))))))))))</f>
        <v/>
      </c>
      <c r="AA1359" s="66" t="str">
        <f>IF(AND(X1359="Reçu",ISNUMBER(R1359)),IF(N(U1359)&lt;=R1359,1,0),"")</f>
        <v/>
      </c>
      <c r="AB1359" s="76" t="str">
        <f>IF(OR(X1359="Envoyé",X1359="Partiel",X1359="En retard"),IF(ISNUMBER(R1359),R1359,100000)+ROW()/100000,"")</f>
        <v/>
      </c>
      <c r="AC1359" s="66" t="str">
        <f>IF(A1359="","",IF(COUNTIF($A$6:A1359,A1359)=1,1,""))</f>
        <v/>
      </c>
      <c r="AD1359" s="66" t="str">
        <f>IF(AC1359=1,COUNT($AC$6:AC1359),"")</f>
        <v/>
      </c>
      <c r="AE1359" s="66" t="str">
        <f>IFERROR(INDEX(po_num,MATCH(1354,po_seq,0))&amp;"","")</f>
        <v/>
      </c>
      <c r="AF1359" s="66" t="str">
        <f>IF(OR(A1359="",p_po=""),"",IF(A1359&amp;""=p_po,COUNTIF($A$6:A1359,A1359),""))</f>
        <v/>
      </c>
      <c r="AG1359" s="66" t="str">
        <f>IF(OR(AB1359="",A1359=""),"",IF(COUNTIFS($A$6:A1359,A1359,$AB$6:AB1359,"&gt;0")=1,1,""))</f>
        <v/>
      </c>
      <c r="AH1359" s="70" t="str">
        <f>IF(AB1359="","",ROUND(N(W1359)*N(J1359)*(1-N(K1359)),2))</f>
        <v/>
      </c>
      <c r="AI1359" s="70" t="str">
        <f>IF(OR(J1359="",N(T1359)&lt;=0,V1359="Oui"),"",ROUND(N(T1359)*J1359*(1-N(K1359)),2))</f>
        <v/>
      </c>
    </row>
    <row r="1360">
      <c r="A1360" s="63" t="n"/>
      <c r="B1360" s="64" t="n"/>
      <c r="C1360" s="65" t="n"/>
      <c r="D1360" s="66" t="str">
        <f>IF(C1360="","",IFERROR(INDEX(sup_name,MATCH($C1360,sup_code,0))&amp;"","Fournisseur inconnu"))</f>
        <v/>
      </c>
      <c r="E1360" s="63" t="n"/>
      <c r="F1360" s="66" t="str">
        <f>IF(E1360="","",IFERROR(INDEX(art_des,MATCH($E1360,art_ref,0))&amp;"","Article inconnu"))</f>
        <v/>
      </c>
      <c r="G1360" s="67" t="str">
        <f>IF(E1360="","",IFERROR(INDEX(art_unit,MATCH($E1360,art_ref,0))&amp;"",""))</f>
        <v/>
      </c>
      <c r="H1360" s="68" t="n"/>
      <c r="I1360" s="69" t="n"/>
      <c r="J1360" s="70" t="str">
        <f>IF(E1360="","",IF(ISNUMBER(I1360),I1360,IFERROR(IF(ISNUMBER(INDEX(art_price,MATCH($E1360,art_ref,0))),INDEX(art_price,MATCH($E1360,art_ref,0)),""),"")))</f>
        <v/>
      </c>
      <c r="K1360" s="71" t="n"/>
      <c r="L1360" s="72" t="n"/>
      <c r="M1360" s="72" t="str">
        <f>IF(E1360="","",IF(L1360&lt;&gt;"",L1360,IFERROR(IF(ISNUMBER(INDEX(art_tva,MATCH($E1360,art_ref,0))),INDEX(art_tva,MATCH($E1360,art_ref,0)),""),"")))</f>
        <v/>
      </c>
      <c r="N1360" s="70" t="str">
        <f>IF(OR(E1360="",J1360=""),"",ROUND(N(H1360)*J1360*(1-N(K1360)),2))</f>
        <v/>
      </c>
      <c r="O1360" s="70" t="str">
        <f>IF(OR(N1360="",NOT(ISNUMBER(M1360))),"",ROUND(N1360*M1360,2))</f>
        <v/>
      </c>
      <c r="P1360" s="70" t="str">
        <f>IF(N1360="","",N1360+N(O1360))</f>
        <v/>
      </c>
      <c r="Q1360" s="64" t="n"/>
      <c r="R1360" s="73" t="str">
        <f>IF(N(Q1360)&gt;0,Q1360,IF(OR(N(B1360)=0,ISNA(MATCH($C1360,sup_code,0))),"",IF(ISNUMBER(INDEX(sup_delay,MATCH($C1360,sup_code,0))),B1360+INDEX(sup_delay,MATCH($C1360,sup_code,0)),"")))</f>
        <v/>
      </c>
      <c r="S1360" s="64" t="n"/>
      <c r="T1360" s="68" t="n"/>
      <c r="U1360" s="64" t="n"/>
      <c r="V1360" s="65" t="n"/>
      <c r="W1360" s="74" t="str">
        <f>IF(AND(A1360="",E1360=""),"",IF(V1360="Oui",0,MAX(0,ROUND(N(H1360)-N(T1360),6))))</f>
        <v/>
      </c>
      <c r="X1360" s="67" t="str">
        <f>IF(AND(A1360="",E1360=""),"",IF(V1360="Oui","Annulé",IF(AND(N(H1360)&gt;0,N(T1360)&gt;=N(H1360)),"Reçu",IF(N(S1360)=0,"Brouillon",IF(AND(ISNUMBER(R1360),R1360&lt;p_today),"En retard",IF(N(T1360)&gt;0,"Partiel","Envoyé"))))))</f>
        <v/>
      </c>
      <c r="Y1360" s="75" t="str">
        <f>IF(X1360="En retard",p_today-R1360,IF(AND(X1360="Reçu",ISNUMBER(R1360)),MAX(0,N(U1360)-R1360),""))</f>
        <v/>
      </c>
      <c r="Z1360" s="67" t="str">
        <f>IF(AND(A1360="",E1360=""),"",IF(A1360="","N° de bon manquant",IF(N(B1360)=0,"Date de commande manquante",IF(C1360="","Fournisseur manquant",IF(ISNA(MATCH($C1360,sup_code,0)),"Fournisseur inconnu",IF(E1360="","Article manquant",IF(ISNA(MATCH($E1360,art_ref,0)),"Article inconnu",IF(N(H1360)&lt;=0,"Quantité invalide",IF(J1360="","Prix manquant",IF(OR(N(K1360)&lt;0,N(K1360)&gt;=1),"Remise invalide",IF(M1360="","TVA manquante",IF(ISNA(MATCH(M1360,p_tva,0)),"Taux de TVA inconnu",IF(COUNTIFS(po_num,A1360,po_sup,"&lt;&gt;"&amp;C1360)&gt;0,"Fournisseur différent sur ce bon",IF(COUNTIFS(po_num,A1360,po_date,"&lt;&gt;"&amp;B1360)&gt;0,"Date différente sur ce bon",IF(COUNTIF(po_num,A1360)&gt;25,"Plus de 25 lignes sur ce bon",IF(R1360="","Date de livraison manquante",IF(R1360&lt;B1360,"Livraison avant la commande",IF(AND(N(T1360)&gt;0,N(S1360)=0),"Date d'envoi manquante",IF(N(T1360)&gt;N(H1360),"Reçu plus que commandé",IF(AND(N(T1360)&gt;0,N(U1360)=0),"Date de réception manquante",IF(AND(N(U1360)&gt;0,U1360&lt;B1360),"Réception avant la commande","OK")))))))))))))))))))))</f>
        <v/>
      </c>
      <c r="AA1360" s="66" t="str">
        <f>IF(AND(X1360="Reçu",ISNUMBER(R1360)),IF(N(U1360)&lt;=R1360,1,0),"")</f>
        <v/>
      </c>
      <c r="AB1360" s="76" t="str">
        <f>IF(OR(X1360="Envoyé",X1360="Partiel",X1360="En retard"),IF(ISNUMBER(R1360),R1360,100000)+ROW()/100000,"")</f>
        <v/>
      </c>
      <c r="AC1360" s="66" t="str">
        <f>IF(A1360="","",IF(COUNTIF($A$6:A1360,A1360)=1,1,""))</f>
        <v/>
      </c>
      <c r="AD1360" s="66" t="str">
        <f>IF(AC1360=1,COUNT($AC$6:AC1360),"")</f>
        <v/>
      </c>
      <c r="AE1360" s="66" t="str">
        <f>IFERROR(INDEX(po_num,MATCH(1355,po_seq,0))&amp;"","")</f>
        <v/>
      </c>
      <c r="AF1360" s="66" t="str">
        <f>IF(OR(A1360="",p_po=""),"",IF(A1360&amp;""=p_po,COUNTIF($A$6:A1360,A1360),""))</f>
        <v/>
      </c>
      <c r="AG1360" s="66" t="str">
        <f>IF(OR(AB1360="",A1360=""),"",IF(COUNTIFS($A$6:A1360,A1360,$AB$6:AB1360,"&gt;0")=1,1,""))</f>
        <v/>
      </c>
      <c r="AH1360" s="70" t="str">
        <f>IF(AB1360="","",ROUND(N(W1360)*N(J1360)*(1-N(K1360)),2))</f>
        <v/>
      </c>
      <c r="AI1360" s="70" t="str">
        <f>IF(OR(J1360="",N(T1360)&lt;=0,V1360="Oui"),"",ROUND(N(T1360)*J1360*(1-N(K1360)),2))</f>
        <v/>
      </c>
    </row>
    <row r="1361">
      <c r="A1361" s="63" t="n"/>
      <c r="B1361" s="64" t="n"/>
      <c r="C1361" s="65" t="n"/>
      <c r="D1361" s="66" t="str">
        <f>IF(C1361="","",IFERROR(INDEX(sup_name,MATCH($C1361,sup_code,0))&amp;"","Fournisseur inconnu"))</f>
        <v/>
      </c>
      <c r="E1361" s="63" t="n"/>
      <c r="F1361" s="66" t="str">
        <f>IF(E1361="","",IFERROR(INDEX(art_des,MATCH($E1361,art_ref,0))&amp;"","Article inconnu"))</f>
        <v/>
      </c>
      <c r="G1361" s="67" t="str">
        <f>IF(E1361="","",IFERROR(INDEX(art_unit,MATCH($E1361,art_ref,0))&amp;"",""))</f>
        <v/>
      </c>
      <c r="H1361" s="68" t="n"/>
      <c r="I1361" s="69" t="n"/>
      <c r="J1361" s="70" t="str">
        <f>IF(E1361="","",IF(ISNUMBER(I1361),I1361,IFERROR(IF(ISNUMBER(INDEX(art_price,MATCH($E1361,art_ref,0))),INDEX(art_price,MATCH($E1361,art_ref,0)),""),"")))</f>
        <v/>
      </c>
      <c r="K1361" s="71" t="n"/>
      <c r="L1361" s="72" t="n"/>
      <c r="M1361" s="72" t="str">
        <f>IF(E1361="","",IF(L1361&lt;&gt;"",L1361,IFERROR(IF(ISNUMBER(INDEX(art_tva,MATCH($E1361,art_ref,0))),INDEX(art_tva,MATCH($E1361,art_ref,0)),""),"")))</f>
        <v/>
      </c>
      <c r="N1361" s="70" t="str">
        <f>IF(OR(E1361="",J1361=""),"",ROUND(N(H1361)*J1361*(1-N(K1361)),2))</f>
        <v/>
      </c>
      <c r="O1361" s="70" t="str">
        <f>IF(OR(N1361="",NOT(ISNUMBER(M1361))),"",ROUND(N1361*M1361,2))</f>
        <v/>
      </c>
      <c r="P1361" s="70" t="str">
        <f>IF(N1361="","",N1361+N(O1361))</f>
        <v/>
      </c>
      <c r="Q1361" s="64" t="n"/>
      <c r="R1361" s="73" t="str">
        <f>IF(N(Q1361)&gt;0,Q1361,IF(OR(N(B1361)=0,ISNA(MATCH($C1361,sup_code,0))),"",IF(ISNUMBER(INDEX(sup_delay,MATCH($C1361,sup_code,0))),B1361+INDEX(sup_delay,MATCH($C1361,sup_code,0)),"")))</f>
        <v/>
      </c>
      <c r="S1361" s="64" t="n"/>
      <c r="T1361" s="68" t="n"/>
      <c r="U1361" s="64" t="n"/>
      <c r="V1361" s="65" t="n"/>
      <c r="W1361" s="74" t="str">
        <f>IF(AND(A1361="",E1361=""),"",IF(V1361="Oui",0,MAX(0,ROUND(N(H1361)-N(T1361),6))))</f>
        <v/>
      </c>
      <c r="X1361" s="67" t="str">
        <f>IF(AND(A1361="",E1361=""),"",IF(V1361="Oui","Annulé",IF(AND(N(H1361)&gt;0,N(T1361)&gt;=N(H1361)),"Reçu",IF(N(S1361)=0,"Brouillon",IF(AND(ISNUMBER(R1361),R1361&lt;p_today),"En retard",IF(N(T1361)&gt;0,"Partiel","Envoyé"))))))</f>
        <v/>
      </c>
      <c r="Y1361" s="75" t="str">
        <f>IF(X1361="En retard",p_today-R1361,IF(AND(X1361="Reçu",ISNUMBER(R1361)),MAX(0,N(U1361)-R1361),""))</f>
        <v/>
      </c>
      <c r="Z1361" s="67" t="str">
        <f>IF(AND(A1361="",E1361=""),"",IF(A1361="","N° de bon manquant",IF(N(B1361)=0,"Date de commande manquante",IF(C1361="","Fournisseur manquant",IF(ISNA(MATCH($C1361,sup_code,0)),"Fournisseur inconnu",IF(E1361="","Article manquant",IF(ISNA(MATCH($E1361,art_ref,0)),"Article inconnu",IF(N(H1361)&lt;=0,"Quantité invalide",IF(J1361="","Prix manquant",IF(OR(N(K1361)&lt;0,N(K1361)&gt;=1),"Remise invalide",IF(M1361="","TVA manquante",IF(ISNA(MATCH(M1361,p_tva,0)),"Taux de TVA inconnu",IF(COUNTIFS(po_num,A1361,po_sup,"&lt;&gt;"&amp;C1361)&gt;0,"Fournisseur différent sur ce bon",IF(COUNTIFS(po_num,A1361,po_date,"&lt;&gt;"&amp;B1361)&gt;0,"Date différente sur ce bon",IF(COUNTIF(po_num,A1361)&gt;25,"Plus de 25 lignes sur ce bon",IF(R1361="","Date de livraison manquante",IF(R1361&lt;B1361,"Livraison avant la commande",IF(AND(N(T1361)&gt;0,N(S1361)=0),"Date d'envoi manquante",IF(N(T1361)&gt;N(H1361),"Reçu plus que commandé",IF(AND(N(T1361)&gt;0,N(U1361)=0),"Date de réception manquante",IF(AND(N(U1361)&gt;0,U1361&lt;B1361),"Réception avant la commande","OK")))))))))))))))))))))</f>
        <v/>
      </c>
      <c r="AA1361" s="66" t="str">
        <f>IF(AND(X1361="Reçu",ISNUMBER(R1361)),IF(N(U1361)&lt;=R1361,1,0),"")</f>
        <v/>
      </c>
      <c r="AB1361" s="76" t="str">
        <f>IF(OR(X1361="Envoyé",X1361="Partiel",X1361="En retard"),IF(ISNUMBER(R1361),R1361,100000)+ROW()/100000,"")</f>
        <v/>
      </c>
      <c r="AC1361" s="66" t="str">
        <f>IF(A1361="","",IF(COUNTIF($A$6:A1361,A1361)=1,1,""))</f>
        <v/>
      </c>
      <c r="AD1361" s="66" t="str">
        <f>IF(AC1361=1,COUNT($AC$6:AC1361),"")</f>
        <v/>
      </c>
      <c r="AE1361" s="66" t="str">
        <f>IFERROR(INDEX(po_num,MATCH(1356,po_seq,0))&amp;"","")</f>
        <v/>
      </c>
      <c r="AF1361" s="66" t="str">
        <f>IF(OR(A1361="",p_po=""),"",IF(A1361&amp;""=p_po,COUNTIF($A$6:A1361,A1361),""))</f>
        <v/>
      </c>
      <c r="AG1361" s="66" t="str">
        <f>IF(OR(AB1361="",A1361=""),"",IF(COUNTIFS($A$6:A1361,A1361,$AB$6:AB1361,"&gt;0")=1,1,""))</f>
        <v/>
      </c>
      <c r="AH1361" s="70" t="str">
        <f>IF(AB1361="","",ROUND(N(W1361)*N(J1361)*(1-N(K1361)),2))</f>
        <v/>
      </c>
      <c r="AI1361" s="70" t="str">
        <f>IF(OR(J1361="",N(T1361)&lt;=0,V1361="Oui"),"",ROUND(N(T1361)*J1361*(1-N(K1361)),2))</f>
        <v/>
      </c>
    </row>
    <row r="1362">
      <c r="A1362" s="63" t="n"/>
      <c r="B1362" s="64" t="n"/>
      <c r="C1362" s="65" t="n"/>
      <c r="D1362" s="66" t="str">
        <f>IF(C1362="","",IFERROR(INDEX(sup_name,MATCH($C1362,sup_code,0))&amp;"","Fournisseur inconnu"))</f>
        <v/>
      </c>
      <c r="E1362" s="63" t="n"/>
      <c r="F1362" s="66" t="str">
        <f>IF(E1362="","",IFERROR(INDEX(art_des,MATCH($E1362,art_ref,0))&amp;"","Article inconnu"))</f>
        <v/>
      </c>
      <c r="G1362" s="67" t="str">
        <f>IF(E1362="","",IFERROR(INDEX(art_unit,MATCH($E1362,art_ref,0))&amp;"",""))</f>
        <v/>
      </c>
      <c r="H1362" s="68" t="n"/>
      <c r="I1362" s="69" t="n"/>
      <c r="J1362" s="70" t="str">
        <f>IF(E1362="","",IF(ISNUMBER(I1362),I1362,IFERROR(IF(ISNUMBER(INDEX(art_price,MATCH($E1362,art_ref,0))),INDEX(art_price,MATCH($E1362,art_ref,0)),""),"")))</f>
        <v/>
      </c>
      <c r="K1362" s="71" t="n"/>
      <c r="L1362" s="72" t="n"/>
      <c r="M1362" s="72" t="str">
        <f>IF(E1362="","",IF(L1362&lt;&gt;"",L1362,IFERROR(IF(ISNUMBER(INDEX(art_tva,MATCH($E1362,art_ref,0))),INDEX(art_tva,MATCH($E1362,art_ref,0)),""),"")))</f>
        <v/>
      </c>
      <c r="N1362" s="70" t="str">
        <f>IF(OR(E1362="",J1362=""),"",ROUND(N(H1362)*J1362*(1-N(K1362)),2))</f>
        <v/>
      </c>
      <c r="O1362" s="70" t="str">
        <f>IF(OR(N1362="",NOT(ISNUMBER(M1362))),"",ROUND(N1362*M1362,2))</f>
        <v/>
      </c>
      <c r="P1362" s="70" t="str">
        <f>IF(N1362="","",N1362+N(O1362))</f>
        <v/>
      </c>
      <c r="Q1362" s="64" t="n"/>
      <c r="R1362" s="73" t="str">
        <f>IF(N(Q1362)&gt;0,Q1362,IF(OR(N(B1362)=0,ISNA(MATCH($C1362,sup_code,0))),"",IF(ISNUMBER(INDEX(sup_delay,MATCH($C1362,sup_code,0))),B1362+INDEX(sup_delay,MATCH($C1362,sup_code,0)),"")))</f>
        <v/>
      </c>
      <c r="S1362" s="64" t="n"/>
      <c r="T1362" s="68" t="n"/>
      <c r="U1362" s="64" t="n"/>
      <c r="V1362" s="65" t="n"/>
      <c r="W1362" s="74" t="str">
        <f>IF(AND(A1362="",E1362=""),"",IF(V1362="Oui",0,MAX(0,ROUND(N(H1362)-N(T1362),6))))</f>
        <v/>
      </c>
      <c r="X1362" s="67" t="str">
        <f>IF(AND(A1362="",E1362=""),"",IF(V1362="Oui","Annulé",IF(AND(N(H1362)&gt;0,N(T1362)&gt;=N(H1362)),"Reçu",IF(N(S1362)=0,"Brouillon",IF(AND(ISNUMBER(R1362),R1362&lt;p_today),"En retard",IF(N(T1362)&gt;0,"Partiel","Envoyé"))))))</f>
        <v/>
      </c>
      <c r="Y1362" s="75" t="str">
        <f>IF(X1362="En retard",p_today-R1362,IF(AND(X1362="Reçu",ISNUMBER(R1362)),MAX(0,N(U1362)-R1362),""))</f>
        <v/>
      </c>
      <c r="Z1362" s="67" t="str">
        <f>IF(AND(A1362="",E1362=""),"",IF(A1362="","N° de bon manquant",IF(N(B1362)=0,"Date de commande manquante",IF(C1362="","Fournisseur manquant",IF(ISNA(MATCH($C1362,sup_code,0)),"Fournisseur inconnu",IF(E1362="","Article manquant",IF(ISNA(MATCH($E1362,art_ref,0)),"Article inconnu",IF(N(H1362)&lt;=0,"Quantité invalide",IF(J1362="","Prix manquant",IF(OR(N(K1362)&lt;0,N(K1362)&gt;=1),"Remise invalide",IF(M1362="","TVA manquante",IF(ISNA(MATCH(M1362,p_tva,0)),"Taux de TVA inconnu",IF(COUNTIFS(po_num,A1362,po_sup,"&lt;&gt;"&amp;C1362)&gt;0,"Fournisseur différent sur ce bon",IF(COUNTIFS(po_num,A1362,po_date,"&lt;&gt;"&amp;B1362)&gt;0,"Date différente sur ce bon",IF(COUNTIF(po_num,A1362)&gt;25,"Plus de 25 lignes sur ce bon",IF(R1362="","Date de livraison manquante",IF(R1362&lt;B1362,"Livraison avant la commande",IF(AND(N(T1362)&gt;0,N(S1362)=0),"Date d'envoi manquante",IF(N(T1362)&gt;N(H1362),"Reçu plus que commandé",IF(AND(N(T1362)&gt;0,N(U1362)=0),"Date de réception manquante",IF(AND(N(U1362)&gt;0,U1362&lt;B1362),"Réception avant la commande","OK")))))))))))))))))))))</f>
        <v/>
      </c>
      <c r="AA1362" s="66" t="str">
        <f>IF(AND(X1362="Reçu",ISNUMBER(R1362)),IF(N(U1362)&lt;=R1362,1,0),"")</f>
        <v/>
      </c>
      <c r="AB1362" s="76" t="str">
        <f>IF(OR(X1362="Envoyé",X1362="Partiel",X1362="En retard"),IF(ISNUMBER(R1362),R1362,100000)+ROW()/100000,"")</f>
        <v/>
      </c>
      <c r="AC1362" s="66" t="str">
        <f>IF(A1362="","",IF(COUNTIF($A$6:A1362,A1362)=1,1,""))</f>
        <v/>
      </c>
      <c r="AD1362" s="66" t="str">
        <f>IF(AC1362=1,COUNT($AC$6:AC1362),"")</f>
        <v/>
      </c>
      <c r="AE1362" s="66" t="str">
        <f>IFERROR(INDEX(po_num,MATCH(1357,po_seq,0))&amp;"","")</f>
        <v/>
      </c>
      <c r="AF1362" s="66" t="str">
        <f>IF(OR(A1362="",p_po=""),"",IF(A1362&amp;""=p_po,COUNTIF($A$6:A1362,A1362),""))</f>
        <v/>
      </c>
      <c r="AG1362" s="66" t="str">
        <f>IF(OR(AB1362="",A1362=""),"",IF(COUNTIFS($A$6:A1362,A1362,$AB$6:AB1362,"&gt;0")=1,1,""))</f>
        <v/>
      </c>
      <c r="AH1362" s="70" t="str">
        <f>IF(AB1362="","",ROUND(N(W1362)*N(J1362)*(1-N(K1362)),2))</f>
        <v/>
      </c>
      <c r="AI1362" s="70" t="str">
        <f>IF(OR(J1362="",N(T1362)&lt;=0,V1362="Oui"),"",ROUND(N(T1362)*J1362*(1-N(K1362)),2))</f>
        <v/>
      </c>
    </row>
    <row r="1363">
      <c r="A1363" s="63" t="n"/>
      <c r="B1363" s="64" t="n"/>
      <c r="C1363" s="65" t="n"/>
      <c r="D1363" s="66" t="str">
        <f>IF(C1363="","",IFERROR(INDEX(sup_name,MATCH($C1363,sup_code,0))&amp;"","Fournisseur inconnu"))</f>
        <v/>
      </c>
      <c r="E1363" s="63" t="n"/>
      <c r="F1363" s="66" t="str">
        <f>IF(E1363="","",IFERROR(INDEX(art_des,MATCH($E1363,art_ref,0))&amp;"","Article inconnu"))</f>
        <v/>
      </c>
      <c r="G1363" s="67" t="str">
        <f>IF(E1363="","",IFERROR(INDEX(art_unit,MATCH($E1363,art_ref,0))&amp;"",""))</f>
        <v/>
      </c>
      <c r="H1363" s="68" t="n"/>
      <c r="I1363" s="69" t="n"/>
      <c r="J1363" s="70" t="str">
        <f>IF(E1363="","",IF(ISNUMBER(I1363),I1363,IFERROR(IF(ISNUMBER(INDEX(art_price,MATCH($E1363,art_ref,0))),INDEX(art_price,MATCH($E1363,art_ref,0)),""),"")))</f>
        <v/>
      </c>
      <c r="K1363" s="71" t="n"/>
      <c r="L1363" s="72" t="n"/>
      <c r="M1363" s="72" t="str">
        <f>IF(E1363="","",IF(L1363&lt;&gt;"",L1363,IFERROR(IF(ISNUMBER(INDEX(art_tva,MATCH($E1363,art_ref,0))),INDEX(art_tva,MATCH($E1363,art_ref,0)),""),"")))</f>
        <v/>
      </c>
      <c r="N1363" s="70" t="str">
        <f>IF(OR(E1363="",J1363=""),"",ROUND(N(H1363)*J1363*(1-N(K1363)),2))</f>
        <v/>
      </c>
      <c r="O1363" s="70" t="str">
        <f>IF(OR(N1363="",NOT(ISNUMBER(M1363))),"",ROUND(N1363*M1363,2))</f>
        <v/>
      </c>
      <c r="P1363" s="70" t="str">
        <f>IF(N1363="","",N1363+N(O1363))</f>
        <v/>
      </c>
      <c r="Q1363" s="64" t="n"/>
      <c r="R1363" s="73" t="str">
        <f>IF(N(Q1363)&gt;0,Q1363,IF(OR(N(B1363)=0,ISNA(MATCH($C1363,sup_code,0))),"",IF(ISNUMBER(INDEX(sup_delay,MATCH($C1363,sup_code,0))),B1363+INDEX(sup_delay,MATCH($C1363,sup_code,0)),"")))</f>
        <v/>
      </c>
      <c r="S1363" s="64" t="n"/>
      <c r="T1363" s="68" t="n"/>
      <c r="U1363" s="64" t="n"/>
      <c r="V1363" s="65" t="n"/>
      <c r="W1363" s="74" t="str">
        <f>IF(AND(A1363="",E1363=""),"",IF(V1363="Oui",0,MAX(0,ROUND(N(H1363)-N(T1363),6))))</f>
        <v/>
      </c>
      <c r="X1363" s="67" t="str">
        <f>IF(AND(A1363="",E1363=""),"",IF(V1363="Oui","Annulé",IF(AND(N(H1363)&gt;0,N(T1363)&gt;=N(H1363)),"Reçu",IF(N(S1363)=0,"Brouillon",IF(AND(ISNUMBER(R1363),R1363&lt;p_today),"En retard",IF(N(T1363)&gt;0,"Partiel","Envoyé"))))))</f>
        <v/>
      </c>
      <c r="Y1363" s="75" t="str">
        <f>IF(X1363="En retard",p_today-R1363,IF(AND(X1363="Reçu",ISNUMBER(R1363)),MAX(0,N(U1363)-R1363),""))</f>
        <v/>
      </c>
      <c r="Z1363" s="67" t="str">
        <f>IF(AND(A1363="",E1363=""),"",IF(A1363="","N° de bon manquant",IF(N(B1363)=0,"Date de commande manquante",IF(C1363="","Fournisseur manquant",IF(ISNA(MATCH($C1363,sup_code,0)),"Fournisseur inconnu",IF(E1363="","Article manquant",IF(ISNA(MATCH($E1363,art_ref,0)),"Article inconnu",IF(N(H1363)&lt;=0,"Quantité invalide",IF(J1363="","Prix manquant",IF(OR(N(K1363)&lt;0,N(K1363)&gt;=1),"Remise invalide",IF(M1363="","TVA manquante",IF(ISNA(MATCH(M1363,p_tva,0)),"Taux de TVA inconnu",IF(COUNTIFS(po_num,A1363,po_sup,"&lt;&gt;"&amp;C1363)&gt;0,"Fournisseur différent sur ce bon",IF(COUNTIFS(po_num,A1363,po_date,"&lt;&gt;"&amp;B1363)&gt;0,"Date différente sur ce bon",IF(COUNTIF(po_num,A1363)&gt;25,"Plus de 25 lignes sur ce bon",IF(R1363="","Date de livraison manquante",IF(R1363&lt;B1363,"Livraison avant la commande",IF(AND(N(T1363)&gt;0,N(S1363)=0),"Date d'envoi manquante",IF(N(T1363)&gt;N(H1363),"Reçu plus que commandé",IF(AND(N(T1363)&gt;0,N(U1363)=0),"Date de réception manquante",IF(AND(N(U1363)&gt;0,U1363&lt;B1363),"Réception avant la commande","OK")))))))))))))))))))))</f>
        <v/>
      </c>
      <c r="AA1363" s="66" t="str">
        <f>IF(AND(X1363="Reçu",ISNUMBER(R1363)),IF(N(U1363)&lt;=R1363,1,0),"")</f>
        <v/>
      </c>
      <c r="AB1363" s="76" t="str">
        <f>IF(OR(X1363="Envoyé",X1363="Partiel",X1363="En retard"),IF(ISNUMBER(R1363),R1363,100000)+ROW()/100000,"")</f>
        <v/>
      </c>
      <c r="AC1363" s="66" t="str">
        <f>IF(A1363="","",IF(COUNTIF($A$6:A1363,A1363)=1,1,""))</f>
        <v/>
      </c>
      <c r="AD1363" s="66" t="str">
        <f>IF(AC1363=1,COUNT($AC$6:AC1363),"")</f>
        <v/>
      </c>
      <c r="AE1363" s="66" t="str">
        <f>IFERROR(INDEX(po_num,MATCH(1358,po_seq,0))&amp;"","")</f>
        <v/>
      </c>
      <c r="AF1363" s="66" t="str">
        <f>IF(OR(A1363="",p_po=""),"",IF(A1363&amp;""=p_po,COUNTIF($A$6:A1363,A1363),""))</f>
        <v/>
      </c>
      <c r="AG1363" s="66" t="str">
        <f>IF(OR(AB1363="",A1363=""),"",IF(COUNTIFS($A$6:A1363,A1363,$AB$6:AB1363,"&gt;0")=1,1,""))</f>
        <v/>
      </c>
      <c r="AH1363" s="70" t="str">
        <f>IF(AB1363="","",ROUND(N(W1363)*N(J1363)*(1-N(K1363)),2))</f>
        <v/>
      </c>
      <c r="AI1363" s="70" t="str">
        <f>IF(OR(J1363="",N(T1363)&lt;=0,V1363="Oui"),"",ROUND(N(T1363)*J1363*(1-N(K1363)),2))</f>
        <v/>
      </c>
    </row>
    <row r="1364">
      <c r="A1364" s="63" t="n"/>
      <c r="B1364" s="64" t="n"/>
      <c r="C1364" s="65" t="n"/>
      <c r="D1364" s="66" t="str">
        <f>IF(C1364="","",IFERROR(INDEX(sup_name,MATCH($C1364,sup_code,0))&amp;"","Fournisseur inconnu"))</f>
        <v/>
      </c>
      <c r="E1364" s="63" t="n"/>
      <c r="F1364" s="66" t="str">
        <f>IF(E1364="","",IFERROR(INDEX(art_des,MATCH($E1364,art_ref,0))&amp;"","Article inconnu"))</f>
        <v/>
      </c>
      <c r="G1364" s="67" t="str">
        <f>IF(E1364="","",IFERROR(INDEX(art_unit,MATCH($E1364,art_ref,0))&amp;"",""))</f>
        <v/>
      </c>
      <c r="H1364" s="68" t="n"/>
      <c r="I1364" s="69" t="n"/>
      <c r="J1364" s="70" t="str">
        <f>IF(E1364="","",IF(ISNUMBER(I1364),I1364,IFERROR(IF(ISNUMBER(INDEX(art_price,MATCH($E1364,art_ref,0))),INDEX(art_price,MATCH($E1364,art_ref,0)),""),"")))</f>
        <v/>
      </c>
      <c r="K1364" s="71" t="n"/>
      <c r="L1364" s="72" t="n"/>
      <c r="M1364" s="72" t="str">
        <f>IF(E1364="","",IF(L1364&lt;&gt;"",L1364,IFERROR(IF(ISNUMBER(INDEX(art_tva,MATCH($E1364,art_ref,0))),INDEX(art_tva,MATCH($E1364,art_ref,0)),""),"")))</f>
        <v/>
      </c>
      <c r="N1364" s="70" t="str">
        <f>IF(OR(E1364="",J1364=""),"",ROUND(N(H1364)*J1364*(1-N(K1364)),2))</f>
        <v/>
      </c>
      <c r="O1364" s="70" t="str">
        <f>IF(OR(N1364="",NOT(ISNUMBER(M1364))),"",ROUND(N1364*M1364,2))</f>
        <v/>
      </c>
      <c r="P1364" s="70" t="str">
        <f>IF(N1364="","",N1364+N(O1364))</f>
        <v/>
      </c>
      <c r="Q1364" s="64" t="n"/>
      <c r="R1364" s="73" t="str">
        <f>IF(N(Q1364)&gt;0,Q1364,IF(OR(N(B1364)=0,ISNA(MATCH($C1364,sup_code,0))),"",IF(ISNUMBER(INDEX(sup_delay,MATCH($C1364,sup_code,0))),B1364+INDEX(sup_delay,MATCH($C1364,sup_code,0)),"")))</f>
        <v/>
      </c>
      <c r="S1364" s="64" t="n"/>
      <c r="T1364" s="68" t="n"/>
      <c r="U1364" s="64" t="n"/>
      <c r="V1364" s="65" t="n"/>
      <c r="W1364" s="74" t="str">
        <f>IF(AND(A1364="",E1364=""),"",IF(V1364="Oui",0,MAX(0,ROUND(N(H1364)-N(T1364),6))))</f>
        <v/>
      </c>
      <c r="X1364" s="67" t="str">
        <f>IF(AND(A1364="",E1364=""),"",IF(V1364="Oui","Annulé",IF(AND(N(H1364)&gt;0,N(T1364)&gt;=N(H1364)),"Reçu",IF(N(S1364)=0,"Brouillon",IF(AND(ISNUMBER(R1364),R1364&lt;p_today),"En retard",IF(N(T1364)&gt;0,"Partiel","Envoyé"))))))</f>
        <v/>
      </c>
      <c r="Y1364" s="75" t="str">
        <f>IF(X1364="En retard",p_today-R1364,IF(AND(X1364="Reçu",ISNUMBER(R1364)),MAX(0,N(U1364)-R1364),""))</f>
        <v/>
      </c>
      <c r="Z1364" s="67" t="str">
        <f>IF(AND(A1364="",E1364=""),"",IF(A1364="","N° de bon manquant",IF(N(B1364)=0,"Date de commande manquante",IF(C1364="","Fournisseur manquant",IF(ISNA(MATCH($C1364,sup_code,0)),"Fournisseur inconnu",IF(E1364="","Article manquant",IF(ISNA(MATCH($E1364,art_ref,0)),"Article inconnu",IF(N(H1364)&lt;=0,"Quantité invalide",IF(J1364="","Prix manquant",IF(OR(N(K1364)&lt;0,N(K1364)&gt;=1),"Remise invalide",IF(M1364="","TVA manquante",IF(ISNA(MATCH(M1364,p_tva,0)),"Taux de TVA inconnu",IF(COUNTIFS(po_num,A1364,po_sup,"&lt;&gt;"&amp;C1364)&gt;0,"Fournisseur différent sur ce bon",IF(COUNTIFS(po_num,A1364,po_date,"&lt;&gt;"&amp;B1364)&gt;0,"Date différente sur ce bon",IF(COUNTIF(po_num,A1364)&gt;25,"Plus de 25 lignes sur ce bon",IF(R1364="","Date de livraison manquante",IF(R1364&lt;B1364,"Livraison avant la commande",IF(AND(N(T1364)&gt;0,N(S1364)=0),"Date d'envoi manquante",IF(N(T1364)&gt;N(H1364),"Reçu plus que commandé",IF(AND(N(T1364)&gt;0,N(U1364)=0),"Date de réception manquante",IF(AND(N(U1364)&gt;0,U1364&lt;B1364),"Réception avant la commande","OK")))))))))))))))))))))</f>
        <v/>
      </c>
      <c r="AA1364" s="66" t="str">
        <f>IF(AND(X1364="Reçu",ISNUMBER(R1364)),IF(N(U1364)&lt;=R1364,1,0),"")</f>
        <v/>
      </c>
      <c r="AB1364" s="76" t="str">
        <f>IF(OR(X1364="Envoyé",X1364="Partiel",X1364="En retard"),IF(ISNUMBER(R1364),R1364,100000)+ROW()/100000,"")</f>
        <v/>
      </c>
      <c r="AC1364" s="66" t="str">
        <f>IF(A1364="","",IF(COUNTIF($A$6:A1364,A1364)=1,1,""))</f>
        <v/>
      </c>
      <c r="AD1364" s="66" t="str">
        <f>IF(AC1364=1,COUNT($AC$6:AC1364),"")</f>
        <v/>
      </c>
      <c r="AE1364" s="66" t="str">
        <f>IFERROR(INDEX(po_num,MATCH(1359,po_seq,0))&amp;"","")</f>
        <v/>
      </c>
      <c r="AF1364" s="66" t="str">
        <f>IF(OR(A1364="",p_po=""),"",IF(A1364&amp;""=p_po,COUNTIF($A$6:A1364,A1364),""))</f>
        <v/>
      </c>
      <c r="AG1364" s="66" t="str">
        <f>IF(OR(AB1364="",A1364=""),"",IF(COUNTIFS($A$6:A1364,A1364,$AB$6:AB1364,"&gt;0")=1,1,""))</f>
        <v/>
      </c>
      <c r="AH1364" s="70" t="str">
        <f>IF(AB1364="","",ROUND(N(W1364)*N(J1364)*(1-N(K1364)),2))</f>
        <v/>
      </c>
      <c r="AI1364" s="70" t="str">
        <f>IF(OR(J1364="",N(T1364)&lt;=0,V1364="Oui"),"",ROUND(N(T1364)*J1364*(1-N(K1364)),2))</f>
        <v/>
      </c>
    </row>
    <row r="1365">
      <c r="A1365" s="63" t="n"/>
      <c r="B1365" s="64" t="n"/>
      <c r="C1365" s="65" t="n"/>
      <c r="D1365" s="66" t="str">
        <f>IF(C1365="","",IFERROR(INDEX(sup_name,MATCH($C1365,sup_code,0))&amp;"","Fournisseur inconnu"))</f>
        <v/>
      </c>
      <c r="E1365" s="63" t="n"/>
      <c r="F1365" s="66" t="str">
        <f>IF(E1365="","",IFERROR(INDEX(art_des,MATCH($E1365,art_ref,0))&amp;"","Article inconnu"))</f>
        <v/>
      </c>
      <c r="G1365" s="67" t="str">
        <f>IF(E1365="","",IFERROR(INDEX(art_unit,MATCH($E1365,art_ref,0))&amp;"",""))</f>
        <v/>
      </c>
      <c r="H1365" s="68" t="n"/>
      <c r="I1365" s="69" t="n"/>
      <c r="J1365" s="70" t="str">
        <f>IF(E1365="","",IF(ISNUMBER(I1365),I1365,IFERROR(IF(ISNUMBER(INDEX(art_price,MATCH($E1365,art_ref,0))),INDEX(art_price,MATCH($E1365,art_ref,0)),""),"")))</f>
        <v/>
      </c>
      <c r="K1365" s="71" t="n"/>
      <c r="L1365" s="72" t="n"/>
      <c r="M1365" s="72" t="str">
        <f>IF(E1365="","",IF(L1365&lt;&gt;"",L1365,IFERROR(IF(ISNUMBER(INDEX(art_tva,MATCH($E1365,art_ref,0))),INDEX(art_tva,MATCH($E1365,art_ref,0)),""),"")))</f>
        <v/>
      </c>
      <c r="N1365" s="70" t="str">
        <f>IF(OR(E1365="",J1365=""),"",ROUND(N(H1365)*J1365*(1-N(K1365)),2))</f>
        <v/>
      </c>
      <c r="O1365" s="70" t="str">
        <f>IF(OR(N1365="",NOT(ISNUMBER(M1365))),"",ROUND(N1365*M1365,2))</f>
        <v/>
      </c>
      <c r="P1365" s="70" t="str">
        <f>IF(N1365="","",N1365+N(O1365))</f>
        <v/>
      </c>
      <c r="Q1365" s="64" t="n"/>
      <c r="R1365" s="73" t="str">
        <f>IF(N(Q1365)&gt;0,Q1365,IF(OR(N(B1365)=0,ISNA(MATCH($C1365,sup_code,0))),"",IF(ISNUMBER(INDEX(sup_delay,MATCH($C1365,sup_code,0))),B1365+INDEX(sup_delay,MATCH($C1365,sup_code,0)),"")))</f>
        <v/>
      </c>
      <c r="S1365" s="64" t="n"/>
      <c r="T1365" s="68" t="n"/>
      <c r="U1365" s="64" t="n"/>
      <c r="V1365" s="65" t="n"/>
      <c r="W1365" s="74" t="str">
        <f>IF(AND(A1365="",E1365=""),"",IF(V1365="Oui",0,MAX(0,ROUND(N(H1365)-N(T1365),6))))</f>
        <v/>
      </c>
      <c r="X1365" s="67" t="str">
        <f>IF(AND(A1365="",E1365=""),"",IF(V1365="Oui","Annulé",IF(AND(N(H1365)&gt;0,N(T1365)&gt;=N(H1365)),"Reçu",IF(N(S1365)=0,"Brouillon",IF(AND(ISNUMBER(R1365),R1365&lt;p_today),"En retard",IF(N(T1365)&gt;0,"Partiel","Envoyé"))))))</f>
        <v/>
      </c>
      <c r="Y1365" s="75" t="str">
        <f>IF(X1365="En retard",p_today-R1365,IF(AND(X1365="Reçu",ISNUMBER(R1365)),MAX(0,N(U1365)-R1365),""))</f>
        <v/>
      </c>
      <c r="Z1365" s="67" t="str">
        <f>IF(AND(A1365="",E1365=""),"",IF(A1365="","N° de bon manquant",IF(N(B1365)=0,"Date de commande manquante",IF(C1365="","Fournisseur manquant",IF(ISNA(MATCH($C1365,sup_code,0)),"Fournisseur inconnu",IF(E1365="","Article manquant",IF(ISNA(MATCH($E1365,art_ref,0)),"Article inconnu",IF(N(H1365)&lt;=0,"Quantité invalide",IF(J1365="","Prix manquant",IF(OR(N(K1365)&lt;0,N(K1365)&gt;=1),"Remise invalide",IF(M1365="","TVA manquante",IF(ISNA(MATCH(M1365,p_tva,0)),"Taux de TVA inconnu",IF(COUNTIFS(po_num,A1365,po_sup,"&lt;&gt;"&amp;C1365)&gt;0,"Fournisseur différent sur ce bon",IF(COUNTIFS(po_num,A1365,po_date,"&lt;&gt;"&amp;B1365)&gt;0,"Date différente sur ce bon",IF(COUNTIF(po_num,A1365)&gt;25,"Plus de 25 lignes sur ce bon",IF(R1365="","Date de livraison manquante",IF(R1365&lt;B1365,"Livraison avant la commande",IF(AND(N(T1365)&gt;0,N(S1365)=0),"Date d'envoi manquante",IF(N(T1365)&gt;N(H1365),"Reçu plus que commandé",IF(AND(N(T1365)&gt;0,N(U1365)=0),"Date de réception manquante",IF(AND(N(U1365)&gt;0,U1365&lt;B1365),"Réception avant la commande","OK")))))))))))))))))))))</f>
        <v/>
      </c>
      <c r="AA1365" s="66" t="str">
        <f>IF(AND(X1365="Reçu",ISNUMBER(R1365)),IF(N(U1365)&lt;=R1365,1,0),"")</f>
        <v/>
      </c>
      <c r="AB1365" s="76" t="str">
        <f>IF(OR(X1365="Envoyé",X1365="Partiel",X1365="En retard"),IF(ISNUMBER(R1365),R1365,100000)+ROW()/100000,"")</f>
        <v/>
      </c>
      <c r="AC1365" s="66" t="str">
        <f>IF(A1365="","",IF(COUNTIF($A$6:A1365,A1365)=1,1,""))</f>
        <v/>
      </c>
      <c r="AD1365" s="66" t="str">
        <f>IF(AC1365=1,COUNT($AC$6:AC1365),"")</f>
        <v/>
      </c>
      <c r="AE1365" s="66" t="str">
        <f>IFERROR(INDEX(po_num,MATCH(1360,po_seq,0))&amp;"","")</f>
        <v/>
      </c>
      <c r="AF1365" s="66" t="str">
        <f>IF(OR(A1365="",p_po=""),"",IF(A1365&amp;""=p_po,COUNTIF($A$6:A1365,A1365),""))</f>
        <v/>
      </c>
      <c r="AG1365" s="66" t="str">
        <f>IF(OR(AB1365="",A1365=""),"",IF(COUNTIFS($A$6:A1365,A1365,$AB$6:AB1365,"&gt;0")=1,1,""))</f>
        <v/>
      </c>
      <c r="AH1365" s="70" t="str">
        <f>IF(AB1365="","",ROUND(N(W1365)*N(J1365)*(1-N(K1365)),2))</f>
        <v/>
      </c>
      <c r="AI1365" s="70" t="str">
        <f>IF(OR(J1365="",N(T1365)&lt;=0,V1365="Oui"),"",ROUND(N(T1365)*J1365*(1-N(K1365)),2))</f>
        <v/>
      </c>
    </row>
    <row r="1366">
      <c r="A1366" s="63" t="n"/>
      <c r="B1366" s="64" t="n"/>
      <c r="C1366" s="65" t="n"/>
      <c r="D1366" s="66" t="str">
        <f>IF(C1366="","",IFERROR(INDEX(sup_name,MATCH($C1366,sup_code,0))&amp;"","Fournisseur inconnu"))</f>
        <v/>
      </c>
      <c r="E1366" s="63" t="n"/>
      <c r="F1366" s="66" t="str">
        <f>IF(E1366="","",IFERROR(INDEX(art_des,MATCH($E1366,art_ref,0))&amp;"","Article inconnu"))</f>
        <v/>
      </c>
      <c r="G1366" s="67" t="str">
        <f>IF(E1366="","",IFERROR(INDEX(art_unit,MATCH($E1366,art_ref,0))&amp;"",""))</f>
        <v/>
      </c>
      <c r="H1366" s="68" t="n"/>
      <c r="I1366" s="69" t="n"/>
      <c r="J1366" s="70" t="str">
        <f>IF(E1366="","",IF(ISNUMBER(I1366),I1366,IFERROR(IF(ISNUMBER(INDEX(art_price,MATCH($E1366,art_ref,0))),INDEX(art_price,MATCH($E1366,art_ref,0)),""),"")))</f>
        <v/>
      </c>
      <c r="K1366" s="71" t="n"/>
      <c r="L1366" s="72" t="n"/>
      <c r="M1366" s="72" t="str">
        <f>IF(E1366="","",IF(L1366&lt;&gt;"",L1366,IFERROR(IF(ISNUMBER(INDEX(art_tva,MATCH($E1366,art_ref,0))),INDEX(art_tva,MATCH($E1366,art_ref,0)),""),"")))</f>
        <v/>
      </c>
      <c r="N1366" s="70" t="str">
        <f>IF(OR(E1366="",J1366=""),"",ROUND(N(H1366)*J1366*(1-N(K1366)),2))</f>
        <v/>
      </c>
      <c r="O1366" s="70" t="str">
        <f>IF(OR(N1366="",NOT(ISNUMBER(M1366))),"",ROUND(N1366*M1366,2))</f>
        <v/>
      </c>
      <c r="P1366" s="70" t="str">
        <f>IF(N1366="","",N1366+N(O1366))</f>
        <v/>
      </c>
      <c r="Q1366" s="64" t="n"/>
      <c r="R1366" s="73" t="str">
        <f>IF(N(Q1366)&gt;0,Q1366,IF(OR(N(B1366)=0,ISNA(MATCH($C1366,sup_code,0))),"",IF(ISNUMBER(INDEX(sup_delay,MATCH($C1366,sup_code,0))),B1366+INDEX(sup_delay,MATCH($C1366,sup_code,0)),"")))</f>
        <v/>
      </c>
      <c r="S1366" s="64" t="n"/>
      <c r="T1366" s="68" t="n"/>
      <c r="U1366" s="64" t="n"/>
      <c r="V1366" s="65" t="n"/>
      <c r="W1366" s="74" t="str">
        <f>IF(AND(A1366="",E1366=""),"",IF(V1366="Oui",0,MAX(0,ROUND(N(H1366)-N(T1366),6))))</f>
        <v/>
      </c>
      <c r="X1366" s="67" t="str">
        <f>IF(AND(A1366="",E1366=""),"",IF(V1366="Oui","Annulé",IF(AND(N(H1366)&gt;0,N(T1366)&gt;=N(H1366)),"Reçu",IF(N(S1366)=0,"Brouillon",IF(AND(ISNUMBER(R1366),R1366&lt;p_today),"En retard",IF(N(T1366)&gt;0,"Partiel","Envoyé"))))))</f>
        <v/>
      </c>
      <c r="Y1366" s="75" t="str">
        <f>IF(X1366="En retard",p_today-R1366,IF(AND(X1366="Reçu",ISNUMBER(R1366)),MAX(0,N(U1366)-R1366),""))</f>
        <v/>
      </c>
      <c r="Z1366" s="67" t="str">
        <f>IF(AND(A1366="",E1366=""),"",IF(A1366="","N° de bon manquant",IF(N(B1366)=0,"Date de commande manquante",IF(C1366="","Fournisseur manquant",IF(ISNA(MATCH($C1366,sup_code,0)),"Fournisseur inconnu",IF(E1366="","Article manquant",IF(ISNA(MATCH($E1366,art_ref,0)),"Article inconnu",IF(N(H1366)&lt;=0,"Quantité invalide",IF(J1366="","Prix manquant",IF(OR(N(K1366)&lt;0,N(K1366)&gt;=1),"Remise invalide",IF(M1366="","TVA manquante",IF(ISNA(MATCH(M1366,p_tva,0)),"Taux de TVA inconnu",IF(COUNTIFS(po_num,A1366,po_sup,"&lt;&gt;"&amp;C1366)&gt;0,"Fournisseur différent sur ce bon",IF(COUNTIFS(po_num,A1366,po_date,"&lt;&gt;"&amp;B1366)&gt;0,"Date différente sur ce bon",IF(COUNTIF(po_num,A1366)&gt;25,"Plus de 25 lignes sur ce bon",IF(R1366="","Date de livraison manquante",IF(R1366&lt;B1366,"Livraison avant la commande",IF(AND(N(T1366)&gt;0,N(S1366)=0),"Date d'envoi manquante",IF(N(T1366)&gt;N(H1366),"Reçu plus que commandé",IF(AND(N(T1366)&gt;0,N(U1366)=0),"Date de réception manquante",IF(AND(N(U1366)&gt;0,U1366&lt;B1366),"Réception avant la commande","OK")))))))))))))))))))))</f>
        <v/>
      </c>
      <c r="AA1366" s="66" t="str">
        <f>IF(AND(X1366="Reçu",ISNUMBER(R1366)),IF(N(U1366)&lt;=R1366,1,0),"")</f>
        <v/>
      </c>
      <c r="AB1366" s="76" t="str">
        <f>IF(OR(X1366="Envoyé",X1366="Partiel",X1366="En retard"),IF(ISNUMBER(R1366),R1366,100000)+ROW()/100000,"")</f>
        <v/>
      </c>
      <c r="AC1366" s="66" t="str">
        <f>IF(A1366="","",IF(COUNTIF($A$6:A1366,A1366)=1,1,""))</f>
        <v/>
      </c>
      <c r="AD1366" s="66" t="str">
        <f>IF(AC1366=1,COUNT($AC$6:AC1366),"")</f>
        <v/>
      </c>
      <c r="AE1366" s="66" t="str">
        <f>IFERROR(INDEX(po_num,MATCH(1361,po_seq,0))&amp;"","")</f>
        <v/>
      </c>
      <c r="AF1366" s="66" t="str">
        <f>IF(OR(A1366="",p_po=""),"",IF(A1366&amp;""=p_po,COUNTIF($A$6:A1366,A1366),""))</f>
        <v/>
      </c>
      <c r="AG1366" s="66" t="str">
        <f>IF(OR(AB1366="",A1366=""),"",IF(COUNTIFS($A$6:A1366,A1366,$AB$6:AB1366,"&gt;0")=1,1,""))</f>
        <v/>
      </c>
      <c r="AH1366" s="70" t="str">
        <f>IF(AB1366="","",ROUND(N(W1366)*N(J1366)*(1-N(K1366)),2))</f>
        <v/>
      </c>
      <c r="AI1366" s="70" t="str">
        <f>IF(OR(J1366="",N(T1366)&lt;=0,V1366="Oui"),"",ROUND(N(T1366)*J1366*(1-N(K1366)),2))</f>
        <v/>
      </c>
    </row>
    <row r="1367">
      <c r="A1367" s="63" t="n"/>
      <c r="B1367" s="64" t="n"/>
      <c r="C1367" s="65" t="n"/>
      <c r="D1367" s="66" t="str">
        <f>IF(C1367="","",IFERROR(INDEX(sup_name,MATCH($C1367,sup_code,0))&amp;"","Fournisseur inconnu"))</f>
        <v/>
      </c>
      <c r="E1367" s="63" t="n"/>
      <c r="F1367" s="66" t="str">
        <f>IF(E1367="","",IFERROR(INDEX(art_des,MATCH($E1367,art_ref,0))&amp;"","Article inconnu"))</f>
        <v/>
      </c>
      <c r="G1367" s="67" t="str">
        <f>IF(E1367="","",IFERROR(INDEX(art_unit,MATCH($E1367,art_ref,0))&amp;"",""))</f>
        <v/>
      </c>
      <c r="H1367" s="68" t="n"/>
      <c r="I1367" s="69" t="n"/>
      <c r="J1367" s="70" t="str">
        <f>IF(E1367="","",IF(ISNUMBER(I1367),I1367,IFERROR(IF(ISNUMBER(INDEX(art_price,MATCH($E1367,art_ref,0))),INDEX(art_price,MATCH($E1367,art_ref,0)),""),"")))</f>
        <v/>
      </c>
      <c r="K1367" s="71" t="n"/>
      <c r="L1367" s="72" t="n"/>
      <c r="M1367" s="72" t="str">
        <f>IF(E1367="","",IF(L1367&lt;&gt;"",L1367,IFERROR(IF(ISNUMBER(INDEX(art_tva,MATCH($E1367,art_ref,0))),INDEX(art_tva,MATCH($E1367,art_ref,0)),""),"")))</f>
        <v/>
      </c>
      <c r="N1367" s="70" t="str">
        <f>IF(OR(E1367="",J1367=""),"",ROUND(N(H1367)*J1367*(1-N(K1367)),2))</f>
        <v/>
      </c>
      <c r="O1367" s="70" t="str">
        <f>IF(OR(N1367="",NOT(ISNUMBER(M1367))),"",ROUND(N1367*M1367,2))</f>
        <v/>
      </c>
      <c r="P1367" s="70" t="str">
        <f>IF(N1367="","",N1367+N(O1367))</f>
        <v/>
      </c>
      <c r="Q1367" s="64" t="n"/>
      <c r="R1367" s="73" t="str">
        <f>IF(N(Q1367)&gt;0,Q1367,IF(OR(N(B1367)=0,ISNA(MATCH($C1367,sup_code,0))),"",IF(ISNUMBER(INDEX(sup_delay,MATCH($C1367,sup_code,0))),B1367+INDEX(sup_delay,MATCH($C1367,sup_code,0)),"")))</f>
        <v/>
      </c>
      <c r="S1367" s="64" t="n"/>
      <c r="T1367" s="68" t="n"/>
      <c r="U1367" s="64" t="n"/>
      <c r="V1367" s="65" t="n"/>
      <c r="W1367" s="74" t="str">
        <f>IF(AND(A1367="",E1367=""),"",IF(V1367="Oui",0,MAX(0,ROUND(N(H1367)-N(T1367),6))))</f>
        <v/>
      </c>
      <c r="X1367" s="67" t="str">
        <f>IF(AND(A1367="",E1367=""),"",IF(V1367="Oui","Annulé",IF(AND(N(H1367)&gt;0,N(T1367)&gt;=N(H1367)),"Reçu",IF(N(S1367)=0,"Brouillon",IF(AND(ISNUMBER(R1367),R1367&lt;p_today),"En retard",IF(N(T1367)&gt;0,"Partiel","Envoyé"))))))</f>
        <v/>
      </c>
      <c r="Y1367" s="75" t="str">
        <f>IF(X1367="En retard",p_today-R1367,IF(AND(X1367="Reçu",ISNUMBER(R1367)),MAX(0,N(U1367)-R1367),""))</f>
        <v/>
      </c>
      <c r="Z1367" s="67" t="str">
        <f>IF(AND(A1367="",E1367=""),"",IF(A1367="","N° de bon manquant",IF(N(B1367)=0,"Date de commande manquante",IF(C1367="","Fournisseur manquant",IF(ISNA(MATCH($C1367,sup_code,0)),"Fournisseur inconnu",IF(E1367="","Article manquant",IF(ISNA(MATCH($E1367,art_ref,0)),"Article inconnu",IF(N(H1367)&lt;=0,"Quantité invalide",IF(J1367="","Prix manquant",IF(OR(N(K1367)&lt;0,N(K1367)&gt;=1),"Remise invalide",IF(M1367="","TVA manquante",IF(ISNA(MATCH(M1367,p_tva,0)),"Taux de TVA inconnu",IF(COUNTIFS(po_num,A1367,po_sup,"&lt;&gt;"&amp;C1367)&gt;0,"Fournisseur différent sur ce bon",IF(COUNTIFS(po_num,A1367,po_date,"&lt;&gt;"&amp;B1367)&gt;0,"Date différente sur ce bon",IF(COUNTIF(po_num,A1367)&gt;25,"Plus de 25 lignes sur ce bon",IF(R1367="","Date de livraison manquante",IF(R1367&lt;B1367,"Livraison avant la commande",IF(AND(N(T1367)&gt;0,N(S1367)=0),"Date d'envoi manquante",IF(N(T1367)&gt;N(H1367),"Reçu plus que commandé",IF(AND(N(T1367)&gt;0,N(U1367)=0),"Date de réception manquante",IF(AND(N(U1367)&gt;0,U1367&lt;B1367),"Réception avant la commande","OK")))))))))))))))))))))</f>
        <v/>
      </c>
      <c r="AA1367" s="66" t="str">
        <f>IF(AND(X1367="Reçu",ISNUMBER(R1367)),IF(N(U1367)&lt;=R1367,1,0),"")</f>
        <v/>
      </c>
      <c r="AB1367" s="76" t="str">
        <f>IF(OR(X1367="Envoyé",X1367="Partiel",X1367="En retard"),IF(ISNUMBER(R1367),R1367,100000)+ROW()/100000,"")</f>
        <v/>
      </c>
      <c r="AC1367" s="66" t="str">
        <f>IF(A1367="","",IF(COUNTIF($A$6:A1367,A1367)=1,1,""))</f>
        <v/>
      </c>
      <c r="AD1367" s="66" t="str">
        <f>IF(AC1367=1,COUNT($AC$6:AC1367),"")</f>
        <v/>
      </c>
      <c r="AE1367" s="66" t="str">
        <f>IFERROR(INDEX(po_num,MATCH(1362,po_seq,0))&amp;"","")</f>
        <v/>
      </c>
      <c r="AF1367" s="66" t="str">
        <f>IF(OR(A1367="",p_po=""),"",IF(A1367&amp;""=p_po,COUNTIF($A$6:A1367,A1367),""))</f>
        <v/>
      </c>
      <c r="AG1367" s="66" t="str">
        <f>IF(OR(AB1367="",A1367=""),"",IF(COUNTIFS($A$6:A1367,A1367,$AB$6:AB1367,"&gt;0")=1,1,""))</f>
        <v/>
      </c>
      <c r="AH1367" s="70" t="str">
        <f>IF(AB1367="","",ROUND(N(W1367)*N(J1367)*(1-N(K1367)),2))</f>
        <v/>
      </c>
      <c r="AI1367" s="70" t="str">
        <f>IF(OR(J1367="",N(T1367)&lt;=0,V1367="Oui"),"",ROUND(N(T1367)*J1367*(1-N(K1367)),2))</f>
        <v/>
      </c>
    </row>
    <row r="1368">
      <c r="A1368" s="63" t="n"/>
      <c r="B1368" s="64" t="n"/>
      <c r="C1368" s="65" t="n"/>
      <c r="D1368" s="66" t="str">
        <f>IF(C1368="","",IFERROR(INDEX(sup_name,MATCH($C1368,sup_code,0))&amp;"","Fournisseur inconnu"))</f>
        <v/>
      </c>
      <c r="E1368" s="63" t="n"/>
      <c r="F1368" s="66" t="str">
        <f>IF(E1368="","",IFERROR(INDEX(art_des,MATCH($E1368,art_ref,0))&amp;"","Article inconnu"))</f>
        <v/>
      </c>
      <c r="G1368" s="67" t="str">
        <f>IF(E1368="","",IFERROR(INDEX(art_unit,MATCH($E1368,art_ref,0))&amp;"",""))</f>
        <v/>
      </c>
      <c r="H1368" s="68" t="n"/>
      <c r="I1368" s="69" t="n"/>
      <c r="J1368" s="70" t="str">
        <f>IF(E1368="","",IF(ISNUMBER(I1368),I1368,IFERROR(IF(ISNUMBER(INDEX(art_price,MATCH($E1368,art_ref,0))),INDEX(art_price,MATCH($E1368,art_ref,0)),""),"")))</f>
        <v/>
      </c>
      <c r="K1368" s="71" t="n"/>
      <c r="L1368" s="72" t="n"/>
      <c r="M1368" s="72" t="str">
        <f>IF(E1368="","",IF(L1368&lt;&gt;"",L1368,IFERROR(IF(ISNUMBER(INDEX(art_tva,MATCH($E1368,art_ref,0))),INDEX(art_tva,MATCH($E1368,art_ref,0)),""),"")))</f>
        <v/>
      </c>
      <c r="N1368" s="70" t="str">
        <f>IF(OR(E1368="",J1368=""),"",ROUND(N(H1368)*J1368*(1-N(K1368)),2))</f>
        <v/>
      </c>
      <c r="O1368" s="70" t="str">
        <f>IF(OR(N1368="",NOT(ISNUMBER(M1368))),"",ROUND(N1368*M1368,2))</f>
        <v/>
      </c>
      <c r="P1368" s="70" t="str">
        <f>IF(N1368="","",N1368+N(O1368))</f>
        <v/>
      </c>
      <c r="Q1368" s="64" t="n"/>
      <c r="R1368" s="73" t="str">
        <f>IF(N(Q1368)&gt;0,Q1368,IF(OR(N(B1368)=0,ISNA(MATCH($C1368,sup_code,0))),"",IF(ISNUMBER(INDEX(sup_delay,MATCH($C1368,sup_code,0))),B1368+INDEX(sup_delay,MATCH($C1368,sup_code,0)),"")))</f>
        <v/>
      </c>
      <c r="S1368" s="64" t="n"/>
      <c r="T1368" s="68" t="n"/>
      <c r="U1368" s="64" t="n"/>
      <c r="V1368" s="65" t="n"/>
      <c r="W1368" s="74" t="str">
        <f>IF(AND(A1368="",E1368=""),"",IF(V1368="Oui",0,MAX(0,ROUND(N(H1368)-N(T1368),6))))</f>
        <v/>
      </c>
      <c r="X1368" s="67" t="str">
        <f>IF(AND(A1368="",E1368=""),"",IF(V1368="Oui","Annulé",IF(AND(N(H1368)&gt;0,N(T1368)&gt;=N(H1368)),"Reçu",IF(N(S1368)=0,"Brouillon",IF(AND(ISNUMBER(R1368),R1368&lt;p_today),"En retard",IF(N(T1368)&gt;0,"Partiel","Envoyé"))))))</f>
        <v/>
      </c>
      <c r="Y1368" s="75" t="str">
        <f>IF(X1368="En retard",p_today-R1368,IF(AND(X1368="Reçu",ISNUMBER(R1368)),MAX(0,N(U1368)-R1368),""))</f>
        <v/>
      </c>
      <c r="Z1368" s="67" t="str">
        <f>IF(AND(A1368="",E1368=""),"",IF(A1368="","N° de bon manquant",IF(N(B1368)=0,"Date de commande manquante",IF(C1368="","Fournisseur manquant",IF(ISNA(MATCH($C1368,sup_code,0)),"Fournisseur inconnu",IF(E1368="","Article manquant",IF(ISNA(MATCH($E1368,art_ref,0)),"Article inconnu",IF(N(H1368)&lt;=0,"Quantité invalide",IF(J1368="","Prix manquant",IF(OR(N(K1368)&lt;0,N(K1368)&gt;=1),"Remise invalide",IF(M1368="","TVA manquante",IF(ISNA(MATCH(M1368,p_tva,0)),"Taux de TVA inconnu",IF(COUNTIFS(po_num,A1368,po_sup,"&lt;&gt;"&amp;C1368)&gt;0,"Fournisseur différent sur ce bon",IF(COUNTIFS(po_num,A1368,po_date,"&lt;&gt;"&amp;B1368)&gt;0,"Date différente sur ce bon",IF(COUNTIF(po_num,A1368)&gt;25,"Plus de 25 lignes sur ce bon",IF(R1368="","Date de livraison manquante",IF(R1368&lt;B1368,"Livraison avant la commande",IF(AND(N(T1368)&gt;0,N(S1368)=0),"Date d'envoi manquante",IF(N(T1368)&gt;N(H1368),"Reçu plus que commandé",IF(AND(N(T1368)&gt;0,N(U1368)=0),"Date de réception manquante",IF(AND(N(U1368)&gt;0,U1368&lt;B1368),"Réception avant la commande","OK")))))))))))))))))))))</f>
        <v/>
      </c>
      <c r="AA1368" s="66" t="str">
        <f>IF(AND(X1368="Reçu",ISNUMBER(R1368)),IF(N(U1368)&lt;=R1368,1,0),"")</f>
        <v/>
      </c>
      <c r="AB1368" s="76" t="str">
        <f>IF(OR(X1368="Envoyé",X1368="Partiel",X1368="En retard"),IF(ISNUMBER(R1368),R1368,100000)+ROW()/100000,"")</f>
        <v/>
      </c>
      <c r="AC1368" s="66" t="str">
        <f>IF(A1368="","",IF(COUNTIF($A$6:A1368,A1368)=1,1,""))</f>
        <v/>
      </c>
      <c r="AD1368" s="66" t="str">
        <f>IF(AC1368=1,COUNT($AC$6:AC1368),"")</f>
        <v/>
      </c>
      <c r="AE1368" s="66" t="str">
        <f>IFERROR(INDEX(po_num,MATCH(1363,po_seq,0))&amp;"","")</f>
        <v/>
      </c>
      <c r="AF1368" s="66" t="str">
        <f>IF(OR(A1368="",p_po=""),"",IF(A1368&amp;""=p_po,COUNTIF($A$6:A1368,A1368),""))</f>
        <v/>
      </c>
      <c r="AG1368" s="66" t="str">
        <f>IF(OR(AB1368="",A1368=""),"",IF(COUNTIFS($A$6:A1368,A1368,$AB$6:AB1368,"&gt;0")=1,1,""))</f>
        <v/>
      </c>
      <c r="AH1368" s="70" t="str">
        <f>IF(AB1368="","",ROUND(N(W1368)*N(J1368)*(1-N(K1368)),2))</f>
        <v/>
      </c>
      <c r="AI1368" s="70" t="str">
        <f>IF(OR(J1368="",N(T1368)&lt;=0,V1368="Oui"),"",ROUND(N(T1368)*J1368*(1-N(K1368)),2))</f>
        <v/>
      </c>
    </row>
    <row r="1369">
      <c r="A1369" s="63" t="n"/>
      <c r="B1369" s="64" t="n"/>
      <c r="C1369" s="65" t="n"/>
      <c r="D1369" s="66" t="str">
        <f>IF(C1369="","",IFERROR(INDEX(sup_name,MATCH($C1369,sup_code,0))&amp;"","Fournisseur inconnu"))</f>
        <v/>
      </c>
      <c r="E1369" s="63" t="n"/>
      <c r="F1369" s="66" t="str">
        <f>IF(E1369="","",IFERROR(INDEX(art_des,MATCH($E1369,art_ref,0))&amp;"","Article inconnu"))</f>
        <v/>
      </c>
      <c r="G1369" s="67" t="str">
        <f>IF(E1369="","",IFERROR(INDEX(art_unit,MATCH($E1369,art_ref,0))&amp;"",""))</f>
        <v/>
      </c>
      <c r="H1369" s="68" t="n"/>
      <c r="I1369" s="69" t="n"/>
      <c r="J1369" s="70" t="str">
        <f>IF(E1369="","",IF(ISNUMBER(I1369),I1369,IFERROR(IF(ISNUMBER(INDEX(art_price,MATCH($E1369,art_ref,0))),INDEX(art_price,MATCH($E1369,art_ref,0)),""),"")))</f>
        <v/>
      </c>
      <c r="K1369" s="71" t="n"/>
      <c r="L1369" s="72" t="n"/>
      <c r="M1369" s="72" t="str">
        <f>IF(E1369="","",IF(L1369&lt;&gt;"",L1369,IFERROR(IF(ISNUMBER(INDEX(art_tva,MATCH($E1369,art_ref,0))),INDEX(art_tva,MATCH($E1369,art_ref,0)),""),"")))</f>
        <v/>
      </c>
      <c r="N1369" s="70" t="str">
        <f>IF(OR(E1369="",J1369=""),"",ROUND(N(H1369)*J1369*(1-N(K1369)),2))</f>
        <v/>
      </c>
      <c r="O1369" s="70" t="str">
        <f>IF(OR(N1369="",NOT(ISNUMBER(M1369))),"",ROUND(N1369*M1369,2))</f>
        <v/>
      </c>
      <c r="P1369" s="70" t="str">
        <f>IF(N1369="","",N1369+N(O1369))</f>
        <v/>
      </c>
      <c r="Q1369" s="64" t="n"/>
      <c r="R1369" s="73" t="str">
        <f>IF(N(Q1369)&gt;0,Q1369,IF(OR(N(B1369)=0,ISNA(MATCH($C1369,sup_code,0))),"",IF(ISNUMBER(INDEX(sup_delay,MATCH($C1369,sup_code,0))),B1369+INDEX(sup_delay,MATCH($C1369,sup_code,0)),"")))</f>
        <v/>
      </c>
      <c r="S1369" s="64" t="n"/>
      <c r="T1369" s="68" t="n"/>
      <c r="U1369" s="64" t="n"/>
      <c r="V1369" s="65" t="n"/>
      <c r="W1369" s="74" t="str">
        <f>IF(AND(A1369="",E1369=""),"",IF(V1369="Oui",0,MAX(0,ROUND(N(H1369)-N(T1369),6))))</f>
        <v/>
      </c>
      <c r="X1369" s="67" t="str">
        <f>IF(AND(A1369="",E1369=""),"",IF(V1369="Oui","Annulé",IF(AND(N(H1369)&gt;0,N(T1369)&gt;=N(H1369)),"Reçu",IF(N(S1369)=0,"Brouillon",IF(AND(ISNUMBER(R1369),R1369&lt;p_today),"En retard",IF(N(T1369)&gt;0,"Partiel","Envoyé"))))))</f>
        <v/>
      </c>
      <c r="Y1369" s="75" t="str">
        <f>IF(X1369="En retard",p_today-R1369,IF(AND(X1369="Reçu",ISNUMBER(R1369)),MAX(0,N(U1369)-R1369),""))</f>
        <v/>
      </c>
      <c r="Z1369" s="67" t="str">
        <f>IF(AND(A1369="",E1369=""),"",IF(A1369="","N° de bon manquant",IF(N(B1369)=0,"Date de commande manquante",IF(C1369="","Fournisseur manquant",IF(ISNA(MATCH($C1369,sup_code,0)),"Fournisseur inconnu",IF(E1369="","Article manquant",IF(ISNA(MATCH($E1369,art_ref,0)),"Article inconnu",IF(N(H1369)&lt;=0,"Quantité invalide",IF(J1369="","Prix manquant",IF(OR(N(K1369)&lt;0,N(K1369)&gt;=1),"Remise invalide",IF(M1369="","TVA manquante",IF(ISNA(MATCH(M1369,p_tva,0)),"Taux de TVA inconnu",IF(COUNTIFS(po_num,A1369,po_sup,"&lt;&gt;"&amp;C1369)&gt;0,"Fournisseur différent sur ce bon",IF(COUNTIFS(po_num,A1369,po_date,"&lt;&gt;"&amp;B1369)&gt;0,"Date différente sur ce bon",IF(COUNTIF(po_num,A1369)&gt;25,"Plus de 25 lignes sur ce bon",IF(R1369="","Date de livraison manquante",IF(R1369&lt;B1369,"Livraison avant la commande",IF(AND(N(T1369)&gt;0,N(S1369)=0),"Date d'envoi manquante",IF(N(T1369)&gt;N(H1369),"Reçu plus que commandé",IF(AND(N(T1369)&gt;0,N(U1369)=0),"Date de réception manquante",IF(AND(N(U1369)&gt;0,U1369&lt;B1369),"Réception avant la commande","OK")))))))))))))))))))))</f>
        <v/>
      </c>
      <c r="AA1369" s="66" t="str">
        <f>IF(AND(X1369="Reçu",ISNUMBER(R1369)),IF(N(U1369)&lt;=R1369,1,0),"")</f>
        <v/>
      </c>
      <c r="AB1369" s="76" t="str">
        <f>IF(OR(X1369="Envoyé",X1369="Partiel",X1369="En retard"),IF(ISNUMBER(R1369),R1369,100000)+ROW()/100000,"")</f>
        <v/>
      </c>
      <c r="AC1369" s="66" t="str">
        <f>IF(A1369="","",IF(COUNTIF($A$6:A1369,A1369)=1,1,""))</f>
        <v/>
      </c>
      <c r="AD1369" s="66" t="str">
        <f>IF(AC1369=1,COUNT($AC$6:AC1369),"")</f>
        <v/>
      </c>
      <c r="AE1369" s="66" t="str">
        <f>IFERROR(INDEX(po_num,MATCH(1364,po_seq,0))&amp;"","")</f>
        <v/>
      </c>
      <c r="AF1369" s="66" t="str">
        <f>IF(OR(A1369="",p_po=""),"",IF(A1369&amp;""=p_po,COUNTIF($A$6:A1369,A1369),""))</f>
        <v/>
      </c>
      <c r="AG1369" s="66" t="str">
        <f>IF(OR(AB1369="",A1369=""),"",IF(COUNTIFS($A$6:A1369,A1369,$AB$6:AB1369,"&gt;0")=1,1,""))</f>
        <v/>
      </c>
      <c r="AH1369" s="70" t="str">
        <f>IF(AB1369="","",ROUND(N(W1369)*N(J1369)*(1-N(K1369)),2))</f>
        <v/>
      </c>
      <c r="AI1369" s="70" t="str">
        <f>IF(OR(J1369="",N(T1369)&lt;=0,V1369="Oui"),"",ROUND(N(T1369)*J1369*(1-N(K1369)),2))</f>
        <v/>
      </c>
    </row>
    <row r="1370">
      <c r="A1370" s="63" t="n"/>
      <c r="B1370" s="64" t="n"/>
      <c r="C1370" s="65" t="n"/>
      <c r="D1370" s="66" t="str">
        <f>IF(C1370="","",IFERROR(INDEX(sup_name,MATCH($C1370,sup_code,0))&amp;"","Fournisseur inconnu"))</f>
        <v/>
      </c>
      <c r="E1370" s="63" t="n"/>
      <c r="F1370" s="66" t="str">
        <f>IF(E1370="","",IFERROR(INDEX(art_des,MATCH($E1370,art_ref,0))&amp;"","Article inconnu"))</f>
        <v/>
      </c>
      <c r="G1370" s="67" t="str">
        <f>IF(E1370="","",IFERROR(INDEX(art_unit,MATCH($E1370,art_ref,0))&amp;"",""))</f>
        <v/>
      </c>
      <c r="H1370" s="68" t="n"/>
      <c r="I1370" s="69" t="n"/>
      <c r="J1370" s="70" t="str">
        <f>IF(E1370="","",IF(ISNUMBER(I1370),I1370,IFERROR(IF(ISNUMBER(INDEX(art_price,MATCH($E1370,art_ref,0))),INDEX(art_price,MATCH($E1370,art_ref,0)),""),"")))</f>
        <v/>
      </c>
      <c r="K1370" s="71" t="n"/>
      <c r="L1370" s="72" t="n"/>
      <c r="M1370" s="72" t="str">
        <f>IF(E1370="","",IF(L1370&lt;&gt;"",L1370,IFERROR(IF(ISNUMBER(INDEX(art_tva,MATCH($E1370,art_ref,0))),INDEX(art_tva,MATCH($E1370,art_ref,0)),""),"")))</f>
        <v/>
      </c>
      <c r="N1370" s="70" t="str">
        <f>IF(OR(E1370="",J1370=""),"",ROUND(N(H1370)*J1370*(1-N(K1370)),2))</f>
        <v/>
      </c>
      <c r="O1370" s="70" t="str">
        <f>IF(OR(N1370="",NOT(ISNUMBER(M1370))),"",ROUND(N1370*M1370,2))</f>
        <v/>
      </c>
      <c r="P1370" s="70" t="str">
        <f>IF(N1370="","",N1370+N(O1370))</f>
        <v/>
      </c>
      <c r="Q1370" s="64" t="n"/>
      <c r="R1370" s="73" t="str">
        <f>IF(N(Q1370)&gt;0,Q1370,IF(OR(N(B1370)=0,ISNA(MATCH($C1370,sup_code,0))),"",IF(ISNUMBER(INDEX(sup_delay,MATCH($C1370,sup_code,0))),B1370+INDEX(sup_delay,MATCH($C1370,sup_code,0)),"")))</f>
        <v/>
      </c>
      <c r="S1370" s="64" t="n"/>
      <c r="T1370" s="68" t="n"/>
      <c r="U1370" s="64" t="n"/>
      <c r="V1370" s="65" t="n"/>
      <c r="W1370" s="74" t="str">
        <f>IF(AND(A1370="",E1370=""),"",IF(V1370="Oui",0,MAX(0,ROUND(N(H1370)-N(T1370),6))))</f>
        <v/>
      </c>
      <c r="X1370" s="67" t="str">
        <f>IF(AND(A1370="",E1370=""),"",IF(V1370="Oui","Annulé",IF(AND(N(H1370)&gt;0,N(T1370)&gt;=N(H1370)),"Reçu",IF(N(S1370)=0,"Brouillon",IF(AND(ISNUMBER(R1370),R1370&lt;p_today),"En retard",IF(N(T1370)&gt;0,"Partiel","Envoyé"))))))</f>
        <v/>
      </c>
      <c r="Y1370" s="75" t="str">
        <f>IF(X1370="En retard",p_today-R1370,IF(AND(X1370="Reçu",ISNUMBER(R1370)),MAX(0,N(U1370)-R1370),""))</f>
        <v/>
      </c>
      <c r="Z1370" s="67" t="str">
        <f>IF(AND(A1370="",E1370=""),"",IF(A1370="","N° de bon manquant",IF(N(B1370)=0,"Date de commande manquante",IF(C1370="","Fournisseur manquant",IF(ISNA(MATCH($C1370,sup_code,0)),"Fournisseur inconnu",IF(E1370="","Article manquant",IF(ISNA(MATCH($E1370,art_ref,0)),"Article inconnu",IF(N(H1370)&lt;=0,"Quantité invalide",IF(J1370="","Prix manquant",IF(OR(N(K1370)&lt;0,N(K1370)&gt;=1),"Remise invalide",IF(M1370="","TVA manquante",IF(ISNA(MATCH(M1370,p_tva,0)),"Taux de TVA inconnu",IF(COUNTIFS(po_num,A1370,po_sup,"&lt;&gt;"&amp;C1370)&gt;0,"Fournisseur différent sur ce bon",IF(COUNTIFS(po_num,A1370,po_date,"&lt;&gt;"&amp;B1370)&gt;0,"Date différente sur ce bon",IF(COUNTIF(po_num,A1370)&gt;25,"Plus de 25 lignes sur ce bon",IF(R1370="","Date de livraison manquante",IF(R1370&lt;B1370,"Livraison avant la commande",IF(AND(N(T1370)&gt;0,N(S1370)=0),"Date d'envoi manquante",IF(N(T1370)&gt;N(H1370),"Reçu plus que commandé",IF(AND(N(T1370)&gt;0,N(U1370)=0),"Date de réception manquante",IF(AND(N(U1370)&gt;0,U1370&lt;B1370),"Réception avant la commande","OK")))))))))))))))))))))</f>
        <v/>
      </c>
      <c r="AA1370" s="66" t="str">
        <f>IF(AND(X1370="Reçu",ISNUMBER(R1370)),IF(N(U1370)&lt;=R1370,1,0),"")</f>
        <v/>
      </c>
      <c r="AB1370" s="76" t="str">
        <f>IF(OR(X1370="Envoyé",X1370="Partiel",X1370="En retard"),IF(ISNUMBER(R1370),R1370,100000)+ROW()/100000,"")</f>
        <v/>
      </c>
      <c r="AC1370" s="66" t="str">
        <f>IF(A1370="","",IF(COUNTIF($A$6:A1370,A1370)=1,1,""))</f>
        <v/>
      </c>
      <c r="AD1370" s="66" t="str">
        <f>IF(AC1370=1,COUNT($AC$6:AC1370),"")</f>
        <v/>
      </c>
      <c r="AE1370" s="66" t="str">
        <f>IFERROR(INDEX(po_num,MATCH(1365,po_seq,0))&amp;"","")</f>
        <v/>
      </c>
      <c r="AF1370" s="66" t="str">
        <f>IF(OR(A1370="",p_po=""),"",IF(A1370&amp;""=p_po,COUNTIF($A$6:A1370,A1370),""))</f>
        <v/>
      </c>
      <c r="AG1370" s="66" t="str">
        <f>IF(OR(AB1370="",A1370=""),"",IF(COUNTIFS($A$6:A1370,A1370,$AB$6:AB1370,"&gt;0")=1,1,""))</f>
        <v/>
      </c>
      <c r="AH1370" s="70" t="str">
        <f>IF(AB1370="","",ROUND(N(W1370)*N(J1370)*(1-N(K1370)),2))</f>
        <v/>
      </c>
      <c r="AI1370" s="70" t="str">
        <f>IF(OR(J1370="",N(T1370)&lt;=0,V1370="Oui"),"",ROUND(N(T1370)*J1370*(1-N(K1370)),2))</f>
        <v/>
      </c>
    </row>
    <row r="1371">
      <c r="A1371" s="63" t="n"/>
      <c r="B1371" s="64" t="n"/>
      <c r="C1371" s="65" t="n"/>
      <c r="D1371" s="66" t="str">
        <f>IF(C1371="","",IFERROR(INDEX(sup_name,MATCH($C1371,sup_code,0))&amp;"","Fournisseur inconnu"))</f>
        <v/>
      </c>
      <c r="E1371" s="63" t="n"/>
      <c r="F1371" s="66" t="str">
        <f>IF(E1371="","",IFERROR(INDEX(art_des,MATCH($E1371,art_ref,0))&amp;"","Article inconnu"))</f>
        <v/>
      </c>
      <c r="G1371" s="67" t="str">
        <f>IF(E1371="","",IFERROR(INDEX(art_unit,MATCH($E1371,art_ref,0))&amp;"",""))</f>
        <v/>
      </c>
      <c r="H1371" s="68" t="n"/>
      <c r="I1371" s="69" t="n"/>
      <c r="J1371" s="70" t="str">
        <f>IF(E1371="","",IF(ISNUMBER(I1371),I1371,IFERROR(IF(ISNUMBER(INDEX(art_price,MATCH($E1371,art_ref,0))),INDEX(art_price,MATCH($E1371,art_ref,0)),""),"")))</f>
        <v/>
      </c>
      <c r="K1371" s="71" t="n"/>
      <c r="L1371" s="72" t="n"/>
      <c r="M1371" s="72" t="str">
        <f>IF(E1371="","",IF(L1371&lt;&gt;"",L1371,IFERROR(IF(ISNUMBER(INDEX(art_tva,MATCH($E1371,art_ref,0))),INDEX(art_tva,MATCH($E1371,art_ref,0)),""),"")))</f>
        <v/>
      </c>
      <c r="N1371" s="70" t="str">
        <f>IF(OR(E1371="",J1371=""),"",ROUND(N(H1371)*J1371*(1-N(K1371)),2))</f>
        <v/>
      </c>
      <c r="O1371" s="70" t="str">
        <f>IF(OR(N1371="",NOT(ISNUMBER(M1371))),"",ROUND(N1371*M1371,2))</f>
        <v/>
      </c>
      <c r="P1371" s="70" t="str">
        <f>IF(N1371="","",N1371+N(O1371))</f>
        <v/>
      </c>
      <c r="Q1371" s="64" t="n"/>
      <c r="R1371" s="73" t="str">
        <f>IF(N(Q1371)&gt;0,Q1371,IF(OR(N(B1371)=0,ISNA(MATCH($C1371,sup_code,0))),"",IF(ISNUMBER(INDEX(sup_delay,MATCH($C1371,sup_code,0))),B1371+INDEX(sup_delay,MATCH($C1371,sup_code,0)),"")))</f>
        <v/>
      </c>
      <c r="S1371" s="64" t="n"/>
      <c r="T1371" s="68" t="n"/>
      <c r="U1371" s="64" t="n"/>
      <c r="V1371" s="65" t="n"/>
      <c r="W1371" s="74" t="str">
        <f>IF(AND(A1371="",E1371=""),"",IF(V1371="Oui",0,MAX(0,ROUND(N(H1371)-N(T1371),6))))</f>
        <v/>
      </c>
      <c r="X1371" s="67" t="str">
        <f>IF(AND(A1371="",E1371=""),"",IF(V1371="Oui","Annulé",IF(AND(N(H1371)&gt;0,N(T1371)&gt;=N(H1371)),"Reçu",IF(N(S1371)=0,"Brouillon",IF(AND(ISNUMBER(R1371),R1371&lt;p_today),"En retard",IF(N(T1371)&gt;0,"Partiel","Envoyé"))))))</f>
        <v/>
      </c>
      <c r="Y1371" s="75" t="str">
        <f>IF(X1371="En retard",p_today-R1371,IF(AND(X1371="Reçu",ISNUMBER(R1371)),MAX(0,N(U1371)-R1371),""))</f>
        <v/>
      </c>
      <c r="Z1371" s="67" t="str">
        <f>IF(AND(A1371="",E1371=""),"",IF(A1371="","N° de bon manquant",IF(N(B1371)=0,"Date de commande manquante",IF(C1371="","Fournisseur manquant",IF(ISNA(MATCH($C1371,sup_code,0)),"Fournisseur inconnu",IF(E1371="","Article manquant",IF(ISNA(MATCH($E1371,art_ref,0)),"Article inconnu",IF(N(H1371)&lt;=0,"Quantité invalide",IF(J1371="","Prix manquant",IF(OR(N(K1371)&lt;0,N(K1371)&gt;=1),"Remise invalide",IF(M1371="","TVA manquante",IF(ISNA(MATCH(M1371,p_tva,0)),"Taux de TVA inconnu",IF(COUNTIFS(po_num,A1371,po_sup,"&lt;&gt;"&amp;C1371)&gt;0,"Fournisseur différent sur ce bon",IF(COUNTIFS(po_num,A1371,po_date,"&lt;&gt;"&amp;B1371)&gt;0,"Date différente sur ce bon",IF(COUNTIF(po_num,A1371)&gt;25,"Plus de 25 lignes sur ce bon",IF(R1371="","Date de livraison manquante",IF(R1371&lt;B1371,"Livraison avant la commande",IF(AND(N(T1371)&gt;0,N(S1371)=0),"Date d'envoi manquante",IF(N(T1371)&gt;N(H1371),"Reçu plus que commandé",IF(AND(N(T1371)&gt;0,N(U1371)=0),"Date de réception manquante",IF(AND(N(U1371)&gt;0,U1371&lt;B1371),"Réception avant la commande","OK")))))))))))))))))))))</f>
        <v/>
      </c>
      <c r="AA1371" s="66" t="str">
        <f>IF(AND(X1371="Reçu",ISNUMBER(R1371)),IF(N(U1371)&lt;=R1371,1,0),"")</f>
        <v/>
      </c>
      <c r="AB1371" s="76" t="str">
        <f>IF(OR(X1371="Envoyé",X1371="Partiel",X1371="En retard"),IF(ISNUMBER(R1371),R1371,100000)+ROW()/100000,"")</f>
        <v/>
      </c>
      <c r="AC1371" s="66" t="str">
        <f>IF(A1371="","",IF(COUNTIF($A$6:A1371,A1371)=1,1,""))</f>
        <v/>
      </c>
      <c r="AD1371" s="66" t="str">
        <f>IF(AC1371=1,COUNT($AC$6:AC1371),"")</f>
        <v/>
      </c>
      <c r="AE1371" s="66" t="str">
        <f>IFERROR(INDEX(po_num,MATCH(1366,po_seq,0))&amp;"","")</f>
        <v/>
      </c>
      <c r="AF1371" s="66" t="str">
        <f>IF(OR(A1371="",p_po=""),"",IF(A1371&amp;""=p_po,COUNTIF($A$6:A1371,A1371),""))</f>
        <v/>
      </c>
      <c r="AG1371" s="66" t="str">
        <f>IF(OR(AB1371="",A1371=""),"",IF(COUNTIFS($A$6:A1371,A1371,$AB$6:AB1371,"&gt;0")=1,1,""))</f>
        <v/>
      </c>
      <c r="AH1371" s="70" t="str">
        <f>IF(AB1371="","",ROUND(N(W1371)*N(J1371)*(1-N(K1371)),2))</f>
        <v/>
      </c>
      <c r="AI1371" s="70" t="str">
        <f>IF(OR(J1371="",N(T1371)&lt;=0,V1371="Oui"),"",ROUND(N(T1371)*J1371*(1-N(K1371)),2))</f>
        <v/>
      </c>
    </row>
    <row r="1372">
      <c r="A1372" s="63" t="n"/>
      <c r="B1372" s="64" t="n"/>
      <c r="C1372" s="65" t="n"/>
      <c r="D1372" s="66" t="str">
        <f>IF(C1372="","",IFERROR(INDEX(sup_name,MATCH($C1372,sup_code,0))&amp;"","Fournisseur inconnu"))</f>
        <v/>
      </c>
      <c r="E1372" s="63" t="n"/>
      <c r="F1372" s="66" t="str">
        <f>IF(E1372="","",IFERROR(INDEX(art_des,MATCH($E1372,art_ref,0))&amp;"","Article inconnu"))</f>
        <v/>
      </c>
      <c r="G1372" s="67" t="str">
        <f>IF(E1372="","",IFERROR(INDEX(art_unit,MATCH($E1372,art_ref,0))&amp;"",""))</f>
        <v/>
      </c>
      <c r="H1372" s="68" t="n"/>
      <c r="I1372" s="69" t="n"/>
      <c r="J1372" s="70" t="str">
        <f>IF(E1372="","",IF(ISNUMBER(I1372),I1372,IFERROR(IF(ISNUMBER(INDEX(art_price,MATCH($E1372,art_ref,0))),INDEX(art_price,MATCH($E1372,art_ref,0)),""),"")))</f>
        <v/>
      </c>
      <c r="K1372" s="71" t="n"/>
      <c r="L1372" s="72" t="n"/>
      <c r="M1372" s="72" t="str">
        <f>IF(E1372="","",IF(L1372&lt;&gt;"",L1372,IFERROR(IF(ISNUMBER(INDEX(art_tva,MATCH($E1372,art_ref,0))),INDEX(art_tva,MATCH($E1372,art_ref,0)),""),"")))</f>
        <v/>
      </c>
      <c r="N1372" s="70" t="str">
        <f>IF(OR(E1372="",J1372=""),"",ROUND(N(H1372)*J1372*(1-N(K1372)),2))</f>
        <v/>
      </c>
      <c r="O1372" s="70" t="str">
        <f>IF(OR(N1372="",NOT(ISNUMBER(M1372))),"",ROUND(N1372*M1372,2))</f>
        <v/>
      </c>
      <c r="P1372" s="70" t="str">
        <f>IF(N1372="","",N1372+N(O1372))</f>
        <v/>
      </c>
      <c r="Q1372" s="64" t="n"/>
      <c r="R1372" s="73" t="str">
        <f>IF(N(Q1372)&gt;0,Q1372,IF(OR(N(B1372)=0,ISNA(MATCH($C1372,sup_code,0))),"",IF(ISNUMBER(INDEX(sup_delay,MATCH($C1372,sup_code,0))),B1372+INDEX(sup_delay,MATCH($C1372,sup_code,0)),"")))</f>
        <v/>
      </c>
      <c r="S1372" s="64" t="n"/>
      <c r="T1372" s="68" t="n"/>
      <c r="U1372" s="64" t="n"/>
      <c r="V1372" s="65" t="n"/>
      <c r="W1372" s="74" t="str">
        <f>IF(AND(A1372="",E1372=""),"",IF(V1372="Oui",0,MAX(0,ROUND(N(H1372)-N(T1372),6))))</f>
        <v/>
      </c>
      <c r="X1372" s="67" t="str">
        <f>IF(AND(A1372="",E1372=""),"",IF(V1372="Oui","Annulé",IF(AND(N(H1372)&gt;0,N(T1372)&gt;=N(H1372)),"Reçu",IF(N(S1372)=0,"Brouillon",IF(AND(ISNUMBER(R1372),R1372&lt;p_today),"En retard",IF(N(T1372)&gt;0,"Partiel","Envoyé"))))))</f>
        <v/>
      </c>
      <c r="Y1372" s="75" t="str">
        <f>IF(X1372="En retard",p_today-R1372,IF(AND(X1372="Reçu",ISNUMBER(R1372)),MAX(0,N(U1372)-R1372),""))</f>
        <v/>
      </c>
      <c r="Z1372" s="67" t="str">
        <f>IF(AND(A1372="",E1372=""),"",IF(A1372="","N° de bon manquant",IF(N(B1372)=0,"Date de commande manquante",IF(C1372="","Fournisseur manquant",IF(ISNA(MATCH($C1372,sup_code,0)),"Fournisseur inconnu",IF(E1372="","Article manquant",IF(ISNA(MATCH($E1372,art_ref,0)),"Article inconnu",IF(N(H1372)&lt;=0,"Quantité invalide",IF(J1372="","Prix manquant",IF(OR(N(K1372)&lt;0,N(K1372)&gt;=1),"Remise invalide",IF(M1372="","TVA manquante",IF(ISNA(MATCH(M1372,p_tva,0)),"Taux de TVA inconnu",IF(COUNTIFS(po_num,A1372,po_sup,"&lt;&gt;"&amp;C1372)&gt;0,"Fournisseur différent sur ce bon",IF(COUNTIFS(po_num,A1372,po_date,"&lt;&gt;"&amp;B1372)&gt;0,"Date différente sur ce bon",IF(COUNTIF(po_num,A1372)&gt;25,"Plus de 25 lignes sur ce bon",IF(R1372="","Date de livraison manquante",IF(R1372&lt;B1372,"Livraison avant la commande",IF(AND(N(T1372)&gt;0,N(S1372)=0),"Date d'envoi manquante",IF(N(T1372)&gt;N(H1372),"Reçu plus que commandé",IF(AND(N(T1372)&gt;0,N(U1372)=0),"Date de réception manquante",IF(AND(N(U1372)&gt;0,U1372&lt;B1372),"Réception avant la commande","OK")))))))))))))))))))))</f>
        <v/>
      </c>
      <c r="AA1372" s="66" t="str">
        <f>IF(AND(X1372="Reçu",ISNUMBER(R1372)),IF(N(U1372)&lt;=R1372,1,0),"")</f>
        <v/>
      </c>
      <c r="AB1372" s="76" t="str">
        <f>IF(OR(X1372="Envoyé",X1372="Partiel",X1372="En retard"),IF(ISNUMBER(R1372),R1372,100000)+ROW()/100000,"")</f>
        <v/>
      </c>
      <c r="AC1372" s="66" t="str">
        <f>IF(A1372="","",IF(COUNTIF($A$6:A1372,A1372)=1,1,""))</f>
        <v/>
      </c>
      <c r="AD1372" s="66" t="str">
        <f>IF(AC1372=1,COUNT($AC$6:AC1372),"")</f>
        <v/>
      </c>
      <c r="AE1372" s="66" t="str">
        <f>IFERROR(INDEX(po_num,MATCH(1367,po_seq,0))&amp;"","")</f>
        <v/>
      </c>
      <c r="AF1372" s="66" t="str">
        <f>IF(OR(A1372="",p_po=""),"",IF(A1372&amp;""=p_po,COUNTIF($A$6:A1372,A1372),""))</f>
        <v/>
      </c>
      <c r="AG1372" s="66" t="str">
        <f>IF(OR(AB1372="",A1372=""),"",IF(COUNTIFS($A$6:A1372,A1372,$AB$6:AB1372,"&gt;0")=1,1,""))</f>
        <v/>
      </c>
      <c r="AH1372" s="70" t="str">
        <f>IF(AB1372="","",ROUND(N(W1372)*N(J1372)*(1-N(K1372)),2))</f>
        <v/>
      </c>
      <c r="AI1372" s="70" t="str">
        <f>IF(OR(J1372="",N(T1372)&lt;=0,V1372="Oui"),"",ROUND(N(T1372)*J1372*(1-N(K1372)),2))</f>
        <v/>
      </c>
    </row>
    <row r="1373">
      <c r="A1373" s="63" t="n"/>
      <c r="B1373" s="64" t="n"/>
      <c r="C1373" s="65" t="n"/>
      <c r="D1373" s="66" t="str">
        <f>IF(C1373="","",IFERROR(INDEX(sup_name,MATCH($C1373,sup_code,0))&amp;"","Fournisseur inconnu"))</f>
        <v/>
      </c>
      <c r="E1373" s="63" t="n"/>
      <c r="F1373" s="66" t="str">
        <f>IF(E1373="","",IFERROR(INDEX(art_des,MATCH($E1373,art_ref,0))&amp;"","Article inconnu"))</f>
        <v/>
      </c>
      <c r="G1373" s="67" t="str">
        <f>IF(E1373="","",IFERROR(INDEX(art_unit,MATCH($E1373,art_ref,0))&amp;"",""))</f>
        <v/>
      </c>
      <c r="H1373" s="68" t="n"/>
      <c r="I1373" s="69" t="n"/>
      <c r="J1373" s="70" t="str">
        <f>IF(E1373="","",IF(ISNUMBER(I1373),I1373,IFERROR(IF(ISNUMBER(INDEX(art_price,MATCH($E1373,art_ref,0))),INDEX(art_price,MATCH($E1373,art_ref,0)),""),"")))</f>
        <v/>
      </c>
      <c r="K1373" s="71" t="n"/>
      <c r="L1373" s="72" t="n"/>
      <c r="M1373" s="72" t="str">
        <f>IF(E1373="","",IF(L1373&lt;&gt;"",L1373,IFERROR(IF(ISNUMBER(INDEX(art_tva,MATCH($E1373,art_ref,0))),INDEX(art_tva,MATCH($E1373,art_ref,0)),""),"")))</f>
        <v/>
      </c>
      <c r="N1373" s="70" t="str">
        <f>IF(OR(E1373="",J1373=""),"",ROUND(N(H1373)*J1373*(1-N(K1373)),2))</f>
        <v/>
      </c>
      <c r="O1373" s="70" t="str">
        <f>IF(OR(N1373="",NOT(ISNUMBER(M1373))),"",ROUND(N1373*M1373,2))</f>
        <v/>
      </c>
      <c r="P1373" s="70" t="str">
        <f>IF(N1373="","",N1373+N(O1373))</f>
        <v/>
      </c>
      <c r="Q1373" s="64" t="n"/>
      <c r="R1373" s="73" t="str">
        <f>IF(N(Q1373)&gt;0,Q1373,IF(OR(N(B1373)=0,ISNA(MATCH($C1373,sup_code,0))),"",IF(ISNUMBER(INDEX(sup_delay,MATCH($C1373,sup_code,0))),B1373+INDEX(sup_delay,MATCH($C1373,sup_code,0)),"")))</f>
        <v/>
      </c>
      <c r="S1373" s="64" t="n"/>
      <c r="T1373" s="68" t="n"/>
      <c r="U1373" s="64" t="n"/>
      <c r="V1373" s="65" t="n"/>
      <c r="W1373" s="74" t="str">
        <f>IF(AND(A1373="",E1373=""),"",IF(V1373="Oui",0,MAX(0,ROUND(N(H1373)-N(T1373),6))))</f>
        <v/>
      </c>
      <c r="X1373" s="67" t="str">
        <f>IF(AND(A1373="",E1373=""),"",IF(V1373="Oui","Annulé",IF(AND(N(H1373)&gt;0,N(T1373)&gt;=N(H1373)),"Reçu",IF(N(S1373)=0,"Brouillon",IF(AND(ISNUMBER(R1373),R1373&lt;p_today),"En retard",IF(N(T1373)&gt;0,"Partiel","Envoyé"))))))</f>
        <v/>
      </c>
      <c r="Y1373" s="75" t="str">
        <f>IF(X1373="En retard",p_today-R1373,IF(AND(X1373="Reçu",ISNUMBER(R1373)),MAX(0,N(U1373)-R1373),""))</f>
        <v/>
      </c>
      <c r="Z1373" s="67" t="str">
        <f>IF(AND(A1373="",E1373=""),"",IF(A1373="","N° de bon manquant",IF(N(B1373)=0,"Date de commande manquante",IF(C1373="","Fournisseur manquant",IF(ISNA(MATCH($C1373,sup_code,0)),"Fournisseur inconnu",IF(E1373="","Article manquant",IF(ISNA(MATCH($E1373,art_ref,0)),"Article inconnu",IF(N(H1373)&lt;=0,"Quantité invalide",IF(J1373="","Prix manquant",IF(OR(N(K1373)&lt;0,N(K1373)&gt;=1),"Remise invalide",IF(M1373="","TVA manquante",IF(ISNA(MATCH(M1373,p_tva,0)),"Taux de TVA inconnu",IF(COUNTIFS(po_num,A1373,po_sup,"&lt;&gt;"&amp;C1373)&gt;0,"Fournisseur différent sur ce bon",IF(COUNTIFS(po_num,A1373,po_date,"&lt;&gt;"&amp;B1373)&gt;0,"Date différente sur ce bon",IF(COUNTIF(po_num,A1373)&gt;25,"Plus de 25 lignes sur ce bon",IF(R1373="","Date de livraison manquante",IF(R1373&lt;B1373,"Livraison avant la commande",IF(AND(N(T1373)&gt;0,N(S1373)=0),"Date d'envoi manquante",IF(N(T1373)&gt;N(H1373),"Reçu plus que commandé",IF(AND(N(T1373)&gt;0,N(U1373)=0),"Date de réception manquante",IF(AND(N(U1373)&gt;0,U1373&lt;B1373),"Réception avant la commande","OK")))))))))))))))))))))</f>
        <v/>
      </c>
      <c r="AA1373" s="66" t="str">
        <f>IF(AND(X1373="Reçu",ISNUMBER(R1373)),IF(N(U1373)&lt;=R1373,1,0),"")</f>
        <v/>
      </c>
      <c r="AB1373" s="76" t="str">
        <f>IF(OR(X1373="Envoyé",X1373="Partiel",X1373="En retard"),IF(ISNUMBER(R1373),R1373,100000)+ROW()/100000,"")</f>
        <v/>
      </c>
      <c r="AC1373" s="66" t="str">
        <f>IF(A1373="","",IF(COUNTIF($A$6:A1373,A1373)=1,1,""))</f>
        <v/>
      </c>
      <c r="AD1373" s="66" t="str">
        <f>IF(AC1373=1,COUNT($AC$6:AC1373),"")</f>
        <v/>
      </c>
      <c r="AE1373" s="66" t="str">
        <f>IFERROR(INDEX(po_num,MATCH(1368,po_seq,0))&amp;"","")</f>
        <v/>
      </c>
      <c r="AF1373" s="66" t="str">
        <f>IF(OR(A1373="",p_po=""),"",IF(A1373&amp;""=p_po,COUNTIF($A$6:A1373,A1373),""))</f>
        <v/>
      </c>
      <c r="AG1373" s="66" t="str">
        <f>IF(OR(AB1373="",A1373=""),"",IF(COUNTIFS($A$6:A1373,A1373,$AB$6:AB1373,"&gt;0")=1,1,""))</f>
        <v/>
      </c>
      <c r="AH1373" s="70" t="str">
        <f>IF(AB1373="","",ROUND(N(W1373)*N(J1373)*(1-N(K1373)),2))</f>
        <v/>
      </c>
      <c r="AI1373" s="70" t="str">
        <f>IF(OR(J1373="",N(T1373)&lt;=0,V1373="Oui"),"",ROUND(N(T1373)*J1373*(1-N(K1373)),2))</f>
        <v/>
      </c>
    </row>
    <row r="1374">
      <c r="A1374" s="63" t="n"/>
      <c r="B1374" s="64" t="n"/>
      <c r="C1374" s="65" t="n"/>
      <c r="D1374" s="66" t="str">
        <f>IF(C1374="","",IFERROR(INDEX(sup_name,MATCH($C1374,sup_code,0))&amp;"","Fournisseur inconnu"))</f>
        <v/>
      </c>
      <c r="E1374" s="63" t="n"/>
      <c r="F1374" s="66" t="str">
        <f>IF(E1374="","",IFERROR(INDEX(art_des,MATCH($E1374,art_ref,0))&amp;"","Article inconnu"))</f>
        <v/>
      </c>
      <c r="G1374" s="67" t="str">
        <f>IF(E1374="","",IFERROR(INDEX(art_unit,MATCH($E1374,art_ref,0))&amp;"",""))</f>
        <v/>
      </c>
      <c r="H1374" s="68" t="n"/>
      <c r="I1374" s="69" t="n"/>
      <c r="J1374" s="70" t="str">
        <f>IF(E1374="","",IF(ISNUMBER(I1374),I1374,IFERROR(IF(ISNUMBER(INDEX(art_price,MATCH($E1374,art_ref,0))),INDEX(art_price,MATCH($E1374,art_ref,0)),""),"")))</f>
        <v/>
      </c>
      <c r="K1374" s="71" t="n"/>
      <c r="L1374" s="72" t="n"/>
      <c r="M1374" s="72" t="str">
        <f>IF(E1374="","",IF(L1374&lt;&gt;"",L1374,IFERROR(IF(ISNUMBER(INDEX(art_tva,MATCH($E1374,art_ref,0))),INDEX(art_tva,MATCH($E1374,art_ref,0)),""),"")))</f>
        <v/>
      </c>
      <c r="N1374" s="70" t="str">
        <f>IF(OR(E1374="",J1374=""),"",ROUND(N(H1374)*J1374*(1-N(K1374)),2))</f>
        <v/>
      </c>
      <c r="O1374" s="70" t="str">
        <f>IF(OR(N1374="",NOT(ISNUMBER(M1374))),"",ROUND(N1374*M1374,2))</f>
        <v/>
      </c>
      <c r="P1374" s="70" t="str">
        <f>IF(N1374="","",N1374+N(O1374))</f>
        <v/>
      </c>
      <c r="Q1374" s="64" t="n"/>
      <c r="R1374" s="73" t="str">
        <f>IF(N(Q1374)&gt;0,Q1374,IF(OR(N(B1374)=0,ISNA(MATCH($C1374,sup_code,0))),"",IF(ISNUMBER(INDEX(sup_delay,MATCH($C1374,sup_code,0))),B1374+INDEX(sup_delay,MATCH($C1374,sup_code,0)),"")))</f>
        <v/>
      </c>
      <c r="S1374" s="64" t="n"/>
      <c r="T1374" s="68" t="n"/>
      <c r="U1374" s="64" t="n"/>
      <c r="V1374" s="65" t="n"/>
      <c r="W1374" s="74" t="str">
        <f>IF(AND(A1374="",E1374=""),"",IF(V1374="Oui",0,MAX(0,ROUND(N(H1374)-N(T1374),6))))</f>
        <v/>
      </c>
      <c r="X1374" s="67" t="str">
        <f>IF(AND(A1374="",E1374=""),"",IF(V1374="Oui","Annulé",IF(AND(N(H1374)&gt;0,N(T1374)&gt;=N(H1374)),"Reçu",IF(N(S1374)=0,"Brouillon",IF(AND(ISNUMBER(R1374),R1374&lt;p_today),"En retard",IF(N(T1374)&gt;0,"Partiel","Envoyé"))))))</f>
        <v/>
      </c>
      <c r="Y1374" s="75" t="str">
        <f>IF(X1374="En retard",p_today-R1374,IF(AND(X1374="Reçu",ISNUMBER(R1374)),MAX(0,N(U1374)-R1374),""))</f>
        <v/>
      </c>
      <c r="Z1374" s="67" t="str">
        <f>IF(AND(A1374="",E1374=""),"",IF(A1374="","N° de bon manquant",IF(N(B1374)=0,"Date de commande manquante",IF(C1374="","Fournisseur manquant",IF(ISNA(MATCH($C1374,sup_code,0)),"Fournisseur inconnu",IF(E1374="","Article manquant",IF(ISNA(MATCH($E1374,art_ref,0)),"Article inconnu",IF(N(H1374)&lt;=0,"Quantité invalide",IF(J1374="","Prix manquant",IF(OR(N(K1374)&lt;0,N(K1374)&gt;=1),"Remise invalide",IF(M1374="","TVA manquante",IF(ISNA(MATCH(M1374,p_tva,0)),"Taux de TVA inconnu",IF(COUNTIFS(po_num,A1374,po_sup,"&lt;&gt;"&amp;C1374)&gt;0,"Fournisseur différent sur ce bon",IF(COUNTIFS(po_num,A1374,po_date,"&lt;&gt;"&amp;B1374)&gt;0,"Date différente sur ce bon",IF(COUNTIF(po_num,A1374)&gt;25,"Plus de 25 lignes sur ce bon",IF(R1374="","Date de livraison manquante",IF(R1374&lt;B1374,"Livraison avant la commande",IF(AND(N(T1374)&gt;0,N(S1374)=0),"Date d'envoi manquante",IF(N(T1374)&gt;N(H1374),"Reçu plus que commandé",IF(AND(N(T1374)&gt;0,N(U1374)=0),"Date de réception manquante",IF(AND(N(U1374)&gt;0,U1374&lt;B1374),"Réception avant la commande","OK")))))))))))))))))))))</f>
        <v/>
      </c>
      <c r="AA1374" s="66" t="str">
        <f>IF(AND(X1374="Reçu",ISNUMBER(R1374)),IF(N(U1374)&lt;=R1374,1,0),"")</f>
        <v/>
      </c>
      <c r="AB1374" s="76" t="str">
        <f>IF(OR(X1374="Envoyé",X1374="Partiel",X1374="En retard"),IF(ISNUMBER(R1374),R1374,100000)+ROW()/100000,"")</f>
        <v/>
      </c>
      <c r="AC1374" s="66" t="str">
        <f>IF(A1374="","",IF(COUNTIF($A$6:A1374,A1374)=1,1,""))</f>
        <v/>
      </c>
      <c r="AD1374" s="66" t="str">
        <f>IF(AC1374=1,COUNT($AC$6:AC1374),"")</f>
        <v/>
      </c>
      <c r="AE1374" s="66" t="str">
        <f>IFERROR(INDEX(po_num,MATCH(1369,po_seq,0))&amp;"","")</f>
        <v/>
      </c>
      <c r="AF1374" s="66" t="str">
        <f>IF(OR(A1374="",p_po=""),"",IF(A1374&amp;""=p_po,COUNTIF($A$6:A1374,A1374),""))</f>
        <v/>
      </c>
      <c r="AG1374" s="66" t="str">
        <f>IF(OR(AB1374="",A1374=""),"",IF(COUNTIFS($A$6:A1374,A1374,$AB$6:AB1374,"&gt;0")=1,1,""))</f>
        <v/>
      </c>
      <c r="AH1374" s="70" t="str">
        <f>IF(AB1374="","",ROUND(N(W1374)*N(J1374)*(1-N(K1374)),2))</f>
        <v/>
      </c>
      <c r="AI1374" s="70" t="str">
        <f>IF(OR(J1374="",N(T1374)&lt;=0,V1374="Oui"),"",ROUND(N(T1374)*J1374*(1-N(K1374)),2))</f>
        <v/>
      </c>
    </row>
    <row r="1375">
      <c r="A1375" s="63" t="n"/>
      <c r="B1375" s="64" t="n"/>
      <c r="C1375" s="65" t="n"/>
      <c r="D1375" s="66" t="str">
        <f>IF(C1375="","",IFERROR(INDEX(sup_name,MATCH($C1375,sup_code,0))&amp;"","Fournisseur inconnu"))</f>
        <v/>
      </c>
      <c r="E1375" s="63" t="n"/>
      <c r="F1375" s="66" t="str">
        <f>IF(E1375="","",IFERROR(INDEX(art_des,MATCH($E1375,art_ref,0))&amp;"","Article inconnu"))</f>
        <v/>
      </c>
      <c r="G1375" s="67" t="str">
        <f>IF(E1375="","",IFERROR(INDEX(art_unit,MATCH($E1375,art_ref,0))&amp;"",""))</f>
        <v/>
      </c>
      <c r="H1375" s="68" t="n"/>
      <c r="I1375" s="69" t="n"/>
      <c r="J1375" s="70" t="str">
        <f>IF(E1375="","",IF(ISNUMBER(I1375),I1375,IFERROR(IF(ISNUMBER(INDEX(art_price,MATCH($E1375,art_ref,0))),INDEX(art_price,MATCH($E1375,art_ref,0)),""),"")))</f>
        <v/>
      </c>
      <c r="K1375" s="71" t="n"/>
      <c r="L1375" s="72" t="n"/>
      <c r="M1375" s="72" t="str">
        <f>IF(E1375="","",IF(L1375&lt;&gt;"",L1375,IFERROR(IF(ISNUMBER(INDEX(art_tva,MATCH($E1375,art_ref,0))),INDEX(art_tva,MATCH($E1375,art_ref,0)),""),"")))</f>
        <v/>
      </c>
      <c r="N1375" s="70" t="str">
        <f>IF(OR(E1375="",J1375=""),"",ROUND(N(H1375)*J1375*(1-N(K1375)),2))</f>
        <v/>
      </c>
      <c r="O1375" s="70" t="str">
        <f>IF(OR(N1375="",NOT(ISNUMBER(M1375))),"",ROUND(N1375*M1375,2))</f>
        <v/>
      </c>
      <c r="P1375" s="70" t="str">
        <f>IF(N1375="","",N1375+N(O1375))</f>
        <v/>
      </c>
      <c r="Q1375" s="64" t="n"/>
      <c r="R1375" s="73" t="str">
        <f>IF(N(Q1375)&gt;0,Q1375,IF(OR(N(B1375)=0,ISNA(MATCH($C1375,sup_code,0))),"",IF(ISNUMBER(INDEX(sup_delay,MATCH($C1375,sup_code,0))),B1375+INDEX(sup_delay,MATCH($C1375,sup_code,0)),"")))</f>
        <v/>
      </c>
      <c r="S1375" s="64" t="n"/>
      <c r="T1375" s="68" t="n"/>
      <c r="U1375" s="64" t="n"/>
      <c r="V1375" s="65" t="n"/>
      <c r="W1375" s="74" t="str">
        <f>IF(AND(A1375="",E1375=""),"",IF(V1375="Oui",0,MAX(0,ROUND(N(H1375)-N(T1375),6))))</f>
        <v/>
      </c>
      <c r="X1375" s="67" t="str">
        <f>IF(AND(A1375="",E1375=""),"",IF(V1375="Oui","Annulé",IF(AND(N(H1375)&gt;0,N(T1375)&gt;=N(H1375)),"Reçu",IF(N(S1375)=0,"Brouillon",IF(AND(ISNUMBER(R1375),R1375&lt;p_today),"En retard",IF(N(T1375)&gt;0,"Partiel","Envoyé"))))))</f>
        <v/>
      </c>
      <c r="Y1375" s="75" t="str">
        <f>IF(X1375="En retard",p_today-R1375,IF(AND(X1375="Reçu",ISNUMBER(R1375)),MAX(0,N(U1375)-R1375),""))</f>
        <v/>
      </c>
      <c r="Z1375" s="67" t="str">
        <f>IF(AND(A1375="",E1375=""),"",IF(A1375="","N° de bon manquant",IF(N(B1375)=0,"Date de commande manquante",IF(C1375="","Fournisseur manquant",IF(ISNA(MATCH($C1375,sup_code,0)),"Fournisseur inconnu",IF(E1375="","Article manquant",IF(ISNA(MATCH($E1375,art_ref,0)),"Article inconnu",IF(N(H1375)&lt;=0,"Quantité invalide",IF(J1375="","Prix manquant",IF(OR(N(K1375)&lt;0,N(K1375)&gt;=1),"Remise invalide",IF(M1375="","TVA manquante",IF(ISNA(MATCH(M1375,p_tva,0)),"Taux de TVA inconnu",IF(COUNTIFS(po_num,A1375,po_sup,"&lt;&gt;"&amp;C1375)&gt;0,"Fournisseur différent sur ce bon",IF(COUNTIFS(po_num,A1375,po_date,"&lt;&gt;"&amp;B1375)&gt;0,"Date différente sur ce bon",IF(COUNTIF(po_num,A1375)&gt;25,"Plus de 25 lignes sur ce bon",IF(R1375="","Date de livraison manquante",IF(R1375&lt;B1375,"Livraison avant la commande",IF(AND(N(T1375)&gt;0,N(S1375)=0),"Date d'envoi manquante",IF(N(T1375)&gt;N(H1375),"Reçu plus que commandé",IF(AND(N(T1375)&gt;0,N(U1375)=0),"Date de réception manquante",IF(AND(N(U1375)&gt;0,U1375&lt;B1375),"Réception avant la commande","OK")))))))))))))))))))))</f>
        <v/>
      </c>
      <c r="AA1375" s="66" t="str">
        <f>IF(AND(X1375="Reçu",ISNUMBER(R1375)),IF(N(U1375)&lt;=R1375,1,0),"")</f>
        <v/>
      </c>
      <c r="AB1375" s="76" t="str">
        <f>IF(OR(X1375="Envoyé",X1375="Partiel",X1375="En retard"),IF(ISNUMBER(R1375),R1375,100000)+ROW()/100000,"")</f>
        <v/>
      </c>
      <c r="AC1375" s="66" t="str">
        <f>IF(A1375="","",IF(COUNTIF($A$6:A1375,A1375)=1,1,""))</f>
        <v/>
      </c>
      <c r="AD1375" s="66" t="str">
        <f>IF(AC1375=1,COUNT($AC$6:AC1375),"")</f>
        <v/>
      </c>
      <c r="AE1375" s="66" t="str">
        <f>IFERROR(INDEX(po_num,MATCH(1370,po_seq,0))&amp;"","")</f>
        <v/>
      </c>
      <c r="AF1375" s="66" t="str">
        <f>IF(OR(A1375="",p_po=""),"",IF(A1375&amp;""=p_po,COUNTIF($A$6:A1375,A1375),""))</f>
        <v/>
      </c>
      <c r="AG1375" s="66" t="str">
        <f>IF(OR(AB1375="",A1375=""),"",IF(COUNTIFS($A$6:A1375,A1375,$AB$6:AB1375,"&gt;0")=1,1,""))</f>
        <v/>
      </c>
      <c r="AH1375" s="70" t="str">
        <f>IF(AB1375="","",ROUND(N(W1375)*N(J1375)*(1-N(K1375)),2))</f>
        <v/>
      </c>
      <c r="AI1375" s="70" t="str">
        <f>IF(OR(J1375="",N(T1375)&lt;=0,V1375="Oui"),"",ROUND(N(T1375)*J1375*(1-N(K1375)),2))</f>
        <v/>
      </c>
    </row>
    <row r="1376">
      <c r="A1376" s="63" t="n"/>
      <c r="B1376" s="64" t="n"/>
      <c r="C1376" s="65" t="n"/>
      <c r="D1376" s="66" t="str">
        <f>IF(C1376="","",IFERROR(INDEX(sup_name,MATCH($C1376,sup_code,0))&amp;"","Fournisseur inconnu"))</f>
        <v/>
      </c>
      <c r="E1376" s="63" t="n"/>
      <c r="F1376" s="66" t="str">
        <f>IF(E1376="","",IFERROR(INDEX(art_des,MATCH($E1376,art_ref,0))&amp;"","Article inconnu"))</f>
        <v/>
      </c>
      <c r="G1376" s="67" t="str">
        <f>IF(E1376="","",IFERROR(INDEX(art_unit,MATCH($E1376,art_ref,0))&amp;"",""))</f>
        <v/>
      </c>
      <c r="H1376" s="68" t="n"/>
      <c r="I1376" s="69" t="n"/>
      <c r="J1376" s="70" t="str">
        <f>IF(E1376="","",IF(ISNUMBER(I1376),I1376,IFERROR(IF(ISNUMBER(INDEX(art_price,MATCH($E1376,art_ref,0))),INDEX(art_price,MATCH($E1376,art_ref,0)),""),"")))</f>
        <v/>
      </c>
      <c r="K1376" s="71" t="n"/>
      <c r="L1376" s="72" t="n"/>
      <c r="M1376" s="72" t="str">
        <f>IF(E1376="","",IF(L1376&lt;&gt;"",L1376,IFERROR(IF(ISNUMBER(INDEX(art_tva,MATCH($E1376,art_ref,0))),INDEX(art_tva,MATCH($E1376,art_ref,0)),""),"")))</f>
        <v/>
      </c>
      <c r="N1376" s="70" t="str">
        <f>IF(OR(E1376="",J1376=""),"",ROUND(N(H1376)*J1376*(1-N(K1376)),2))</f>
        <v/>
      </c>
      <c r="O1376" s="70" t="str">
        <f>IF(OR(N1376="",NOT(ISNUMBER(M1376))),"",ROUND(N1376*M1376,2))</f>
        <v/>
      </c>
      <c r="P1376" s="70" t="str">
        <f>IF(N1376="","",N1376+N(O1376))</f>
        <v/>
      </c>
      <c r="Q1376" s="64" t="n"/>
      <c r="R1376" s="73" t="str">
        <f>IF(N(Q1376)&gt;0,Q1376,IF(OR(N(B1376)=0,ISNA(MATCH($C1376,sup_code,0))),"",IF(ISNUMBER(INDEX(sup_delay,MATCH($C1376,sup_code,0))),B1376+INDEX(sup_delay,MATCH($C1376,sup_code,0)),"")))</f>
        <v/>
      </c>
      <c r="S1376" s="64" t="n"/>
      <c r="T1376" s="68" t="n"/>
      <c r="U1376" s="64" t="n"/>
      <c r="V1376" s="65" t="n"/>
      <c r="W1376" s="74" t="str">
        <f>IF(AND(A1376="",E1376=""),"",IF(V1376="Oui",0,MAX(0,ROUND(N(H1376)-N(T1376),6))))</f>
        <v/>
      </c>
      <c r="X1376" s="67" t="str">
        <f>IF(AND(A1376="",E1376=""),"",IF(V1376="Oui","Annulé",IF(AND(N(H1376)&gt;0,N(T1376)&gt;=N(H1376)),"Reçu",IF(N(S1376)=0,"Brouillon",IF(AND(ISNUMBER(R1376),R1376&lt;p_today),"En retard",IF(N(T1376)&gt;0,"Partiel","Envoyé"))))))</f>
        <v/>
      </c>
      <c r="Y1376" s="75" t="str">
        <f>IF(X1376="En retard",p_today-R1376,IF(AND(X1376="Reçu",ISNUMBER(R1376)),MAX(0,N(U1376)-R1376),""))</f>
        <v/>
      </c>
      <c r="Z1376" s="67" t="str">
        <f>IF(AND(A1376="",E1376=""),"",IF(A1376="","N° de bon manquant",IF(N(B1376)=0,"Date de commande manquante",IF(C1376="","Fournisseur manquant",IF(ISNA(MATCH($C1376,sup_code,0)),"Fournisseur inconnu",IF(E1376="","Article manquant",IF(ISNA(MATCH($E1376,art_ref,0)),"Article inconnu",IF(N(H1376)&lt;=0,"Quantité invalide",IF(J1376="","Prix manquant",IF(OR(N(K1376)&lt;0,N(K1376)&gt;=1),"Remise invalide",IF(M1376="","TVA manquante",IF(ISNA(MATCH(M1376,p_tva,0)),"Taux de TVA inconnu",IF(COUNTIFS(po_num,A1376,po_sup,"&lt;&gt;"&amp;C1376)&gt;0,"Fournisseur différent sur ce bon",IF(COUNTIFS(po_num,A1376,po_date,"&lt;&gt;"&amp;B1376)&gt;0,"Date différente sur ce bon",IF(COUNTIF(po_num,A1376)&gt;25,"Plus de 25 lignes sur ce bon",IF(R1376="","Date de livraison manquante",IF(R1376&lt;B1376,"Livraison avant la commande",IF(AND(N(T1376)&gt;0,N(S1376)=0),"Date d'envoi manquante",IF(N(T1376)&gt;N(H1376),"Reçu plus que commandé",IF(AND(N(T1376)&gt;0,N(U1376)=0),"Date de réception manquante",IF(AND(N(U1376)&gt;0,U1376&lt;B1376),"Réception avant la commande","OK")))))))))))))))))))))</f>
        <v/>
      </c>
      <c r="AA1376" s="66" t="str">
        <f>IF(AND(X1376="Reçu",ISNUMBER(R1376)),IF(N(U1376)&lt;=R1376,1,0),"")</f>
        <v/>
      </c>
      <c r="AB1376" s="76" t="str">
        <f>IF(OR(X1376="Envoyé",X1376="Partiel",X1376="En retard"),IF(ISNUMBER(R1376),R1376,100000)+ROW()/100000,"")</f>
        <v/>
      </c>
      <c r="AC1376" s="66" t="str">
        <f>IF(A1376="","",IF(COUNTIF($A$6:A1376,A1376)=1,1,""))</f>
        <v/>
      </c>
      <c r="AD1376" s="66" t="str">
        <f>IF(AC1376=1,COUNT($AC$6:AC1376),"")</f>
        <v/>
      </c>
      <c r="AE1376" s="66" t="str">
        <f>IFERROR(INDEX(po_num,MATCH(1371,po_seq,0))&amp;"","")</f>
        <v/>
      </c>
      <c r="AF1376" s="66" t="str">
        <f>IF(OR(A1376="",p_po=""),"",IF(A1376&amp;""=p_po,COUNTIF($A$6:A1376,A1376),""))</f>
        <v/>
      </c>
      <c r="AG1376" s="66" t="str">
        <f>IF(OR(AB1376="",A1376=""),"",IF(COUNTIFS($A$6:A1376,A1376,$AB$6:AB1376,"&gt;0")=1,1,""))</f>
        <v/>
      </c>
      <c r="AH1376" s="70" t="str">
        <f>IF(AB1376="","",ROUND(N(W1376)*N(J1376)*(1-N(K1376)),2))</f>
        <v/>
      </c>
      <c r="AI1376" s="70" t="str">
        <f>IF(OR(J1376="",N(T1376)&lt;=0,V1376="Oui"),"",ROUND(N(T1376)*J1376*(1-N(K1376)),2))</f>
        <v/>
      </c>
    </row>
    <row r="1377">
      <c r="A1377" s="63" t="n"/>
      <c r="B1377" s="64" t="n"/>
      <c r="C1377" s="65" t="n"/>
      <c r="D1377" s="66" t="str">
        <f>IF(C1377="","",IFERROR(INDEX(sup_name,MATCH($C1377,sup_code,0))&amp;"","Fournisseur inconnu"))</f>
        <v/>
      </c>
      <c r="E1377" s="63" t="n"/>
      <c r="F1377" s="66" t="str">
        <f>IF(E1377="","",IFERROR(INDEX(art_des,MATCH($E1377,art_ref,0))&amp;"","Article inconnu"))</f>
        <v/>
      </c>
      <c r="G1377" s="67" t="str">
        <f>IF(E1377="","",IFERROR(INDEX(art_unit,MATCH($E1377,art_ref,0))&amp;"",""))</f>
        <v/>
      </c>
      <c r="H1377" s="68" t="n"/>
      <c r="I1377" s="69" t="n"/>
      <c r="J1377" s="70" t="str">
        <f>IF(E1377="","",IF(ISNUMBER(I1377),I1377,IFERROR(IF(ISNUMBER(INDEX(art_price,MATCH($E1377,art_ref,0))),INDEX(art_price,MATCH($E1377,art_ref,0)),""),"")))</f>
        <v/>
      </c>
      <c r="K1377" s="71" t="n"/>
      <c r="L1377" s="72" t="n"/>
      <c r="M1377" s="72" t="str">
        <f>IF(E1377="","",IF(L1377&lt;&gt;"",L1377,IFERROR(IF(ISNUMBER(INDEX(art_tva,MATCH($E1377,art_ref,0))),INDEX(art_tva,MATCH($E1377,art_ref,0)),""),"")))</f>
        <v/>
      </c>
      <c r="N1377" s="70" t="str">
        <f>IF(OR(E1377="",J1377=""),"",ROUND(N(H1377)*J1377*(1-N(K1377)),2))</f>
        <v/>
      </c>
      <c r="O1377" s="70" t="str">
        <f>IF(OR(N1377="",NOT(ISNUMBER(M1377))),"",ROUND(N1377*M1377,2))</f>
        <v/>
      </c>
      <c r="P1377" s="70" t="str">
        <f>IF(N1377="","",N1377+N(O1377))</f>
        <v/>
      </c>
      <c r="Q1377" s="64" t="n"/>
      <c r="R1377" s="73" t="str">
        <f>IF(N(Q1377)&gt;0,Q1377,IF(OR(N(B1377)=0,ISNA(MATCH($C1377,sup_code,0))),"",IF(ISNUMBER(INDEX(sup_delay,MATCH($C1377,sup_code,0))),B1377+INDEX(sup_delay,MATCH($C1377,sup_code,0)),"")))</f>
        <v/>
      </c>
      <c r="S1377" s="64" t="n"/>
      <c r="T1377" s="68" t="n"/>
      <c r="U1377" s="64" t="n"/>
      <c r="V1377" s="65" t="n"/>
      <c r="W1377" s="74" t="str">
        <f>IF(AND(A1377="",E1377=""),"",IF(V1377="Oui",0,MAX(0,ROUND(N(H1377)-N(T1377),6))))</f>
        <v/>
      </c>
      <c r="X1377" s="67" t="str">
        <f>IF(AND(A1377="",E1377=""),"",IF(V1377="Oui","Annulé",IF(AND(N(H1377)&gt;0,N(T1377)&gt;=N(H1377)),"Reçu",IF(N(S1377)=0,"Brouillon",IF(AND(ISNUMBER(R1377),R1377&lt;p_today),"En retard",IF(N(T1377)&gt;0,"Partiel","Envoyé"))))))</f>
        <v/>
      </c>
      <c r="Y1377" s="75" t="str">
        <f>IF(X1377="En retard",p_today-R1377,IF(AND(X1377="Reçu",ISNUMBER(R1377)),MAX(0,N(U1377)-R1377),""))</f>
        <v/>
      </c>
      <c r="Z1377" s="67" t="str">
        <f>IF(AND(A1377="",E1377=""),"",IF(A1377="","N° de bon manquant",IF(N(B1377)=0,"Date de commande manquante",IF(C1377="","Fournisseur manquant",IF(ISNA(MATCH($C1377,sup_code,0)),"Fournisseur inconnu",IF(E1377="","Article manquant",IF(ISNA(MATCH($E1377,art_ref,0)),"Article inconnu",IF(N(H1377)&lt;=0,"Quantité invalide",IF(J1377="","Prix manquant",IF(OR(N(K1377)&lt;0,N(K1377)&gt;=1),"Remise invalide",IF(M1377="","TVA manquante",IF(ISNA(MATCH(M1377,p_tva,0)),"Taux de TVA inconnu",IF(COUNTIFS(po_num,A1377,po_sup,"&lt;&gt;"&amp;C1377)&gt;0,"Fournisseur différent sur ce bon",IF(COUNTIFS(po_num,A1377,po_date,"&lt;&gt;"&amp;B1377)&gt;0,"Date différente sur ce bon",IF(COUNTIF(po_num,A1377)&gt;25,"Plus de 25 lignes sur ce bon",IF(R1377="","Date de livraison manquante",IF(R1377&lt;B1377,"Livraison avant la commande",IF(AND(N(T1377)&gt;0,N(S1377)=0),"Date d'envoi manquante",IF(N(T1377)&gt;N(H1377),"Reçu plus que commandé",IF(AND(N(T1377)&gt;0,N(U1377)=0),"Date de réception manquante",IF(AND(N(U1377)&gt;0,U1377&lt;B1377),"Réception avant la commande","OK")))))))))))))))))))))</f>
        <v/>
      </c>
      <c r="AA1377" s="66" t="str">
        <f>IF(AND(X1377="Reçu",ISNUMBER(R1377)),IF(N(U1377)&lt;=R1377,1,0),"")</f>
        <v/>
      </c>
      <c r="AB1377" s="76" t="str">
        <f>IF(OR(X1377="Envoyé",X1377="Partiel",X1377="En retard"),IF(ISNUMBER(R1377),R1377,100000)+ROW()/100000,"")</f>
        <v/>
      </c>
      <c r="AC1377" s="66" t="str">
        <f>IF(A1377="","",IF(COUNTIF($A$6:A1377,A1377)=1,1,""))</f>
        <v/>
      </c>
      <c r="AD1377" s="66" t="str">
        <f>IF(AC1377=1,COUNT($AC$6:AC1377),"")</f>
        <v/>
      </c>
      <c r="AE1377" s="66" t="str">
        <f>IFERROR(INDEX(po_num,MATCH(1372,po_seq,0))&amp;"","")</f>
        <v/>
      </c>
      <c r="AF1377" s="66" t="str">
        <f>IF(OR(A1377="",p_po=""),"",IF(A1377&amp;""=p_po,COUNTIF($A$6:A1377,A1377),""))</f>
        <v/>
      </c>
      <c r="AG1377" s="66" t="str">
        <f>IF(OR(AB1377="",A1377=""),"",IF(COUNTIFS($A$6:A1377,A1377,$AB$6:AB1377,"&gt;0")=1,1,""))</f>
        <v/>
      </c>
      <c r="AH1377" s="70" t="str">
        <f>IF(AB1377="","",ROUND(N(W1377)*N(J1377)*(1-N(K1377)),2))</f>
        <v/>
      </c>
      <c r="AI1377" s="70" t="str">
        <f>IF(OR(J1377="",N(T1377)&lt;=0,V1377="Oui"),"",ROUND(N(T1377)*J1377*(1-N(K1377)),2))</f>
        <v/>
      </c>
    </row>
    <row r="1378">
      <c r="A1378" s="63" t="n"/>
      <c r="B1378" s="64" t="n"/>
      <c r="C1378" s="65" t="n"/>
      <c r="D1378" s="66" t="str">
        <f>IF(C1378="","",IFERROR(INDEX(sup_name,MATCH($C1378,sup_code,0))&amp;"","Fournisseur inconnu"))</f>
        <v/>
      </c>
      <c r="E1378" s="63" t="n"/>
      <c r="F1378" s="66" t="str">
        <f>IF(E1378="","",IFERROR(INDEX(art_des,MATCH($E1378,art_ref,0))&amp;"","Article inconnu"))</f>
        <v/>
      </c>
      <c r="G1378" s="67" t="str">
        <f>IF(E1378="","",IFERROR(INDEX(art_unit,MATCH($E1378,art_ref,0))&amp;"",""))</f>
        <v/>
      </c>
      <c r="H1378" s="68" t="n"/>
      <c r="I1378" s="69" t="n"/>
      <c r="J1378" s="70" t="str">
        <f>IF(E1378="","",IF(ISNUMBER(I1378),I1378,IFERROR(IF(ISNUMBER(INDEX(art_price,MATCH($E1378,art_ref,0))),INDEX(art_price,MATCH($E1378,art_ref,0)),""),"")))</f>
        <v/>
      </c>
      <c r="K1378" s="71" t="n"/>
      <c r="L1378" s="72" t="n"/>
      <c r="M1378" s="72" t="str">
        <f>IF(E1378="","",IF(L1378&lt;&gt;"",L1378,IFERROR(IF(ISNUMBER(INDEX(art_tva,MATCH($E1378,art_ref,0))),INDEX(art_tva,MATCH($E1378,art_ref,0)),""),"")))</f>
        <v/>
      </c>
      <c r="N1378" s="70" t="str">
        <f>IF(OR(E1378="",J1378=""),"",ROUND(N(H1378)*J1378*(1-N(K1378)),2))</f>
        <v/>
      </c>
      <c r="O1378" s="70" t="str">
        <f>IF(OR(N1378="",NOT(ISNUMBER(M1378))),"",ROUND(N1378*M1378,2))</f>
        <v/>
      </c>
      <c r="P1378" s="70" t="str">
        <f>IF(N1378="","",N1378+N(O1378))</f>
        <v/>
      </c>
      <c r="Q1378" s="64" t="n"/>
      <c r="R1378" s="73" t="str">
        <f>IF(N(Q1378)&gt;0,Q1378,IF(OR(N(B1378)=0,ISNA(MATCH($C1378,sup_code,0))),"",IF(ISNUMBER(INDEX(sup_delay,MATCH($C1378,sup_code,0))),B1378+INDEX(sup_delay,MATCH($C1378,sup_code,0)),"")))</f>
        <v/>
      </c>
      <c r="S1378" s="64" t="n"/>
      <c r="T1378" s="68" t="n"/>
      <c r="U1378" s="64" t="n"/>
      <c r="V1378" s="65" t="n"/>
      <c r="W1378" s="74" t="str">
        <f>IF(AND(A1378="",E1378=""),"",IF(V1378="Oui",0,MAX(0,ROUND(N(H1378)-N(T1378),6))))</f>
        <v/>
      </c>
      <c r="X1378" s="67" t="str">
        <f>IF(AND(A1378="",E1378=""),"",IF(V1378="Oui","Annulé",IF(AND(N(H1378)&gt;0,N(T1378)&gt;=N(H1378)),"Reçu",IF(N(S1378)=0,"Brouillon",IF(AND(ISNUMBER(R1378),R1378&lt;p_today),"En retard",IF(N(T1378)&gt;0,"Partiel","Envoyé"))))))</f>
        <v/>
      </c>
      <c r="Y1378" s="75" t="str">
        <f>IF(X1378="En retard",p_today-R1378,IF(AND(X1378="Reçu",ISNUMBER(R1378)),MAX(0,N(U1378)-R1378),""))</f>
        <v/>
      </c>
      <c r="Z1378" s="67" t="str">
        <f>IF(AND(A1378="",E1378=""),"",IF(A1378="","N° de bon manquant",IF(N(B1378)=0,"Date de commande manquante",IF(C1378="","Fournisseur manquant",IF(ISNA(MATCH($C1378,sup_code,0)),"Fournisseur inconnu",IF(E1378="","Article manquant",IF(ISNA(MATCH($E1378,art_ref,0)),"Article inconnu",IF(N(H1378)&lt;=0,"Quantité invalide",IF(J1378="","Prix manquant",IF(OR(N(K1378)&lt;0,N(K1378)&gt;=1),"Remise invalide",IF(M1378="","TVA manquante",IF(ISNA(MATCH(M1378,p_tva,0)),"Taux de TVA inconnu",IF(COUNTIFS(po_num,A1378,po_sup,"&lt;&gt;"&amp;C1378)&gt;0,"Fournisseur différent sur ce bon",IF(COUNTIFS(po_num,A1378,po_date,"&lt;&gt;"&amp;B1378)&gt;0,"Date différente sur ce bon",IF(COUNTIF(po_num,A1378)&gt;25,"Plus de 25 lignes sur ce bon",IF(R1378="","Date de livraison manquante",IF(R1378&lt;B1378,"Livraison avant la commande",IF(AND(N(T1378)&gt;0,N(S1378)=0),"Date d'envoi manquante",IF(N(T1378)&gt;N(H1378),"Reçu plus que commandé",IF(AND(N(T1378)&gt;0,N(U1378)=0),"Date de réception manquante",IF(AND(N(U1378)&gt;0,U1378&lt;B1378),"Réception avant la commande","OK")))))))))))))))))))))</f>
        <v/>
      </c>
      <c r="AA1378" s="66" t="str">
        <f>IF(AND(X1378="Reçu",ISNUMBER(R1378)),IF(N(U1378)&lt;=R1378,1,0),"")</f>
        <v/>
      </c>
      <c r="AB1378" s="76" t="str">
        <f>IF(OR(X1378="Envoyé",X1378="Partiel",X1378="En retard"),IF(ISNUMBER(R1378),R1378,100000)+ROW()/100000,"")</f>
        <v/>
      </c>
      <c r="AC1378" s="66" t="str">
        <f>IF(A1378="","",IF(COUNTIF($A$6:A1378,A1378)=1,1,""))</f>
        <v/>
      </c>
      <c r="AD1378" s="66" t="str">
        <f>IF(AC1378=1,COUNT($AC$6:AC1378),"")</f>
        <v/>
      </c>
      <c r="AE1378" s="66" t="str">
        <f>IFERROR(INDEX(po_num,MATCH(1373,po_seq,0))&amp;"","")</f>
        <v/>
      </c>
      <c r="AF1378" s="66" t="str">
        <f>IF(OR(A1378="",p_po=""),"",IF(A1378&amp;""=p_po,COUNTIF($A$6:A1378,A1378),""))</f>
        <v/>
      </c>
      <c r="AG1378" s="66" t="str">
        <f>IF(OR(AB1378="",A1378=""),"",IF(COUNTIFS($A$6:A1378,A1378,$AB$6:AB1378,"&gt;0")=1,1,""))</f>
        <v/>
      </c>
      <c r="AH1378" s="70" t="str">
        <f>IF(AB1378="","",ROUND(N(W1378)*N(J1378)*(1-N(K1378)),2))</f>
        <v/>
      </c>
      <c r="AI1378" s="70" t="str">
        <f>IF(OR(J1378="",N(T1378)&lt;=0,V1378="Oui"),"",ROUND(N(T1378)*J1378*(1-N(K1378)),2))</f>
        <v/>
      </c>
    </row>
    <row r="1379">
      <c r="A1379" s="63" t="n"/>
      <c r="B1379" s="64" t="n"/>
      <c r="C1379" s="65" t="n"/>
      <c r="D1379" s="66" t="str">
        <f>IF(C1379="","",IFERROR(INDEX(sup_name,MATCH($C1379,sup_code,0))&amp;"","Fournisseur inconnu"))</f>
        <v/>
      </c>
      <c r="E1379" s="63" t="n"/>
      <c r="F1379" s="66" t="str">
        <f>IF(E1379="","",IFERROR(INDEX(art_des,MATCH($E1379,art_ref,0))&amp;"","Article inconnu"))</f>
        <v/>
      </c>
      <c r="G1379" s="67" t="str">
        <f>IF(E1379="","",IFERROR(INDEX(art_unit,MATCH($E1379,art_ref,0))&amp;"",""))</f>
        <v/>
      </c>
      <c r="H1379" s="68" t="n"/>
      <c r="I1379" s="69" t="n"/>
      <c r="J1379" s="70" t="str">
        <f>IF(E1379="","",IF(ISNUMBER(I1379),I1379,IFERROR(IF(ISNUMBER(INDEX(art_price,MATCH($E1379,art_ref,0))),INDEX(art_price,MATCH($E1379,art_ref,0)),""),"")))</f>
        <v/>
      </c>
      <c r="K1379" s="71" t="n"/>
      <c r="L1379" s="72" t="n"/>
      <c r="M1379" s="72" t="str">
        <f>IF(E1379="","",IF(L1379&lt;&gt;"",L1379,IFERROR(IF(ISNUMBER(INDEX(art_tva,MATCH($E1379,art_ref,0))),INDEX(art_tva,MATCH($E1379,art_ref,0)),""),"")))</f>
        <v/>
      </c>
      <c r="N1379" s="70" t="str">
        <f>IF(OR(E1379="",J1379=""),"",ROUND(N(H1379)*J1379*(1-N(K1379)),2))</f>
        <v/>
      </c>
      <c r="O1379" s="70" t="str">
        <f>IF(OR(N1379="",NOT(ISNUMBER(M1379))),"",ROUND(N1379*M1379,2))</f>
        <v/>
      </c>
      <c r="P1379" s="70" t="str">
        <f>IF(N1379="","",N1379+N(O1379))</f>
        <v/>
      </c>
      <c r="Q1379" s="64" t="n"/>
      <c r="R1379" s="73" t="str">
        <f>IF(N(Q1379)&gt;0,Q1379,IF(OR(N(B1379)=0,ISNA(MATCH($C1379,sup_code,0))),"",IF(ISNUMBER(INDEX(sup_delay,MATCH($C1379,sup_code,0))),B1379+INDEX(sup_delay,MATCH($C1379,sup_code,0)),"")))</f>
        <v/>
      </c>
      <c r="S1379" s="64" t="n"/>
      <c r="T1379" s="68" t="n"/>
      <c r="U1379" s="64" t="n"/>
      <c r="V1379" s="65" t="n"/>
      <c r="W1379" s="74" t="str">
        <f>IF(AND(A1379="",E1379=""),"",IF(V1379="Oui",0,MAX(0,ROUND(N(H1379)-N(T1379),6))))</f>
        <v/>
      </c>
      <c r="X1379" s="67" t="str">
        <f>IF(AND(A1379="",E1379=""),"",IF(V1379="Oui","Annulé",IF(AND(N(H1379)&gt;0,N(T1379)&gt;=N(H1379)),"Reçu",IF(N(S1379)=0,"Brouillon",IF(AND(ISNUMBER(R1379),R1379&lt;p_today),"En retard",IF(N(T1379)&gt;0,"Partiel","Envoyé"))))))</f>
        <v/>
      </c>
      <c r="Y1379" s="75" t="str">
        <f>IF(X1379="En retard",p_today-R1379,IF(AND(X1379="Reçu",ISNUMBER(R1379)),MAX(0,N(U1379)-R1379),""))</f>
        <v/>
      </c>
      <c r="Z1379" s="67" t="str">
        <f>IF(AND(A1379="",E1379=""),"",IF(A1379="","N° de bon manquant",IF(N(B1379)=0,"Date de commande manquante",IF(C1379="","Fournisseur manquant",IF(ISNA(MATCH($C1379,sup_code,0)),"Fournisseur inconnu",IF(E1379="","Article manquant",IF(ISNA(MATCH($E1379,art_ref,0)),"Article inconnu",IF(N(H1379)&lt;=0,"Quantité invalide",IF(J1379="","Prix manquant",IF(OR(N(K1379)&lt;0,N(K1379)&gt;=1),"Remise invalide",IF(M1379="","TVA manquante",IF(ISNA(MATCH(M1379,p_tva,0)),"Taux de TVA inconnu",IF(COUNTIFS(po_num,A1379,po_sup,"&lt;&gt;"&amp;C1379)&gt;0,"Fournisseur différent sur ce bon",IF(COUNTIFS(po_num,A1379,po_date,"&lt;&gt;"&amp;B1379)&gt;0,"Date différente sur ce bon",IF(COUNTIF(po_num,A1379)&gt;25,"Plus de 25 lignes sur ce bon",IF(R1379="","Date de livraison manquante",IF(R1379&lt;B1379,"Livraison avant la commande",IF(AND(N(T1379)&gt;0,N(S1379)=0),"Date d'envoi manquante",IF(N(T1379)&gt;N(H1379),"Reçu plus que commandé",IF(AND(N(T1379)&gt;0,N(U1379)=0),"Date de réception manquante",IF(AND(N(U1379)&gt;0,U1379&lt;B1379),"Réception avant la commande","OK")))))))))))))))))))))</f>
        <v/>
      </c>
      <c r="AA1379" s="66" t="str">
        <f>IF(AND(X1379="Reçu",ISNUMBER(R1379)),IF(N(U1379)&lt;=R1379,1,0),"")</f>
        <v/>
      </c>
      <c r="AB1379" s="76" t="str">
        <f>IF(OR(X1379="Envoyé",X1379="Partiel",X1379="En retard"),IF(ISNUMBER(R1379),R1379,100000)+ROW()/100000,"")</f>
        <v/>
      </c>
      <c r="AC1379" s="66" t="str">
        <f>IF(A1379="","",IF(COUNTIF($A$6:A1379,A1379)=1,1,""))</f>
        <v/>
      </c>
      <c r="AD1379" s="66" t="str">
        <f>IF(AC1379=1,COUNT($AC$6:AC1379),"")</f>
        <v/>
      </c>
      <c r="AE1379" s="66" t="str">
        <f>IFERROR(INDEX(po_num,MATCH(1374,po_seq,0))&amp;"","")</f>
        <v/>
      </c>
      <c r="AF1379" s="66" t="str">
        <f>IF(OR(A1379="",p_po=""),"",IF(A1379&amp;""=p_po,COUNTIF($A$6:A1379,A1379),""))</f>
        <v/>
      </c>
      <c r="AG1379" s="66" t="str">
        <f>IF(OR(AB1379="",A1379=""),"",IF(COUNTIFS($A$6:A1379,A1379,$AB$6:AB1379,"&gt;0")=1,1,""))</f>
        <v/>
      </c>
      <c r="AH1379" s="70" t="str">
        <f>IF(AB1379="","",ROUND(N(W1379)*N(J1379)*(1-N(K1379)),2))</f>
        <v/>
      </c>
      <c r="AI1379" s="70" t="str">
        <f>IF(OR(J1379="",N(T1379)&lt;=0,V1379="Oui"),"",ROUND(N(T1379)*J1379*(1-N(K1379)),2))</f>
        <v/>
      </c>
    </row>
    <row r="1380">
      <c r="A1380" s="63" t="n"/>
      <c r="B1380" s="64" t="n"/>
      <c r="C1380" s="65" t="n"/>
      <c r="D1380" s="66" t="str">
        <f>IF(C1380="","",IFERROR(INDEX(sup_name,MATCH($C1380,sup_code,0))&amp;"","Fournisseur inconnu"))</f>
        <v/>
      </c>
      <c r="E1380" s="63" t="n"/>
      <c r="F1380" s="66" t="str">
        <f>IF(E1380="","",IFERROR(INDEX(art_des,MATCH($E1380,art_ref,0))&amp;"","Article inconnu"))</f>
        <v/>
      </c>
      <c r="G1380" s="67" t="str">
        <f>IF(E1380="","",IFERROR(INDEX(art_unit,MATCH($E1380,art_ref,0))&amp;"",""))</f>
        <v/>
      </c>
      <c r="H1380" s="68" t="n"/>
      <c r="I1380" s="69" t="n"/>
      <c r="J1380" s="70" t="str">
        <f>IF(E1380="","",IF(ISNUMBER(I1380),I1380,IFERROR(IF(ISNUMBER(INDEX(art_price,MATCH($E1380,art_ref,0))),INDEX(art_price,MATCH($E1380,art_ref,0)),""),"")))</f>
        <v/>
      </c>
      <c r="K1380" s="71" t="n"/>
      <c r="L1380" s="72" t="n"/>
      <c r="M1380" s="72" t="str">
        <f>IF(E1380="","",IF(L1380&lt;&gt;"",L1380,IFERROR(IF(ISNUMBER(INDEX(art_tva,MATCH($E1380,art_ref,0))),INDEX(art_tva,MATCH($E1380,art_ref,0)),""),"")))</f>
        <v/>
      </c>
      <c r="N1380" s="70" t="str">
        <f>IF(OR(E1380="",J1380=""),"",ROUND(N(H1380)*J1380*(1-N(K1380)),2))</f>
        <v/>
      </c>
      <c r="O1380" s="70" t="str">
        <f>IF(OR(N1380="",NOT(ISNUMBER(M1380))),"",ROUND(N1380*M1380,2))</f>
        <v/>
      </c>
      <c r="P1380" s="70" t="str">
        <f>IF(N1380="","",N1380+N(O1380))</f>
        <v/>
      </c>
      <c r="Q1380" s="64" t="n"/>
      <c r="R1380" s="73" t="str">
        <f>IF(N(Q1380)&gt;0,Q1380,IF(OR(N(B1380)=0,ISNA(MATCH($C1380,sup_code,0))),"",IF(ISNUMBER(INDEX(sup_delay,MATCH($C1380,sup_code,0))),B1380+INDEX(sup_delay,MATCH($C1380,sup_code,0)),"")))</f>
        <v/>
      </c>
      <c r="S1380" s="64" t="n"/>
      <c r="T1380" s="68" t="n"/>
      <c r="U1380" s="64" t="n"/>
      <c r="V1380" s="65" t="n"/>
      <c r="W1380" s="74" t="str">
        <f>IF(AND(A1380="",E1380=""),"",IF(V1380="Oui",0,MAX(0,ROUND(N(H1380)-N(T1380),6))))</f>
        <v/>
      </c>
      <c r="X1380" s="67" t="str">
        <f>IF(AND(A1380="",E1380=""),"",IF(V1380="Oui","Annulé",IF(AND(N(H1380)&gt;0,N(T1380)&gt;=N(H1380)),"Reçu",IF(N(S1380)=0,"Brouillon",IF(AND(ISNUMBER(R1380),R1380&lt;p_today),"En retard",IF(N(T1380)&gt;0,"Partiel","Envoyé"))))))</f>
        <v/>
      </c>
      <c r="Y1380" s="75" t="str">
        <f>IF(X1380="En retard",p_today-R1380,IF(AND(X1380="Reçu",ISNUMBER(R1380)),MAX(0,N(U1380)-R1380),""))</f>
        <v/>
      </c>
      <c r="Z1380" s="67" t="str">
        <f>IF(AND(A1380="",E1380=""),"",IF(A1380="","N° de bon manquant",IF(N(B1380)=0,"Date de commande manquante",IF(C1380="","Fournisseur manquant",IF(ISNA(MATCH($C1380,sup_code,0)),"Fournisseur inconnu",IF(E1380="","Article manquant",IF(ISNA(MATCH($E1380,art_ref,0)),"Article inconnu",IF(N(H1380)&lt;=0,"Quantité invalide",IF(J1380="","Prix manquant",IF(OR(N(K1380)&lt;0,N(K1380)&gt;=1),"Remise invalide",IF(M1380="","TVA manquante",IF(ISNA(MATCH(M1380,p_tva,0)),"Taux de TVA inconnu",IF(COUNTIFS(po_num,A1380,po_sup,"&lt;&gt;"&amp;C1380)&gt;0,"Fournisseur différent sur ce bon",IF(COUNTIFS(po_num,A1380,po_date,"&lt;&gt;"&amp;B1380)&gt;0,"Date différente sur ce bon",IF(COUNTIF(po_num,A1380)&gt;25,"Plus de 25 lignes sur ce bon",IF(R1380="","Date de livraison manquante",IF(R1380&lt;B1380,"Livraison avant la commande",IF(AND(N(T1380)&gt;0,N(S1380)=0),"Date d'envoi manquante",IF(N(T1380)&gt;N(H1380),"Reçu plus que commandé",IF(AND(N(T1380)&gt;0,N(U1380)=0),"Date de réception manquante",IF(AND(N(U1380)&gt;0,U1380&lt;B1380),"Réception avant la commande","OK")))))))))))))))))))))</f>
        <v/>
      </c>
      <c r="AA1380" s="66" t="str">
        <f>IF(AND(X1380="Reçu",ISNUMBER(R1380)),IF(N(U1380)&lt;=R1380,1,0),"")</f>
        <v/>
      </c>
      <c r="AB1380" s="76" t="str">
        <f>IF(OR(X1380="Envoyé",X1380="Partiel",X1380="En retard"),IF(ISNUMBER(R1380),R1380,100000)+ROW()/100000,"")</f>
        <v/>
      </c>
      <c r="AC1380" s="66" t="str">
        <f>IF(A1380="","",IF(COUNTIF($A$6:A1380,A1380)=1,1,""))</f>
        <v/>
      </c>
      <c r="AD1380" s="66" t="str">
        <f>IF(AC1380=1,COUNT($AC$6:AC1380),"")</f>
        <v/>
      </c>
      <c r="AE1380" s="66" t="str">
        <f>IFERROR(INDEX(po_num,MATCH(1375,po_seq,0))&amp;"","")</f>
        <v/>
      </c>
      <c r="AF1380" s="66" t="str">
        <f>IF(OR(A1380="",p_po=""),"",IF(A1380&amp;""=p_po,COUNTIF($A$6:A1380,A1380),""))</f>
        <v/>
      </c>
      <c r="AG1380" s="66" t="str">
        <f>IF(OR(AB1380="",A1380=""),"",IF(COUNTIFS($A$6:A1380,A1380,$AB$6:AB1380,"&gt;0")=1,1,""))</f>
        <v/>
      </c>
      <c r="AH1380" s="70" t="str">
        <f>IF(AB1380="","",ROUND(N(W1380)*N(J1380)*(1-N(K1380)),2))</f>
        <v/>
      </c>
      <c r="AI1380" s="70" t="str">
        <f>IF(OR(J1380="",N(T1380)&lt;=0,V1380="Oui"),"",ROUND(N(T1380)*J1380*(1-N(K1380)),2))</f>
        <v/>
      </c>
    </row>
    <row r="1381">
      <c r="A1381" s="63" t="n"/>
      <c r="B1381" s="64" t="n"/>
      <c r="C1381" s="65" t="n"/>
      <c r="D1381" s="66" t="str">
        <f>IF(C1381="","",IFERROR(INDEX(sup_name,MATCH($C1381,sup_code,0))&amp;"","Fournisseur inconnu"))</f>
        <v/>
      </c>
      <c r="E1381" s="63" t="n"/>
      <c r="F1381" s="66" t="str">
        <f>IF(E1381="","",IFERROR(INDEX(art_des,MATCH($E1381,art_ref,0))&amp;"","Article inconnu"))</f>
        <v/>
      </c>
      <c r="G1381" s="67" t="str">
        <f>IF(E1381="","",IFERROR(INDEX(art_unit,MATCH($E1381,art_ref,0))&amp;"",""))</f>
        <v/>
      </c>
      <c r="H1381" s="68" t="n"/>
      <c r="I1381" s="69" t="n"/>
      <c r="J1381" s="70" t="str">
        <f>IF(E1381="","",IF(ISNUMBER(I1381),I1381,IFERROR(IF(ISNUMBER(INDEX(art_price,MATCH($E1381,art_ref,0))),INDEX(art_price,MATCH($E1381,art_ref,0)),""),"")))</f>
        <v/>
      </c>
      <c r="K1381" s="71" t="n"/>
      <c r="L1381" s="72" t="n"/>
      <c r="M1381" s="72" t="str">
        <f>IF(E1381="","",IF(L1381&lt;&gt;"",L1381,IFERROR(IF(ISNUMBER(INDEX(art_tva,MATCH($E1381,art_ref,0))),INDEX(art_tva,MATCH($E1381,art_ref,0)),""),"")))</f>
        <v/>
      </c>
      <c r="N1381" s="70" t="str">
        <f>IF(OR(E1381="",J1381=""),"",ROUND(N(H1381)*J1381*(1-N(K1381)),2))</f>
        <v/>
      </c>
      <c r="O1381" s="70" t="str">
        <f>IF(OR(N1381="",NOT(ISNUMBER(M1381))),"",ROUND(N1381*M1381,2))</f>
        <v/>
      </c>
      <c r="P1381" s="70" t="str">
        <f>IF(N1381="","",N1381+N(O1381))</f>
        <v/>
      </c>
      <c r="Q1381" s="64" t="n"/>
      <c r="R1381" s="73" t="str">
        <f>IF(N(Q1381)&gt;0,Q1381,IF(OR(N(B1381)=0,ISNA(MATCH($C1381,sup_code,0))),"",IF(ISNUMBER(INDEX(sup_delay,MATCH($C1381,sup_code,0))),B1381+INDEX(sup_delay,MATCH($C1381,sup_code,0)),"")))</f>
        <v/>
      </c>
      <c r="S1381" s="64" t="n"/>
      <c r="T1381" s="68" t="n"/>
      <c r="U1381" s="64" t="n"/>
      <c r="V1381" s="65" t="n"/>
      <c r="W1381" s="74" t="str">
        <f>IF(AND(A1381="",E1381=""),"",IF(V1381="Oui",0,MAX(0,ROUND(N(H1381)-N(T1381),6))))</f>
        <v/>
      </c>
      <c r="X1381" s="67" t="str">
        <f>IF(AND(A1381="",E1381=""),"",IF(V1381="Oui","Annulé",IF(AND(N(H1381)&gt;0,N(T1381)&gt;=N(H1381)),"Reçu",IF(N(S1381)=0,"Brouillon",IF(AND(ISNUMBER(R1381),R1381&lt;p_today),"En retard",IF(N(T1381)&gt;0,"Partiel","Envoyé"))))))</f>
        <v/>
      </c>
      <c r="Y1381" s="75" t="str">
        <f>IF(X1381="En retard",p_today-R1381,IF(AND(X1381="Reçu",ISNUMBER(R1381)),MAX(0,N(U1381)-R1381),""))</f>
        <v/>
      </c>
      <c r="Z1381" s="67" t="str">
        <f>IF(AND(A1381="",E1381=""),"",IF(A1381="","N° de bon manquant",IF(N(B1381)=0,"Date de commande manquante",IF(C1381="","Fournisseur manquant",IF(ISNA(MATCH($C1381,sup_code,0)),"Fournisseur inconnu",IF(E1381="","Article manquant",IF(ISNA(MATCH($E1381,art_ref,0)),"Article inconnu",IF(N(H1381)&lt;=0,"Quantité invalide",IF(J1381="","Prix manquant",IF(OR(N(K1381)&lt;0,N(K1381)&gt;=1),"Remise invalide",IF(M1381="","TVA manquante",IF(ISNA(MATCH(M1381,p_tva,0)),"Taux de TVA inconnu",IF(COUNTIFS(po_num,A1381,po_sup,"&lt;&gt;"&amp;C1381)&gt;0,"Fournisseur différent sur ce bon",IF(COUNTIFS(po_num,A1381,po_date,"&lt;&gt;"&amp;B1381)&gt;0,"Date différente sur ce bon",IF(COUNTIF(po_num,A1381)&gt;25,"Plus de 25 lignes sur ce bon",IF(R1381="","Date de livraison manquante",IF(R1381&lt;B1381,"Livraison avant la commande",IF(AND(N(T1381)&gt;0,N(S1381)=0),"Date d'envoi manquante",IF(N(T1381)&gt;N(H1381),"Reçu plus que commandé",IF(AND(N(T1381)&gt;0,N(U1381)=0),"Date de réception manquante",IF(AND(N(U1381)&gt;0,U1381&lt;B1381),"Réception avant la commande","OK")))))))))))))))))))))</f>
        <v/>
      </c>
      <c r="AA1381" s="66" t="str">
        <f>IF(AND(X1381="Reçu",ISNUMBER(R1381)),IF(N(U1381)&lt;=R1381,1,0),"")</f>
        <v/>
      </c>
      <c r="AB1381" s="76" t="str">
        <f>IF(OR(X1381="Envoyé",X1381="Partiel",X1381="En retard"),IF(ISNUMBER(R1381),R1381,100000)+ROW()/100000,"")</f>
        <v/>
      </c>
      <c r="AC1381" s="66" t="str">
        <f>IF(A1381="","",IF(COUNTIF($A$6:A1381,A1381)=1,1,""))</f>
        <v/>
      </c>
      <c r="AD1381" s="66" t="str">
        <f>IF(AC1381=1,COUNT($AC$6:AC1381),"")</f>
        <v/>
      </c>
      <c r="AE1381" s="66" t="str">
        <f>IFERROR(INDEX(po_num,MATCH(1376,po_seq,0))&amp;"","")</f>
        <v/>
      </c>
      <c r="AF1381" s="66" t="str">
        <f>IF(OR(A1381="",p_po=""),"",IF(A1381&amp;""=p_po,COUNTIF($A$6:A1381,A1381),""))</f>
        <v/>
      </c>
      <c r="AG1381" s="66" t="str">
        <f>IF(OR(AB1381="",A1381=""),"",IF(COUNTIFS($A$6:A1381,A1381,$AB$6:AB1381,"&gt;0")=1,1,""))</f>
        <v/>
      </c>
      <c r="AH1381" s="70" t="str">
        <f>IF(AB1381="","",ROUND(N(W1381)*N(J1381)*(1-N(K1381)),2))</f>
        <v/>
      </c>
      <c r="AI1381" s="70" t="str">
        <f>IF(OR(J1381="",N(T1381)&lt;=0,V1381="Oui"),"",ROUND(N(T1381)*J1381*(1-N(K1381)),2))</f>
        <v/>
      </c>
    </row>
    <row r="1382">
      <c r="A1382" s="63" t="n"/>
      <c r="B1382" s="64" t="n"/>
      <c r="C1382" s="65" t="n"/>
      <c r="D1382" s="66" t="str">
        <f>IF(C1382="","",IFERROR(INDEX(sup_name,MATCH($C1382,sup_code,0))&amp;"","Fournisseur inconnu"))</f>
        <v/>
      </c>
      <c r="E1382" s="63" t="n"/>
      <c r="F1382" s="66" t="str">
        <f>IF(E1382="","",IFERROR(INDEX(art_des,MATCH($E1382,art_ref,0))&amp;"","Article inconnu"))</f>
        <v/>
      </c>
      <c r="G1382" s="67" t="str">
        <f>IF(E1382="","",IFERROR(INDEX(art_unit,MATCH($E1382,art_ref,0))&amp;"",""))</f>
        <v/>
      </c>
      <c r="H1382" s="68" t="n"/>
      <c r="I1382" s="69" t="n"/>
      <c r="J1382" s="70" t="str">
        <f>IF(E1382="","",IF(ISNUMBER(I1382),I1382,IFERROR(IF(ISNUMBER(INDEX(art_price,MATCH($E1382,art_ref,0))),INDEX(art_price,MATCH($E1382,art_ref,0)),""),"")))</f>
        <v/>
      </c>
      <c r="K1382" s="71" t="n"/>
      <c r="L1382" s="72" t="n"/>
      <c r="M1382" s="72" t="str">
        <f>IF(E1382="","",IF(L1382&lt;&gt;"",L1382,IFERROR(IF(ISNUMBER(INDEX(art_tva,MATCH($E1382,art_ref,0))),INDEX(art_tva,MATCH($E1382,art_ref,0)),""),"")))</f>
        <v/>
      </c>
      <c r="N1382" s="70" t="str">
        <f>IF(OR(E1382="",J1382=""),"",ROUND(N(H1382)*J1382*(1-N(K1382)),2))</f>
        <v/>
      </c>
      <c r="O1382" s="70" t="str">
        <f>IF(OR(N1382="",NOT(ISNUMBER(M1382))),"",ROUND(N1382*M1382,2))</f>
        <v/>
      </c>
      <c r="P1382" s="70" t="str">
        <f>IF(N1382="","",N1382+N(O1382))</f>
        <v/>
      </c>
      <c r="Q1382" s="64" t="n"/>
      <c r="R1382" s="73" t="str">
        <f>IF(N(Q1382)&gt;0,Q1382,IF(OR(N(B1382)=0,ISNA(MATCH($C1382,sup_code,0))),"",IF(ISNUMBER(INDEX(sup_delay,MATCH($C1382,sup_code,0))),B1382+INDEX(sup_delay,MATCH($C1382,sup_code,0)),"")))</f>
        <v/>
      </c>
      <c r="S1382" s="64" t="n"/>
      <c r="T1382" s="68" t="n"/>
      <c r="U1382" s="64" t="n"/>
      <c r="V1382" s="65" t="n"/>
      <c r="W1382" s="74" t="str">
        <f>IF(AND(A1382="",E1382=""),"",IF(V1382="Oui",0,MAX(0,ROUND(N(H1382)-N(T1382),6))))</f>
        <v/>
      </c>
      <c r="X1382" s="67" t="str">
        <f>IF(AND(A1382="",E1382=""),"",IF(V1382="Oui","Annulé",IF(AND(N(H1382)&gt;0,N(T1382)&gt;=N(H1382)),"Reçu",IF(N(S1382)=0,"Brouillon",IF(AND(ISNUMBER(R1382),R1382&lt;p_today),"En retard",IF(N(T1382)&gt;0,"Partiel","Envoyé"))))))</f>
        <v/>
      </c>
      <c r="Y1382" s="75" t="str">
        <f>IF(X1382="En retard",p_today-R1382,IF(AND(X1382="Reçu",ISNUMBER(R1382)),MAX(0,N(U1382)-R1382),""))</f>
        <v/>
      </c>
      <c r="Z1382" s="67" t="str">
        <f>IF(AND(A1382="",E1382=""),"",IF(A1382="","N° de bon manquant",IF(N(B1382)=0,"Date de commande manquante",IF(C1382="","Fournisseur manquant",IF(ISNA(MATCH($C1382,sup_code,0)),"Fournisseur inconnu",IF(E1382="","Article manquant",IF(ISNA(MATCH($E1382,art_ref,0)),"Article inconnu",IF(N(H1382)&lt;=0,"Quantité invalide",IF(J1382="","Prix manquant",IF(OR(N(K1382)&lt;0,N(K1382)&gt;=1),"Remise invalide",IF(M1382="","TVA manquante",IF(ISNA(MATCH(M1382,p_tva,0)),"Taux de TVA inconnu",IF(COUNTIFS(po_num,A1382,po_sup,"&lt;&gt;"&amp;C1382)&gt;0,"Fournisseur différent sur ce bon",IF(COUNTIFS(po_num,A1382,po_date,"&lt;&gt;"&amp;B1382)&gt;0,"Date différente sur ce bon",IF(COUNTIF(po_num,A1382)&gt;25,"Plus de 25 lignes sur ce bon",IF(R1382="","Date de livraison manquante",IF(R1382&lt;B1382,"Livraison avant la commande",IF(AND(N(T1382)&gt;0,N(S1382)=0),"Date d'envoi manquante",IF(N(T1382)&gt;N(H1382),"Reçu plus que commandé",IF(AND(N(T1382)&gt;0,N(U1382)=0),"Date de réception manquante",IF(AND(N(U1382)&gt;0,U1382&lt;B1382),"Réception avant la commande","OK")))))))))))))))))))))</f>
        <v/>
      </c>
      <c r="AA1382" s="66" t="str">
        <f>IF(AND(X1382="Reçu",ISNUMBER(R1382)),IF(N(U1382)&lt;=R1382,1,0),"")</f>
        <v/>
      </c>
      <c r="AB1382" s="76" t="str">
        <f>IF(OR(X1382="Envoyé",X1382="Partiel",X1382="En retard"),IF(ISNUMBER(R1382),R1382,100000)+ROW()/100000,"")</f>
        <v/>
      </c>
      <c r="AC1382" s="66" t="str">
        <f>IF(A1382="","",IF(COUNTIF($A$6:A1382,A1382)=1,1,""))</f>
        <v/>
      </c>
      <c r="AD1382" s="66" t="str">
        <f>IF(AC1382=1,COUNT($AC$6:AC1382),"")</f>
        <v/>
      </c>
      <c r="AE1382" s="66" t="str">
        <f>IFERROR(INDEX(po_num,MATCH(1377,po_seq,0))&amp;"","")</f>
        <v/>
      </c>
      <c r="AF1382" s="66" t="str">
        <f>IF(OR(A1382="",p_po=""),"",IF(A1382&amp;""=p_po,COUNTIF($A$6:A1382,A1382),""))</f>
        <v/>
      </c>
      <c r="AG1382" s="66" t="str">
        <f>IF(OR(AB1382="",A1382=""),"",IF(COUNTIFS($A$6:A1382,A1382,$AB$6:AB1382,"&gt;0")=1,1,""))</f>
        <v/>
      </c>
      <c r="AH1382" s="70" t="str">
        <f>IF(AB1382="","",ROUND(N(W1382)*N(J1382)*(1-N(K1382)),2))</f>
        <v/>
      </c>
      <c r="AI1382" s="70" t="str">
        <f>IF(OR(J1382="",N(T1382)&lt;=0,V1382="Oui"),"",ROUND(N(T1382)*J1382*(1-N(K1382)),2))</f>
        <v/>
      </c>
    </row>
    <row r="1383">
      <c r="A1383" s="63" t="n"/>
      <c r="B1383" s="64" t="n"/>
      <c r="C1383" s="65" t="n"/>
      <c r="D1383" s="66" t="str">
        <f>IF(C1383="","",IFERROR(INDEX(sup_name,MATCH($C1383,sup_code,0))&amp;"","Fournisseur inconnu"))</f>
        <v/>
      </c>
      <c r="E1383" s="63" t="n"/>
      <c r="F1383" s="66" t="str">
        <f>IF(E1383="","",IFERROR(INDEX(art_des,MATCH($E1383,art_ref,0))&amp;"","Article inconnu"))</f>
        <v/>
      </c>
      <c r="G1383" s="67" t="str">
        <f>IF(E1383="","",IFERROR(INDEX(art_unit,MATCH($E1383,art_ref,0))&amp;"",""))</f>
        <v/>
      </c>
      <c r="H1383" s="68" t="n"/>
      <c r="I1383" s="69" t="n"/>
      <c r="J1383" s="70" t="str">
        <f>IF(E1383="","",IF(ISNUMBER(I1383),I1383,IFERROR(IF(ISNUMBER(INDEX(art_price,MATCH($E1383,art_ref,0))),INDEX(art_price,MATCH($E1383,art_ref,0)),""),"")))</f>
        <v/>
      </c>
      <c r="K1383" s="71" t="n"/>
      <c r="L1383" s="72" t="n"/>
      <c r="M1383" s="72" t="str">
        <f>IF(E1383="","",IF(L1383&lt;&gt;"",L1383,IFERROR(IF(ISNUMBER(INDEX(art_tva,MATCH($E1383,art_ref,0))),INDEX(art_tva,MATCH($E1383,art_ref,0)),""),"")))</f>
        <v/>
      </c>
      <c r="N1383" s="70" t="str">
        <f>IF(OR(E1383="",J1383=""),"",ROUND(N(H1383)*J1383*(1-N(K1383)),2))</f>
        <v/>
      </c>
      <c r="O1383" s="70" t="str">
        <f>IF(OR(N1383="",NOT(ISNUMBER(M1383))),"",ROUND(N1383*M1383,2))</f>
        <v/>
      </c>
      <c r="P1383" s="70" t="str">
        <f>IF(N1383="","",N1383+N(O1383))</f>
        <v/>
      </c>
      <c r="Q1383" s="64" t="n"/>
      <c r="R1383" s="73" t="str">
        <f>IF(N(Q1383)&gt;0,Q1383,IF(OR(N(B1383)=0,ISNA(MATCH($C1383,sup_code,0))),"",IF(ISNUMBER(INDEX(sup_delay,MATCH($C1383,sup_code,0))),B1383+INDEX(sup_delay,MATCH($C1383,sup_code,0)),"")))</f>
        <v/>
      </c>
      <c r="S1383" s="64" t="n"/>
      <c r="T1383" s="68" t="n"/>
      <c r="U1383" s="64" t="n"/>
      <c r="V1383" s="65" t="n"/>
      <c r="W1383" s="74" t="str">
        <f>IF(AND(A1383="",E1383=""),"",IF(V1383="Oui",0,MAX(0,ROUND(N(H1383)-N(T1383),6))))</f>
        <v/>
      </c>
      <c r="X1383" s="67" t="str">
        <f>IF(AND(A1383="",E1383=""),"",IF(V1383="Oui","Annulé",IF(AND(N(H1383)&gt;0,N(T1383)&gt;=N(H1383)),"Reçu",IF(N(S1383)=0,"Brouillon",IF(AND(ISNUMBER(R1383),R1383&lt;p_today),"En retard",IF(N(T1383)&gt;0,"Partiel","Envoyé"))))))</f>
        <v/>
      </c>
      <c r="Y1383" s="75" t="str">
        <f>IF(X1383="En retard",p_today-R1383,IF(AND(X1383="Reçu",ISNUMBER(R1383)),MAX(0,N(U1383)-R1383),""))</f>
        <v/>
      </c>
      <c r="Z1383" s="67" t="str">
        <f>IF(AND(A1383="",E1383=""),"",IF(A1383="","N° de bon manquant",IF(N(B1383)=0,"Date de commande manquante",IF(C1383="","Fournisseur manquant",IF(ISNA(MATCH($C1383,sup_code,0)),"Fournisseur inconnu",IF(E1383="","Article manquant",IF(ISNA(MATCH($E1383,art_ref,0)),"Article inconnu",IF(N(H1383)&lt;=0,"Quantité invalide",IF(J1383="","Prix manquant",IF(OR(N(K1383)&lt;0,N(K1383)&gt;=1),"Remise invalide",IF(M1383="","TVA manquante",IF(ISNA(MATCH(M1383,p_tva,0)),"Taux de TVA inconnu",IF(COUNTIFS(po_num,A1383,po_sup,"&lt;&gt;"&amp;C1383)&gt;0,"Fournisseur différent sur ce bon",IF(COUNTIFS(po_num,A1383,po_date,"&lt;&gt;"&amp;B1383)&gt;0,"Date différente sur ce bon",IF(COUNTIF(po_num,A1383)&gt;25,"Plus de 25 lignes sur ce bon",IF(R1383="","Date de livraison manquante",IF(R1383&lt;B1383,"Livraison avant la commande",IF(AND(N(T1383)&gt;0,N(S1383)=0),"Date d'envoi manquante",IF(N(T1383)&gt;N(H1383),"Reçu plus que commandé",IF(AND(N(T1383)&gt;0,N(U1383)=0),"Date de réception manquante",IF(AND(N(U1383)&gt;0,U1383&lt;B1383),"Réception avant la commande","OK")))))))))))))))))))))</f>
        <v/>
      </c>
      <c r="AA1383" s="66" t="str">
        <f>IF(AND(X1383="Reçu",ISNUMBER(R1383)),IF(N(U1383)&lt;=R1383,1,0),"")</f>
        <v/>
      </c>
      <c r="AB1383" s="76" t="str">
        <f>IF(OR(X1383="Envoyé",X1383="Partiel",X1383="En retard"),IF(ISNUMBER(R1383),R1383,100000)+ROW()/100000,"")</f>
        <v/>
      </c>
      <c r="AC1383" s="66" t="str">
        <f>IF(A1383="","",IF(COUNTIF($A$6:A1383,A1383)=1,1,""))</f>
        <v/>
      </c>
      <c r="AD1383" s="66" t="str">
        <f>IF(AC1383=1,COUNT($AC$6:AC1383),"")</f>
        <v/>
      </c>
      <c r="AE1383" s="66" t="str">
        <f>IFERROR(INDEX(po_num,MATCH(1378,po_seq,0))&amp;"","")</f>
        <v/>
      </c>
      <c r="AF1383" s="66" t="str">
        <f>IF(OR(A1383="",p_po=""),"",IF(A1383&amp;""=p_po,COUNTIF($A$6:A1383,A1383),""))</f>
        <v/>
      </c>
      <c r="AG1383" s="66" t="str">
        <f>IF(OR(AB1383="",A1383=""),"",IF(COUNTIFS($A$6:A1383,A1383,$AB$6:AB1383,"&gt;0")=1,1,""))</f>
        <v/>
      </c>
      <c r="AH1383" s="70" t="str">
        <f>IF(AB1383="","",ROUND(N(W1383)*N(J1383)*(1-N(K1383)),2))</f>
        <v/>
      </c>
      <c r="AI1383" s="70" t="str">
        <f>IF(OR(J1383="",N(T1383)&lt;=0,V1383="Oui"),"",ROUND(N(T1383)*J1383*(1-N(K1383)),2))</f>
        <v/>
      </c>
    </row>
    <row r="1384">
      <c r="A1384" s="63" t="n"/>
      <c r="B1384" s="64" t="n"/>
      <c r="C1384" s="65" t="n"/>
      <c r="D1384" s="66" t="str">
        <f>IF(C1384="","",IFERROR(INDEX(sup_name,MATCH($C1384,sup_code,0))&amp;"","Fournisseur inconnu"))</f>
        <v/>
      </c>
      <c r="E1384" s="63" t="n"/>
      <c r="F1384" s="66" t="str">
        <f>IF(E1384="","",IFERROR(INDEX(art_des,MATCH($E1384,art_ref,0))&amp;"","Article inconnu"))</f>
        <v/>
      </c>
      <c r="G1384" s="67" t="str">
        <f>IF(E1384="","",IFERROR(INDEX(art_unit,MATCH($E1384,art_ref,0))&amp;"",""))</f>
        <v/>
      </c>
      <c r="H1384" s="68" t="n"/>
      <c r="I1384" s="69" t="n"/>
      <c r="J1384" s="70" t="str">
        <f>IF(E1384="","",IF(ISNUMBER(I1384),I1384,IFERROR(IF(ISNUMBER(INDEX(art_price,MATCH($E1384,art_ref,0))),INDEX(art_price,MATCH($E1384,art_ref,0)),""),"")))</f>
        <v/>
      </c>
      <c r="K1384" s="71" t="n"/>
      <c r="L1384" s="72" t="n"/>
      <c r="M1384" s="72" t="str">
        <f>IF(E1384="","",IF(L1384&lt;&gt;"",L1384,IFERROR(IF(ISNUMBER(INDEX(art_tva,MATCH($E1384,art_ref,0))),INDEX(art_tva,MATCH($E1384,art_ref,0)),""),"")))</f>
        <v/>
      </c>
      <c r="N1384" s="70" t="str">
        <f>IF(OR(E1384="",J1384=""),"",ROUND(N(H1384)*J1384*(1-N(K1384)),2))</f>
        <v/>
      </c>
      <c r="O1384" s="70" t="str">
        <f>IF(OR(N1384="",NOT(ISNUMBER(M1384))),"",ROUND(N1384*M1384,2))</f>
        <v/>
      </c>
      <c r="P1384" s="70" t="str">
        <f>IF(N1384="","",N1384+N(O1384))</f>
        <v/>
      </c>
      <c r="Q1384" s="64" t="n"/>
      <c r="R1384" s="73" t="str">
        <f>IF(N(Q1384)&gt;0,Q1384,IF(OR(N(B1384)=0,ISNA(MATCH($C1384,sup_code,0))),"",IF(ISNUMBER(INDEX(sup_delay,MATCH($C1384,sup_code,0))),B1384+INDEX(sup_delay,MATCH($C1384,sup_code,0)),"")))</f>
        <v/>
      </c>
      <c r="S1384" s="64" t="n"/>
      <c r="T1384" s="68" t="n"/>
      <c r="U1384" s="64" t="n"/>
      <c r="V1384" s="65" t="n"/>
      <c r="W1384" s="74" t="str">
        <f>IF(AND(A1384="",E1384=""),"",IF(V1384="Oui",0,MAX(0,ROUND(N(H1384)-N(T1384),6))))</f>
        <v/>
      </c>
      <c r="X1384" s="67" t="str">
        <f>IF(AND(A1384="",E1384=""),"",IF(V1384="Oui","Annulé",IF(AND(N(H1384)&gt;0,N(T1384)&gt;=N(H1384)),"Reçu",IF(N(S1384)=0,"Brouillon",IF(AND(ISNUMBER(R1384),R1384&lt;p_today),"En retard",IF(N(T1384)&gt;0,"Partiel","Envoyé"))))))</f>
        <v/>
      </c>
      <c r="Y1384" s="75" t="str">
        <f>IF(X1384="En retard",p_today-R1384,IF(AND(X1384="Reçu",ISNUMBER(R1384)),MAX(0,N(U1384)-R1384),""))</f>
        <v/>
      </c>
      <c r="Z1384" s="67" t="str">
        <f>IF(AND(A1384="",E1384=""),"",IF(A1384="","N° de bon manquant",IF(N(B1384)=0,"Date de commande manquante",IF(C1384="","Fournisseur manquant",IF(ISNA(MATCH($C1384,sup_code,0)),"Fournisseur inconnu",IF(E1384="","Article manquant",IF(ISNA(MATCH($E1384,art_ref,0)),"Article inconnu",IF(N(H1384)&lt;=0,"Quantité invalide",IF(J1384="","Prix manquant",IF(OR(N(K1384)&lt;0,N(K1384)&gt;=1),"Remise invalide",IF(M1384="","TVA manquante",IF(ISNA(MATCH(M1384,p_tva,0)),"Taux de TVA inconnu",IF(COUNTIFS(po_num,A1384,po_sup,"&lt;&gt;"&amp;C1384)&gt;0,"Fournisseur différent sur ce bon",IF(COUNTIFS(po_num,A1384,po_date,"&lt;&gt;"&amp;B1384)&gt;0,"Date différente sur ce bon",IF(COUNTIF(po_num,A1384)&gt;25,"Plus de 25 lignes sur ce bon",IF(R1384="","Date de livraison manquante",IF(R1384&lt;B1384,"Livraison avant la commande",IF(AND(N(T1384)&gt;0,N(S1384)=0),"Date d'envoi manquante",IF(N(T1384)&gt;N(H1384),"Reçu plus que commandé",IF(AND(N(T1384)&gt;0,N(U1384)=0),"Date de réception manquante",IF(AND(N(U1384)&gt;0,U1384&lt;B1384),"Réception avant la commande","OK")))))))))))))))))))))</f>
        <v/>
      </c>
      <c r="AA1384" s="66" t="str">
        <f>IF(AND(X1384="Reçu",ISNUMBER(R1384)),IF(N(U1384)&lt;=R1384,1,0),"")</f>
        <v/>
      </c>
      <c r="AB1384" s="76" t="str">
        <f>IF(OR(X1384="Envoyé",X1384="Partiel",X1384="En retard"),IF(ISNUMBER(R1384),R1384,100000)+ROW()/100000,"")</f>
        <v/>
      </c>
      <c r="AC1384" s="66" t="str">
        <f>IF(A1384="","",IF(COUNTIF($A$6:A1384,A1384)=1,1,""))</f>
        <v/>
      </c>
      <c r="AD1384" s="66" t="str">
        <f>IF(AC1384=1,COUNT($AC$6:AC1384),"")</f>
        <v/>
      </c>
      <c r="AE1384" s="66" t="str">
        <f>IFERROR(INDEX(po_num,MATCH(1379,po_seq,0))&amp;"","")</f>
        <v/>
      </c>
      <c r="AF1384" s="66" t="str">
        <f>IF(OR(A1384="",p_po=""),"",IF(A1384&amp;""=p_po,COUNTIF($A$6:A1384,A1384),""))</f>
        <v/>
      </c>
      <c r="AG1384" s="66" t="str">
        <f>IF(OR(AB1384="",A1384=""),"",IF(COUNTIFS($A$6:A1384,A1384,$AB$6:AB1384,"&gt;0")=1,1,""))</f>
        <v/>
      </c>
      <c r="AH1384" s="70" t="str">
        <f>IF(AB1384="","",ROUND(N(W1384)*N(J1384)*(1-N(K1384)),2))</f>
        <v/>
      </c>
      <c r="AI1384" s="70" t="str">
        <f>IF(OR(J1384="",N(T1384)&lt;=0,V1384="Oui"),"",ROUND(N(T1384)*J1384*(1-N(K1384)),2))</f>
        <v/>
      </c>
    </row>
    <row r="1385">
      <c r="A1385" s="63" t="n"/>
      <c r="B1385" s="64" t="n"/>
      <c r="C1385" s="65" t="n"/>
      <c r="D1385" s="66" t="str">
        <f>IF(C1385="","",IFERROR(INDEX(sup_name,MATCH($C1385,sup_code,0))&amp;"","Fournisseur inconnu"))</f>
        <v/>
      </c>
      <c r="E1385" s="63" t="n"/>
      <c r="F1385" s="66" t="str">
        <f>IF(E1385="","",IFERROR(INDEX(art_des,MATCH($E1385,art_ref,0))&amp;"","Article inconnu"))</f>
        <v/>
      </c>
      <c r="G1385" s="67" t="str">
        <f>IF(E1385="","",IFERROR(INDEX(art_unit,MATCH($E1385,art_ref,0))&amp;"",""))</f>
        <v/>
      </c>
      <c r="H1385" s="68" t="n"/>
      <c r="I1385" s="69" t="n"/>
      <c r="J1385" s="70" t="str">
        <f>IF(E1385="","",IF(ISNUMBER(I1385),I1385,IFERROR(IF(ISNUMBER(INDEX(art_price,MATCH($E1385,art_ref,0))),INDEX(art_price,MATCH($E1385,art_ref,0)),""),"")))</f>
        <v/>
      </c>
      <c r="K1385" s="71" t="n"/>
      <c r="L1385" s="72" t="n"/>
      <c r="M1385" s="72" t="str">
        <f>IF(E1385="","",IF(L1385&lt;&gt;"",L1385,IFERROR(IF(ISNUMBER(INDEX(art_tva,MATCH($E1385,art_ref,0))),INDEX(art_tva,MATCH($E1385,art_ref,0)),""),"")))</f>
        <v/>
      </c>
      <c r="N1385" s="70" t="str">
        <f>IF(OR(E1385="",J1385=""),"",ROUND(N(H1385)*J1385*(1-N(K1385)),2))</f>
        <v/>
      </c>
      <c r="O1385" s="70" t="str">
        <f>IF(OR(N1385="",NOT(ISNUMBER(M1385))),"",ROUND(N1385*M1385,2))</f>
        <v/>
      </c>
      <c r="P1385" s="70" t="str">
        <f>IF(N1385="","",N1385+N(O1385))</f>
        <v/>
      </c>
      <c r="Q1385" s="64" t="n"/>
      <c r="R1385" s="73" t="str">
        <f>IF(N(Q1385)&gt;0,Q1385,IF(OR(N(B1385)=0,ISNA(MATCH($C1385,sup_code,0))),"",IF(ISNUMBER(INDEX(sup_delay,MATCH($C1385,sup_code,0))),B1385+INDEX(sup_delay,MATCH($C1385,sup_code,0)),"")))</f>
        <v/>
      </c>
      <c r="S1385" s="64" t="n"/>
      <c r="T1385" s="68" t="n"/>
      <c r="U1385" s="64" t="n"/>
      <c r="V1385" s="65" t="n"/>
      <c r="W1385" s="74" t="str">
        <f>IF(AND(A1385="",E1385=""),"",IF(V1385="Oui",0,MAX(0,ROUND(N(H1385)-N(T1385),6))))</f>
        <v/>
      </c>
      <c r="X1385" s="67" t="str">
        <f>IF(AND(A1385="",E1385=""),"",IF(V1385="Oui","Annulé",IF(AND(N(H1385)&gt;0,N(T1385)&gt;=N(H1385)),"Reçu",IF(N(S1385)=0,"Brouillon",IF(AND(ISNUMBER(R1385),R1385&lt;p_today),"En retard",IF(N(T1385)&gt;0,"Partiel","Envoyé"))))))</f>
        <v/>
      </c>
      <c r="Y1385" s="75" t="str">
        <f>IF(X1385="En retard",p_today-R1385,IF(AND(X1385="Reçu",ISNUMBER(R1385)),MAX(0,N(U1385)-R1385),""))</f>
        <v/>
      </c>
      <c r="Z1385" s="67" t="str">
        <f>IF(AND(A1385="",E1385=""),"",IF(A1385="","N° de bon manquant",IF(N(B1385)=0,"Date de commande manquante",IF(C1385="","Fournisseur manquant",IF(ISNA(MATCH($C1385,sup_code,0)),"Fournisseur inconnu",IF(E1385="","Article manquant",IF(ISNA(MATCH($E1385,art_ref,0)),"Article inconnu",IF(N(H1385)&lt;=0,"Quantité invalide",IF(J1385="","Prix manquant",IF(OR(N(K1385)&lt;0,N(K1385)&gt;=1),"Remise invalide",IF(M1385="","TVA manquante",IF(ISNA(MATCH(M1385,p_tva,0)),"Taux de TVA inconnu",IF(COUNTIFS(po_num,A1385,po_sup,"&lt;&gt;"&amp;C1385)&gt;0,"Fournisseur différent sur ce bon",IF(COUNTIFS(po_num,A1385,po_date,"&lt;&gt;"&amp;B1385)&gt;0,"Date différente sur ce bon",IF(COUNTIF(po_num,A1385)&gt;25,"Plus de 25 lignes sur ce bon",IF(R1385="","Date de livraison manquante",IF(R1385&lt;B1385,"Livraison avant la commande",IF(AND(N(T1385)&gt;0,N(S1385)=0),"Date d'envoi manquante",IF(N(T1385)&gt;N(H1385),"Reçu plus que commandé",IF(AND(N(T1385)&gt;0,N(U1385)=0),"Date de réception manquante",IF(AND(N(U1385)&gt;0,U1385&lt;B1385),"Réception avant la commande","OK")))))))))))))))))))))</f>
        <v/>
      </c>
      <c r="AA1385" s="66" t="str">
        <f>IF(AND(X1385="Reçu",ISNUMBER(R1385)),IF(N(U1385)&lt;=R1385,1,0),"")</f>
        <v/>
      </c>
      <c r="AB1385" s="76" t="str">
        <f>IF(OR(X1385="Envoyé",X1385="Partiel",X1385="En retard"),IF(ISNUMBER(R1385),R1385,100000)+ROW()/100000,"")</f>
        <v/>
      </c>
      <c r="AC1385" s="66" t="str">
        <f>IF(A1385="","",IF(COUNTIF($A$6:A1385,A1385)=1,1,""))</f>
        <v/>
      </c>
      <c r="AD1385" s="66" t="str">
        <f>IF(AC1385=1,COUNT($AC$6:AC1385),"")</f>
        <v/>
      </c>
      <c r="AE1385" s="66" t="str">
        <f>IFERROR(INDEX(po_num,MATCH(1380,po_seq,0))&amp;"","")</f>
        <v/>
      </c>
      <c r="AF1385" s="66" t="str">
        <f>IF(OR(A1385="",p_po=""),"",IF(A1385&amp;""=p_po,COUNTIF($A$6:A1385,A1385),""))</f>
        <v/>
      </c>
      <c r="AG1385" s="66" t="str">
        <f>IF(OR(AB1385="",A1385=""),"",IF(COUNTIFS($A$6:A1385,A1385,$AB$6:AB1385,"&gt;0")=1,1,""))</f>
        <v/>
      </c>
      <c r="AH1385" s="70" t="str">
        <f>IF(AB1385="","",ROUND(N(W1385)*N(J1385)*(1-N(K1385)),2))</f>
        <v/>
      </c>
      <c r="AI1385" s="70" t="str">
        <f>IF(OR(J1385="",N(T1385)&lt;=0,V1385="Oui"),"",ROUND(N(T1385)*J1385*(1-N(K1385)),2))</f>
        <v/>
      </c>
    </row>
    <row r="1386">
      <c r="A1386" s="63" t="n"/>
      <c r="B1386" s="64" t="n"/>
      <c r="C1386" s="65" t="n"/>
      <c r="D1386" s="66" t="str">
        <f>IF(C1386="","",IFERROR(INDEX(sup_name,MATCH($C1386,sup_code,0))&amp;"","Fournisseur inconnu"))</f>
        <v/>
      </c>
      <c r="E1386" s="63" t="n"/>
      <c r="F1386" s="66" t="str">
        <f>IF(E1386="","",IFERROR(INDEX(art_des,MATCH($E1386,art_ref,0))&amp;"","Article inconnu"))</f>
        <v/>
      </c>
      <c r="G1386" s="67" t="str">
        <f>IF(E1386="","",IFERROR(INDEX(art_unit,MATCH($E1386,art_ref,0))&amp;"",""))</f>
        <v/>
      </c>
      <c r="H1386" s="68" t="n"/>
      <c r="I1386" s="69" t="n"/>
      <c r="J1386" s="70" t="str">
        <f>IF(E1386="","",IF(ISNUMBER(I1386),I1386,IFERROR(IF(ISNUMBER(INDEX(art_price,MATCH($E1386,art_ref,0))),INDEX(art_price,MATCH($E1386,art_ref,0)),""),"")))</f>
        <v/>
      </c>
      <c r="K1386" s="71" t="n"/>
      <c r="L1386" s="72" t="n"/>
      <c r="M1386" s="72" t="str">
        <f>IF(E1386="","",IF(L1386&lt;&gt;"",L1386,IFERROR(IF(ISNUMBER(INDEX(art_tva,MATCH($E1386,art_ref,0))),INDEX(art_tva,MATCH($E1386,art_ref,0)),""),"")))</f>
        <v/>
      </c>
      <c r="N1386" s="70" t="str">
        <f>IF(OR(E1386="",J1386=""),"",ROUND(N(H1386)*J1386*(1-N(K1386)),2))</f>
        <v/>
      </c>
      <c r="O1386" s="70" t="str">
        <f>IF(OR(N1386="",NOT(ISNUMBER(M1386))),"",ROUND(N1386*M1386,2))</f>
        <v/>
      </c>
      <c r="P1386" s="70" t="str">
        <f>IF(N1386="","",N1386+N(O1386))</f>
        <v/>
      </c>
      <c r="Q1386" s="64" t="n"/>
      <c r="R1386" s="73" t="str">
        <f>IF(N(Q1386)&gt;0,Q1386,IF(OR(N(B1386)=0,ISNA(MATCH($C1386,sup_code,0))),"",IF(ISNUMBER(INDEX(sup_delay,MATCH($C1386,sup_code,0))),B1386+INDEX(sup_delay,MATCH($C1386,sup_code,0)),"")))</f>
        <v/>
      </c>
      <c r="S1386" s="64" t="n"/>
      <c r="T1386" s="68" t="n"/>
      <c r="U1386" s="64" t="n"/>
      <c r="V1386" s="65" t="n"/>
      <c r="W1386" s="74" t="str">
        <f>IF(AND(A1386="",E1386=""),"",IF(V1386="Oui",0,MAX(0,ROUND(N(H1386)-N(T1386),6))))</f>
        <v/>
      </c>
      <c r="X1386" s="67" t="str">
        <f>IF(AND(A1386="",E1386=""),"",IF(V1386="Oui","Annulé",IF(AND(N(H1386)&gt;0,N(T1386)&gt;=N(H1386)),"Reçu",IF(N(S1386)=0,"Brouillon",IF(AND(ISNUMBER(R1386),R1386&lt;p_today),"En retard",IF(N(T1386)&gt;0,"Partiel","Envoyé"))))))</f>
        <v/>
      </c>
      <c r="Y1386" s="75" t="str">
        <f>IF(X1386="En retard",p_today-R1386,IF(AND(X1386="Reçu",ISNUMBER(R1386)),MAX(0,N(U1386)-R1386),""))</f>
        <v/>
      </c>
      <c r="Z1386" s="67" t="str">
        <f>IF(AND(A1386="",E1386=""),"",IF(A1386="","N° de bon manquant",IF(N(B1386)=0,"Date de commande manquante",IF(C1386="","Fournisseur manquant",IF(ISNA(MATCH($C1386,sup_code,0)),"Fournisseur inconnu",IF(E1386="","Article manquant",IF(ISNA(MATCH($E1386,art_ref,0)),"Article inconnu",IF(N(H1386)&lt;=0,"Quantité invalide",IF(J1386="","Prix manquant",IF(OR(N(K1386)&lt;0,N(K1386)&gt;=1),"Remise invalide",IF(M1386="","TVA manquante",IF(ISNA(MATCH(M1386,p_tva,0)),"Taux de TVA inconnu",IF(COUNTIFS(po_num,A1386,po_sup,"&lt;&gt;"&amp;C1386)&gt;0,"Fournisseur différent sur ce bon",IF(COUNTIFS(po_num,A1386,po_date,"&lt;&gt;"&amp;B1386)&gt;0,"Date différente sur ce bon",IF(COUNTIF(po_num,A1386)&gt;25,"Plus de 25 lignes sur ce bon",IF(R1386="","Date de livraison manquante",IF(R1386&lt;B1386,"Livraison avant la commande",IF(AND(N(T1386)&gt;0,N(S1386)=0),"Date d'envoi manquante",IF(N(T1386)&gt;N(H1386),"Reçu plus que commandé",IF(AND(N(T1386)&gt;0,N(U1386)=0),"Date de réception manquante",IF(AND(N(U1386)&gt;0,U1386&lt;B1386),"Réception avant la commande","OK")))))))))))))))))))))</f>
        <v/>
      </c>
      <c r="AA1386" s="66" t="str">
        <f>IF(AND(X1386="Reçu",ISNUMBER(R1386)),IF(N(U1386)&lt;=R1386,1,0),"")</f>
        <v/>
      </c>
      <c r="AB1386" s="76" t="str">
        <f>IF(OR(X1386="Envoyé",X1386="Partiel",X1386="En retard"),IF(ISNUMBER(R1386),R1386,100000)+ROW()/100000,"")</f>
        <v/>
      </c>
      <c r="AC1386" s="66" t="str">
        <f>IF(A1386="","",IF(COUNTIF($A$6:A1386,A1386)=1,1,""))</f>
        <v/>
      </c>
      <c r="AD1386" s="66" t="str">
        <f>IF(AC1386=1,COUNT($AC$6:AC1386),"")</f>
        <v/>
      </c>
      <c r="AE1386" s="66" t="str">
        <f>IFERROR(INDEX(po_num,MATCH(1381,po_seq,0))&amp;"","")</f>
        <v/>
      </c>
      <c r="AF1386" s="66" t="str">
        <f>IF(OR(A1386="",p_po=""),"",IF(A1386&amp;""=p_po,COUNTIF($A$6:A1386,A1386),""))</f>
        <v/>
      </c>
      <c r="AG1386" s="66" t="str">
        <f>IF(OR(AB1386="",A1386=""),"",IF(COUNTIFS($A$6:A1386,A1386,$AB$6:AB1386,"&gt;0")=1,1,""))</f>
        <v/>
      </c>
      <c r="AH1386" s="70" t="str">
        <f>IF(AB1386="","",ROUND(N(W1386)*N(J1386)*(1-N(K1386)),2))</f>
        <v/>
      </c>
      <c r="AI1386" s="70" t="str">
        <f>IF(OR(J1386="",N(T1386)&lt;=0,V1386="Oui"),"",ROUND(N(T1386)*J1386*(1-N(K1386)),2))</f>
        <v/>
      </c>
    </row>
    <row r="1387">
      <c r="A1387" s="63" t="n"/>
      <c r="B1387" s="64" t="n"/>
      <c r="C1387" s="65" t="n"/>
      <c r="D1387" s="66" t="str">
        <f>IF(C1387="","",IFERROR(INDEX(sup_name,MATCH($C1387,sup_code,0))&amp;"","Fournisseur inconnu"))</f>
        <v/>
      </c>
      <c r="E1387" s="63" t="n"/>
      <c r="F1387" s="66" t="str">
        <f>IF(E1387="","",IFERROR(INDEX(art_des,MATCH($E1387,art_ref,0))&amp;"","Article inconnu"))</f>
        <v/>
      </c>
      <c r="G1387" s="67" t="str">
        <f>IF(E1387="","",IFERROR(INDEX(art_unit,MATCH($E1387,art_ref,0))&amp;"",""))</f>
        <v/>
      </c>
      <c r="H1387" s="68" t="n"/>
      <c r="I1387" s="69" t="n"/>
      <c r="J1387" s="70" t="str">
        <f>IF(E1387="","",IF(ISNUMBER(I1387),I1387,IFERROR(IF(ISNUMBER(INDEX(art_price,MATCH($E1387,art_ref,0))),INDEX(art_price,MATCH($E1387,art_ref,0)),""),"")))</f>
        <v/>
      </c>
      <c r="K1387" s="71" t="n"/>
      <c r="L1387" s="72" t="n"/>
      <c r="M1387" s="72" t="str">
        <f>IF(E1387="","",IF(L1387&lt;&gt;"",L1387,IFERROR(IF(ISNUMBER(INDEX(art_tva,MATCH($E1387,art_ref,0))),INDEX(art_tva,MATCH($E1387,art_ref,0)),""),"")))</f>
        <v/>
      </c>
      <c r="N1387" s="70" t="str">
        <f>IF(OR(E1387="",J1387=""),"",ROUND(N(H1387)*J1387*(1-N(K1387)),2))</f>
        <v/>
      </c>
      <c r="O1387" s="70" t="str">
        <f>IF(OR(N1387="",NOT(ISNUMBER(M1387))),"",ROUND(N1387*M1387,2))</f>
        <v/>
      </c>
      <c r="P1387" s="70" t="str">
        <f>IF(N1387="","",N1387+N(O1387))</f>
        <v/>
      </c>
      <c r="Q1387" s="64" t="n"/>
      <c r="R1387" s="73" t="str">
        <f>IF(N(Q1387)&gt;0,Q1387,IF(OR(N(B1387)=0,ISNA(MATCH($C1387,sup_code,0))),"",IF(ISNUMBER(INDEX(sup_delay,MATCH($C1387,sup_code,0))),B1387+INDEX(sup_delay,MATCH($C1387,sup_code,0)),"")))</f>
        <v/>
      </c>
      <c r="S1387" s="64" t="n"/>
      <c r="T1387" s="68" t="n"/>
      <c r="U1387" s="64" t="n"/>
      <c r="V1387" s="65" t="n"/>
      <c r="W1387" s="74" t="str">
        <f>IF(AND(A1387="",E1387=""),"",IF(V1387="Oui",0,MAX(0,ROUND(N(H1387)-N(T1387),6))))</f>
        <v/>
      </c>
      <c r="X1387" s="67" t="str">
        <f>IF(AND(A1387="",E1387=""),"",IF(V1387="Oui","Annulé",IF(AND(N(H1387)&gt;0,N(T1387)&gt;=N(H1387)),"Reçu",IF(N(S1387)=0,"Brouillon",IF(AND(ISNUMBER(R1387),R1387&lt;p_today),"En retard",IF(N(T1387)&gt;0,"Partiel","Envoyé"))))))</f>
        <v/>
      </c>
      <c r="Y1387" s="75" t="str">
        <f>IF(X1387="En retard",p_today-R1387,IF(AND(X1387="Reçu",ISNUMBER(R1387)),MAX(0,N(U1387)-R1387),""))</f>
        <v/>
      </c>
      <c r="Z1387" s="67" t="str">
        <f>IF(AND(A1387="",E1387=""),"",IF(A1387="","N° de bon manquant",IF(N(B1387)=0,"Date de commande manquante",IF(C1387="","Fournisseur manquant",IF(ISNA(MATCH($C1387,sup_code,0)),"Fournisseur inconnu",IF(E1387="","Article manquant",IF(ISNA(MATCH($E1387,art_ref,0)),"Article inconnu",IF(N(H1387)&lt;=0,"Quantité invalide",IF(J1387="","Prix manquant",IF(OR(N(K1387)&lt;0,N(K1387)&gt;=1),"Remise invalide",IF(M1387="","TVA manquante",IF(ISNA(MATCH(M1387,p_tva,0)),"Taux de TVA inconnu",IF(COUNTIFS(po_num,A1387,po_sup,"&lt;&gt;"&amp;C1387)&gt;0,"Fournisseur différent sur ce bon",IF(COUNTIFS(po_num,A1387,po_date,"&lt;&gt;"&amp;B1387)&gt;0,"Date différente sur ce bon",IF(COUNTIF(po_num,A1387)&gt;25,"Plus de 25 lignes sur ce bon",IF(R1387="","Date de livraison manquante",IF(R1387&lt;B1387,"Livraison avant la commande",IF(AND(N(T1387)&gt;0,N(S1387)=0),"Date d'envoi manquante",IF(N(T1387)&gt;N(H1387),"Reçu plus que commandé",IF(AND(N(T1387)&gt;0,N(U1387)=0),"Date de réception manquante",IF(AND(N(U1387)&gt;0,U1387&lt;B1387),"Réception avant la commande","OK")))))))))))))))))))))</f>
        <v/>
      </c>
      <c r="AA1387" s="66" t="str">
        <f>IF(AND(X1387="Reçu",ISNUMBER(R1387)),IF(N(U1387)&lt;=R1387,1,0),"")</f>
        <v/>
      </c>
      <c r="AB1387" s="76" t="str">
        <f>IF(OR(X1387="Envoyé",X1387="Partiel",X1387="En retard"),IF(ISNUMBER(R1387),R1387,100000)+ROW()/100000,"")</f>
        <v/>
      </c>
      <c r="AC1387" s="66" t="str">
        <f>IF(A1387="","",IF(COUNTIF($A$6:A1387,A1387)=1,1,""))</f>
        <v/>
      </c>
      <c r="AD1387" s="66" t="str">
        <f>IF(AC1387=1,COUNT($AC$6:AC1387),"")</f>
        <v/>
      </c>
      <c r="AE1387" s="66" t="str">
        <f>IFERROR(INDEX(po_num,MATCH(1382,po_seq,0))&amp;"","")</f>
        <v/>
      </c>
      <c r="AF1387" s="66" t="str">
        <f>IF(OR(A1387="",p_po=""),"",IF(A1387&amp;""=p_po,COUNTIF($A$6:A1387,A1387),""))</f>
        <v/>
      </c>
      <c r="AG1387" s="66" t="str">
        <f>IF(OR(AB1387="",A1387=""),"",IF(COUNTIFS($A$6:A1387,A1387,$AB$6:AB1387,"&gt;0")=1,1,""))</f>
        <v/>
      </c>
      <c r="AH1387" s="70" t="str">
        <f>IF(AB1387="","",ROUND(N(W1387)*N(J1387)*(1-N(K1387)),2))</f>
        <v/>
      </c>
      <c r="AI1387" s="70" t="str">
        <f>IF(OR(J1387="",N(T1387)&lt;=0,V1387="Oui"),"",ROUND(N(T1387)*J1387*(1-N(K1387)),2))</f>
        <v/>
      </c>
    </row>
    <row r="1388">
      <c r="A1388" s="63" t="n"/>
      <c r="B1388" s="64" t="n"/>
      <c r="C1388" s="65" t="n"/>
      <c r="D1388" s="66" t="str">
        <f>IF(C1388="","",IFERROR(INDEX(sup_name,MATCH($C1388,sup_code,0))&amp;"","Fournisseur inconnu"))</f>
        <v/>
      </c>
      <c r="E1388" s="63" t="n"/>
      <c r="F1388" s="66" t="str">
        <f>IF(E1388="","",IFERROR(INDEX(art_des,MATCH($E1388,art_ref,0))&amp;"","Article inconnu"))</f>
        <v/>
      </c>
      <c r="G1388" s="67" t="str">
        <f>IF(E1388="","",IFERROR(INDEX(art_unit,MATCH($E1388,art_ref,0))&amp;"",""))</f>
        <v/>
      </c>
      <c r="H1388" s="68" t="n"/>
      <c r="I1388" s="69" t="n"/>
      <c r="J1388" s="70" t="str">
        <f>IF(E1388="","",IF(ISNUMBER(I1388),I1388,IFERROR(IF(ISNUMBER(INDEX(art_price,MATCH($E1388,art_ref,0))),INDEX(art_price,MATCH($E1388,art_ref,0)),""),"")))</f>
        <v/>
      </c>
      <c r="K1388" s="71" t="n"/>
      <c r="L1388" s="72" t="n"/>
      <c r="M1388" s="72" t="str">
        <f>IF(E1388="","",IF(L1388&lt;&gt;"",L1388,IFERROR(IF(ISNUMBER(INDEX(art_tva,MATCH($E1388,art_ref,0))),INDEX(art_tva,MATCH($E1388,art_ref,0)),""),"")))</f>
        <v/>
      </c>
      <c r="N1388" s="70" t="str">
        <f>IF(OR(E1388="",J1388=""),"",ROUND(N(H1388)*J1388*(1-N(K1388)),2))</f>
        <v/>
      </c>
      <c r="O1388" s="70" t="str">
        <f>IF(OR(N1388="",NOT(ISNUMBER(M1388))),"",ROUND(N1388*M1388,2))</f>
        <v/>
      </c>
      <c r="P1388" s="70" t="str">
        <f>IF(N1388="","",N1388+N(O1388))</f>
        <v/>
      </c>
      <c r="Q1388" s="64" t="n"/>
      <c r="R1388" s="73" t="str">
        <f>IF(N(Q1388)&gt;0,Q1388,IF(OR(N(B1388)=0,ISNA(MATCH($C1388,sup_code,0))),"",IF(ISNUMBER(INDEX(sup_delay,MATCH($C1388,sup_code,0))),B1388+INDEX(sup_delay,MATCH($C1388,sup_code,0)),"")))</f>
        <v/>
      </c>
      <c r="S1388" s="64" t="n"/>
      <c r="T1388" s="68" t="n"/>
      <c r="U1388" s="64" t="n"/>
      <c r="V1388" s="65" t="n"/>
      <c r="W1388" s="74" t="str">
        <f>IF(AND(A1388="",E1388=""),"",IF(V1388="Oui",0,MAX(0,ROUND(N(H1388)-N(T1388),6))))</f>
        <v/>
      </c>
      <c r="X1388" s="67" t="str">
        <f>IF(AND(A1388="",E1388=""),"",IF(V1388="Oui","Annulé",IF(AND(N(H1388)&gt;0,N(T1388)&gt;=N(H1388)),"Reçu",IF(N(S1388)=0,"Brouillon",IF(AND(ISNUMBER(R1388),R1388&lt;p_today),"En retard",IF(N(T1388)&gt;0,"Partiel","Envoyé"))))))</f>
        <v/>
      </c>
      <c r="Y1388" s="75" t="str">
        <f>IF(X1388="En retard",p_today-R1388,IF(AND(X1388="Reçu",ISNUMBER(R1388)),MAX(0,N(U1388)-R1388),""))</f>
        <v/>
      </c>
      <c r="Z1388" s="67" t="str">
        <f>IF(AND(A1388="",E1388=""),"",IF(A1388="","N° de bon manquant",IF(N(B1388)=0,"Date de commande manquante",IF(C1388="","Fournisseur manquant",IF(ISNA(MATCH($C1388,sup_code,0)),"Fournisseur inconnu",IF(E1388="","Article manquant",IF(ISNA(MATCH($E1388,art_ref,0)),"Article inconnu",IF(N(H1388)&lt;=0,"Quantité invalide",IF(J1388="","Prix manquant",IF(OR(N(K1388)&lt;0,N(K1388)&gt;=1),"Remise invalide",IF(M1388="","TVA manquante",IF(ISNA(MATCH(M1388,p_tva,0)),"Taux de TVA inconnu",IF(COUNTIFS(po_num,A1388,po_sup,"&lt;&gt;"&amp;C1388)&gt;0,"Fournisseur différent sur ce bon",IF(COUNTIFS(po_num,A1388,po_date,"&lt;&gt;"&amp;B1388)&gt;0,"Date différente sur ce bon",IF(COUNTIF(po_num,A1388)&gt;25,"Plus de 25 lignes sur ce bon",IF(R1388="","Date de livraison manquante",IF(R1388&lt;B1388,"Livraison avant la commande",IF(AND(N(T1388)&gt;0,N(S1388)=0),"Date d'envoi manquante",IF(N(T1388)&gt;N(H1388),"Reçu plus que commandé",IF(AND(N(T1388)&gt;0,N(U1388)=0),"Date de réception manquante",IF(AND(N(U1388)&gt;0,U1388&lt;B1388),"Réception avant la commande","OK")))))))))))))))))))))</f>
        <v/>
      </c>
      <c r="AA1388" s="66" t="str">
        <f>IF(AND(X1388="Reçu",ISNUMBER(R1388)),IF(N(U1388)&lt;=R1388,1,0),"")</f>
        <v/>
      </c>
      <c r="AB1388" s="76" t="str">
        <f>IF(OR(X1388="Envoyé",X1388="Partiel",X1388="En retard"),IF(ISNUMBER(R1388),R1388,100000)+ROW()/100000,"")</f>
        <v/>
      </c>
      <c r="AC1388" s="66" t="str">
        <f>IF(A1388="","",IF(COUNTIF($A$6:A1388,A1388)=1,1,""))</f>
        <v/>
      </c>
      <c r="AD1388" s="66" t="str">
        <f>IF(AC1388=1,COUNT($AC$6:AC1388),"")</f>
        <v/>
      </c>
      <c r="AE1388" s="66" t="str">
        <f>IFERROR(INDEX(po_num,MATCH(1383,po_seq,0))&amp;"","")</f>
        <v/>
      </c>
      <c r="AF1388" s="66" t="str">
        <f>IF(OR(A1388="",p_po=""),"",IF(A1388&amp;""=p_po,COUNTIF($A$6:A1388,A1388),""))</f>
        <v/>
      </c>
      <c r="AG1388" s="66" t="str">
        <f>IF(OR(AB1388="",A1388=""),"",IF(COUNTIFS($A$6:A1388,A1388,$AB$6:AB1388,"&gt;0")=1,1,""))</f>
        <v/>
      </c>
      <c r="AH1388" s="70" t="str">
        <f>IF(AB1388="","",ROUND(N(W1388)*N(J1388)*(1-N(K1388)),2))</f>
        <v/>
      </c>
      <c r="AI1388" s="70" t="str">
        <f>IF(OR(J1388="",N(T1388)&lt;=0,V1388="Oui"),"",ROUND(N(T1388)*J1388*(1-N(K1388)),2))</f>
        <v/>
      </c>
    </row>
    <row r="1389">
      <c r="A1389" s="63" t="n"/>
      <c r="B1389" s="64" t="n"/>
      <c r="C1389" s="65" t="n"/>
      <c r="D1389" s="66" t="str">
        <f>IF(C1389="","",IFERROR(INDEX(sup_name,MATCH($C1389,sup_code,0))&amp;"","Fournisseur inconnu"))</f>
        <v/>
      </c>
      <c r="E1389" s="63" t="n"/>
      <c r="F1389" s="66" t="str">
        <f>IF(E1389="","",IFERROR(INDEX(art_des,MATCH($E1389,art_ref,0))&amp;"","Article inconnu"))</f>
        <v/>
      </c>
      <c r="G1389" s="67" t="str">
        <f>IF(E1389="","",IFERROR(INDEX(art_unit,MATCH($E1389,art_ref,0))&amp;"",""))</f>
        <v/>
      </c>
      <c r="H1389" s="68" t="n"/>
      <c r="I1389" s="69" t="n"/>
      <c r="J1389" s="70" t="str">
        <f>IF(E1389="","",IF(ISNUMBER(I1389),I1389,IFERROR(IF(ISNUMBER(INDEX(art_price,MATCH($E1389,art_ref,0))),INDEX(art_price,MATCH($E1389,art_ref,0)),""),"")))</f>
        <v/>
      </c>
      <c r="K1389" s="71" t="n"/>
      <c r="L1389" s="72" t="n"/>
      <c r="M1389" s="72" t="str">
        <f>IF(E1389="","",IF(L1389&lt;&gt;"",L1389,IFERROR(IF(ISNUMBER(INDEX(art_tva,MATCH($E1389,art_ref,0))),INDEX(art_tva,MATCH($E1389,art_ref,0)),""),"")))</f>
        <v/>
      </c>
      <c r="N1389" s="70" t="str">
        <f>IF(OR(E1389="",J1389=""),"",ROUND(N(H1389)*J1389*(1-N(K1389)),2))</f>
        <v/>
      </c>
      <c r="O1389" s="70" t="str">
        <f>IF(OR(N1389="",NOT(ISNUMBER(M1389))),"",ROUND(N1389*M1389,2))</f>
        <v/>
      </c>
      <c r="P1389" s="70" t="str">
        <f>IF(N1389="","",N1389+N(O1389))</f>
        <v/>
      </c>
      <c r="Q1389" s="64" t="n"/>
      <c r="R1389" s="73" t="str">
        <f>IF(N(Q1389)&gt;0,Q1389,IF(OR(N(B1389)=0,ISNA(MATCH($C1389,sup_code,0))),"",IF(ISNUMBER(INDEX(sup_delay,MATCH($C1389,sup_code,0))),B1389+INDEX(sup_delay,MATCH($C1389,sup_code,0)),"")))</f>
        <v/>
      </c>
      <c r="S1389" s="64" t="n"/>
      <c r="T1389" s="68" t="n"/>
      <c r="U1389" s="64" t="n"/>
      <c r="V1389" s="65" t="n"/>
      <c r="W1389" s="74" t="str">
        <f>IF(AND(A1389="",E1389=""),"",IF(V1389="Oui",0,MAX(0,ROUND(N(H1389)-N(T1389),6))))</f>
        <v/>
      </c>
      <c r="X1389" s="67" t="str">
        <f>IF(AND(A1389="",E1389=""),"",IF(V1389="Oui","Annulé",IF(AND(N(H1389)&gt;0,N(T1389)&gt;=N(H1389)),"Reçu",IF(N(S1389)=0,"Brouillon",IF(AND(ISNUMBER(R1389),R1389&lt;p_today),"En retard",IF(N(T1389)&gt;0,"Partiel","Envoyé"))))))</f>
        <v/>
      </c>
      <c r="Y1389" s="75" t="str">
        <f>IF(X1389="En retard",p_today-R1389,IF(AND(X1389="Reçu",ISNUMBER(R1389)),MAX(0,N(U1389)-R1389),""))</f>
        <v/>
      </c>
      <c r="Z1389" s="67" t="str">
        <f>IF(AND(A1389="",E1389=""),"",IF(A1389="","N° de bon manquant",IF(N(B1389)=0,"Date de commande manquante",IF(C1389="","Fournisseur manquant",IF(ISNA(MATCH($C1389,sup_code,0)),"Fournisseur inconnu",IF(E1389="","Article manquant",IF(ISNA(MATCH($E1389,art_ref,0)),"Article inconnu",IF(N(H1389)&lt;=0,"Quantité invalide",IF(J1389="","Prix manquant",IF(OR(N(K1389)&lt;0,N(K1389)&gt;=1),"Remise invalide",IF(M1389="","TVA manquante",IF(ISNA(MATCH(M1389,p_tva,0)),"Taux de TVA inconnu",IF(COUNTIFS(po_num,A1389,po_sup,"&lt;&gt;"&amp;C1389)&gt;0,"Fournisseur différent sur ce bon",IF(COUNTIFS(po_num,A1389,po_date,"&lt;&gt;"&amp;B1389)&gt;0,"Date différente sur ce bon",IF(COUNTIF(po_num,A1389)&gt;25,"Plus de 25 lignes sur ce bon",IF(R1389="","Date de livraison manquante",IF(R1389&lt;B1389,"Livraison avant la commande",IF(AND(N(T1389)&gt;0,N(S1389)=0),"Date d'envoi manquante",IF(N(T1389)&gt;N(H1389),"Reçu plus que commandé",IF(AND(N(T1389)&gt;0,N(U1389)=0),"Date de réception manquante",IF(AND(N(U1389)&gt;0,U1389&lt;B1389),"Réception avant la commande","OK")))))))))))))))))))))</f>
        <v/>
      </c>
      <c r="AA1389" s="66" t="str">
        <f>IF(AND(X1389="Reçu",ISNUMBER(R1389)),IF(N(U1389)&lt;=R1389,1,0),"")</f>
        <v/>
      </c>
      <c r="AB1389" s="76" t="str">
        <f>IF(OR(X1389="Envoyé",X1389="Partiel",X1389="En retard"),IF(ISNUMBER(R1389),R1389,100000)+ROW()/100000,"")</f>
        <v/>
      </c>
      <c r="AC1389" s="66" t="str">
        <f>IF(A1389="","",IF(COUNTIF($A$6:A1389,A1389)=1,1,""))</f>
        <v/>
      </c>
      <c r="AD1389" s="66" t="str">
        <f>IF(AC1389=1,COUNT($AC$6:AC1389),"")</f>
        <v/>
      </c>
      <c r="AE1389" s="66" t="str">
        <f>IFERROR(INDEX(po_num,MATCH(1384,po_seq,0))&amp;"","")</f>
        <v/>
      </c>
      <c r="AF1389" s="66" t="str">
        <f>IF(OR(A1389="",p_po=""),"",IF(A1389&amp;""=p_po,COUNTIF($A$6:A1389,A1389),""))</f>
        <v/>
      </c>
      <c r="AG1389" s="66" t="str">
        <f>IF(OR(AB1389="",A1389=""),"",IF(COUNTIFS($A$6:A1389,A1389,$AB$6:AB1389,"&gt;0")=1,1,""))</f>
        <v/>
      </c>
      <c r="AH1389" s="70" t="str">
        <f>IF(AB1389="","",ROUND(N(W1389)*N(J1389)*(1-N(K1389)),2))</f>
        <v/>
      </c>
      <c r="AI1389" s="70" t="str">
        <f>IF(OR(J1389="",N(T1389)&lt;=0,V1389="Oui"),"",ROUND(N(T1389)*J1389*(1-N(K1389)),2))</f>
        <v/>
      </c>
    </row>
    <row r="1390">
      <c r="A1390" s="63" t="n"/>
      <c r="B1390" s="64" t="n"/>
      <c r="C1390" s="65" t="n"/>
      <c r="D1390" s="66" t="str">
        <f>IF(C1390="","",IFERROR(INDEX(sup_name,MATCH($C1390,sup_code,0))&amp;"","Fournisseur inconnu"))</f>
        <v/>
      </c>
      <c r="E1390" s="63" t="n"/>
      <c r="F1390" s="66" t="str">
        <f>IF(E1390="","",IFERROR(INDEX(art_des,MATCH($E1390,art_ref,0))&amp;"","Article inconnu"))</f>
        <v/>
      </c>
      <c r="G1390" s="67" t="str">
        <f>IF(E1390="","",IFERROR(INDEX(art_unit,MATCH($E1390,art_ref,0))&amp;"",""))</f>
        <v/>
      </c>
      <c r="H1390" s="68" t="n"/>
      <c r="I1390" s="69" t="n"/>
      <c r="J1390" s="70" t="str">
        <f>IF(E1390="","",IF(ISNUMBER(I1390),I1390,IFERROR(IF(ISNUMBER(INDEX(art_price,MATCH($E1390,art_ref,0))),INDEX(art_price,MATCH($E1390,art_ref,0)),""),"")))</f>
        <v/>
      </c>
      <c r="K1390" s="71" t="n"/>
      <c r="L1390" s="72" t="n"/>
      <c r="M1390" s="72" t="str">
        <f>IF(E1390="","",IF(L1390&lt;&gt;"",L1390,IFERROR(IF(ISNUMBER(INDEX(art_tva,MATCH($E1390,art_ref,0))),INDEX(art_tva,MATCH($E1390,art_ref,0)),""),"")))</f>
        <v/>
      </c>
      <c r="N1390" s="70" t="str">
        <f>IF(OR(E1390="",J1390=""),"",ROUND(N(H1390)*J1390*(1-N(K1390)),2))</f>
        <v/>
      </c>
      <c r="O1390" s="70" t="str">
        <f>IF(OR(N1390="",NOT(ISNUMBER(M1390))),"",ROUND(N1390*M1390,2))</f>
        <v/>
      </c>
      <c r="P1390" s="70" t="str">
        <f>IF(N1390="","",N1390+N(O1390))</f>
        <v/>
      </c>
      <c r="Q1390" s="64" t="n"/>
      <c r="R1390" s="73" t="str">
        <f>IF(N(Q1390)&gt;0,Q1390,IF(OR(N(B1390)=0,ISNA(MATCH($C1390,sup_code,0))),"",IF(ISNUMBER(INDEX(sup_delay,MATCH($C1390,sup_code,0))),B1390+INDEX(sup_delay,MATCH($C1390,sup_code,0)),"")))</f>
        <v/>
      </c>
      <c r="S1390" s="64" t="n"/>
      <c r="T1390" s="68" t="n"/>
      <c r="U1390" s="64" t="n"/>
      <c r="V1390" s="65" t="n"/>
      <c r="W1390" s="74" t="str">
        <f>IF(AND(A1390="",E1390=""),"",IF(V1390="Oui",0,MAX(0,ROUND(N(H1390)-N(T1390),6))))</f>
        <v/>
      </c>
      <c r="X1390" s="67" t="str">
        <f>IF(AND(A1390="",E1390=""),"",IF(V1390="Oui","Annulé",IF(AND(N(H1390)&gt;0,N(T1390)&gt;=N(H1390)),"Reçu",IF(N(S1390)=0,"Brouillon",IF(AND(ISNUMBER(R1390),R1390&lt;p_today),"En retard",IF(N(T1390)&gt;0,"Partiel","Envoyé"))))))</f>
        <v/>
      </c>
      <c r="Y1390" s="75" t="str">
        <f>IF(X1390="En retard",p_today-R1390,IF(AND(X1390="Reçu",ISNUMBER(R1390)),MAX(0,N(U1390)-R1390),""))</f>
        <v/>
      </c>
      <c r="Z1390" s="67" t="str">
        <f>IF(AND(A1390="",E1390=""),"",IF(A1390="","N° de bon manquant",IF(N(B1390)=0,"Date de commande manquante",IF(C1390="","Fournisseur manquant",IF(ISNA(MATCH($C1390,sup_code,0)),"Fournisseur inconnu",IF(E1390="","Article manquant",IF(ISNA(MATCH($E1390,art_ref,0)),"Article inconnu",IF(N(H1390)&lt;=0,"Quantité invalide",IF(J1390="","Prix manquant",IF(OR(N(K1390)&lt;0,N(K1390)&gt;=1),"Remise invalide",IF(M1390="","TVA manquante",IF(ISNA(MATCH(M1390,p_tva,0)),"Taux de TVA inconnu",IF(COUNTIFS(po_num,A1390,po_sup,"&lt;&gt;"&amp;C1390)&gt;0,"Fournisseur différent sur ce bon",IF(COUNTIFS(po_num,A1390,po_date,"&lt;&gt;"&amp;B1390)&gt;0,"Date différente sur ce bon",IF(COUNTIF(po_num,A1390)&gt;25,"Plus de 25 lignes sur ce bon",IF(R1390="","Date de livraison manquante",IF(R1390&lt;B1390,"Livraison avant la commande",IF(AND(N(T1390)&gt;0,N(S1390)=0),"Date d'envoi manquante",IF(N(T1390)&gt;N(H1390),"Reçu plus que commandé",IF(AND(N(T1390)&gt;0,N(U1390)=0),"Date de réception manquante",IF(AND(N(U1390)&gt;0,U1390&lt;B1390),"Réception avant la commande","OK")))))))))))))))))))))</f>
        <v/>
      </c>
      <c r="AA1390" s="66" t="str">
        <f>IF(AND(X1390="Reçu",ISNUMBER(R1390)),IF(N(U1390)&lt;=R1390,1,0),"")</f>
        <v/>
      </c>
      <c r="AB1390" s="76" t="str">
        <f>IF(OR(X1390="Envoyé",X1390="Partiel",X1390="En retard"),IF(ISNUMBER(R1390),R1390,100000)+ROW()/100000,"")</f>
        <v/>
      </c>
      <c r="AC1390" s="66" t="str">
        <f>IF(A1390="","",IF(COUNTIF($A$6:A1390,A1390)=1,1,""))</f>
        <v/>
      </c>
      <c r="AD1390" s="66" t="str">
        <f>IF(AC1390=1,COUNT($AC$6:AC1390),"")</f>
        <v/>
      </c>
      <c r="AE1390" s="66" t="str">
        <f>IFERROR(INDEX(po_num,MATCH(1385,po_seq,0))&amp;"","")</f>
        <v/>
      </c>
      <c r="AF1390" s="66" t="str">
        <f>IF(OR(A1390="",p_po=""),"",IF(A1390&amp;""=p_po,COUNTIF($A$6:A1390,A1390),""))</f>
        <v/>
      </c>
      <c r="AG1390" s="66" t="str">
        <f>IF(OR(AB1390="",A1390=""),"",IF(COUNTIFS($A$6:A1390,A1390,$AB$6:AB1390,"&gt;0")=1,1,""))</f>
        <v/>
      </c>
      <c r="AH1390" s="70" t="str">
        <f>IF(AB1390="","",ROUND(N(W1390)*N(J1390)*(1-N(K1390)),2))</f>
        <v/>
      </c>
      <c r="AI1390" s="70" t="str">
        <f>IF(OR(J1390="",N(T1390)&lt;=0,V1390="Oui"),"",ROUND(N(T1390)*J1390*(1-N(K1390)),2))</f>
        <v/>
      </c>
    </row>
    <row r="1391">
      <c r="A1391" s="63" t="n"/>
      <c r="B1391" s="64" t="n"/>
      <c r="C1391" s="65" t="n"/>
      <c r="D1391" s="66" t="str">
        <f>IF(C1391="","",IFERROR(INDEX(sup_name,MATCH($C1391,sup_code,0))&amp;"","Fournisseur inconnu"))</f>
        <v/>
      </c>
      <c r="E1391" s="63" t="n"/>
      <c r="F1391" s="66" t="str">
        <f>IF(E1391="","",IFERROR(INDEX(art_des,MATCH($E1391,art_ref,0))&amp;"","Article inconnu"))</f>
        <v/>
      </c>
      <c r="G1391" s="67" t="str">
        <f>IF(E1391="","",IFERROR(INDEX(art_unit,MATCH($E1391,art_ref,0))&amp;"",""))</f>
        <v/>
      </c>
      <c r="H1391" s="68" t="n"/>
      <c r="I1391" s="69" t="n"/>
      <c r="J1391" s="70" t="str">
        <f>IF(E1391="","",IF(ISNUMBER(I1391),I1391,IFERROR(IF(ISNUMBER(INDEX(art_price,MATCH($E1391,art_ref,0))),INDEX(art_price,MATCH($E1391,art_ref,0)),""),"")))</f>
        <v/>
      </c>
      <c r="K1391" s="71" t="n"/>
      <c r="L1391" s="72" t="n"/>
      <c r="M1391" s="72" t="str">
        <f>IF(E1391="","",IF(L1391&lt;&gt;"",L1391,IFERROR(IF(ISNUMBER(INDEX(art_tva,MATCH($E1391,art_ref,0))),INDEX(art_tva,MATCH($E1391,art_ref,0)),""),"")))</f>
        <v/>
      </c>
      <c r="N1391" s="70" t="str">
        <f>IF(OR(E1391="",J1391=""),"",ROUND(N(H1391)*J1391*(1-N(K1391)),2))</f>
        <v/>
      </c>
      <c r="O1391" s="70" t="str">
        <f>IF(OR(N1391="",NOT(ISNUMBER(M1391))),"",ROUND(N1391*M1391,2))</f>
        <v/>
      </c>
      <c r="P1391" s="70" t="str">
        <f>IF(N1391="","",N1391+N(O1391))</f>
        <v/>
      </c>
      <c r="Q1391" s="64" t="n"/>
      <c r="R1391" s="73" t="str">
        <f>IF(N(Q1391)&gt;0,Q1391,IF(OR(N(B1391)=0,ISNA(MATCH($C1391,sup_code,0))),"",IF(ISNUMBER(INDEX(sup_delay,MATCH($C1391,sup_code,0))),B1391+INDEX(sup_delay,MATCH($C1391,sup_code,0)),"")))</f>
        <v/>
      </c>
      <c r="S1391" s="64" t="n"/>
      <c r="T1391" s="68" t="n"/>
      <c r="U1391" s="64" t="n"/>
      <c r="V1391" s="65" t="n"/>
      <c r="W1391" s="74" t="str">
        <f>IF(AND(A1391="",E1391=""),"",IF(V1391="Oui",0,MAX(0,ROUND(N(H1391)-N(T1391),6))))</f>
        <v/>
      </c>
      <c r="X1391" s="67" t="str">
        <f>IF(AND(A1391="",E1391=""),"",IF(V1391="Oui","Annulé",IF(AND(N(H1391)&gt;0,N(T1391)&gt;=N(H1391)),"Reçu",IF(N(S1391)=0,"Brouillon",IF(AND(ISNUMBER(R1391),R1391&lt;p_today),"En retard",IF(N(T1391)&gt;0,"Partiel","Envoyé"))))))</f>
        <v/>
      </c>
      <c r="Y1391" s="75" t="str">
        <f>IF(X1391="En retard",p_today-R1391,IF(AND(X1391="Reçu",ISNUMBER(R1391)),MAX(0,N(U1391)-R1391),""))</f>
        <v/>
      </c>
      <c r="Z1391" s="67" t="str">
        <f>IF(AND(A1391="",E1391=""),"",IF(A1391="","N° de bon manquant",IF(N(B1391)=0,"Date de commande manquante",IF(C1391="","Fournisseur manquant",IF(ISNA(MATCH($C1391,sup_code,0)),"Fournisseur inconnu",IF(E1391="","Article manquant",IF(ISNA(MATCH($E1391,art_ref,0)),"Article inconnu",IF(N(H1391)&lt;=0,"Quantité invalide",IF(J1391="","Prix manquant",IF(OR(N(K1391)&lt;0,N(K1391)&gt;=1),"Remise invalide",IF(M1391="","TVA manquante",IF(ISNA(MATCH(M1391,p_tva,0)),"Taux de TVA inconnu",IF(COUNTIFS(po_num,A1391,po_sup,"&lt;&gt;"&amp;C1391)&gt;0,"Fournisseur différent sur ce bon",IF(COUNTIFS(po_num,A1391,po_date,"&lt;&gt;"&amp;B1391)&gt;0,"Date différente sur ce bon",IF(COUNTIF(po_num,A1391)&gt;25,"Plus de 25 lignes sur ce bon",IF(R1391="","Date de livraison manquante",IF(R1391&lt;B1391,"Livraison avant la commande",IF(AND(N(T1391)&gt;0,N(S1391)=0),"Date d'envoi manquante",IF(N(T1391)&gt;N(H1391),"Reçu plus que commandé",IF(AND(N(T1391)&gt;0,N(U1391)=0),"Date de réception manquante",IF(AND(N(U1391)&gt;0,U1391&lt;B1391),"Réception avant la commande","OK")))))))))))))))))))))</f>
        <v/>
      </c>
      <c r="AA1391" s="66" t="str">
        <f>IF(AND(X1391="Reçu",ISNUMBER(R1391)),IF(N(U1391)&lt;=R1391,1,0),"")</f>
        <v/>
      </c>
      <c r="AB1391" s="76" t="str">
        <f>IF(OR(X1391="Envoyé",X1391="Partiel",X1391="En retard"),IF(ISNUMBER(R1391),R1391,100000)+ROW()/100000,"")</f>
        <v/>
      </c>
      <c r="AC1391" s="66" t="str">
        <f>IF(A1391="","",IF(COUNTIF($A$6:A1391,A1391)=1,1,""))</f>
        <v/>
      </c>
      <c r="AD1391" s="66" t="str">
        <f>IF(AC1391=1,COUNT($AC$6:AC1391),"")</f>
        <v/>
      </c>
      <c r="AE1391" s="66" t="str">
        <f>IFERROR(INDEX(po_num,MATCH(1386,po_seq,0))&amp;"","")</f>
        <v/>
      </c>
      <c r="AF1391" s="66" t="str">
        <f>IF(OR(A1391="",p_po=""),"",IF(A1391&amp;""=p_po,COUNTIF($A$6:A1391,A1391),""))</f>
        <v/>
      </c>
      <c r="AG1391" s="66" t="str">
        <f>IF(OR(AB1391="",A1391=""),"",IF(COUNTIFS($A$6:A1391,A1391,$AB$6:AB1391,"&gt;0")=1,1,""))</f>
        <v/>
      </c>
      <c r="AH1391" s="70" t="str">
        <f>IF(AB1391="","",ROUND(N(W1391)*N(J1391)*(1-N(K1391)),2))</f>
        <v/>
      </c>
      <c r="AI1391" s="70" t="str">
        <f>IF(OR(J1391="",N(T1391)&lt;=0,V1391="Oui"),"",ROUND(N(T1391)*J1391*(1-N(K1391)),2))</f>
        <v/>
      </c>
    </row>
    <row r="1392">
      <c r="A1392" s="63" t="n"/>
      <c r="B1392" s="64" t="n"/>
      <c r="C1392" s="65" t="n"/>
      <c r="D1392" s="66" t="str">
        <f>IF(C1392="","",IFERROR(INDEX(sup_name,MATCH($C1392,sup_code,0))&amp;"","Fournisseur inconnu"))</f>
        <v/>
      </c>
      <c r="E1392" s="63" t="n"/>
      <c r="F1392" s="66" t="str">
        <f>IF(E1392="","",IFERROR(INDEX(art_des,MATCH($E1392,art_ref,0))&amp;"","Article inconnu"))</f>
        <v/>
      </c>
      <c r="G1392" s="67" t="str">
        <f>IF(E1392="","",IFERROR(INDEX(art_unit,MATCH($E1392,art_ref,0))&amp;"",""))</f>
        <v/>
      </c>
      <c r="H1392" s="68" t="n"/>
      <c r="I1392" s="69" t="n"/>
      <c r="J1392" s="70" t="str">
        <f>IF(E1392="","",IF(ISNUMBER(I1392),I1392,IFERROR(IF(ISNUMBER(INDEX(art_price,MATCH($E1392,art_ref,0))),INDEX(art_price,MATCH($E1392,art_ref,0)),""),"")))</f>
        <v/>
      </c>
      <c r="K1392" s="71" t="n"/>
      <c r="L1392" s="72" t="n"/>
      <c r="M1392" s="72" t="str">
        <f>IF(E1392="","",IF(L1392&lt;&gt;"",L1392,IFERROR(IF(ISNUMBER(INDEX(art_tva,MATCH($E1392,art_ref,0))),INDEX(art_tva,MATCH($E1392,art_ref,0)),""),"")))</f>
        <v/>
      </c>
      <c r="N1392" s="70" t="str">
        <f>IF(OR(E1392="",J1392=""),"",ROUND(N(H1392)*J1392*(1-N(K1392)),2))</f>
        <v/>
      </c>
      <c r="O1392" s="70" t="str">
        <f>IF(OR(N1392="",NOT(ISNUMBER(M1392))),"",ROUND(N1392*M1392,2))</f>
        <v/>
      </c>
      <c r="P1392" s="70" t="str">
        <f>IF(N1392="","",N1392+N(O1392))</f>
        <v/>
      </c>
      <c r="Q1392" s="64" t="n"/>
      <c r="R1392" s="73" t="str">
        <f>IF(N(Q1392)&gt;0,Q1392,IF(OR(N(B1392)=0,ISNA(MATCH($C1392,sup_code,0))),"",IF(ISNUMBER(INDEX(sup_delay,MATCH($C1392,sup_code,0))),B1392+INDEX(sup_delay,MATCH($C1392,sup_code,0)),"")))</f>
        <v/>
      </c>
      <c r="S1392" s="64" t="n"/>
      <c r="T1392" s="68" t="n"/>
      <c r="U1392" s="64" t="n"/>
      <c r="V1392" s="65" t="n"/>
      <c r="W1392" s="74" t="str">
        <f>IF(AND(A1392="",E1392=""),"",IF(V1392="Oui",0,MAX(0,ROUND(N(H1392)-N(T1392),6))))</f>
        <v/>
      </c>
      <c r="X1392" s="67" t="str">
        <f>IF(AND(A1392="",E1392=""),"",IF(V1392="Oui","Annulé",IF(AND(N(H1392)&gt;0,N(T1392)&gt;=N(H1392)),"Reçu",IF(N(S1392)=0,"Brouillon",IF(AND(ISNUMBER(R1392),R1392&lt;p_today),"En retard",IF(N(T1392)&gt;0,"Partiel","Envoyé"))))))</f>
        <v/>
      </c>
      <c r="Y1392" s="75" t="str">
        <f>IF(X1392="En retard",p_today-R1392,IF(AND(X1392="Reçu",ISNUMBER(R1392)),MAX(0,N(U1392)-R1392),""))</f>
        <v/>
      </c>
      <c r="Z1392" s="67" t="str">
        <f>IF(AND(A1392="",E1392=""),"",IF(A1392="","N° de bon manquant",IF(N(B1392)=0,"Date de commande manquante",IF(C1392="","Fournisseur manquant",IF(ISNA(MATCH($C1392,sup_code,0)),"Fournisseur inconnu",IF(E1392="","Article manquant",IF(ISNA(MATCH($E1392,art_ref,0)),"Article inconnu",IF(N(H1392)&lt;=0,"Quantité invalide",IF(J1392="","Prix manquant",IF(OR(N(K1392)&lt;0,N(K1392)&gt;=1),"Remise invalide",IF(M1392="","TVA manquante",IF(ISNA(MATCH(M1392,p_tva,0)),"Taux de TVA inconnu",IF(COUNTIFS(po_num,A1392,po_sup,"&lt;&gt;"&amp;C1392)&gt;0,"Fournisseur différent sur ce bon",IF(COUNTIFS(po_num,A1392,po_date,"&lt;&gt;"&amp;B1392)&gt;0,"Date différente sur ce bon",IF(COUNTIF(po_num,A1392)&gt;25,"Plus de 25 lignes sur ce bon",IF(R1392="","Date de livraison manquante",IF(R1392&lt;B1392,"Livraison avant la commande",IF(AND(N(T1392)&gt;0,N(S1392)=0),"Date d'envoi manquante",IF(N(T1392)&gt;N(H1392),"Reçu plus que commandé",IF(AND(N(T1392)&gt;0,N(U1392)=0),"Date de réception manquante",IF(AND(N(U1392)&gt;0,U1392&lt;B1392),"Réception avant la commande","OK")))))))))))))))))))))</f>
        <v/>
      </c>
      <c r="AA1392" s="66" t="str">
        <f>IF(AND(X1392="Reçu",ISNUMBER(R1392)),IF(N(U1392)&lt;=R1392,1,0),"")</f>
        <v/>
      </c>
      <c r="AB1392" s="76" t="str">
        <f>IF(OR(X1392="Envoyé",X1392="Partiel",X1392="En retard"),IF(ISNUMBER(R1392),R1392,100000)+ROW()/100000,"")</f>
        <v/>
      </c>
      <c r="AC1392" s="66" t="str">
        <f>IF(A1392="","",IF(COUNTIF($A$6:A1392,A1392)=1,1,""))</f>
        <v/>
      </c>
      <c r="AD1392" s="66" t="str">
        <f>IF(AC1392=1,COUNT($AC$6:AC1392),"")</f>
        <v/>
      </c>
      <c r="AE1392" s="66" t="str">
        <f>IFERROR(INDEX(po_num,MATCH(1387,po_seq,0))&amp;"","")</f>
        <v/>
      </c>
      <c r="AF1392" s="66" t="str">
        <f>IF(OR(A1392="",p_po=""),"",IF(A1392&amp;""=p_po,COUNTIF($A$6:A1392,A1392),""))</f>
        <v/>
      </c>
      <c r="AG1392" s="66" t="str">
        <f>IF(OR(AB1392="",A1392=""),"",IF(COUNTIFS($A$6:A1392,A1392,$AB$6:AB1392,"&gt;0")=1,1,""))</f>
        <v/>
      </c>
      <c r="AH1392" s="70" t="str">
        <f>IF(AB1392="","",ROUND(N(W1392)*N(J1392)*(1-N(K1392)),2))</f>
        <v/>
      </c>
      <c r="AI1392" s="70" t="str">
        <f>IF(OR(J1392="",N(T1392)&lt;=0,V1392="Oui"),"",ROUND(N(T1392)*J1392*(1-N(K1392)),2))</f>
        <v/>
      </c>
    </row>
    <row r="1393">
      <c r="A1393" s="63" t="n"/>
      <c r="B1393" s="64" t="n"/>
      <c r="C1393" s="65" t="n"/>
      <c r="D1393" s="66" t="str">
        <f>IF(C1393="","",IFERROR(INDEX(sup_name,MATCH($C1393,sup_code,0))&amp;"","Fournisseur inconnu"))</f>
        <v/>
      </c>
      <c r="E1393" s="63" t="n"/>
      <c r="F1393" s="66" t="str">
        <f>IF(E1393="","",IFERROR(INDEX(art_des,MATCH($E1393,art_ref,0))&amp;"","Article inconnu"))</f>
        <v/>
      </c>
      <c r="G1393" s="67" t="str">
        <f>IF(E1393="","",IFERROR(INDEX(art_unit,MATCH($E1393,art_ref,0))&amp;"",""))</f>
        <v/>
      </c>
      <c r="H1393" s="68" t="n"/>
      <c r="I1393" s="69" t="n"/>
      <c r="J1393" s="70" t="str">
        <f>IF(E1393="","",IF(ISNUMBER(I1393),I1393,IFERROR(IF(ISNUMBER(INDEX(art_price,MATCH($E1393,art_ref,0))),INDEX(art_price,MATCH($E1393,art_ref,0)),""),"")))</f>
        <v/>
      </c>
      <c r="K1393" s="71" t="n"/>
      <c r="L1393" s="72" t="n"/>
      <c r="M1393" s="72" t="str">
        <f>IF(E1393="","",IF(L1393&lt;&gt;"",L1393,IFERROR(IF(ISNUMBER(INDEX(art_tva,MATCH($E1393,art_ref,0))),INDEX(art_tva,MATCH($E1393,art_ref,0)),""),"")))</f>
        <v/>
      </c>
      <c r="N1393" s="70" t="str">
        <f>IF(OR(E1393="",J1393=""),"",ROUND(N(H1393)*J1393*(1-N(K1393)),2))</f>
        <v/>
      </c>
      <c r="O1393" s="70" t="str">
        <f>IF(OR(N1393="",NOT(ISNUMBER(M1393))),"",ROUND(N1393*M1393,2))</f>
        <v/>
      </c>
      <c r="P1393" s="70" t="str">
        <f>IF(N1393="","",N1393+N(O1393))</f>
        <v/>
      </c>
      <c r="Q1393" s="64" t="n"/>
      <c r="R1393" s="73" t="str">
        <f>IF(N(Q1393)&gt;0,Q1393,IF(OR(N(B1393)=0,ISNA(MATCH($C1393,sup_code,0))),"",IF(ISNUMBER(INDEX(sup_delay,MATCH($C1393,sup_code,0))),B1393+INDEX(sup_delay,MATCH($C1393,sup_code,0)),"")))</f>
        <v/>
      </c>
      <c r="S1393" s="64" t="n"/>
      <c r="T1393" s="68" t="n"/>
      <c r="U1393" s="64" t="n"/>
      <c r="V1393" s="65" t="n"/>
      <c r="W1393" s="74" t="str">
        <f>IF(AND(A1393="",E1393=""),"",IF(V1393="Oui",0,MAX(0,ROUND(N(H1393)-N(T1393),6))))</f>
        <v/>
      </c>
      <c r="X1393" s="67" t="str">
        <f>IF(AND(A1393="",E1393=""),"",IF(V1393="Oui","Annulé",IF(AND(N(H1393)&gt;0,N(T1393)&gt;=N(H1393)),"Reçu",IF(N(S1393)=0,"Brouillon",IF(AND(ISNUMBER(R1393),R1393&lt;p_today),"En retard",IF(N(T1393)&gt;0,"Partiel","Envoyé"))))))</f>
        <v/>
      </c>
      <c r="Y1393" s="75" t="str">
        <f>IF(X1393="En retard",p_today-R1393,IF(AND(X1393="Reçu",ISNUMBER(R1393)),MAX(0,N(U1393)-R1393),""))</f>
        <v/>
      </c>
      <c r="Z1393" s="67" t="str">
        <f>IF(AND(A1393="",E1393=""),"",IF(A1393="","N° de bon manquant",IF(N(B1393)=0,"Date de commande manquante",IF(C1393="","Fournisseur manquant",IF(ISNA(MATCH($C1393,sup_code,0)),"Fournisseur inconnu",IF(E1393="","Article manquant",IF(ISNA(MATCH($E1393,art_ref,0)),"Article inconnu",IF(N(H1393)&lt;=0,"Quantité invalide",IF(J1393="","Prix manquant",IF(OR(N(K1393)&lt;0,N(K1393)&gt;=1),"Remise invalide",IF(M1393="","TVA manquante",IF(ISNA(MATCH(M1393,p_tva,0)),"Taux de TVA inconnu",IF(COUNTIFS(po_num,A1393,po_sup,"&lt;&gt;"&amp;C1393)&gt;0,"Fournisseur différent sur ce bon",IF(COUNTIFS(po_num,A1393,po_date,"&lt;&gt;"&amp;B1393)&gt;0,"Date différente sur ce bon",IF(COUNTIF(po_num,A1393)&gt;25,"Plus de 25 lignes sur ce bon",IF(R1393="","Date de livraison manquante",IF(R1393&lt;B1393,"Livraison avant la commande",IF(AND(N(T1393)&gt;0,N(S1393)=0),"Date d'envoi manquante",IF(N(T1393)&gt;N(H1393),"Reçu plus que commandé",IF(AND(N(T1393)&gt;0,N(U1393)=0),"Date de réception manquante",IF(AND(N(U1393)&gt;0,U1393&lt;B1393),"Réception avant la commande","OK")))))))))))))))))))))</f>
        <v/>
      </c>
      <c r="AA1393" s="66" t="str">
        <f>IF(AND(X1393="Reçu",ISNUMBER(R1393)),IF(N(U1393)&lt;=R1393,1,0),"")</f>
        <v/>
      </c>
      <c r="AB1393" s="76" t="str">
        <f>IF(OR(X1393="Envoyé",X1393="Partiel",X1393="En retard"),IF(ISNUMBER(R1393),R1393,100000)+ROW()/100000,"")</f>
        <v/>
      </c>
      <c r="AC1393" s="66" t="str">
        <f>IF(A1393="","",IF(COUNTIF($A$6:A1393,A1393)=1,1,""))</f>
        <v/>
      </c>
      <c r="AD1393" s="66" t="str">
        <f>IF(AC1393=1,COUNT($AC$6:AC1393),"")</f>
        <v/>
      </c>
      <c r="AE1393" s="66" t="str">
        <f>IFERROR(INDEX(po_num,MATCH(1388,po_seq,0))&amp;"","")</f>
        <v/>
      </c>
      <c r="AF1393" s="66" t="str">
        <f>IF(OR(A1393="",p_po=""),"",IF(A1393&amp;""=p_po,COUNTIF($A$6:A1393,A1393),""))</f>
        <v/>
      </c>
      <c r="AG1393" s="66" t="str">
        <f>IF(OR(AB1393="",A1393=""),"",IF(COUNTIFS($A$6:A1393,A1393,$AB$6:AB1393,"&gt;0")=1,1,""))</f>
        <v/>
      </c>
      <c r="AH1393" s="70" t="str">
        <f>IF(AB1393="","",ROUND(N(W1393)*N(J1393)*(1-N(K1393)),2))</f>
        <v/>
      </c>
      <c r="AI1393" s="70" t="str">
        <f>IF(OR(J1393="",N(T1393)&lt;=0,V1393="Oui"),"",ROUND(N(T1393)*J1393*(1-N(K1393)),2))</f>
        <v/>
      </c>
    </row>
    <row r="1394">
      <c r="A1394" s="63" t="n"/>
      <c r="B1394" s="64" t="n"/>
      <c r="C1394" s="65" t="n"/>
      <c r="D1394" s="66" t="str">
        <f>IF(C1394="","",IFERROR(INDEX(sup_name,MATCH($C1394,sup_code,0))&amp;"","Fournisseur inconnu"))</f>
        <v/>
      </c>
      <c r="E1394" s="63" t="n"/>
      <c r="F1394" s="66" t="str">
        <f>IF(E1394="","",IFERROR(INDEX(art_des,MATCH($E1394,art_ref,0))&amp;"","Article inconnu"))</f>
        <v/>
      </c>
      <c r="G1394" s="67" t="str">
        <f>IF(E1394="","",IFERROR(INDEX(art_unit,MATCH($E1394,art_ref,0))&amp;"",""))</f>
        <v/>
      </c>
      <c r="H1394" s="68" t="n"/>
      <c r="I1394" s="69" t="n"/>
      <c r="J1394" s="70" t="str">
        <f>IF(E1394="","",IF(ISNUMBER(I1394),I1394,IFERROR(IF(ISNUMBER(INDEX(art_price,MATCH($E1394,art_ref,0))),INDEX(art_price,MATCH($E1394,art_ref,0)),""),"")))</f>
        <v/>
      </c>
      <c r="K1394" s="71" t="n"/>
      <c r="L1394" s="72" t="n"/>
      <c r="M1394" s="72" t="str">
        <f>IF(E1394="","",IF(L1394&lt;&gt;"",L1394,IFERROR(IF(ISNUMBER(INDEX(art_tva,MATCH($E1394,art_ref,0))),INDEX(art_tva,MATCH($E1394,art_ref,0)),""),"")))</f>
        <v/>
      </c>
      <c r="N1394" s="70" t="str">
        <f>IF(OR(E1394="",J1394=""),"",ROUND(N(H1394)*J1394*(1-N(K1394)),2))</f>
        <v/>
      </c>
      <c r="O1394" s="70" t="str">
        <f>IF(OR(N1394="",NOT(ISNUMBER(M1394))),"",ROUND(N1394*M1394,2))</f>
        <v/>
      </c>
      <c r="P1394" s="70" t="str">
        <f>IF(N1394="","",N1394+N(O1394))</f>
        <v/>
      </c>
      <c r="Q1394" s="64" t="n"/>
      <c r="R1394" s="73" t="str">
        <f>IF(N(Q1394)&gt;0,Q1394,IF(OR(N(B1394)=0,ISNA(MATCH($C1394,sup_code,0))),"",IF(ISNUMBER(INDEX(sup_delay,MATCH($C1394,sup_code,0))),B1394+INDEX(sup_delay,MATCH($C1394,sup_code,0)),"")))</f>
        <v/>
      </c>
      <c r="S1394" s="64" t="n"/>
      <c r="T1394" s="68" t="n"/>
      <c r="U1394" s="64" t="n"/>
      <c r="V1394" s="65" t="n"/>
      <c r="W1394" s="74" t="str">
        <f>IF(AND(A1394="",E1394=""),"",IF(V1394="Oui",0,MAX(0,ROUND(N(H1394)-N(T1394),6))))</f>
        <v/>
      </c>
      <c r="X1394" s="67" t="str">
        <f>IF(AND(A1394="",E1394=""),"",IF(V1394="Oui","Annulé",IF(AND(N(H1394)&gt;0,N(T1394)&gt;=N(H1394)),"Reçu",IF(N(S1394)=0,"Brouillon",IF(AND(ISNUMBER(R1394),R1394&lt;p_today),"En retard",IF(N(T1394)&gt;0,"Partiel","Envoyé"))))))</f>
        <v/>
      </c>
      <c r="Y1394" s="75" t="str">
        <f>IF(X1394="En retard",p_today-R1394,IF(AND(X1394="Reçu",ISNUMBER(R1394)),MAX(0,N(U1394)-R1394),""))</f>
        <v/>
      </c>
      <c r="Z1394" s="67" t="str">
        <f>IF(AND(A1394="",E1394=""),"",IF(A1394="","N° de bon manquant",IF(N(B1394)=0,"Date de commande manquante",IF(C1394="","Fournisseur manquant",IF(ISNA(MATCH($C1394,sup_code,0)),"Fournisseur inconnu",IF(E1394="","Article manquant",IF(ISNA(MATCH($E1394,art_ref,0)),"Article inconnu",IF(N(H1394)&lt;=0,"Quantité invalide",IF(J1394="","Prix manquant",IF(OR(N(K1394)&lt;0,N(K1394)&gt;=1),"Remise invalide",IF(M1394="","TVA manquante",IF(ISNA(MATCH(M1394,p_tva,0)),"Taux de TVA inconnu",IF(COUNTIFS(po_num,A1394,po_sup,"&lt;&gt;"&amp;C1394)&gt;0,"Fournisseur différent sur ce bon",IF(COUNTIFS(po_num,A1394,po_date,"&lt;&gt;"&amp;B1394)&gt;0,"Date différente sur ce bon",IF(COUNTIF(po_num,A1394)&gt;25,"Plus de 25 lignes sur ce bon",IF(R1394="","Date de livraison manquante",IF(R1394&lt;B1394,"Livraison avant la commande",IF(AND(N(T1394)&gt;0,N(S1394)=0),"Date d'envoi manquante",IF(N(T1394)&gt;N(H1394),"Reçu plus que commandé",IF(AND(N(T1394)&gt;0,N(U1394)=0),"Date de réception manquante",IF(AND(N(U1394)&gt;0,U1394&lt;B1394),"Réception avant la commande","OK")))))))))))))))))))))</f>
        <v/>
      </c>
      <c r="AA1394" s="66" t="str">
        <f>IF(AND(X1394="Reçu",ISNUMBER(R1394)),IF(N(U1394)&lt;=R1394,1,0),"")</f>
        <v/>
      </c>
      <c r="AB1394" s="76" t="str">
        <f>IF(OR(X1394="Envoyé",X1394="Partiel",X1394="En retard"),IF(ISNUMBER(R1394),R1394,100000)+ROW()/100000,"")</f>
        <v/>
      </c>
      <c r="AC1394" s="66" t="str">
        <f>IF(A1394="","",IF(COUNTIF($A$6:A1394,A1394)=1,1,""))</f>
        <v/>
      </c>
      <c r="AD1394" s="66" t="str">
        <f>IF(AC1394=1,COUNT($AC$6:AC1394),"")</f>
        <v/>
      </c>
      <c r="AE1394" s="66" t="str">
        <f>IFERROR(INDEX(po_num,MATCH(1389,po_seq,0))&amp;"","")</f>
        <v/>
      </c>
      <c r="AF1394" s="66" t="str">
        <f>IF(OR(A1394="",p_po=""),"",IF(A1394&amp;""=p_po,COUNTIF($A$6:A1394,A1394),""))</f>
        <v/>
      </c>
      <c r="AG1394" s="66" t="str">
        <f>IF(OR(AB1394="",A1394=""),"",IF(COUNTIFS($A$6:A1394,A1394,$AB$6:AB1394,"&gt;0")=1,1,""))</f>
        <v/>
      </c>
      <c r="AH1394" s="70" t="str">
        <f>IF(AB1394="","",ROUND(N(W1394)*N(J1394)*(1-N(K1394)),2))</f>
        <v/>
      </c>
      <c r="AI1394" s="70" t="str">
        <f>IF(OR(J1394="",N(T1394)&lt;=0,V1394="Oui"),"",ROUND(N(T1394)*J1394*(1-N(K1394)),2))</f>
        <v/>
      </c>
    </row>
    <row r="1395">
      <c r="A1395" s="63" t="n"/>
      <c r="B1395" s="64" t="n"/>
      <c r="C1395" s="65" t="n"/>
      <c r="D1395" s="66" t="str">
        <f>IF(C1395="","",IFERROR(INDEX(sup_name,MATCH($C1395,sup_code,0))&amp;"","Fournisseur inconnu"))</f>
        <v/>
      </c>
      <c r="E1395" s="63" t="n"/>
      <c r="F1395" s="66" t="str">
        <f>IF(E1395="","",IFERROR(INDEX(art_des,MATCH($E1395,art_ref,0))&amp;"","Article inconnu"))</f>
        <v/>
      </c>
      <c r="G1395" s="67" t="str">
        <f>IF(E1395="","",IFERROR(INDEX(art_unit,MATCH($E1395,art_ref,0))&amp;"",""))</f>
        <v/>
      </c>
      <c r="H1395" s="68" t="n"/>
      <c r="I1395" s="69" t="n"/>
      <c r="J1395" s="70" t="str">
        <f>IF(E1395="","",IF(ISNUMBER(I1395),I1395,IFERROR(IF(ISNUMBER(INDEX(art_price,MATCH($E1395,art_ref,0))),INDEX(art_price,MATCH($E1395,art_ref,0)),""),"")))</f>
        <v/>
      </c>
      <c r="K1395" s="71" t="n"/>
      <c r="L1395" s="72" t="n"/>
      <c r="M1395" s="72" t="str">
        <f>IF(E1395="","",IF(L1395&lt;&gt;"",L1395,IFERROR(IF(ISNUMBER(INDEX(art_tva,MATCH($E1395,art_ref,0))),INDEX(art_tva,MATCH($E1395,art_ref,0)),""),"")))</f>
        <v/>
      </c>
      <c r="N1395" s="70" t="str">
        <f>IF(OR(E1395="",J1395=""),"",ROUND(N(H1395)*J1395*(1-N(K1395)),2))</f>
        <v/>
      </c>
      <c r="O1395" s="70" t="str">
        <f>IF(OR(N1395="",NOT(ISNUMBER(M1395))),"",ROUND(N1395*M1395,2))</f>
        <v/>
      </c>
      <c r="P1395" s="70" t="str">
        <f>IF(N1395="","",N1395+N(O1395))</f>
        <v/>
      </c>
      <c r="Q1395" s="64" t="n"/>
      <c r="R1395" s="73" t="str">
        <f>IF(N(Q1395)&gt;0,Q1395,IF(OR(N(B1395)=0,ISNA(MATCH($C1395,sup_code,0))),"",IF(ISNUMBER(INDEX(sup_delay,MATCH($C1395,sup_code,0))),B1395+INDEX(sup_delay,MATCH($C1395,sup_code,0)),"")))</f>
        <v/>
      </c>
      <c r="S1395" s="64" t="n"/>
      <c r="T1395" s="68" t="n"/>
      <c r="U1395" s="64" t="n"/>
      <c r="V1395" s="65" t="n"/>
      <c r="W1395" s="74" t="str">
        <f>IF(AND(A1395="",E1395=""),"",IF(V1395="Oui",0,MAX(0,ROUND(N(H1395)-N(T1395),6))))</f>
        <v/>
      </c>
      <c r="X1395" s="67" t="str">
        <f>IF(AND(A1395="",E1395=""),"",IF(V1395="Oui","Annulé",IF(AND(N(H1395)&gt;0,N(T1395)&gt;=N(H1395)),"Reçu",IF(N(S1395)=0,"Brouillon",IF(AND(ISNUMBER(R1395),R1395&lt;p_today),"En retard",IF(N(T1395)&gt;0,"Partiel","Envoyé"))))))</f>
        <v/>
      </c>
      <c r="Y1395" s="75" t="str">
        <f>IF(X1395="En retard",p_today-R1395,IF(AND(X1395="Reçu",ISNUMBER(R1395)),MAX(0,N(U1395)-R1395),""))</f>
        <v/>
      </c>
      <c r="Z1395" s="67" t="str">
        <f>IF(AND(A1395="",E1395=""),"",IF(A1395="","N° de bon manquant",IF(N(B1395)=0,"Date de commande manquante",IF(C1395="","Fournisseur manquant",IF(ISNA(MATCH($C1395,sup_code,0)),"Fournisseur inconnu",IF(E1395="","Article manquant",IF(ISNA(MATCH($E1395,art_ref,0)),"Article inconnu",IF(N(H1395)&lt;=0,"Quantité invalide",IF(J1395="","Prix manquant",IF(OR(N(K1395)&lt;0,N(K1395)&gt;=1),"Remise invalide",IF(M1395="","TVA manquante",IF(ISNA(MATCH(M1395,p_tva,0)),"Taux de TVA inconnu",IF(COUNTIFS(po_num,A1395,po_sup,"&lt;&gt;"&amp;C1395)&gt;0,"Fournisseur différent sur ce bon",IF(COUNTIFS(po_num,A1395,po_date,"&lt;&gt;"&amp;B1395)&gt;0,"Date différente sur ce bon",IF(COUNTIF(po_num,A1395)&gt;25,"Plus de 25 lignes sur ce bon",IF(R1395="","Date de livraison manquante",IF(R1395&lt;B1395,"Livraison avant la commande",IF(AND(N(T1395)&gt;0,N(S1395)=0),"Date d'envoi manquante",IF(N(T1395)&gt;N(H1395),"Reçu plus que commandé",IF(AND(N(T1395)&gt;0,N(U1395)=0),"Date de réception manquante",IF(AND(N(U1395)&gt;0,U1395&lt;B1395),"Réception avant la commande","OK")))))))))))))))))))))</f>
        <v/>
      </c>
      <c r="AA1395" s="66" t="str">
        <f>IF(AND(X1395="Reçu",ISNUMBER(R1395)),IF(N(U1395)&lt;=R1395,1,0),"")</f>
        <v/>
      </c>
      <c r="AB1395" s="76" t="str">
        <f>IF(OR(X1395="Envoyé",X1395="Partiel",X1395="En retard"),IF(ISNUMBER(R1395),R1395,100000)+ROW()/100000,"")</f>
        <v/>
      </c>
      <c r="AC1395" s="66" t="str">
        <f>IF(A1395="","",IF(COUNTIF($A$6:A1395,A1395)=1,1,""))</f>
        <v/>
      </c>
      <c r="AD1395" s="66" t="str">
        <f>IF(AC1395=1,COUNT($AC$6:AC1395),"")</f>
        <v/>
      </c>
      <c r="AE1395" s="66" t="str">
        <f>IFERROR(INDEX(po_num,MATCH(1390,po_seq,0))&amp;"","")</f>
        <v/>
      </c>
      <c r="AF1395" s="66" t="str">
        <f>IF(OR(A1395="",p_po=""),"",IF(A1395&amp;""=p_po,COUNTIF($A$6:A1395,A1395),""))</f>
        <v/>
      </c>
      <c r="AG1395" s="66" t="str">
        <f>IF(OR(AB1395="",A1395=""),"",IF(COUNTIFS($A$6:A1395,A1395,$AB$6:AB1395,"&gt;0")=1,1,""))</f>
        <v/>
      </c>
      <c r="AH1395" s="70" t="str">
        <f>IF(AB1395="","",ROUND(N(W1395)*N(J1395)*(1-N(K1395)),2))</f>
        <v/>
      </c>
      <c r="AI1395" s="70" t="str">
        <f>IF(OR(J1395="",N(T1395)&lt;=0,V1395="Oui"),"",ROUND(N(T1395)*J1395*(1-N(K1395)),2))</f>
        <v/>
      </c>
    </row>
    <row r="1396">
      <c r="A1396" s="63" t="n"/>
      <c r="B1396" s="64" t="n"/>
      <c r="C1396" s="65" t="n"/>
      <c r="D1396" s="66" t="str">
        <f>IF(C1396="","",IFERROR(INDEX(sup_name,MATCH($C1396,sup_code,0))&amp;"","Fournisseur inconnu"))</f>
        <v/>
      </c>
      <c r="E1396" s="63" t="n"/>
      <c r="F1396" s="66" t="str">
        <f>IF(E1396="","",IFERROR(INDEX(art_des,MATCH($E1396,art_ref,0))&amp;"","Article inconnu"))</f>
        <v/>
      </c>
      <c r="G1396" s="67" t="str">
        <f>IF(E1396="","",IFERROR(INDEX(art_unit,MATCH($E1396,art_ref,0))&amp;"",""))</f>
        <v/>
      </c>
      <c r="H1396" s="68" t="n"/>
      <c r="I1396" s="69" t="n"/>
      <c r="J1396" s="70" t="str">
        <f>IF(E1396="","",IF(ISNUMBER(I1396),I1396,IFERROR(IF(ISNUMBER(INDEX(art_price,MATCH($E1396,art_ref,0))),INDEX(art_price,MATCH($E1396,art_ref,0)),""),"")))</f>
        <v/>
      </c>
      <c r="K1396" s="71" t="n"/>
      <c r="L1396" s="72" t="n"/>
      <c r="M1396" s="72" t="str">
        <f>IF(E1396="","",IF(L1396&lt;&gt;"",L1396,IFERROR(IF(ISNUMBER(INDEX(art_tva,MATCH($E1396,art_ref,0))),INDEX(art_tva,MATCH($E1396,art_ref,0)),""),"")))</f>
        <v/>
      </c>
      <c r="N1396" s="70" t="str">
        <f>IF(OR(E1396="",J1396=""),"",ROUND(N(H1396)*J1396*(1-N(K1396)),2))</f>
        <v/>
      </c>
      <c r="O1396" s="70" t="str">
        <f>IF(OR(N1396="",NOT(ISNUMBER(M1396))),"",ROUND(N1396*M1396,2))</f>
        <v/>
      </c>
      <c r="P1396" s="70" t="str">
        <f>IF(N1396="","",N1396+N(O1396))</f>
        <v/>
      </c>
      <c r="Q1396" s="64" t="n"/>
      <c r="R1396" s="73" t="str">
        <f>IF(N(Q1396)&gt;0,Q1396,IF(OR(N(B1396)=0,ISNA(MATCH($C1396,sup_code,0))),"",IF(ISNUMBER(INDEX(sup_delay,MATCH($C1396,sup_code,0))),B1396+INDEX(sup_delay,MATCH($C1396,sup_code,0)),"")))</f>
        <v/>
      </c>
      <c r="S1396" s="64" t="n"/>
      <c r="T1396" s="68" t="n"/>
      <c r="U1396" s="64" t="n"/>
      <c r="V1396" s="65" t="n"/>
      <c r="W1396" s="74" t="str">
        <f>IF(AND(A1396="",E1396=""),"",IF(V1396="Oui",0,MAX(0,ROUND(N(H1396)-N(T1396),6))))</f>
        <v/>
      </c>
      <c r="X1396" s="67" t="str">
        <f>IF(AND(A1396="",E1396=""),"",IF(V1396="Oui","Annulé",IF(AND(N(H1396)&gt;0,N(T1396)&gt;=N(H1396)),"Reçu",IF(N(S1396)=0,"Brouillon",IF(AND(ISNUMBER(R1396),R1396&lt;p_today),"En retard",IF(N(T1396)&gt;0,"Partiel","Envoyé"))))))</f>
        <v/>
      </c>
      <c r="Y1396" s="75" t="str">
        <f>IF(X1396="En retard",p_today-R1396,IF(AND(X1396="Reçu",ISNUMBER(R1396)),MAX(0,N(U1396)-R1396),""))</f>
        <v/>
      </c>
      <c r="Z1396" s="67" t="str">
        <f>IF(AND(A1396="",E1396=""),"",IF(A1396="","N° de bon manquant",IF(N(B1396)=0,"Date de commande manquante",IF(C1396="","Fournisseur manquant",IF(ISNA(MATCH($C1396,sup_code,0)),"Fournisseur inconnu",IF(E1396="","Article manquant",IF(ISNA(MATCH($E1396,art_ref,0)),"Article inconnu",IF(N(H1396)&lt;=0,"Quantité invalide",IF(J1396="","Prix manquant",IF(OR(N(K1396)&lt;0,N(K1396)&gt;=1),"Remise invalide",IF(M1396="","TVA manquante",IF(ISNA(MATCH(M1396,p_tva,0)),"Taux de TVA inconnu",IF(COUNTIFS(po_num,A1396,po_sup,"&lt;&gt;"&amp;C1396)&gt;0,"Fournisseur différent sur ce bon",IF(COUNTIFS(po_num,A1396,po_date,"&lt;&gt;"&amp;B1396)&gt;0,"Date différente sur ce bon",IF(COUNTIF(po_num,A1396)&gt;25,"Plus de 25 lignes sur ce bon",IF(R1396="","Date de livraison manquante",IF(R1396&lt;B1396,"Livraison avant la commande",IF(AND(N(T1396)&gt;0,N(S1396)=0),"Date d'envoi manquante",IF(N(T1396)&gt;N(H1396),"Reçu plus que commandé",IF(AND(N(T1396)&gt;0,N(U1396)=0),"Date de réception manquante",IF(AND(N(U1396)&gt;0,U1396&lt;B1396),"Réception avant la commande","OK")))))))))))))))))))))</f>
        <v/>
      </c>
      <c r="AA1396" s="66" t="str">
        <f>IF(AND(X1396="Reçu",ISNUMBER(R1396)),IF(N(U1396)&lt;=R1396,1,0),"")</f>
        <v/>
      </c>
      <c r="AB1396" s="76" t="str">
        <f>IF(OR(X1396="Envoyé",X1396="Partiel",X1396="En retard"),IF(ISNUMBER(R1396),R1396,100000)+ROW()/100000,"")</f>
        <v/>
      </c>
      <c r="AC1396" s="66" t="str">
        <f>IF(A1396="","",IF(COUNTIF($A$6:A1396,A1396)=1,1,""))</f>
        <v/>
      </c>
      <c r="AD1396" s="66" t="str">
        <f>IF(AC1396=1,COUNT($AC$6:AC1396),"")</f>
        <v/>
      </c>
      <c r="AE1396" s="66" t="str">
        <f>IFERROR(INDEX(po_num,MATCH(1391,po_seq,0))&amp;"","")</f>
        <v/>
      </c>
      <c r="AF1396" s="66" t="str">
        <f>IF(OR(A1396="",p_po=""),"",IF(A1396&amp;""=p_po,COUNTIF($A$6:A1396,A1396),""))</f>
        <v/>
      </c>
      <c r="AG1396" s="66" t="str">
        <f>IF(OR(AB1396="",A1396=""),"",IF(COUNTIFS($A$6:A1396,A1396,$AB$6:AB1396,"&gt;0")=1,1,""))</f>
        <v/>
      </c>
      <c r="AH1396" s="70" t="str">
        <f>IF(AB1396="","",ROUND(N(W1396)*N(J1396)*(1-N(K1396)),2))</f>
        <v/>
      </c>
      <c r="AI1396" s="70" t="str">
        <f>IF(OR(J1396="",N(T1396)&lt;=0,V1396="Oui"),"",ROUND(N(T1396)*J1396*(1-N(K1396)),2))</f>
        <v/>
      </c>
    </row>
    <row r="1397">
      <c r="A1397" s="63" t="n"/>
      <c r="B1397" s="64" t="n"/>
      <c r="C1397" s="65" t="n"/>
      <c r="D1397" s="66" t="str">
        <f>IF(C1397="","",IFERROR(INDEX(sup_name,MATCH($C1397,sup_code,0))&amp;"","Fournisseur inconnu"))</f>
        <v/>
      </c>
      <c r="E1397" s="63" t="n"/>
      <c r="F1397" s="66" t="str">
        <f>IF(E1397="","",IFERROR(INDEX(art_des,MATCH($E1397,art_ref,0))&amp;"","Article inconnu"))</f>
        <v/>
      </c>
      <c r="G1397" s="67" t="str">
        <f>IF(E1397="","",IFERROR(INDEX(art_unit,MATCH($E1397,art_ref,0))&amp;"",""))</f>
        <v/>
      </c>
      <c r="H1397" s="68" t="n"/>
      <c r="I1397" s="69" t="n"/>
      <c r="J1397" s="70" t="str">
        <f>IF(E1397="","",IF(ISNUMBER(I1397),I1397,IFERROR(IF(ISNUMBER(INDEX(art_price,MATCH($E1397,art_ref,0))),INDEX(art_price,MATCH($E1397,art_ref,0)),""),"")))</f>
        <v/>
      </c>
      <c r="K1397" s="71" t="n"/>
      <c r="L1397" s="72" t="n"/>
      <c r="M1397" s="72" t="str">
        <f>IF(E1397="","",IF(L1397&lt;&gt;"",L1397,IFERROR(IF(ISNUMBER(INDEX(art_tva,MATCH($E1397,art_ref,0))),INDEX(art_tva,MATCH($E1397,art_ref,0)),""),"")))</f>
        <v/>
      </c>
      <c r="N1397" s="70" t="str">
        <f>IF(OR(E1397="",J1397=""),"",ROUND(N(H1397)*J1397*(1-N(K1397)),2))</f>
        <v/>
      </c>
      <c r="O1397" s="70" t="str">
        <f>IF(OR(N1397="",NOT(ISNUMBER(M1397))),"",ROUND(N1397*M1397,2))</f>
        <v/>
      </c>
      <c r="P1397" s="70" t="str">
        <f>IF(N1397="","",N1397+N(O1397))</f>
        <v/>
      </c>
      <c r="Q1397" s="64" t="n"/>
      <c r="R1397" s="73" t="str">
        <f>IF(N(Q1397)&gt;0,Q1397,IF(OR(N(B1397)=0,ISNA(MATCH($C1397,sup_code,0))),"",IF(ISNUMBER(INDEX(sup_delay,MATCH($C1397,sup_code,0))),B1397+INDEX(sup_delay,MATCH($C1397,sup_code,0)),"")))</f>
        <v/>
      </c>
      <c r="S1397" s="64" t="n"/>
      <c r="T1397" s="68" t="n"/>
      <c r="U1397" s="64" t="n"/>
      <c r="V1397" s="65" t="n"/>
      <c r="W1397" s="74" t="str">
        <f>IF(AND(A1397="",E1397=""),"",IF(V1397="Oui",0,MAX(0,ROUND(N(H1397)-N(T1397),6))))</f>
        <v/>
      </c>
      <c r="X1397" s="67" t="str">
        <f>IF(AND(A1397="",E1397=""),"",IF(V1397="Oui","Annulé",IF(AND(N(H1397)&gt;0,N(T1397)&gt;=N(H1397)),"Reçu",IF(N(S1397)=0,"Brouillon",IF(AND(ISNUMBER(R1397),R1397&lt;p_today),"En retard",IF(N(T1397)&gt;0,"Partiel","Envoyé"))))))</f>
        <v/>
      </c>
      <c r="Y1397" s="75" t="str">
        <f>IF(X1397="En retard",p_today-R1397,IF(AND(X1397="Reçu",ISNUMBER(R1397)),MAX(0,N(U1397)-R1397),""))</f>
        <v/>
      </c>
      <c r="Z1397" s="67" t="str">
        <f>IF(AND(A1397="",E1397=""),"",IF(A1397="","N° de bon manquant",IF(N(B1397)=0,"Date de commande manquante",IF(C1397="","Fournisseur manquant",IF(ISNA(MATCH($C1397,sup_code,0)),"Fournisseur inconnu",IF(E1397="","Article manquant",IF(ISNA(MATCH($E1397,art_ref,0)),"Article inconnu",IF(N(H1397)&lt;=0,"Quantité invalide",IF(J1397="","Prix manquant",IF(OR(N(K1397)&lt;0,N(K1397)&gt;=1),"Remise invalide",IF(M1397="","TVA manquante",IF(ISNA(MATCH(M1397,p_tva,0)),"Taux de TVA inconnu",IF(COUNTIFS(po_num,A1397,po_sup,"&lt;&gt;"&amp;C1397)&gt;0,"Fournisseur différent sur ce bon",IF(COUNTIFS(po_num,A1397,po_date,"&lt;&gt;"&amp;B1397)&gt;0,"Date différente sur ce bon",IF(COUNTIF(po_num,A1397)&gt;25,"Plus de 25 lignes sur ce bon",IF(R1397="","Date de livraison manquante",IF(R1397&lt;B1397,"Livraison avant la commande",IF(AND(N(T1397)&gt;0,N(S1397)=0),"Date d'envoi manquante",IF(N(T1397)&gt;N(H1397),"Reçu plus que commandé",IF(AND(N(T1397)&gt;0,N(U1397)=0),"Date de réception manquante",IF(AND(N(U1397)&gt;0,U1397&lt;B1397),"Réception avant la commande","OK")))))))))))))))))))))</f>
        <v/>
      </c>
      <c r="AA1397" s="66" t="str">
        <f>IF(AND(X1397="Reçu",ISNUMBER(R1397)),IF(N(U1397)&lt;=R1397,1,0),"")</f>
        <v/>
      </c>
      <c r="AB1397" s="76" t="str">
        <f>IF(OR(X1397="Envoyé",X1397="Partiel",X1397="En retard"),IF(ISNUMBER(R1397),R1397,100000)+ROW()/100000,"")</f>
        <v/>
      </c>
      <c r="AC1397" s="66" t="str">
        <f>IF(A1397="","",IF(COUNTIF($A$6:A1397,A1397)=1,1,""))</f>
        <v/>
      </c>
      <c r="AD1397" s="66" t="str">
        <f>IF(AC1397=1,COUNT($AC$6:AC1397),"")</f>
        <v/>
      </c>
      <c r="AE1397" s="66" t="str">
        <f>IFERROR(INDEX(po_num,MATCH(1392,po_seq,0))&amp;"","")</f>
        <v/>
      </c>
      <c r="AF1397" s="66" t="str">
        <f>IF(OR(A1397="",p_po=""),"",IF(A1397&amp;""=p_po,COUNTIF($A$6:A1397,A1397),""))</f>
        <v/>
      </c>
      <c r="AG1397" s="66" t="str">
        <f>IF(OR(AB1397="",A1397=""),"",IF(COUNTIFS($A$6:A1397,A1397,$AB$6:AB1397,"&gt;0")=1,1,""))</f>
        <v/>
      </c>
      <c r="AH1397" s="70" t="str">
        <f>IF(AB1397="","",ROUND(N(W1397)*N(J1397)*(1-N(K1397)),2))</f>
        <v/>
      </c>
      <c r="AI1397" s="70" t="str">
        <f>IF(OR(J1397="",N(T1397)&lt;=0,V1397="Oui"),"",ROUND(N(T1397)*J1397*(1-N(K1397)),2))</f>
        <v/>
      </c>
    </row>
    <row r="1398">
      <c r="A1398" s="63" t="n"/>
      <c r="B1398" s="64" t="n"/>
      <c r="C1398" s="65" t="n"/>
      <c r="D1398" s="66" t="str">
        <f>IF(C1398="","",IFERROR(INDEX(sup_name,MATCH($C1398,sup_code,0))&amp;"","Fournisseur inconnu"))</f>
        <v/>
      </c>
      <c r="E1398" s="63" t="n"/>
      <c r="F1398" s="66" t="str">
        <f>IF(E1398="","",IFERROR(INDEX(art_des,MATCH($E1398,art_ref,0))&amp;"","Article inconnu"))</f>
        <v/>
      </c>
      <c r="G1398" s="67" t="str">
        <f>IF(E1398="","",IFERROR(INDEX(art_unit,MATCH($E1398,art_ref,0))&amp;"",""))</f>
        <v/>
      </c>
      <c r="H1398" s="68" t="n"/>
      <c r="I1398" s="69" t="n"/>
      <c r="J1398" s="70" t="str">
        <f>IF(E1398="","",IF(ISNUMBER(I1398),I1398,IFERROR(IF(ISNUMBER(INDEX(art_price,MATCH($E1398,art_ref,0))),INDEX(art_price,MATCH($E1398,art_ref,0)),""),"")))</f>
        <v/>
      </c>
      <c r="K1398" s="71" t="n"/>
      <c r="L1398" s="72" t="n"/>
      <c r="M1398" s="72" t="str">
        <f>IF(E1398="","",IF(L1398&lt;&gt;"",L1398,IFERROR(IF(ISNUMBER(INDEX(art_tva,MATCH($E1398,art_ref,0))),INDEX(art_tva,MATCH($E1398,art_ref,0)),""),"")))</f>
        <v/>
      </c>
      <c r="N1398" s="70" t="str">
        <f>IF(OR(E1398="",J1398=""),"",ROUND(N(H1398)*J1398*(1-N(K1398)),2))</f>
        <v/>
      </c>
      <c r="O1398" s="70" t="str">
        <f>IF(OR(N1398="",NOT(ISNUMBER(M1398))),"",ROUND(N1398*M1398,2))</f>
        <v/>
      </c>
      <c r="P1398" s="70" t="str">
        <f>IF(N1398="","",N1398+N(O1398))</f>
        <v/>
      </c>
      <c r="Q1398" s="64" t="n"/>
      <c r="R1398" s="73" t="str">
        <f>IF(N(Q1398)&gt;0,Q1398,IF(OR(N(B1398)=0,ISNA(MATCH($C1398,sup_code,0))),"",IF(ISNUMBER(INDEX(sup_delay,MATCH($C1398,sup_code,0))),B1398+INDEX(sup_delay,MATCH($C1398,sup_code,0)),"")))</f>
        <v/>
      </c>
      <c r="S1398" s="64" t="n"/>
      <c r="T1398" s="68" t="n"/>
      <c r="U1398" s="64" t="n"/>
      <c r="V1398" s="65" t="n"/>
      <c r="W1398" s="74" t="str">
        <f>IF(AND(A1398="",E1398=""),"",IF(V1398="Oui",0,MAX(0,ROUND(N(H1398)-N(T1398),6))))</f>
        <v/>
      </c>
      <c r="X1398" s="67" t="str">
        <f>IF(AND(A1398="",E1398=""),"",IF(V1398="Oui","Annulé",IF(AND(N(H1398)&gt;0,N(T1398)&gt;=N(H1398)),"Reçu",IF(N(S1398)=0,"Brouillon",IF(AND(ISNUMBER(R1398),R1398&lt;p_today),"En retard",IF(N(T1398)&gt;0,"Partiel","Envoyé"))))))</f>
        <v/>
      </c>
      <c r="Y1398" s="75" t="str">
        <f>IF(X1398="En retard",p_today-R1398,IF(AND(X1398="Reçu",ISNUMBER(R1398)),MAX(0,N(U1398)-R1398),""))</f>
        <v/>
      </c>
      <c r="Z1398" s="67" t="str">
        <f>IF(AND(A1398="",E1398=""),"",IF(A1398="","N° de bon manquant",IF(N(B1398)=0,"Date de commande manquante",IF(C1398="","Fournisseur manquant",IF(ISNA(MATCH($C1398,sup_code,0)),"Fournisseur inconnu",IF(E1398="","Article manquant",IF(ISNA(MATCH($E1398,art_ref,0)),"Article inconnu",IF(N(H1398)&lt;=0,"Quantité invalide",IF(J1398="","Prix manquant",IF(OR(N(K1398)&lt;0,N(K1398)&gt;=1),"Remise invalide",IF(M1398="","TVA manquante",IF(ISNA(MATCH(M1398,p_tva,0)),"Taux de TVA inconnu",IF(COUNTIFS(po_num,A1398,po_sup,"&lt;&gt;"&amp;C1398)&gt;0,"Fournisseur différent sur ce bon",IF(COUNTIFS(po_num,A1398,po_date,"&lt;&gt;"&amp;B1398)&gt;0,"Date différente sur ce bon",IF(COUNTIF(po_num,A1398)&gt;25,"Plus de 25 lignes sur ce bon",IF(R1398="","Date de livraison manquante",IF(R1398&lt;B1398,"Livraison avant la commande",IF(AND(N(T1398)&gt;0,N(S1398)=0),"Date d'envoi manquante",IF(N(T1398)&gt;N(H1398),"Reçu plus que commandé",IF(AND(N(T1398)&gt;0,N(U1398)=0),"Date de réception manquante",IF(AND(N(U1398)&gt;0,U1398&lt;B1398),"Réception avant la commande","OK")))))))))))))))))))))</f>
        <v/>
      </c>
      <c r="AA1398" s="66" t="str">
        <f>IF(AND(X1398="Reçu",ISNUMBER(R1398)),IF(N(U1398)&lt;=R1398,1,0),"")</f>
        <v/>
      </c>
      <c r="AB1398" s="76" t="str">
        <f>IF(OR(X1398="Envoyé",X1398="Partiel",X1398="En retard"),IF(ISNUMBER(R1398),R1398,100000)+ROW()/100000,"")</f>
        <v/>
      </c>
      <c r="AC1398" s="66" t="str">
        <f>IF(A1398="","",IF(COUNTIF($A$6:A1398,A1398)=1,1,""))</f>
        <v/>
      </c>
      <c r="AD1398" s="66" t="str">
        <f>IF(AC1398=1,COUNT($AC$6:AC1398),"")</f>
        <v/>
      </c>
      <c r="AE1398" s="66" t="str">
        <f>IFERROR(INDEX(po_num,MATCH(1393,po_seq,0))&amp;"","")</f>
        <v/>
      </c>
      <c r="AF1398" s="66" t="str">
        <f>IF(OR(A1398="",p_po=""),"",IF(A1398&amp;""=p_po,COUNTIF($A$6:A1398,A1398),""))</f>
        <v/>
      </c>
      <c r="AG1398" s="66" t="str">
        <f>IF(OR(AB1398="",A1398=""),"",IF(COUNTIFS($A$6:A1398,A1398,$AB$6:AB1398,"&gt;0")=1,1,""))</f>
        <v/>
      </c>
      <c r="AH1398" s="70" t="str">
        <f>IF(AB1398="","",ROUND(N(W1398)*N(J1398)*(1-N(K1398)),2))</f>
        <v/>
      </c>
      <c r="AI1398" s="70" t="str">
        <f>IF(OR(J1398="",N(T1398)&lt;=0,V1398="Oui"),"",ROUND(N(T1398)*J1398*(1-N(K1398)),2))</f>
        <v/>
      </c>
    </row>
    <row r="1399">
      <c r="A1399" s="63" t="n"/>
      <c r="B1399" s="64" t="n"/>
      <c r="C1399" s="65" t="n"/>
      <c r="D1399" s="66" t="str">
        <f>IF(C1399="","",IFERROR(INDEX(sup_name,MATCH($C1399,sup_code,0))&amp;"","Fournisseur inconnu"))</f>
        <v/>
      </c>
      <c r="E1399" s="63" t="n"/>
      <c r="F1399" s="66" t="str">
        <f>IF(E1399="","",IFERROR(INDEX(art_des,MATCH($E1399,art_ref,0))&amp;"","Article inconnu"))</f>
        <v/>
      </c>
      <c r="G1399" s="67" t="str">
        <f>IF(E1399="","",IFERROR(INDEX(art_unit,MATCH($E1399,art_ref,0))&amp;"",""))</f>
        <v/>
      </c>
      <c r="H1399" s="68" t="n"/>
      <c r="I1399" s="69" t="n"/>
      <c r="J1399" s="70" t="str">
        <f>IF(E1399="","",IF(ISNUMBER(I1399),I1399,IFERROR(IF(ISNUMBER(INDEX(art_price,MATCH($E1399,art_ref,0))),INDEX(art_price,MATCH($E1399,art_ref,0)),""),"")))</f>
        <v/>
      </c>
      <c r="K1399" s="71" t="n"/>
      <c r="L1399" s="72" t="n"/>
      <c r="M1399" s="72" t="str">
        <f>IF(E1399="","",IF(L1399&lt;&gt;"",L1399,IFERROR(IF(ISNUMBER(INDEX(art_tva,MATCH($E1399,art_ref,0))),INDEX(art_tva,MATCH($E1399,art_ref,0)),""),"")))</f>
        <v/>
      </c>
      <c r="N1399" s="70" t="str">
        <f>IF(OR(E1399="",J1399=""),"",ROUND(N(H1399)*J1399*(1-N(K1399)),2))</f>
        <v/>
      </c>
      <c r="O1399" s="70" t="str">
        <f>IF(OR(N1399="",NOT(ISNUMBER(M1399))),"",ROUND(N1399*M1399,2))</f>
        <v/>
      </c>
      <c r="P1399" s="70" t="str">
        <f>IF(N1399="","",N1399+N(O1399))</f>
        <v/>
      </c>
      <c r="Q1399" s="64" t="n"/>
      <c r="R1399" s="73" t="str">
        <f>IF(N(Q1399)&gt;0,Q1399,IF(OR(N(B1399)=0,ISNA(MATCH($C1399,sup_code,0))),"",IF(ISNUMBER(INDEX(sup_delay,MATCH($C1399,sup_code,0))),B1399+INDEX(sup_delay,MATCH($C1399,sup_code,0)),"")))</f>
        <v/>
      </c>
      <c r="S1399" s="64" t="n"/>
      <c r="T1399" s="68" t="n"/>
      <c r="U1399" s="64" t="n"/>
      <c r="V1399" s="65" t="n"/>
      <c r="W1399" s="74" t="str">
        <f>IF(AND(A1399="",E1399=""),"",IF(V1399="Oui",0,MAX(0,ROUND(N(H1399)-N(T1399),6))))</f>
        <v/>
      </c>
      <c r="X1399" s="67" t="str">
        <f>IF(AND(A1399="",E1399=""),"",IF(V1399="Oui","Annulé",IF(AND(N(H1399)&gt;0,N(T1399)&gt;=N(H1399)),"Reçu",IF(N(S1399)=0,"Brouillon",IF(AND(ISNUMBER(R1399),R1399&lt;p_today),"En retard",IF(N(T1399)&gt;0,"Partiel","Envoyé"))))))</f>
        <v/>
      </c>
      <c r="Y1399" s="75" t="str">
        <f>IF(X1399="En retard",p_today-R1399,IF(AND(X1399="Reçu",ISNUMBER(R1399)),MAX(0,N(U1399)-R1399),""))</f>
        <v/>
      </c>
      <c r="Z1399" s="67" t="str">
        <f>IF(AND(A1399="",E1399=""),"",IF(A1399="","N° de bon manquant",IF(N(B1399)=0,"Date de commande manquante",IF(C1399="","Fournisseur manquant",IF(ISNA(MATCH($C1399,sup_code,0)),"Fournisseur inconnu",IF(E1399="","Article manquant",IF(ISNA(MATCH($E1399,art_ref,0)),"Article inconnu",IF(N(H1399)&lt;=0,"Quantité invalide",IF(J1399="","Prix manquant",IF(OR(N(K1399)&lt;0,N(K1399)&gt;=1),"Remise invalide",IF(M1399="","TVA manquante",IF(ISNA(MATCH(M1399,p_tva,0)),"Taux de TVA inconnu",IF(COUNTIFS(po_num,A1399,po_sup,"&lt;&gt;"&amp;C1399)&gt;0,"Fournisseur différent sur ce bon",IF(COUNTIFS(po_num,A1399,po_date,"&lt;&gt;"&amp;B1399)&gt;0,"Date différente sur ce bon",IF(COUNTIF(po_num,A1399)&gt;25,"Plus de 25 lignes sur ce bon",IF(R1399="","Date de livraison manquante",IF(R1399&lt;B1399,"Livraison avant la commande",IF(AND(N(T1399)&gt;0,N(S1399)=0),"Date d'envoi manquante",IF(N(T1399)&gt;N(H1399),"Reçu plus que commandé",IF(AND(N(T1399)&gt;0,N(U1399)=0),"Date de réception manquante",IF(AND(N(U1399)&gt;0,U1399&lt;B1399),"Réception avant la commande","OK")))))))))))))))))))))</f>
        <v/>
      </c>
      <c r="AA1399" s="66" t="str">
        <f>IF(AND(X1399="Reçu",ISNUMBER(R1399)),IF(N(U1399)&lt;=R1399,1,0),"")</f>
        <v/>
      </c>
      <c r="AB1399" s="76" t="str">
        <f>IF(OR(X1399="Envoyé",X1399="Partiel",X1399="En retard"),IF(ISNUMBER(R1399),R1399,100000)+ROW()/100000,"")</f>
        <v/>
      </c>
      <c r="AC1399" s="66" t="str">
        <f>IF(A1399="","",IF(COUNTIF($A$6:A1399,A1399)=1,1,""))</f>
        <v/>
      </c>
      <c r="AD1399" s="66" t="str">
        <f>IF(AC1399=1,COUNT($AC$6:AC1399),"")</f>
        <v/>
      </c>
      <c r="AE1399" s="66" t="str">
        <f>IFERROR(INDEX(po_num,MATCH(1394,po_seq,0))&amp;"","")</f>
        <v/>
      </c>
      <c r="AF1399" s="66" t="str">
        <f>IF(OR(A1399="",p_po=""),"",IF(A1399&amp;""=p_po,COUNTIF($A$6:A1399,A1399),""))</f>
        <v/>
      </c>
      <c r="AG1399" s="66" t="str">
        <f>IF(OR(AB1399="",A1399=""),"",IF(COUNTIFS($A$6:A1399,A1399,$AB$6:AB1399,"&gt;0")=1,1,""))</f>
        <v/>
      </c>
      <c r="AH1399" s="70" t="str">
        <f>IF(AB1399="","",ROUND(N(W1399)*N(J1399)*(1-N(K1399)),2))</f>
        <v/>
      </c>
      <c r="AI1399" s="70" t="str">
        <f>IF(OR(J1399="",N(T1399)&lt;=0,V1399="Oui"),"",ROUND(N(T1399)*J1399*(1-N(K1399)),2))</f>
        <v/>
      </c>
    </row>
    <row r="1400">
      <c r="A1400" s="63" t="n"/>
      <c r="B1400" s="64" t="n"/>
      <c r="C1400" s="65" t="n"/>
      <c r="D1400" s="66" t="str">
        <f>IF(C1400="","",IFERROR(INDEX(sup_name,MATCH($C1400,sup_code,0))&amp;"","Fournisseur inconnu"))</f>
        <v/>
      </c>
      <c r="E1400" s="63" t="n"/>
      <c r="F1400" s="66" t="str">
        <f>IF(E1400="","",IFERROR(INDEX(art_des,MATCH($E1400,art_ref,0))&amp;"","Article inconnu"))</f>
        <v/>
      </c>
      <c r="G1400" s="67" t="str">
        <f>IF(E1400="","",IFERROR(INDEX(art_unit,MATCH($E1400,art_ref,0))&amp;"",""))</f>
        <v/>
      </c>
      <c r="H1400" s="68" t="n"/>
      <c r="I1400" s="69" t="n"/>
      <c r="J1400" s="70" t="str">
        <f>IF(E1400="","",IF(ISNUMBER(I1400),I1400,IFERROR(IF(ISNUMBER(INDEX(art_price,MATCH($E1400,art_ref,0))),INDEX(art_price,MATCH($E1400,art_ref,0)),""),"")))</f>
        <v/>
      </c>
      <c r="K1400" s="71" t="n"/>
      <c r="L1400" s="72" t="n"/>
      <c r="M1400" s="72" t="str">
        <f>IF(E1400="","",IF(L1400&lt;&gt;"",L1400,IFERROR(IF(ISNUMBER(INDEX(art_tva,MATCH($E1400,art_ref,0))),INDEX(art_tva,MATCH($E1400,art_ref,0)),""),"")))</f>
        <v/>
      </c>
      <c r="N1400" s="70" t="str">
        <f>IF(OR(E1400="",J1400=""),"",ROUND(N(H1400)*J1400*(1-N(K1400)),2))</f>
        <v/>
      </c>
      <c r="O1400" s="70" t="str">
        <f>IF(OR(N1400="",NOT(ISNUMBER(M1400))),"",ROUND(N1400*M1400,2))</f>
        <v/>
      </c>
      <c r="P1400" s="70" t="str">
        <f>IF(N1400="","",N1400+N(O1400))</f>
        <v/>
      </c>
      <c r="Q1400" s="64" t="n"/>
      <c r="R1400" s="73" t="str">
        <f>IF(N(Q1400)&gt;0,Q1400,IF(OR(N(B1400)=0,ISNA(MATCH($C1400,sup_code,0))),"",IF(ISNUMBER(INDEX(sup_delay,MATCH($C1400,sup_code,0))),B1400+INDEX(sup_delay,MATCH($C1400,sup_code,0)),"")))</f>
        <v/>
      </c>
      <c r="S1400" s="64" t="n"/>
      <c r="T1400" s="68" t="n"/>
      <c r="U1400" s="64" t="n"/>
      <c r="V1400" s="65" t="n"/>
      <c r="W1400" s="74" t="str">
        <f>IF(AND(A1400="",E1400=""),"",IF(V1400="Oui",0,MAX(0,ROUND(N(H1400)-N(T1400),6))))</f>
        <v/>
      </c>
      <c r="X1400" s="67" t="str">
        <f>IF(AND(A1400="",E1400=""),"",IF(V1400="Oui","Annulé",IF(AND(N(H1400)&gt;0,N(T1400)&gt;=N(H1400)),"Reçu",IF(N(S1400)=0,"Brouillon",IF(AND(ISNUMBER(R1400),R1400&lt;p_today),"En retard",IF(N(T1400)&gt;0,"Partiel","Envoyé"))))))</f>
        <v/>
      </c>
      <c r="Y1400" s="75" t="str">
        <f>IF(X1400="En retard",p_today-R1400,IF(AND(X1400="Reçu",ISNUMBER(R1400)),MAX(0,N(U1400)-R1400),""))</f>
        <v/>
      </c>
      <c r="Z1400" s="67" t="str">
        <f>IF(AND(A1400="",E1400=""),"",IF(A1400="","N° de bon manquant",IF(N(B1400)=0,"Date de commande manquante",IF(C1400="","Fournisseur manquant",IF(ISNA(MATCH($C1400,sup_code,0)),"Fournisseur inconnu",IF(E1400="","Article manquant",IF(ISNA(MATCH($E1400,art_ref,0)),"Article inconnu",IF(N(H1400)&lt;=0,"Quantité invalide",IF(J1400="","Prix manquant",IF(OR(N(K1400)&lt;0,N(K1400)&gt;=1),"Remise invalide",IF(M1400="","TVA manquante",IF(ISNA(MATCH(M1400,p_tva,0)),"Taux de TVA inconnu",IF(COUNTIFS(po_num,A1400,po_sup,"&lt;&gt;"&amp;C1400)&gt;0,"Fournisseur différent sur ce bon",IF(COUNTIFS(po_num,A1400,po_date,"&lt;&gt;"&amp;B1400)&gt;0,"Date différente sur ce bon",IF(COUNTIF(po_num,A1400)&gt;25,"Plus de 25 lignes sur ce bon",IF(R1400="","Date de livraison manquante",IF(R1400&lt;B1400,"Livraison avant la commande",IF(AND(N(T1400)&gt;0,N(S1400)=0),"Date d'envoi manquante",IF(N(T1400)&gt;N(H1400),"Reçu plus que commandé",IF(AND(N(T1400)&gt;0,N(U1400)=0),"Date de réception manquante",IF(AND(N(U1400)&gt;0,U1400&lt;B1400),"Réception avant la commande","OK")))))))))))))))))))))</f>
        <v/>
      </c>
      <c r="AA1400" s="66" t="str">
        <f>IF(AND(X1400="Reçu",ISNUMBER(R1400)),IF(N(U1400)&lt;=R1400,1,0),"")</f>
        <v/>
      </c>
      <c r="AB1400" s="76" t="str">
        <f>IF(OR(X1400="Envoyé",X1400="Partiel",X1400="En retard"),IF(ISNUMBER(R1400),R1400,100000)+ROW()/100000,"")</f>
        <v/>
      </c>
      <c r="AC1400" s="66" t="str">
        <f>IF(A1400="","",IF(COUNTIF($A$6:A1400,A1400)=1,1,""))</f>
        <v/>
      </c>
      <c r="AD1400" s="66" t="str">
        <f>IF(AC1400=1,COUNT($AC$6:AC1400),"")</f>
        <v/>
      </c>
      <c r="AE1400" s="66" t="str">
        <f>IFERROR(INDEX(po_num,MATCH(1395,po_seq,0))&amp;"","")</f>
        <v/>
      </c>
      <c r="AF1400" s="66" t="str">
        <f>IF(OR(A1400="",p_po=""),"",IF(A1400&amp;""=p_po,COUNTIF($A$6:A1400,A1400),""))</f>
        <v/>
      </c>
      <c r="AG1400" s="66" t="str">
        <f>IF(OR(AB1400="",A1400=""),"",IF(COUNTIFS($A$6:A1400,A1400,$AB$6:AB1400,"&gt;0")=1,1,""))</f>
        <v/>
      </c>
      <c r="AH1400" s="70" t="str">
        <f>IF(AB1400="","",ROUND(N(W1400)*N(J1400)*(1-N(K1400)),2))</f>
        <v/>
      </c>
      <c r="AI1400" s="70" t="str">
        <f>IF(OR(J1400="",N(T1400)&lt;=0,V1400="Oui"),"",ROUND(N(T1400)*J1400*(1-N(K1400)),2))</f>
        <v/>
      </c>
    </row>
    <row r="1401">
      <c r="A1401" s="63" t="n"/>
      <c r="B1401" s="64" t="n"/>
      <c r="C1401" s="65" t="n"/>
      <c r="D1401" s="66" t="str">
        <f>IF(C1401="","",IFERROR(INDEX(sup_name,MATCH($C1401,sup_code,0))&amp;"","Fournisseur inconnu"))</f>
        <v/>
      </c>
      <c r="E1401" s="63" t="n"/>
      <c r="F1401" s="66" t="str">
        <f>IF(E1401="","",IFERROR(INDEX(art_des,MATCH($E1401,art_ref,0))&amp;"","Article inconnu"))</f>
        <v/>
      </c>
      <c r="G1401" s="67" t="str">
        <f>IF(E1401="","",IFERROR(INDEX(art_unit,MATCH($E1401,art_ref,0))&amp;"",""))</f>
        <v/>
      </c>
      <c r="H1401" s="68" t="n"/>
      <c r="I1401" s="69" t="n"/>
      <c r="J1401" s="70" t="str">
        <f>IF(E1401="","",IF(ISNUMBER(I1401),I1401,IFERROR(IF(ISNUMBER(INDEX(art_price,MATCH($E1401,art_ref,0))),INDEX(art_price,MATCH($E1401,art_ref,0)),""),"")))</f>
        <v/>
      </c>
      <c r="K1401" s="71" t="n"/>
      <c r="L1401" s="72" t="n"/>
      <c r="M1401" s="72" t="str">
        <f>IF(E1401="","",IF(L1401&lt;&gt;"",L1401,IFERROR(IF(ISNUMBER(INDEX(art_tva,MATCH($E1401,art_ref,0))),INDEX(art_tva,MATCH($E1401,art_ref,0)),""),"")))</f>
        <v/>
      </c>
      <c r="N1401" s="70" t="str">
        <f>IF(OR(E1401="",J1401=""),"",ROUND(N(H1401)*J1401*(1-N(K1401)),2))</f>
        <v/>
      </c>
      <c r="O1401" s="70" t="str">
        <f>IF(OR(N1401="",NOT(ISNUMBER(M1401))),"",ROUND(N1401*M1401,2))</f>
        <v/>
      </c>
      <c r="P1401" s="70" t="str">
        <f>IF(N1401="","",N1401+N(O1401))</f>
        <v/>
      </c>
      <c r="Q1401" s="64" t="n"/>
      <c r="R1401" s="73" t="str">
        <f>IF(N(Q1401)&gt;0,Q1401,IF(OR(N(B1401)=0,ISNA(MATCH($C1401,sup_code,0))),"",IF(ISNUMBER(INDEX(sup_delay,MATCH($C1401,sup_code,0))),B1401+INDEX(sup_delay,MATCH($C1401,sup_code,0)),"")))</f>
        <v/>
      </c>
      <c r="S1401" s="64" t="n"/>
      <c r="T1401" s="68" t="n"/>
      <c r="U1401" s="64" t="n"/>
      <c r="V1401" s="65" t="n"/>
      <c r="W1401" s="74" t="str">
        <f>IF(AND(A1401="",E1401=""),"",IF(V1401="Oui",0,MAX(0,ROUND(N(H1401)-N(T1401),6))))</f>
        <v/>
      </c>
      <c r="X1401" s="67" t="str">
        <f>IF(AND(A1401="",E1401=""),"",IF(V1401="Oui","Annulé",IF(AND(N(H1401)&gt;0,N(T1401)&gt;=N(H1401)),"Reçu",IF(N(S1401)=0,"Brouillon",IF(AND(ISNUMBER(R1401),R1401&lt;p_today),"En retard",IF(N(T1401)&gt;0,"Partiel","Envoyé"))))))</f>
        <v/>
      </c>
      <c r="Y1401" s="75" t="str">
        <f>IF(X1401="En retard",p_today-R1401,IF(AND(X1401="Reçu",ISNUMBER(R1401)),MAX(0,N(U1401)-R1401),""))</f>
        <v/>
      </c>
      <c r="Z1401" s="67" t="str">
        <f>IF(AND(A1401="",E1401=""),"",IF(A1401="","N° de bon manquant",IF(N(B1401)=0,"Date de commande manquante",IF(C1401="","Fournisseur manquant",IF(ISNA(MATCH($C1401,sup_code,0)),"Fournisseur inconnu",IF(E1401="","Article manquant",IF(ISNA(MATCH($E1401,art_ref,0)),"Article inconnu",IF(N(H1401)&lt;=0,"Quantité invalide",IF(J1401="","Prix manquant",IF(OR(N(K1401)&lt;0,N(K1401)&gt;=1),"Remise invalide",IF(M1401="","TVA manquante",IF(ISNA(MATCH(M1401,p_tva,0)),"Taux de TVA inconnu",IF(COUNTIFS(po_num,A1401,po_sup,"&lt;&gt;"&amp;C1401)&gt;0,"Fournisseur différent sur ce bon",IF(COUNTIFS(po_num,A1401,po_date,"&lt;&gt;"&amp;B1401)&gt;0,"Date différente sur ce bon",IF(COUNTIF(po_num,A1401)&gt;25,"Plus de 25 lignes sur ce bon",IF(R1401="","Date de livraison manquante",IF(R1401&lt;B1401,"Livraison avant la commande",IF(AND(N(T1401)&gt;0,N(S1401)=0),"Date d'envoi manquante",IF(N(T1401)&gt;N(H1401),"Reçu plus que commandé",IF(AND(N(T1401)&gt;0,N(U1401)=0),"Date de réception manquante",IF(AND(N(U1401)&gt;0,U1401&lt;B1401),"Réception avant la commande","OK")))))))))))))))))))))</f>
        <v/>
      </c>
      <c r="AA1401" s="66" t="str">
        <f>IF(AND(X1401="Reçu",ISNUMBER(R1401)),IF(N(U1401)&lt;=R1401,1,0),"")</f>
        <v/>
      </c>
      <c r="AB1401" s="76" t="str">
        <f>IF(OR(X1401="Envoyé",X1401="Partiel",X1401="En retard"),IF(ISNUMBER(R1401),R1401,100000)+ROW()/100000,"")</f>
        <v/>
      </c>
      <c r="AC1401" s="66" t="str">
        <f>IF(A1401="","",IF(COUNTIF($A$6:A1401,A1401)=1,1,""))</f>
        <v/>
      </c>
      <c r="AD1401" s="66" t="str">
        <f>IF(AC1401=1,COUNT($AC$6:AC1401),"")</f>
        <v/>
      </c>
      <c r="AE1401" s="66" t="str">
        <f>IFERROR(INDEX(po_num,MATCH(1396,po_seq,0))&amp;"","")</f>
        <v/>
      </c>
      <c r="AF1401" s="66" t="str">
        <f>IF(OR(A1401="",p_po=""),"",IF(A1401&amp;""=p_po,COUNTIF($A$6:A1401,A1401),""))</f>
        <v/>
      </c>
      <c r="AG1401" s="66" t="str">
        <f>IF(OR(AB1401="",A1401=""),"",IF(COUNTIFS($A$6:A1401,A1401,$AB$6:AB1401,"&gt;0")=1,1,""))</f>
        <v/>
      </c>
      <c r="AH1401" s="70" t="str">
        <f>IF(AB1401="","",ROUND(N(W1401)*N(J1401)*(1-N(K1401)),2))</f>
        <v/>
      </c>
      <c r="AI1401" s="70" t="str">
        <f>IF(OR(J1401="",N(T1401)&lt;=0,V1401="Oui"),"",ROUND(N(T1401)*J1401*(1-N(K1401)),2))</f>
        <v/>
      </c>
    </row>
    <row r="1402">
      <c r="A1402" s="63" t="n"/>
      <c r="B1402" s="64" t="n"/>
      <c r="C1402" s="65" t="n"/>
      <c r="D1402" s="66" t="str">
        <f>IF(C1402="","",IFERROR(INDEX(sup_name,MATCH($C1402,sup_code,0))&amp;"","Fournisseur inconnu"))</f>
        <v/>
      </c>
      <c r="E1402" s="63" t="n"/>
      <c r="F1402" s="66" t="str">
        <f>IF(E1402="","",IFERROR(INDEX(art_des,MATCH($E1402,art_ref,0))&amp;"","Article inconnu"))</f>
        <v/>
      </c>
      <c r="G1402" s="67" t="str">
        <f>IF(E1402="","",IFERROR(INDEX(art_unit,MATCH($E1402,art_ref,0))&amp;"",""))</f>
        <v/>
      </c>
      <c r="H1402" s="68" t="n"/>
      <c r="I1402" s="69" t="n"/>
      <c r="J1402" s="70" t="str">
        <f>IF(E1402="","",IF(ISNUMBER(I1402),I1402,IFERROR(IF(ISNUMBER(INDEX(art_price,MATCH($E1402,art_ref,0))),INDEX(art_price,MATCH($E1402,art_ref,0)),""),"")))</f>
        <v/>
      </c>
      <c r="K1402" s="71" t="n"/>
      <c r="L1402" s="72" t="n"/>
      <c r="M1402" s="72" t="str">
        <f>IF(E1402="","",IF(L1402&lt;&gt;"",L1402,IFERROR(IF(ISNUMBER(INDEX(art_tva,MATCH($E1402,art_ref,0))),INDEX(art_tva,MATCH($E1402,art_ref,0)),""),"")))</f>
        <v/>
      </c>
      <c r="N1402" s="70" t="str">
        <f>IF(OR(E1402="",J1402=""),"",ROUND(N(H1402)*J1402*(1-N(K1402)),2))</f>
        <v/>
      </c>
      <c r="O1402" s="70" t="str">
        <f>IF(OR(N1402="",NOT(ISNUMBER(M1402))),"",ROUND(N1402*M1402,2))</f>
        <v/>
      </c>
      <c r="P1402" s="70" t="str">
        <f>IF(N1402="","",N1402+N(O1402))</f>
        <v/>
      </c>
      <c r="Q1402" s="64" t="n"/>
      <c r="R1402" s="73" t="str">
        <f>IF(N(Q1402)&gt;0,Q1402,IF(OR(N(B1402)=0,ISNA(MATCH($C1402,sup_code,0))),"",IF(ISNUMBER(INDEX(sup_delay,MATCH($C1402,sup_code,0))),B1402+INDEX(sup_delay,MATCH($C1402,sup_code,0)),"")))</f>
        <v/>
      </c>
      <c r="S1402" s="64" t="n"/>
      <c r="T1402" s="68" t="n"/>
      <c r="U1402" s="64" t="n"/>
      <c r="V1402" s="65" t="n"/>
      <c r="W1402" s="74" t="str">
        <f>IF(AND(A1402="",E1402=""),"",IF(V1402="Oui",0,MAX(0,ROUND(N(H1402)-N(T1402),6))))</f>
        <v/>
      </c>
      <c r="X1402" s="67" t="str">
        <f>IF(AND(A1402="",E1402=""),"",IF(V1402="Oui","Annulé",IF(AND(N(H1402)&gt;0,N(T1402)&gt;=N(H1402)),"Reçu",IF(N(S1402)=0,"Brouillon",IF(AND(ISNUMBER(R1402),R1402&lt;p_today),"En retard",IF(N(T1402)&gt;0,"Partiel","Envoyé"))))))</f>
        <v/>
      </c>
      <c r="Y1402" s="75" t="str">
        <f>IF(X1402="En retard",p_today-R1402,IF(AND(X1402="Reçu",ISNUMBER(R1402)),MAX(0,N(U1402)-R1402),""))</f>
        <v/>
      </c>
      <c r="Z1402" s="67" t="str">
        <f>IF(AND(A1402="",E1402=""),"",IF(A1402="","N° de bon manquant",IF(N(B1402)=0,"Date de commande manquante",IF(C1402="","Fournisseur manquant",IF(ISNA(MATCH($C1402,sup_code,0)),"Fournisseur inconnu",IF(E1402="","Article manquant",IF(ISNA(MATCH($E1402,art_ref,0)),"Article inconnu",IF(N(H1402)&lt;=0,"Quantité invalide",IF(J1402="","Prix manquant",IF(OR(N(K1402)&lt;0,N(K1402)&gt;=1),"Remise invalide",IF(M1402="","TVA manquante",IF(ISNA(MATCH(M1402,p_tva,0)),"Taux de TVA inconnu",IF(COUNTIFS(po_num,A1402,po_sup,"&lt;&gt;"&amp;C1402)&gt;0,"Fournisseur différent sur ce bon",IF(COUNTIFS(po_num,A1402,po_date,"&lt;&gt;"&amp;B1402)&gt;0,"Date différente sur ce bon",IF(COUNTIF(po_num,A1402)&gt;25,"Plus de 25 lignes sur ce bon",IF(R1402="","Date de livraison manquante",IF(R1402&lt;B1402,"Livraison avant la commande",IF(AND(N(T1402)&gt;0,N(S1402)=0),"Date d'envoi manquante",IF(N(T1402)&gt;N(H1402),"Reçu plus que commandé",IF(AND(N(T1402)&gt;0,N(U1402)=0),"Date de réception manquante",IF(AND(N(U1402)&gt;0,U1402&lt;B1402),"Réception avant la commande","OK")))))))))))))))))))))</f>
        <v/>
      </c>
      <c r="AA1402" s="66" t="str">
        <f>IF(AND(X1402="Reçu",ISNUMBER(R1402)),IF(N(U1402)&lt;=R1402,1,0),"")</f>
        <v/>
      </c>
      <c r="AB1402" s="76" t="str">
        <f>IF(OR(X1402="Envoyé",X1402="Partiel",X1402="En retard"),IF(ISNUMBER(R1402),R1402,100000)+ROW()/100000,"")</f>
        <v/>
      </c>
      <c r="AC1402" s="66" t="str">
        <f>IF(A1402="","",IF(COUNTIF($A$6:A1402,A1402)=1,1,""))</f>
        <v/>
      </c>
      <c r="AD1402" s="66" t="str">
        <f>IF(AC1402=1,COUNT($AC$6:AC1402),"")</f>
        <v/>
      </c>
      <c r="AE1402" s="66" t="str">
        <f>IFERROR(INDEX(po_num,MATCH(1397,po_seq,0))&amp;"","")</f>
        <v/>
      </c>
      <c r="AF1402" s="66" t="str">
        <f>IF(OR(A1402="",p_po=""),"",IF(A1402&amp;""=p_po,COUNTIF($A$6:A1402,A1402),""))</f>
        <v/>
      </c>
      <c r="AG1402" s="66" t="str">
        <f>IF(OR(AB1402="",A1402=""),"",IF(COUNTIFS($A$6:A1402,A1402,$AB$6:AB1402,"&gt;0")=1,1,""))</f>
        <v/>
      </c>
      <c r="AH1402" s="70" t="str">
        <f>IF(AB1402="","",ROUND(N(W1402)*N(J1402)*(1-N(K1402)),2))</f>
        <v/>
      </c>
      <c r="AI1402" s="70" t="str">
        <f>IF(OR(J1402="",N(T1402)&lt;=0,V1402="Oui"),"",ROUND(N(T1402)*J1402*(1-N(K1402)),2))</f>
        <v/>
      </c>
    </row>
    <row r="1403">
      <c r="A1403" s="63" t="n"/>
      <c r="B1403" s="64" t="n"/>
      <c r="C1403" s="65" t="n"/>
      <c r="D1403" s="66" t="str">
        <f>IF(C1403="","",IFERROR(INDEX(sup_name,MATCH($C1403,sup_code,0))&amp;"","Fournisseur inconnu"))</f>
        <v/>
      </c>
      <c r="E1403" s="63" t="n"/>
      <c r="F1403" s="66" t="str">
        <f>IF(E1403="","",IFERROR(INDEX(art_des,MATCH($E1403,art_ref,0))&amp;"","Article inconnu"))</f>
        <v/>
      </c>
      <c r="G1403" s="67" t="str">
        <f>IF(E1403="","",IFERROR(INDEX(art_unit,MATCH($E1403,art_ref,0))&amp;"",""))</f>
        <v/>
      </c>
      <c r="H1403" s="68" t="n"/>
      <c r="I1403" s="69" t="n"/>
      <c r="J1403" s="70" t="str">
        <f>IF(E1403="","",IF(ISNUMBER(I1403),I1403,IFERROR(IF(ISNUMBER(INDEX(art_price,MATCH($E1403,art_ref,0))),INDEX(art_price,MATCH($E1403,art_ref,0)),""),"")))</f>
        <v/>
      </c>
      <c r="K1403" s="71" t="n"/>
      <c r="L1403" s="72" t="n"/>
      <c r="M1403" s="72" t="str">
        <f>IF(E1403="","",IF(L1403&lt;&gt;"",L1403,IFERROR(IF(ISNUMBER(INDEX(art_tva,MATCH($E1403,art_ref,0))),INDEX(art_tva,MATCH($E1403,art_ref,0)),""),"")))</f>
        <v/>
      </c>
      <c r="N1403" s="70" t="str">
        <f>IF(OR(E1403="",J1403=""),"",ROUND(N(H1403)*J1403*(1-N(K1403)),2))</f>
        <v/>
      </c>
      <c r="O1403" s="70" t="str">
        <f>IF(OR(N1403="",NOT(ISNUMBER(M1403))),"",ROUND(N1403*M1403,2))</f>
        <v/>
      </c>
      <c r="P1403" s="70" t="str">
        <f>IF(N1403="","",N1403+N(O1403))</f>
        <v/>
      </c>
      <c r="Q1403" s="64" t="n"/>
      <c r="R1403" s="73" t="str">
        <f>IF(N(Q1403)&gt;0,Q1403,IF(OR(N(B1403)=0,ISNA(MATCH($C1403,sup_code,0))),"",IF(ISNUMBER(INDEX(sup_delay,MATCH($C1403,sup_code,0))),B1403+INDEX(sup_delay,MATCH($C1403,sup_code,0)),"")))</f>
        <v/>
      </c>
      <c r="S1403" s="64" t="n"/>
      <c r="T1403" s="68" t="n"/>
      <c r="U1403" s="64" t="n"/>
      <c r="V1403" s="65" t="n"/>
      <c r="W1403" s="74" t="str">
        <f>IF(AND(A1403="",E1403=""),"",IF(V1403="Oui",0,MAX(0,ROUND(N(H1403)-N(T1403),6))))</f>
        <v/>
      </c>
      <c r="X1403" s="67" t="str">
        <f>IF(AND(A1403="",E1403=""),"",IF(V1403="Oui","Annulé",IF(AND(N(H1403)&gt;0,N(T1403)&gt;=N(H1403)),"Reçu",IF(N(S1403)=0,"Brouillon",IF(AND(ISNUMBER(R1403),R1403&lt;p_today),"En retard",IF(N(T1403)&gt;0,"Partiel","Envoyé"))))))</f>
        <v/>
      </c>
      <c r="Y1403" s="75" t="str">
        <f>IF(X1403="En retard",p_today-R1403,IF(AND(X1403="Reçu",ISNUMBER(R1403)),MAX(0,N(U1403)-R1403),""))</f>
        <v/>
      </c>
      <c r="Z1403" s="67" t="str">
        <f>IF(AND(A1403="",E1403=""),"",IF(A1403="","N° de bon manquant",IF(N(B1403)=0,"Date de commande manquante",IF(C1403="","Fournisseur manquant",IF(ISNA(MATCH($C1403,sup_code,0)),"Fournisseur inconnu",IF(E1403="","Article manquant",IF(ISNA(MATCH($E1403,art_ref,0)),"Article inconnu",IF(N(H1403)&lt;=0,"Quantité invalide",IF(J1403="","Prix manquant",IF(OR(N(K1403)&lt;0,N(K1403)&gt;=1),"Remise invalide",IF(M1403="","TVA manquante",IF(ISNA(MATCH(M1403,p_tva,0)),"Taux de TVA inconnu",IF(COUNTIFS(po_num,A1403,po_sup,"&lt;&gt;"&amp;C1403)&gt;0,"Fournisseur différent sur ce bon",IF(COUNTIFS(po_num,A1403,po_date,"&lt;&gt;"&amp;B1403)&gt;0,"Date différente sur ce bon",IF(COUNTIF(po_num,A1403)&gt;25,"Plus de 25 lignes sur ce bon",IF(R1403="","Date de livraison manquante",IF(R1403&lt;B1403,"Livraison avant la commande",IF(AND(N(T1403)&gt;0,N(S1403)=0),"Date d'envoi manquante",IF(N(T1403)&gt;N(H1403),"Reçu plus que commandé",IF(AND(N(T1403)&gt;0,N(U1403)=0),"Date de réception manquante",IF(AND(N(U1403)&gt;0,U1403&lt;B1403),"Réception avant la commande","OK")))))))))))))))))))))</f>
        <v/>
      </c>
      <c r="AA1403" s="66" t="str">
        <f>IF(AND(X1403="Reçu",ISNUMBER(R1403)),IF(N(U1403)&lt;=R1403,1,0),"")</f>
        <v/>
      </c>
      <c r="AB1403" s="76" t="str">
        <f>IF(OR(X1403="Envoyé",X1403="Partiel",X1403="En retard"),IF(ISNUMBER(R1403),R1403,100000)+ROW()/100000,"")</f>
        <v/>
      </c>
      <c r="AC1403" s="66" t="str">
        <f>IF(A1403="","",IF(COUNTIF($A$6:A1403,A1403)=1,1,""))</f>
        <v/>
      </c>
      <c r="AD1403" s="66" t="str">
        <f>IF(AC1403=1,COUNT($AC$6:AC1403),"")</f>
        <v/>
      </c>
      <c r="AE1403" s="66" t="str">
        <f>IFERROR(INDEX(po_num,MATCH(1398,po_seq,0))&amp;"","")</f>
        <v/>
      </c>
      <c r="AF1403" s="66" t="str">
        <f>IF(OR(A1403="",p_po=""),"",IF(A1403&amp;""=p_po,COUNTIF($A$6:A1403,A1403),""))</f>
        <v/>
      </c>
      <c r="AG1403" s="66" t="str">
        <f>IF(OR(AB1403="",A1403=""),"",IF(COUNTIFS($A$6:A1403,A1403,$AB$6:AB1403,"&gt;0")=1,1,""))</f>
        <v/>
      </c>
      <c r="AH1403" s="70" t="str">
        <f>IF(AB1403="","",ROUND(N(W1403)*N(J1403)*(1-N(K1403)),2))</f>
        <v/>
      </c>
      <c r="AI1403" s="70" t="str">
        <f>IF(OR(J1403="",N(T1403)&lt;=0,V1403="Oui"),"",ROUND(N(T1403)*J1403*(1-N(K1403)),2))</f>
        <v/>
      </c>
    </row>
    <row r="1404">
      <c r="A1404" s="63" t="n"/>
      <c r="B1404" s="64" t="n"/>
      <c r="C1404" s="65" t="n"/>
      <c r="D1404" s="66" t="str">
        <f>IF(C1404="","",IFERROR(INDEX(sup_name,MATCH($C1404,sup_code,0))&amp;"","Fournisseur inconnu"))</f>
        <v/>
      </c>
      <c r="E1404" s="63" t="n"/>
      <c r="F1404" s="66" t="str">
        <f>IF(E1404="","",IFERROR(INDEX(art_des,MATCH($E1404,art_ref,0))&amp;"","Article inconnu"))</f>
        <v/>
      </c>
      <c r="G1404" s="67" t="str">
        <f>IF(E1404="","",IFERROR(INDEX(art_unit,MATCH($E1404,art_ref,0))&amp;"",""))</f>
        <v/>
      </c>
      <c r="H1404" s="68" t="n"/>
      <c r="I1404" s="69" t="n"/>
      <c r="J1404" s="70" t="str">
        <f>IF(E1404="","",IF(ISNUMBER(I1404),I1404,IFERROR(IF(ISNUMBER(INDEX(art_price,MATCH($E1404,art_ref,0))),INDEX(art_price,MATCH($E1404,art_ref,0)),""),"")))</f>
        <v/>
      </c>
      <c r="K1404" s="71" t="n"/>
      <c r="L1404" s="72" t="n"/>
      <c r="M1404" s="72" t="str">
        <f>IF(E1404="","",IF(L1404&lt;&gt;"",L1404,IFERROR(IF(ISNUMBER(INDEX(art_tva,MATCH($E1404,art_ref,0))),INDEX(art_tva,MATCH($E1404,art_ref,0)),""),"")))</f>
        <v/>
      </c>
      <c r="N1404" s="70" t="str">
        <f>IF(OR(E1404="",J1404=""),"",ROUND(N(H1404)*J1404*(1-N(K1404)),2))</f>
        <v/>
      </c>
      <c r="O1404" s="70" t="str">
        <f>IF(OR(N1404="",NOT(ISNUMBER(M1404))),"",ROUND(N1404*M1404,2))</f>
        <v/>
      </c>
      <c r="P1404" s="70" t="str">
        <f>IF(N1404="","",N1404+N(O1404))</f>
        <v/>
      </c>
      <c r="Q1404" s="64" t="n"/>
      <c r="R1404" s="73" t="str">
        <f>IF(N(Q1404)&gt;0,Q1404,IF(OR(N(B1404)=0,ISNA(MATCH($C1404,sup_code,0))),"",IF(ISNUMBER(INDEX(sup_delay,MATCH($C1404,sup_code,0))),B1404+INDEX(sup_delay,MATCH($C1404,sup_code,0)),"")))</f>
        <v/>
      </c>
      <c r="S1404" s="64" t="n"/>
      <c r="T1404" s="68" t="n"/>
      <c r="U1404" s="64" t="n"/>
      <c r="V1404" s="65" t="n"/>
      <c r="W1404" s="74" t="str">
        <f>IF(AND(A1404="",E1404=""),"",IF(V1404="Oui",0,MAX(0,ROUND(N(H1404)-N(T1404),6))))</f>
        <v/>
      </c>
      <c r="X1404" s="67" t="str">
        <f>IF(AND(A1404="",E1404=""),"",IF(V1404="Oui","Annulé",IF(AND(N(H1404)&gt;0,N(T1404)&gt;=N(H1404)),"Reçu",IF(N(S1404)=0,"Brouillon",IF(AND(ISNUMBER(R1404),R1404&lt;p_today),"En retard",IF(N(T1404)&gt;0,"Partiel","Envoyé"))))))</f>
        <v/>
      </c>
      <c r="Y1404" s="75" t="str">
        <f>IF(X1404="En retard",p_today-R1404,IF(AND(X1404="Reçu",ISNUMBER(R1404)),MAX(0,N(U1404)-R1404),""))</f>
        <v/>
      </c>
      <c r="Z1404" s="67" t="str">
        <f>IF(AND(A1404="",E1404=""),"",IF(A1404="","N° de bon manquant",IF(N(B1404)=0,"Date de commande manquante",IF(C1404="","Fournisseur manquant",IF(ISNA(MATCH($C1404,sup_code,0)),"Fournisseur inconnu",IF(E1404="","Article manquant",IF(ISNA(MATCH($E1404,art_ref,0)),"Article inconnu",IF(N(H1404)&lt;=0,"Quantité invalide",IF(J1404="","Prix manquant",IF(OR(N(K1404)&lt;0,N(K1404)&gt;=1),"Remise invalide",IF(M1404="","TVA manquante",IF(ISNA(MATCH(M1404,p_tva,0)),"Taux de TVA inconnu",IF(COUNTIFS(po_num,A1404,po_sup,"&lt;&gt;"&amp;C1404)&gt;0,"Fournisseur différent sur ce bon",IF(COUNTIFS(po_num,A1404,po_date,"&lt;&gt;"&amp;B1404)&gt;0,"Date différente sur ce bon",IF(COUNTIF(po_num,A1404)&gt;25,"Plus de 25 lignes sur ce bon",IF(R1404="","Date de livraison manquante",IF(R1404&lt;B1404,"Livraison avant la commande",IF(AND(N(T1404)&gt;0,N(S1404)=0),"Date d'envoi manquante",IF(N(T1404)&gt;N(H1404),"Reçu plus que commandé",IF(AND(N(T1404)&gt;0,N(U1404)=0),"Date de réception manquante",IF(AND(N(U1404)&gt;0,U1404&lt;B1404),"Réception avant la commande","OK")))))))))))))))))))))</f>
        <v/>
      </c>
      <c r="AA1404" s="66" t="str">
        <f>IF(AND(X1404="Reçu",ISNUMBER(R1404)),IF(N(U1404)&lt;=R1404,1,0),"")</f>
        <v/>
      </c>
      <c r="AB1404" s="76" t="str">
        <f>IF(OR(X1404="Envoyé",X1404="Partiel",X1404="En retard"),IF(ISNUMBER(R1404),R1404,100000)+ROW()/100000,"")</f>
        <v/>
      </c>
      <c r="AC1404" s="66" t="str">
        <f>IF(A1404="","",IF(COUNTIF($A$6:A1404,A1404)=1,1,""))</f>
        <v/>
      </c>
      <c r="AD1404" s="66" t="str">
        <f>IF(AC1404=1,COUNT($AC$6:AC1404),"")</f>
        <v/>
      </c>
      <c r="AE1404" s="66" t="str">
        <f>IFERROR(INDEX(po_num,MATCH(1399,po_seq,0))&amp;"","")</f>
        <v/>
      </c>
      <c r="AF1404" s="66" t="str">
        <f>IF(OR(A1404="",p_po=""),"",IF(A1404&amp;""=p_po,COUNTIF($A$6:A1404,A1404),""))</f>
        <v/>
      </c>
      <c r="AG1404" s="66" t="str">
        <f>IF(OR(AB1404="",A1404=""),"",IF(COUNTIFS($A$6:A1404,A1404,$AB$6:AB1404,"&gt;0")=1,1,""))</f>
        <v/>
      </c>
      <c r="AH1404" s="70" t="str">
        <f>IF(AB1404="","",ROUND(N(W1404)*N(J1404)*(1-N(K1404)),2))</f>
        <v/>
      </c>
      <c r="AI1404" s="70" t="str">
        <f>IF(OR(J1404="",N(T1404)&lt;=0,V1404="Oui"),"",ROUND(N(T1404)*J1404*(1-N(K1404)),2))</f>
        <v/>
      </c>
    </row>
    <row r="1405">
      <c r="A1405" s="63" t="n"/>
      <c r="B1405" s="64" t="n"/>
      <c r="C1405" s="65" t="n"/>
      <c r="D1405" s="66" t="str">
        <f>IF(C1405="","",IFERROR(INDEX(sup_name,MATCH($C1405,sup_code,0))&amp;"","Fournisseur inconnu"))</f>
        <v/>
      </c>
      <c r="E1405" s="63" t="n"/>
      <c r="F1405" s="66" t="str">
        <f>IF(E1405="","",IFERROR(INDEX(art_des,MATCH($E1405,art_ref,0))&amp;"","Article inconnu"))</f>
        <v/>
      </c>
      <c r="G1405" s="67" t="str">
        <f>IF(E1405="","",IFERROR(INDEX(art_unit,MATCH($E1405,art_ref,0))&amp;"",""))</f>
        <v/>
      </c>
      <c r="H1405" s="68" t="n"/>
      <c r="I1405" s="69" t="n"/>
      <c r="J1405" s="70" t="str">
        <f>IF(E1405="","",IF(ISNUMBER(I1405),I1405,IFERROR(IF(ISNUMBER(INDEX(art_price,MATCH($E1405,art_ref,0))),INDEX(art_price,MATCH($E1405,art_ref,0)),""),"")))</f>
        <v/>
      </c>
      <c r="K1405" s="71" t="n"/>
      <c r="L1405" s="72" t="n"/>
      <c r="M1405" s="72" t="str">
        <f>IF(E1405="","",IF(L1405&lt;&gt;"",L1405,IFERROR(IF(ISNUMBER(INDEX(art_tva,MATCH($E1405,art_ref,0))),INDEX(art_tva,MATCH($E1405,art_ref,0)),""),"")))</f>
        <v/>
      </c>
      <c r="N1405" s="70" t="str">
        <f>IF(OR(E1405="",J1405=""),"",ROUND(N(H1405)*J1405*(1-N(K1405)),2))</f>
        <v/>
      </c>
      <c r="O1405" s="70" t="str">
        <f>IF(OR(N1405="",NOT(ISNUMBER(M1405))),"",ROUND(N1405*M1405,2))</f>
        <v/>
      </c>
      <c r="P1405" s="70" t="str">
        <f>IF(N1405="","",N1405+N(O1405))</f>
        <v/>
      </c>
      <c r="Q1405" s="64" t="n"/>
      <c r="R1405" s="73" t="str">
        <f>IF(N(Q1405)&gt;0,Q1405,IF(OR(N(B1405)=0,ISNA(MATCH($C1405,sup_code,0))),"",IF(ISNUMBER(INDEX(sup_delay,MATCH($C1405,sup_code,0))),B1405+INDEX(sup_delay,MATCH($C1405,sup_code,0)),"")))</f>
        <v/>
      </c>
      <c r="S1405" s="64" t="n"/>
      <c r="T1405" s="68" t="n"/>
      <c r="U1405" s="64" t="n"/>
      <c r="V1405" s="65" t="n"/>
      <c r="W1405" s="74" t="str">
        <f>IF(AND(A1405="",E1405=""),"",IF(V1405="Oui",0,MAX(0,ROUND(N(H1405)-N(T1405),6))))</f>
        <v/>
      </c>
      <c r="X1405" s="67" t="str">
        <f>IF(AND(A1405="",E1405=""),"",IF(V1405="Oui","Annulé",IF(AND(N(H1405)&gt;0,N(T1405)&gt;=N(H1405)),"Reçu",IF(N(S1405)=0,"Brouillon",IF(AND(ISNUMBER(R1405),R1405&lt;p_today),"En retard",IF(N(T1405)&gt;0,"Partiel","Envoyé"))))))</f>
        <v/>
      </c>
      <c r="Y1405" s="75" t="str">
        <f>IF(X1405="En retard",p_today-R1405,IF(AND(X1405="Reçu",ISNUMBER(R1405)),MAX(0,N(U1405)-R1405),""))</f>
        <v/>
      </c>
      <c r="Z1405" s="67" t="str">
        <f>IF(AND(A1405="",E1405=""),"",IF(A1405="","N° de bon manquant",IF(N(B1405)=0,"Date de commande manquante",IF(C1405="","Fournisseur manquant",IF(ISNA(MATCH($C1405,sup_code,0)),"Fournisseur inconnu",IF(E1405="","Article manquant",IF(ISNA(MATCH($E1405,art_ref,0)),"Article inconnu",IF(N(H1405)&lt;=0,"Quantité invalide",IF(J1405="","Prix manquant",IF(OR(N(K1405)&lt;0,N(K1405)&gt;=1),"Remise invalide",IF(M1405="","TVA manquante",IF(ISNA(MATCH(M1405,p_tva,0)),"Taux de TVA inconnu",IF(COUNTIFS(po_num,A1405,po_sup,"&lt;&gt;"&amp;C1405)&gt;0,"Fournisseur différent sur ce bon",IF(COUNTIFS(po_num,A1405,po_date,"&lt;&gt;"&amp;B1405)&gt;0,"Date différente sur ce bon",IF(COUNTIF(po_num,A1405)&gt;25,"Plus de 25 lignes sur ce bon",IF(R1405="","Date de livraison manquante",IF(R1405&lt;B1405,"Livraison avant la commande",IF(AND(N(T1405)&gt;0,N(S1405)=0),"Date d'envoi manquante",IF(N(T1405)&gt;N(H1405),"Reçu plus que commandé",IF(AND(N(T1405)&gt;0,N(U1405)=0),"Date de réception manquante",IF(AND(N(U1405)&gt;0,U1405&lt;B1405),"Réception avant la commande","OK")))))))))))))))))))))</f>
        <v/>
      </c>
      <c r="AA1405" s="66" t="str">
        <f>IF(AND(X1405="Reçu",ISNUMBER(R1405)),IF(N(U1405)&lt;=R1405,1,0),"")</f>
        <v/>
      </c>
      <c r="AB1405" s="76" t="str">
        <f>IF(OR(X1405="Envoyé",X1405="Partiel",X1405="En retard"),IF(ISNUMBER(R1405),R1405,100000)+ROW()/100000,"")</f>
        <v/>
      </c>
      <c r="AC1405" s="66" t="str">
        <f>IF(A1405="","",IF(COUNTIF($A$6:A1405,A1405)=1,1,""))</f>
        <v/>
      </c>
      <c r="AD1405" s="66" t="str">
        <f>IF(AC1405=1,COUNT($AC$6:AC1405),"")</f>
        <v/>
      </c>
      <c r="AE1405" s="66" t="str">
        <f>IFERROR(INDEX(po_num,MATCH(1400,po_seq,0))&amp;"","")</f>
        <v/>
      </c>
      <c r="AF1405" s="66" t="str">
        <f>IF(OR(A1405="",p_po=""),"",IF(A1405&amp;""=p_po,COUNTIF($A$6:A1405,A1405),""))</f>
        <v/>
      </c>
      <c r="AG1405" s="66" t="str">
        <f>IF(OR(AB1405="",A1405=""),"",IF(COUNTIFS($A$6:A1405,A1405,$AB$6:AB1405,"&gt;0")=1,1,""))</f>
        <v/>
      </c>
      <c r="AH1405" s="70" t="str">
        <f>IF(AB1405="","",ROUND(N(W1405)*N(J1405)*(1-N(K1405)),2))</f>
        <v/>
      </c>
      <c r="AI1405" s="70" t="str">
        <f>IF(OR(J1405="",N(T1405)&lt;=0,V1405="Oui"),"",ROUND(N(T1405)*J1405*(1-N(K1405)),2))</f>
        <v/>
      </c>
    </row>
    <row r="1406">
      <c r="A1406" s="63" t="n"/>
      <c r="B1406" s="64" t="n"/>
      <c r="C1406" s="65" t="n"/>
      <c r="D1406" s="66" t="str">
        <f>IF(C1406="","",IFERROR(INDEX(sup_name,MATCH($C1406,sup_code,0))&amp;"","Fournisseur inconnu"))</f>
        <v/>
      </c>
      <c r="E1406" s="63" t="n"/>
      <c r="F1406" s="66" t="str">
        <f>IF(E1406="","",IFERROR(INDEX(art_des,MATCH($E1406,art_ref,0))&amp;"","Article inconnu"))</f>
        <v/>
      </c>
      <c r="G1406" s="67" t="str">
        <f>IF(E1406="","",IFERROR(INDEX(art_unit,MATCH($E1406,art_ref,0))&amp;"",""))</f>
        <v/>
      </c>
      <c r="H1406" s="68" t="n"/>
      <c r="I1406" s="69" t="n"/>
      <c r="J1406" s="70" t="str">
        <f>IF(E1406="","",IF(ISNUMBER(I1406),I1406,IFERROR(IF(ISNUMBER(INDEX(art_price,MATCH($E1406,art_ref,0))),INDEX(art_price,MATCH($E1406,art_ref,0)),""),"")))</f>
        <v/>
      </c>
      <c r="K1406" s="71" t="n"/>
      <c r="L1406" s="72" t="n"/>
      <c r="M1406" s="72" t="str">
        <f>IF(E1406="","",IF(L1406&lt;&gt;"",L1406,IFERROR(IF(ISNUMBER(INDEX(art_tva,MATCH($E1406,art_ref,0))),INDEX(art_tva,MATCH($E1406,art_ref,0)),""),"")))</f>
        <v/>
      </c>
      <c r="N1406" s="70" t="str">
        <f>IF(OR(E1406="",J1406=""),"",ROUND(N(H1406)*J1406*(1-N(K1406)),2))</f>
        <v/>
      </c>
      <c r="O1406" s="70" t="str">
        <f>IF(OR(N1406="",NOT(ISNUMBER(M1406))),"",ROUND(N1406*M1406,2))</f>
        <v/>
      </c>
      <c r="P1406" s="70" t="str">
        <f>IF(N1406="","",N1406+N(O1406))</f>
        <v/>
      </c>
      <c r="Q1406" s="64" t="n"/>
      <c r="R1406" s="73" t="str">
        <f>IF(N(Q1406)&gt;0,Q1406,IF(OR(N(B1406)=0,ISNA(MATCH($C1406,sup_code,0))),"",IF(ISNUMBER(INDEX(sup_delay,MATCH($C1406,sup_code,0))),B1406+INDEX(sup_delay,MATCH($C1406,sup_code,0)),"")))</f>
        <v/>
      </c>
      <c r="S1406" s="64" t="n"/>
      <c r="T1406" s="68" t="n"/>
      <c r="U1406" s="64" t="n"/>
      <c r="V1406" s="65" t="n"/>
      <c r="W1406" s="74" t="str">
        <f>IF(AND(A1406="",E1406=""),"",IF(V1406="Oui",0,MAX(0,ROUND(N(H1406)-N(T1406),6))))</f>
        <v/>
      </c>
      <c r="X1406" s="67" t="str">
        <f>IF(AND(A1406="",E1406=""),"",IF(V1406="Oui","Annulé",IF(AND(N(H1406)&gt;0,N(T1406)&gt;=N(H1406)),"Reçu",IF(N(S1406)=0,"Brouillon",IF(AND(ISNUMBER(R1406),R1406&lt;p_today),"En retard",IF(N(T1406)&gt;0,"Partiel","Envoyé"))))))</f>
        <v/>
      </c>
      <c r="Y1406" s="75" t="str">
        <f>IF(X1406="En retard",p_today-R1406,IF(AND(X1406="Reçu",ISNUMBER(R1406)),MAX(0,N(U1406)-R1406),""))</f>
        <v/>
      </c>
      <c r="Z1406" s="67" t="str">
        <f>IF(AND(A1406="",E1406=""),"",IF(A1406="","N° de bon manquant",IF(N(B1406)=0,"Date de commande manquante",IF(C1406="","Fournisseur manquant",IF(ISNA(MATCH($C1406,sup_code,0)),"Fournisseur inconnu",IF(E1406="","Article manquant",IF(ISNA(MATCH($E1406,art_ref,0)),"Article inconnu",IF(N(H1406)&lt;=0,"Quantité invalide",IF(J1406="","Prix manquant",IF(OR(N(K1406)&lt;0,N(K1406)&gt;=1),"Remise invalide",IF(M1406="","TVA manquante",IF(ISNA(MATCH(M1406,p_tva,0)),"Taux de TVA inconnu",IF(COUNTIFS(po_num,A1406,po_sup,"&lt;&gt;"&amp;C1406)&gt;0,"Fournisseur différent sur ce bon",IF(COUNTIFS(po_num,A1406,po_date,"&lt;&gt;"&amp;B1406)&gt;0,"Date différente sur ce bon",IF(COUNTIF(po_num,A1406)&gt;25,"Plus de 25 lignes sur ce bon",IF(R1406="","Date de livraison manquante",IF(R1406&lt;B1406,"Livraison avant la commande",IF(AND(N(T1406)&gt;0,N(S1406)=0),"Date d'envoi manquante",IF(N(T1406)&gt;N(H1406),"Reçu plus que commandé",IF(AND(N(T1406)&gt;0,N(U1406)=0),"Date de réception manquante",IF(AND(N(U1406)&gt;0,U1406&lt;B1406),"Réception avant la commande","OK")))))))))))))))))))))</f>
        <v/>
      </c>
      <c r="AA1406" s="66" t="str">
        <f>IF(AND(X1406="Reçu",ISNUMBER(R1406)),IF(N(U1406)&lt;=R1406,1,0),"")</f>
        <v/>
      </c>
      <c r="AB1406" s="76" t="str">
        <f>IF(OR(X1406="Envoyé",X1406="Partiel",X1406="En retard"),IF(ISNUMBER(R1406),R1406,100000)+ROW()/100000,"")</f>
        <v/>
      </c>
      <c r="AC1406" s="66" t="str">
        <f>IF(A1406="","",IF(COUNTIF($A$6:A1406,A1406)=1,1,""))</f>
        <v/>
      </c>
      <c r="AD1406" s="66" t="str">
        <f>IF(AC1406=1,COUNT($AC$6:AC1406),"")</f>
        <v/>
      </c>
      <c r="AE1406" s="66" t="str">
        <f>IFERROR(INDEX(po_num,MATCH(1401,po_seq,0))&amp;"","")</f>
        <v/>
      </c>
      <c r="AF1406" s="66" t="str">
        <f>IF(OR(A1406="",p_po=""),"",IF(A1406&amp;""=p_po,COUNTIF($A$6:A1406,A1406),""))</f>
        <v/>
      </c>
      <c r="AG1406" s="66" t="str">
        <f>IF(OR(AB1406="",A1406=""),"",IF(COUNTIFS($A$6:A1406,A1406,$AB$6:AB1406,"&gt;0")=1,1,""))</f>
        <v/>
      </c>
      <c r="AH1406" s="70" t="str">
        <f>IF(AB1406="","",ROUND(N(W1406)*N(J1406)*(1-N(K1406)),2))</f>
        <v/>
      </c>
      <c r="AI1406" s="70" t="str">
        <f>IF(OR(J1406="",N(T1406)&lt;=0,V1406="Oui"),"",ROUND(N(T1406)*J1406*(1-N(K1406)),2))</f>
        <v/>
      </c>
    </row>
    <row r="1407">
      <c r="A1407" s="63" t="n"/>
      <c r="B1407" s="64" t="n"/>
      <c r="C1407" s="65" t="n"/>
      <c r="D1407" s="66" t="str">
        <f>IF(C1407="","",IFERROR(INDEX(sup_name,MATCH($C1407,sup_code,0))&amp;"","Fournisseur inconnu"))</f>
        <v/>
      </c>
      <c r="E1407" s="63" t="n"/>
      <c r="F1407" s="66" t="str">
        <f>IF(E1407="","",IFERROR(INDEX(art_des,MATCH($E1407,art_ref,0))&amp;"","Article inconnu"))</f>
        <v/>
      </c>
      <c r="G1407" s="67" t="str">
        <f>IF(E1407="","",IFERROR(INDEX(art_unit,MATCH($E1407,art_ref,0))&amp;"",""))</f>
        <v/>
      </c>
      <c r="H1407" s="68" t="n"/>
      <c r="I1407" s="69" t="n"/>
      <c r="J1407" s="70" t="str">
        <f>IF(E1407="","",IF(ISNUMBER(I1407),I1407,IFERROR(IF(ISNUMBER(INDEX(art_price,MATCH($E1407,art_ref,0))),INDEX(art_price,MATCH($E1407,art_ref,0)),""),"")))</f>
        <v/>
      </c>
      <c r="K1407" s="71" t="n"/>
      <c r="L1407" s="72" t="n"/>
      <c r="M1407" s="72" t="str">
        <f>IF(E1407="","",IF(L1407&lt;&gt;"",L1407,IFERROR(IF(ISNUMBER(INDEX(art_tva,MATCH($E1407,art_ref,0))),INDEX(art_tva,MATCH($E1407,art_ref,0)),""),"")))</f>
        <v/>
      </c>
      <c r="N1407" s="70" t="str">
        <f>IF(OR(E1407="",J1407=""),"",ROUND(N(H1407)*J1407*(1-N(K1407)),2))</f>
        <v/>
      </c>
      <c r="O1407" s="70" t="str">
        <f>IF(OR(N1407="",NOT(ISNUMBER(M1407))),"",ROUND(N1407*M1407,2))</f>
        <v/>
      </c>
      <c r="P1407" s="70" t="str">
        <f>IF(N1407="","",N1407+N(O1407))</f>
        <v/>
      </c>
      <c r="Q1407" s="64" t="n"/>
      <c r="R1407" s="73" t="str">
        <f>IF(N(Q1407)&gt;0,Q1407,IF(OR(N(B1407)=0,ISNA(MATCH($C1407,sup_code,0))),"",IF(ISNUMBER(INDEX(sup_delay,MATCH($C1407,sup_code,0))),B1407+INDEX(sup_delay,MATCH($C1407,sup_code,0)),"")))</f>
        <v/>
      </c>
      <c r="S1407" s="64" t="n"/>
      <c r="T1407" s="68" t="n"/>
      <c r="U1407" s="64" t="n"/>
      <c r="V1407" s="65" t="n"/>
      <c r="W1407" s="74" t="str">
        <f>IF(AND(A1407="",E1407=""),"",IF(V1407="Oui",0,MAX(0,ROUND(N(H1407)-N(T1407),6))))</f>
        <v/>
      </c>
      <c r="X1407" s="67" t="str">
        <f>IF(AND(A1407="",E1407=""),"",IF(V1407="Oui","Annulé",IF(AND(N(H1407)&gt;0,N(T1407)&gt;=N(H1407)),"Reçu",IF(N(S1407)=0,"Brouillon",IF(AND(ISNUMBER(R1407),R1407&lt;p_today),"En retard",IF(N(T1407)&gt;0,"Partiel","Envoyé"))))))</f>
        <v/>
      </c>
      <c r="Y1407" s="75" t="str">
        <f>IF(X1407="En retard",p_today-R1407,IF(AND(X1407="Reçu",ISNUMBER(R1407)),MAX(0,N(U1407)-R1407),""))</f>
        <v/>
      </c>
      <c r="Z1407" s="67" t="str">
        <f>IF(AND(A1407="",E1407=""),"",IF(A1407="","N° de bon manquant",IF(N(B1407)=0,"Date de commande manquante",IF(C1407="","Fournisseur manquant",IF(ISNA(MATCH($C1407,sup_code,0)),"Fournisseur inconnu",IF(E1407="","Article manquant",IF(ISNA(MATCH($E1407,art_ref,0)),"Article inconnu",IF(N(H1407)&lt;=0,"Quantité invalide",IF(J1407="","Prix manquant",IF(OR(N(K1407)&lt;0,N(K1407)&gt;=1),"Remise invalide",IF(M1407="","TVA manquante",IF(ISNA(MATCH(M1407,p_tva,0)),"Taux de TVA inconnu",IF(COUNTIFS(po_num,A1407,po_sup,"&lt;&gt;"&amp;C1407)&gt;0,"Fournisseur différent sur ce bon",IF(COUNTIFS(po_num,A1407,po_date,"&lt;&gt;"&amp;B1407)&gt;0,"Date différente sur ce bon",IF(COUNTIF(po_num,A1407)&gt;25,"Plus de 25 lignes sur ce bon",IF(R1407="","Date de livraison manquante",IF(R1407&lt;B1407,"Livraison avant la commande",IF(AND(N(T1407)&gt;0,N(S1407)=0),"Date d'envoi manquante",IF(N(T1407)&gt;N(H1407),"Reçu plus que commandé",IF(AND(N(T1407)&gt;0,N(U1407)=0),"Date de réception manquante",IF(AND(N(U1407)&gt;0,U1407&lt;B1407),"Réception avant la commande","OK")))))))))))))))))))))</f>
        <v/>
      </c>
      <c r="AA1407" s="66" t="str">
        <f>IF(AND(X1407="Reçu",ISNUMBER(R1407)),IF(N(U1407)&lt;=R1407,1,0),"")</f>
        <v/>
      </c>
      <c r="AB1407" s="76" t="str">
        <f>IF(OR(X1407="Envoyé",X1407="Partiel",X1407="En retard"),IF(ISNUMBER(R1407),R1407,100000)+ROW()/100000,"")</f>
        <v/>
      </c>
      <c r="AC1407" s="66" t="str">
        <f>IF(A1407="","",IF(COUNTIF($A$6:A1407,A1407)=1,1,""))</f>
        <v/>
      </c>
      <c r="AD1407" s="66" t="str">
        <f>IF(AC1407=1,COUNT($AC$6:AC1407),"")</f>
        <v/>
      </c>
      <c r="AE1407" s="66" t="str">
        <f>IFERROR(INDEX(po_num,MATCH(1402,po_seq,0))&amp;"","")</f>
        <v/>
      </c>
      <c r="AF1407" s="66" t="str">
        <f>IF(OR(A1407="",p_po=""),"",IF(A1407&amp;""=p_po,COUNTIF($A$6:A1407,A1407),""))</f>
        <v/>
      </c>
      <c r="AG1407" s="66" t="str">
        <f>IF(OR(AB1407="",A1407=""),"",IF(COUNTIFS($A$6:A1407,A1407,$AB$6:AB1407,"&gt;0")=1,1,""))</f>
        <v/>
      </c>
      <c r="AH1407" s="70" t="str">
        <f>IF(AB1407="","",ROUND(N(W1407)*N(J1407)*(1-N(K1407)),2))</f>
        <v/>
      </c>
      <c r="AI1407" s="70" t="str">
        <f>IF(OR(J1407="",N(T1407)&lt;=0,V1407="Oui"),"",ROUND(N(T1407)*J1407*(1-N(K1407)),2))</f>
        <v/>
      </c>
    </row>
    <row r="1408">
      <c r="A1408" s="63" t="n"/>
      <c r="B1408" s="64" t="n"/>
      <c r="C1408" s="65" t="n"/>
      <c r="D1408" s="66" t="str">
        <f>IF(C1408="","",IFERROR(INDEX(sup_name,MATCH($C1408,sup_code,0))&amp;"","Fournisseur inconnu"))</f>
        <v/>
      </c>
      <c r="E1408" s="63" t="n"/>
      <c r="F1408" s="66" t="str">
        <f>IF(E1408="","",IFERROR(INDEX(art_des,MATCH($E1408,art_ref,0))&amp;"","Article inconnu"))</f>
        <v/>
      </c>
      <c r="G1408" s="67" t="str">
        <f>IF(E1408="","",IFERROR(INDEX(art_unit,MATCH($E1408,art_ref,0))&amp;"",""))</f>
        <v/>
      </c>
      <c r="H1408" s="68" t="n"/>
      <c r="I1408" s="69" t="n"/>
      <c r="J1408" s="70" t="str">
        <f>IF(E1408="","",IF(ISNUMBER(I1408),I1408,IFERROR(IF(ISNUMBER(INDEX(art_price,MATCH($E1408,art_ref,0))),INDEX(art_price,MATCH($E1408,art_ref,0)),""),"")))</f>
        <v/>
      </c>
      <c r="K1408" s="71" t="n"/>
      <c r="L1408" s="72" t="n"/>
      <c r="M1408" s="72" t="str">
        <f>IF(E1408="","",IF(L1408&lt;&gt;"",L1408,IFERROR(IF(ISNUMBER(INDEX(art_tva,MATCH($E1408,art_ref,0))),INDEX(art_tva,MATCH($E1408,art_ref,0)),""),"")))</f>
        <v/>
      </c>
      <c r="N1408" s="70" t="str">
        <f>IF(OR(E1408="",J1408=""),"",ROUND(N(H1408)*J1408*(1-N(K1408)),2))</f>
        <v/>
      </c>
      <c r="O1408" s="70" t="str">
        <f>IF(OR(N1408="",NOT(ISNUMBER(M1408))),"",ROUND(N1408*M1408,2))</f>
        <v/>
      </c>
      <c r="P1408" s="70" t="str">
        <f>IF(N1408="","",N1408+N(O1408))</f>
        <v/>
      </c>
      <c r="Q1408" s="64" t="n"/>
      <c r="R1408" s="73" t="str">
        <f>IF(N(Q1408)&gt;0,Q1408,IF(OR(N(B1408)=0,ISNA(MATCH($C1408,sup_code,0))),"",IF(ISNUMBER(INDEX(sup_delay,MATCH($C1408,sup_code,0))),B1408+INDEX(sup_delay,MATCH($C1408,sup_code,0)),"")))</f>
        <v/>
      </c>
      <c r="S1408" s="64" t="n"/>
      <c r="T1408" s="68" t="n"/>
      <c r="U1408" s="64" t="n"/>
      <c r="V1408" s="65" t="n"/>
      <c r="W1408" s="74" t="str">
        <f>IF(AND(A1408="",E1408=""),"",IF(V1408="Oui",0,MAX(0,ROUND(N(H1408)-N(T1408),6))))</f>
        <v/>
      </c>
      <c r="X1408" s="67" t="str">
        <f>IF(AND(A1408="",E1408=""),"",IF(V1408="Oui","Annulé",IF(AND(N(H1408)&gt;0,N(T1408)&gt;=N(H1408)),"Reçu",IF(N(S1408)=0,"Brouillon",IF(AND(ISNUMBER(R1408),R1408&lt;p_today),"En retard",IF(N(T1408)&gt;0,"Partiel","Envoyé"))))))</f>
        <v/>
      </c>
      <c r="Y1408" s="75" t="str">
        <f>IF(X1408="En retard",p_today-R1408,IF(AND(X1408="Reçu",ISNUMBER(R1408)),MAX(0,N(U1408)-R1408),""))</f>
        <v/>
      </c>
      <c r="Z1408" s="67" t="str">
        <f>IF(AND(A1408="",E1408=""),"",IF(A1408="","N° de bon manquant",IF(N(B1408)=0,"Date de commande manquante",IF(C1408="","Fournisseur manquant",IF(ISNA(MATCH($C1408,sup_code,0)),"Fournisseur inconnu",IF(E1408="","Article manquant",IF(ISNA(MATCH($E1408,art_ref,0)),"Article inconnu",IF(N(H1408)&lt;=0,"Quantité invalide",IF(J1408="","Prix manquant",IF(OR(N(K1408)&lt;0,N(K1408)&gt;=1),"Remise invalide",IF(M1408="","TVA manquante",IF(ISNA(MATCH(M1408,p_tva,0)),"Taux de TVA inconnu",IF(COUNTIFS(po_num,A1408,po_sup,"&lt;&gt;"&amp;C1408)&gt;0,"Fournisseur différent sur ce bon",IF(COUNTIFS(po_num,A1408,po_date,"&lt;&gt;"&amp;B1408)&gt;0,"Date différente sur ce bon",IF(COUNTIF(po_num,A1408)&gt;25,"Plus de 25 lignes sur ce bon",IF(R1408="","Date de livraison manquante",IF(R1408&lt;B1408,"Livraison avant la commande",IF(AND(N(T1408)&gt;0,N(S1408)=0),"Date d'envoi manquante",IF(N(T1408)&gt;N(H1408),"Reçu plus que commandé",IF(AND(N(T1408)&gt;0,N(U1408)=0),"Date de réception manquante",IF(AND(N(U1408)&gt;0,U1408&lt;B1408),"Réception avant la commande","OK")))))))))))))))))))))</f>
        <v/>
      </c>
      <c r="AA1408" s="66" t="str">
        <f>IF(AND(X1408="Reçu",ISNUMBER(R1408)),IF(N(U1408)&lt;=R1408,1,0),"")</f>
        <v/>
      </c>
      <c r="AB1408" s="76" t="str">
        <f>IF(OR(X1408="Envoyé",X1408="Partiel",X1408="En retard"),IF(ISNUMBER(R1408),R1408,100000)+ROW()/100000,"")</f>
        <v/>
      </c>
      <c r="AC1408" s="66" t="str">
        <f>IF(A1408="","",IF(COUNTIF($A$6:A1408,A1408)=1,1,""))</f>
        <v/>
      </c>
      <c r="AD1408" s="66" t="str">
        <f>IF(AC1408=1,COUNT($AC$6:AC1408),"")</f>
        <v/>
      </c>
      <c r="AE1408" s="66" t="str">
        <f>IFERROR(INDEX(po_num,MATCH(1403,po_seq,0))&amp;"","")</f>
        <v/>
      </c>
      <c r="AF1408" s="66" t="str">
        <f>IF(OR(A1408="",p_po=""),"",IF(A1408&amp;""=p_po,COUNTIF($A$6:A1408,A1408),""))</f>
        <v/>
      </c>
      <c r="AG1408" s="66" t="str">
        <f>IF(OR(AB1408="",A1408=""),"",IF(COUNTIFS($A$6:A1408,A1408,$AB$6:AB1408,"&gt;0")=1,1,""))</f>
        <v/>
      </c>
      <c r="AH1408" s="70" t="str">
        <f>IF(AB1408="","",ROUND(N(W1408)*N(J1408)*(1-N(K1408)),2))</f>
        <v/>
      </c>
      <c r="AI1408" s="70" t="str">
        <f>IF(OR(J1408="",N(T1408)&lt;=0,V1408="Oui"),"",ROUND(N(T1408)*J1408*(1-N(K1408)),2))</f>
        <v/>
      </c>
    </row>
    <row r="1409">
      <c r="A1409" s="63" t="n"/>
      <c r="B1409" s="64" t="n"/>
      <c r="C1409" s="65" t="n"/>
      <c r="D1409" s="66" t="str">
        <f>IF(C1409="","",IFERROR(INDEX(sup_name,MATCH($C1409,sup_code,0))&amp;"","Fournisseur inconnu"))</f>
        <v/>
      </c>
      <c r="E1409" s="63" t="n"/>
      <c r="F1409" s="66" t="str">
        <f>IF(E1409="","",IFERROR(INDEX(art_des,MATCH($E1409,art_ref,0))&amp;"","Article inconnu"))</f>
        <v/>
      </c>
      <c r="G1409" s="67" t="str">
        <f>IF(E1409="","",IFERROR(INDEX(art_unit,MATCH($E1409,art_ref,0))&amp;"",""))</f>
        <v/>
      </c>
      <c r="H1409" s="68" t="n"/>
      <c r="I1409" s="69" t="n"/>
      <c r="J1409" s="70" t="str">
        <f>IF(E1409="","",IF(ISNUMBER(I1409),I1409,IFERROR(IF(ISNUMBER(INDEX(art_price,MATCH($E1409,art_ref,0))),INDEX(art_price,MATCH($E1409,art_ref,0)),""),"")))</f>
        <v/>
      </c>
      <c r="K1409" s="71" t="n"/>
      <c r="L1409" s="72" t="n"/>
      <c r="M1409" s="72" t="str">
        <f>IF(E1409="","",IF(L1409&lt;&gt;"",L1409,IFERROR(IF(ISNUMBER(INDEX(art_tva,MATCH($E1409,art_ref,0))),INDEX(art_tva,MATCH($E1409,art_ref,0)),""),"")))</f>
        <v/>
      </c>
      <c r="N1409" s="70" t="str">
        <f>IF(OR(E1409="",J1409=""),"",ROUND(N(H1409)*J1409*(1-N(K1409)),2))</f>
        <v/>
      </c>
      <c r="O1409" s="70" t="str">
        <f>IF(OR(N1409="",NOT(ISNUMBER(M1409))),"",ROUND(N1409*M1409,2))</f>
        <v/>
      </c>
      <c r="P1409" s="70" t="str">
        <f>IF(N1409="","",N1409+N(O1409))</f>
        <v/>
      </c>
      <c r="Q1409" s="64" t="n"/>
      <c r="R1409" s="73" t="str">
        <f>IF(N(Q1409)&gt;0,Q1409,IF(OR(N(B1409)=0,ISNA(MATCH($C1409,sup_code,0))),"",IF(ISNUMBER(INDEX(sup_delay,MATCH($C1409,sup_code,0))),B1409+INDEX(sup_delay,MATCH($C1409,sup_code,0)),"")))</f>
        <v/>
      </c>
      <c r="S1409" s="64" t="n"/>
      <c r="T1409" s="68" t="n"/>
      <c r="U1409" s="64" t="n"/>
      <c r="V1409" s="65" t="n"/>
      <c r="W1409" s="74" t="str">
        <f>IF(AND(A1409="",E1409=""),"",IF(V1409="Oui",0,MAX(0,ROUND(N(H1409)-N(T1409),6))))</f>
        <v/>
      </c>
      <c r="X1409" s="67" t="str">
        <f>IF(AND(A1409="",E1409=""),"",IF(V1409="Oui","Annulé",IF(AND(N(H1409)&gt;0,N(T1409)&gt;=N(H1409)),"Reçu",IF(N(S1409)=0,"Brouillon",IF(AND(ISNUMBER(R1409),R1409&lt;p_today),"En retard",IF(N(T1409)&gt;0,"Partiel","Envoyé"))))))</f>
        <v/>
      </c>
      <c r="Y1409" s="75" t="str">
        <f>IF(X1409="En retard",p_today-R1409,IF(AND(X1409="Reçu",ISNUMBER(R1409)),MAX(0,N(U1409)-R1409),""))</f>
        <v/>
      </c>
      <c r="Z1409" s="67" t="str">
        <f>IF(AND(A1409="",E1409=""),"",IF(A1409="","N° de bon manquant",IF(N(B1409)=0,"Date de commande manquante",IF(C1409="","Fournisseur manquant",IF(ISNA(MATCH($C1409,sup_code,0)),"Fournisseur inconnu",IF(E1409="","Article manquant",IF(ISNA(MATCH($E1409,art_ref,0)),"Article inconnu",IF(N(H1409)&lt;=0,"Quantité invalide",IF(J1409="","Prix manquant",IF(OR(N(K1409)&lt;0,N(K1409)&gt;=1),"Remise invalide",IF(M1409="","TVA manquante",IF(ISNA(MATCH(M1409,p_tva,0)),"Taux de TVA inconnu",IF(COUNTIFS(po_num,A1409,po_sup,"&lt;&gt;"&amp;C1409)&gt;0,"Fournisseur différent sur ce bon",IF(COUNTIFS(po_num,A1409,po_date,"&lt;&gt;"&amp;B1409)&gt;0,"Date différente sur ce bon",IF(COUNTIF(po_num,A1409)&gt;25,"Plus de 25 lignes sur ce bon",IF(R1409="","Date de livraison manquante",IF(R1409&lt;B1409,"Livraison avant la commande",IF(AND(N(T1409)&gt;0,N(S1409)=0),"Date d'envoi manquante",IF(N(T1409)&gt;N(H1409),"Reçu plus que commandé",IF(AND(N(T1409)&gt;0,N(U1409)=0),"Date de réception manquante",IF(AND(N(U1409)&gt;0,U1409&lt;B1409),"Réception avant la commande","OK")))))))))))))))))))))</f>
        <v/>
      </c>
      <c r="AA1409" s="66" t="str">
        <f>IF(AND(X1409="Reçu",ISNUMBER(R1409)),IF(N(U1409)&lt;=R1409,1,0),"")</f>
        <v/>
      </c>
      <c r="AB1409" s="76" t="str">
        <f>IF(OR(X1409="Envoyé",X1409="Partiel",X1409="En retard"),IF(ISNUMBER(R1409),R1409,100000)+ROW()/100000,"")</f>
        <v/>
      </c>
      <c r="AC1409" s="66" t="str">
        <f>IF(A1409="","",IF(COUNTIF($A$6:A1409,A1409)=1,1,""))</f>
        <v/>
      </c>
      <c r="AD1409" s="66" t="str">
        <f>IF(AC1409=1,COUNT($AC$6:AC1409),"")</f>
        <v/>
      </c>
      <c r="AE1409" s="66" t="str">
        <f>IFERROR(INDEX(po_num,MATCH(1404,po_seq,0))&amp;"","")</f>
        <v/>
      </c>
      <c r="AF1409" s="66" t="str">
        <f>IF(OR(A1409="",p_po=""),"",IF(A1409&amp;""=p_po,COUNTIF($A$6:A1409,A1409),""))</f>
        <v/>
      </c>
      <c r="AG1409" s="66" t="str">
        <f>IF(OR(AB1409="",A1409=""),"",IF(COUNTIFS($A$6:A1409,A1409,$AB$6:AB1409,"&gt;0")=1,1,""))</f>
        <v/>
      </c>
      <c r="AH1409" s="70" t="str">
        <f>IF(AB1409="","",ROUND(N(W1409)*N(J1409)*(1-N(K1409)),2))</f>
        <v/>
      </c>
      <c r="AI1409" s="70" t="str">
        <f>IF(OR(J1409="",N(T1409)&lt;=0,V1409="Oui"),"",ROUND(N(T1409)*J1409*(1-N(K1409)),2))</f>
        <v/>
      </c>
    </row>
    <row r="1410">
      <c r="A1410" s="63" t="n"/>
      <c r="B1410" s="64" t="n"/>
      <c r="C1410" s="65" t="n"/>
      <c r="D1410" s="66" t="str">
        <f>IF(C1410="","",IFERROR(INDEX(sup_name,MATCH($C1410,sup_code,0))&amp;"","Fournisseur inconnu"))</f>
        <v/>
      </c>
      <c r="E1410" s="63" t="n"/>
      <c r="F1410" s="66" t="str">
        <f>IF(E1410="","",IFERROR(INDEX(art_des,MATCH($E1410,art_ref,0))&amp;"","Article inconnu"))</f>
        <v/>
      </c>
      <c r="G1410" s="67" t="str">
        <f>IF(E1410="","",IFERROR(INDEX(art_unit,MATCH($E1410,art_ref,0))&amp;"",""))</f>
        <v/>
      </c>
      <c r="H1410" s="68" t="n"/>
      <c r="I1410" s="69" t="n"/>
      <c r="J1410" s="70" t="str">
        <f>IF(E1410="","",IF(ISNUMBER(I1410),I1410,IFERROR(IF(ISNUMBER(INDEX(art_price,MATCH($E1410,art_ref,0))),INDEX(art_price,MATCH($E1410,art_ref,0)),""),"")))</f>
        <v/>
      </c>
      <c r="K1410" s="71" t="n"/>
      <c r="L1410" s="72" t="n"/>
      <c r="M1410" s="72" t="str">
        <f>IF(E1410="","",IF(L1410&lt;&gt;"",L1410,IFERROR(IF(ISNUMBER(INDEX(art_tva,MATCH($E1410,art_ref,0))),INDEX(art_tva,MATCH($E1410,art_ref,0)),""),"")))</f>
        <v/>
      </c>
      <c r="N1410" s="70" t="str">
        <f>IF(OR(E1410="",J1410=""),"",ROUND(N(H1410)*J1410*(1-N(K1410)),2))</f>
        <v/>
      </c>
      <c r="O1410" s="70" t="str">
        <f>IF(OR(N1410="",NOT(ISNUMBER(M1410))),"",ROUND(N1410*M1410,2))</f>
        <v/>
      </c>
      <c r="P1410" s="70" t="str">
        <f>IF(N1410="","",N1410+N(O1410))</f>
        <v/>
      </c>
      <c r="Q1410" s="64" t="n"/>
      <c r="R1410" s="73" t="str">
        <f>IF(N(Q1410)&gt;0,Q1410,IF(OR(N(B1410)=0,ISNA(MATCH($C1410,sup_code,0))),"",IF(ISNUMBER(INDEX(sup_delay,MATCH($C1410,sup_code,0))),B1410+INDEX(sup_delay,MATCH($C1410,sup_code,0)),"")))</f>
        <v/>
      </c>
      <c r="S1410" s="64" t="n"/>
      <c r="T1410" s="68" t="n"/>
      <c r="U1410" s="64" t="n"/>
      <c r="V1410" s="65" t="n"/>
      <c r="W1410" s="74" t="str">
        <f>IF(AND(A1410="",E1410=""),"",IF(V1410="Oui",0,MAX(0,ROUND(N(H1410)-N(T1410),6))))</f>
        <v/>
      </c>
      <c r="X1410" s="67" t="str">
        <f>IF(AND(A1410="",E1410=""),"",IF(V1410="Oui","Annulé",IF(AND(N(H1410)&gt;0,N(T1410)&gt;=N(H1410)),"Reçu",IF(N(S1410)=0,"Brouillon",IF(AND(ISNUMBER(R1410),R1410&lt;p_today),"En retard",IF(N(T1410)&gt;0,"Partiel","Envoyé"))))))</f>
        <v/>
      </c>
      <c r="Y1410" s="75" t="str">
        <f>IF(X1410="En retard",p_today-R1410,IF(AND(X1410="Reçu",ISNUMBER(R1410)),MAX(0,N(U1410)-R1410),""))</f>
        <v/>
      </c>
      <c r="Z1410" s="67" t="str">
        <f>IF(AND(A1410="",E1410=""),"",IF(A1410="","N° de bon manquant",IF(N(B1410)=0,"Date de commande manquante",IF(C1410="","Fournisseur manquant",IF(ISNA(MATCH($C1410,sup_code,0)),"Fournisseur inconnu",IF(E1410="","Article manquant",IF(ISNA(MATCH($E1410,art_ref,0)),"Article inconnu",IF(N(H1410)&lt;=0,"Quantité invalide",IF(J1410="","Prix manquant",IF(OR(N(K1410)&lt;0,N(K1410)&gt;=1),"Remise invalide",IF(M1410="","TVA manquante",IF(ISNA(MATCH(M1410,p_tva,0)),"Taux de TVA inconnu",IF(COUNTIFS(po_num,A1410,po_sup,"&lt;&gt;"&amp;C1410)&gt;0,"Fournisseur différent sur ce bon",IF(COUNTIFS(po_num,A1410,po_date,"&lt;&gt;"&amp;B1410)&gt;0,"Date différente sur ce bon",IF(COUNTIF(po_num,A1410)&gt;25,"Plus de 25 lignes sur ce bon",IF(R1410="","Date de livraison manquante",IF(R1410&lt;B1410,"Livraison avant la commande",IF(AND(N(T1410)&gt;0,N(S1410)=0),"Date d'envoi manquante",IF(N(T1410)&gt;N(H1410),"Reçu plus que commandé",IF(AND(N(T1410)&gt;0,N(U1410)=0),"Date de réception manquante",IF(AND(N(U1410)&gt;0,U1410&lt;B1410),"Réception avant la commande","OK")))))))))))))))))))))</f>
        <v/>
      </c>
      <c r="AA1410" s="66" t="str">
        <f>IF(AND(X1410="Reçu",ISNUMBER(R1410)),IF(N(U1410)&lt;=R1410,1,0),"")</f>
        <v/>
      </c>
      <c r="AB1410" s="76" t="str">
        <f>IF(OR(X1410="Envoyé",X1410="Partiel",X1410="En retard"),IF(ISNUMBER(R1410),R1410,100000)+ROW()/100000,"")</f>
        <v/>
      </c>
      <c r="AC1410" s="66" t="str">
        <f>IF(A1410="","",IF(COUNTIF($A$6:A1410,A1410)=1,1,""))</f>
        <v/>
      </c>
      <c r="AD1410" s="66" t="str">
        <f>IF(AC1410=1,COUNT($AC$6:AC1410),"")</f>
        <v/>
      </c>
      <c r="AE1410" s="66" t="str">
        <f>IFERROR(INDEX(po_num,MATCH(1405,po_seq,0))&amp;"","")</f>
        <v/>
      </c>
      <c r="AF1410" s="66" t="str">
        <f>IF(OR(A1410="",p_po=""),"",IF(A1410&amp;""=p_po,COUNTIF($A$6:A1410,A1410),""))</f>
        <v/>
      </c>
      <c r="AG1410" s="66" t="str">
        <f>IF(OR(AB1410="",A1410=""),"",IF(COUNTIFS($A$6:A1410,A1410,$AB$6:AB1410,"&gt;0")=1,1,""))</f>
        <v/>
      </c>
      <c r="AH1410" s="70" t="str">
        <f>IF(AB1410="","",ROUND(N(W1410)*N(J1410)*(1-N(K1410)),2))</f>
        <v/>
      </c>
      <c r="AI1410" s="70" t="str">
        <f>IF(OR(J1410="",N(T1410)&lt;=0,V1410="Oui"),"",ROUND(N(T1410)*J1410*(1-N(K1410)),2))</f>
        <v/>
      </c>
    </row>
    <row r="1411">
      <c r="A1411" s="63" t="n"/>
      <c r="B1411" s="64" t="n"/>
      <c r="C1411" s="65" t="n"/>
      <c r="D1411" s="66" t="str">
        <f>IF(C1411="","",IFERROR(INDEX(sup_name,MATCH($C1411,sup_code,0))&amp;"","Fournisseur inconnu"))</f>
        <v/>
      </c>
      <c r="E1411" s="63" t="n"/>
      <c r="F1411" s="66" t="str">
        <f>IF(E1411="","",IFERROR(INDEX(art_des,MATCH($E1411,art_ref,0))&amp;"","Article inconnu"))</f>
        <v/>
      </c>
      <c r="G1411" s="67" t="str">
        <f>IF(E1411="","",IFERROR(INDEX(art_unit,MATCH($E1411,art_ref,0))&amp;"",""))</f>
        <v/>
      </c>
      <c r="H1411" s="68" t="n"/>
      <c r="I1411" s="69" t="n"/>
      <c r="J1411" s="70" t="str">
        <f>IF(E1411="","",IF(ISNUMBER(I1411),I1411,IFERROR(IF(ISNUMBER(INDEX(art_price,MATCH($E1411,art_ref,0))),INDEX(art_price,MATCH($E1411,art_ref,0)),""),"")))</f>
        <v/>
      </c>
      <c r="K1411" s="71" t="n"/>
      <c r="L1411" s="72" t="n"/>
      <c r="M1411" s="72" t="str">
        <f>IF(E1411="","",IF(L1411&lt;&gt;"",L1411,IFERROR(IF(ISNUMBER(INDEX(art_tva,MATCH($E1411,art_ref,0))),INDEX(art_tva,MATCH($E1411,art_ref,0)),""),"")))</f>
        <v/>
      </c>
      <c r="N1411" s="70" t="str">
        <f>IF(OR(E1411="",J1411=""),"",ROUND(N(H1411)*J1411*(1-N(K1411)),2))</f>
        <v/>
      </c>
      <c r="O1411" s="70" t="str">
        <f>IF(OR(N1411="",NOT(ISNUMBER(M1411))),"",ROUND(N1411*M1411,2))</f>
        <v/>
      </c>
      <c r="P1411" s="70" t="str">
        <f>IF(N1411="","",N1411+N(O1411))</f>
        <v/>
      </c>
      <c r="Q1411" s="64" t="n"/>
      <c r="R1411" s="73" t="str">
        <f>IF(N(Q1411)&gt;0,Q1411,IF(OR(N(B1411)=0,ISNA(MATCH($C1411,sup_code,0))),"",IF(ISNUMBER(INDEX(sup_delay,MATCH($C1411,sup_code,0))),B1411+INDEX(sup_delay,MATCH($C1411,sup_code,0)),"")))</f>
        <v/>
      </c>
      <c r="S1411" s="64" t="n"/>
      <c r="T1411" s="68" t="n"/>
      <c r="U1411" s="64" t="n"/>
      <c r="V1411" s="65" t="n"/>
      <c r="W1411" s="74" t="str">
        <f>IF(AND(A1411="",E1411=""),"",IF(V1411="Oui",0,MAX(0,ROUND(N(H1411)-N(T1411),6))))</f>
        <v/>
      </c>
      <c r="X1411" s="67" t="str">
        <f>IF(AND(A1411="",E1411=""),"",IF(V1411="Oui","Annulé",IF(AND(N(H1411)&gt;0,N(T1411)&gt;=N(H1411)),"Reçu",IF(N(S1411)=0,"Brouillon",IF(AND(ISNUMBER(R1411),R1411&lt;p_today),"En retard",IF(N(T1411)&gt;0,"Partiel","Envoyé"))))))</f>
        <v/>
      </c>
      <c r="Y1411" s="75" t="str">
        <f>IF(X1411="En retard",p_today-R1411,IF(AND(X1411="Reçu",ISNUMBER(R1411)),MAX(0,N(U1411)-R1411),""))</f>
        <v/>
      </c>
      <c r="Z1411" s="67" t="str">
        <f>IF(AND(A1411="",E1411=""),"",IF(A1411="","N° de bon manquant",IF(N(B1411)=0,"Date de commande manquante",IF(C1411="","Fournisseur manquant",IF(ISNA(MATCH($C1411,sup_code,0)),"Fournisseur inconnu",IF(E1411="","Article manquant",IF(ISNA(MATCH($E1411,art_ref,0)),"Article inconnu",IF(N(H1411)&lt;=0,"Quantité invalide",IF(J1411="","Prix manquant",IF(OR(N(K1411)&lt;0,N(K1411)&gt;=1),"Remise invalide",IF(M1411="","TVA manquante",IF(ISNA(MATCH(M1411,p_tva,0)),"Taux de TVA inconnu",IF(COUNTIFS(po_num,A1411,po_sup,"&lt;&gt;"&amp;C1411)&gt;0,"Fournisseur différent sur ce bon",IF(COUNTIFS(po_num,A1411,po_date,"&lt;&gt;"&amp;B1411)&gt;0,"Date différente sur ce bon",IF(COUNTIF(po_num,A1411)&gt;25,"Plus de 25 lignes sur ce bon",IF(R1411="","Date de livraison manquante",IF(R1411&lt;B1411,"Livraison avant la commande",IF(AND(N(T1411)&gt;0,N(S1411)=0),"Date d'envoi manquante",IF(N(T1411)&gt;N(H1411),"Reçu plus que commandé",IF(AND(N(T1411)&gt;0,N(U1411)=0),"Date de réception manquante",IF(AND(N(U1411)&gt;0,U1411&lt;B1411),"Réception avant la commande","OK")))))))))))))))))))))</f>
        <v/>
      </c>
      <c r="AA1411" s="66" t="str">
        <f>IF(AND(X1411="Reçu",ISNUMBER(R1411)),IF(N(U1411)&lt;=R1411,1,0),"")</f>
        <v/>
      </c>
      <c r="AB1411" s="76" t="str">
        <f>IF(OR(X1411="Envoyé",X1411="Partiel",X1411="En retard"),IF(ISNUMBER(R1411),R1411,100000)+ROW()/100000,"")</f>
        <v/>
      </c>
      <c r="AC1411" s="66" t="str">
        <f>IF(A1411="","",IF(COUNTIF($A$6:A1411,A1411)=1,1,""))</f>
        <v/>
      </c>
      <c r="AD1411" s="66" t="str">
        <f>IF(AC1411=1,COUNT($AC$6:AC1411),"")</f>
        <v/>
      </c>
      <c r="AE1411" s="66" t="str">
        <f>IFERROR(INDEX(po_num,MATCH(1406,po_seq,0))&amp;"","")</f>
        <v/>
      </c>
      <c r="AF1411" s="66" t="str">
        <f>IF(OR(A1411="",p_po=""),"",IF(A1411&amp;""=p_po,COUNTIF($A$6:A1411,A1411),""))</f>
        <v/>
      </c>
      <c r="AG1411" s="66" t="str">
        <f>IF(OR(AB1411="",A1411=""),"",IF(COUNTIFS($A$6:A1411,A1411,$AB$6:AB1411,"&gt;0")=1,1,""))</f>
        <v/>
      </c>
      <c r="AH1411" s="70" t="str">
        <f>IF(AB1411="","",ROUND(N(W1411)*N(J1411)*(1-N(K1411)),2))</f>
        <v/>
      </c>
      <c r="AI1411" s="70" t="str">
        <f>IF(OR(J1411="",N(T1411)&lt;=0,V1411="Oui"),"",ROUND(N(T1411)*J1411*(1-N(K1411)),2))</f>
        <v/>
      </c>
    </row>
    <row r="1412">
      <c r="A1412" s="63" t="n"/>
      <c r="B1412" s="64" t="n"/>
      <c r="C1412" s="65" t="n"/>
      <c r="D1412" s="66" t="str">
        <f>IF(C1412="","",IFERROR(INDEX(sup_name,MATCH($C1412,sup_code,0))&amp;"","Fournisseur inconnu"))</f>
        <v/>
      </c>
      <c r="E1412" s="63" t="n"/>
      <c r="F1412" s="66" t="str">
        <f>IF(E1412="","",IFERROR(INDEX(art_des,MATCH($E1412,art_ref,0))&amp;"","Article inconnu"))</f>
        <v/>
      </c>
      <c r="G1412" s="67" t="str">
        <f>IF(E1412="","",IFERROR(INDEX(art_unit,MATCH($E1412,art_ref,0))&amp;"",""))</f>
        <v/>
      </c>
      <c r="H1412" s="68" t="n"/>
      <c r="I1412" s="69" t="n"/>
      <c r="J1412" s="70" t="str">
        <f>IF(E1412="","",IF(ISNUMBER(I1412),I1412,IFERROR(IF(ISNUMBER(INDEX(art_price,MATCH($E1412,art_ref,0))),INDEX(art_price,MATCH($E1412,art_ref,0)),""),"")))</f>
        <v/>
      </c>
      <c r="K1412" s="71" t="n"/>
      <c r="L1412" s="72" t="n"/>
      <c r="M1412" s="72" t="str">
        <f>IF(E1412="","",IF(L1412&lt;&gt;"",L1412,IFERROR(IF(ISNUMBER(INDEX(art_tva,MATCH($E1412,art_ref,0))),INDEX(art_tva,MATCH($E1412,art_ref,0)),""),"")))</f>
        <v/>
      </c>
      <c r="N1412" s="70" t="str">
        <f>IF(OR(E1412="",J1412=""),"",ROUND(N(H1412)*J1412*(1-N(K1412)),2))</f>
        <v/>
      </c>
      <c r="O1412" s="70" t="str">
        <f>IF(OR(N1412="",NOT(ISNUMBER(M1412))),"",ROUND(N1412*M1412,2))</f>
        <v/>
      </c>
      <c r="P1412" s="70" t="str">
        <f>IF(N1412="","",N1412+N(O1412))</f>
        <v/>
      </c>
      <c r="Q1412" s="64" t="n"/>
      <c r="R1412" s="73" t="str">
        <f>IF(N(Q1412)&gt;0,Q1412,IF(OR(N(B1412)=0,ISNA(MATCH($C1412,sup_code,0))),"",IF(ISNUMBER(INDEX(sup_delay,MATCH($C1412,sup_code,0))),B1412+INDEX(sup_delay,MATCH($C1412,sup_code,0)),"")))</f>
        <v/>
      </c>
      <c r="S1412" s="64" t="n"/>
      <c r="T1412" s="68" t="n"/>
      <c r="U1412" s="64" t="n"/>
      <c r="V1412" s="65" t="n"/>
      <c r="W1412" s="74" t="str">
        <f>IF(AND(A1412="",E1412=""),"",IF(V1412="Oui",0,MAX(0,ROUND(N(H1412)-N(T1412),6))))</f>
        <v/>
      </c>
      <c r="X1412" s="67" t="str">
        <f>IF(AND(A1412="",E1412=""),"",IF(V1412="Oui","Annulé",IF(AND(N(H1412)&gt;0,N(T1412)&gt;=N(H1412)),"Reçu",IF(N(S1412)=0,"Brouillon",IF(AND(ISNUMBER(R1412),R1412&lt;p_today),"En retard",IF(N(T1412)&gt;0,"Partiel","Envoyé"))))))</f>
        <v/>
      </c>
      <c r="Y1412" s="75" t="str">
        <f>IF(X1412="En retard",p_today-R1412,IF(AND(X1412="Reçu",ISNUMBER(R1412)),MAX(0,N(U1412)-R1412),""))</f>
        <v/>
      </c>
      <c r="Z1412" s="67" t="str">
        <f>IF(AND(A1412="",E1412=""),"",IF(A1412="","N° de bon manquant",IF(N(B1412)=0,"Date de commande manquante",IF(C1412="","Fournisseur manquant",IF(ISNA(MATCH($C1412,sup_code,0)),"Fournisseur inconnu",IF(E1412="","Article manquant",IF(ISNA(MATCH($E1412,art_ref,0)),"Article inconnu",IF(N(H1412)&lt;=0,"Quantité invalide",IF(J1412="","Prix manquant",IF(OR(N(K1412)&lt;0,N(K1412)&gt;=1),"Remise invalide",IF(M1412="","TVA manquante",IF(ISNA(MATCH(M1412,p_tva,0)),"Taux de TVA inconnu",IF(COUNTIFS(po_num,A1412,po_sup,"&lt;&gt;"&amp;C1412)&gt;0,"Fournisseur différent sur ce bon",IF(COUNTIFS(po_num,A1412,po_date,"&lt;&gt;"&amp;B1412)&gt;0,"Date différente sur ce bon",IF(COUNTIF(po_num,A1412)&gt;25,"Plus de 25 lignes sur ce bon",IF(R1412="","Date de livraison manquante",IF(R1412&lt;B1412,"Livraison avant la commande",IF(AND(N(T1412)&gt;0,N(S1412)=0),"Date d'envoi manquante",IF(N(T1412)&gt;N(H1412),"Reçu plus que commandé",IF(AND(N(T1412)&gt;0,N(U1412)=0),"Date de réception manquante",IF(AND(N(U1412)&gt;0,U1412&lt;B1412),"Réception avant la commande","OK")))))))))))))))))))))</f>
        <v/>
      </c>
      <c r="AA1412" s="66" t="str">
        <f>IF(AND(X1412="Reçu",ISNUMBER(R1412)),IF(N(U1412)&lt;=R1412,1,0),"")</f>
        <v/>
      </c>
      <c r="AB1412" s="76" t="str">
        <f>IF(OR(X1412="Envoyé",X1412="Partiel",X1412="En retard"),IF(ISNUMBER(R1412),R1412,100000)+ROW()/100000,"")</f>
        <v/>
      </c>
      <c r="AC1412" s="66" t="str">
        <f>IF(A1412="","",IF(COUNTIF($A$6:A1412,A1412)=1,1,""))</f>
        <v/>
      </c>
      <c r="AD1412" s="66" t="str">
        <f>IF(AC1412=1,COUNT($AC$6:AC1412),"")</f>
        <v/>
      </c>
      <c r="AE1412" s="66" t="str">
        <f>IFERROR(INDEX(po_num,MATCH(1407,po_seq,0))&amp;"","")</f>
        <v/>
      </c>
      <c r="AF1412" s="66" t="str">
        <f>IF(OR(A1412="",p_po=""),"",IF(A1412&amp;""=p_po,COUNTIF($A$6:A1412,A1412),""))</f>
        <v/>
      </c>
      <c r="AG1412" s="66" t="str">
        <f>IF(OR(AB1412="",A1412=""),"",IF(COUNTIFS($A$6:A1412,A1412,$AB$6:AB1412,"&gt;0")=1,1,""))</f>
        <v/>
      </c>
      <c r="AH1412" s="70" t="str">
        <f>IF(AB1412="","",ROUND(N(W1412)*N(J1412)*(1-N(K1412)),2))</f>
        <v/>
      </c>
      <c r="AI1412" s="70" t="str">
        <f>IF(OR(J1412="",N(T1412)&lt;=0,V1412="Oui"),"",ROUND(N(T1412)*J1412*(1-N(K1412)),2))</f>
        <v/>
      </c>
    </row>
    <row r="1413">
      <c r="A1413" s="63" t="n"/>
      <c r="B1413" s="64" t="n"/>
      <c r="C1413" s="65" t="n"/>
      <c r="D1413" s="66" t="str">
        <f>IF(C1413="","",IFERROR(INDEX(sup_name,MATCH($C1413,sup_code,0))&amp;"","Fournisseur inconnu"))</f>
        <v/>
      </c>
      <c r="E1413" s="63" t="n"/>
      <c r="F1413" s="66" t="str">
        <f>IF(E1413="","",IFERROR(INDEX(art_des,MATCH($E1413,art_ref,0))&amp;"","Article inconnu"))</f>
        <v/>
      </c>
      <c r="G1413" s="67" t="str">
        <f>IF(E1413="","",IFERROR(INDEX(art_unit,MATCH($E1413,art_ref,0))&amp;"",""))</f>
        <v/>
      </c>
      <c r="H1413" s="68" t="n"/>
      <c r="I1413" s="69" t="n"/>
      <c r="J1413" s="70" t="str">
        <f>IF(E1413="","",IF(ISNUMBER(I1413),I1413,IFERROR(IF(ISNUMBER(INDEX(art_price,MATCH($E1413,art_ref,0))),INDEX(art_price,MATCH($E1413,art_ref,0)),""),"")))</f>
        <v/>
      </c>
      <c r="K1413" s="71" t="n"/>
      <c r="L1413" s="72" t="n"/>
      <c r="M1413" s="72" t="str">
        <f>IF(E1413="","",IF(L1413&lt;&gt;"",L1413,IFERROR(IF(ISNUMBER(INDEX(art_tva,MATCH($E1413,art_ref,0))),INDEX(art_tva,MATCH($E1413,art_ref,0)),""),"")))</f>
        <v/>
      </c>
      <c r="N1413" s="70" t="str">
        <f>IF(OR(E1413="",J1413=""),"",ROUND(N(H1413)*J1413*(1-N(K1413)),2))</f>
        <v/>
      </c>
      <c r="O1413" s="70" t="str">
        <f>IF(OR(N1413="",NOT(ISNUMBER(M1413))),"",ROUND(N1413*M1413,2))</f>
        <v/>
      </c>
      <c r="P1413" s="70" t="str">
        <f>IF(N1413="","",N1413+N(O1413))</f>
        <v/>
      </c>
      <c r="Q1413" s="64" t="n"/>
      <c r="R1413" s="73" t="str">
        <f>IF(N(Q1413)&gt;0,Q1413,IF(OR(N(B1413)=0,ISNA(MATCH($C1413,sup_code,0))),"",IF(ISNUMBER(INDEX(sup_delay,MATCH($C1413,sup_code,0))),B1413+INDEX(sup_delay,MATCH($C1413,sup_code,0)),"")))</f>
        <v/>
      </c>
      <c r="S1413" s="64" t="n"/>
      <c r="T1413" s="68" t="n"/>
      <c r="U1413" s="64" t="n"/>
      <c r="V1413" s="65" t="n"/>
      <c r="W1413" s="74" t="str">
        <f>IF(AND(A1413="",E1413=""),"",IF(V1413="Oui",0,MAX(0,ROUND(N(H1413)-N(T1413),6))))</f>
        <v/>
      </c>
      <c r="X1413" s="67" t="str">
        <f>IF(AND(A1413="",E1413=""),"",IF(V1413="Oui","Annulé",IF(AND(N(H1413)&gt;0,N(T1413)&gt;=N(H1413)),"Reçu",IF(N(S1413)=0,"Brouillon",IF(AND(ISNUMBER(R1413),R1413&lt;p_today),"En retard",IF(N(T1413)&gt;0,"Partiel","Envoyé"))))))</f>
        <v/>
      </c>
      <c r="Y1413" s="75" t="str">
        <f>IF(X1413="En retard",p_today-R1413,IF(AND(X1413="Reçu",ISNUMBER(R1413)),MAX(0,N(U1413)-R1413),""))</f>
        <v/>
      </c>
      <c r="Z1413" s="67" t="str">
        <f>IF(AND(A1413="",E1413=""),"",IF(A1413="","N° de bon manquant",IF(N(B1413)=0,"Date de commande manquante",IF(C1413="","Fournisseur manquant",IF(ISNA(MATCH($C1413,sup_code,0)),"Fournisseur inconnu",IF(E1413="","Article manquant",IF(ISNA(MATCH($E1413,art_ref,0)),"Article inconnu",IF(N(H1413)&lt;=0,"Quantité invalide",IF(J1413="","Prix manquant",IF(OR(N(K1413)&lt;0,N(K1413)&gt;=1),"Remise invalide",IF(M1413="","TVA manquante",IF(ISNA(MATCH(M1413,p_tva,0)),"Taux de TVA inconnu",IF(COUNTIFS(po_num,A1413,po_sup,"&lt;&gt;"&amp;C1413)&gt;0,"Fournisseur différent sur ce bon",IF(COUNTIFS(po_num,A1413,po_date,"&lt;&gt;"&amp;B1413)&gt;0,"Date différente sur ce bon",IF(COUNTIF(po_num,A1413)&gt;25,"Plus de 25 lignes sur ce bon",IF(R1413="","Date de livraison manquante",IF(R1413&lt;B1413,"Livraison avant la commande",IF(AND(N(T1413)&gt;0,N(S1413)=0),"Date d'envoi manquante",IF(N(T1413)&gt;N(H1413),"Reçu plus que commandé",IF(AND(N(T1413)&gt;0,N(U1413)=0),"Date de réception manquante",IF(AND(N(U1413)&gt;0,U1413&lt;B1413),"Réception avant la commande","OK")))))))))))))))))))))</f>
        <v/>
      </c>
      <c r="AA1413" s="66" t="str">
        <f>IF(AND(X1413="Reçu",ISNUMBER(R1413)),IF(N(U1413)&lt;=R1413,1,0),"")</f>
        <v/>
      </c>
      <c r="AB1413" s="76" t="str">
        <f>IF(OR(X1413="Envoyé",X1413="Partiel",X1413="En retard"),IF(ISNUMBER(R1413),R1413,100000)+ROW()/100000,"")</f>
        <v/>
      </c>
      <c r="AC1413" s="66" t="str">
        <f>IF(A1413="","",IF(COUNTIF($A$6:A1413,A1413)=1,1,""))</f>
        <v/>
      </c>
      <c r="AD1413" s="66" t="str">
        <f>IF(AC1413=1,COUNT($AC$6:AC1413),"")</f>
        <v/>
      </c>
      <c r="AE1413" s="66" t="str">
        <f>IFERROR(INDEX(po_num,MATCH(1408,po_seq,0))&amp;"","")</f>
        <v/>
      </c>
      <c r="AF1413" s="66" t="str">
        <f>IF(OR(A1413="",p_po=""),"",IF(A1413&amp;""=p_po,COUNTIF($A$6:A1413,A1413),""))</f>
        <v/>
      </c>
      <c r="AG1413" s="66" t="str">
        <f>IF(OR(AB1413="",A1413=""),"",IF(COUNTIFS($A$6:A1413,A1413,$AB$6:AB1413,"&gt;0")=1,1,""))</f>
        <v/>
      </c>
      <c r="AH1413" s="70" t="str">
        <f>IF(AB1413="","",ROUND(N(W1413)*N(J1413)*(1-N(K1413)),2))</f>
        <v/>
      </c>
      <c r="AI1413" s="70" t="str">
        <f>IF(OR(J1413="",N(T1413)&lt;=0,V1413="Oui"),"",ROUND(N(T1413)*J1413*(1-N(K1413)),2))</f>
        <v/>
      </c>
    </row>
    <row r="1414">
      <c r="A1414" s="63" t="n"/>
      <c r="B1414" s="64" t="n"/>
      <c r="C1414" s="65" t="n"/>
      <c r="D1414" s="66" t="str">
        <f>IF(C1414="","",IFERROR(INDEX(sup_name,MATCH($C1414,sup_code,0))&amp;"","Fournisseur inconnu"))</f>
        <v/>
      </c>
      <c r="E1414" s="63" t="n"/>
      <c r="F1414" s="66" t="str">
        <f>IF(E1414="","",IFERROR(INDEX(art_des,MATCH($E1414,art_ref,0))&amp;"","Article inconnu"))</f>
        <v/>
      </c>
      <c r="G1414" s="67" t="str">
        <f>IF(E1414="","",IFERROR(INDEX(art_unit,MATCH($E1414,art_ref,0))&amp;"",""))</f>
        <v/>
      </c>
      <c r="H1414" s="68" t="n"/>
      <c r="I1414" s="69" t="n"/>
      <c r="J1414" s="70" t="str">
        <f>IF(E1414="","",IF(ISNUMBER(I1414),I1414,IFERROR(IF(ISNUMBER(INDEX(art_price,MATCH($E1414,art_ref,0))),INDEX(art_price,MATCH($E1414,art_ref,0)),""),"")))</f>
        <v/>
      </c>
      <c r="K1414" s="71" t="n"/>
      <c r="L1414" s="72" t="n"/>
      <c r="M1414" s="72" t="str">
        <f>IF(E1414="","",IF(L1414&lt;&gt;"",L1414,IFERROR(IF(ISNUMBER(INDEX(art_tva,MATCH($E1414,art_ref,0))),INDEX(art_tva,MATCH($E1414,art_ref,0)),""),"")))</f>
        <v/>
      </c>
      <c r="N1414" s="70" t="str">
        <f>IF(OR(E1414="",J1414=""),"",ROUND(N(H1414)*J1414*(1-N(K1414)),2))</f>
        <v/>
      </c>
      <c r="O1414" s="70" t="str">
        <f>IF(OR(N1414="",NOT(ISNUMBER(M1414))),"",ROUND(N1414*M1414,2))</f>
        <v/>
      </c>
      <c r="P1414" s="70" t="str">
        <f>IF(N1414="","",N1414+N(O1414))</f>
        <v/>
      </c>
      <c r="Q1414" s="64" t="n"/>
      <c r="R1414" s="73" t="str">
        <f>IF(N(Q1414)&gt;0,Q1414,IF(OR(N(B1414)=0,ISNA(MATCH($C1414,sup_code,0))),"",IF(ISNUMBER(INDEX(sup_delay,MATCH($C1414,sup_code,0))),B1414+INDEX(sup_delay,MATCH($C1414,sup_code,0)),"")))</f>
        <v/>
      </c>
      <c r="S1414" s="64" t="n"/>
      <c r="T1414" s="68" t="n"/>
      <c r="U1414" s="64" t="n"/>
      <c r="V1414" s="65" t="n"/>
      <c r="W1414" s="74" t="str">
        <f>IF(AND(A1414="",E1414=""),"",IF(V1414="Oui",0,MAX(0,ROUND(N(H1414)-N(T1414),6))))</f>
        <v/>
      </c>
      <c r="X1414" s="67" t="str">
        <f>IF(AND(A1414="",E1414=""),"",IF(V1414="Oui","Annulé",IF(AND(N(H1414)&gt;0,N(T1414)&gt;=N(H1414)),"Reçu",IF(N(S1414)=0,"Brouillon",IF(AND(ISNUMBER(R1414),R1414&lt;p_today),"En retard",IF(N(T1414)&gt;0,"Partiel","Envoyé"))))))</f>
        <v/>
      </c>
      <c r="Y1414" s="75" t="str">
        <f>IF(X1414="En retard",p_today-R1414,IF(AND(X1414="Reçu",ISNUMBER(R1414)),MAX(0,N(U1414)-R1414),""))</f>
        <v/>
      </c>
      <c r="Z1414" s="67" t="str">
        <f>IF(AND(A1414="",E1414=""),"",IF(A1414="","N° de bon manquant",IF(N(B1414)=0,"Date de commande manquante",IF(C1414="","Fournisseur manquant",IF(ISNA(MATCH($C1414,sup_code,0)),"Fournisseur inconnu",IF(E1414="","Article manquant",IF(ISNA(MATCH($E1414,art_ref,0)),"Article inconnu",IF(N(H1414)&lt;=0,"Quantité invalide",IF(J1414="","Prix manquant",IF(OR(N(K1414)&lt;0,N(K1414)&gt;=1),"Remise invalide",IF(M1414="","TVA manquante",IF(ISNA(MATCH(M1414,p_tva,0)),"Taux de TVA inconnu",IF(COUNTIFS(po_num,A1414,po_sup,"&lt;&gt;"&amp;C1414)&gt;0,"Fournisseur différent sur ce bon",IF(COUNTIFS(po_num,A1414,po_date,"&lt;&gt;"&amp;B1414)&gt;0,"Date différente sur ce bon",IF(COUNTIF(po_num,A1414)&gt;25,"Plus de 25 lignes sur ce bon",IF(R1414="","Date de livraison manquante",IF(R1414&lt;B1414,"Livraison avant la commande",IF(AND(N(T1414)&gt;0,N(S1414)=0),"Date d'envoi manquante",IF(N(T1414)&gt;N(H1414),"Reçu plus que commandé",IF(AND(N(T1414)&gt;0,N(U1414)=0),"Date de réception manquante",IF(AND(N(U1414)&gt;0,U1414&lt;B1414),"Réception avant la commande","OK")))))))))))))))))))))</f>
        <v/>
      </c>
      <c r="AA1414" s="66" t="str">
        <f>IF(AND(X1414="Reçu",ISNUMBER(R1414)),IF(N(U1414)&lt;=R1414,1,0),"")</f>
        <v/>
      </c>
      <c r="AB1414" s="76" t="str">
        <f>IF(OR(X1414="Envoyé",X1414="Partiel",X1414="En retard"),IF(ISNUMBER(R1414),R1414,100000)+ROW()/100000,"")</f>
        <v/>
      </c>
      <c r="AC1414" s="66" t="str">
        <f>IF(A1414="","",IF(COUNTIF($A$6:A1414,A1414)=1,1,""))</f>
        <v/>
      </c>
      <c r="AD1414" s="66" t="str">
        <f>IF(AC1414=1,COUNT($AC$6:AC1414),"")</f>
        <v/>
      </c>
      <c r="AE1414" s="66" t="str">
        <f>IFERROR(INDEX(po_num,MATCH(1409,po_seq,0))&amp;"","")</f>
        <v/>
      </c>
      <c r="AF1414" s="66" t="str">
        <f>IF(OR(A1414="",p_po=""),"",IF(A1414&amp;""=p_po,COUNTIF($A$6:A1414,A1414),""))</f>
        <v/>
      </c>
      <c r="AG1414" s="66" t="str">
        <f>IF(OR(AB1414="",A1414=""),"",IF(COUNTIFS($A$6:A1414,A1414,$AB$6:AB1414,"&gt;0")=1,1,""))</f>
        <v/>
      </c>
      <c r="AH1414" s="70" t="str">
        <f>IF(AB1414="","",ROUND(N(W1414)*N(J1414)*(1-N(K1414)),2))</f>
        <v/>
      </c>
      <c r="AI1414" s="70" t="str">
        <f>IF(OR(J1414="",N(T1414)&lt;=0,V1414="Oui"),"",ROUND(N(T1414)*J1414*(1-N(K1414)),2))</f>
        <v/>
      </c>
    </row>
    <row r="1415">
      <c r="A1415" s="63" t="n"/>
      <c r="B1415" s="64" t="n"/>
      <c r="C1415" s="65" t="n"/>
      <c r="D1415" s="66" t="str">
        <f>IF(C1415="","",IFERROR(INDEX(sup_name,MATCH($C1415,sup_code,0))&amp;"","Fournisseur inconnu"))</f>
        <v/>
      </c>
      <c r="E1415" s="63" t="n"/>
      <c r="F1415" s="66" t="str">
        <f>IF(E1415="","",IFERROR(INDEX(art_des,MATCH($E1415,art_ref,0))&amp;"","Article inconnu"))</f>
        <v/>
      </c>
      <c r="G1415" s="67" t="str">
        <f>IF(E1415="","",IFERROR(INDEX(art_unit,MATCH($E1415,art_ref,0))&amp;"",""))</f>
        <v/>
      </c>
      <c r="H1415" s="68" t="n"/>
      <c r="I1415" s="69" t="n"/>
      <c r="J1415" s="70" t="str">
        <f>IF(E1415="","",IF(ISNUMBER(I1415),I1415,IFERROR(IF(ISNUMBER(INDEX(art_price,MATCH($E1415,art_ref,0))),INDEX(art_price,MATCH($E1415,art_ref,0)),""),"")))</f>
        <v/>
      </c>
      <c r="K1415" s="71" t="n"/>
      <c r="L1415" s="72" t="n"/>
      <c r="M1415" s="72" t="str">
        <f>IF(E1415="","",IF(L1415&lt;&gt;"",L1415,IFERROR(IF(ISNUMBER(INDEX(art_tva,MATCH($E1415,art_ref,0))),INDEX(art_tva,MATCH($E1415,art_ref,0)),""),"")))</f>
        <v/>
      </c>
      <c r="N1415" s="70" t="str">
        <f>IF(OR(E1415="",J1415=""),"",ROUND(N(H1415)*J1415*(1-N(K1415)),2))</f>
        <v/>
      </c>
      <c r="O1415" s="70" t="str">
        <f>IF(OR(N1415="",NOT(ISNUMBER(M1415))),"",ROUND(N1415*M1415,2))</f>
        <v/>
      </c>
      <c r="P1415" s="70" t="str">
        <f>IF(N1415="","",N1415+N(O1415))</f>
        <v/>
      </c>
      <c r="Q1415" s="64" t="n"/>
      <c r="R1415" s="73" t="str">
        <f>IF(N(Q1415)&gt;0,Q1415,IF(OR(N(B1415)=0,ISNA(MATCH($C1415,sup_code,0))),"",IF(ISNUMBER(INDEX(sup_delay,MATCH($C1415,sup_code,0))),B1415+INDEX(sup_delay,MATCH($C1415,sup_code,0)),"")))</f>
        <v/>
      </c>
      <c r="S1415" s="64" t="n"/>
      <c r="T1415" s="68" t="n"/>
      <c r="U1415" s="64" t="n"/>
      <c r="V1415" s="65" t="n"/>
      <c r="W1415" s="74" t="str">
        <f>IF(AND(A1415="",E1415=""),"",IF(V1415="Oui",0,MAX(0,ROUND(N(H1415)-N(T1415),6))))</f>
        <v/>
      </c>
      <c r="X1415" s="67" t="str">
        <f>IF(AND(A1415="",E1415=""),"",IF(V1415="Oui","Annulé",IF(AND(N(H1415)&gt;0,N(T1415)&gt;=N(H1415)),"Reçu",IF(N(S1415)=0,"Brouillon",IF(AND(ISNUMBER(R1415),R1415&lt;p_today),"En retard",IF(N(T1415)&gt;0,"Partiel","Envoyé"))))))</f>
        <v/>
      </c>
      <c r="Y1415" s="75" t="str">
        <f>IF(X1415="En retard",p_today-R1415,IF(AND(X1415="Reçu",ISNUMBER(R1415)),MAX(0,N(U1415)-R1415),""))</f>
        <v/>
      </c>
      <c r="Z1415" s="67" t="str">
        <f>IF(AND(A1415="",E1415=""),"",IF(A1415="","N° de bon manquant",IF(N(B1415)=0,"Date de commande manquante",IF(C1415="","Fournisseur manquant",IF(ISNA(MATCH($C1415,sup_code,0)),"Fournisseur inconnu",IF(E1415="","Article manquant",IF(ISNA(MATCH($E1415,art_ref,0)),"Article inconnu",IF(N(H1415)&lt;=0,"Quantité invalide",IF(J1415="","Prix manquant",IF(OR(N(K1415)&lt;0,N(K1415)&gt;=1),"Remise invalide",IF(M1415="","TVA manquante",IF(ISNA(MATCH(M1415,p_tva,0)),"Taux de TVA inconnu",IF(COUNTIFS(po_num,A1415,po_sup,"&lt;&gt;"&amp;C1415)&gt;0,"Fournisseur différent sur ce bon",IF(COUNTIFS(po_num,A1415,po_date,"&lt;&gt;"&amp;B1415)&gt;0,"Date différente sur ce bon",IF(COUNTIF(po_num,A1415)&gt;25,"Plus de 25 lignes sur ce bon",IF(R1415="","Date de livraison manquante",IF(R1415&lt;B1415,"Livraison avant la commande",IF(AND(N(T1415)&gt;0,N(S1415)=0),"Date d'envoi manquante",IF(N(T1415)&gt;N(H1415),"Reçu plus que commandé",IF(AND(N(T1415)&gt;0,N(U1415)=0),"Date de réception manquante",IF(AND(N(U1415)&gt;0,U1415&lt;B1415),"Réception avant la commande","OK")))))))))))))))))))))</f>
        <v/>
      </c>
      <c r="AA1415" s="66" t="str">
        <f>IF(AND(X1415="Reçu",ISNUMBER(R1415)),IF(N(U1415)&lt;=R1415,1,0),"")</f>
        <v/>
      </c>
      <c r="AB1415" s="76" t="str">
        <f>IF(OR(X1415="Envoyé",X1415="Partiel",X1415="En retard"),IF(ISNUMBER(R1415),R1415,100000)+ROW()/100000,"")</f>
        <v/>
      </c>
      <c r="AC1415" s="66" t="str">
        <f>IF(A1415="","",IF(COUNTIF($A$6:A1415,A1415)=1,1,""))</f>
        <v/>
      </c>
      <c r="AD1415" s="66" t="str">
        <f>IF(AC1415=1,COUNT($AC$6:AC1415),"")</f>
        <v/>
      </c>
      <c r="AE1415" s="66" t="str">
        <f>IFERROR(INDEX(po_num,MATCH(1410,po_seq,0))&amp;"","")</f>
        <v/>
      </c>
      <c r="AF1415" s="66" t="str">
        <f>IF(OR(A1415="",p_po=""),"",IF(A1415&amp;""=p_po,COUNTIF($A$6:A1415,A1415),""))</f>
        <v/>
      </c>
      <c r="AG1415" s="66" t="str">
        <f>IF(OR(AB1415="",A1415=""),"",IF(COUNTIFS($A$6:A1415,A1415,$AB$6:AB1415,"&gt;0")=1,1,""))</f>
        <v/>
      </c>
      <c r="AH1415" s="70" t="str">
        <f>IF(AB1415="","",ROUND(N(W1415)*N(J1415)*(1-N(K1415)),2))</f>
        <v/>
      </c>
      <c r="AI1415" s="70" t="str">
        <f>IF(OR(J1415="",N(T1415)&lt;=0,V1415="Oui"),"",ROUND(N(T1415)*J1415*(1-N(K1415)),2))</f>
        <v/>
      </c>
    </row>
    <row r="1416">
      <c r="A1416" s="63" t="n"/>
      <c r="B1416" s="64" t="n"/>
      <c r="C1416" s="65" t="n"/>
      <c r="D1416" s="66" t="str">
        <f>IF(C1416="","",IFERROR(INDEX(sup_name,MATCH($C1416,sup_code,0))&amp;"","Fournisseur inconnu"))</f>
        <v/>
      </c>
      <c r="E1416" s="63" t="n"/>
      <c r="F1416" s="66" t="str">
        <f>IF(E1416="","",IFERROR(INDEX(art_des,MATCH($E1416,art_ref,0))&amp;"","Article inconnu"))</f>
        <v/>
      </c>
      <c r="G1416" s="67" t="str">
        <f>IF(E1416="","",IFERROR(INDEX(art_unit,MATCH($E1416,art_ref,0))&amp;"",""))</f>
        <v/>
      </c>
      <c r="H1416" s="68" t="n"/>
      <c r="I1416" s="69" t="n"/>
      <c r="J1416" s="70" t="str">
        <f>IF(E1416="","",IF(ISNUMBER(I1416),I1416,IFERROR(IF(ISNUMBER(INDEX(art_price,MATCH($E1416,art_ref,0))),INDEX(art_price,MATCH($E1416,art_ref,0)),""),"")))</f>
        <v/>
      </c>
      <c r="K1416" s="71" t="n"/>
      <c r="L1416" s="72" t="n"/>
      <c r="M1416" s="72" t="str">
        <f>IF(E1416="","",IF(L1416&lt;&gt;"",L1416,IFERROR(IF(ISNUMBER(INDEX(art_tva,MATCH($E1416,art_ref,0))),INDEX(art_tva,MATCH($E1416,art_ref,0)),""),"")))</f>
        <v/>
      </c>
      <c r="N1416" s="70" t="str">
        <f>IF(OR(E1416="",J1416=""),"",ROUND(N(H1416)*J1416*(1-N(K1416)),2))</f>
        <v/>
      </c>
      <c r="O1416" s="70" t="str">
        <f>IF(OR(N1416="",NOT(ISNUMBER(M1416))),"",ROUND(N1416*M1416,2))</f>
        <v/>
      </c>
      <c r="P1416" s="70" t="str">
        <f>IF(N1416="","",N1416+N(O1416))</f>
        <v/>
      </c>
      <c r="Q1416" s="64" t="n"/>
      <c r="R1416" s="73" t="str">
        <f>IF(N(Q1416)&gt;0,Q1416,IF(OR(N(B1416)=0,ISNA(MATCH($C1416,sup_code,0))),"",IF(ISNUMBER(INDEX(sup_delay,MATCH($C1416,sup_code,0))),B1416+INDEX(sup_delay,MATCH($C1416,sup_code,0)),"")))</f>
        <v/>
      </c>
      <c r="S1416" s="64" t="n"/>
      <c r="T1416" s="68" t="n"/>
      <c r="U1416" s="64" t="n"/>
      <c r="V1416" s="65" t="n"/>
      <c r="W1416" s="74" t="str">
        <f>IF(AND(A1416="",E1416=""),"",IF(V1416="Oui",0,MAX(0,ROUND(N(H1416)-N(T1416),6))))</f>
        <v/>
      </c>
      <c r="X1416" s="67" t="str">
        <f>IF(AND(A1416="",E1416=""),"",IF(V1416="Oui","Annulé",IF(AND(N(H1416)&gt;0,N(T1416)&gt;=N(H1416)),"Reçu",IF(N(S1416)=0,"Brouillon",IF(AND(ISNUMBER(R1416),R1416&lt;p_today),"En retard",IF(N(T1416)&gt;0,"Partiel","Envoyé"))))))</f>
        <v/>
      </c>
      <c r="Y1416" s="75" t="str">
        <f>IF(X1416="En retard",p_today-R1416,IF(AND(X1416="Reçu",ISNUMBER(R1416)),MAX(0,N(U1416)-R1416),""))</f>
        <v/>
      </c>
      <c r="Z1416" s="67" t="str">
        <f>IF(AND(A1416="",E1416=""),"",IF(A1416="","N° de bon manquant",IF(N(B1416)=0,"Date de commande manquante",IF(C1416="","Fournisseur manquant",IF(ISNA(MATCH($C1416,sup_code,0)),"Fournisseur inconnu",IF(E1416="","Article manquant",IF(ISNA(MATCH($E1416,art_ref,0)),"Article inconnu",IF(N(H1416)&lt;=0,"Quantité invalide",IF(J1416="","Prix manquant",IF(OR(N(K1416)&lt;0,N(K1416)&gt;=1),"Remise invalide",IF(M1416="","TVA manquante",IF(ISNA(MATCH(M1416,p_tva,0)),"Taux de TVA inconnu",IF(COUNTIFS(po_num,A1416,po_sup,"&lt;&gt;"&amp;C1416)&gt;0,"Fournisseur différent sur ce bon",IF(COUNTIFS(po_num,A1416,po_date,"&lt;&gt;"&amp;B1416)&gt;0,"Date différente sur ce bon",IF(COUNTIF(po_num,A1416)&gt;25,"Plus de 25 lignes sur ce bon",IF(R1416="","Date de livraison manquante",IF(R1416&lt;B1416,"Livraison avant la commande",IF(AND(N(T1416)&gt;0,N(S1416)=0),"Date d'envoi manquante",IF(N(T1416)&gt;N(H1416),"Reçu plus que commandé",IF(AND(N(T1416)&gt;0,N(U1416)=0),"Date de réception manquante",IF(AND(N(U1416)&gt;0,U1416&lt;B1416),"Réception avant la commande","OK")))))))))))))))))))))</f>
        <v/>
      </c>
      <c r="AA1416" s="66" t="str">
        <f>IF(AND(X1416="Reçu",ISNUMBER(R1416)),IF(N(U1416)&lt;=R1416,1,0),"")</f>
        <v/>
      </c>
      <c r="AB1416" s="76" t="str">
        <f>IF(OR(X1416="Envoyé",X1416="Partiel",X1416="En retard"),IF(ISNUMBER(R1416),R1416,100000)+ROW()/100000,"")</f>
        <v/>
      </c>
      <c r="AC1416" s="66" t="str">
        <f>IF(A1416="","",IF(COUNTIF($A$6:A1416,A1416)=1,1,""))</f>
        <v/>
      </c>
      <c r="AD1416" s="66" t="str">
        <f>IF(AC1416=1,COUNT($AC$6:AC1416),"")</f>
        <v/>
      </c>
      <c r="AE1416" s="66" t="str">
        <f>IFERROR(INDEX(po_num,MATCH(1411,po_seq,0))&amp;"","")</f>
        <v/>
      </c>
      <c r="AF1416" s="66" t="str">
        <f>IF(OR(A1416="",p_po=""),"",IF(A1416&amp;""=p_po,COUNTIF($A$6:A1416,A1416),""))</f>
        <v/>
      </c>
      <c r="AG1416" s="66" t="str">
        <f>IF(OR(AB1416="",A1416=""),"",IF(COUNTIFS($A$6:A1416,A1416,$AB$6:AB1416,"&gt;0")=1,1,""))</f>
        <v/>
      </c>
      <c r="AH1416" s="70" t="str">
        <f>IF(AB1416="","",ROUND(N(W1416)*N(J1416)*(1-N(K1416)),2))</f>
        <v/>
      </c>
      <c r="AI1416" s="70" t="str">
        <f>IF(OR(J1416="",N(T1416)&lt;=0,V1416="Oui"),"",ROUND(N(T1416)*J1416*(1-N(K1416)),2))</f>
        <v/>
      </c>
    </row>
    <row r="1417">
      <c r="A1417" s="63" t="n"/>
      <c r="B1417" s="64" t="n"/>
      <c r="C1417" s="65" t="n"/>
      <c r="D1417" s="66" t="str">
        <f>IF(C1417="","",IFERROR(INDEX(sup_name,MATCH($C1417,sup_code,0))&amp;"","Fournisseur inconnu"))</f>
        <v/>
      </c>
      <c r="E1417" s="63" t="n"/>
      <c r="F1417" s="66" t="str">
        <f>IF(E1417="","",IFERROR(INDEX(art_des,MATCH($E1417,art_ref,0))&amp;"","Article inconnu"))</f>
        <v/>
      </c>
      <c r="G1417" s="67" t="str">
        <f>IF(E1417="","",IFERROR(INDEX(art_unit,MATCH($E1417,art_ref,0))&amp;"",""))</f>
        <v/>
      </c>
      <c r="H1417" s="68" t="n"/>
      <c r="I1417" s="69" t="n"/>
      <c r="J1417" s="70" t="str">
        <f>IF(E1417="","",IF(ISNUMBER(I1417),I1417,IFERROR(IF(ISNUMBER(INDEX(art_price,MATCH($E1417,art_ref,0))),INDEX(art_price,MATCH($E1417,art_ref,0)),""),"")))</f>
        <v/>
      </c>
      <c r="K1417" s="71" t="n"/>
      <c r="L1417" s="72" t="n"/>
      <c r="M1417" s="72" t="str">
        <f>IF(E1417="","",IF(L1417&lt;&gt;"",L1417,IFERROR(IF(ISNUMBER(INDEX(art_tva,MATCH($E1417,art_ref,0))),INDEX(art_tva,MATCH($E1417,art_ref,0)),""),"")))</f>
        <v/>
      </c>
      <c r="N1417" s="70" t="str">
        <f>IF(OR(E1417="",J1417=""),"",ROUND(N(H1417)*J1417*(1-N(K1417)),2))</f>
        <v/>
      </c>
      <c r="O1417" s="70" t="str">
        <f>IF(OR(N1417="",NOT(ISNUMBER(M1417))),"",ROUND(N1417*M1417,2))</f>
        <v/>
      </c>
      <c r="P1417" s="70" t="str">
        <f>IF(N1417="","",N1417+N(O1417))</f>
        <v/>
      </c>
      <c r="Q1417" s="64" t="n"/>
      <c r="R1417" s="73" t="str">
        <f>IF(N(Q1417)&gt;0,Q1417,IF(OR(N(B1417)=0,ISNA(MATCH($C1417,sup_code,0))),"",IF(ISNUMBER(INDEX(sup_delay,MATCH($C1417,sup_code,0))),B1417+INDEX(sup_delay,MATCH($C1417,sup_code,0)),"")))</f>
        <v/>
      </c>
      <c r="S1417" s="64" t="n"/>
      <c r="T1417" s="68" t="n"/>
      <c r="U1417" s="64" t="n"/>
      <c r="V1417" s="65" t="n"/>
      <c r="W1417" s="74" t="str">
        <f>IF(AND(A1417="",E1417=""),"",IF(V1417="Oui",0,MAX(0,ROUND(N(H1417)-N(T1417),6))))</f>
        <v/>
      </c>
      <c r="X1417" s="67" t="str">
        <f>IF(AND(A1417="",E1417=""),"",IF(V1417="Oui","Annulé",IF(AND(N(H1417)&gt;0,N(T1417)&gt;=N(H1417)),"Reçu",IF(N(S1417)=0,"Brouillon",IF(AND(ISNUMBER(R1417),R1417&lt;p_today),"En retard",IF(N(T1417)&gt;0,"Partiel","Envoyé"))))))</f>
        <v/>
      </c>
      <c r="Y1417" s="75" t="str">
        <f>IF(X1417="En retard",p_today-R1417,IF(AND(X1417="Reçu",ISNUMBER(R1417)),MAX(0,N(U1417)-R1417),""))</f>
        <v/>
      </c>
      <c r="Z1417" s="67" t="str">
        <f>IF(AND(A1417="",E1417=""),"",IF(A1417="","N° de bon manquant",IF(N(B1417)=0,"Date de commande manquante",IF(C1417="","Fournisseur manquant",IF(ISNA(MATCH($C1417,sup_code,0)),"Fournisseur inconnu",IF(E1417="","Article manquant",IF(ISNA(MATCH($E1417,art_ref,0)),"Article inconnu",IF(N(H1417)&lt;=0,"Quantité invalide",IF(J1417="","Prix manquant",IF(OR(N(K1417)&lt;0,N(K1417)&gt;=1),"Remise invalide",IF(M1417="","TVA manquante",IF(ISNA(MATCH(M1417,p_tva,0)),"Taux de TVA inconnu",IF(COUNTIFS(po_num,A1417,po_sup,"&lt;&gt;"&amp;C1417)&gt;0,"Fournisseur différent sur ce bon",IF(COUNTIFS(po_num,A1417,po_date,"&lt;&gt;"&amp;B1417)&gt;0,"Date différente sur ce bon",IF(COUNTIF(po_num,A1417)&gt;25,"Plus de 25 lignes sur ce bon",IF(R1417="","Date de livraison manquante",IF(R1417&lt;B1417,"Livraison avant la commande",IF(AND(N(T1417)&gt;0,N(S1417)=0),"Date d'envoi manquante",IF(N(T1417)&gt;N(H1417),"Reçu plus que commandé",IF(AND(N(T1417)&gt;0,N(U1417)=0),"Date de réception manquante",IF(AND(N(U1417)&gt;0,U1417&lt;B1417),"Réception avant la commande","OK")))))))))))))))))))))</f>
        <v/>
      </c>
      <c r="AA1417" s="66" t="str">
        <f>IF(AND(X1417="Reçu",ISNUMBER(R1417)),IF(N(U1417)&lt;=R1417,1,0),"")</f>
        <v/>
      </c>
      <c r="AB1417" s="76" t="str">
        <f>IF(OR(X1417="Envoyé",X1417="Partiel",X1417="En retard"),IF(ISNUMBER(R1417),R1417,100000)+ROW()/100000,"")</f>
        <v/>
      </c>
      <c r="AC1417" s="66" t="str">
        <f>IF(A1417="","",IF(COUNTIF($A$6:A1417,A1417)=1,1,""))</f>
        <v/>
      </c>
      <c r="AD1417" s="66" t="str">
        <f>IF(AC1417=1,COUNT($AC$6:AC1417),"")</f>
        <v/>
      </c>
      <c r="AE1417" s="66" t="str">
        <f>IFERROR(INDEX(po_num,MATCH(1412,po_seq,0))&amp;"","")</f>
        <v/>
      </c>
      <c r="AF1417" s="66" t="str">
        <f>IF(OR(A1417="",p_po=""),"",IF(A1417&amp;""=p_po,COUNTIF($A$6:A1417,A1417),""))</f>
        <v/>
      </c>
      <c r="AG1417" s="66" t="str">
        <f>IF(OR(AB1417="",A1417=""),"",IF(COUNTIFS($A$6:A1417,A1417,$AB$6:AB1417,"&gt;0")=1,1,""))</f>
        <v/>
      </c>
      <c r="AH1417" s="70" t="str">
        <f>IF(AB1417="","",ROUND(N(W1417)*N(J1417)*(1-N(K1417)),2))</f>
        <v/>
      </c>
      <c r="AI1417" s="70" t="str">
        <f>IF(OR(J1417="",N(T1417)&lt;=0,V1417="Oui"),"",ROUND(N(T1417)*J1417*(1-N(K1417)),2))</f>
        <v/>
      </c>
    </row>
    <row r="1418">
      <c r="A1418" s="63" t="n"/>
      <c r="B1418" s="64" t="n"/>
      <c r="C1418" s="65" t="n"/>
      <c r="D1418" s="66" t="str">
        <f>IF(C1418="","",IFERROR(INDEX(sup_name,MATCH($C1418,sup_code,0))&amp;"","Fournisseur inconnu"))</f>
        <v/>
      </c>
      <c r="E1418" s="63" t="n"/>
      <c r="F1418" s="66" t="str">
        <f>IF(E1418="","",IFERROR(INDEX(art_des,MATCH($E1418,art_ref,0))&amp;"","Article inconnu"))</f>
        <v/>
      </c>
      <c r="G1418" s="67" t="str">
        <f>IF(E1418="","",IFERROR(INDEX(art_unit,MATCH($E1418,art_ref,0))&amp;"",""))</f>
        <v/>
      </c>
      <c r="H1418" s="68" t="n"/>
      <c r="I1418" s="69" t="n"/>
      <c r="J1418" s="70" t="str">
        <f>IF(E1418="","",IF(ISNUMBER(I1418),I1418,IFERROR(IF(ISNUMBER(INDEX(art_price,MATCH($E1418,art_ref,0))),INDEX(art_price,MATCH($E1418,art_ref,0)),""),"")))</f>
        <v/>
      </c>
      <c r="K1418" s="71" t="n"/>
      <c r="L1418" s="72" t="n"/>
      <c r="M1418" s="72" t="str">
        <f>IF(E1418="","",IF(L1418&lt;&gt;"",L1418,IFERROR(IF(ISNUMBER(INDEX(art_tva,MATCH($E1418,art_ref,0))),INDEX(art_tva,MATCH($E1418,art_ref,0)),""),"")))</f>
        <v/>
      </c>
      <c r="N1418" s="70" t="str">
        <f>IF(OR(E1418="",J1418=""),"",ROUND(N(H1418)*J1418*(1-N(K1418)),2))</f>
        <v/>
      </c>
      <c r="O1418" s="70" t="str">
        <f>IF(OR(N1418="",NOT(ISNUMBER(M1418))),"",ROUND(N1418*M1418,2))</f>
        <v/>
      </c>
      <c r="P1418" s="70" t="str">
        <f>IF(N1418="","",N1418+N(O1418))</f>
        <v/>
      </c>
      <c r="Q1418" s="64" t="n"/>
      <c r="R1418" s="73" t="str">
        <f>IF(N(Q1418)&gt;0,Q1418,IF(OR(N(B1418)=0,ISNA(MATCH($C1418,sup_code,0))),"",IF(ISNUMBER(INDEX(sup_delay,MATCH($C1418,sup_code,0))),B1418+INDEX(sup_delay,MATCH($C1418,sup_code,0)),"")))</f>
        <v/>
      </c>
      <c r="S1418" s="64" t="n"/>
      <c r="T1418" s="68" t="n"/>
      <c r="U1418" s="64" t="n"/>
      <c r="V1418" s="65" t="n"/>
      <c r="W1418" s="74" t="str">
        <f>IF(AND(A1418="",E1418=""),"",IF(V1418="Oui",0,MAX(0,ROUND(N(H1418)-N(T1418),6))))</f>
        <v/>
      </c>
      <c r="X1418" s="67" t="str">
        <f>IF(AND(A1418="",E1418=""),"",IF(V1418="Oui","Annulé",IF(AND(N(H1418)&gt;0,N(T1418)&gt;=N(H1418)),"Reçu",IF(N(S1418)=0,"Brouillon",IF(AND(ISNUMBER(R1418),R1418&lt;p_today),"En retard",IF(N(T1418)&gt;0,"Partiel","Envoyé"))))))</f>
        <v/>
      </c>
      <c r="Y1418" s="75" t="str">
        <f>IF(X1418="En retard",p_today-R1418,IF(AND(X1418="Reçu",ISNUMBER(R1418)),MAX(0,N(U1418)-R1418),""))</f>
        <v/>
      </c>
      <c r="Z1418" s="67" t="str">
        <f>IF(AND(A1418="",E1418=""),"",IF(A1418="","N° de bon manquant",IF(N(B1418)=0,"Date de commande manquante",IF(C1418="","Fournisseur manquant",IF(ISNA(MATCH($C1418,sup_code,0)),"Fournisseur inconnu",IF(E1418="","Article manquant",IF(ISNA(MATCH($E1418,art_ref,0)),"Article inconnu",IF(N(H1418)&lt;=0,"Quantité invalide",IF(J1418="","Prix manquant",IF(OR(N(K1418)&lt;0,N(K1418)&gt;=1),"Remise invalide",IF(M1418="","TVA manquante",IF(ISNA(MATCH(M1418,p_tva,0)),"Taux de TVA inconnu",IF(COUNTIFS(po_num,A1418,po_sup,"&lt;&gt;"&amp;C1418)&gt;0,"Fournisseur différent sur ce bon",IF(COUNTIFS(po_num,A1418,po_date,"&lt;&gt;"&amp;B1418)&gt;0,"Date différente sur ce bon",IF(COUNTIF(po_num,A1418)&gt;25,"Plus de 25 lignes sur ce bon",IF(R1418="","Date de livraison manquante",IF(R1418&lt;B1418,"Livraison avant la commande",IF(AND(N(T1418)&gt;0,N(S1418)=0),"Date d'envoi manquante",IF(N(T1418)&gt;N(H1418),"Reçu plus que commandé",IF(AND(N(T1418)&gt;0,N(U1418)=0),"Date de réception manquante",IF(AND(N(U1418)&gt;0,U1418&lt;B1418),"Réception avant la commande","OK")))))))))))))))))))))</f>
        <v/>
      </c>
      <c r="AA1418" s="66" t="str">
        <f>IF(AND(X1418="Reçu",ISNUMBER(R1418)),IF(N(U1418)&lt;=R1418,1,0),"")</f>
        <v/>
      </c>
      <c r="AB1418" s="76" t="str">
        <f>IF(OR(X1418="Envoyé",X1418="Partiel",X1418="En retard"),IF(ISNUMBER(R1418),R1418,100000)+ROW()/100000,"")</f>
        <v/>
      </c>
      <c r="AC1418" s="66" t="str">
        <f>IF(A1418="","",IF(COUNTIF($A$6:A1418,A1418)=1,1,""))</f>
        <v/>
      </c>
      <c r="AD1418" s="66" t="str">
        <f>IF(AC1418=1,COUNT($AC$6:AC1418),"")</f>
        <v/>
      </c>
      <c r="AE1418" s="66" t="str">
        <f>IFERROR(INDEX(po_num,MATCH(1413,po_seq,0))&amp;"","")</f>
        <v/>
      </c>
      <c r="AF1418" s="66" t="str">
        <f>IF(OR(A1418="",p_po=""),"",IF(A1418&amp;""=p_po,COUNTIF($A$6:A1418,A1418),""))</f>
        <v/>
      </c>
      <c r="AG1418" s="66" t="str">
        <f>IF(OR(AB1418="",A1418=""),"",IF(COUNTIFS($A$6:A1418,A1418,$AB$6:AB1418,"&gt;0")=1,1,""))</f>
        <v/>
      </c>
      <c r="AH1418" s="70" t="str">
        <f>IF(AB1418="","",ROUND(N(W1418)*N(J1418)*(1-N(K1418)),2))</f>
        <v/>
      </c>
      <c r="AI1418" s="70" t="str">
        <f>IF(OR(J1418="",N(T1418)&lt;=0,V1418="Oui"),"",ROUND(N(T1418)*J1418*(1-N(K1418)),2))</f>
        <v/>
      </c>
    </row>
    <row r="1419">
      <c r="A1419" s="63" t="n"/>
      <c r="B1419" s="64" t="n"/>
      <c r="C1419" s="65" t="n"/>
      <c r="D1419" s="66" t="str">
        <f>IF(C1419="","",IFERROR(INDEX(sup_name,MATCH($C1419,sup_code,0))&amp;"","Fournisseur inconnu"))</f>
        <v/>
      </c>
      <c r="E1419" s="63" t="n"/>
      <c r="F1419" s="66" t="str">
        <f>IF(E1419="","",IFERROR(INDEX(art_des,MATCH($E1419,art_ref,0))&amp;"","Article inconnu"))</f>
        <v/>
      </c>
      <c r="G1419" s="67" t="str">
        <f>IF(E1419="","",IFERROR(INDEX(art_unit,MATCH($E1419,art_ref,0))&amp;"",""))</f>
        <v/>
      </c>
      <c r="H1419" s="68" t="n"/>
      <c r="I1419" s="69" t="n"/>
      <c r="J1419" s="70" t="str">
        <f>IF(E1419="","",IF(ISNUMBER(I1419),I1419,IFERROR(IF(ISNUMBER(INDEX(art_price,MATCH($E1419,art_ref,0))),INDEX(art_price,MATCH($E1419,art_ref,0)),""),"")))</f>
        <v/>
      </c>
      <c r="K1419" s="71" t="n"/>
      <c r="L1419" s="72" t="n"/>
      <c r="M1419" s="72" t="str">
        <f>IF(E1419="","",IF(L1419&lt;&gt;"",L1419,IFERROR(IF(ISNUMBER(INDEX(art_tva,MATCH($E1419,art_ref,0))),INDEX(art_tva,MATCH($E1419,art_ref,0)),""),"")))</f>
        <v/>
      </c>
      <c r="N1419" s="70" t="str">
        <f>IF(OR(E1419="",J1419=""),"",ROUND(N(H1419)*J1419*(1-N(K1419)),2))</f>
        <v/>
      </c>
      <c r="O1419" s="70" t="str">
        <f>IF(OR(N1419="",NOT(ISNUMBER(M1419))),"",ROUND(N1419*M1419,2))</f>
        <v/>
      </c>
      <c r="P1419" s="70" t="str">
        <f>IF(N1419="","",N1419+N(O1419))</f>
        <v/>
      </c>
      <c r="Q1419" s="64" t="n"/>
      <c r="R1419" s="73" t="str">
        <f>IF(N(Q1419)&gt;0,Q1419,IF(OR(N(B1419)=0,ISNA(MATCH($C1419,sup_code,0))),"",IF(ISNUMBER(INDEX(sup_delay,MATCH($C1419,sup_code,0))),B1419+INDEX(sup_delay,MATCH($C1419,sup_code,0)),"")))</f>
        <v/>
      </c>
      <c r="S1419" s="64" t="n"/>
      <c r="T1419" s="68" t="n"/>
      <c r="U1419" s="64" t="n"/>
      <c r="V1419" s="65" t="n"/>
      <c r="W1419" s="74" t="str">
        <f>IF(AND(A1419="",E1419=""),"",IF(V1419="Oui",0,MAX(0,ROUND(N(H1419)-N(T1419),6))))</f>
        <v/>
      </c>
      <c r="X1419" s="67" t="str">
        <f>IF(AND(A1419="",E1419=""),"",IF(V1419="Oui","Annulé",IF(AND(N(H1419)&gt;0,N(T1419)&gt;=N(H1419)),"Reçu",IF(N(S1419)=0,"Brouillon",IF(AND(ISNUMBER(R1419),R1419&lt;p_today),"En retard",IF(N(T1419)&gt;0,"Partiel","Envoyé"))))))</f>
        <v/>
      </c>
      <c r="Y1419" s="75" t="str">
        <f>IF(X1419="En retard",p_today-R1419,IF(AND(X1419="Reçu",ISNUMBER(R1419)),MAX(0,N(U1419)-R1419),""))</f>
        <v/>
      </c>
      <c r="Z1419" s="67" t="str">
        <f>IF(AND(A1419="",E1419=""),"",IF(A1419="","N° de bon manquant",IF(N(B1419)=0,"Date de commande manquante",IF(C1419="","Fournisseur manquant",IF(ISNA(MATCH($C1419,sup_code,0)),"Fournisseur inconnu",IF(E1419="","Article manquant",IF(ISNA(MATCH($E1419,art_ref,0)),"Article inconnu",IF(N(H1419)&lt;=0,"Quantité invalide",IF(J1419="","Prix manquant",IF(OR(N(K1419)&lt;0,N(K1419)&gt;=1),"Remise invalide",IF(M1419="","TVA manquante",IF(ISNA(MATCH(M1419,p_tva,0)),"Taux de TVA inconnu",IF(COUNTIFS(po_num,A1419,po_sup,"&lt;&gt;"&amp;C1419)&gt;0,"Fournisseur différent sur ce bon",IF(COUNTIFS(po_num,A1419,po_date,"&lt;&gt;"&amp;B1419)&gt;0,"Date différente sur ce bon",IF(COUNTIF(po_num,A1419)&gt;25,"Plus de 25 lignes sur ce bon",IF(R1419="","Date de livraison manquante",IF(R1419&lt;B1419,"Livraison avant la commande",IF(AND(N(T1419)&gt;0,N(S1419)=0),"Date d'envoi manquante",IF(N(T1419)&gt;N(H1419),"Reçu plus que commandé",IF(AND(N(T1419)&gt;0,N(U1419)=0),"Date de réception manquante",IF(AND(N(U1419)&gt;0,U1419&lt;B1419),"Réception avant la commande","OK")))))))))))))))))))))</f>
        <v/>
      </c>
      <c r="AA1419" s="66" t="str">
        <f>IF(AND(X1419="Reçu",ISNUMBER(R1419)),IF(N(U1419)&lt;=R1419,1,0),"")</f>
        <v/>
      </c>
      <c r="AB1419" s="76" t="str">
        <f>IF(OR(X1419="Envoyé",X1419="Partiel",X1419="En retard"),IF(ISNUMBER(R1419),R1419,100000)+ROW()/100000,"")</f>
        <v/>
      </c>
      <c r="AC1419" s="66" t="str">
        <f>IF(A1419="","",IF(COUNTIF($A$6:A1419,A1419)=1,1,""))</f>
        <v/>
      </c>
      <c r="AD1419" s="66" t="str">
        <f>IF(AC1419=1,COUNT($AC$6:AC1419),"")</f>
        <v/>
      </c>
      <c r="AE1419" s="66" t="str">
        <f>IFERROR(INDEX(po_num,MATCH(1414,po_seq,0))&amp;"","")</f>
        <v/>
      </c>
      <c r="AF1419" s="66" t="str">
        <f>IF(OR(A1419="",p_po=""),"",IF(A1419&amp;""=p_po,COUNTIF($A$6:A1419,A1419),""))</f>
        <v/>
      </c>
      <c r="AG1419" s="66" t="str">
        <f>IF(OR(AB1419="",A1419=""),"",IF(COUNTIFS($A$6:A1419,A1419,$AB$6:AB1419,"&gt;0")=1,1,""))</f>
        <v/>
      </c>
      <c r="AH1419" s="70" t="str">
        <f>IF(AB1419="","",ROUND(N(W1419)*N(J1419)*(1-N(K1419)),2))</f>
        <v/>
      </c>
      <c r="AI1419" s="70" t="str">
        <f>IF(OR(J1419="",N(T1419)&lt;=0,V1419="Oui"),"",ROUND(N(T1419)*J1419*(1-N(K1419)),2))</f>
        <v/>
      </c>
    </row>
    <row r="1420">
      <c r="A1420" s="63" t="n"/>
      <c r="B1420" s="64" t="n"/>
      <c r="C1420" s="65" t="n"/>
      <c r="D1420" s="66" t="str">
        <f>IF(C1420="","",IFERROR(INDEX(sup_name,MATCH($C1420,sup_code,0))&amp;"","Fournisseur inconnu"))</f>
        <v/>
      </c>
      <c r="E1420" s="63" t="n"/>
      <c r="F1420" s="66" t="str">
        <f>IF(E1420="","",IFERROR(INDEX(art_des,MATCH($E1420,art_ref,0))&amp;"","Article inconnu"))</f>
        <v/>
      </c>
      <c r="G1420" s="67" t="str">
        <f>IF(E1420="","",IFERROR(INDEX(art_unit,MATCH($E1420,art_ref,0))&amp;"",""))</f>
        <v/>
      </c>
      <c r="H1420" s="68" t="n"/>
      <c r="I1420" s="69" t="n"/>
      <c r="J1420" s="70" t="str">
        <f>IF(E1420="","",IF(ISNUMBER(I1420),I1420,IFERROR(IF(ISNUMBER(INDEX(art_price,MATCH($E1420,art_ref,0))),INDEX(art_price,MATCH($E1420,art_ref,0)),""),"")))</f>
        <v/>
      </c>
      <c r="K1420" s="71" t="n"/>
      <c r="L1420" s="72" t="n"/>
      <c r="M1420" s="72" t="str">
        <f>IF(E1420="","",IF(L1420&lt;&gt;"",L1420,IFERROR(IF(ISNUMBER(INDEX(art_tva,MATCH($E1420,art_ref,0))),INDEX(art_tva,MATCH($E1420,art_ref,0)),""),"")))</f>
        <v/>
      </c>
      <c r="N1420" s="70" t="str">
        <f>IF(OR(E1420="",J1420=""),"",ROUND(N(H1420)*J1420*(1-N(K1420)),2))</f>
        <v/>
      </c>
      <c r="O1420" s="70" t="str">
        <f>IF(OR(N1420="",NOT(ISNUMBER(M1420))),"",ROUND(N1420*M1420,2))</f>
        <v/>
      </c>
      <c r="P1420" s="70" t="str">
        <f>IF(N1420="","",N1420+N(O1420))</f>
        <v/>
      </c>
      <c r="Q1420" s="64" t="n"/>
      <c r="R1420" s="73" t="str">
        <f>IF(N(Q1420)&gt;0,Q1420,IF(OR(N(B1420)=0,ISNA(MATCH($C1420,sup_code,0))),"",IF(ISNUMBER(INDEX(sup_delay,MATCH($C1420,sup_code,0))),B1420+INDEX(sup_delay,MATCH($C1420,sup_code,0)),"")))</f>
        <v/>
      </c>
      <c r="S1420" s="64" t="n"/>
      <c r="T1420" s="68" t="n"/>
      <c r="U1420" s="64" t="n"/>
      <c r="V1420" s="65" t="n"/>
      <c r="W1420" s="74" t="str">
        <f>IF(AND(A1420="",E1420=""),"",IF(V1420="Oui",0,MAX(0,ROUND(N(H1420)-N(T1420),6))))</f>
        <v/>
      </c>
      <c r="X1420" s="67" t="str">
        <f>IF(AND(A1420="",E1420=""),"",IF(V1420="Oui","Annulé",IF(AND(N(H1420)&gt;0,N(T1420)&gt;=N(H1420)),"Reçu",IF(N(S1420)=0,"Brouillon",IF(AND(ISNUMBER(R1420),R1420&lt;p_today),"En retard",IF(N(T1420)&gt;0,"Partiel","Envoyé"))))))</f>
        <v/>
      </c>
      <c r="Y1420" s="75" t="str">
        <f>IF(X1420="En retard",p_today-R1420,IF(AND(X1420="Reçu",ISNUMBER(R1420)),MAX(0,N(U1420)-R1420),""))</f>
        <v/>
      </c>
      <c r="Z1420" s="67" t="str">
        <f>IF(AND(A1420="",E1420=""),"",IF(A1420="","N° de bon manquant",IF(N(B1420)=0,"Date de commande manquante",IF(C1420="","Fournisseur manquant",IF(ISNA(MATCH($C1420,sup_code,0)),"Fournisseur inconnu",IF(E1420="","Article manquant",IF(ISNA(MATCH($E1420,art_ref,0)),"Article inconnu",IF(N(H1420)&lt;=0,"Quantité invalide",IF(J1420="","Prix manquant",IF(OR(N(K1420)&lt;0,N(K1420)&gt;=1),"Remise invalide",IF(M1420="","TVA manquante",IF(ISNA(MATCH(M1420,p_tva,0)),"Taux de TVA inconnu",IF(COUNTIFS(po_num,A1420,po_sup,"&lt;&gt;"&amp;C1420)&gt;0,"Fournisseur différent sur ce bon",IF(COUNTIFS(po_num,A1420,po_date,"&lt;&gt;"&amp;B1420)&gt;0,"Date différente sur ce bon",IF(COUNTIF(po_num,A1420)&gt;25,"Plus de 25 lignes sur ce bon",IF(R1420="","Date de livraison manquante",IF(R1420&lt;B1420,"Livraison avant la commande",IF(AND(N(T1420)&gt;0,N(S1420)=0),"Date d'envoi manquante",IF(N(T1420)&gt;N(H1420),"Reçu plus que commandé",IF(AND(N(T1420)&gt;0,N(U1420)=0),"Date de réception manquante",IF(AND(N(U1420)&gt;0,U1420&lt;B1420),"Réception avant la commande","OK")))))))))))))))))))))</f>
        <v/>
      </c>
      <c r="AA1420" s="66" t="str">
        <f>IF(AND(X1420="Reçu",ISNUMBER(R1420)),IF(N(U1420)&lt;=R1420,1,0),"")</f>
        <v/>
      </c>
      <c r="AB1420" s="76" t="str">
        <f>IF(OR(X1420="Envoyé",X1420="Partiel",X1420="En retard"),IF(ISNUMBER(R1420),R1420,100000)+ROW()/100000,"")</f>
        <v/>
      </c>
      <c r="AC1420" s="66" t="str">
        <f>IF(A1420="","",IF(COUNTIF($A$6:A1420,A1420)=1,1,""))</f>
        <v/>
      </c>
      <c r="AD1420" s="66" t="str">
        <f>IF(AC1420=1,COUNT($AC$6:AC1420),"")</f>
        <v/>
      </c>
      <c r="AE1420" s="66" t="str">
        <f>IFERROR(INDEX(po_num,MATCH(1415,po_seq,0))&amp;"","")</f>
        <v/>
      </c>
      <c r="AF1420" s="66" t="str">
        <f>IF(OR(A1420="",p_po=""),"",IF(A1420&amp;""=p_po,COUNTIF($A$6:A1420,A1420),""))</f>
        <v/>
      </c>
      <c r="AG1420" s="66" t="str">
        <f>IF(OR(AB1420="",A1420=""),"",IF(COUNTIFS($A$6:A1420,A1420,$AB$6:AB1420,"&gt;0")=1,1,""))</f>
        <v/>
      </c>
      <c r="AH1420" s="70" t="str">
        <f>IF(AB1420="","",ROUND(N(W1420)*N(J1420)*(1-N(K1420)),2))</f>
        <v/>
      </c>
      <c r="AI1420" s="70" t="str">
        <f>IF(OR(J1420="",N(T1420)&lt;=0,V1420="Oui"),"",ROUND(N(T1420)*J1420*(1-N(K1420)),2))</f>
        <v/>
      </c>
    </row>
    <row r="1421">
      <c r="A1421" s="63" t="n"/>
      <c r="B1421" s="64" t="n"/>
      <c r="C1421" s="65" t="n"/>
      <c r="D1421" s="66" t="str">
        <f>IF(C1421="","",IFERROR(INDEX(sup_name,MATCH($C1421,sup_code,0))&amp;"","Fournisseur inconnu"))</f>
        <v/>
      </c>
      <c r="E1421" s="63" t="n"/>
      <c r="F1421" s="66" t="str">
        <f>IF(E1421="","",IFERROR(INDEX(art_des,MATCH($E1421,art_ref,0))&amp;"","Article inconnu"))</f>
        <v/>
      </c>
      <c r="G1421" s="67" t="str">
        <f>IF(E1421="","",IFERROR(INDEX(art_unit,MATCH($E1421,art_ref,0))&amp;"",""))</f>
        <v/>
      </c>
      <c r="H1421" s="68" t="n"/>
      <c r="I1421" s="69" t="n"/>
      <c r="J1421" s="70" t="str">
        <f>IF(E1421="","",IF(ISNUMBER(I1421),I1421,IFERROR(IF(ISNUMBER(INDEX(art_price,MATCH($E1421,art_ref,0))),INDEX(art_price,MATCH($E1421,art_ref,0)),""),"")))</f>
        <v/>
      </c>
      <c r="K1421" s="71" t="n"/>
      <c r="L1421" s="72" t="n"/>
      <c r="M1421" s="72" t="str">
        <f>IF(E1421="","",IF(L1421&lt;&gt;"",L1421,IFERROR(IF(ISNUMBER(INDEX(art_tva,MATCH($E1421,art_ref,0))),INDEX(art_tva,MATCH($E1421,art_ref,0)),""),"")))</f>
        <v/>
      </c>
      <c r="N1421" s="70" t="str">
        <f>IF(OR(E1421="",J1421=""),"",ROUND(N(H1421)*J1421*(1-N(K1421)),2))</f>
        <v/>
      </c>
      <c r="O1421" s="70" t="str">
        <f>IF(OR(N1421="",NOT(ISNUMBER(M1421))),"",ROUND(N1421*M1421,2))</f>
        <v/>
      </c>
      <c r="P1421" s="70" t="str">
        <f>IF(N1421="","",N1421+N(O1421))</f>
        <v/>
      </c>
      <c r="Q1421" s="64" t="n"/>
      <c r="R1421" s="73" t="str">
        <f>IF(N(Q1421)&gt;0,Q1421,IF(OR(N(B1421)=0,ISNA(MATCH($C1421,sup_code,0))),"",IF(ISNUMBER(INDEX(sup_delay,MATCH($C1421,sup_code,0))),B1421+INDEX(sup_delay,MATCH($C1421,sup_code,0)),"")))</f>
        <v/>
      </c>
      <c r="S1421" s="64" t="n"/>
      <c r="T1421" s="68" t="n"/>
      <c r="U1421" s="64" t="n"/>
      <c r="V1421" s="65" t="n"/>
      <c r="W1421" s="74" t="str">
        <f>IF(AND(A1421="",E1421=""),"",IF(V1421="Oui",0,MAX(0,ROUND(N(H1421)-N(T1421),6))))</f>
        <v/>
      </c>
      <c r="X1421" s="67" t="str">
        <f>IF(AND(A1421="",E1421=""),"",IF(V1421="Oui","Annulé",IF(AND(N(H1421)&gt;0,N(T1421)&gt;=N(H1421)),"Reçu",IF(N(S1421)=0,"Brouillon",IF(AND(ISNUMBER(R1421),R1421&lt;p_today),"En retard",IF(N(T1421)&gt;0,"Partiel","Envoyé"))))))</f>
        <v/>
      </c>
      <c r="Y1421" s="75" t="str">
        <f>IF(X1421="En retard",p_today-R1421,IF(AND(X1421="Reçu",ISNUMBER(R1421)),MAX(0,N(U1421)-R1421),""))</f>
        <v/>
      </c>
      <c r="Z1421" s="67" t="str">
        <f>IF(AND(A1421="",E1421=""),"",IF(A1421="","N° de bon manquant",IF(N(B1421)=0,"Date de commande manquante",IF(C1421="","Fournisseur manquant",IF(ISNA(MATCH($C1421,sup_code,0)),"Fournisseur inconnu",IF(E1421="","Article manquant",IF(ISNA(MATCH($E1421,art_ref,0)),"Article inconnu",IF(N(H1421)&lt;=0,"Quantité invalide",IF(J1421="","Prix manquant",IF(OR(N(K1421)&lt;0,N(K1421)&gt;=1),"Remise invalide",IF(M1421="","TVA manquante",IF(ISNA(MATCH(M1421,p_tva,0)),"Taux de TVA inconnu",IF(COUNTIFS(po_num,A1421,po_sup,"&lt;&gt;"&amp;C1421)&gt;0,"Fournisseur différent sur ce bon",IF(COUNTIFS(po_num,A1421,po_date,"&lt;&gt;"&amp;B1421)&gt;0,"Date différente sur ce bon",IF(COUNTIF(po_num,A1421)&gt;25,"Plus de 25 lignes sur ce bon",IF(R1421="","Date de livraison manquante",IF(R1421&lt;B1421,"Livraison avant la commande",IF(AND(N(T1421)&gt;0,N(S1421)=0),"Date d'envoi manquante",IF(N(T1421)&gt;N(H1421),"Reçu plus que commandé",IF(AND(N(T1421)&gt;0,N(U1421)=0),"Date de réception manquante",IF(AND(N(U1421)&gt;0,U1421&lt;B1421),"Réception avant la commande","OK")))))))))))))))))))))</f>
        <v/>
      </c>
      <c r="AA1421" s="66" t="str">
        <f>IF(AND(X1421="Reçu",ISNUMBER(R1421)),IF(N(U1421)&lt;=R1421,1,0),"")</f>
        <v/>
      </c>
      <c r="AB1421" s="76" t="str">
        <f>IF(OR(X1421="Envoyé",X1421="Partiel",X1421="En retard"),IF(ISNUMBER(R1421),R1421,100000)+ROW()/100000,"")</f>
        <v/>
      </c>
      <c r="AC1421" s="66" t="str">
        <f>IF(A1421="","",IF(COUNTIF($A$6:A1421,A1421)=1,1,""))</f>
        <v/>
      </c>
      <c r="AD1421" s="66" t="str">
        <f>IF(AC1421=1,COUNT($AC$6:AC1421),"")</f>
        <v/>
      </c>
      <c r="AE1421" s="66" t="str">
        <f>IFERROR(INDEX(po_num,MATCH(1416,po_seq,0))&amp;"","")</f>
        <v/>
      </c>
      <c r="AF1421" s="66" t="str">
        <f>IF(OR(A1421="",p_po=""),"",IF(A1421&amp;""=p_po,COUNTIF($A$6:A1421,A1421),""))</f>
        <v/>
      </c>
      <c r="AG1421" s="66" t="str">
        <f>IF(OR(AB1421="",A1421=""),"",IF(COUNTIFS($A$6:A1421,A1421,$AB$6:AB1421,"&gt;0")=1,1,""))</f>
        <v/>
      </c>
      <c r="AH1421" s="70" t="str">
        <f>IF(AB1421="","",ROUND(N(W1421)*N(J1421)*(1-N(K1421)),2))</f>
        <v/>
      </c>
      <c r="AI1421" s="70" t="str">
        <f>IF(OR(J1421="",N(T1421)&lt;=0,V1421="Oui"),"",ROUND(N(T1421)*J1421*(1-N(K1421)),2))</f>
        <v/>
      </c>
    </row>
    <row r="1422">
      <c r="A1422" s="63" t="n"/>
      <c r="B1422" s="64" t="n"/>
      <c r="C1422" s="65" t="n"/>
      <c r="D1422" s="66" t="str">
        <f>IF(C1422="","",IFERROR(INDEX(sup_name,MATCH($C1422,sup_code,0))&amp;"","Fournisseur inconnu"))</f>
        <v/>
      </c>
      <c r="E1422" s="63" t="n"/>
      <c r="F1422" s="66" t="str">
        <f>IF(E1422="","",IFERROR(INDEX(art_des,MATCH($E1422,art_ref,0))&amp;"","Article inconnu"))</f>
        <v/>
      </c>
      <c r="G1422" s="67" t="str">
        <f>IF(E1422="","",IFERROR(INDEX(art_unit,MATCH($E1422,art_ref,0))&amp;"",""))</f>
        <v/>
      </c>
      <c r="H1422" s="68" t="n"/>
      <c r="I1422" s="69" t="n"/>
      <c r="J1422" s="70" t="str">
        <f>IF(E1422="","",IF(ISNUMBER(I1422),I1422,IFERROR(IF(ISNUMBER(INDEX(art_price,MATCH($E1422,art_ref,0))),INDEX(art_price,MATCH($E1422,art_ref,0)),""),"")))</f>
        <v/>
      </c>
      <c r="K1422" s="71" t="n"/>
      <c r="L1422" s="72" t="n"/>
      <c r="M1422" s="72" t="str">
        <f>IF(E1422="","",IF(L1422&lt;&gt;"",L1422,IFERROR(IF(ISNUMBER(INDEX(art_tva,MATCH($E1422,art_ref,0))),INDEX(art_tva,MATCH($E1422,art_ref,0)),""),"")))</f>
        <v/>
      </c>
      <c r="N1422" s="70" t="str">
        <f>IF(OR(E1422="",J1422=""),"",ROUND(N(H1422)*J1422*(1-N(K1422)),2))</f>
        <v/>
      </c>
      <c r="O1422" s="70" t="str">
        <f>IF(OR(N1422="",NOT(ISNUMBER(M1422))),"",ROUND(N1422*M1422,2))</f>
        <v/>
      </c>
      <c r="P1422" s="70" t="str">
        <f>IF(N1422="","",N1422+N(O1422))</f>
        <v/>
      </c>
      <c r="Q1422" s="64" t="n"/>
      <c r="R1422" s="73" t="str">
        <f>IF(N(Q1422)&gt;0,Q1422,IF(OR(N(B1422)=0,ISNA(MATCH($C1422,sup_code,0))),"",IF(ISNUMBER(INDEX(sup_delay,MATCH($C1422,sup_code,0))),B1422+INDEX(sup_delay,MATCH($C1422,sup_code,0)),"")))</f>
        <v/>
      </c>
      <c r="S1422" s="64" t="n"/>
      <c r="T1422" s="68" t="n"/>
      <c r="U1422" s="64" t="n"/>
      <c r="V1422" s="65" t="n"/>
      <c r="W1422" s="74" t="str">
        <f>IF(AND(A1422="",E1422=""),"",IF(V1422="Oui",0,MAX(0,ROUND(N(H1422)-N(T1422),6))))</f>
        <v/>
      </c>
      <c r="X1422" s="67" t="str">
        <f>IF(AND(A1422="",E1422=""),"",IF(V1422="Oui","Annulé",IF(AND(N(H1422)&gt;0,N(T1422)&gt;=N(H1422)),"Reçu",IF(N(S1422)=0,"Brouillon",IF(AND(ISNUMBER(R1422),R1422&lt;p_today),"En retard",IF(N(T1422)&gt;0,"Partiel","Envoyé"))))))</f>
        <v/>
      </c>
      <c r="Y1422" s="75" t="str">
        <f>IF(X1422="En retard",p_today-R1422,IF(AND(X1422="Reçu",ISNUMBER(R1422)),MAX(0,N(U1422)-R1422),""))</f>
        <v/>
      </c>
      <c r="Z1422" s="67" t="str">
        <f>IF(AND(A1422="",E1422=""),"",IF(A1422="","N° de bon manquant",IF(N(B1422)=0,"Date de commande manquante",IF(C1422="","Fournisseur manquant",IF(ISNA(MATCH($C1422,sup_code,0)),"Fournisseur inconnu",IF(E1422="","Article manquant",IF(ISNA(MATCH($E1422,art_ref,0)),"Article inconnu",IF(N(H1422)&lt;=0,"Quantité invalide",IF(J1422="","Prix manquant",IF(OR(N(K1422)&lt;0,N(K1422)&gt;=1),"Remise invalide",IF(M1422="","TVA manquante",IF(ISNA(MATCH(M1422,p_tva,0)),"Taux de TVA inconnu",IF(COUNTIFS(po_num,A1422,po_sup,"&lt;&gt;"&amp;C1422)&gt;0,"Fournisseur différent sur ce bon",IF(COUNTIFS(po_num,A1422,po_date,"&lt;&gt;"&amp;B1422)&gt;0,"Date différente sur ce bon",IF(COUNTIF(po_num,A1422)&gt;25,"Plus de 25 lignes sur ce bon",IF(R1422="","Date de livraison manquante",IF(R1422&lt;B1422,"Livraison avant la commande",IF(AND(N(T1422)&gt;0,N(S1422)=0),"Date d'envoi manquante",IF(N(T1422)&gt;N(H1422),"Reçu plus que commandé",IF(AND(N(T1422)&gt;0,N(U1422)=0),"Date de réception manquante",IF(AND(N(U1422)&gt;0,U1422&lt;B1422),"Réception avant la commande","OK")))))))))))))))))))))</f>
        <v/>
      </c>
      <c r="AA1422" s="66" t="str">
        <f>IF(AND(X1422="Reçu",ISNUMBER(R1422)),IF(N(U1422)&lt;=R1422,1,0),"")</f>
        <v/>
      </c>
      <c r="AB1422" s="76" t="str">
        <f>IF(OR(X1422="Envoyé",X1422="Partiel",X1422="En retard"),IF(ISNUMBER(R1422),R1422,100000)+ROW()/100000,"")</f>
        <v/>
      </c>
      <c r="AC1422" s="66" t="str">
        <f>IF(A1422="","",IF(COUNTIF($A$6:A1422,A1422)=1,1,""))</f>
        <v/>
      </c>
      <c r="AD1422" s="66" t="str">
        <f>IF(AC1422=1,COUNT($AC$6:AC1422),"")</f>
        <v/>
      </c>
      <c r="AE1422" s="66" t="str">
        <f>IFERROR(INDEX(po_num,MATCH(1417,po_seq,0))&amp;"","")</f>
        <v/>
      </c>
      <c r="AF1422" s="66" t="str">
        <f>IF(OR(A1422="",p_po=""),"",IF(A1422&amp;""=p_po,COUNTIF($A$6:A1422,A1422),""))</f>
        <v/>
      </c>
      <c r="AG1422" s="66" t="str">
        <f>IF(OR(AB1422="",A1422=""),"",IF(COUNTIFS($A$6:A1422,A1422,$AB$6:AB1422,"&gt;0")=1,1,""))</f>
        <v/>
      </c>
      <c r="AH1422" s="70" t="str">
        <f>IF(AB1422="","",ROUND(N(W1422)*N(J1422)*(1-N(K1422)),2))</f>
        <v/>
      </c>
      <c r="AI1422" s="70" t="str">
        <f>IF(OR(J1422="",N(T1422)&lt;=0,V1422="Oui"),"",ROUND(N(T1422)*J1422*(1-N(K1422)),2))</f>
        <v/>
      </c>
    </row>
    <row r="1423">
      <c r="A1423" s="63" t="n"/>
      <c r="B1423" s="64" t="n"/>
      <c r="C1423" s="65" t="n"/>
      <c r="D1423" s="66" t="str">
        <f>IF(C1423="","",IFERROR(INDEX(sup_name,MATCH($C1423,sup_code,0))&amp;"","Fournisseur inconnu"))</f>
        <v/>
      </c>
      <c r="E1423" s="63" t="n"/>
      <c r="F1423" s="66" t="str">
        <f>IF(E1423="","",IFERROR(INDEX(art_des,MATCH($E1423,art_ref,0))&amp;"","Article inconnu"))</f>
        <v/>
      </c>
      <c r="G1423" s="67" t="str">
        <f>IF(E1423="","",IFERROR(INDEX(art_unit,MATCH($E1423,art_ref,0))&amp;"",""))</f>
        <v/>
      </c>
      <c r="H1423" s="68" t="n"/>
      <c r="I1423" s="69" t="n"/>
      <c r="J1423" s="70" t="str">
        <f>IF(E1423="","",IF(ISNUMBER(I1423),I1423,IFERROR(IF(ISNUMBER(INDEX(art_price,MATCH($E1423,art_ref,0))),INDEX(art_price,MATCH($E1423,art_ref,0)),""),"")))</f>
        <v/>
      </c>
      <c r="K1423" s="71" t="n"/>
      <c r="L1423" s="72" t="n"/>
      <c r="M1423" s="72" t="str">
        <f>IF(E1423="","",IF(L1423&lt;&gt;"",L1423,IFERROR(IF(ISNUMBER(INDEX(art_tva,MATCH($E1423,art_ref,0))),INDEX(art_tva,MATCH($E1423,art_ref,0)),""),"")))</f>
        <v/>
      </c>
      <c r="N1423" s="70" t="str">
        <f>IF(OR(E1423="",J1423=""),"",ROUND(N(H1423)*J1423*(1-N(K1423)),2))</f>
        <v/>
      </c>
      <c r="O1423" s="70" t="str">
        <f>IF(OR(N1423="",NOT(ISNUMBER(M1423))),"",ROUND(N1423*M1423,2))</f>
        <v/>
      </c>
      <c r="P1423" s="70" t="str">
        <f>IF(N1423="","",N1423+N(O1423))</f>
        <v/>
      </c>
      <c r="Q1423" s="64" t="n"/>
      <c r="R1423" s="73" t="str">
        <f>IF(N(Q1423)&gt;0,Q1423,IF(OR(N(B1423)=0,ISNA(MATCH($C1423,sup_code,0))),"",IF(ISNUMBER(INDEX(sup_delay,MATCH($C1423,sup_code,0))),B1423+INDEX(sup_delay,MATCH($C1423,sup_code,0)),"")))</f>
        <v/>
      </c>
      <c r="S1423" s="64" t="n"/>
      <c r="T1423" s="68" t="n"/>
      <c r="U1423" s="64" t="n"/>
      <c r="V1423" s="65" t="n"/>
      <c r="W1423" s="74" t="str">
        <f>IF(AND(A1423="",E1423=""),"",IF(V1423="Oui",0,MAX(0,ROUND(N(H1423)-N(T1423),6))))</f>
        <v/>
      </c>
      <c r="X1423" s="67" t="str">
        <f>IF(AND(A1423="",E1423=""),"",IF(V1423="Oui","Annulé",IF(AND(N(H1423)&gt;0,N(T1423)&gt;=N(H1423)),"Reçu",IF(N(S1423)=0,"Brouillon",IF(AND(ISNUMBER(R1423),R1423&lt;p_today),"En retard",IF(N(T1423)&gt;0,"Partiel","Envoyé"))))))</f>
        <v/>
      </c>
      <c r="Y1423" s="75" t="str">
        <f>IF(X1423="En retard",p_today-R1423,IF(AND(X1423="Reçu",ISNUMBER(R1423)),MAX(0,N(U1423)-R1423),""))</f>
        <v/>
      </c>
      <c r="Z1423" s="67" t="str">
        <f>IF(AND(A1423="",E1423=""),"",IF(A1423="","N° de bon manquant",IF(N(B1423)=0,"Date de commande manquante",IF(C1423="","Fournisseur manquant",IF(ISNA(MATCH($C1423,sup_code,0)),"Fournisseur inconnu",IF(E1423="","Article manquant",IF(ISNA(MATCH($E1423,art_ref,0)),"Article inconnu",IF(N(H1423)&lt;=0,"Quantité invalide",IF(J1423="","Prix manquant",IF(OR(N(K1423)&lt;0,N(K1423)&gt;=1),"Remise invalide",IF(M1423="","TVA manquante",IF(ISNA(MATCH(M1423,p_tva,0)),"Taux de TVA inconnu",IF(COUNTIFS(po_num,A1423,po_sup,"&lt;&gt;"&amp;C1423)&gt;0,"Fournisseur différent sur ce bon",IF(COUNTIFS(po_num,A1423,po_date,"&lt;&gt;"&amp;B1423)&gt;0,"Date différente sur ce bon",IF(COUNTIF(po_num,A1423)&gt;25,"Plus de 25 lignes sur ce bon",IF(R1423="","Date de livraison manquante",IF(R1423&lt;B1423,"Livraison avant la commande",IF(AND(N(T1423)&gt;0,N(S1423)=0),"Date d'envoi manquante",IF(N(T1423)&gt;N(H1423),"Reçu plus que commandé",IF(AND(N(T1423)&gt;0,N(U1423)=0),"Date de réception manquante",IF(AND(N(U1423)&gt;0,U1423&lt;B1423),"Réception avant la commande","OK")))))))))))))))))))))</f>
        <v/>
      </c>
      <c r="AA1423" s="66" t="str">
        <f>IF(AND(X1423="Reçu",ISNUMBER(R1423)),IF(N(U1423)&lt;=R1423,1,0),"")</f>
        <v/>
      </c>
      <c r="AB1423" s="76" t="str">
        <f>IF(OR(X1423="Envoyé",X1423="Partiel",X1423="En retard"),IF(ISNUMBER(R1423),R1423,100000)+ROW()/100000,"")</f>
        <v/>
      </c>
      <c r="AC1423" s="66" t="str">
        <f>IF(A1423="","",IF(COUNTIF($A$6:A1423,A1423)=1,1,""))</f>
        <v/>
      </c>
      <c r="AD1423" s="66" t="str">
        <f>IF(AC1423=1,COUNT($AC$6:AC1423),"")</f>
        <v/>
      </c>
      <c r="AE1423" s="66" t="str">
        <f>IFERROR(INDEX(po_num,MATCH(1418,po_seq,0))&amp;"","")</f>
        <v/>
      </c>
      <c r="AF1423" s="66" t="str">
        <f>IF(OR(A1423="",p_po=""),"",IF(A1423&amp;""=p_po,COUNTIF($A$6:A1423,A1423),""))</f>
        <v/>
      </c>
      <c r="AG1423" s="66" t="str">
        <f>IF(OR(AB1423="",A1423=""),"",IF(COUNTIFS($A$6:A1423,A1423,$AB$6:AB1423,"&gt;0")=1,1,""))</f>
        <v/>
      </c>
      <c r="AH1423" s="70" t="str">
        <f>IF(AB1423="","",ROUND(N(W1423)*N(J1423)*(1-N(K1423)),2))</f>
        <v/>
      </c>
      <c r="AI1423" s="70" t="str">
        <f>IF(OR(J1423="",N(T1423)&lt;=0,V1423="Oui"),"",ROUND(N(T1423)*J1423*(1-N(K1423)),2))</f>
        <v/>
      </c>
    </row>
    <row r="1424">
      <c r="A1424" s="63" t="n"/>
      <c r="B1424" s="64" t="n"/>
      <c r="C1424" s="65" t="n"/>
      <c r="D1424" s="66" t="str">
        <f>IF(C1424="","",IFERROR(INDEX(sup_name,MATCH($C1424,sup_code,0))&amp;"","Fournisseur inconnu"))</f>
        <v/>
      </c>
      <c r="E1424" s="63" t="n"/>
      <c r="F1424" s="66" t="str">
        <f>IF(E1424="","",IFERROR(INDEX(art_des,MATCH($E1424,art_ref,0))&amp;"","Article inconnu"))</f>
        <v/>
      </c>
      <c r="G1424" s="67" t="str">
        <f>IF(E1424="","",IFERROR(INDEX(art_unit,MATCH($E1424,art_ref,0))&amp;"",""))</f>
        <v/>
      </c>
      <c r="H1424" s="68" t="n"/>
      <c r="I1424" s="69" t="n"/>
      <c r="J1424" s="70" t="str">
        <f>IF(E1424="","",IF(ISNUMBER(I1424),I1424,IFERROR(IF(ISNUMBER(INDEX(art_price,MATCH($E1424,art_ref,0))),INDEX(art_price,MATCH($E1424,art_ref,0)),""),"")))</f>
        <v/>
      </c>
      <c r="K1424" s="71" t="n"/>
      <c r="L1424" s="72" t="n"/>
      <c r="M1424" s="72" t="str">
        <f>IF(E1424="","",IF(L1424&lt;&gt;"",L1424,IFERROR(IF(ISNUMBER(INDEX(art_tva,MATCH($E1424,art_ref,0))),INDEX(art_tva,MATCH($E1424,art_ref,0)),""),"")))</f>
        <v/>
      </c>
      <c r="N1424" s="70" t="str">
        <f>IF(OR(E1424="",J1424=""),"",ROUND(N(H1424)*J1424*(1-N(K1424)),2))</f>
        <v/>
      </c>
      <c r="O1424" s="70" t="str">
        <f>IF(OR(N1424="",NOT(ISNUMBER(M1424))),"",ROUND(N1424*M1424,2))</f>
        <v/>
      </c>
      <c r="P1424" s="70" t="str">
        <f>IF(N1424="","",N1424+N(O1424))</f>
        <v/>
      </c>
      <c r="Q1424" s="64" t="n"/>
      <c r="R1424" s="73" t="str">
        <f>IF(N(Q1424)&gt;0,Q1424,IF(OR(N(B1424)=0,ISNA(MATCH($C1424,sup_code,0))),"",IF(ISNUMBER(INDEX(sup_delay,MATCH($C1424,sup_code,0))),B1424+INDEX(sup_delay,MATCH($C1424,sup_code,0)),"")))</f>
        <v/>
      </c>
      <c r="S1424" s="64" t="n"/>
      <c r="T1424" s="68" t="n"/>
      <c r="U1424" s="64" t="n"/>
      <c r="V1424" s="65" t="n"/>
      <c r="W1424" s="74" t="str">
        <f>IF(AND(A1424="",E1424=""),"",IF(V1424="Oui",0,MAX(0,ROUND(N(H1424)-N(T1424),6))))</f>
        <v/>
      </c>
      <c r="X1424" s="67" t="str">
        <f>IF(AND(A1424="",E1424=""),"",IF(V1424="Oui","Annulé",IF(AND(N(H1424)&gt;0,N(T1424)&gt;=N(H1424)),"Reçu",IF(N(S1424)=0,"Brouillon",IF(AND(ISNUMBER(R1424),R1424&lt;p_today),"En retard",IF(N(T1424)&gt;0,"Partiel","Envoyé"))))))</f>
        <v/>
      </c>
      <c r="Y1424" s="75" t="str">
        <f>IF(X1424="En retard",p_today-R1424,IF(AND(X1424="Reçu",ISNUMBER(R1424)),MAX(0,N(U1424)-R1424),""))</f>
        <v/>
      </c>
      <c r="Z1424" s="67" t="str">
        <f>IF(AND(A1424="",E1424=""),"",IF(A1424="","N° de bon manquant",IF(N(B1424)=0,"Date de commande manquante",IF(C1424="","Fournisseur manquant",IF(ISNA(MATCH($C1424,sup_code,0)),"Fournisseur inconnu",IF(E1424="","Article manquant",IF(ISNA(MATCH($E1424,art_ref,0)),"Article inconnu",IF(N(H1424)&lt;=0,"Quantité invalide",IF(J1424="","Prix manquant",IF(OR(N(K1424)&lt;0,N(K1424)&gt;=1),"Remise invalide",IF(M1424="","TVA manquante",IF(ISNA(MATCH(M1424,p_tva,0)),"Taux de TVA inconnu",IF(COUNTIFS(po_num,A1424,po_sup,"&lt;&gt;"&amp;C1424)&gt;0,"Fournisseur différent sur ce bon",IF(COUNTIFS(po_num,A1424,po_date,"&lt;&gt;"&amp;B1424)&gt;0,"Date différente sur ce bon",IF(COUNTIF(po_num,A1424)&gt;25,"Plus de 25 lignes sur ce bon",IF(R1424="","Date de livraison manquante",IF(R1424&lt;B1424,"Livraison avant la commande",IF(AND(N(T1424)&gt;0,N(S1424)=0),"Date d'envoi manquante",IF(N(T1424)&gt;N(H1424),"Reçu plus que commandé",IF(AND(N(T1424)&gt;0,N(U1424)=0),"Date de réception manquante",IF(AND(N(U1424)&gt;0,U1424&lt;B1424),"Réception avant la commande","OK")))))))))))))))))))))</f>
        <v/>
      </c>
      <c r="AA1424" s="66" t="str">
        <f>IF(AND(X1424="Reçu",ISNUMBER(R1424)),IF(N(U1424)&lt;=R1424,1,0),"")</f>
        <v/>
      </c>
      <c r="AB1424" s="76" t="str">
        <f>IF(OR(X1424="Envoyé",X1424="Partiel",X1424="En retard"),IF(ISNUMBER(R1424),R1424,100000)+ROW()/100000,"")</f>
        <v/>
      </c>
      <c r="AC1424" s="66" t="str">
        <f>IF(A1424="","",IF(COUNTIF($A$6:A1424,A1424)=1,1,""))</f>
        <v/>
      </c>
      <c r="AD1424" s="66" t="str">
        <f>IF(AC1424=1,COUNT($AC$6:AC1424),"")</f>
        <v/>
      </c>
      <c r="AE1424" s="66" t="str">
        <f>IFERROR(INDEX(po_num,MATCH(1419,po_seq,0))&amp;"","")</f>
        <v/>
      </c>
      <c r="AF1424" s="66" t="str">
        <f>IF(OR(A1424="",p_po=""),"",IF(A1424&amp;""=p_po,COUNTIF($A$6:A1424,A1424),""))</f>
        <v/>
      </c>
      <c r="AG1424" s="66" t="str">
        <f>IF(OR(AB1424="",A1424=""),"",IF(COUNTIFS($A$6:A1424,A1424,$AB$6:AB1424,"&gt;0")=1,1,""))</f>
        <v/>
      </c>
      <c r="AH1424" s="70" t="str">
        <f>IF(AB1424="","",ROUND(N(W1424)*N(J1424)*(1-N(K1424)),2))</f>
        <v/>
      </c>
      <c r="AI1424" s="70" t="str">
        <f>IF(OR(J1424="",N(T1424)&lt;=0,V1424="Oui"),"",ROUND(N(T1424)*J1424*(1-N(K1424)),2))</f>
        <v/>
      </c>
    </row>
    <row r="1425">
      <c r="A1425" s="63" t="n"/>
      <c r="B1425" s="64" t="n"/>
      <c r="C1425" s="65" t="n"/>
      <c r="D1425" s="66" t="str">
        <f>IF(C1425="","",IFERROR(INDEX(sup_name,MATCH($C1425,sup_code,0))&amp;"","Fournisseur inconnu"))</f>
        <v/>
      </c>
      <c r="E1425" s="63" t="n"/>
      <c r="F1425" s="66" t="str">
        <f>IF(E1425="","",IFERROR(INDEX(art_des,MATCH($E1425,art_ref,0))&amp;"","Article inconnu"))</f>
        <v/>
      </c>
      <c r="G1425" s="67" t="str">
        <f>IF(E1425="","",IFERROR(INDEX(art_unit,MATCH($E1425,art_ref,0))&amp;"",""))</f>
        <v/>
      </c>
      <c r="H1425" s="68" t="n"/>
      <c r="I1425" s="69" t="n"/>
      <c r="J1425" s="70" t="str">
        <f>IF(E1425="","",IF(ISNUMBER(I1425),I1425,IFERROR(IF(ISNUMBER(INDEX(art_price,MATCH($E1425,art_ref,0))),INDEX(art_price,MATCH($E1425,art_ref,0)),""),"")))</f>
        <v/>
      </c>
      <c r="K1425" s="71" t="n"/>
      <c r="L1425" s="72" t="n"/>
      <c r="M1425" s="72" t="str">
        <f>IF(E1425="","",IF(L1425&lt;&gt;"",L1425,IFERROR(IF(ISNUMBER(INDEX(art_tva,MATCH($E1425,art_ref,0))),INDEX(art_tva,MATCH($E1425,art_ref,0)),""),"")))</f>
        <v/>
      </c>
      <c r="N1425" s="70" t="str">
        <f>IF(OR(E1425="",J1425=""),"",ROUND(N(H1425)*J1425*(1-N(K1425)),2))</f>
        <v/>
      </c>
      <c r="O1425" s="70" t="str">
        <f>IF(OR(N1425="",NOT(ISNUMBER(M1425))),"",ROUND(N1425*M1425,2))</f>
        <v/>
      </c>
      <c r="P1425" s="70" t="str">
        <f>IF(N1425="","",N1425+N(O1425))</f>
        <v/>
      </c>
      <c r="Q1425" s="64" t="n"/>
      <c r="R1425" s="73" t="str">
        <f>IF(N(Q1425)&gt;0,Q1425,IF(OR(N(B1425)=0,ISNA(MATCH($C1425,sup_code,0))),"",IF(ISNUMBER(INDEX(sup_delay,MATCH($C1425,sup_code,0))),B1425+INDEX(sup_delay,MATCH($C1425,sup_code,0)),"")))</f>
        <v/>
      </c>
      <c r="S1425" s="64" t="n"/>
      <c r="T1425" s="68" t="n"/>
      <c r="U1425" s="64" t="n"/>
      <c r="V1425" s="65" t="n"/>
      <c r="W1425" s="74" t="str">
        <f>IF(AND(A1425="",E1425=""),"",IF(V1425="Oui",0,MAX(0,ROUND(N(H1425)-N(T1425),6))))</f>
        <v/>
      </c>
      <c r="X1425" s="67" t="str">
        <f>IF(AND(A1425="",E1425=""),"",IF(V1425="Oui","Annulé",IF(AND(N(H1425)&gt;0,N(T1425)&gt;=N(H1425)),"Reçu",IF(N(S1425)=0,"Brouillon",IF(AND(ISNUMBER(R1425),R1425&lt;p_today),"En retard",IF(N(T1425)&gt;0,"Partiel","Envoyé"))))))</f>
        <v/>
      </c>
      <c r="Y1425" s="75" t="str">
        <f>IF(X1425="En retard",p_today-R1425,IF(AND(X1425="Reçu",ISNUMBER(R1425)),MAX(0,N(U1425)-R1425),""))</f>
        <v/>
      </c>
      <c r="Z1425" s="67" t="str">
        <f>IF(AND(A1425="",E1425=""),"",IF(A1425="","N° de bon manquant",IF(N(B1425)=0,"Date de commande manquante",IF(C1425="","Fournisseur manquant",IF(ISNA(MATCH($C1425,sup_code,0)),"Fournisseur inconnu",IF(E1425="","Article manquant",IF(ISNA(MATCH($E1425,art_ref,0)),"Article inconnu",IF(N(H1425)&lt;=0,"Quantité invalide",IF(J1425="","Prix manquant",IF(OR(N(K1425)&lt;0,N(K1425)&gt;=1),"Remise invalide",IF(M1425="","TVA manquante",IF(ISNA(MATCH(M1425,p_tva,0)),"Taux de TVA inconnu",IF(COUNTIFS(po_num,A1425,po_sup,"&lt;&gt;"&amp;C1425)&gt;0,"Fournisseur différent sur ce bon",IF(COUNTIFS(po_num,A1425,po_date,"&lt;&gt;"&amp;B1425)&gt;0,"Date différente sur ce bon",IF(COUNTIF(po_num,A1425)&gt;25,"Plus de 25 lignes sur ce bon",IF(R1425="","Date de livraison manquante",IF(R1425&lt;B1425,"Livraison avant la commande",IF(AND(N(T1425)&gt;0,N(S1425)=0),"Date d'envoi manquante",IF(N(T1425)&gt;N(H1425),"Reçu plus que commandé",IF(AND(N(T1425)&gt;0,N(U1425)=0),"Date de réception manquante",IF(AND(N(U1425)&gt;0,U1425&lt;B1425),"Réception avant la commande","OK")))))))))))))))))))))</f>
        <v/>
      </c>
      <c r="AA1425" s="66" t="str">
        <f>IF(AND(X1425="Reçu",ISNUMBER(R1425)),IF(N(U1425)&lt;=R1425,1,0),"")</f>
        <v/>
      </c>
      <c r="AB1425" s="76" t="str">
        <f>IF(OR(X1425="Envoyé",X1425="Partiel",X1425="En retard"),IF(ISNUMBER(R1425),R1425,100000)+ROW()/100000,"")</f>
        <v/>
      </c>
      <c r="AC1425" s="66" t="str">
        <f>IF(A1425="","",IF(COUNTIF($A$6:A1425,A1425)=1,1,""))</f>
        <v/>
      </c>
      <c r="AD1425" s="66" t="str">
        <f>IF(AC1425=1,COUNT($AC$6:AC1425),"")</f>
        <v/>
      </c>
      <c r="AE1425" s="66" t="str">
        <f>IFERROR(INDEX(po_num,MATCH(1420,po_seq,0))&amp;"","")</f>
        <v/>
      </c>
      <c r="AF1425" s="66" t="str">
        <f>IF(OR(A1425="",p_po=""),"",IF(A1425&amp;""=p_po,COUNTIF($A$6:A1425,A1425),""))</f>
        <v/>
      </c>
      <c r="AG1425" s="66" t="str">
        <f>IF(OR(AB1425="",A1425=""),"",IF(COUNTIFS($A$6:A1425,A1425,$AB$6:AB1425,"&gt;0")=1,1,""))</f>
        <v/>
      </c>
      <c r="AH1425" s="70" t="str">
        <f>IF(AB1425="","",ROUND(N(W1425)*N(J1425)*(1-N(K1425)),2))</f>
        <v/>
      </c>
      <c r="AI1425" s="70" t="str">
        <f>IF(OR(J1425="",N(T1425)&lt;=0,V1425="Oui"),"",ROUND(N(T1425)*J1425*(1-N(K1425)),2))</f>
        <v/>
      </c>
    </row>
    <row r="1426">
      <c r="A1426" s="63" t="n"/>
      <c r="B1426" s="64" t="n"/>
      <c r="C1426" s="65" t="n"/>
      <c r="D1426" s="66" t="str">
        <f>IF(C1426="","",IFERROR(INDEX(sup_name,MATCH($C1426,sup_code,0))&amp;"","Fournisseur inconnu"))</f>
        <v/>
      </c>
      <c r="E1426" s="63" t="n"/>
      <c r="F1426" s="66" t="str">
        <f>IF(E1426="","",IFERROR(INDEX(art_des,MATCH($E1426,art_ref,0))&amp;"","Article inconnu"))</f>
        <v/>
      </c>
      <c r="G1426" s="67" t="str">
        <f>IF(E1426="","",IFERROR(INDEX(art_unit,MATCH($E1426,art_ref,0))&amp;"",""))</f>
        <v/>
      </c>
      <c r="H1426" s="68" t="n"/>
      <c r="I1426" s="69" t="n"/>
      <c r="J1426" s="70" t="str">
        <f>IF(E1426="","",IF(ISNUMBER(I1426),I1426,IFERROR(IF(ISNUMBER(INDEX(art_price,MATCH($E1426,art_ref,0))),INDEX(art_price,MATCH($E1426,art_ref,0)),""),"")))</f>
        <v/>
      </c>
      <c r="K1426" s="71" t="n"/>
      <c r="L1426" s="72" t="n"/>
      <c r="M1426" s="72" t="str">
        <f>IF(E1426="","",IF(L1426&lt;&gt;"",L1426,IFERROR(IF(ISNUMBER(INDEX(art_tva,MATCH($E1426,art_ref,0))),INDEX(art_tva,MATCH($E1426,art_ref,0)),""),"")))</f>
        <v/>
      </c>
      <c r="N1426" s="70" t="str">
        <f>IF(OR(E1426="",J1426=""),"",ROUND(N(H1426)*J1426*(1-N(K1426)),2))</f>
        <v/>
      </c>
      <c r="O1426" s="70" t="str">
        <f>IF(OR(N1426="",NOT(ISNUMBER(M1426))),"",ROUND(N1426*M1426,2))</f>
        <v/>
      </c>
      <c r="P1426" s="70" t="str">
        <f>IF(N1426="","",N1426+N(O1426))</f>
        <v/>
      </c>
      <c r="Q1426" s="64" t="n"/>
      <c r="R1426" s="73" t="str">
        <f>IF(N(Q1426)&gt;0,Q1426,IF(OR(N(B1426)=0,ISNA(MATCH($C1426,sup_code,0))),"",IF(ISNUMBER(INDEX(sup_delay,MATCH($C1426,sup_code,0))),B1426+INDEX(sup_delay,MATCH($C1426,sup_code,0)),"")))</f>
        <v/>
      </c>
      <c r="S1426" s="64" t="n"/>
      <c r="T1426" s="68" t="n"/>
      <c r="U1426" s="64" t="n"/>
      <c r="V1426" s="65" t="n"/>
      <c r="W1426" s="74" t="str">
        <f>IF(AND(A1426="",E1426=""),"",IF(V1426="Oui",0,MAX(0,ROUND(N(H1426)-N(T1426),6))))</f>
        <v/>
      </c>
      <c r="X1426" s="67" t="str">
        <f>IF(AND(A1426="",E1426=""),"",IF(V1426="Oui","Annulé",IF(AND(N(H1426)&gt;0,N(T1426)&gt;=N(H1426)),"Reçu",IF(N(S1426)=0,"Brouillon",IF(AND(ISNUMBER(R1426),R1426&lt;p_today),"En retard",IF(N(T1426)&gt;0,"Partiel","Envoyé"))))))</f>
        <v/>
      </c>
      <c r="Y1426" s="75" t="str">
        <f>IF(X1426="En retard",p_today-R1426,IF(AND(X1426="Reçu",ISNUMBER(R1426)),MAX(0,N(U1426)-R1426),""))</f>
        <v/>
      </c>
      <c r="Z1426" s="67" t="str">
        <f>IF(AND(A1426="",E1426=""),"",IF(A1426="","N° de bon manquant",IF(N(B1426)=0,"Date de commande manquante",IF(C1426="","Fournisseur manquant",IF(ISNA(MATCH($C1426,sup_code,0)),"Fournisseur inconnu",IF(E1426="","Article manquant",IF(ISNA(MATCH($E1426,art_ref,0)),"Article inconnu",IF(N(H1426)&lt;=0,"Quantité invalide",IF(J1426="","Prix manquant",IF(OR(N(K1426)&lt;0,N(K1426)&gt;=1),"Remise invalide",IF(M1426="","TVA manquante",IF(ISNA(MATCH(M1426,p_tva,0)),"Taux de TVA inconnu",IF(COUNTIFS(po_num,A1426,po_sup,"&lt;&gt;"&amp;C1426)&gt;0,"Fournisseur différent sur ce bon",IF(COUNTIFS(po_num,A1426,po_date,"&lt;&gt;"&amp;B1426)&gt;0,"Date différente sur ce bon",IF(COUNTIF(po_num,A1426)&gt;25,"Plus de 25 lignes sur ce bon",IF(R1426="","Date de livraison manquante",IF(R1426&lt;B1426,"Livraison avant la commande",IF(AND(N(T1426)&gt;0,N(S1426)=0),"Date d'envoi manquante",IF(N(T1426)&gt;N(H1426),"Reçu plus que commandé",IF(AND(N(T1426)&gt;0,N(U1426)=0),"Date de réception manquante",IF(AND(N(U1426)&gt;0,U1426&lt;B1426),"Réception avant la commande","OK")))))))))))))))))))))</f>
        <v/>
      </c>
      <c r="AA1426" s="66" t="str">
        <f>IF(AND(X1426="Reçu",ISNUMBER(R1426)),IF(N(U1426)&lt;=R1426,1,0),"")</f>
        <v/>
      </c>
      <c r="AB1426" s="76" t="str">
        <f>IF(OR(X1426="Envoyé",X1426="Partiel",X1426="En retard"),IF(ISNUMBER(R1426),R1426,100000)+ROW()/100000,"")</f>
        <v/>
      </c>
      <c r="AC1426" s="66" t="str">
        <f>IF(A1426="","",IF(COUNTIF($A$6:A1426,A1426)=1,1,""))</f>
        <v/>
      </c>
      <c r="AD1426" s="66" t="str">
        <f>IF(AC1426=1,COUNT($AC$6:AC1426),"")</f>
        <v/>
      </c>
      <c r="AE1426" s="66" t="str">
        <f>IFERROR(INDEX(po_num,MATCH(1421,po_seq,0))&amp;"","")</f>
        <v/>
      </c>
      <c r="AF1426" s="66" t="str">
        <f>IF(OR(A1426="",p_po=""),"",IF(A1426&amp;""=p_po,COUNTIF($A$6:A1426,A1426),""))</f>
        <v/>
      </c>
      <c r="AG1426" s="66" t="str">
        <f>IF(OR(AB1426="",A1426=""),"",IF(COUNTIFS($A$6:A1426,A1426,$AB$6:AB1426,"&gt;0")=1,1,""))</f>
        <v/>
      </c>
      <c r="AH1426" s="70" t="str">
        <f>IF(AB1426="","",ROUND(N(W1426)*N(J1426)*(1-N(K1426)),2))</f>
        <v/>
      </c>
      <c r="AI1426" s="70" t="str">
        <f>IF(OR(J1426="",N(T1426)&lt;=0,V1426="Oui"),"",ROUND(N(T1426)*J1426*(1-N(K1426)),2))</f>
        <v/>
      </c>
    </row>
    <row r="1427">
      <c r="A1427" s="63" t="n"/>
      <c r="B1427" s="64" t="n"/>
      <c r="C1427" s="65" t="n"/>
      <c r="D1427" s="66" t="str">
        <f>IF(C1427="","",IFERROR(INDEX(sup_name,MATCH($C1427,sup_code,0))&amp;"","Fournisseur inconnu"))</f>
        <v/>
      </c>
      <c r="E1427" s="63" t="n"/>
      <c r="F1427" s="66" t="str">
        <f>IF(E1427="","",IFERROR(INDEX(art_des,MATCH($E1427,art_ref,0))&amp;"","Article inconnu"))</f>
        <v/>
      </c>
      <c r="G1427" s="67" t="str">
        <f>IF(E1427="","",IFERROR(INDEX(art_unit,MATCH($E1427,art_ref,0))&amp;"",""))</f>
        <v/>
      </c>
      <c r="H1427" s="68" t="n"/>
      <c r="I1427" s="69" t="n"/>
      <c r="J1427" s="70" t="str">
        <f>IF(E1427="","",IF(ISNUMBER(I1427),I1427,IFERROR(IF(ISNUMBER(INDEX(art_price,MATCH($E1427,art_ref,0))),INDEX(art_price,MATCH($E1427,art_ref,0)),""),"")))</f>
        <v/>
      </c>
      <c r="K1427" s="71" t="n"/>
      <c r="L1427" s="72" t="n"/>
      <c r="M1427" s="72" t="str">
        <f>IF(E1427="","",IF(L1427&lt;&gt;"",L1427,IFERROR(IF(ISNUMBER(INDEX(art_tva,MATCH($E1427,art_ref,0))),INDEX(art_tva,MATCH($E1427,art_ref,0)),""),"")))</f>
        <v/>
      </c>
      <c r="N1427" s="70" t="str">
        <f>IF(OR(E1427="",J1427=""),"",ROUND(N(H1427)*J1427*(1-N(K1427)),2))</f>
        <v/>
      </c>
      <c r="O1427" s="70" t="str">
        <f>IF(OR(N1427="",NOT(ISNUMBER(M1427))),"",ROUND(N1427*M1427,2))</f>
        <v/>
      </c>
      <c r="P1427" s="70" t="str">
        <f>IF(N1427="","",N1427+N(O1427))</f>
        <v/>
      </c>
      <c r="Q1427" s="64" t="n"/>
      <c r="R1427" s="73" t="str">
        <f>IF(N(Q1427)&gt;0,Q1427,IF(OR(N(B1427)=0,ISNA(MATCH($C1427,sup_code,0))),"",IF(ISNUMBER(INDEX(sup_delay,MATCH($C1427,sup_code,0))),B1427+INDEX(sup_delay,MATCH($C1427,sup_code,0)),"")))</f>
        <v/>
      </c>
      <c r="S1427" s="64" t="n"/>
      <c r="T1427" s="68" t="n"/>
      <c r="U1427" s="64" t="n"/>
      <c r="V1427" s="65" t="n"/>
      <c r="W1427" s="74" t="str">
        <f>IF(AND(A1427="",E1427=""),"",IF(V1427="Oui",0,MAX(0,ROUND(N(H1427)-N(T1427),6))))</f>
        <v/>
      </c>
      <c r="X1427" s="67" t="str">
        <f>IF(AND(A1427="",E1427=""),"",IF(V1427="Oui","Annulé",IF(AND(N(H1427)&gt;0,N(T1427)&gt;=N(H1427)),"Reçu",IF(N(S1427)=0,"Brouillon",IF(AND(ISNUMBER(R1427),R1427&lt;p_today),"En retard",IF(N(T1427)&gt;0,"Partiel","Envoyé"))))))</f>
        <v/>
      </c>
      <c r="Y1427" s="75" t="str">
        <f>IF(X1427="En retard",p_today-R1427,IF(AND(X1427="Reçu",ISNUMBER(R1427)),MAX(0,N(U1427)-R1427),""))</f>
        <v/>
      </c>
      <c r="Z1427" s="67" t="str">
        <f>IF(AND(A1427="",E1427=""),"",IF(A1427="","N° de bon manquant",IF(N(B1427)=0,"Date de commande manquante",IF(C1427="","Fournisseur manquant",IF(ISNA(MATCH($C1427,sup_code,0)),"Fournisseur inconnu",IF(E1427="","Article manquant",IF(ISNA(MATCH($E1427,art_ref,0)),"Article inconnu",IF(N(H1427)&lt;=0,"Quantité invalide",IF(J1427="","Prix manquant",IF(OR(N(K1427)&lt;0,N(K1427)&gt;=1),"Remise invalide",IF(M1427="","TVA manquante",IF(ISNA(MATCH(M1427,p_tva,0)),"Taux de TVA inconnu",IF(COUNTIFS(po_num,A1427,po_sup,"&lt;&gt;"&amp;C1427)&gt;0,"Fournisseur différent sur ce bon",IF(COUNTIFS(po_num,A1427,po_date,"&lt;&gt;"&amp;B1427)&gt;0,"Date différente sur ce bon",IF(COUNTIF(po_num,A1427)&gt;25,"Plus de 25 lignes sur ce bon",IF(R1427="","Date de livraison manquante",IF(R1427&lt;B1427,"Livraison avant la commande",IF(AND(N(T1427)&gt;0,N(S1427)=0),"Date d'envoi manquante",IF(N(T1427)&gt;N(H1427),"Reçu plus que commandé",IF(AND(N(T1427)&gt;0,N(U1427)=0),"Date de réception manquante",IF(AND(N(U1427)&gt;0,U1427&lt;B1427),"Réception avant la commande","OK")))))))))))))))))))))</f>
        <v/>
      </c>
      <c r="AA1427" s="66" t="str">
        <f>IF(AND(X1427="Reçu",ISNUMBER(R1427)),IF(N(U1427)&lt;=R1427,1,0),"")</f>
        <v/>
      </c>
      <c r="AB1427" s="76" t="str">
        <f>IF(OR(X1427="Envoyé",X1427="Partiel",X1427="En retard"),IF(ISNUMBER(R1427),R1427,100000)+ROW()/100000,"")</f>
        <v/>
      </c>
      <c r="AC1427" s="66" t="str">
        <f>IF(A1427="","",IF(COUNTIF($A$6:A1427,A1427)=1,1,""))</f>
        <v/>
      </c>
      <c r="AD1427" s="66" t="str">
        <f>IF(AC1427=1,COUNT($AC$6:AC1427),"")</f>
        <v/>
      </c>
      <c r="AE1427" s="66" t="str">
        <f>IFERROR(INDEX(po_num,MATCH(1422,po_seq,0))&amp;"","")</f>
        <v/>
      </c>
      <c r="AF1427" s="66" t="str">
        <f>IF(OR(A1427="",p_po=""),"",IF(A1427&amp;""=p_po,COUNTIF($A$6:A1427,A1427),""))</f>
        <v/>
      </c>
      <c r="AG1427" s="66" t="str">
        <f>IF(OR(AB1427="",A1427=""),"",IF(COUNTIFS($A$6:A1427,A1427,$AB$6:AB1427,"&gt;0")=1,1,""))</f>
        <v/>
      </c>
      <c r="AH1427" s="70" t="str">
        <f>IF(AB1427="","",ROUND(N(W1427)*N(J1427)*(1-N(K1427)),2))</f>
        <v/>
      </c>
      <c r="AI1427" s="70" t="str">
        <f>IF(OR(J1427="",N(T1427)&lt;=0,V1427="Oui"),"",ROUND(N(T1427)*J1427*(1-N(K1427)),2))</f>
        <v/>
      </c>
    </row>
    <row r="1428">
      <c r="A1428" s="63" t="n"/>
      <c r="B1428" s="64" t="n"/>
      <c r="C1428" s="65" t="n"/>
      <c r="D1428" s="66" t="str">
        <f>IF(C1428="","",IFERROR(INDEX(sup_name,MATCH($C1428,sup_code,0))&amp;"","Fournisseur inconnu"))</f>
        <v/>
      </c>
      <c r="E1428" s="63" t="n"/>
      <c r="F1428" s="66" t="str">
        <f>IF(E1428="","",IFERROR(INDEX(art_des,MATCH($E1428,art_ref,0))&amp;"","Article inconnu"))</f>
        <v/>
      </c>
      <c r="G1428" s="67" t="str">
        <f>IF(E1428="","",IFERROR(INDEX(art_unit,MATCH($E1428,art_ref,0))&amp;"",""))</f>
        <v/>
      </c>
      <c r="H1428" s="68" t="n"/>
      <c r="I1428" s="69" t="n"/>
      <c r="J1428" s="70" t="str">
        <f>IF(E1428="","",IF(ISNUMBER(I1428),I1428,IFERROR(IF(ISNUMBER(INDEX(art_price,MATCH($E1428,art_ref,0))),INDEX(art_price,MATCH($E1428,art_ref,0)),""),"")))</f>
        <v/>
      </c>
      <c r="K1428" s="71" t="n"/>
      <c r="L1428" s="72" t="n"/>
      <c r="M1428" s="72" t="str">
        <f>IF(E1428="","",IF(L1428&lt;&gt;"",L1428,IFERROR(IF(ISNUMBER(INDEX(art_tva,MATCH($E1428,art_ref,0))),INDEX(art_tva,MATCH($E1428,art_ref,0)),""),"")))</f>
        <v/>
      </c>
      <c r="N1428" s="70" t="str">
        <f>IF(OR(E1428="",J1428=""),"",ROUND(N(H1428)*J1428*(1-N(K1428)),2))</f>
        <v/>
      </c>
      <c r="O1428" s="70" t="str">
        <f>IF(OR(N1428="",NOT(ISNUMBER(M1428))),"",ROUND(N1428*M1428,2))</f>
        <v/>
      </c>
      <c r="P1428" s="70" t="str">
        <f>IF(N1428="","",N1428+N(O1428))</f>
        <v/>
      </c>
      <c r="Q1428" s="64" t="n"/>
      <c r="R1428" s="73" t="str">
        <f>IF(N(Q1428)&gt;0,Q1428,IF(OR(N(B1428)=0,ISNA(MATCH($C1428,sup_code,0))),"",IF(ISNUMBER(INDEX(sup_delay,MATCH($C1428,sup_code,0))),B1428+INDEX(sup_delay,MATCH($C1428,sup_code,0)),"")))</f>
        <v/>
      </c>
      <c r="S1428" s="64" t="n"/>
      <c r="T1428" s="68" t="n"/>
      <c r="U1428" s="64" t="n"/>
      <c r="V1428" s="65" t="n"/>
      <c r="W1428" s="74" t="str">
        <f>IF(AND(A1428="",E1428=""),"",IF(V1428="Oui",0,MAX(0,ROUND(N(H1428)-N(T1428),6))))</f>
        <v/>
      </c>
      <c r="X1428" s="67" t="str">
        <f>IF(AND(A1428="",E1428=""),"",IF(V1428="Oui","Annulé",IF(AND(N(H1428)&gt;0,N(T1428)&gt;=N(H1428)),"Reçu",IF(N(S1428)=0,"Brouillon",IF(AND(ISNUMBER(R1428),R1428&lt;p_today),"En retard",IF(N(T1428)&gt;0,"Partiel","Envoyé"))))))</f>
        <v/>
      </c>
      <c r="Y1428" s="75" t="str">
        <f>IF(X1428="En retard",p_today-R1428,IF(AND(X1428="Reçu",ISNUMBER(R1428)),MAX(0,N(U1428)-R1428),""))</f>
        <v/>
      </c>
      <c r="Z1428" s="67" t="str">
        <f>IF(AND(A1428="",E1428=""),"",IF(A1428="","N° de bon manquant",IF(N(B1428)=0,"Date de commande manquante",IF(C1428="","Fournisseur manquant",IF(ISNA(MATCH($C1428,sup_code,0)),"Fournisseur inconnu",IF(E1428="","Article manquant",IF(ISNA(MATCH($E1428,art_ref,0)),"Article inconnu",IF(N(H1428)&lt;=0,"Quantité invalide",IF(J1428="","Prix manquant",IF(OR(N(K1428)&lt;0,N(K1428)&gt;=1),"Remise invalide",IF(M1428="","TVA manquante",IF(ISNA(MATCH(M1428,p_tva,0)),"Taux de TVA inconnu",IF(COUNTIFS(po_num,A1428,po_sup,"&lt;&gt;"&amp;C1428)&gt;0,"Fournisseur différent sur ce bon",IF(COUNTIFS(po_num,A1428,po_date,"&lt;&gt;"&amp;B1428)&gt;0,"Date différente sur ce bon",IF(COUNTIF(po_num,A1428)&gt;25,"Plus de 25 lignes sur ce bon",IF(R1428="","Date de livraison manquante",IF(R1428&lt;B1428,"Livraison avant la commande",IF(AND(N(T1428)&gt;0,N(S1428)=0),"Date d'envoi manquante",IF(N(T1428)&gt;N(H1428),"Reçu plus que commandé",IF(AND(N(T1428)&gt;0,N(U1428)=0),"Date de réception manquante",IF(AND(N(U1428)&gt;0,U1428&lt;B1428),"Réception avant la commande","OK")))))))))))))))))))))</f>
        <v/>
      </c>
      <c r="AA1428" s="66" t="str">
        <f>IF(AND(X1428="Reçu",ISNUMBER(R1428)),IF(N(U1428)&lt;=R1428,1,0),"")</f>
        <v/>
      </c>
      <c r="AB1428" s="76" t="str">
        <f>IF(OR(X1428="Envoyé",X1428="Partiel",X1428="En retard"),IF(ISNUMBER(R1428),R1428,100000)+ROW()/100000,"")</f>
        <v/>
      </c>
      <c r="AC1428" s="66" t="str">
        <f>IF(A1428="","",IF(COUNTIF($A$6:A1428,A1428)=1,1,""))</f>
        <v/>
      </c>
      <c r="AD1428" s="66" t="str">
        <f>IF(AC1428=1,COUNT($AC$6:AC1428),"")</f>
        <v/>
      </c>
      <c r="AE1428" s="66" t="str">
        <f>IFERROR(INDEX(po_num,MATCH(1423,po_seq,0))&amp;"","")</f>
        <v/>
      </c>
      <c r="AF1428" s="66" t="str">
        <f>IF(OR(A1428="",p_po=""),"",IF(A1428&amp;""=p_po,COUNTIF($A$6:A1428,A1428),""))</f>
        <v/>
      </c>
      <c r="AG1428" s="66" t="str">
        <f>IF(OR(AB1428="",A1428=""),"",IF(COUNTIFS($A$6:A1428,A1428,$AB$6:AB1428,"&gt;0")=1,1,""))</f>
        <v/>
      </c>
      <c r="AH1428" s="70" t="str">
        <f>IF(AB1428="","",ROUND(N(W1428)*N(J1428)*(1-N(K1428)),2))</f>
        <v/>
      </c>
      <c r="AI1428" s="70" t="str">
        <f>IF(OR(J1428="",N(T1428)&lt;=0,V1428="Oui"),"",ROUND(N(T1428)*J1428*(1-N(K1428)),2))</f>
        <v/>
      </c>
    </row>
    <row r="1429">
      <c r="A1429" s="63" t="n"/>
      <c r="B1429" s="64" t="n"/>
      <c r="C1429" s="65" t="n"/>
      <c r="D1429" s="66" t="str">
        <f>IF(C1429="","",IFERROR(INDEX(sup_name,MATCH($C1429,sup_code,0))&amp;"","Fournisseur inconnu"))</f>
        <v/>
      </c>
      <c r="E1429" s="63" t="n"/>
      <c r="F1429" s="66" t="str">
        <f>IF(E1429="","",IFERROR(INDEX(art_des,MATCH($E1429,art_ref,0))&amp;"","Article inconnu"))</f>
        <v/>
      </c>
      <c r="G1429" s="67" t="str">
        <f>IF(E1429="","",IFERROR(INDEX(art_unit,MATCH($E1429,art_ref,0))&amp;"",""))</f>
        <v/>
      </c>
      <c r="H1429" s="68" t="n"/>
      <c r="I1429" s="69" t="n"/>
      <c r="J1429" s="70" t="str">
        <f>IF(E1429="","",IF(ISNUMBER(I1429),I1429,IFERROR(IF(ISNUMBER(INDEX(art_price,MATCH($E1429,art_ref,0))),INDEX(art_price,MATCH($E1429,art_ref,0)),""),"")))</f>
        <v/>
      </c>
      <c r="K1429" s="71" t="n"/>
      <c r="L1429" s="72" t="n"/>
      <c r="M1429" s="72" t="str">
        <f>IF(E1429="","",IF(L1429&lt;&gt;"",L1429,IFERROR(IF(ISNUMBER(INDEX(art_tva,MATCH($E1429,art_ref,0))),INDEX(art_tva,MATCH($E1429,art_ref,0)),""),"")))</f>
        <v/>
      </c>
      <c r="N1429" s="70" t="str">
        <f>IF(OR(E1429="",J1429=""),"",ROUND(N(H1429)*J1429*(1-N(K1429)),2))</f>
        <v/>
      </c>
      <c r="O1429" s="70" t="str">
        <f>IF(OR(N1429="",NOT(ISNUMBER(M1429))),"",ROUND(N1429*M1429,2))</f>
        <v/>
      </c>
      <c r="P1429" s="70" t="str">
        <f>IF(N1429="","",N1429+N(O1429))</f>
        <v/>
      </c>
      <c r="Q1429" s="64" t="n"/>
      <c r="R1429" s="73" t="str">
        <f>IF(N(Q1429)&gt;0,Q1429,IF(OR(N(B1429)=0,ISNA(MATCH($C1429,sup_code,0))),"",IF(ISNUMBER(INDEX(sup_delay,MATCH($C1429,sup_code,0))),B1429+INDEX(sup_delay,MATCH($C1429,sup_code,0)),"")))</f>
        <v/>
      </c>
      <c r="S1429" s="64" t="n"/>
      <c r="T1429" s="68" t="n"/>
      <c r="U1429" s="64" t="n"/>
      <c r="V1429" s="65" t="n"/>
      <c r="W1429" s="74" t="str">
        <f>IF(AND(A1429="",E1429=""),"",IF(V1429="Oui",0,MAX(0,ROUND(N(H1429)-N(T1429),6))))</f>
        <v/>
      </c>
      <c r="X1429" s="67" t="str">
        <f>IF(AND(A1429="",E1429=""),"",IF(V1429="Oui","Annulé",IF(AND(N(H1429)&gt;0,N(T1429)&gt;=N(H1429)),"Reçu",IF(N(S1429)=0,"Brouillon",IF(AND(ISNUMBER(R1429),R1429&lt;p_today),"En retard",IF(N(T1429)&gt;0,"Partiel","Envoyé"))))))</f>
        <v/>
      </c>
      <c r="Y1429" s="75" t="str">
        <f>IF(X1429="En retard",p_today-R1429,IF(AND(X1429="Reçu",ISNUMBER(R1429)),MAX(0,N(U1429)-R1429),""))</f>
        <v/>
      </c>
      <c r="Z1429" s="67" t="str">
        <f>IF(AND(A1429="",E1429=""),"",IF(A1429="","N° de bon manquant",IF(N(B1429)=0,"Date de commande manquante",IF(C1429="","Fournisseur manquant",IF(ISNA(MATCH($C1429,sup_code,0)),"Fournisseur inconnu",IF(E1429="","Article manquant",IF(ISNA(MATCH($E1429,art_ref,0)),"Article inconnu",IF(N(H1429)&lt;=0,"Quantité invalide",IF(J1429="","Prix manquant",IF(OR(N(K1429)&lt;0,N(K1429)&gt;=1),"Remise invalide",IF(M1429="","TVA manquante",IF(ISNA(MATCH(M1429,p_tva,0)),"Taux de TVA inconnu",IF(COUNTIFS(po_num,A1429,po_sup,"&lt;&gt;"&amp;C1429)&gt;0,"Fournisseur différent sur ce bon",IF(COUNTIFS(po_num,A1429,po_date,"&lt;&gt;"&amp;B1429)&gt;0,"Date différente sur ce bon",IF(COUNTIF(po_num,A1429)&gt;25,"Plus de 25 lignes sur ce bon",IF(R1429="","Date de livraison manquante",IF(R1429&lt;B1429,"Livraison avant la commande",IF(AND(N(T1429)&gt;0,N(S1429)=0),"Date d'envoi manquante",IF(N(T1429)&gt;N(H1429),"Reçu plus que commandé",IF(AND(N(T1429)&gt;0,N(U1429)=0),"Date de réception manquante",IF(AND(N(U1429)&gt;0,U1429&lt;B1429),"Réception avant la commande","OK")))))))))))))))))))))</f>
        <v/>
      </c>
      <c r="AA1429" s="66" t="str">
        <f>IF(AND(X1429="Reçu",ISNUMBER(R1429)),IF(N(U1429)&lt;=R1429,1,0),"")</f>
        <v/>
      </c>
      <c r="AB1429" s="76" t="str">
        <f>IF(OR(X1429="Envoyé",X1429="Partiel",X1429="En retard"),IF(ISNUMBER(R1429),R1429,100000)+ROW()/100000,"")</f>
        <v/>
      </c>
      <c r="AC1429" s="66" t="str">
        <f>IF(A1429="","",IF(COUNTIF($A$6:A1429,A1429)=1,1,""))</f>
        <v/>
      </c>
      <c r="AD1429" s="66" t="str">
        <f>IF(AC1429=1,COUNT($AC$6:AC1429),"")</f>
        <v/>
      </c>
      <c r="AE1429" s="66" t="str">
        <f>IFERROR(INDEX(po_num,MATCH(1424,po_seq,0))&amp;"","")</f>
        <v/>
      </c>
      <c r="AF1429" s="66" t="str">
        <f>IF(OR(A1429="",p_po=""),"",IF(A1429&amp;""=p_po,COUNTIF($A$6:A1429,A1429),""))</f>
        <v/>
      </c>
      <c r="AG1429" s="66" t="str">
        <f>IF(OR(AB1429="",A1429=""),"",IF(COUNTIFS($A$6:A1429,A1429,$AB$6:AB1429,"&gt;0")=1,1,""))</f>
        <v/>
      </c>
      <c r="AH1429" s="70" t="str">
        <f>IF(AB1429="","",ROUND(N(W1429)*N(J1429)*(1-N(K1429)),2))</f>
        <v/>
      </c>
      <c r="AI1429" s="70" t="str">
        <f>IF(OR(J1429="",N(T1429)&lt;=0,V1429="Oui"),"",ROUND(N(T1429)*J1429*(1-N(K1429)),2))</f>
        <v/>
      </c>
    </row>
    <row r="1430">
      <c r="A1430" s="63" t="n"/>
      <c r="B1430" s="64" t="n"/>
      <c r="C1430" s="65" t="n"/>
      <c r="D1430" s="66" t="str">
        <f>IF(C1430="","",IFERROR(INDEX(sup_name,MATCH($C1430,sup_code,0))&amp;"","Fournisseur inconnu"))</f>
        <v/>
      </c>
      <c r="E1430" s="63" t="n"/>
      <c r="F1430" s="66" t="str">
        <f>IF(E1430="","",IFERROR(INDEX(art_des,MATCH($E1430,art_ref,0))&amp;"","Article inconnu"))</f>
        <v/>
      </c>
      <c r="G1430" s="67" t="str">
        <f>IF(E1430="","",IFERROR(INDEX(art_unit,MATCH($E1430,art_ref,0))&amp;"",""))</f>
        <v/>
      </c>
      <c r="H1430" s="68" t="n"/>
      <c r="I1430" s="69" t="n"/>
      <c r="J1430" s="70" t="str">
        <f>IF(E1430="","",IF(ISNUMBER(I1430),I1430,IFERROR(IF(ISNUMBER(INDEX(art_price,MATCH($E1430,art_ref,0))),INDEX(art_price,MATCH($E1430,art_ref,0)),""),"")))</f>
        <v/>
      </c>
      <c r="K1430" s="71" t="n"/>
      <c r="L1430" s="72" t="n"/>
      <c r="M1430" s="72" t="str">
        <f>IF(E1430="","",IF(L1430&lt;&gt;"",L1430,IFERROR(IF(ISNUMBER(INDEX(art_tva,MATCH($E1430,art_ref,0))),INDEX(art_tva,MATCH($E1430,art_ref,0)),""),"")))</f>
        <v/>
      </c>
      <c r="N1430" s="70" t="str">
        <f>IF(OR(E1430="",J1430=""),"",ROUND(N(H1430)*J1430*(1-N(K1430)),2))</f>
        <v/>
      </c>
      <c r="O1430" s="70" t="str">
        <f>IF(OR(N1430="",NOT(ISNUMBER(M1430))),"",ROUND(N1430*M1430,2))</f>
        <v/>
      </c>
      <c r="P1430" s="70" t="str">
        <f>IF(N1430="","",N1430+N(O1430))</f>
        <v/>
      </c>
      <c r="Q1430" s="64" t="n"/>
      <c r="R1430" s="73" t="str">
        <f>IF(N(Q1430)&gt;0,Q1430,IF(OR(N(B1430)=0,ISNA(MATCH($C1430,sup_code,0))),"",IF(ISNUMBER(INDEX(sup_delay,MATCH($C1430,sup_code,0))),B1430+INDEX(sup_delay,MATCH($C1430,sup_code,0)),"")))</f>
        <v/>
      </c>
      <c r="S1430" s="64" t="n"/>
      <c r="T1430" s="68" t="n"/>
      <c r="U1430" s="64" t="n"/>
      <c r="V1430" s="65" t="n"/>
      <c r="W1430" s="74" t="str">
        <f>IF(AND(A1430="",E1430=""),"",IF(V1430="Oui",0,MAX(0,ROUND(N(H1430)-N(T1430),6))))</f>
        <v/>
      </c>
      <c r="X1430" s="67" t="str">
        <f>IF(AND(A1430="",E1430=""),"",IF(V1430="Oui","Annulé",IF(AND(N(H1430)&gt;0,N(T1430)&gt;=N(H1430)),"Reçu",IF(N(S1430)=0,"Brouillon",IF(AND(ISNUMBER(R1430),R1430&lt;p_today),"En retard",IF(N(T1430)&gt;0,"Partiel","Envoyé"))))))</f>
        <v/>
      </c>
      <c r="Y1430" s="75" t="str">
        <f>IF(X1430="En retard",p_today-R1430,IF(AND(X1430="Reçu",ISNUMBER(R1430)),MAX(0,N(U1430)-R1430),""))</f>
        <v/>
      </c>
      <c r="Z1430" s="67" t="str">
        <f>IF(AND(A1430="",E1430=""),"",IF(A1430="","N° de bon manquant",IF(N(B1430)=0,"Date de commande manquante",IF(C1430="","Fournisseur manquant",IF(ISNA(MATCH($C1430,sup_code,0)),"Fournisseur inconnu",IF(E1430="","Article manquant",IF(ISNA(MATCH($E1430,art_ref,0)),"Article inconnu",IF(N(H1430)&lt;=0,"Quantité invalide",IF(J1430="","Prix manquant",IF(OR(N(K1430)&lt;0,N(K1430)&gt;=1),"Remise invalide",IF(M1430="","TVA manquante",IF(ISNA(MATCH(M1430,p_tva,0)),"Taux de TVA inconnu",IF(COUNTIFS(po_num,A1430,po_sup,"&lt;&gt;"&amp;C1430)&gt;0,"Fournisseur différent sur ce bon",IF(COUNTIFS(po_num,A1430,po_date,"&lt;&gt;"&amp;B1430)&gt;0,"Date différente sur ce bon",IF(COUNTIF(po_num,A1430)&gt;25,"Plus de 25 lignes sur ce bon",IF(R1430="","Date de livraison manquante",IF(R1430&lt;B1430,"Livraison avant la commande",IF(AND(N(T1430)&gt;0,N(S1430)=0),"Date d'envoi manquante",IF(N(T1430)&gt;N(H1430),"Reçu plus que commandé",IF(AND(N(T1430)&gt;0,N(U1430)=0),"Date de réception manquante",IF(AND(N(U1430)&gt;0,U1430&lt;B1430),"Réception avant la commande","OK")))))))))))))))))))))</f>
        <v/>
      </c>
      <c r="AA1430" s="66" t="str">
        <f>IF(AND(X1430="Reçu",ISNUMBER(R1430)),IF(N(U1430)&lt;=R1430,1,0),"")</f>
        <v/>
      </c>
      <c r="AB1430" s="76" t="str">
        <f>IF(OR(X1430="Envoyé",X1430="Partiel",X1430="En retard"),IF(ISNUMBER(R1430),R1430,100000)+ROW()/100000,"")</f>
        <v/>
      </c>
      <c r="AC1430" s="66" t="str">
        <f>IF(A1430="","",IF(COUNTIF($A$6:A1430,A1430)=1,1,""))</f>
        <v/>
      </c>
      <c r="AD1430" s="66" t="str">
        <f>IF(AC1430=1,COUNT($AC$6:AC1430),"")</f>
        <v/>
      </c>
      <c r="AE1430" s="66" t="str">
        <f>IFERROR(INDEX(po_num,MATCH(1425,po_seq,0))&amp;"","")</f>
        <v/>
      </c>
      <c r="AF1430" s="66" t="str">
        <f>IF(OR(A1430="",p_po=""),"",IF(A1430&amp;""=p_po,COUNTIF($A$6:A1430,A1430),""))</f>
        <v/>
      </c>
      <c r="AG1430" s="66" t="str">
        <f>IF(OR(AB1430="",A1430=""),"",IF(COUNTIFS($A$6:A1430,A1430,$AB$6:AB1430,"&gt;0")=1,1,""))</f>
        <v/>
      </c>
      <c r="AH1430" s="70" t="str">
        <f>IF(AB1430="","",ROUND(N(W1430)*N(J1430)*(1-N(K1430)),2))</f>
        <v/>
      </c>
      <c r="AI1430" s="70" t="str">
        <f>IF(OR(J1430="",N(T1430)&lt;=0,V1430="Oui"),"",ROUND(N(T1430)*J1430*(1-N(K1430)),2))</f>
        <v/>
      </c>
    </row>
    <row r="1431">
      <c r="A1431" s="63" t="n"/>
      <c r="B1431" s="64" t="n"/>
      <c r="C1431" s="65" t="n"/>
      <c r="D1431" s="66" t="str">
        <f>IF(C1431="","",IFERROR(INDEX(sup_name,MATCH($C1431,sup_code,0))&amp;"","Fournisseur inconnu"))</f>
        <v/>
      </c>
      <c r="E1431" s="63" t="n"/>
      <c r="F1431" s="66" t="str">
        <f>IF(E1431="","",IFERROR(INDEX(art_des,MATCH($E1431,art_ref,0))&amp;"","Article inconnu"))</f>
        <v/>
      </c>
      <c r="G1431" s="67" t="str">
        <f>IF(E1431="","",IFERROR(INDEX(art_unit,MATCH($E1431,art_ref,0))&amp;"",""))</f>
        <v/>
      </c>
      <c r="H1431" s="68" t="n"/>
      <c r="I1431" s="69" t="n"/>
      <c r="J1431" s="70" t="str">
        <f>IF(E1431="","",IF(ISNUMBER(I1431),I1431,IFERROR(IF(ISNUMBER(INDEX(art_price,MATCH($E1431,art_ref,0))),INDEX(art_price,MATCH($E1431,art_ref,0)),""),"")))</f>
        <v/>
      </c>
      <c r="K1431" s="71" t="n"/>
      <c r="L1431" s="72" t="n"/>
      <c r="M1431" s="72" t="str">
        <f>IF(E1431="","",IF(L1431&lt;&gt;"",L1431,IFERROR(IF(ISNUMBER(INDEX(art_tva,MATCH($E1431,art_ref,0))),INDEX(art_tva,MATCH($E1431,art_ref,0)),""),"")))</f>
        <v/>
      </c>
      <c r="N1431" s="70" t="str">
        <f>IF(OR(E1431="",J1431=""),"",ROUND(N(H1431)*J1431*(1-N(K1431)),2))</f>
        <v/>
      </c>
      <c r="O1431" s="70" t="str">
        <f>IF(OR(N1431="",NOT(ISNUMBER(M1431))),"",ROUND(N1431*M1431,2))</f>
        <v/>
      </c>
      <c r="P1431" s="70" t="str">
        <f>IF(N1431="","",N1431+N(O1431))</f>
        <v/>
      </c>
      <c r="Q1431" s="64" t="n"/>
      <c r="R1431" s="73" t="str">
        <f>IF(N(Q1431)&gt;0,Q1431,IF(OR(N(B1431)=0,ISNA(MATCH($C1431,sup_code,0))),"",IF(ISNUMBER(INDEX(sup_delay,MATCH($C1431,sup_code,0))),B1431+INDEX(sup_delay,MATCH($C1431,sup_code,0)),"")))</f>
        <v/>
      </c>
      <c r="S1431" s="64" t="n"/>
      <c r="T1431" s="68" t="n"/>
      <c r="U1431" s="64" t="n"/>
      <c r="V1431" s="65" t="n"/>
      <c r="W1431" s="74" t="str">
        <f>IF(AND(A1431="",E1431=""),"",IF(V1431="Oui",0,MAX(0,ROUND(N(H1431)-N(T1431),6))))</f>
        <v/>
      </c>
      <c r="X1431" s="67" t="str">
        <f>IF(AND(A1431="",E1431=""),"",IF(V1431="Oui","Annulé",IF(AND(N(H1431)&gt;0,N(T1431)&gt;=N(H1431)),"Reçu",IF(N(S1431)=0,"Brouillon",IF(AND(ISNUMBER(R1431),R1431&lt;p_today),"En retard",IF(N(T1431)&gt;0,"Partiel","Envoyé"))))))</f>
        <v/>
      </c>
      <c r="Y1431" s="75" t="str">
        <f>IF(X1431="En retard",p_today-R1431,IF(AND(X1431="Reçu",ISNUMBER(R1431)),MAX(0,N(U1431)-R1431),""))</f>
        <v/>
      </c>
      <c r="Z1431" s="67" t="str">
        <f>IF(AND(A1431="",E1431=""),"",IF(A1431="","N° de bon manquant",IF(N(B1431)=0,"Date de commande manquante",IF(C1431="","Fournisseur manquant",IF(ISNA(MATCH($C1431,sup_code,0)),"Fournisseur inconnu",IF(E1431="","Article manquant",IF(ISNA(MATCH($E1431,art_ref,0)),"Article inconnu",IF(N(H1431)&lt;=0,"Quantité invalide",IF(J1431="","Prix manquant",IF(OR(N(K1431)&lt;0,N(K1431)&gt;=1),"Remise invalide",IF(M1431="","TVA manquante",IF(ISNA(MATCH(M1431,p_tva,0)),"Taux de TVA inconnu",IF(COUNTIFS(po_num,A1431,po_sup,"&lt;&gt;"&amp;C1431)&gt;0,"Fournisseur différent sur ce bon",IF(COUNTIFS(po_num,A1431,po_date,"&lt;&gt;"&amp;B1431)&gt;0,"Date différente sur ce bon",IF(COUNTIF(po_num,A1431)&gt;25,"Plus de 25 lignes sur ce bon",IF(R1431="","Date de livraison manquante",IF(R1431&lt;B1431,"Livraison avant la commande",IF(AND(N(T1431)&gt;0,N(S1431)=0),"Date d'envoi manquante",IF(N(T1431)&gt;N(H1431),"Reçu plus que commandé",IF(AND(N(T1431)&gt;0,N(U1431)=0),"Date de réception manquante",IF(AND(N(U1431)&gt;0,U1431&lt;B1431),"Réception avant la commande","OK")))))))))))))))))))))</f>
        <v/>
      </c>
      <c r="AA1431" s="66" t="str">
        <f>IF(AND(X1431="Reçu",ISNUMBER(R1431)),IF(N(U1431)&lt;=R1431,1,0),"")</f>
        <v/>
      </c>
      <c r="AB1431" s="76" t="str">
        <f>IF(OR(X1431="Envoyé",X1431="Partiel",X1431="En retard"),IF(ISNUMBER(R1431),R1431,100000)+ROW()/100000,"")</f>
        <v/>
      </c>
      <c r="AC1431" s="66" t="str">
        <f>IF(A1431="","",IF(COUNTIF($A$6:A1431,A1431)=1,1,""))</f>
        <v/>
      </c>
      <c r="AD1431" s="66" t="str">
        <f>IF(AC1431=1,COUNT($AC$6:AC1431),"")</f>
        <v/>
      </c>
      <c r="AE1431" s="66" t="str">
        <f>IFERROR(INDEX(po_num,MATCH(1426,po_seq,0))&amp;"","")</f>
        <v/>
      </c>
      <c r="AF1431" s="66" t="str">
        <f>IF(OR(A1431="",p_po=""),"",IF(A1431&amp;""=p_po,COUNTIF($A$6:A1431,A1431),""))</f>
        <v/>
      </c>
      <c r="AG1431" s="66" t="str">
        <f>IF(OR(AB1431="",A1431=""),"",IF(COUNTIFS($A$6:A1431,A1431,$AB$6:AB1431,"&gt;0")=1,1,""))</f>
        <v/>
      </c>
      <c r="AH1431" s="70" t="str">
        <f>IF(AB1431="","",ROUND(N(W1431)*N(J1431)*(1-N(K1431)),2))</f>
        <v/>
      </c>
      <c r="AI1431" s="70" t="str">
        <f>IF(OR(J1431="",N(T1431)&lt;=0,V1431="Oui"),"",ROUND(N(T1431)*J1431*(1-N(K1431)),2))</f>
        <v/>
      </c>
    </row>
    <row r="1432">
      <c r="A1432" s="63" t="n"/>
      <c r="B1432" s="64" t="n"/>
      <c r="C1432" s="65" t="n"/>
      <c r="D1432" s="66" t="str">
        <f>IF(C1432="","",IFERROR(INDEX(sup_name,MATCH($C1432,sup_code,0))&amp;"","Fournisseur inconnu"))</f>
        <v/>
      </c>
      <c r="E1432" s="63" t="n"/>
      <c r="F1432" s="66" t="str">
        <f>IF(E1432="","",IFERROR(INDEX(art_des,MATCH($E1432,art_ref,0))&amp;"","Article inconnu"))</f>
        <v/>
      </c>
      <c r="G1432" s="67" t="str">
        <f>IF(E1432="","",IFERROR(INDEX(art_unit,MATCH($E1432,art_ref,0))&amp;"",""))</f>
        <v/>
      </c>
      <c r="H1432" s="68" t="n"/>
      <c r="I1432" s="69" t="n"/>
      <c r="J1432" s="70" t="str">
        <f>IF(E1432="","",IF(ISNUMBER(I1432),I1432,IFERROR(IF(ISNUMBER(INDEX(art_price,MATCH($E1432,art_ref,0))),INDEX(art_price,MATCH($E1432,art_ref,0)),""),"")))</f>
        <v/>
      </c>
      <c r="K1432" s="71" t="n"/>
      <c r="L1432" s="72" t="n"/>
      <c r="M1432" s="72" t="str">
        <f>IF(E1432="","",IF(L1432&lt;&gt;"",L1432,IFERROR(IF(ISNUMBER(INDEX(art_tva,MATCH($E1432,art_ref,0))),INDEX(art_tva,MATCH($E1432,art_ref,0)),""),"")))</f>
        <v/>
      </c>
      <c r="N1432" s="70" t="str">
        <f>IF(OR(E1432="",J1432=""),"",ROUND(N(H1432)*J1432*(1-N(K1432)),2))</f>
        <v/>
      </c>
      <c r="O1432" s="70" t="str">
        <f>IF(OR(N1432="",NOT(ISNUMBER(M1432))),"",ROUND(N1432*M1432,2))</f>
        <v/>
      </c>
      <c r="P1432" s="70" t="str">
        <f>IF(N1432="","",N1432+N(O1432))</f>
        <v/>
      </c>
      <c r="Q1432" s="64" t="n"/>
      <c r="R1432" s="73" t="str">
        <f>IF(N(Q1432)&gt;0,Q1432,IF(OR(N(B1432)=0,ISNA(MATCH($C1432,sup_code,0))),"",IF(ISNUMBER(INDEX(sup_delay,MATCH($C1432,sup_code,0))),B1432+INDEX(sup_delay,MATCH($C1432,sup_code,0)),"")))</f>
        <v/>
      </c>
      <c r="S1432" s="64" t="n"/>
      <c r="T1432" s="68" t="n"/>
      <c r="U1432" s="64" t="n"/>
      <c r="V1432" s="65" t="n"/>
      <c r="W1432" s="74" t="str">
        <f>IF(AND(A1432="",E1432=""),"",IF(V1432="Oui",0,MAX(0,ROUND(N(H1432)-N(T1432),6))))</f>
        <v/>
      </c>
      <c r="X1432" s="67" t="str">
        <f>IF(AND(A1432="",E1432=""),"",IF(V1432="Oui","Annulé",IF(AND(N(H1432)&gt;0,N(T1432)&gt;=N(H1432)),"Reçu",IF(N(S1432)=0,"Brouillon",IF(AND(ISNUMBER(R1432),R1432&lt;p_today),"En retard",IF(N(T1432)&gt;0,"Partiel","Envoyé"))))))</f>
        <v/>
      </c>
      <c r="Y1432" s="75" t="str">
        <f>IF(X1432="En retard",p_today-R1432,IF(AND(X1432="Reçu",ISNUMBER(R1432)),MAX(0,N(U1432)-R1432),""))</f>
        <v/>
      </c>
      <c r="Z1432" s="67" t="str">
        <f>IF(AND(A1432="",E1432=""),"",IF(A1432="","N° de bon manquant",IF(N(B1432)=0,"Date de commande manquante",IF(C1432="","Fournisseur manquant",IF(ISNA(MATCH($C1432,sup_code,0)),"Fournisseur inconnu",IF(E1432="","Article manquant",IF(ISNA(MATCH($E1432,art_ref,0)),"Article inconnu",IF(N(H1432)&lt;=0,"Quantité invalide",IF(J1432="","Prix manquant",IF(OR(N(K1432)&lt;0,N(K1432)&gt;=1),"Remise invalide",IF(M1432="","TVA manquante",IF(ISNA(MATCH(M1432,p_tva,0)),"Taux de TVA inconnu",IF(COUNTIFS(po_num,A1432,po_sup,"&lt;&gt;"&amp;C1432)&gt;0,"Fournisseur différent sur ce bon",IF(COUNTIFS(po_num,A1432,po_date,"&lt;&gt;"&amp;B1432)&gt;0,"Date différente sur ce bon",IF(COUNTIF(po_num,A1432)&gt;25,"Plus de 25 lignes sur ce bon",IF(R1432="","Date de livraison manquante",IF(R1432&lt;B1432,"Livraison avant la commande",IF(AND(N(T1432)&gt;0,N(S1432)=0),"Date d'envoi manquante",IF(N(T1432)&gt;N(H1432),"Reçu plus que commandé",IF(AND(N(T1432)&gt;0,N(U1432)=0),"Date de réception manquante",IF(AND(N(U1432)&gt;0,U1432&lt;B1432),"Réception avant la commande","OK")))))))))))))))))))))</f>
        <v/>
      </c>
      <c r="AA1432" s="66" t="str">
        <f>IF(AND(X1432="Reçu",ISNUMBER(R1432)),IF(N(U1432)&lt;=R1432,1,0),"")</f>
        <v/>
      </c>
      <c r="AB1432" s="76" t="str">
        <f>IF(OR(X1432="Envoyé",X1432="Partiel",X1432="En retard"),IF(ISNUMBER(R1432),R1432,100000)+ROW()/100000,"")</f>
        <v/>
      </c>
      <c r="AC1432" s="66" t="str">
        <f>IF(A1432="","",IF(COUNTIF($A$6:A1432,A1432)=1,1,""))</f>
        <v/>
      </c>
      <c r="AD1432" s="66" t="str">
        <f>IF(AC1432=1,COUNT($AC$6:AC1432),"")</f>
        <v/>
      </c>
      <c r="AE1432" s="66" t="str">
        <f>IFERROR(INDEX(po_num,MATCH(1427,po_seq,0))&amp;"","")</f>
        <v/>
      </c>
      <c r="AF1432" s="66" t="str">
        <f>IF(OR(A1432="",p_po=""),"",IF(A1432&amp;""=p_po,COUNTIF($A$6:A1432,A1432),""))</f>
        <v/>
      </c>
      <c r="AG1432" s="66" t="str">
        <f>IF(OR(AB1432="",A1432=""),"",IF(COUNTIFS($A$6:A1432,A1432,$AB$6:AB1432,"&gt;0")=1,1,""))</f>
        <v/>
      </c>
      <c r="AH1432" s="70" t="str">
        <f>IF(AB1432="","",ROUND(N(W1432)*N(J1432)*(1-N(K1432)),2))</f>
        <v/>
      </c>
      <c r="AI1432" s="70" t="str">
        <f>IF(OR(J1432="",N(T1432)&lt;=0,V1432="Oui"),"",ROUND(N(T1432)*J1432*(1-N(K1432)),2))</f>
        <v/>
      </c>
    </row>
    <row r="1433">
      <c r="A1433" s="63" t="n"/>
      <c r="B1433" s="64" t="n"/>
      <c r="C1433" s="65" t="n"/>
      <c r="D1433" s="66" t="str">
        <f>IF(C1433="","",IFERROR(INDEX(sup_name,MATCH($C1433,sup_code,0))&amp;"","Fournisseur inconnu"))</f>
        <v/>
      </c>
      <c r="E1433" s="63" t="n"/>
      <c r="F1433" s="66" t="str">
        <f>IF(E1433="","",IFERROR(INDEX(art_des,MATCH($E1433,art_ref,0))&amp;"","Article inconnu"))</f>
        <v/>
      </c>
      <c r="G1433" s="67" t="str">
        <f>IF(E1433="","",IFERROR(INDEX(art_unit,MATCH($E1433,art_ref,0))&amp;"",""))</f>
        <v/>
      </c>
      <c r="H1433" s="68" t="n"/>
      <c r="I1433" s="69" t="n"/>
      <c r="J1433" s="70" t="str">
        <f>IF(E1433="","",IF(ISNUMBER(I1433),I1433,IFERROR(IF(ISNUMBER(INDEX(art_price,MATCH($E1433,art_ref,0))),INDEX(art_price,MATCH($E1433,art_ref,0)),""),"")))</f>
        <v/>
      </c>
      <c r="K1433" s="71" t="n"/>
      <c r="L1433" s="72" t="n"/>
      <c r="M1433" s="72" t="str">
        <f>IF(E1433="","",IF(L1433&lt;&gt;"",L1433,IFERROR(IF(ISNUMBER(INDEX(art_tva,MATCH($E1433,art_ref,0))),INDEX(art_tva,MATCH($E1433,art_ref,0)),""),"")))</f>
        <v/>
      </c>
      <c r="N1433" s="70" t="str">
        <f>IF(OR(E1433="",J1433=""),"",ROUND(N(H1433)*J1433*(1-N(K1433)),2))</f>
        <v/>
      </c>
      <c r="O1433" s="70" t="str">
        <f>IF(OR(N1433="",NOT(ISNUMBER(M1433))),"",ROUND(N1433*M1433,2))</f>
        <v/>
      </c>
      <c r="P1433" s="70" t="str">
        <f>IF(N1433="","",N1433+N(O1433))</f>
        <v/>
      </c>
      <c r="Q1433" s="64" t="n"/>
      <c r="R1433" s="73" t="str">
        <f>IF(N(Q1433)&gt;0,Q1433,IF(OR(N(B1433)=0,ISNA(MATCH($C1433,sup_code,0))),"",IF(ISNUMBER(INDEX(sup_delay,MATCH($C1433,sup_code,0))),B1433+INDEX(sup_delay,MATCH($C1433,sup_code,0)),"")))</f>
        <v/>
      </c>
      <c r="S1433" s="64" t="n"/>
      <c r="T1433" s="68" t="n"/>
      <c r="U1433" s="64" t="n"/>
      <c r="V1433" s="65" t="n"/>
      <c r="W1433" s="74" t="str">
        <f>IF(AND(A1433="",E1433=""),"",IF(V1433="Oui",0,MAX(0,ROUND(N(H1433)-N(T1433),6))))</f>
        <v/>
      </c>
      <c r="X1433" s="67" t="str">
        <f>IF(AND(A1433="",E1433=""),"",IF(V1433="Oui","Annulé",IF(AND(N(H1433)&gt;0,N(T1433)&gt;=N(H1433)),"Reçu",IF(N(S1433)=0,"Brouillon",IF(AND(ISNUMBER(R1433),R1433&lt;p_today),"En retard",IF(N(T1433)&gt;0,"Partiel","Envoyé"))))))</f>
        <v/>
      </c>
      <c r="Y1433" s="75" t="str">
        <f>IF(X1433="En retard",p_today-R1433,IF(AND(X1433="Reçu",ISNUMBER(R1433)),MAX(0,N(U1433)-R1433),""))</f>
        <v/>
      </c>
      <c r="Z1433" s="67" t="str">
        <f>IF(AND(A1433="",E1433=""),"",IF(A1433="","N° de bon manquant",IF(N(B1433)=0,"Date de commande manquante",IF(C1433="","Fournisseur manquant",IF(ISNA(MATCH($C1433,sup_code,0)),"Fournisseur inconnu",IF(E1433="","Article manquant",IF(ISNA(MATCH($E1433,art_ref,0)),"Article inconnu",IF(N(H1433)&lt;=0,"Quantité invalide",IF(J1433="","Prix manquant",IF(OR(N(K1433)&lt;0,N(K1433)&gt;=1),"Remise invalide",IF(M1433="","TVA manquante",IF(ISNA(MATCH(M1433,p_tva,0)),"Taux de TVA inconnu",IF(COUNTIFS(po_num,A1433,po_sup,"&lt;&gt;"&amp;C1433)&gt;0,"Fournisseur différent sur ce bon",IF(COUNTIFS(po_num,A1433,po_date,"&lt;&gt;"&amp;B1433)&gt;0,"Date différente sur ce bon",IF(COUNTIF(po_num,A1433)&gt;25,"Plus de 25 lignes sur ce bon",IF(R1433="","Date de livraison manquante",IF(R1433&lt;B1433,"Livraison avant la commande",IF(AND(N(T1433)&gt;0,N(S1433)=0),"Date d'envoi manquante",IF(N(T1433)&gt;N(H1433),"Reçu plus que commandé",IF(AND(N(T1433)&gt;0,N(U1433)=0),"Date de réception manquante",IF(AND(N(U1433)&gt;0,U1433&lt;B1433),"Réception avant la commande","OK")))))))))))))))))))))</f>
        <v/>
      </c>
      <c r="AA1433" s="66" t="str">
        <f>IF(AND(X1433="Reçu",ISNUMBER(R1433)),IF(N(U1433)&lt;=R1433,1,0),"")</f>
        <v/>
      </c>
      <c r="AB1433" s="76" t="str">
        <f>IF(OR(X1433="Envoyé",X1433="Partiel",X1433="En retard"),IF(ISNUMBER(R1433),R1433,100000)+ROW()/100000,"")</f>
        <v/>
      </c>
      <c r="AC1433" s="66" t="str">
        <f>IF(A1433="","",IF(COUNTIF($A$6:A1433,A1433)=1,1,""))</f>
        <v/>
      </c>
      <c r="AD1433" s="66" t="str">
        <f>IF(AC1433=1,COUNT($AC$6:AC1433),"")</f>
        <v/>
      </c>
      <c r="AE1433" s="66" t="str">
        <f>IFERROR(INDEX(po_num,MATCH(1428,po_seq,0))&amp;"","")</f>
        <v/>
      </c>
      <c r="AF1433" s="66" t="str">
        <f>IF(OR(A1433="",p_po=""),"",IF(A1433&amp;""=p_po,COUNTIF($A$6:A1433,A1433),""))</f>
        <v/>
      </c>
      <c r="AG1433" s="66" t="str">
        <f>IF(OR(AB1433="",A1433=""),"",IF(COUNTIFS($A$6:A1433,A1433,$AB$6:AB1433,"&gt;0")=1,1,""))</f>
        <v/>
      </c>
      <c r="AH1433" s="70" t="str">
        <f>IF(AB1433="","",ROUND(N(W1433)*N(J1433)*(1-N(K1433)),2))</f>
        <v/>
      </c>
      <c r="AI1433" s="70" t="str">
        <f>IF(OR(J1433="",N(T1433)&lt;=0,V1433="Oui"),"",ROUND(N(T1433)*J1433*(1-N(K1433)),2))</f>
        <v/>
      </c>
    </row>
    <row r="1434">
      <c r="A1434" s="63" t="n"/>
      <c r="B1434" s="64" t="n"/>
      <c r="C1434" s="65" t="n"/>
      <c r="D1434" s="66" t="str">
        <f>IF(C1434="","",IFERROR(INDEX(sup_name,MATCH($C1434,sup_code,0))&amp;"","Fournisseur inconnu"))</f>
        <v/>
      </c>
      <c r="E1434" s="63" t="n"/>
      <c r="F1434" s="66" t="str">
        <f>IF(E1434="","",IFERROR(INDEX(art_des,MATCH($E1434,art_ref,0))&amp;"","Article inconnu"))</f>
        <v/>
      </c>
      <c r="G1434" s="67" t="str">
        <f>IF(E1434="","",IFERROR(INDEX(art_unit,MATCH($E1434,art_ref,0))&amp;"",""))</f>
        <v/>
      </c>
      <c r="H1434" s="68" t="n"/>
      <c r="I1434" s="69" t="n"/>
      <c r="J1434" s="70" t="str">
        <f>IF(E1434="","",IF(ISNUMBER(I1434),I1434,IFERROR(IF(ISNUMBER(INDEX(art_price,MATCH($E1434,art_ref,0))),INDEX(art_price,MATCH($E1434,art_ref,0)),""),"")))</f>
        <v/>
      </c>
      <c r="K1434" s="71" t="n"/>
      <c r="L1434" s="72" t="n"/>
      <c r="M1434" s="72" t="str">
        <f>IF(E1434="","",IF(L1434&lt;&gt;"",L1434,IFERROR(IF(ISNUMBER(INDEX(art_tva,MATCH($E1434,art_ref,0))),INDEX(art_tva,MATCH($E1434,art_ref,0)),""),"")))</f>
        <v/>
      </c>
      <c r="N1434" s="70" t="str">
        <f>IF(OR(E1434="",J1434=""),"",ROUND(N(H1434)*J1434*(1-N(K1434)),2))</f>
        <v/>
      </c>
      <c r="O1434" s="70" t="str">
        <f>IF(OR(N1434="",NOT(ISNUMBER(M1434))),"",ROUND(N1434*M1434,2))</f>
        <v/>
      </c>
      <c r="P1434" s="70" t="str">
        <f>IF(N1434="","",N1434+N(O1434))</f>
        <v/>
      </c>
      <c r="Q1434" s="64" t="n"/>
      <c r="R1434" s="73" t="str">
        <f>IF(N(Q1434)&gt;0,Q1434,IF(OR(N(B1434)=0,ISNA(MATCH($C1434,sup_code,0))),"",IF(ISNUMBER(INDEX(sup_delay,MATCH($C1434,sup_code,0))),B1434+INDEX(sup_delay,MATCH($C1434,sup_code,0)),"")))</f>
        <v/>
      </c>
      <c r="S1434" s="64" t="n"/>
      <c r="T1434" s="68" t="n"/>
      <c r="U1434" s="64" t="n"/>
      <c r="V1434" s="65" t="n"/>
      <c r="W1434" s="74" t="str">
        <f>IF(AND(A1434="",E1434=""),"",IF(V1434="Oui",0,MAX(0,ROUND(N(H1434)-N(T1434),6))))</f>
        <v/>
      </c>
      <c r="X1434" s="67" t="str">
        <f>IF(AND(A1434="",E1434=""),"",IF(V1434="Oui","Annulé",IF(AND(N(H1434)&gt;0,N(T1434)&gt;=N(H1434)),"Reçu",IF(N(S1434)=0,"Brouillon",IF(AND(ISNUMBER(R1434),R1434&lt;p_today),"En retard",IF(N(T1434)&gt;0,"Partiel","Envoyé"))))))</f>
        <v/>
      </c>
      <c r="Y1434" s="75" t="str">
        <f>IF(X1434="En retard",p_today-R1434,IF(AND(X1434="Reçu",ISNUMBER(R1434)),MAX(0,N(U1434)-R1434),""))</f>
        <v/>
      </c>
      <c r="Z1434" s="67" t="str">
        <f>IF(AND(A1434="",E1434=""),"",IF(A1434="","N° de bon manquant",IF(N(B1434)=0,"Date de commande manquante",IF(C1434="","Fournisseur manquant",IF(ISNA(MATCH($C1434,sup_code,0)),"Fournisseur inconnu",IF(E1434="","Article manquant",IF(ISNA(MATCH($E1434,art_ref,0)),"Article inconnu",IF(N(H1434)&lt;=0,"Quantité invalide",IF(J1434="","Prix manquant",IF(OR(N(K1434)&lt;0,N(K1434)&gt;=1),"Remise invalide",IF(M1434="","TVA manquante",IF(ISNA(MATCH(M1434,p_tva,0)),"Taux de TVA inconnu",IF(COUNTIFS(po_num,A1434,po_sup,"&lt;&gt;"&amp;C1434)&gt;0,"Fournisseur différent sur ce bon",IF(COUNTIFS(po_num,A1434,po_date,"&lt;&gt;"&amp;B1434)&gt;0,"Date différente sur ce bon",IF(COUNTIF(po_num,A1434)&gt;25,"Plus de 25 lignes sur ce bon",IF(R1434="","Date de livraison manquante",IF(R1434&lt;B1434,"Livraison avant la commande",IF(AND(N(T1434)&gt;0,N(S1434)=0),"Date d'envoi manquante",IF(N(T1434)&gt;N(H1434),"Reçu plus que commandé",IF(AND(N(T1434)&gt;0,N(U1434)=0),"Date de réception manquante",IF(AND(N(U1434)&gt;0,U1434&lt;B1434),"Réception avant la commande","OK")))))))))))))))))))))</f>
        <v/>
      </c>
      <c r="AA1434" s="66" t="str">
        <f>IF(AND(X1434="Reçu",ISNUMBER(R1434)),IF(N(U1434)&lt;=R1434,1,0),"")</f>
        <v/>
      </c>
      <c r="AB1434" s="76" t="str">
        <f>IF(OR(X1434="Envoyé",X1434="Partiel",X1434="En retard"),IF(ISNUMBER(R1434),R1434,100000)+ROW()/100000,"")</f>
        <v/>
      </c>
      <c r="AC1434" s="66" t="str">
        <f>IF(A1434="","",IF(COUNTIF($A$6:A1434,A1434)=1,1,""))</f>
        <v/>
      </c>
      <c r="AD1434" s="66" t="str">
        <f>IF(AC1434=1,COUNT($AC$6:AC1434),"")</f>
        <v/>
      </c>
      <c r="AE1434" s="66" t="str">
        <f>IFERROR(INDEX(po_num,MATCH(1429,po_seq,0))&amp;"","")</f>
        <v/>
      </c>
      <c r="AF1434" s="66" t="str">
        <f>IF(OR(A1434="",p_po=""),"",IF(A1434&amp;""=p_po,COUNTIF($A$6:A1434,A1434),""))</f>
        <v/>
      </c>
      <c r="AG1434" s="66" t="str">
        <f>IF(OR(AB1434="",A1434=""),"",IF(COUNTIFS($A$6:A1434,A1434,$AB$6:AB1434,"&gt;0")=1,1,""))</f>
        <v/>
      </c>
      <c r="AH1434" s="70" t="str">
        <f>IF(AB1434="","",ROUND(N(W1434)*N(J1434)*(1-N(K1434)),2))</f>
        <v/>
      </c>
      <c r="AI1434" s="70" t="str">
        <f>IF(OR(J1434="",N(T1434)&lt;=0,V1434="Oui"),"",ROUND(N(T1434)*J1434*(1-N(K1434)),2))</f>
        <v/>
      </c>
    </row>
    <row r="1435">
      <c r="A1435" s="63" t="n"/>
      <c r="B1435" s="64" t="n"/>
      <c r="C1435" s="65" t="n"/>
      <c r="D1435" s="66" t="str">
        <f>IF(C1435="","",IFERROR(INDEX(sup_name,MATCH($C1435,sup_code,0))&amp;"","Fournisseur inconnu"))</f>
        <v/>
      </c>
      <c r="E1435" s="63" t="n"/>
      <c r="F1435" s="66" t="str">
        <f>IF(E1435="","",IFERROR(INDEX(art_des,MATCH($E1435,art_ref,0))&amp;"","Article inconnu"))</f>
        <v/>
      </c>
      <c r="G1435" s="67" t="str">
        <f>IF(E1435="","",IFERROR(INDEX(art_unit,MATCH($E1435,art_ref,0))&amp;"",""))</f>
        <v/>
      </c>
      <c r="H1435" s="68" t="n"/>
      <c r="I1435" s="69" t="n"/>
      <c r="J1435" s="70" t="str">
        <f>IF(E1435="","",IF(ISNUMBER(I1435),I1435,IFERROR(IF(ISNUMBER(INDEX(art_price,MATCH($E1435,art_ref,0))),INDEX(art_price,MATCH($E1435,art_ref,0)),""),"")))</f>
        <v/>
      </c>
      <c r="K1435" s="71" t="n"/>
      <c r="L1435" s="72" t="n"/>
      <c r="M1435" s="72" t="str">
        <f>IF(E1435="","",IF(L1435&lt;&gt;"",L1435,IFERROR(IF(ISNUMBER(INDEX(art_tva,MATCH($E1435,art_ref,0))),INDEX(art_tva,MATCH($E1435,art_ref,0)),""),"")))</f>
        <v/>
      </c>
      <c r="N1435" s="70" t="str">
        <f>IF(OR(E1435="",J1435=""),"",ROUND(N(H1435)*J1435*(1-N(K1435)),2))</f>
        <v/>
      </c>
      <c r="O1435" s="70" t="str">
        <f>IF(OR(N1435="",NOT(ISNUMBER(M1435))),"",ROUND(N1435*M1435,2))</f>
        <v/>
      </c>
      <c r="P1435" s="70" t="str">
        <f>IF(N1435="","",N1435+N(O1435))</f>
        <v/>
      </c>
      <c r="Q1435" s="64" t="n"/>
      <c r="R1435" s="73" t="str">
        <f>IF(N(Q1435)&gt;0,Q1435,IF(OR(N(B1435)=0,ISNA(MATCH($C1435,sup_code,0))),"",IF(ISNUMBER(INDEX(sup_delay,MATCH($C1435,sup_code,0))),B1435+INDEX(sup_delay,MATCH($C1435,sup_code,0)),"")))</f>
        <v/>
      </c>
      <c r="S1435" s="64" t="n"/>
      <c r="T1435" s="68" t="n"/>
      <c r="U1435" s="64" t="n"/>
      <c r="V1435" s="65" t="n"/>
      <c r="W1435" s="74" t="str">
        <f>IF(AND(A1435="",E1435=""),"",IF(V1435="Oui",0,MAX(0,ROUND(N(H1435)-N(T1435),6))))</f>
        <v/>
      </c>
      <c r="X1435" s="67" t="str">
        <f>IF(AND(A1435="",E1435=""),"",IF(V1435="Oui","Annulé",IF(AND(N(H1435)&gt;0,N(T1435)&gt;=N(H1435)),"Reçu",IF(N(S1435)=0,"Brouillon",IF(AND(ISNUMBER(R1435),R1435&lt;p_today),"En retard",IF(N(T1435)&gt;0,"Partiel","Envoyé"))))))</f>
        <v/>
      </c>
      <c r="Y1435" s="75" t="str">
        <f>IF(X1435="En retard",p_today-R1435,IF(AND(X1435="Reçu",ISNUMBER(R1435)),MAX(0,N(U1435)-R1435),""))</f>
        <v/>
      </c>
      <c r="Z1435" s="67" t="str">
        <f>IF(AND(A1435="",E1435=""),"",IF(A1435="","N° de bon manquant",IF(N(B1435)=0,"Date de commande manquante",IF(C1435="","Fournisseur manquant",IF(ISNA(MATCH($C1435,sup_code,0)),"Fournisseur inconnu",IF(E1435="","Article manquant",IF(ISNA(MATCH($E1435,art_ref,0)),"Article inconnu",IF(N(H1435)&lt;=0,"Quantité invalide",IF(J1435="","Prix manquant",IF(OR(N(K1435)&lt;0,N(K1435)&gt;=1),"Remise invalide",IF(M1435="","TVA manquante",IF(ISNA(MATCH(M1435,p_tva,0)),"Taux de TVA inconnu",IF(COUNTIFS(po_num,A1435,po_sup,"&lt;&gt;"&amp;C1435)&gt;0,"Fournisseur différent sur ce bon",IF(COUNTIFS(po_num,A1435,po_date,"&lt;&gt;"&amp;B1435)&gt;0,"Date différente sur ce bon",IF(COUNTIF(po_num,A1435)&gt;25,"Plus de 25 lignes sur ce bon",IF(R1435="","Date de livraison manquante",IF(R1435&lt;B1435,"Livraison avant la commande",IF(AND(N(T1435)&gt;0,N(S1435)=0),"Date d'envoi manquante",IF(N(T1435)&gt;N(H1435),"Reçu plus que commandé",IF(AND(N(T1435)&gt;0,N(U1435)=0),"Date de réception manquante",IF(AND(N(U1435)&gt;0,U1435&lt;B1435),"Réception avant la commande","OK")))))))))))))))))))))</f>
        <v/>
      </c>
      <c r="AA1435" s="66" t="str">
        <f>IF(AND(X1435="Reçu",ISNUMBER(R1435)),IF(N(U1435)&lt;=R1435,1,0),"")</f>
        <v/>
      </c>
      <c r="AB1435" s="76" t="str">
        <f>IF(OR(X1435="Envoyé",X1435="Partiel",X1435="En retard"),IF(ISNUMBER(R1435),R1435,100000)+ROW()/100000,"")</f>
        <v/>
      </c>
      <c r="AC1435" s="66" t="str">
        <f>IF(A1435="","",IF(COUNTIF($A$6:A1435,A1435)=1,1,""))</f>
        <v/>
      </c>
      <c r="AD1435" s="66" t="str">
        <f>IF(AC1435=1,COUNT($AC$6:AC1435),"")</f>
        <v/>
      </c>
      <c r="AE1435" s="66" t="str">
        <f>IFERROR(INDEX(po_num,MATCH(1430,po_seq,0))&amp;"","")</f>
        <v/>
      </c>
      <c r="AF1435" s="66" t="str">
        <f>IF(OR(A1435="",p_po=""),"",IF(A1435&amp;""=p_po,COUNTIF($A$6:A1435,A1435),""))</f>
        <v/>
      </c>
      <c r="AG1435" s="66" t="str">
        <f>IF(OR(AB1435="",A1435=""),"",IF(COUNTIFS($A$6:A1435,A1435,$AB$6:AB1435,"&gt;0")=1,1,""))</f>
        <v/>
      </c>
      <c r="AH1435" s="70" t="str">
        <f>IF(AB1435="","",ROUND(N(W1435)*N(J1435)*(1-N(K1435)),2))</f>
        <v/>
      </c>
      <c r="AI1435" s="70" t="str">
        <f>IF(OR(J1435="",N(T1435)&lt;=0,V1435="Oui"),"",ROUND(N(T1435)*J1435*(1-N(K1435)),2))</f>
        <v/>
      </c>
    </row>
    <row r="1436">
      <c r="A1436" s="63" t="n"/>
      <c r="B1436" s="64" t="n"/>
      <c r="C1436" s="65" t="n"/>
      <c r="D1436" s="66" t="str">
        <f>IF(C1436="","",IFERROR(INDEX(sup_name,MATCH($C1436,sup_code,0))&amp;"","Fournisseur inconnu"))</f>
        <v/>
      </c>
      <c r="E1436" s="63" t="n"/>
      <c r="F1436" s="66" t="str">
        <f>IF(E1436="","",IFERROR(INDEX(art_des,MATCH($E1436,art_ref,0))&amp;"","Article inconnu"))</f>
        <v/>
      </c>
      <c r="G1436" s="67" t="str">
        <f>IF(E1436="","",IFERROR(INDEX(art_unit,MATCH($E1436,art_ref,0))&amp;"",""))</f>
        <v/>
      </c>
      <c r="H1436" s="68" t="n"/>
      <c r="I1436" s="69" t="n"/>
      <c r="J1436" s="70" t="str">
        <f>IF(E1436="","",IF(ISNUMBER(I1436),I1436,IFERROR(IF(ISNUMBER(INDEX(art_price,MATCH($E1436,art_ref,0))),INDEX(art_price,MATCH($E1436,art_ref,0)),""),"")))</f>
        <v/>
      </c>
      <c r="K1436" s="71" t="n"/>
      <c r="L1436" s="72" t="n"/>
      <c r="M1436" s="72" t="str">
        <f>IF(E1436="","",IF(L1436&lt;&gt;"",L1436,IFERROR(IF(ISNUMBER(INDEX(art_tva,MATCH($E1436,art_ref,0))),INDEX(art_tva,MATCH($E1436,art_ref,0)),""),"")))</f>
        <v/>
      </c>
      <c r="N1436" s="70" t="str">
        <f>IF(OR(E1436="",J1436=""),"",ROUND(N(H1436)*J1436*(1-N(K1436)),2))</f>
        <v/>
      </c>
      <c r="O1436" s="70" t="str">
        <f>IF(OR(N1436="",NOT(ISNUMBER(M1436))),"",ROUND(N1436*M1436,2))</f>
        <v/>
      </c>
      <c r="P1436" s="70" t="str">
        <f>IF(N1436="","",N1436+N(O1436))</f>
        <v/>
      </c>
      <c r="Q1436" s="64" t="n"/>
      <c r="R1436" s="73" t="str">
        <f>IF(N(Q1436)&gt;0,Q1436,IF(OR(N(B1436)=0,ISNA(MATCH($C1436,sup_code,0))),"",IF(ISNUMBER(INDEX(sup_delay,MATCH($C1436,sup_code,0))),B1436+INDEX(sup_delay,MATCH($C1436,sup_code,0)),"")))</f>
        <v/>
      </c>
      <c r="S1436" s="64" t="n"/>
      <c r="T1436" s="68" t="n"/>
      <c r="U1436" s="64" t="n"/>
      <c r="V1436" s="65" t="n"/>
      <c r="W1436" s="74" t="str">
        <f>IF(AND(A1436="",E1436=""),"",IF(V1436="Oui",0,MAX(0,ROUND(N(H1436)-N(T1436),6))))</f>
        <v/>
      </c>
      <c r="X1436" s="67" t="str">
        <f>IF(AND(A1436="",E1436=""),"",IF(V1436="Oui","Annulé",IF(AND(N(H1436)&gt;0,N(T1436)&gt;=N(H1436)),"Reçu",IF(N(S1436)=0,"Brouillon",IF(AND(ISNUMBER(R1436),R1436&lt;p_today),"En retard",IF(N(T1436)&gt;0,"Partiel","Envoyé"))))))</f>
        <v/>
      </c>
      <c r="Y1436" s="75" t="str">
        <f>IF(X1436="En retard",p_today-R1436,IF(AND(X1436="Reçu",ISNUMBER(R1436)),MAX(0,N(U1436)-R1436),""))</f>
        <v/>
      </c>
      <c r="Z1436" s="67" t="str">
        <f>IF(AND(A1436="",E1436=""),"",IF(A1436="","N° de bon manquant",IF(N(B1436)=0,"Date de commande manquante",IF(C1436="","Fournisseur manquant",IF(ISNA(MATCH($C1436,sup_code,0)),"Fournisseur inconnu",IF(E1436="","Article manquant",IF(ISNA(MATCH($E1436,art_ref,0)),"Article inconnu",IF(N(H1436)&lt;=0,"Quantité invalide",IF(J1436="","Prix manquant",IF(OR(N(K1436)&lt;0,N(K1436)&gt;=1),"Remise invalide",IF(M1436="","TVA manquante",IF(ISNA(MATCH(M1436,p_tva,0)),"Taux de TVA inconnu",IF(COUNTIFS(po_num,A1436,po_sup,"&lt;&gt;"&amp;C1436)&gt;0,"Fournisseur différent sur ce bon",IF(COUNTIFS(po_num,A1436,po_date,"&lt;&gt;"&amp;B1436)&gt;0,"Date différente sur ce bon",IF(COUNTIF(po_num,A1436)&gt;25,"Plus de 25 lignes sur ce bon",IF(R1436="","Date de livraison manquante",IF(R1436&lt;B1436,"Livraison avant la commande",IF(AND(N(T1436)&gt;0,N(S1436)=0),"Date d'envoi manquante",IF(N(T1436)&gt;N(H1436),"Reçu plus que commandé",IF(AND(N(T1436)&gt;0,N(U1436)=0),"Date de réception manquante",IF(AND(N(U1436)&gt;0,U1436&lt;B1436),"Réception avant la commande","OK")))))))))))))))))))))</f>
        <v/>
      </c>
      <c r="AA1436" s="66" t="str">
        <f>IF(AND(X1436="Reçu",ISNUMBER(R1436)),IF(N(U1436)&lt;=R1436,1,0),"")</f>
        <v/>
      </c>
      <c r="AB1436" s="76" t="str">
        <f>IF(OR(X1436="Envoyé",X1436="Partiel",X1436="En retard"),IF(ISNUMBER(R1436),R1436,100000)+ROW()/100000,"")</f>
        <v/>
      </c>
      <c r="AC1436" s="66" t="str">
        <f>IF(A1436="","",IF(COUNTIF($A$6:A1436,A1436)=1,1,""))</f>
        <v/>
      </c>
      <c r="AD1436" s="66" t="str">
        <f>IF(AC1436=1,COUNT($AC$6:AC1436),"")</f>
        <v/>
      </c>
      <c r="AE1436" s="66" t="str">
        <f>IFERROR(INDEX(po_num,MATCH(1431,po_seq,0))&amp;"","")</f>
        <v/>
      </c>
      <c r="AF1436" s="66" t="str">
        <f>IF(OR(A1436="",p_po=""),"",IF(A1436&amp;""=p_po,COUNTIF($A$6:A1436,A1436),""))</f>
        <v/>
      </c>
      <c r="AG1436" s="66" t="str">
        <f>IF(OR(AB1436="",A1436=""),"",IF(COUNTIFS($A$6:A1436,A1436,$AB$6:AB1436,"&gt;0")=1,1,""))</f>
        <v/>
      </c>
      <c r="AH1436" s="70" t="str">
        <f>IF(AB1436="","",ROUND(N(W1436)*N(J1436)*(1-N(K1436)),2))</f>
        <v/>
      </c>
      <c r="AI1436" s="70" t="str">
        <f>IF(OR(J1436="",N(T1436)&lt;=0,V1436="Oui"),"",ROUND(N(T1436)*J1436*(1-N(K1436)),2))</f>
        <v/>
      </c>
    </row>
    <row r="1437">
      <c r="A1437" s="63" t="n"/>
      <c r="B1437" s="64" t="n"/>
      <c r="C1437" s="65" t="n"/>
      <c r="D1437" s="66" t="str">
        <f>IF(C1437="","",IFERROR(INDEX(sup_name,MATCH($C1437,sup_code,0))&amp;"","Fournisseur inconnu"))</f>
        <v/>
      </c>
      <c r="E1437" s="63" t="n"/>
      <c r="F1437" s="66" t="str">
        <f>IF(E1437="","",IFERROR(INDEX(art_des,MATCH($E1437,art_ref,0))&amp;"","Article inconnu"))</f>
        <v/>
      </c>
      <c r="G1437" s="67" t="str">
        <f>IF(E1437="","",IFERROR(INDEX(art_unit,MATCH($E1437,art_ref,0))&amp;"",""))</f>
        <v/>
      </c>
      <c r="H1437" s="68" t="n"/>
      <c r="I1437" s="69" t="n"/>
      <c r="J1437" s="70" t="str">
        <f>IF(E1437="","",IF(ISNUMBER(I1437),I1437,IFERROR(IF(ISNUMBER(INDEX(art_price,MATCH($E1437,art_ref,0))),INDEX(art_price,MATCH($E1437,art_ref,0)),""),"")))</f>
        <v/>
      </c>
      <c r="K1437" s="71" t="n"/>
      <c r="L1437" s="72" t="n"/>
      <c r="M1437" s="72" t="str">
        <f>IF(E1437="","",IF(L1437&lt;&gt;"",L1437,IFERROR(IF(ISNUMBER(INDEX(art_tva,MATCH($E1437,art_ref,0))),INDEX(art_tva,MATCH($E1437,art_ref,0)),""),"")))</f>
        <v/>
      </c>
      <c r="N1437" s="70" t="str">
        <f>IF(OR(E1437="",J1437=""),"",ROUND(N(H1437)*J1437*(1-N(K1437)),2))</f>
        <v/>
      </c>
      <c r="O1437" s="70" t="str">
        <f>IF(OR(N1437="",NOT(ISNUMBER(M1437))),"",ROUND(N1437*M1437,2))</f>
        <v/>
      </c>
      <c r="P1437" s="70" t="str">
        <f>IF(N1437="","",N1437+N(O1437))</f>
        <v/>
      </c>
      <c r="Q1437" s="64" t="n"/>
      <c r="R1437" s="73" t="str">
        <f>IF(N(Q1437)&gt;0,Q1437,IF(OR(N(B1437)=0,ISNA(MATCH($C1437,sup_code,0))),"",IF(ISNUMBER(INDEX(sup_delay,MATCH($C1437,sup_code,0))),B1437+INDEX(sup_delay,MATCH($C1437,sup_code,0)),"")))</f>
        <v/>
      </c>
      <c r="S1437" s="64" t="n"/>
      <c r="T1437" s="68" t="n"/>
      <c r="U1437" s="64" t="n"/>
      <c r="V1437" s="65" t="n"/>
      <c r="W1437" s="74" t="str">
        <f>IF(AND(A1437="",E1437=""),"",IF(V1437="Oui",0,MAX(0,ROUND(N(H1437)-N(T1437),6))))</f>
        <v/>
      </c>
      <c r="X1437" s="67" t="str">
        <f>IF(AND(A1437="",E1437=""),"",IF(V1437="Oui","Annulé",IF(AND(N(H1437)&gt;0,N(T1437)&gt;=N(H1437)),"Reçu",IF(N(S1437)=0,"Brouillon",IF(AND(ISNUMBER(R1437),R1437&lt;p_today),"En retard",IF(N(T1437)&gt;0,"Partiel","Envoyé"))))))</f>
        <v/>
      </c>
      <c r="Y1437" s="75" t="str">
        <f>IF(X1437="En retard",p_today-R1437,IF(AND(X1437="Reçu",ISNUMBER(R1437)),MAX(0,N(U1437)-R1437),""))</f>
        <v/>
      </c>
      <c r="Z1437" s="67" t="str">
        <f>IF(AND(A1437="",E1437=""),"",IF(A1437="","N° de bon manquant",IF(N(B1437)=0,"Date de commande manquante",IF(C1437="","Fournisseur manquant",IF(ISNA(MATCH($C1437,sup_code,0)),"Fournisseur inconnu",IF(E1437="","Article manquant",IF(ISNA(MATCH($E1437,art_ref,0)),"Article inconnu",IF(N(H1437)&lt;=0,"Quantité invalide",IF(J1437="","Prix manquant",IF(OR(N(K1437)&lt;0,N(K1437)&gt;=1),"Remise invalide",IF(M1437="","TVA manquante",IF(ISNA(MATCH(M1437,p_tva,0)),"Taux de TVA inconnu",IF(COUNTIFS(po_num,A1437,po_sup,"&lt;&gt;"&amp;C1437)&gt;0,"Fournisseur différent sur ce bon",IF(COUNTIFS(po_num,A1437,po_date,"&lt;&gt;"&amp;B1437)&gt;0,"Date différente sur ce bon",IF(COUNTIF(po_num,A1437)&gt;25,"Plus de 25 lignes sur ce bon",IF(R1437="","Date de livraison manquante",IF(R1437&lt;B1437,"Livraison avant la commande",IF(AND(N(T1437)&gt;0,N(S1437)=0),"Date d'envoi manquante",IF(N(T1437)&gt;N(H1437),"Reçu plus que commandé",IF(AND(N(T1437)&gt;0,N(U1437)=0),"Date de réception manquante",IF(AND(N(U1437)&gt;0,U1437&lt;B1437),"Réception avant la commande","OK")))))))))))))))))))))</f>
        <v/>
      </c>
      <c r="AA1437" s="66" t="str">
        <f>IF(AND(X1437="Reçu",ISNUMBER(R1437)),IF(N(U1437)&lt;=R1437,1,0),"")</f>
        <v/>
      </c>
      <c r="AB1437" s="76" t="str">
        <f>IF(OR(X1437="Envoyé",X1437="Partiel",X1437="En retard"),IF(ISNUMBER(R1437),R1437,100000)+ROW()/100000,"")</f>
        <v/>
      </c>
      <c r="AC1437" s="66" t="str">
        <f>IF(A1437="","",IF(COUNTIF($A$6:A1437,A1437)=1,1,""))</f>
        <v/>
      </c>
      <c r="AD1437" s="66" t="str">
        <f>IF(AC1437=1,COUNT($AC$6:AC1437),"")</f>
        <v/>
      </c>
      <c r="AE1437" s="66" t="str">
        <f>IFERROR(INDEX(po_num,MATCH(1432,po_seq,0))&amp;"","")</f>
        <v/>
      </c>
      <c r="AF1437" s="66" t="str">
        <f>IF(OR(A1437="",p_po=""),"",IF(A1437&amp;""=p_po,COUNTIF($A$6:A1437,A1437),""))</f>
        <v/>
      </c>
      <c r="AG1437" s="66" t="str">
        <f>IF(OR(AB1437="",A1437=""),"",IF(COUNTIFS($A$6:A1437,A1437,$AB$6:AB1437,"&gt;0")=1,1,""))</f>
        <v/>
      </c>
      <c r="AH1437" s="70" t="str">
        <f>IF(AB1437="","",ROUND(N(W1437)*N(J1437)*(1-N(K1437)),2))</f>
        <v/>
      </c>
      <c r="AI1437" s="70" t="str">
        <f>IF(OR(J1437="",N(T1437)&lt;=0,V1437="Oui"),"",ROUND(N(T1437)*J1437*(1-N(K1437)),2))</f>
        <v/>
      </c>
    </row>
    <row r="1438">
      <c r="A1438" s="63" t="n"/>
      <c r="B1438" s="64" t="n"/>
      <c r="C1438" s="65" t="n"/>
      <c r="D1438" s="66" t="str">
        <f>IF(C1438="","",IFERROR(INDEX(sup_name,MATCH($C1438,sup_code,0))&amp;"","Fournisseur inconnu"))</f>
        <v/>
      </c>
      <c r="E1438" s="63" t="n"/>
      <c r="F1438" s="66" t="str">
        <f>IF(E1438="","",IFERROR(INDEX(art_des,MATCH($E1438,art_ref,0))&amp;"","Article inconnu"))</f>
        <v/>
      </c>
      <c r="G1438" s="67" t="str">
        <f>IF(E1438="","",IFERROR(INDEX(art_unit,MATCH($E1438,art_ref,0))&amp;"",""))</f>
        <v/>
      </c>
      <c r="H1438" s="68" t="n"/>
      <c r="I1438" s="69" t="n"/>
      <c r="J1438" s="70" t="str">
        <f>IF(E1438="","",IF(ISNUMBER(I1438),I1438,IFERROR(IF(ISNUMBER(INDEX(art_price,MATCH($E1438,art_ref,0))),INDEX(art_price,MATCH($E1438,art_ref,0)),""),"")))</f>
        <v/>
      </c>
      <c r="K1438" s="71" t="n"/>
      <c r="L1438" s="72" t="n"/>
      <c r="M1438" s="72" t="str">
        <f>IF(E1438="","",IF(L1438&lt;&gt;"",L1438,IFERROR(IF(ISNUMBER(INDEX(art_tva,MATCH($E1438,art_ref,0))),INDEX(art_tva,MATCH($E1438,art_ref,0)),""),"")))</f>
        <v/>
      </c>
      <c r="N1438" s="70" t="str">
        <f>IF(OR(E1438="",J1438=""),"",ROUND(N(H1438)*J1438*(1-N(K1438)),2))</f>
        <v/>
      </c>
      <c r="O1438" s="70" t="str">
        <f>IF(OR(N1438="",NOT(ISNUMBER(M1438))),"",ROUND(N1438*M1438,2))</f>
        <v/>
      </c>
      <c r="P1438" s="70" t="str">
        <f>IF(N1438="","",N1438+N(O1438))</f>
        <v/>
      </c>
      <c r="Q1438" s="64" t="n"/>
      <c r="R1438" s="73" t="str">
        <f>IF(N(Q1438)&gt;0,Q1438,IF(OR(N(B1438)=0,ISNA(MATCH($C1438,sup_code,0))),"",IF(ISNUMBER(INDEX(sup_delay,MATCH($C1438,sup_code,0))),B1438+INDEX(sup_delay,MATCH($C1438,sup_code,0)),"")))</f>
        <v/>
      </c>
      <c r="S1438" s="64" t="n"/>
      <c r="T1438" s="68" t="n"/>
      <c r="U1438" s="64" t="n"/>
      <c r="V1438" s="65" t="n"/>
      <c r="W1438" s="74" t="str">
        <f>IF(AND(A1438="",E1438=""),"",IF(V1438="Oui",0,MAX(0,ROUND(N(H1438)-N(T1438),6))))</f>
        <v/>
      </c>
      <c r="X1438" s="67" t="str">
        <f>IF(AND(A1438="",E1438=""),"",IF(V1438="Oui","Annulé",IF(AND(N(H1438)&gt;0,N(T1438)&gt;=N(H1438)),"Reçu",IF(N(S1438)=0,"Brouillon",IF(AND(ISNUMBER(R1438),R1438&lt;p_today),"En retard",IF(N(T1438)&gt;0,"Partiel","Envoyé"))))))</f>
        <v/>
      </c>
      <c r="Y1438" s="75" t="str">
        <f>IF(X1438="En retard",p_today-R1438,IF(AND(X1438="Reçu",ISNUMBER(R1438)),MAX(0,N(U1438)-R1438),""))</f>
        <v/>
      </c>
      <c r="Z1438" s="67" t="str">
        <f>IF(AND(A1438="",E1438=""),"",IF(A1438="","N° de bon manquant",IF(N(B1438)=0,"Date de commande manquante",IF(C1438="","Fournisseur manquant",IF(ISNA(MATCH($C1438,sup_code,0)),"Fournisseur inconnu",IF(E1438="","Article manquant",IF(ISNA(MATCH($E1438,art_ref,0)),"Article inconnu",IF(N(H1438)&lt;=0,"Quantité invalide",IF(J1438="","Prix manquant",IF(OR(N(K1438)&lt;0,N(K1438)&gt;=1),"Remise invalide",IF(M1438="","TVA manquante",IF(ISNA(MATCH(M1438,p_tva,0)),"Taux de TVA inconnu",IF(COUNTIFS(po_num,A1438,po_sup,"&lt;&gt;"&amp;C1438)&gt;0,"Fournisseur différent sur ce bon",IF(COUNTIFS(po_num,A1438,po_date,"&lt;&gt;"&amp;B1438)&gt;0,"Date différente sur ce bon",IF(COUNTIF(po_num,A1438)&gt;25,"Plus de 25 lignes sur ce bon",IF(R1438="","Date de livraison manquante",IF(R1438&lt;B1438,"Livraison avant la commande",IF(AND(N(T1438)&gt;0,N(S1438)=0),"Date d'envoi manquante",IF(N(T1438)&gt;N(H1438),"Reçu plus que commandé",IF(AND(N(T1438)&gt;0,N(U1438)=0),"Date de réception manquante",IF(AND(N(U1438)&gt;0,U1438&lt;B1438),"Réception avant la commande","OK")))))))))))))))))))))</f>
        <v/>
      </c>
      <c r="AA1438" s="66" t="str">
        <f>IF(AND(X1438="Reçu",ISNUMBER(R1438)),IF(N(U1438)&lt;=R1438,1,0),"")</f>
        <v/>
      </c>
      <c r="AB1438" s="76" t="str">
        <f>IF(OR(X1438="Envoyé",X1438="Partiel",X1438="En retard"),IF(ISNUMBER(R1438),R1438,100000)+ROW()/100000,"")</f>
        <v/>
      </c>
      <c r="AC1438" s="66" t="str">
        <f>IF(A1438="","",IF(COUNTIF($A$6:A1438,A1438)=1,1,""))</f>
        <v/>
      </c>
      <c r="AD1438" s="66" t="str">
        <f>IF(AC1438=1,COUNT($AC$6:AC1438),"")</f>
        <v/>
      </c>
      <c r="AE1438" s="66" t="str">
        <f>IFERROR(INDEX(po_num,MATCH(1433,po_seq,0))&amp;"","")</f>
        <v/>
      </c>
      <c r="AF1438" s="66" t="str">
        <f>IF(OR(A1438="",p_po=""),"",IF(A1438&amp;""=p_po,COUNTIF($A$6:A1438,A1438),""))</f>
        <v/>
      </c>
      <c r="AG1438" s="66" t="str">
        <f>IF(OR(AB1438="",A1438=""),"",IF(COUNTIFS($A$6:A1438,A1438,$AB$6:AB1438,"&gt;0")=1,1,""))</f>
        <v/>
      </c>
      <c r="AH1438" s="70" t="str">
        <f>IF(AB1438="","",ROUND(N(W1438)*N(J1438)*(1-N(K1438)),2))</f>
        <v/>
      </c>
      <c r="AI1438" s="70" t="str">
        <f>IF(OR(J1438="",N(T1438)&lt;=0,V1438="Oui"),"",ROUND(N(T1438)*J1438*(1-N(K1438)),2))</f>
        <v/>
      </c>
    </row>
    <row r="1439">
      <c r="A1439" s="63" t="n"/>
      <c r="B1439" s="64" t="n"/>
      <c r="C1439" s="65" t="n"/>
      <c r="D1439" s="66" t="str">
        <f>IF(C1439="","",IFERROR(INDEX(sup_name,MATCH($C1439,sup_code,0))&amp;"","Fournisseur inconnu"))</f>
        <v/>
      </c>
      <c r="E1439" s="63" t="n"/>
      <c r="F1439" s="66" t="str">
        <f>IF(E1439="","",IFERROR(INDEX(art_des,MATCH($E1439,art_ref,0))&amp;"","Article inconnu"))</f>
        <v/>
      </c>
      <c r="G1439" s="67" t="str">
        <f>IF(E1439="","",IFERROR(INDEX(art_unit,MATCH($E1439,art_ref,0))&amp;"",""))</f>
        <v/>
      </c>
      <c r="H1439" s="68" t="n"/>
      <c r="I1439" s="69" t="n"/>
      <c r="J1439" s="70" t="str">
        <f>IF(E1439="","",IF(ISNUMBER(I1439),I1439,IFERROR(IF(ISNUMBER(INDEX(art_price,MATCH($E1439,art_ref,0))),INDEX(art_price,MATCH($E1439,art_ref,0)),""),"")))</f>
        <v/>
      </c>
      <c r="K1439" s="71" t="n"/>
      <c r="L1439" s="72" t="n"/>
      <c r="M1439" s="72" t="str">
        <f>IF(E1439="","",IF(L1439&lt;&gt;"",L1439,IFERROR(IF(ISNUMBER(INDEX(art_tva,MATCH($E1439,art_ref,0))),INDEX(art_tva,MATCH($E1439,art_ref,0)),""),"")))</f>
        <v/>
      </c>
      <c r="N1439" s="70" t="str">
        <f>IF(OR(E1439="",J1439=""),"",ROUND(N(H1439)*J1439*(1-N(K1439)),2))</f>
        <v/>
      </c>
      <c r="O1439" s="70" t="str">
        <f>IF(OR(N1439="",NOT(ISNUMBER(M1439))),"",ROUND(N1439*M1439,2))</f>
        <v/>
      </c>
      <c r="P1439" s="70" t="str">
        <f>IF(N1439="","",N1439+N(O1439))</f>
        <v/>
      </c>
      <c r="Q1439" s="64" t="n"/>
      <c r="R1439" s="73" t="str">
        <f>IF(N(Q1439)&gt;0,Q1439,IF(OR(N(B1439)=0,ISNA(MATCH($C1439,sup_code,0))),"",IF(ISNUMBER(INDEX(sup_delay,MATCH($C1439,sup_code,0))),B1439+INDEX(sup_delay,MATCH($C1439,sup_code,0)),"")))</f>
        <v/>
      </c>
      <c r="S1439" s="64" t="n"/>
      <c r="T1439" s="68" t="n"/>
      <c r="U1439" s="64" t="n"/>
      <c r="V1439" s="65" t="n"/>
      <c r="W1439" s="74" t="str">
        <f>IF(AND(A1439="",E1439=""),"",IF(V1439="Oui",0,MAX(0,ROUND(N(H1439)-N(T1439),6))))</f>
        <v/>
      </c>
      <c r="X1439" s="67" t="str">
        <f>IF(AND(A1439="",E1439=""),"",IF(V1439="Oui","Annulé",IF(AND(N(H1439)&gt;0,N(T1439)&gt;=N(H1439)),"Reçu",IF(N(S1439)=0,"Brouillon",IF(AND(ISNUMBER(R1439),R1439&lt;p_today),"En retard",IF(N(T1439)&gt;0,"Partiel","Envoyé"))))))</f>
        <v/>
      </c>
      <c r="Y1439" s="75" t="str">
        <f>IF(X1439="En retard",p_today-R1439,IF(AND(X1439="Reçu",ISNUMBER(R1439)),MAX(0,N(U1439)-R1439),""))</f>
        <v/>
      </c>
      <c r="Z1439" s="67" t="str">
        <f>IF(AND(A1439="",E1439=""),"",IF(A1439="","N° de bon manquant",IF(N(B1439)=0,"Date de commande manquante",IF(C1439="","Fournisseur manquant",IF(ISNA(MATCH($C1439,sup_code,0)),"Fournisseur inconnu",IF(E1439="","Article manquant",IF(ISNA(MATCH($E1439,art_ref,0)),"Article inconnu",IF(N(H1439)&lt;=0,"Quantité invalide",IF(J1439="","Prix manquant",IF(OR(N(K1439)&lt;0,N(K1439)&gt;=1),"Remise invalide",IF(M1439="","TVA manquante",IF(ISNA(MATCH(M1439,p_tva,0)),"Taux de TVA inconnu",IF(COUNTIFS(po_num,A1439,po_sup,"&lt;&gt;"&amp;C1439)&gt;0,"Fournisseur différent sur ce bon",IF(COUNTIFS(po_num,A1439,po_date,"&lt;&gt;"&amp;B1439)&gt;0,"Date différente sur ce bon",IF(COUNTIF(po_num,A1439)&gt;25,"Plus de 25 lignes sur ce bon",IF(R1439="","Date de livraison manquante",IF(R1439&lt;B1439,"Livraison avant la commande",IF(AND(N(T1439)&gt;0,N(S1439)=0),"Date d'envoi manquante",IF(N(T1439)&gt;N(H1439),"Reçu plus que commandé",IF(AND(N(T1439)&gt;0,N(U1439)=0),"Date de réception manquante",IF(AND(N(U1439)&gt;0,U1439&lt;B1439),"Réception avant la commande","OK")))))))))))))))))))))</f>
        <v/>
      </c>
      <c r="AA1439" s="66" t="str">
        <f>IF(AND(X1439="Reçu",ISNUMBER(R1439)),IF(N(U1439)&lt;=R1439,1,0),"")</f>
        <v/>
      </c>
      <c r="AB1439" s="76" t="str">
        <f>IF(OR(X1439="Envoyé",X1439="Partiel",X1439="En retard"),IF(ISNUMBER(R1439),R1439,100000)+ROW()/100000,"")</f>
        <v/>
      </c>
      <c r="AC1439" s="66" t="str">
        <f>IF(A1439="","",IF(COUNTIF($A$6:A1439,A1439)=1,1,""))</f>
        <v/>
      </c>
      <c r="AD1439" s="66" t="str">
        <f>IF(AC1439=1,COUNT($AC$6:AC1439),"")</f>
        <v/>
      </c>
      <c r="AE1439" s="66" t="str">
        <f>IFERROR(INDEX(po_num,MATCH(1434,po_seq,0))&amp;"","")</f>
        <v/>
      </c>
      <c r="AF1439" s="66" t="str">
        <f>IF(OR(A1439="",p_po=""),"",IF(A1439&amp;""=p_po,COUNTIF($A$6:A1439,A1439),""))</f>
        <v/>
      </c>
      <c r="AG1439" s="66" t="str">
        <f>IF(OR(AB1439="",A1439=""),"",IF(COUNTIFS($A$6:A1439,A1439,$AB$6:AB1439,"&gt;0")=1,1,""))</f>
        <v/>
      </c>
      <c r="AH1439" s="70" t="str">
        <f>IF(AB1439="","",ROUND(N(W1439)*N(J1439)*(1-N(K1439)),2))</f>
        <v/>
      </c>
      <c r="AI1439" s="70" t="str">
        <f>IF(OR(J1439="",N(T1439)&lt;=0,V1439="Oui"),"",ROUND(N(T1439)*J1439*(1-N(K1439)),2))</f>
        <v/>
      </c>
    </row>
    <row r="1440">
      <c r="A1440" s="63" t="n"/>
      <c r="B1440" s="64" t="n"/>
      <c r="C1440" s="65" t="n"/>
      <c r="D1440" s="66" t="str">
        <f>IF(C1440="","",IFERROR(INDEX(sup_name,MATCH($C1440,sup_code,0))&amp;"","Fournisseur inconnu"))</f>
        <v/>
      </c>
      <c r="E1440" s="63" t="n"/>
      <c r="F1440" s="66" t="str">
        <f>IF(E1440="","",IFERROR(INDEX(art_des,MATCH($E1440,art_ref,0))&amp;"","Article inconnu"))</f>
        <v/>
      </c>
      <c r="G1440" s="67" t="str">
        <f>IF(E1440="","",IFERROR(INDEX(art_unit,MATCH($E1440,art_ref,0))&amp;"",""))</f>
        <v/>
      </c>
      <c r="H1440" s="68" t="n"/>
      <c r="I1440" s="69" t="n"/>
      <c r="J1440" s="70" t="str">
        <f>IF(E1440="","",IF(ISNUMBER(I1440),I1440,IFERROR(IF(ISNUMBER(INDEX(art_price,MATCH($E1440,art_ref,0))),INDEX(art_price,MATCH($E1440,art_ref,0)),""),"")))</f>
        <v/>
      </c>
      <c r="K1440" s="71" t="n"/>
      <c r="L1440" s="72" t="n"/>
      <c r="M1440" s="72" t="str">
        <f>IF(E1440="","",IF(L1440&lt;&gt;"",L1440,IFERROR(IF(ISNUMBER(INDEX(art_tva,MATCH($E1440,art_ref,0))),INDEX(art_tva,MATCH($E1440,art_ref,0)),""),"")))</f>
        <v/>
      </c>
      <c r="N1440" s="70" t="str">
        <f>IF(OR(E1440="",J1440=""),"",ROUND(N(H1440)*J1440*(1-N(K1440)),2))</f>
        <v/>
      </c>
      <c r="O1440" s="70" t="str">
        <f>IF(OR(N1440="",NOT(ISNUMBER(M1440))),"",ROUND(N1440*M1440,2))</f>
        <v/>
      </c>
      <c r="P1440" s="70" t="str">
        <f>IF(N1440="","",N1440+N(O1440))</f>
        <v/>
      </c>
      <c r="Q1440" s="64" t="n"/>
      <c r="R1440" s="73" t="str">
        <f>IF(N(Q1440)&gt;0,Q1440,IF(OR(N(B1440)=0,ISNA(MATCH($C1440,sup_code,0))),"",IF(ISNUMBER(INDEX(sup_delay,MATCH($C1440,sup_code,0))),B1440+INDEX(sup_delay,MATCH($C1440,sup_code,0)),"")))</f>
        <v/>
      </c>
      <c r="S1440" s="64" t="n"/>
      <c r="T1440" s="68" t="n"/>
      <c r="U1440" s="64" t="n"/>
      <c r="V1440" s="65" t="n"/>
      <c r="W1440" s="74" t="str">
        <f>IF(AND(A1440="",E1440=""),"",IF(V1440="Oui",0,MAX(0,ROUND(N(H1440)-N(T1440),6))))</f>
        <v/>
      </c>
      <c r="X1440" s="67" t="str">
        <f>IF(AND(A1440="",E1440=""),"",IF(V1440="Oui","Annulé",IF(AND(N(H1440)&gt;0,N(T1440)&gt;=N(H1440)),"Reçu",IF(N(S1440)=0,"Brouillon",IF(AND(ISNUMBER(R1440),R1440&lt;p_today),"En retard",IF(N(T1440)&gt;0,"Partiel","Envoyé"))))))</f>
        <v/>
      </c>
      <c r="Y1440" s="75" t="str">
        <f>IF(X1440="En retard",p_today-R1440,IF(AND(X1440="Reçu",ISNUMBER(R1440)),MAX(0,N(U1440)-R1440),""))</f>
        <v/>
      </c>
      <c r="Z1440" s="67" t="str">
        <f>IF(AND(A1440="",E1440=""),"",IF(A1440="","N° de bon manquant",IF(N(B1440)=0,"Date de commande manquante",IF(C1440="","Fournisseur manquant",IF(ISNA(MATCH($C1440,sup_code,0)),"Fournisseur inconnu",IF(E1440="","Article manquant",IF(ISNA(MATCH($E1440,art_ref,0)),"Article inconnu",IF(N(H1440)&lt;=0,"Quantité invalide",IF(J1440="","Prix manquant",IF(OR(N(K1440)&lt;0,N(K1440)&gt;=1),"Remise invalide",IF(M1440="","TVA manquante",IF(ISNA(MATCH(M1440,p_tva,0)),"Taux de TVA inconnu",IF(COUNTIFS(po_num,A1440,po_sup,"&lt;&gt;"&amp;C1440)&gt;0,"Fournisseur différent sur ce bon",IF(COUNTIFS(po_num,A1440,po_date,"&lt;&gt;"&amp;B1440)&gt;0,"Date différente sur ce bon",IF(COUNTIF(po_num,A1440)&gt;25,"Plus de 25 lignes sur ce bon",IF(R1440="","Date de livraison manquante",IF(R1440&lt;B1440,"Livraison avant la commande",IF(AND(N(T1440)&gt;0,N(S1440)=0),"Date d'envoi manquante",IF(N(T1440)&gt;N(H1440),"Reçu plus que commandé",IF(AND(N(T1440)&gt;0,N(U1440)=0),"Date de réception manquante",IF(AND(N(U1440)&gt;0,U1440&lt;B1440),"Réception avant la commande","OK")))))))))))))))))))))</f>
        <v/>
      </c>
      <c r="AA1440" s="66" t="str">
        <f>IF(AND(X1440="Reçu",ISNUMBER(R1440)),IF(N(U1440)&lt;=R1440,1,0),"")</f>
        <v/>
      </c>
      <c r="AB1440" s="76" t="str">
        <f>IF(OR(X1440="Envoyé",X1440="Partiel",X1440="En retard"),IF(ISNUMBER(R1440),R1440,100000)+ROW()/100000,"")</f>
        <v/>
      </c>
      <c r="AC1440" s="66" t="str">
        <f>IF(A1440="","",IF(COUNTIF($A$6:A1440,A1440)=1,1,""))</f>
        <v/>
      </c>
      <c r="AD1440" s="66" t="str">
        <f>IF(AC1440=1,COUNT($AC$6:AC1440),"")</f>
        <v/>
      </c>
      <c r="AE1440" s="66" t="str">
        <f>IFERROR(INDEX(po_num,MATCH(1435,po_seq,0))&amp;"","")</f>
        <v/>
      </c>
      <c r="AF1440" s="66" t="str">
        <f>IF(OR(A1440="",p_po=""),"",IF(A1440&amp;""=p_po,COUNTIF($A$6:A1440,A1440),""))</f>
        <v/>
      </c>
      <c r="AG1440" s="66" t="str">
        <f>IF(OR(AB1440="",A1440=""),"",IF(COUNTIFS($A$6:A1440,A1440,$AB$6:AB1440,"&gt;0")=1,1,""))</f>
        <v/>
      </c>
      <c r="AH1440" s="70" t="str">
        <f>IF(AB1440="","",ROUND(N(W1440)*N(J1440)*(1-N(K1440)),2))</f>
        <v/>
      </c>
      <c r="AI1440" s="70" t="str">
        <f>IF(OR(J1440="",N(T1440)&lt;=0,V1440="Oui"),"",ROUND(N(T1440)*J1440*(1-N(K1440)),2))</f>
        <v/>
      </c>
    </row>
    <row r="1441">
      <c r="A1441" s="63" t="n"/>
      <c r="B1441" s="64" t="n"/>
      <c r="C1441" s="65" t="n"/>
      <c r="D1441" s="66" t="str">
        <f>IF(C1441="","",IFERROR(INDEX(sup_name,MATCH($C1441,sup_code,0))&amp;"","Fournisseur inconnu"))</f>
        <v/>
      </c>
      <c r="E1441" s="63" t="n"/>
      <c r="F1441" s="66" t="str">
        <f>IF(E1441="","",IFERROR(INDEX(art_des,MATCH($E1441,art_ref,0))&amp;"","Article inconnu"))</f>
        <v/>
      </c>
      <c r="G1441" s="67" t="str">
        <f>IF(E1441="","",IFERROR(INDEX(art_unit,MATCH($E1441,art_ref,0))&amp;"",""))</f>
        <v/>
      </c>
      <c r="H1441" s="68" t="n"/>
      <c r="I1441" s="69" t="n"/>
      <c r="J1441" s="70" t="str">
        <f>IF(E1441="","",IF(ISNUMBER(I1441),I1441,IFERROR(IF(ISNUMBER(INDEX(art_price,MATCH($E1441,art_ref,0))),INDEX(art_price,MATCH($E1441,art_ref,0)),""),"")))</f>
        <v/>
      </c>
      <c r="K1441" s="71" t="n"/>
      <c r="L1441" s="72" t="n"/>
      <c r="M1441" s="72" t="str">
        <f>IF(E1441="","",IF(L1441&lt;&gt;"",L1441,IFERROR(IF(ISNUMBER(INDEX(art_tva,MATCH($E1441,art_ref,0))),INDEX(art_tva,MATCH($E1441,art_ref,0)),""),"")))</f>
        <v/>
      </c>
      <c r="N1441" s="70" t="str">
        <f>IF(OR(E1441="",J1441=""),"",ROUND(N(H1441)*J1441*(1-N(K1441)),2))</f>
        <v/>
      </c>
      <c r="O1441" s="70" t="str">
        <f>IF(OR(N1441="",NOT(ISNUMBER(M1441))),"",ROUND(N1441*M1441,2))</f>
        <v/>
      </c>
      <c r="P1441" s="70" t="str">
        <f>IF(N1441="","",N1441+N(O1441))</f>
        <v/>
      </c>
      <c r="Q1441" s="64" t="n"/>
      <c r="R1441" s="73" t="str">
        <f>IF(N(Q1441)&gt;0,Q1441,IF(OR(N(B1441)=0,ISNA(MATCH($C1441,sup_code,0))),"",IF(ISNUMBER(INDEX(sup_delay,MATCH($C1441,sup_code,0))),B1441+INDEX(sup_delay,MATCH($C1441,sup_code,0)),"")))</f>
        <v/>
      </c>
      <c r="S1441" s="64" t="n"/>
      <c r="T1441" s="68" t="n"/>
      <c r="U1441" s="64" t="n"/>
      <c r="V1441" s="65" t="n"/>
      <c r="W1441" s="74" t="str">
        <f>IF(AND(A1441="",E1441=""),"",IF(V1441="Oui",0,MAX(0,ROUND(N(H1441)-N(T1441),6))))</f>
        <v/>
      </c>
      <c r="X1441" s="67" t="str">
        <f>IF(AND(A1441="",E1441=""),"",IF(V1441="Oui","Annulé",IF(AND(N(H1441)&gt;0,N(T1441)&gt;=N(H1441)),"Reçu",IF(N(S1441)=0,"Brouillon",IF(AND(ISNUMBER(R1441),R1441&lt;p_today),"En retard",IF(N(T1441)&gt;0,"Partiel","Envoyé"))))))</f>
        <v/>
      </c>
      <c r="Y1441" s="75" t="str">
        <f>IF(X1441="En retard",p_today-R1441,IF(AND(X1441="Reçu",ISNUMBER(R1441)),MAX(0,N(U1441)-R1441),""))</f>
        <v/>
      </c>
      <c r="Z1441" s="67" t="str">
        <f>IF(AND(A1441="",E1441=""),"",IF(A1441="","N° de bon manquant",IF(N(B1441)=0,"Date de commande manquante",IF(C1441="","Fournisseur manquant",IF(ISNA(MATCH($C1441,sup_code,0)),"Fournisseur inconnu",IF(E1441="","Article manquant",IF(ISNA(MATCH($E1441,art_ref,0)),"Article inconnu",IF(N(H1441)&lt;=0,"Quantité invalide",IF(J1441="","Prix manquant",IF(OR(N(K1441)&lt;0,N(K1441)&gt;=1),"Remise invalide",IF(M1441="","TVA manquante",IF(ISNA(MATCH(M1441,p_tva,0)),"Taux de TVA inconnu",IF(COUNTIFS(po_num,A1441,po_sup,"&lt;&gt;"&amp;C1441)&gt;0,"Fournisseur différent sur ce bon",IF(COUNTIFS(po_num,A1441,po_date,"&lt;&gt;"&amp;B1441)&gt;0,"Date différente sur ce bon",IF(COUNTIF(po_num,A1441)&gt;25,"Plus de 25 lignes sur ce bon",IF(R1441="","Date de livraison manquante",IF(R1441&lt;B1441,"Livraison avant la commande",IF(AND(N(T1441)&gt;0,N(S1441)=0),"Date d'envoi manquante",IF(N(T1441)&gt;N(H1441),"Reçu plus que commandé",IF(AND(N(T1441)&gt;0,N(U1441)=0),"Date de réception manquante",IF(AND(N(U1441)&gt;0,U1441&lt;B1441),"Réception avant la commande","OK")))))))))))))))))))))</f>
        <v/>
      </c>
      <c r="AA1441" s="66" t="str">
        <f>IF(AND(X1441="Reçu",ISNUMBER(R1441)),IF(N(U1441)&lt;=R1441,1,0),"")</f>
        <v/>
      </c>
      <c r="AB1441" s="76" t="str">
        <f>IF(OR(X1441="Envoyé",X1441="Partiel",X1441="En retard"),IF(ISNUMBER(R1441),R1441,100000)+ROW()/100000,"")</f>
        <v/>
      </c>
      <c r="AC1441" s="66" t="str">
        <f>IF(A1441="","",IF(COUNTIF($A$6:A1441,A1441)=1,1,""))</f>
        <v/>
      </c>
      <c r="AD1441" s="66" t="str">
        <f>IF(AC1441=1,COUNT($AC$6:AC1441),"")</f>
        <v/>
      </c>
      <c r="AE1441" s="66" t="str">
        <f>IFERROR(INDEX(po_num,MATCH(1436,po_seq,0))&amp;"","")</f>
        <v/>
      </c>
      <c r="AF1441" s="66" t="str">
        <f>IF(OR(A1441="",p_po=""),"",IF(A1441&amp;""=p_po,COUNTIF($A$6:A1441,A1441),""))</f>
        <v/>
      </c>
      <c r="AG1441" s="66" t="str">
        <f>IF(OR(AB1441="",A1441=""),"",IF(COUNTIFS($A$6:A1441,A1441,$AB$6:AB1441,"&gt;0")=1,1,""))</f>
        <v/>
      </c>
      <c r="AH1441" s="70" t="str">
        <f>IF(AB1441="","",ROUND(N(W1441)*N(J1441)*(1-N(K1441)),2))</f>
        <v/>
      </c>
      <c r="AI1441" s="70" t="str">
        <f>IF(OR(J1441="",N(T1441)&lt;=0,V1441="Oui"),"",ROUND(N(T1441)*J1441*(1-N(K1441)),2))</f>
        <v/>
      </c>
    </row>
    <row r="1442">
      <c r="A1442" s="63" t="n"/>
      <c r="B1442" s="64" t="n"/>
      <c r="C1442" s="65" t="n"/>
      <c r="D1442" s="66" t="str">
        <f>IF(C1442="","",IFERROR(INDEX(sup_name,MATCH($C1442,sup_code,0))&amp;"","Fournisseur inconnu"))</f>
        <v/>
      </c>
      <c r="E1442" s="63" t="n"/>
      <c r="F1442" s="66" t="str">
        <f>IF(E1442="","",IFERROR(INDEX(art_des,MATCH($E1442,art_ref,0))&amp;"","Article inconnu"))</f>
        <v/>
      </c>
      <c r="G1442" s="67" t="str">
        <f>IF(E1442="","",IFERROR(INDEX(art_unit,MATCH($E1442,art_ref,0))&amp;"",""))</f>
        <v/>
      </c>
      <c r="H1442" s="68" t="n"/>
      <c r="I1442" s="69" t="n"/>
      <c r="J1442" s="70" t="str">
        <f>IF(E1442="","",IF(ISNUMBER(I1442),I1442,IFERROR(IF(ISNUMBER(INDEX(art_price,MATCH($E1442,art_ref,0))),INDEX(art_price,MATCH($E1442,art_ref,0)),""),"")))</f>
        <v/>
      </c>
      <c r="K1442" s="71" t="n"/>
      <c r="L1442" s="72" t="n"/>
      <c r="M1442" s="72" t="str">
        <f>IF(E1442="","",IF(L1442&lt;&gt;"",L1442,IFERROR(IF(ISNUMBER(INDEX(art_tva,MATCH($E1442,art_ref,0))),INDEX(art_tva,MATCH($E1442,art_ref,0)),""),"")))</f>
        <v/>
      </c>
      <c r="N1442" s="70" t="str">
        <f>IF(OR(E1442="",J1442=""),"",ROUND(N(H1442)*J1442*(1-N(K1442)),2))</f>
        <v/>
      </c>
      <c r="O1442" s="70" t="str">
        <f>IF(OR(N1442="",NOT(ISNUMBER(M1442))),"",ROUND(N1442*M1442,2))</f>
        <v/>
      </c>
      <c r="P1442" s="70" t="str">
        <f>IF(N1442="","",N1442+N(O1442))</f>
        <v/>
      </c>
      <c r="Q1442" s="64" t="n"/>
      <c r="R1442" s="73" t="str">
        <f>IF(N(Q1442)&gt;0,Q1442,IF(OR(N(B1442)=0,ISNA(MATCH($C1442,sup_code,0))),"",IF(ISNUMBER(INDEX(sup_delay,MATCH($C1442,sup_code,0))),B1442+INDEX(sup_delay,MATCH($C1442,sup_code,0)),"")))</f>
        <v/>
      </c>
      <c r="S1442" s="64" t="n"/>
      <c r="T1442" s="68" t="n"/>
      <c r="U1442" s="64" t="n"/>
      <c r="V1442" s="65" t="n"/>
      <c r="W1442" s="74" t="str">
        <f>IF(AND(A1442="",E1442=""),"",IF(V1442="Oui",0,MAX(0,ROUND(N(H1442)-N(T1442),6))))</f>
        <v/>
      </c>
      <c r="X1442" s="67" t="str">
        <f>IF(AND(A1442="",E1442=""),"",IF(V1442="Oui","Annulé",IF(AND(N(H1442)&gt;0,N(T1442)&gt;=N(H1442)),"Reçu",IF(N(S1442)=0,"Brouillon",IF(AND(ISNUMBER(R1442),R1442&lt;p_today),"En retard",IF(N(T1442)&gt;0,"Partiel","Envoyé"))))))</f>
        <v/>
      </c>
      <c r="Y1442" s="75" t="str">
        <f>IF(X1442="En retard",p_today-R1442,IF(AND(X1442="Reçu",ISNUMBER(R1442)),MAX(0,N(U1442)-R1442),""))</f>
        <v/>
      </c>
      <c r="Z1442" s="67" t="str">
        <f>IF(AND(A1442="",E1442=""),"",IF(A1442="","N° de bon manquant",IF(N(B1442)=0,"Date de commande manquante",IF(C1442="","Fournisseur manquant",IF(ISNA(MATCH($C1442,sup_code,0)),"Fournisseur inconnu",IF(E1442="","Article manquant",IF(ISNA(MATCH($E1442,art_ref,0)),"Article inconnu",IF(N(H1442)&lt;=0,"Quantité invalide",IF(J1442="","Prix manquant",IF(OR(N(K1442)&lt;0,N(K1442)&gt;=1),"Remise invalide",IF(M1442="","TVA manquante",IF(ISNA(MATCH(M1442,p_tva,0)),"Taux de TVA inconnu",IF(COUNTIFS(po_num,A1442,po_sup,"&lt;&gt;"&amp;C1442)&gt;0,"Fournisseur différent sur ce bon",IF(COUNTIFS(po_num,A1442,po_date,"&lt;&gt;"&amp;B1442)&gt;0,"Date différente sur ce bon",IF(COUNTIF(po_num,A1442)&gt;25,"Plus de 25 lignes sur ce bon",IF(R1442="","Date de livraison manquante",IF(R1442&lt;B1442,"Livraison avant la commande",IF(AND(N(T1442)&gt;0,N(S1442)=0),"Date d'envoi manquante",IF(N(T1442)&gt;N(H1442),"Reçu plus que commandé",IF(AND(N(T1442)&gt;0,N(U1442)=0),"Date de réception manquante",IF(AND(N(U1442)&gt;0,U1442&lt;B1442),"Réception avant la commande","OK")))))))))))))))))))))</f>
        <v/>
      </c>
      <c r="AA1442" s="66" t="str">
        <f>IF(AND(X1442="Reçu",ISNUMBER(R1442)),IF(N(U1442)&lt;=R1442,1,0),"")</f>
        <v/>
      </c>
      <c r="AB1442" s="76" t="str">
        <f>IF(OR(X1442="Envoyé",X1442="Partiel",X1442="En retard"),IF(ISNUMBER(R1442),R1442,100000)+ROW()/100000,"")</f>
        <v/>
      </c>
      <c r="AC1442" s="66" t="str">
        <f>IF(A1442="","",IF(COUNTIF($A$6:A1442,A1442)=1,1,""))</f>
        <v/>
      </c>
      <c r="AD1442" s="66" t="str">
        <f>IF(AC1442=1,COUNT($AC$6:AC1442),"")</f>
        <v/>
      </c>
      <c r="AE1442" s="66" t="str">
        <f>IFERROR(INDEX(po_num,MATCH(1437,po_seq,0))&amp;"","")</f>
        <v/>
      </c>
      <c r="AF1442" s="66" t="str">
        <f>IF(OR(A1442="",p_po=""),"",IF(A1442&amp;""=p_po,COUNTIF($A$6:A1442,A1442),""))</f>
        <v/>
      </c>
      <c r="AG1442" s="66" t="str">
        <f>IF(OR(AB1442="",A1442=""),"",IF(COUNTIFS($A$6:A1442,A1442,$AB$6:AB1442,"&gt;0")=1,1,""))</f>
        <v/>
      </c>
      <c r="AH1442" s="70" t="str">
        <f>IF(AB1442="","",ROUND(N(W1442)*N(J1442)*(1-N(K1442)),2))</f>
        <v/>
      </c>
      <c r="AI1442" s="70" t="str">
        <f>IF(OR(J1442="",N(T1442)&lt;=0,V1442="Oui"),"",ROUND(N(T1442)*J1442*(1-N(K1442)),2))</f>
        <v/>
      </c>
    </row>
    <row r="1443">
      <c r="A1443" s="63" t="n"/>
      <c r="B1443" s="64" t="n"/>
      <c r="C1443" s="65" t="n"/>
      <c r="D1443" s="66" t="str">
        <f>IF(C1443="","",IFERROR(INDEX(sup_name,MATCH($C1443,sup_code,0))&amp;"","Fournisseur inconnu"))</f>
        <v/>
      </c>
      <c r="E1443" s="63" t="n"/>
      <c r="F1443" s="66" t="str">
        <f>IF(E1443="","",IFERROR(INDEX(art_des,MATCH($E1443,art_ref,0))&amp;"","Article inconnu"))</f>
        <v/>
      </c>
      <c r="G1443" s="67" t="str">
        <f>IF(E1443="","",IFERROR(INDEX(art_unit,MATCH($E1443,art_ref,0))&amp;"",""))</f>
        <v/>
      </c>
      <c r="H1443" s="68" t="n"/>
      <c r="I1443" s="69" t="n"/>
      <c r="J1443" s="70" t="str">
        <f>IF(E1443="","",IF(ISNUMBER(I1443),I1443,IFERROR(IF(ISNUMBER(INDEX(art_price,MATCH($E1443,art_ref,0))),INDEX(art_price,MATCH($E1443,art_ref,0)),""),"")))</f>
        <v/>
      </c>
      <c r="K1443" s="71" t="n"/>
      <c r="L1443" s="72" t="n"/>
      <c r="M1443" s="72" t="str">
        <f>IF(E1443="","",IF(L1443&lt;&gt;"",L1443,IFERROR(IF(ISNUMBER(INDEX(art_tva,MATCH($E1443,art_ref,0))),INDEX(art_tva,MATCH($E1443,art_ref,0)),""),"")))</f>
        <v/>
      </c>
      <c r="N1443" s="70" t="str">
        <f>IF(OR(E1443="",J1443=""),"",ROUND(N(H1443)*J1443*(1-N(K1443)),2))</f>
        <v/>
      </c>
      <c r="O1443" s="70" t="str">
        <f>IF(OR(N1443="",NOT(ISNUMBER(M1443))),"",ROUND(N1443*M1443,2))</f>
        <v/>
      </c>
      <c r="P1443" s="70" t="str">
        <f>IF(N1443="","",N1443+N(O1443))</f>
        <v/>
      </c>
      <c r="Q1443" s="64" t="n"/>
      <c r="R1443" s="73" t="str">
        <f>IF(N(Q1443)&gt;0,Q1443,IF(OR(N(B1443)=0,ISNA(MATCH($C1443,sup_code,0))),"",IF(ISNUMBER(INDEX(sup_delay,MATCH($C1443,sup_code,0))),B1443+INDEX(sup_delay,MATCH($C1443,sup_code,0)),"")))</f>
        <v/>
      </c>
      <c r="S1443" s="64" t="n"/>
      <c r="T1443" s="68" t="n"/>
      <c r="U1443" s="64" t="n"/>
      <c r="V1443" s="65" t="n"/>
      <c r="W1443" s="74" t="str">
        <f>IF(AND(A1443="",E1443=""),"",IF(V1443="Oui",0,MAX(0,ROUND(N(H1443)-N(T1443),6))))</f>
        <v/>
      </c>
      <c r="X1443" s="67" t="str">
        <f>IF(AND(A1443="",E1443=""),"",IF(V1443="Oui","Annulé",IF(AND(N(H1443)&gt;0,N(T1443)&gt;=N(H1443)),"Reçu",IF(N(S1443)=0,"Brouillon",IF(AND(ISNUMBER(R1443),R1443&lt;p_today),"En retard",IF(N(T1443)&gt;0,"Partiel","Envoyé"))))))</f>
        <v/>
      </c>
      <c r="Y1443" s="75" t="str">
        <f>IF(X1443="En retard",p_today-R1443,IF(AND(X1443="Reçu",ISNUMBER(R1443)),MAX(0,N(U1443)-R1443),""))</f>
        <v/>
      </c>
      <c r="Z1443" s="67" t="str">
        <f>IF(AND(A1443="",E1443=""),"",IF(A1443="","N° de bon manquant",IF(N(B1443)=0,"Date de commande manquante",IF(C1443="","Fournisseur manquant",IF(ISNA(MATCH($C1443,sup_code,0)),"Fournisseur inconnu",IF(E1443="","Article manquant",IF(ISNA(MATCH($E1443,art_ref,0)),"Article inconnu",IF(N(H1443)&lt;=0,"Quantité invalide",IF(J1443="","Prix manquant",IF(OR(N(K1443)&lt;0,N(K1443)&gt;=1),"Remise invalide",IF(M1443="","TVA manquante",IF(ISNA(MATCH(M1443,p_tva,0)),"Taux de TVA inconnu",IF(COUNTIFS(po_num,A1443,po_sup,"&lt;&gt;"&amp;C1443)&gt;0,"Fournisseur différent sur ce bon",IF(COUNTIFS(po_num,A1443,po_date,"&lt;&gt;"&amp;B1443)&gt;0,"Date différente sur ce bon",IF(COUNTIF(po_num,A1443)&gt;25,"Plus de 25 lignes sur ce bon",IF(R1443="","Date de livraison manquante",IF(R1443&lt;B1443,"Livraison avant la commande",IF(AND(N(T1443)&gt;0,N(S1443)=0),"Date d'envoi manquante",IF(N(T1443)&gt;N(H1443),"Reçu plus que commandé",IF(AND(N(T1443)&gt;0,N(U1443)=0),"Date de réception manquante",IF(AND(N(U1443)&gt;0,U1443&lt;B1443),"Réception avant la commande","OK")))))))))))))))))))))</f>
        <v/>
      </c>
      <c r="AA1443" s="66" t="str">
        <f>IF(AND(X1443="Reçu",ISNUMBER(R1443)),IF(N(U1443)&lt;=R1443,1,0),"")</f>
        <v/>
      </c>
      <c r="AB1443" s="76" t="str">
        <f>IF(OR(X1443="Envoyé",X1443="Partiel",X1443="En retard"),IF(ISNUMBER(R1443),R1443,100000)+ROW()/100000,"")</f>
        <v/>
      </c>
      <c r="AC1443" s="66" t="str">
        <f>IF(A1443="","",IF(COUNTIF($A$6:A1443,A1443)=1,1,""))</f>
        <v/>
      </c>
      <c r="AD1443" s="66" t="str">
        <f>IF(AC1443=1,COUNT($AC$6:AC1443),"")</f>
        <v/>
      </c>
      <c r="AE1443" s="66" t="str">
        <f>IFERROR(INDEX(po_num,MATCH(1438,po_seq,0))&amp;"","")</f>
        <v/>
      </c>
      <c r="AF1443" s="66" t="str">
        <f>IF(OR(A1443="",p_po=""),"",IF(A1443&amp;""=p_po,COUNTIF($A$6:A1443,A1443),""))</f>
        <v/>
      </c>
      <c r="AG1443" s="66" t="str">
        <f>IF(OR(AB1443="",A1443=""),"",IF(COUNTIFS($A$6:A1443,A1443,$AB$6:AB1443,"&gt;0")=1,1,""))</f>
        <v/>
      </c>
      <c r="AH1443" s="70" t="str">
        <f>IF(AB1443="","",ROUND(N(W1443)*N(J1443)*(1-N(K1443)),2))</f>
        <v/>
      </c>
      <c r="AI1443" s="70" t="str">
        <f>IF(OR(J1443="",N(T1443)&lt;=0,V1443="Oui"),"",ROUND(N(T1443)*J1443*(1-N(K1443)),2))</f>
        <v/>
      </c>
    </row>
    <row r="1444">
      <c r="A1444" s="63" t="n"/>
      <c r="B1444" s="64" t="n"/>
      <c r="C1444" s="65" t="n"/>
      <c r="D1444" s="66" t="str">
        <f>IF(C1444="","",IFERROR(INDEX(sup_name,MATCH($C1444,sup_code,0))&amp;"","Fournisseur inconnu"))</f>
        <v/>
      </c>
      <c r="E1444" s="63" t="n"/>
      <c r="F1444" s="66" t="str">
        <f>IF(E1444="","",IFERROR(INDEX(art_des,MATCH($E1444,art_ref,0))&amp;"","Article inconnu"))</f>
        <v/>
      </c>
      <c r="G1444" s="67" t="str">
        <f>IF(E1444="","",IFERROR(INDEX(art_unit,MATCH($E1444,art_ref,0))&amp;"",""))</f>
        <v/>
      </c>
      <c r="H1444" s="68" t="n"/>
      <c r="I1444" s="69" t="n"/>
      <c r="J1444" s="70" t="str">
        <f>IF(E1444="","",IF(ISNUMBER(I1444),I1444,IFERROR(IF(ISNUMBER(INDEX(art_price,MATCH($E1444,art_ref,0))),INDEX(art_price,MATCH($E1444,art_ref,0)),""),"")))</f>
        <v/>
      </c>
      <c r="K1444" s="71" t="n"/>
      <c r="L1444" s="72" t="n"/>
      <c r="M1444" s="72" t="str">
        <f>IF(E1444="","",IF(L1444&lt;&gt;"",L1444,IFERROR(IF(ISNUMBER(INDEX(art_tva,MATCH($E1444,art_ref,0))),INDEX(art_tva,MATCH($E1444,art_ref,0)),""),"")))</f>
        <v/>
      </c>
      <c r="N1444" s="70" t="str">
        <f>IF(OR(E1444="",J1444=""),"",ROUND(N(H1444)*J1444*(1-N(K1444)),2))</f>
        <v/>
      </c>
      <c r="O1444" s="70" t="str">
        <f>IF(OR(N1444="",NOT(ISNUMBER(M1444))),"",ROUND(N1444*M1444,2))</f>
        <v/>
      </c>
      <c r="P1444" s="70" t="str">
        <f>IF(N1444="","",N1444+N(O1444))</f>
        <v/>
      </c>
      <c r="Q1444" s="64" t="n"/>
      <c r="R1444" s="73" t="str">
        <f>IF(N(Q1444)&gt;0,Q1444,IF(OR(N(B1444)=0,ISNA(MATCH($C1444,sup_code,0))),"",IF(ISNUMBER(INDEX(sup_delay,MATCH($C1444,sup_code,0))),B1444+INDEX(sup_delay,MATCH($C1444,sup_code,0)),"")))</f>
        <v/>
      </c>
      <c r="S1444" s="64" t="n"/>
      <c r="T1444" s="68" t="n"/>
      <c r="U1444" s="64" t="n"/>
      <c r="V1444" s="65" t="n"/>
      <c r="W1444" s="74" t="str">
        <f>IF(AND(A1444="",E1444=""),"",IF(V1444="Oui",0,MAX(0,ROUND(N(H1444)-N(T1444),6))))</f>
        <v/>
      </c>
      <c r="X1444" s="67" t="str">
        <f>IF(AND(A1444="",E1444=""),"",IF(V1444="Oui","Annulé",IF(AND(N(H1444)&gt;0,N(T1444)&gt;=N(H1444)),"Reçu",IF(N(S1444)=0,"Brouillon",IF(AND(ISNUMBER(R1444),R1444&lt;p_today),"En retard",IF(N(T1444)&gt;0,"Partiel","Envoyé"))))))</f>
        <v/>
      </c>
      <c r="Y1444" s="75" t="str">
        <f>IF(X1444="En retard",p_today-R1444,IF(AND(X1444="Reçu",ISNUMBER(R1444)),MAX(0,N(U1444)-R1444),""))</f>
        <v/>
      </c>
      <c r="Z1444" s="67" t="str">
        <f>IF(AND(A1444="",E1444=""),"",IF(A1444="","N° de bon manquant",IF(N(B1444)=0,"Date de commande manquante",IF(C1444="","Fournisseur manquant",IF(ISNA(MATCH($C1444,sup_code,0)),"Fournisseur inconnu",IF(E1444="","Article manquant",IF(ISNA(MATCH($E1444,art_ref,0)),"Article inconnu",IF(N(H1444)&lt;=0,"Quantité invalide",IF(J1444="","Prix manquant",IF(OR(N(K1444)&lt;0,N(K1444)&gt;=1),"Remise invalide",IF(M1444="","TVA manquante",IF(ISNA(MATCH(M1444,p_tva,0)),"Taux de TVA inconnu",IF(COUNTIFS(po_num,A1444,po_sup,"&lt;&gt;"&amp;C1444)&gt;0,"Fournisseur différent sur ce bon",IF(COUNTIFS(po_num,A1444,po_date,"&lt;&gt;"&amp;B1444)&gt;0,"Date différente sur ce bon",IF(COUNTIF(po_num,A1444)&gt;25,"Plus de 25 lignes sur ce bon",IF(R1444="","Date de livraison manquante",IF(R1444&lt;B1444,"Livraison avant la commande",IF(AND(N(T1444)&gt;0,N(S1444)=0),"Date d'envoi manquante",IF(N(T1444)&gt;N(H1444),"Reçu plus que commandé",IF(AND(N(T1444)&gt;0,N(U1444)=0),"Date de réception manquante",IF(AND(N(U1444)&gt;0,U1444&lt;B1444),"Réception avant la commande","OK")))))))))))))))))))))</f>
        <v/>
      </c>
      <c r="AA1444" s="66" t="str">
        <f>IF(AND(X1444="Reçu",ISNUMBER(R1444)),IF(N(U1444)&lt;=R1444,1,0),"")</f>
        <v/>
      </c>
      <c r="AB1444" s="76" t="str">
        <f>IF(OR(X1444="Envoyé",X1444="Partiel",X1444="En retard"),IF(ISNUMBER(R1444),R1444,100000)+ROW()/100000,"")</f>
        <v/>
      </c>
      <c r="AC1444" s="66" t="str">
        <f>IF(A1444="","",IF(COUNTIF($A$6:A1444,A1444)=1,1,""))</f>
        <v/>
      </c>
      <c r="AD1444" s="66" t="str">
        <f>IF(AC1444=1,COUNT($AC$6:AC1444),"")</f>
        <v/>
      </c>
      <c r="AE1444" s="66" t="str">
        <f>IFERROR(INDEX(po_num,MATCH(1439,po_seq,0))&amp;"","")</f>
        <v/>
      </c>
      <c r="AF1444" s="66" t="str">
        <f>IF(OR(A1444="",p_po=""),"",IF(A1444&amp;""=p_po,COUNTIF($A$6:A1444,A1444),""))</f>
        <v/>
      </c>
      <c r="AG1444" s="66" t="str">
        <f>IF(OR(AB1444="",A1444=""),"",IF(COUNTIFS($A$6:A1444,A1444,$AB$6:AB1444,"&gt;0")=1,1,""))</f>
        <v/>
      </c>
      <c r="AH1444" s="70" t="str">
        <f>IF(AB1444="","",ROUND(N(W1444)*N(J1444)*(1-N(K1444)),2))</f>
        <v/>
      </c>
      <c r="AI1444" s="70" t="str">
        <f>IF(OR(J1444="",N(T1444)&lt;=0,V1444="Oui"),"",ROUND(N(T1444)*J1444*(1-N(K1444)),2))</f>
        <v/>
      </c>
    </row>
    <row r="1445">
      <c r="A1445" s="63" t="n"/>
      <c r="B1445" s="64" t="n"/>
      <c r="C1445" s="65" t="n"/>
      <c r="D1445" s="66" t="str">
        <f>IF(C1445="","",IFERROR(INDEX(sup_name,MATCH($C1445,sup_code,0))&amp;"","Fournisseur inconnu"))</f>
        <v/>
      </c>
      <c r="E1445" s="63" t="n"/>
      <c r="F1445" s="66" t="str">
        <f>IF(E1445="","",IFERROR(INDEX(art_des,MATCH($E1445,art_ref,0))&amp;"","Article inconnu"))</f>
        <v/>
      </c>
      <c r="G1445" s="67" t="str">
        <f>IF(E1445="","",IFERROR(INDEX(art_unit,MATCH($E1445,art_ref,0))&amp;"",""))</f>
        <v/>
      </c>
      <c r="H1445" s="68" t="n"/>
      <c r="I1445" s="69" t="n"/>
      <c r="J1445" s="70" t="str">
        <f>IF(E1445="","",IF(ISNUMBER(I1445),I1445,IFERROR(IF(ISNUMBER(INDEX(art_price,MATCH($E1445,art_ref,0))),INDEX(art_price,MATCH($E1445,art_ref,0)),""),"")))</f>
        <v/>
      </c>
      <c r="K1445" s="71" t="n"/>
      <c r="L1445" s="72" t="n"/>
      <c r="M1445" s="72" t="str">
        <f>IF(E1445="","",IF(L1445&lt;&gt;"",L1445,IFERROR(IF(ISNUMBER(INDEX(art_tva,MATCH($E1445,art_ref,0))),INDEX(art_tva,MATCH($E1445,art_ref,0)),""),"")))</f>
        <v/>
      </c>
      <c r="N1445" s="70" t="str">
        <f>IF(OR(E1445="",J1445=""),"",ROUND(N(H1445)*J1445*(1-N(K1445)),2))</f>
        <v/>
      </c>
      <c r="O1445" s="70" t="str">
        <f>IF(OR(N1445="",NOT(ISNUMBER(M1445))),"",ROUND(N1445*M1445,2))</f>
        <v/>
      </c>
      <c r="P1445" s="70" t="str">
        <f>IF(N1445="","",N1445+N(O1445))</f>
        <v/>
      </c>
      <c r="Q1445" s="64" t="n"/>
      <c r="R1445" s="73" t="str">
        <f>IF(N(Q1445)&gt;0,Q1445,IF(OR(N(B1445)=0,ISNA(MATCH($C1445,sup_code,0))),"",IF(ISNUMBER(INDEX(sup_delay,MATCH($C1445,sup_code,0))),B1445+INDEX(sup_delay,MATCH($C1445,sup_code,0)),"")))</f>
        <v/>
      </c>
      <c r="S1445" s="64" t="n"/>
      <c r="T1445" s="68" t="n"/>
      <c r="U1445" s="64" t="n"/>
      <c r="V1445" s="65" t="n"/>
      <c r="W1445" s="74" t="str">
        <f>IF(AND(A1445="",E1445=""),"",IF(V1445="Oui",0,MAX(0,ROUND(N(H1445)-N(T1445),6))))</f>
        <v/>
      </c>
      <c r="X1445" s="67" t="str">
        <f>IF(AND(A1445="",E1445=""),"",IF(V1445="Oui","Annulé",IF(AND(N(H1445)&gt;0,N(T1445)&gt;=N(H1445)),"Reçu",IF(N(S1445)=0,"Brouillon",IF(AND(ISNUMBER(R1445),R1445&lt;p_today),"En retard",IF(N(T1445)&gt;0,"Partiel","Envoyé"))))))</f>
        <v/>
      </c>
      <c r="Y1445" s="75" t="str">
        <f>IF(X1445="En retard",p_today-R1445,IF(AND(X1445="Reçu",ISNUMBER(R1445)),MAX(0,N(U1445)-R1445),""))</f>
        <v/>
      </c>
      <c r="Z1445" s="67" t="str">
        <f>IF(AND(A1445="",E1445=""),"",IF(A1445="","N° de bon manquant",IF(N(B1445)=0,"Date de commande manquante",IF(C1445="","Fournisseur manquant",IF(ISNA(MATCH($C1445,sup_code,0)),"Fournisseur inconnu",IF(E1445="","Article manquant",IF(ISNA(MATCH($E1445,art_ref,0)),"Article inconnu",IF(N(H1445)&lt;=0,"Quantité invalide",IF(J1445="","Prix manquant",IF(OR(N(K1445)&lt;0,N(K1445)&gt;=1),"Remise invalide",IF(M1445="","TVA manquante",IF(ISNA(MATCH(M1445,p_tva,0)),"Taux de TVA inconnu",IF(COUNTIFS(po_num,A1445,po_sup,"&lt;&gt;"&amp;C1445)&gt;0,"Fournisseur différent sur ce bon",IF(COUNTIFS(po_num,A1445,po_date,"&lt;&gt;"&amp;B1445)&gt;0,"Date différente sur ce bon",IF(COUNTIF(po_num,A1445)&gt;25,"Plus de 25 lignes sur ce bon",IF(R1445="","Date de livraison manquante",IF(R1445&lt;B1445,"Livraison avant la commande",IF(AND(N(T1445)&gt;0,N(S1445)=0),"Date d'envoi manquante",IF(N(T1445)&gt;N(H1445),"Reçu plus que commandé",IF(AND(N(T1445)&gt;0,N(U1445)=0),"Date de réception manquante",IF(AND(N(U1445)&gt;0,U1445&lt;B1445),"Réception avant la commande","OK")))))))))))))))))))))</f>
        <v/>
      </c>
      <c r="AA1445" s="66" t="str">
        <f>IF(AND(X1445="Reçu",ISNUMBER(R1445)),IF(N(U1445)&lt;=R1445,1,0),"")</f>
        <v/>
      </c>
      <c r="AB1445" s="76" t="str">
        <f>IF(OR(X1445="Envoyé",X1445="Partiel",X1445="En retard"),IF(ISNUMBER(R1445),R1445,100000)+ROW()/100000,"")</f>
        <v/>
      </c>
      <c r="AC1445" s="66" t="str">
        <f>IF(A1445="","",IF(COUNTIF($A$6:A1445,A1445)=1,1,""))</f>
        <v/>
      </c>
      <c r="AD1445" s="66" t="str">
        <f>IF(AC1445=1,COUNT($AC$6:AC1445),"")</f>
        <v/>
      </c>
      <c r="AE1445" s="66" t="str">
        <f>IFERROR(INDEX(po_num,MATCH(1440,po_seq,0))&amp;"","")</f>
        <v/>
      </c>
      <c r="AF1445" s="66" t="str">
        <f>IF(OR(A1445="",p_po=""),"",IF(A1445&amp;""=p_po,COUNTIF($A$6:A1445,A1445),""))</f>
        <v/>
      </c>
      <c r="AG1445" s="66" t="str">
        <f>IF(OR(AB1445="",A1445=""),"",IF(COUNTIFS($A$6:A1445,A1445,$AB$6:AB1445,"&gt;0")=1,1,""))</f>
        <v/>
      </c>
      <c r="AH1445" s="70" t="str">
        <f>IF(AB1445="","",ROUND(N(W1445)*N(J1445)*(1-N(K1445)),2))</f>
        <v/>
      </c>
      <c r="AI1445" s="70" t="str">
        <f>IF(OR(J1445="",N(T1445)&lt;=0,V1445="Oui"),"",ROUND(N(T1445)*J1445*(1-N(K1445)),2))</f>
        <v/>
      </c>
    </row>
    <row r="1446">
      <c r="A1446" s="63" t="n"/>
      <c r="B1446" s="64" t="n"/>
      <c r="C1446" s="65" t="n"/>
      <c r="D1446" s="66" t="str">
        <f>IF(C1446="","",IFERROR(INDEX(sup_name,MATCH($C1446,sup_code,0))&amp;"","Fournisseur inconnu"))</f>
        <v/>
      </c>
      <c r="E1446" s="63" t="n"/>
      <c r="F1446" s="66" t="str">
        <f>IF(E1446="","",IFERROR(INDEX(art_des,MATCH($E1446,art_ref,0))&amp;"","Article inconnu"))</f>
        <v/>
      </c>
      <c r="G1446" s="67" t="str">
        <f>IF(E1446="","",IFERROR(INDEX(art_unit,MATCH($E1446,art_ref,0))&amp;"",""))</f>
        <v/>
      </c>
      <c r="H1446" s="68" t="n"/>
      <c r="I1446" s="69" t="n"/>
      <c r="J1446" s="70" t="str">
        <f>IF(E1446="","",IF(ISNUMBER(I1446),I1446,IFERROR(IF(ISNUMBER(INDEX(art_price,MATCH($E1446,art_ref,0))),INDEX(art_price,MATCH($E1446,art_ref,0)),""),"")))</f>
        <v/>
      </c>
      <c r="K1446" s="71" t="n"/>
      <c r="L1446" s="72" t="n"/>
      <c r="M1446" s="72" t="str">
        <f>IF(E1446="","",IF(L1446&lt;&gt;"",L1446,IFERROR(IF(ISNUMBER(INDEX(art_tva,MATCH($E1446,art_ref,0))),INDEX(art_tva,MATCH($E1446,art_ref,0)),""),"")))</f>
        <v/>
      </c>
      <c r="N1446" s="70" t="str">
        <f>IF(OR(E1446="",J1446=""),"",ROUND(N(H1446)*J1446*(1-N(K1446)),2))</f>
        <v/>
      </c>
      <c r="O1446" s="70" t="str">
        <f>IF(OR(N1446="",NOT(ISNUMBER(M1446))),"",ROUND(N1446*M1446,2))</f>
        <v/>
      </c>
      <c r="P1446" s="70" t="str">
        <f>IF(N1446="","",N1446+N(O1446))</f>
        <v/>
      </c>
      <c r="Q1446" s="64" t="n"/>
      <c r="R1446" s="73" t="str">
        <f>IF(N(Q1446)&gt;0,Q1446,IF(OR(N(B1446)=0,ISNA(MATCH($C1446,sup_code,0))),"",IF(ISNUMBER(INDEX(sup_delay,MATCH($C1446,sup_code,0))),B1446+INDEX(sup_delay,MATCH($C1446,sup_code,0)),"")))</f>
        <v/>
      </c>
      <c r="S1446" s="64" t="n"/>
      <c r="T1446" s="68" t="n"/>
      <c r="U1446" s="64" t="n"/>
      <c r="V1446" s="65" t="n"/>
      <c r="W1446" s="74" t="str">
        <f>IF(AND(A1446="",E1446=""),"",IF(V1446="Oui",0,MAX(0,ROUND(N(H1446)-N(T1446),6))))</f>
        <v/>
      </c>
      <c r="X1446" s="67" t="str">
        <f>IF(AND(A1446="",E1446=""),"",IF(V1446="Oui","Annulé",IF(AND(N(H1446)&gt;0,N(T1446)&gt;=N(H1446)),"Reçu",IF(N(S1446)=0,"Brouillon",IF(AND(ISNUMBER(R1446),R1446&lt;p_today),"En retard",IF(N(T1446)&gt;0,"Partiel","Envoyé"))))))</f>
        <v/>
      </c>
      <c r="Y1446" s="75" t="str">
        <f>IF(X1446="En retard",p_today-R1446,IF(AND(X1446="Reçu",ISNUMBER(R1446)),MAX(0,N(U1446)-R1446),""))</f>
        <v/>
      </c>
      <c r="Z1446" s="67" t="str">
        <f>IF(AND(A1446="",E1446=""),"",IF(A1446="","N° de bon manquant",IF(N(B1446)=0,"Date de commande manquante",IF(C1446="","Fournisseur manquant",IF(ISNA(MATCH($C1446,sup_code,0)),"Fournisseur inconnu",IF(E1446="","Article manquant",IF(ISNA(MATCH($E1446,art_ref,0)),"Article inconnu",IF(N(H1446)&lt;=0,"Quantité invalide",IF(J1446="","Prix manquant",IF(OR(N(K1446)&lt;0,N(K1446)&gt;=1),"Remise invalide",IF(M1446="","TVA manquante",IF(ISNA(MATCH(M1446,p_tva,0)),"Taux de TVA inconnu",IF(COUNTIFS(po_num,A1446,po_sup,"&lt;&gt;"&amp;C1446)&gt;0,"Fournisseur différent sur ce bon",IF(COUNTIFS(po_num,A1446,po_date,"&lt;&gt;"&amp;B1446)&gt;0,"Date différente sur ce bon",IF(COUNTIF(po_num,A1446)&gt;25,"Plus de 25 lignes sur ce bon",IF(R1446="","Date de livraison manquante",IF(R1446&lt;B1446,"Livraison avant la commande",IF(AND(N(T1446)&gt;0,N(S1446)=0),"Date d'envoi manquante",IF(N(T1446)&gt;N(H1446),"Reçu plus que commandé",IF(AND(N(T1446)&gt;0,N(U1446)=0),"Date de réception manquante",IF(AND(N(U1446)&gt;0,U1446&lt;B1446),"Réception avant la commande","OK")))))))))))))))))))))</f>
        <v/>
      </c>
      <c r="AA1446" s="66" t="str">
        <f>IF(AND(X1446="Reçu",ISNUMBER(R1446)),IF(N(U1446)&lt;=R1446,1,0),"")</f>
        <v/>
      </c>
      <c r="AB1446" s="76" t="str">
        <f>IF(OR(X1446="Envoyé",X1446="Partiel",X1446="En retard"),IF(ISNUMBER(R1446),R1446,100000)+ROW()/100000,"")</f>
        <v/>
      </c>
      <c r="AC1446" s="66" t="str">
        <f>IF(A1446="","",IF(COUNTIF($A$6:A1446,A1446)=1,1,""))</f>
        <v/>
      </c>
      <c r="AD1446" s="66" t="str">
        <f>IF(AC1446=1,COUNT($AC$6:AC1446),"")</f>
        <v/>
      </c>
      <c r="AE1446" s="66" t="str">
        <f>IFERROR(INDEX(po_num,MATCH(1441,po_seq,0))&amp;"","")</f>
        <v/>
      </c>
      <c r="AF1446" s="66" t="str">
        <f>IF(OR(A1446="",p_po=""),"",IF(A1446&amp;""=p_po,COUNTIF($A$6:A1446,A1446),""))</f>
        <v/>
      </c>
      <c r="AG1446" s="66" t="str">
        <f>IF(OR(AB1446="",A1446=""),"",IF(COUNTIFS($A$6:A1446,A1446,$AB$6:AB1446,"&gt;0")=1,1,""))</f>
        <v/>
      </c>
      <c r="AH1446" s="70" t="str">
        <f>IF(AB1446="","",ROUND(N(W1446)*N(J1446)*(1-N(K1446)),2))</f>
        <v/>
      </c>
      <c r="AI1446" s="70" t="str">
        <f>IF(OR(J1446="",N(T1446)&lt;=0,V1446="Oui"),"",ROUND(N(T1446)*J1446*(1-N(K1446)),2))</f>
        <v/>
      </c>
    </row>
    <row r="1447">
      <c r="A1447" s="63" t="n"/>
      <c r="B1447" s="64" t="n"/>
      <c r="C1447" s="65" t="n"/>
      <c r="D1447" s="66" t="str">
        <f>IF(C1447="","",IFERROR(INDEX(sup_name,MATCH($C1447,sup_code,0))&amp;"","Fournisseur inconnu"))</f>
        <v/>
      </c>
      <c r="E1447" s="63" t="n"/>
      <c r="F1447" s="66" t="str">
        <f>IF(E1447="","",IFERROR(INDEX(art_des,MATCH($E1447,art_ref,0))&amp;"","Article inconnu"))</f>
        <v/>
      </c>
      <c r="G1447" s="67" t="str">
        <f>IF(E1447="","",IFERROR(INDEX(art_unit,MATCH($E1447,art_ref,0))&amp;"",""))</f>
        <v/>
      </c>
      <c r="H1447" s="68" t="n"/>
      <c r="I1447" s="69" t="n"/>
      <c r="J1447" s="70" t="str">
        <f>IF(E1447="","",IF(ISNUMBER(I1447),I1447,IFERROR(IF(ISNUMBER(INDEX(art_price,MATCH($E1447,art_ref,0))),INDEX(art_price,MATCH($E1447,art_ref,0)),""),"")))</f>
        <v/>
      </c>
      <c r="K1447" s="71" t="n"/>
      <c r="L1447" s="72" t="n"/>
      <c r="M1447" s="72" t="str">
        <f>IF(E1447="","",IF(L1447&lt;&gt;"",L1447,IFERROR(IF(ISNUMBER(INDEX(art_tva,MATCH($E1447,art_ref,0))),INDEX(art_tva,MATCH($E1447,art_ref,0)),""),"")))</f>
        <v/>
      </c>
      <c r="N1447" s="70" t="str">
        <f>IF(OR(E1447="",J1447=""),"",ROUND(N(H1447)*J1447*(1-N(K1447)),2))</f>
        <v/>
      </c>
      <c r="O1447" s="70" t="str">
        <f>IF(OR(N1447="",NOT(ISNUMBER(M1447))),"",ROUND(N1447*M1447,2))</f>
        <v/>
      </c>
      <c r="P1447" s="70" t="str">
        <f>IF(N1447="","",N1447+N(O1447))</f>
        <v/>
      </c>
      <c r="Q1447" s="64" t="n"/>
      <c r="R1447" s="73" t="str">
        <f>IF(N(Q1447)&gt;0,Q1447,IF(OR(N(B1447)=0,ISNA(MATCH($C1447,sup_code,0))),"",IF(ISNUMBER(INDEX(sup_delay,MATCH($C1447,sup_code,0))),B1447+INDEX(sup_delay,MATCH($C1447,sup_code,0)),"")))</f>
        <v/>
      </c>
      <c r="S1447" s="64" t="n"/>
      <c r="T1447" s="68" t="n"/>
      <c r="U1447" s="64" t="n"/>
      <c r="V1447" s="65" t="n"/>
      <c r="W1447" s="74" t="str">
        <f>IF(AND(A1447="",E1447=""),"",IF(V1447="Oui",0,MAX(0,ROUND(N(H1447)-N(T1447),6))))</f>
        <v/>
      </c>
      <c r="X1447" s="67" t="str">
        <f>IF(AND(A1447="",E1447=""),"",IF(V1447="Oui","Annulé",IF(AND(N(H1447)&gt;0,N(T1447)&gt;=N(H1447)),"Reçu",IF(N(S1447)=0,"Brouillon",IF(AND(ISNUMBER(R1447),R1447&lt;p_today),"En retard",IF(N(T1447)&gt;0,"Partiel","Envoyé"))))))</f>
        <v/>
      </c>
      <c r="Y1447" s="75" t="str">
        <f>IF(X1447="En retard",p_today-R1447,IF(AND(X1447="Reçu",ISNUMBER(R1447)),MAX(0,N(U1447)-R1447),""))</f>
        <v/>
      </c>
      <c r="Z1447" s="67" t="str">
        <f>IF(AND(A1447="",E1447=""),"",IF(A1447="","N° de bon manquant",IF(N(B1447)=0,"Date de commande manquante",IF(C1447="","Fournisseur manquant",IF(ISNA(MATCH($C1447,sup_code,0)),"Fournisseur inconnu",IF(E1447="","Article manquant",IF(ISNA(MATCH($E1447,art_ref,0)),"Article inconnu",IF(N(H1447)&lt;=0,"Quantité invalide",IF(J1447="","Prix manquant",IF(OR(N(K1447)&lt;0,N(K1447)&gt;=1),"Remise invalide",IF(M1447="","TVA manquante",IF(ISNA(MATCH(M1447,p_tva,0)),"Taux de TVA inconnu",IF(COUNTIFS(po_num,A1447,po_sup,"&lt;&gt;"&amp;C1447)&gt;0,"Fournisseur différent sur ce bon",IF(COUNTIFS(po_num,A1447,po_date,"&lt;&gt;"&amp;B1447)&gt;0,"Date différente sur ce bon",IF(COUNTIF(po_num,A1447)&gt;25,"Plus de 25 lignes sur ce bon",IF(R1447="","Date de livraison manquante",IF(R1447&lt;B1447,"Livraison avant la commande",IF(AND(N(T1447)&gt;0,N(S1447)=0),"Date d'envoi manquante",IF(N(T1447)&gt;N(H1447),"Reçu plus que commandé",IF(AND(N(T1447)&gt;0,N(U1447)=0),"Date de réception manquante",IF(AND(N(U1447)&gt;0,U1447&lt;B1447),"Réception avant la commande","OK")))))))))))))))))))))</f>
        <v/>
      </c>
      <c r="AA1447" s="66" t="str">
        <f>IF(AND(X1447="Reçu",ISNUMBER(R1447)),IF(N(U1447)&lt;=R1447,1,0),"")</f>
        <v/>
      </c>
      <c r="AB1447" s="76" t="str">
        <f>IF(OR(X1447="Envoyé",X1447="Partiel",X1447="En retard"),IF(ISNUMBER(R1447),R1447,100000)+ROW()/100000,"")</f>
        <v/>
      </c>
      <c r="AC1447" s="66" t="str">
        <f>IF(A1447="","",IF(COUNTIF($A$6:A1447,A1447)=1,1,""))</f>
        <v/>
      </c>
      <c r="AD1447" s="66" t="str">
        <f>IF(AC1447=1,COUNT($AC$6:AC1447),"")</f>
        <v/>
      </c>
      <c r="AE1447" s="66" t="str">
        <f>IFERROR(INDEX(po_num,MATCH(1442,po_seq,0))&amp;"","")</f>
        <v/>
      </c>
      <c r="AF1447" s="66" t="str">
        <f>IF(OR(A1447="",p_po=""),"",IF(A1447&amp;""=p_po,COUNTIF($A$6:A1447,A1447),""))</f>
        <v/>
      </c>
      <c r="AG1447" s="66" t="str">
        <f>IF(OR(AB1447="",A1447=""),"",IF(COUNTIFS($A$6:A1447,A1447,$AB$6:AB1447,"&gt;0")=1,1,""))</f>
        <v/>
      </c>
      <c r="AH1447" s="70" t="str">
        <f>IF(AB1447="","",ROUND(N(W1447)*N(J1447)*(1-N(K1447)),2))</f>
        <v/>
      </c>
      <c r="AI1447" s="70" t="str">
        <f>IF(OR(J1447="",N(T1447)&lt;=0,V1447="Oui"),"",ROUND(N(T1447)*J1447*(1-N(K1447)),2))</f>
        <v/>
      </c>
    </row>
    <row r="1448">
      <c r="A1448" s="63" t="n"/>
      <c r="B1448" s="64" t="n"/>
      <c r="C1448" s="65" t="n"/>
      <c r="D1448" s="66" t="str">
        <f>IF(C1448="","",IFERROR(INDEX(sup_name,MATCH($C1448,sup_code,0))&amp;"","Fournisseur inconnu"))</f>
        <v/>
      </c>
      <c r="E1448" s="63" t="n"/>
      <c r="F1448" s="66" t="str">
        <f>IF(E1448="","",IFERROR(INDEX(art_des,MATCH($E1448,art_ref,0))&amp;"","Article inconnu"))</f>
        <v/>
      </c>
      <c r="G1448" s="67" t="str">
        <f>IF(E1448="","",IFERROR(INDEX(art_unit,MATCH($E1448,art_ref,0))&amp;"",""))</f>
        <v/>
      </c>
      <c r="H1448" s="68" t="n"/>
      <c r="I1448" s="69" t="n"/>
      <c r="J1448" s="70" t="str">
        <f>IF(E1448="","",IF(ISNUMBER(I1448),I1448,IFERROR(IF(ISNUMBER(INDEX(art_price,MATCH($E1448,art_ref,0))),INDEX(art_price,MATCH($E1448,art_ref,0)),""),"")))</f>
        <v/>
      </c>
      <c r="K1448" s="71" t="n"/>
      <c r="L1448" s="72" t="n"/>
      <c r="M1448" s="72" t="str">
        <f>IF(E1448="","",IF(L1448&lt;&gt;"",L1448,IFERROR(IF(ISNUMBER(INDEX(art_tva,MATCH($E1448,art_ref,0))),INDEX(art_tva,MATCH($E1448,art_ref,0)),""),"")))</f>
        <v/>
      </c>
      <c r="N1448" s="70" t="str">
        <f>IF(OR(E1448="",J1448=""),"",ROUND(N(H1448)*J1448*(1-N(K1448)),2))</f>
        <v/>
      </c>
      <c r="O1448" s="70" t="str">
        <f>IF(OR(N1448="",NOT(ISNUMBER(M1448))),"",ROUND(N1448*M1448,2))</f>
        <v/>
      </c>
      <c r="P1448" s="70" t="str">
        <f>IF(N1448="","",N1448+N(O1448))</f>
        <v/>
      </c>
      <c r="Q1448" s="64" t="n"/>
      <c r="R1448" s="73" t="str">
        <f>IF(N(Q1448)&gt;0,Q1448,IF(OR(N(B1448)=0,ISNA(MATCH($C1448,sup_code,0))),"",IF(ISNUMBER(INDEX(sup_delay,MATCH($C1448,sup_code,0))),B1448+INDEX(sup_delay,MATCH($C1448,sup_code,0)),"")))</f>
        <v/>
      </c>
      <c r="S1448" s="64" t="n"/>
      <c r="T1448" s="68" t="n"/>
      <c r="U1448" s="64" t="n"/>
      <c r="V1448" s="65" t="n"/>
      <c r="W1448" s="74" t="str">
        <f>IF(AND(A1448="",E1448=""),"",IF(V1448="Oui",0,MAX(0,ROUND(N(H1448)-N(T1448),6))))</f>
        <v/>
      </c>
      <c r="X1448" s="67" t="str">
        <f>IF(AND(A1448="",E1448=""),"",IF(V1448="Oui","Annulé",IF(AND(N(H1448)&gt;0,N(T1448)&gt;=N(H1448)),"Reçu",IF(N(S1448)=0,"Brouillon",IF(AND(ISNUMBER(R1448),R1448&lt;p_today),"En retard",IF(N(T1448)&gt;0,"Partiel","Envoyé"))))))</f>
        <v/>
      </c>
      <c r="Y1448" s="75" t="str">
        <f>IF(X1448="En retard",p_today-R1448,IF(AND(X1448="Reçu",ISNUMBER(R1448)),MAX(0,N(U1448)-R1448),""))</f>
        <v/>
      </c>
      <c r="Z1448" s="67" t="str">
        <f>IF(AND(A1448="",E1448=""),"",IF(A1448="","N° de bon manquant",IF(N(B1448)=0,"Date de commande manquante",IF(C1448="","Fournisseur manquant",IF(ISNA(MATCH($C1448,sup_code,0)),"Fournisseur inconnu",IF(E1448="","Article manquant",IF(ISNA(MATCH($E1448,art_ref,0)),"Article inconnu",IF(N(H1448)&lt;=0,"Quantité invalide",IF(J1448="","Prix manquant",IF(OR(N(K1448)&lt;0,N(K1448)&gt;=1),"Remise invalide",IF(M1448="","TVA manquante",IF(ISNA(MATCH(M1448,p_tva,0)),"Taux de TVA inconnu",IF(COUNTIFS(po_num,A1448,po_sup,"&lt;&gt;"&amp;C1448)&gt;0,"Fournisseur différent sur ce bon",IF(COUNTIFS(po_num,A1448,po_date,"&lt;&gt;"&amp;B1448)&gt;0,"Date différente sur ce bon",IF(COUNTIF(po_num,A1448)&gt;25,"Plus de 25 lignes sur ce bon",IF(R1448="","Date de livraison manquante",IF(R1448&lt;B1448,"Livraison avant la commande",IF(AND(N(T1448)&gt;0,N(S1448)=0),"Date d'envoi manquante",IF(N(T1448)&gt;N(H1448),"Reçu plus que commandé",IF(AND(N(T1448)&gt;0,N(U1448)=0),"Date de réception manquante",IF(AND(N(U1448)&gt;0,U1448&lt;B1448),"Réception avant la commande","OK")))))))))))))))))))))</f>
        <v/>
      </c>
      <c r="AA1448" s="66" t="str">
        <f>IF(AND(X1448="Reçu",ISNUMBER(R1448)),IF(N(U1448)&lt;=R1448,1,0),"")</f>
        <v/>
      </c>
      <c r="AB1448" s="76" t="str">
        <f>IF(OR(X1448="Envoyé",X1448="Partiel",X1448="En retard"),IF(ISNUMBER(R1448),R1448,100000)+ROW()/100000,"")</f>
        <v/>
      </c>
      <c r="AC1448" s="66" t="str">
        <f>IF(A1448="","",IF(COUNTIF($A$6:A1448,A1448)=1,1,""))</f>
        <v/>
      </c>
      <c r="AD1448" s="66" t="str">
        <f>IF(AC1448=1,COUNT($AC$6:AC1448),"")</f>
        <v/>
      </c>
      <c r="AE1448" s="66" t="str">
        <f>IFERROR(INDEX(po_num,MATCH(1443,po_seq,0))&amp;"","")</f>
        <v/>
      </c>
      <c r="AF1448" s="66" t="str">
        <f>IF(OR(A1448="",p_po=""),"",IF(A1448&amp;""=p_po,COUNTIF($A$6:A1448,A1448),""))</f>
        <v/>
      </c>
      <c r="AG1448" s="66" t="str">
        <f>IF(OR(AB1448="",A1448=""),"",IF(COUNTIFS($A$6:A1448,A1448,$AB$6:AB1448,"&gt;0")=1,1,""))</f>
        <v/>
      </c>
      <c r="AH1448" s="70" t="str">
        <f>IF(AB1448="","",ROUND(N(W1448)*N(J1448)*(1-N(K1448)),2))</f>
        <v/>
      </c>
      <c r="AI1448" s="70" t="str">
        <f>IF(OR(J1448="",N(T1448)&lt;=0,V1448="Oui"),"",ROUND(N(T1448)*J1448*(1-N(K1448)),2))</f>
        <v/>
      </c>
    </row>
    <row r="1449">
      <c r="A1449" s="63" t="n"/>
      <c r="B1449" s="64" t="n"/>
      <c r="C1449" s="65" t="n"/>
      <c r="D1449" s="66" t="str">
        <f>IF(C1449="","",IFERROR(INDEX(sup_name,MATCH($C1449,sup_code,0))&amp;"","Fournisseur inconnu"))</f>
        <v/>
      </c>
      <c r="E1449" s="63" t="n"/>
      <c r="F1449" s="66" t="str">
        <f>IF(E1449="","",IFERROR(INDEX(art_des,MATCH($E1449,art_ref,0))&amp;"","Article inconnu"))</f>
        <v/>
      </c>
      <c r="G1449" s="67" t="str">
        <f>IF(E1449="","",IFERROR(INDEX(art_unit,MATCH($E1449,art_ref,0))&amp;"",""))</f>
        <v/>
      </c>
      <c r="H1449" s="68" t="n"/>
      <c r="I1449" s="69" t="n"/>
      <c r="J1449" s="70" t="str">
        <f>IF(E1449="","",IF(ISNUMBER(I1449),I1449,IFERROR(IF(ISNUMBER(INDEX(art_price,MATCH($E1449,art_ref,0))),INDEX(art_price,MATCH($E1449,art_ref,0)),""),"")))</f>
        <v/>
      </c>
      <c r="K1449" s="71" t="n"/>
      <c r="L1449" s="72" t="n"/>
      <c r="M1449" s="72" t="str">
        <f>IF(E1449="","",IF(L1449&lt;&gt;"",L1449,IFERROR(IF(ISNUMBER(INDEX(art_tva,MATCH($E1449,art_ref,0))),INDEX(art_tva,MATCH($E1449,art_ref,0)),""),"")))</f>
        <v/>
      </c>
      <c r="N1449" s="70" t="str">
        <f>IF(OR(E1449="",J1449=""),"",ROUND(N(H1449)*J1449*(1-N(K1449)),2))</f>
        <v/>
      </c>
      <c r="O1449" s="70" t="str">
        <f>IF(OR(N1449="",NOT(ISNUMBER(M1449))),"",ROUND(N1449*M1449,2))</f>
        <v/>
      </c>
      <c r="P1449" s="70" t="str">
        <f>IF(N1449="","",N1449+N(O1449))</f>
        <v/>
      </c>
      <c r="Q1449" s="64" t="n"/>
      <c r="R1449" s="73" t="str">
        <f>IF(N(Q1449)&gt;0,Q1449,IF(OR(N(B1449)=0,ISNA(MATCH($C1449,sup_code,0))),"",IF(ISNUMBER(INDEX(sup_delay,MATCH($C1449,sup_code,0))),B1449+INDEX(sup_delay,MATCH($C1449,sup_code,0)),"")))</f>
        <v/>
      </c>
      <c r="S1449" s="64" t="n"/>
      <c r="T1449" s="68" t="n"/>
      <c r="U1449" s="64" t="n"/>
      <c r="V1449" s="65" t="n"/>
      <c r="W1449" s="74" t="str">
        <f>IF(AND(A1449="",E1449=""),"",IF(V1449="Oui",0,MAX(0,ROUND(N(H1449)-N(T1449),6))))</f>
        <v/>
      </c>
      <c r="X1449" s="67" t="str">
        <f>IF(AND(A1449="",E1449=""),"",IF(V1449="Oui","Annulé",IF(AND(N(H1449)&gt;0,N(T1449)&gt;=N(H1449)),"Reçu",IF(N(S1449)=0,"Brouillon",IF(AND(ISNUMBER(R1449),R1449&lt;p_today),"En retard",IF(N(T1449)&gt;0,"Partiel","Envoyé"))))))</f>
        <v/>
      </c>
      <c r="Y1449" s="75" t="str">
        <f>IF(X1449="En retard",p_today-R1449,IF(AND(X1449="Reçu",ISNUMBER(R1449)),MAX(0,N(U1449)-R1449),""))</f>
        <v/>
      </c>
      <c r="Z1449" s="67" t="str">
        <f>IF(AND(A1449="",E1449=""),"",IF(A1449="","N° de bon manquant",IF(N(B1449)=0,"Date de commande manquante",IF(C1449="","Fournisseur manquant",IF(ISNA(MATCH($C1449,sup_code,0)),"Fournisseur inconnu",IF(E1449="","Article manquant",IF(ISNA(MATCH($E1449,art_ref,0)),"Article inconnu",IF(N(H1449)&lt;=0,"Quantité invalide",IF(J1449="","Prix manquant",IF(OR(N(K1449)&lt;0,N(K1449)&gt;=1),"Remise invalide",IF(M1449="","TVA manquante",IF(ISNA(MATCH(M1449,p_tva,0)),"Taux de TVA inconnu",IF(COUNTIFS(po_num,A1449,po_sup,"&lt;&gt;"&amp;C1449)&gt;0,"Fournisseur différent sur ce bon",IF(COUNTIFS(po_num,A1449,po_date,"&lt;&gt;"&amp;B1449)&gt;0,"Date différente sur ce bon",IF(COUNTIF(po_num,A1449)&gt;25,"Plus de 25 lignes sur ce bon",IF(R1449="","Date de livraison manquante",IF(R1449&lt;B1449,"Livraison avant la commande",IF(AND(N(T1449)&gt;0,N(S1449)=0),"Date d'envoi manquante",IF(N(T1449)&gt;N(H1449),"Reçu plus que commandé",IF(AND(N(T1449)&gt;0,N(U1449)=0),"Date de réception manquante",IF(AND(N(U1449)&gt;0,U1449&lt;B1449),"Réception avant la commande","OK")))))))))))))))))))))</f>
        <v/>
      </c>
      <c r="AA1449" s="66" t="str">
        <f>IF(AND(X1449="Reçu",ISNUMBER(R1449)),IF(N(U1449)&lt;=R1449,1,0),"")</f>
        <v/>
      </c>
      <c r="AB1449" s="76" t="str">
        <f>IF(OR(X1449="Envoyé",X1449="Partiel",X1449="En retard"),IF(ISNUMBER(R1449),R1449,100000)+ROW()/100000,"")</f>
        <v/>
      </c>
      <c r="AC1449" s="66" t="str">
        <f>IF(A1449="","",IF(COUNTIF($A$6:A1449,A1449)=1,1,""))</f>
        <v/>
      </c>
      <c r="AD1449" s="66" t="str">
        <f>IF(AC1449=1,COUNT($AC$6:AC1449),"")</f>
        <v/>
      </c>
      <c r="AE1449" s="66" t="str">
        <f>IFERROR(INDEX(po_num,MATCH(1444,po_seq,0))&amp;"","")</f>
        <v/>
      </c>
      <c r="AF1449" s="66" t="str">
        <f>IF(OR(A1449="",p_po=""),"",IF(A1449&amp;""=p_po,COUNTIF($A$6:A1449,A1449),""))</f>
        <v/>
      </c>
      <c r="AG1449" s="66" t="str">
        <f>IF(OR(AB1449="",A1449=""),"",IF(COUNTIFS($A$6:A1449,A1449,$AB$6:AB1449,"&gt;0")=1,1,""))</f>
        <v/>
      </c>
      <c r="AH1449" s="70" t="str">
        <f>IF(AB1449="","",ROUND(N(W1449)*N(J1449)*(1-N(K1449)),2))</f>
        <v/>
      </c>
      <c r="AI1449" s="70" t="str">
        <f>IF(OR(J1449="",N(T1449)&lt;=0,V1449="Oui"),"",ROUND(N(T1449)*J1449*(1-N(K1449)),2))</f>
        <v/>
      </c>
    </row>
    <row r="1450">
      <c r="A1450" s="63" t="n"/>
      <c r="B1450" s="64" t="n"/>
      <c r="C1450" s="65" t="n"/>
      <c r="D1450" s="66" t="str">
        <f>IF(C1450="","",IFERROR(INDEX(sup_name,MATCH($C1450,sup_code,0))&amp;"","Fournisseur inconnu"))</f>
        <v/>
      </c>
      <c r="E1450" s="63" t="n"/>
      <c r="F1450" s="66" t="str">
        <f>IF(E1450="","",IFERROR(INDEX(art_des,MATCH($E1450,art_ref,0))&amp;"","Article inconnu"))</f>
        <v/>
      </c>
      <c r="G1450" s="67" t="str">
        <f>IF(E1450="","",IFERROR(INDEX(art_unit,MATCH($E1450,art_ref,0))&amp;"",""))</f>
        <v/>
      </c>
      <c r="H1450" s="68" t="n"/>
      <c r="I1450" s="69" t="n"/>
      <c r="J1450" s="70" t="str">
        <f>IF(E1450="","",IF(ISNUMBER(I1450),I1450,IFERROR(IF(ISNUMBER(INDEX(art_price,MATCH($E1450,art_ref,0))),INDEX(art_price,MATCH($E1450,art_ref,0)),""),"")))</f>
        <v/>
      </c>
      <c r="K1450" s="71" t="n"/>
      <c r="L1450" s="72" t="n"/>
      <c r="M1450" s="72" t="str">
        <f>IF(E1450="","",IF(L1450&lt;&gt;"",L1450,IFERROR(IF(ISNUMBER(INDEX(art_tva,MATCH($E1450,art_ref,0))),INDEX(art_tva,MATCH($E1450,art_ref,0)),""),"")))</f>
        <v/>
      </c>
      <c r="N1450" s="70" t="str">
        <f>IF(OR(E1450="",J1450=""),"",ROUND(N(H1450)*J1450*(1-N(K1450)),2))</f>
        <v/>
      </c>
      <c r="O1450" s="70" t="str">
        <f>IF(OR(N1450="",NOT(ISNUMBER(M1450))),"",ROUND(N1450*M1450,2))</f>
        <v/>
      </c>
      <c r="P1450" s="70" t="str">
        <f>IF(N1450="","",N1450+N(O1450))</f>
        <v/>
      </c>
      <c r="Q1450" s="64" t="n"/>
      <c r="R1450" s="73" t="str">
        <f>IF(N(Q1450)&gt;0,Q1450,IF(OR(N(B1450)=0,ISNA(MATCH($C1450,sup_code,0))),"",IF(ISNUMBER(INDEX(sup_delay,MATCH($C1450,sup_code,0))),B1450+INDEX(sup_delay,MATCH($C1450,sup_code,0)),"")))</f>
        <v/>
      </c>
      <c r="S1450" s="64" t="n"/>
      <c r="T1450" s="68" t="n"/>
      <c r="U1450" s="64" t="n"/>
      <c r="V1450" s="65" t="n"/>
      <c r="W1450" s="74" t="str">
        <f>IF(AND(A1450="",E1450=""),"",IF(V1450="Oui",0,MAX(0,ROUND(N(H1450)-N(T1450),6))))</f>
        <v/>
      </c>
      <c r="X1450" s="67" t="str">
        <f>IF(AND(A1450="",E1450=""),"",IF(V1450="Oui","Annulé",IF(AND(N(H1450)&gt;0,N(T1450)&gt;=N(H1450)),"Reçu",IF(N(S1450)=0,"Brouillon",IF(AND(ISNUMBER(R1450),R1450&lt;p_today),"En retard",IF(N(T1450)&gt;0,"Partiel","Envoyé"))))))</f>
        <v/>
      </c>
      <c r="Y1450" s="75" t="str">
        <f>IF(X1450="En retard",p_today-R1450,IF(AND(X1450="Reçu",ISNUMBER(R1450)),MAX(0,N(U1450)-R1450),""))</f>
        <v/>
      </c>
      <c r="Z1450" s="67" t="str">
        <f>IF(AND(A1450="",E1450=""),"",IF(A1450="","N° de bon manquant",IF(N(B1450)=0,"Date de commande manquante",IF(C1450="","Fournisseur manquant",IF(ISNA(MATCH($C1450,sup_code,0)),"Fournisseur inconnu",IF(E1450="","Article manquant",IF(ISNA(MATCH($E1450,art_ref,0)),"Article inconnu",IF(N(H1450)&lt;=0,"Quantité invalide",IF(J1450="","Prix manquant",IF(OR(N(K1450)&lt;0,N(K1450)&gt;=1),"Remise invalide",IF(M1450="","TVA manquante",IF(ISNA(MATCH(M1450,p_tva,0)),"Taux de TVA inconnu",IF(COUNTIFS(po_num,A1450,po_sup,"&lt;&gt;"&amp;C1450)&gt;0,"Fournisseur différent sur ce bon",IF(COUNTIFS(po_num,A1450,po_date,"&lt;&gt;"&amp;B1450)&gt;0,"Date différente sur ce bon",IF(COUNTIF(po_num,A1450)&gt;25,"Plus de 25 lignes sur ce bon",IF(R1450="","Date de livraison manquante",IF(R1450&lt;B1450,"Livraison avant la commande",IF(AND(N(T1450)&gt;0,N(S1450)=0),"Date d'envoi manquante",IF(N(T1450)&gt;N(H1450),"Reçu plus que commandé",IF(AND(N(T1450)&gt;0,N(U1450)=0),"Date de réception manquante",IF(AND(N(U1450)&gt;0,U1450&lt;B1450),"Réception avant la commande","OK")))))))))))))))))))))</f>
        <v/>
      </c>
      <c r="AA1450" s="66" t="str">
        <f>IF(AND(X1450="Reçu",ISNUMBER(R1450)),IF(N(U1450)&lt;=R1450,1,0),"")</f>
        <v/>
      </c>
      <c r="AB1450" s="76" t="str">
        <f>IF(OR(X1450="Envoyé",X1450="Partiel",X1450="En retard"),IF(ISNUMBER(R1450),R1450,100000)+ROW()/100000,"")</f>
        <v/>
      </c>
      <c r="AC1450" s="66" t="str">
        <f>IF(A1450="","",IF(COUNTIF($A$6:A1450,A1450)=1,1,""))</f>
        <v/>
      </c>
      <c r="AD1450" s="66" t="str">
        <f>IF(AC1450=1,COUNT($AC$6:AC1450),"")</f>
        <v/>
      </c>
      <c r="AE1450" s="66" t="str">
        <f>IFERROR(INDEX(po_num,MATCH(1445,po_seq,0))&amp;"","")</f>
        <v/>
      </c>
      <c r="AF1450" s="66" t="str">
        <f>IF(OR(A1450="",p_po=""),"",IF(A1450&amp;""=p_po,COUNTIF($A$6:A1450,A1450),""))</f>
        <v/>
      </c>
      <c r="AG1450" s="66" t="str">
        <f>IF(OR(AB1450="",A1450=""),"",IF(COUNTIFS($A$6:A1450,A1450,$AB$6:AB1450,"&gt;0")=1,1,""))</f>
        <v/>
      </c>
      <c r="AH1450" s="70" t="str">
        <f>IF(AB1450="","",ROUND(N(W1450)*N(J1450)*(1-N(K1450)),2))</f>
        <v/>
      </c>
      <c r="AI1450" s="70" t="str">
        <f>IF(OR(J1450="",N(T1450)&lt;=0,V1450="Oui"),"",ROUND(N(T1450)*J1450*(1-N(K1450)),2))</f>
        <v/>
      </c>
    </row>
    <row r="1451">
      <c r="A1451" s="63" t="n"/>
      <c r="B1451" s="64" t="n"/>
      <c r="C1451" s="65" t="n"/>
      <c r="D1451" s="66" t="str">
        <f>IF(C1451="","",IFERROR(INDEX(sup_name,MATCH($C1451,sup_code,0))&amp;"","Fournisseur inconnu"))</f>
        <v/>
      </c>
      <c r="E1451" s="63" t="n"/>
      <c r="F1451" s="66" t="str">
        <f>IF(E1451="","",IFERROR(INDEX(art_des,MATCH($E1451,art_ref,0))&amp;"","Article inconnu"))</f>
        <v/>
      </c>
      <c r="G1451" s="67" t="str">
        <f>IF(E1451="","",IFERROR(INDEX(art_unit,MATCH($E1451,art_ref,0))&amp;"",""))</f>
        <v/>
      </c>
      <c r="H1451" s="68" t="n"/>
      <c r="I1451" s="69" t="n"/>
      <c r="J1451" s="70" t="str">
        <f>IF(E1451="","",IF(ISNUMBER(I1451),I1451,IFERROR(IF(ISNUMBER(INDEX(art_price,MATCH($E1451,art_ref,0))),INDEX(art_price,MATCH($E1451,art_ref,0)),""),"")))</f>
        <v/>
      </c>
      <c r="K1451" s="71" t="n"/>
      <c r="L1451" s="72" t="n"/>
      <c r="M1451" s="72" t="str">
        <f>IF(E1451="","",IF(L1451&lt;&gt;"",L1451,IFERROR(IF(ISNUMBER(INDEX(art_tva,MATCH($E1451,art_ref,0))),INDEX(art_tva,MATCH($E1451,art_ref,0)),""),"")))</f>
        <v/>
      </c>
      <c r="N1451" s="70" t="str">
        <f>IF(OR(E1451="",J1451=""),"",ROUND(N(H1451)*J1451*(1-N(K1451)),2))</f>
        <v/>
      </c>
      <c r="O1451" s="70" t="str">
        <f>IF(OR(N1451="",NOT(ISNUMBER(M1451))),"",ROUND(N1451*M1451,2))</f>
        <v/>
      </c>
      <c r="P1451" s="70" t="str">
        <f>IF(N1451="","",N1451+N(O1451))</f>
        <v/>
      </c>
      <c r="Q1451" s="64" t="n"/>
      <c r="R1451" s="73" t="str">
        <f>IF(N(Q1451)&gt;0,Q1451,IF(OR(N(B1451)=0,ISNA(MATCH($C1451,sup_code,0))),"",IF(ISNUMBER(INDEX(sup_delay,MATCH($C1451,sup_code,0))),B1451+INDEX(sup_delay,MATCH($C1451,sup_code,0)),"")))</f>
        <v/>
      </c>
      <c r="S1451" s="64" t="n"/>
      <c r="T1451" s="68" t="n"/>
      <c r="U1451" s="64" t="n"/>
      <c r="V1451" s="65" t="n"/>
      <c r="W1451" s="74" t="str">
        <f>IF(AND(A1451="",E1451=""),"",IF(V1451="Oui",0,MAX(0,ROUND(N(H1451)-N(T1451),6))))</f>
        <v/>
      </c>
      <c r="X1451" s="67" t="str">
        <f>IF(AND(A1451="",E1451=""),"",IF(V1451="Oui","Annulé",IF(AND(N(H1451)&gt;0,N(T1451)&gt;=N(H1451)),"Reçu",IF(N(S1451)=0,"Brouillon",IF(AND(ISNUMBER(R1451),R1451&lt;p_today),"En retard",IF(N(T1451)&gt;0,"Partiel","Envoyé"))))))</f>
        <v/>
      </c>
      <c r="Y1451" s="75" t="str">
        <f>IF(X1451="En retard",p_today-R1451,IF(AND(X1451="Reçu",ISNUMBER(R1451)),MAX(0,N(U1451)-R1451),""))</f>
        <v/>
      </c>
      <c r="Z1451" s="67" t="str">
        <f>IF(AND(A1451="",E1451=""),"",IF(A1451="","N° de bon manquant",IF(N(B1451)=0,"Date de commande manquante",IF(C1451="","Fournisseur manquant",IF(ISNA(MATCH($C1451,sup_code,0)),"Fournisseur inconnu",IF(E1451="","Article manquant",IF(ISNA(MATCH($E1451,art_ref,0)),"Article inconnu",IF(N(H1451)&lt;=0,"Quantité invalide",IF(J1451="","Prix manquant",IF(OR(N(K1451)&lt;0,N(K1451)&gt;=1),"Remise invalide",IF(M1451="","TVA manquante",IF(ISNA(MATCH(M1451,p_tva,0)),"Taux de TVA inconnu",IF(COUNTIFS(po_num,A1451,po_sup,"&lt;&gt;"&amp;C1451)&gt;0,"Fournisseur différent sur ce bon",IF(COUNTIFS(po_num,A1451,po_date,"&lt;&gt;"&amp;B1451)&gt;0,"Date différente sur ce bon",IF(COUNTIF(po_num,A1451)&gt;25,"Plus de 25 lignes sur ce bon",IF(R1451="","Date de livraison manquante",IF(R1451&lt;B1451,"Livraison avant la commande",IF(AND(N(T1451)&gt;0,N(S1451)=0),"Date d'envoi manquante",IF(N(T1451)&gt;N(H1451),"Reçu plus que commandé",IF(AND(N(T1451)&gt;0,N(U1451)=0),"Date de réception manquante",IF(AND(N(U1451)&gt;0,U1451&lt;B1451),"Réception avant la commande","OK")))))))))))))))))))))</f>
        <v/>
      </c>
      <c r="AA1451" s="66" t="str">
        <f>IF(AND(X1451="Reçu",ISNUMBER(R1451)),IF(N(U1451)&lt;=R1451,1,0),"")</f>
        <v/>
      </c>
      <c r="AB1451" s="76" t="str">
        <f>IF(OR(X1451="Envoyé",X1451="Partiel",X1451="En retard"),IF(ISNUMBER(R1451),R1451,100000)+ROW()/100000,"")</f>
        <v/>
      </c>
      <c r="AC1451" s="66" t="str">
        <f>IF(A1451="","",IF(COUNTIF($A$6:A1451,A1451)=1,1,""))</f>
        <v/>
      </c>
      <c r="AD1451" s="66" t="str">
        <f>IF(AC1451=1,COUNT($AC$6:AC1451),"")</f>
        <v/>
      </c>
      <c r="AE1451" s="66" t="str">
        <f>IFERROR(INDEX(po_num,MATCH(1446,po_seq,0))&amp;"","")</f>
        <v/>
      </c>
      <c r="AF1451" s="66" t="str">
        <f>IF(OR(A1451="",p_po=""),"",IF(A1451&amp;""=p_po,COUNTIF($A$6:A1451,A1451),""))</f>
        <v/>
      </c>
      <c r="AG1451" s="66" t="str">
        <f>IF(OR(AB1451="",A1451=""),"",IF(COUNTIFS($A$6:A1451,A1451,$AB$6:AB1451,"&gt;0")=1,1,""))</f>
        <v/>
      </c>
      <c r="AH1451" s="70" t="str">
        <f>IF(AB1451="","",ROUND(N(W1451)*N(J1451)*(1-N(K1451)),2))</f>
        <v/>
      </c>
      <c r="AI1451" s="70" t="str">
        <f>IF(OR(J1451="",N(T1451)&lt;=0,V1451="Oui"),"",ROUND(N(T1451)*J1451*(1-N(K1451)),2))</f>
        <v/>
      </c>
    </row>
    <row r="1452">
      <c r="A1452" s="63" t="n"/>
      <c r="B1452" s="64" t="n"/>
      <c r="C1452" s="65" t="n"/>
      <c r="D1452" s="66" t="str">
        <f>IF(C1452="","",IFERROR(INDEX(sup_name,MATCH($C1452,sup_code,0))&amp;"","Fournisseur inconnu"))</f>
        <v/>
      </c>
      <c r="E1452" s="63" t="n"/>
      <c r="F1452" s="66" t="str">
        <f>IF(E1452="","",IFERROR(INDEX(art_des,MATCH($E1452,art_ref,0))&amp;"","Article inconnu"))</f>
        <v/>
      </c>
      <c r="G1452" s="67" t="str">
        <f>IF(E1452="","",IFERROR(INDEX(art_unit,MATCH($E1452,art_ref,0))&amp;"",""))</f>
        <v/>
      </c>
      <c r="H1452" s="68" t="n"/>
      <c r="I1452" s="69" t="n"/>
      <c r="J1452" s="70" t="str">
        <f>IF(E1452="","",IF(ISNUMBER(I1452),I1452,IFERROR(IF(ISNUMBER(INDEX(art_price,MATCH($E1452,art_ref,0))),INDEX(art_price,MATCH($E1452,art_ref,0)),""),"")))</f>
        <v/>
      </c>
      <c r="K1452" s="71" t="n"/>
      <c r="L1452" s="72" t="n"/>
      <c r="M1452" s="72" t="str">
        <f>IF(E1452="","",IF(L1452&lt;&gt;"",L1452,IFERROR(IF(ISNUMBER(INDEX(art_tva,MATCH($E1452,art_ref,0))),INDEX(art_tva,MATCH($E1452,art_ref,0)),""),"")))</f>
        <v/>
      </c>
      <c r="N1452" s="70" t="str">
        <f>IF(OR(E1452="",J1452=""),"",ROUND(N(H1452)*J1452*(1-N(K1452)),2))</f>
        <v/>
      </c>
      <c r="O1452" s="70" t="str">
        <f>IF(OR(N1452="",NOT(ISNUMBER(M1452))),"",ROUND(N1452*M1452,2))</f>
        <v/>
      </c>
      <c r="P1452" s="70" t="str">
        <f>IF(N1452="","",N1452+N(O1452))</f>
        <v/>
      </c>
      <c r="Q1452" s="64" t="n"/>
      <c r="R1452" s="73" t="str">
        <f>IF(N(Q1452)&gt;0,Q1452,IF(OR(N(B1452)=0,ISNA(MATCH($C1452,sup_code,0))),"",IF(ISNUMBER(INDEX(sup_delay,MATCH($C1452,sup_code,0))),B1452+INDEX(sup_delay,MATCH($C1452,sup_code,0)),"")))</f>
        <v/>
      </c>
      <c r="S1452" s="64" t="n"/>
      <c r="T1452" s="68" t="n"/>
      <c r="U1452" s="64" t="n"/>
      <c r="V1452" s="65" t="n"/>
      <c r="W1452" s="74" t="str">
        <f>IF(AND(A1452="",E1452=""),"",IF(V1452="Oui",0,MAX(0,ROUND(N(H1452)-N(T1452),6))))</f>
        <v/>
      </c>
      <c r="X1452" s="67" t="str">
        <f>IF(AND(A1452="",E1452=""),"",IF(V1452="Oui","Annulé",IF(AND(N(H1452)&gt;0,N(T1452)&gt;=N(H1452)),"Reçu",IF(N(S1452)=0,"Brouillon",IF(AND(ISNUMBER(R1452),R1452&lt;p_today),"En retard",IF(N(T1452)&gt;0,"Partiel","Envoyé"))))))</f>
        <v/>
      </c>
      <c r="Y1452" s="75" t="str">
        <f>IF(X1452="En retard",p_today-R1452,IF(AND(X1452="Reçu",ISNUMBER(R1452)),MAX(0,N(U1452)-R1452),""))</f>
        <v/>
      </c>
      <c r="Z1452" s="67" t="str">
        <f>IF(AND(A1452="",E1452=""),"",IF(A1452="","N° de bon manquant",IF(N(B1452)=0,"Date de commande manquante",IF(C1452="","Fournisseur manquant",IF(ISNA(MATCH($C1452,sup_code,0)),"Fournisseur inconnu",IF(E1452="","Article manquant",IF(ISNA(MATCH($E1452,art_ref,0)),"Article inconnu",IF(N(H1452)&lt;=0,"Quantité invalide",IF(J1452="","Prix manquant",IF(OR(N(K1452)&lt;0,N(K1452)&gt;=1),"Remise invalide",IF(M1452="","TVA manquante",IF(ISNA(MATCH(M1452,p_tva,0)),"Taux de TVA inconnu",IF(COUNTIFS(po_num,A1452,po_sup,"&lt;&gt;"&amp;C1452)&gt;0,"Fournisseur différent sur ce bon",IF(COUNTIFS(po_num,A1452,po_date,"&lt;&gt;"&amp;B1452)&gt;0,"Date différente sur ce bon",IF(COUNTIF(po_num,A1452)&gt;25,"Plus de 25 lignes sur ce bon",IF(R1452="","Date de livraison manquante",IF(R1452&lt;B1452,"Livraison avant la commande",IF(AND(N(T1452)&gt;0,N(S1452)=0),"Date d'envoi manquante",IF(N(T1452)&gt;N(H1452),"Reçu plus que commandé",IF(AND(N(T1452)&gt;0,N(U1452)=0),"Date de réception manquante",IF(AND(N(U1452)&gt;0,U1452&lt;B1452),"Réception avant la commande","OK")))))))))))))))))))))</f>
        <v/>
      </c>
      <c r="AA1452" s="66" t="str">
        <f>IF(AND(X1452="Reçu",ISNUMBER(R1452)),IF(N(U1452)&lt;=R1452,1,0),"")</f>
        <v/>
      </c>
      <c r="AB1452" s="76" t="str">
        <f>IF(OR(X1452="Envoyé",X1452="Partiel",X1452="En retard"),IF(ISNUMBER(R1452),R1452,100000)+ROW()/100000,"")</f>
        <v/>
      </c>
      <c r="AC1452" s="66" t="str">
        <f>IF(A1452="","",IF(COUNTIF($A$6:A1452,A1452)=1,1,""))</f>
        <v/>
      </c>
      <c r="AD1452" s="66" t="str">
        <f>IF(AC1452=1,COUNT($AC$6:AC1452),"")</f>
        <v/>
      </c>
      <c r="AE1452" s="66" t="str">
        <f>IFERROR(INDEX(po_num,MATCH(1447,po_seq,0))&amp;"","")</f>
        <v/>
      </c>
      <c r="AF1452" s="66" t="str">
        <f>IF(OR(A1452="",p_po=""),"",IF(A1452&amp;""=p_po,COUNTIF($A$6:A1452,A1452),""))</f>
        <v/>
      </c>
      <c r="AG1452" s="66" t="str">
        <f>IF(OR(AB1452="",A1452=""),"",IF(COUNTIFS($A$6:A1452,A1452,$AB$6:AB1452,"&gt;0")=1,1,""))</f>
        <v/>
      </c>
      <c r="AH1452" s="70" t="str">
        <f>IF(AB1452="","",ROUND(N(W1452)*N(J1452)*(1-N(K1452)),2))</f>
        <v/>
      </c>
      <c r="AI1452" s="70" t="str">
        <f>IF(OR(J1452="",N(T1452)&lt;=0,V1452="Oui"),"",ROUND(N(T1452)*J1452*(1-N(K1452)),2))</f>
        <v/>
      </c>
    </row>
    <row r="1453">
      <c r="A1453" s="63" t="n"/>
      <c r="B1453" s="64" t="n"/>
      <c r="C1453" s="65" t="n"/>
      <c r="D1453" s="66" t="str">
        <f>IF(C1453="","",IFERROR(INDEX(sup_name,MATCH($C1453,sup_code,0))&amp;"","Fournisseur inconnu"))</f>
        <v/>
      </c>
      <c r="E1453" s="63" t="n"/>
      <c r="F1453" s="66" t="str">
        <f>IF(E1453="","",IFERROR(INDEX(art_des,MATCH($E1453,art_ref,0))&amp;"","Article inconnu"))</f>
        <v/>
      </c>
      <c r="G1453" s="67" t="str">
        <f>IF(E1453="","",IFERROR(INDEX(art_unit,MATCH($E1453,art_ref,0))&amp;"",""))</f>
        <v/>
      </c>
      <c r="H1453" s="68" t="n"/>
      <c r="I1453" s="69" t="n"/>
      <c r="J1453" s="70" t="str">
        <f>IF(E1453="","",IF(ISNUMBER(I1453),I1453,IFERROR(IF(ISNUMBER(INDEX(art_price,MATCH($E1453,art_ref,0))),INDEX(art_price,MATCH($E1453,art_ref,0)),""),"")))</f>
        <v/>
      </c>
      <c r="K1453" s="71" t="n"/>
      <c r="L1453" s="72" t="n"/>
      <c r="M1453" s="72" t="str">
        <f>IF(E1453="","",IF(L1453&lt;&gt;"",L1453,IFERROR(IF(ISNUMBER(INDEX(art_tva,MATCH($E1453,art_ref,0))),INDEX(art_tva,MATCH($E1453,art_ref,0)),""),"")))</f>
        <v/>
      </c>
      <c r="N1453" s="70" t="str">
        <f>IF(OR(E1453="",J1453=""),"",ROUND(N(H1453)*J1453*(1-N(K1453)),2))</f>
        <v/>
      </c>
      <c r="O1453" s="70" t="str">
        <f>IF(OR(N1453="",NOT(ISNUMBER(M1453))),"",ROUND(N1453*M1453,2))</f>
        <v/>
      </c>
      <c r="P1453" s="70" t="str">
        <f>IF(N1453="","",N1453+N(O1453))</f>
        <v/>
      </c>
      <c r="Q1453" s="64" t="n"/>
      <c r="R1453" s="73" t="str">
        <f>IF(N(Q1453)&gt;0,Q1453,IF(OR(N(B1453)=0,ISNA(MATCH($C1453,sup_code,0))),"",IF(ISNUMBER(INDEX(sup_delay,MATCH($C1453,sup_code,0))),B1453+INDEX(sup_delay,MATCH($C1453,sup_code,0)),"")))</f>
        <v/>
      </c>
      <c r="S1453" s="64" t="n"/>
      <c r="T1453" s="68" t="n"/>
      <c r="U1453" s="64" t="n"/>
      <c r="V1453" s="65" t="n"/>
      <c r="W1453" s="74" t="str">
        <f>IF(AND(A1453="",E1453=""),"",IF(V1453="Oui",0,MAX(0,ROUND(N(H1453)-N(T1453),6))))</f>
        <v/>
      </c>
      <c r="X1453" s="67" t="str">
        <f>IF(AND(A1453="",E1453=""),"",IF(V1453="Oui","Annulé",IF(AND(N(H1453)&gt;0,N(T1453)&gt;=N(H1453)),"Reçu",IF(N(S1453)=0,"Brouillon",IF(AND(ISNUMBER(R1453),R1453&lt;p_today),"En retard",IF(N(T1453)&gt;0,"Partiel","Envoyé"))))))</f>
        <v/>
      </c>
      <c r="Y1453" s="75" t="str">
        <f>IF(X1453="En retard",p_today-R1453,IF(AND(X1453="Reçu",ISNUMBER(R1453)),MAX(0,N(U1453)-R1453),""))</f>
        <v/>
      </c>
      <c r="Z1453" s="67" t="str">
        <f>IF(AND(A1453="",E1453=""),"",IF(A1453="","N° de bon manquant",IF(N(B1453)=0,"Date de commande manquante",IF(C1453="","Fournisseur manquant",IF(ISNA(MATCH($C1453,sup_code,0)),"Fournisseur inconnu",IF(E1453="","Article manquant",IF(ISNA(MATCH($E1453,art_ref,0)),"Article inconnu",IF(N(H1453)&lt;=0,"Quantité invalide",IF(J1453="","Prix manquant",IF(OR(N(K1453)&lt;0,N(K1453)&gt;=1),"Remise invalide",IF(M1453="","TVA manquante",IF(ISNA(MATCH(M1453,p_tva,0)),"Taux de TVA inconnu",IF(COUNTIFS(po_num,A1453,po_sup,"&lt;&gt;"&amp;C1453)&gt;0,"Fournisseur différent sur ce bon",IF(COUNTIFS(po_num,A1453,po_date,"&lt;&gt;"&amp;B1453)&gt;0,"Date différente sur ce bon",IF(COUNTIF(po_num,A1453)&gt;25,"Plus de 25 lignes sur ce bon",IF(R1453="","Date de livraison manquante",IF(R1453&lt;B1453,"Livraison avant la commande",IF(AND(N(T1453)&gt;0,N(S1453)=0),"Date d'envoi manquante",IF(N(T1453)&gt;N(H1453),"Reçu plus que commandé",IF(AND(N(T1453)&gt;0,N(U1453)=0),"Date de réception manquante",IF(AND(N(U1453)&gt;0,U1453&lt;B1453),"Réception avant la commande","OK")))))))))))))))))))))</f>
        <v/>
      </c>
      <c r="AA1453" s="66" t="str">
        <f>IF(AND(X1453="Reçu",ISNUMBER(R1453)),IF(N(U1453)&lt;=R1453,1,0),"")</f>
        <v/>
      </c>
      <c r="AB1453" s="76" t="str">
        <f>IF(OR(X1453="Envoyé",X1453="Partiel",X1453="En retard"),IF(ISNUMBER(R1453),R1453,100000)+ROW()/100000,"")</f>
        <v/>
      </c>
      <c r="AC1453" s="66" t="str">
        <f>IF(A1453="","",IF(COUNTIF($A$6:A1453,A1453)=1,1,""))</f>
        <v/>
      </c>
      <c r="AD1453" s="66" t="str">
        <f>IF(AC1453=1,COUNT($AC$6:AC1453),"")</f>
        <v/>
      </c>
      <c r="AE1453" s="66" t="str">
        <f>IFERROR(INDEX(po_num,MATCH(1448,po_seq,0))&amp;"","")</f>
        <v/>
      </c>
      <c r="AF1453" s="66" t="str">
        <f>IF(OR(A1453="",p_po=""),"",IF(A1453&amp;""=p_po,COUNTIF($A$6:A1453,A1453),""))</f>
        <v/>
      </c>
      <c r="AG1453" s="66" t="str">
        <f>IF(OR(AB1453="",A1453=""),"",IF(COUNTIFS($A$6:A1453,A1453,$AB$6:AB1453,"&gt;0")=1,1,""))</f>
        <v/>
      </c>
      <c r="AH1453" s="70" t="str">
        <f>IF(AB1453="","",ROUND(N(W1453)*N(J1453)*(1-N(K1453)),2))</f>
        <v/>
      </c>
      <c r="AI1453" s="70" t="str">
        <f>IF(OR(J1453="",N(T1453)&lt;=0,V1453="Oui"),"",ROUND(N(T1453)*J1453*(1-N(K1453)),2))</f>
        <v/>
      </c>
    </row>
    <row r="1454">
      <c r="A1454" s="63" t="n"/>
      <c r="B1454" s="64" t="n"/>
      <c r="C1454" s="65" t="n"/>
      <c r="D1454" s="66" t="str">
        <f>IF(C1454="","",IFERROR(INDEX(sup_name,MATCH($C1454,sup_code,0))&amp;"","Fournisseur inconnu"))</f>
        <v/>
      </c>
      <c r="E1454" s="63" t="n"/>
      <c r="F1454" s="66" t="str">
        <f>IF(E1454="","",IFERROR(INDEX(art_des,MATCH($E1454,art_ref,0))&amp;"","Article inconnu"))</f>
        <v/>
      </c>
      <c r="G1454" s="67" t="str">
        <f>IF(E1454="","",IFERROR(INDEX(art_unit,MATCH($E1454,art_ref,0))&amp;"",""))</f>
        <v/>
      </c>
      <c r="H1454" s="68" t="n"/>
      <c r="I1454" s="69" t="n"/>
      <c r="J1454" s="70" t="str">
        <f>IF(E1454="","",IF(ISNUMBER(I1454),I1454,IFERROR(IF(ISNUMBER(INDEX(art_price,MATCH($E1454,art_ref,0))),INDEX(art_price,MATCH($E1454,art_ref,0)),""),"")))</f>
        <v/>
      </c>
      <c r="K1454" s="71" t="n"/>
      <c r="L1454" s="72" t="n"/>
      <c r="M1454" s="72" t="str">
        <f>IF(E1454="","",IF(L1454&lt;&gt;"",L1454,IFERROR(IF(ISNUMBER(INDEX(art_tva,MATCH($E1454,art_ref,0))),INDEX(art_tva,MATCH($E1454,art_ref,0)),""),"")))</f>
        <v/>
      </c>
      <c r="N1454" s="70" t="str">
        <f>IF(OR(E1454="",J1454=""),"",ROUND(N(H1454)*J1454*(1-N(K1454)),2))</f>
        <v/>
      </c>
      <c r="O1454" s="70" t="str">
        <f>IF(OR(N1454="",NOT(ISNUMBER(M1454))),"",ROUND(N1454*M1454,2))</f>
        <v/>
      </c>
      <c r="P1454" s="70" t="str">
        <f>IF(N1454="","",N1454+N(O1454))</f>
        <v/>
      </c>
      <c r="Q1454" s="64" t="n"/>
      <c r="R1454" s="73" t="str">
        <f>IF(N(Q1454)&gt;0,Q1454,IF(OR(N(B1454)=0,ISNA(MATCH($C1454,sup_code,0))),"",IF(ISNUMBER(INDEX(sup_delay,MATCH($C1454,sup_code,0))),B1454+INDEX(sup_delay,MATCH($C1454,sup_code,0)),"")))</f>
        <v/>
      </c>
      <c r="S1454" s="64" t="n"/>
      <c r="T1454" s="68" t="n"/>
      <c r="U1454" s="64" t="n"/>
      <c r="V1454" s="65" t="n"/>
      <c r="W1454" s="74" t="str">
        <f>IF(AND(A1454="",E1454=""),"",IF(V1454="Oui",0,MAX(0,ROUND(N(H1454)-N(T1454),6))))</f>
        <v/>
      </c>
      <c r="X1454" s="67" t="str">
        <f>IF(AND(A1454="",E1454=""),"",IF(V1454="Oui","Annulé",IF(AND(N(H1454)&gt;0,N(T1454)&gt;=N(H1454)),"Reçu",IF(N(S1454)=0,"Brouillon",IF(AND(ISNUMBER(R1454),R1454&lt;p_today),"En retard",IF(N(T1454)&gt;0,"Partiel","Envoyé"))))))</f>
        <v/>
      </c>
      <c r="Y1454" s="75" t="str">
        <f>IF(X1454="En retard",p_today-R1454,IF(AND(X1454="Reçu",ISNUMBER(R1454)),MAX(0,N(U1454)-R1454),""))</f>
        <v/>
      </c>
      <c r="Z1454" s="67" t="str">
        <f>IF(AND(A1454="",E1454=""),"",IF(A1454="","N° de bon manquant",IF(N(B1454)=0,"Date de commande manquante",IF(C1454="","Fournisseur manquant",IF(ISNA(MATCH($C1454,sup_code,0)),"Fournisseur inconnu",IF(E1454="","Article manquant",IF(ISNA(MATCH($E1454,art_ref,0)),"Article inconnu",IF(N(H1454)&lt;=0,"Quantité invalide",IF(J1454="","Prix manquant",IF(OR(N(K1454)&lt;0,N(K1454)&gt;=1),"Remise invalide",IF(M1454="","TVA manquante",IF(ISNA(MATCH(M1454,p_tva,0)),"Taux de TVA inconnu",IF(COUNTIFS(po_num,A1454,po_sup,"&lt;&gt;"&amp;C1454)&gt;0,"Fournisseur différent sur ce bon",IF(COUNTIFS(po_num,A1454,po_date,"&lt;&gt;"&amp;B1454)&gt;0,"Date différente sur ce bon",IF(COUNTIF(po_num,A1454)&gt;25,"Plus de 25 lignes sur ce bon",IF(R1454="","Date de livraison manquante",IF(R1454&lt;B1454,"Livraison avant la commande",IF(AND(N(T1454)&gt;0,N(S1454)=0),"Date d'envoi manquante",IF(N(T1454)&gt;N(H1454),"Reçu plus que commandé",IF(AND(N(T1454)&gt;0,N(U1454)=0),"Date de réception manquante",IF(AND(N(U1454)&gt;0,U1454&lt;B1454),"Réception avant la commande","OK")))))))))))))))))))))</f>
        <v/>
      </c>
      <c r="AA1454" s="66" t="str">
        <f>IF(AND(X1454="Reçu",ISNUMBER(R1454)),IF(N(U1454)&lt;=R1454,1,0),"")</f>
        <v/>
      </c>
      <c r="AB1454" s="76" t="str">
        <f>IF(OR(X1454="Envoyé",X1454="Partiel",X1454="En retard"),IF(ISNUMBER(R1454),R1454,100000)+ROW()/100000,"")</f>
        <v/>
      </c>
      <c r="AC1454" s="66" t="str">
        <f>IF(A1454="","",IF(COUNTIF($A$6:A1454,A1454)=1,1,""))</f>
        <v/>
      </c>
      <c r="AD1454" s="66" t="str">
        <f>IF(AC1454=1,COUNT($AC$6:AC1454),"")</f>
        <v/>
      </c>
      <c r="AE1454" s="66" t="str">
        <f>IFERROR(INDEX(po_num,MATCH(1449,po_seq,0))&amp;"","")</f>
        <v/>
      </c>
      <c r="AF1454" s="66" t="str">
        <f>IF(OR(A1454="",p_po=""),"",IF(A1454&amp;""=p_po,COUNTIF($A$6:A1454,A1454),""))</f>
        <v/>
      </c>
      <c r="AG1454" s="66" t="str">
        <f>IF(OR(AB1454="",A1454=""),"",IF(COUNTIFS($A$6:A1454,A1454,$AB$6:AB1454,"&gt;0")=1,1,""))</f>
        <v/>
      </c>
      <c r="AH1454" s="70" t="str">
        <f>IF(AB1454="","",ROUND(N(W1454)*N(J1454)*(1-N(K1454)),2))</f>
        <v/>
      </c>
      <c r="AI1454" s="70" t="str">
        <f>IF(OR(J1454="",N(T1454)&lt;=0,V1454="Oui"),"",ROUND(N(T1454)*J1454*(1-N(K1454)),2))</f>
        <v/>
      </c>
    </row>
    <row r="1455">
      <c r="A1455" s="63" t="n"/>
      <c r="B1455" s="64" t="n"/>
      <c r="C1455" s="65" t="n"/>
      <c r="D1455" s="66" t="str">
        <f>IF(C1455="","",IFERROR(INDEX(sup_name,MATCH($C1455,sup_code,0))&amp;"","Fournisseur inconnu"))</f>
        <v/>
      </c>
      <c r="E1455" s="63" t="n"/>
      <c r="F1455" s="66" t="str">
        <f>IF(E1455="","",IFERROR(INDEX(art_des,MATCH($E1455,art_ref,0))&amp;"","Article inconnu"))</f>
        <v/>
      </c>
      <c r="G1455" s="67" t="str">
        <f>IF(E1455="","",IFERROR(INDEX(art_unit,MATCH($E1455,art_ref,0))&amp;"",""))</f>
        <v/>
      </c>
      <c r="H1455" s="68" t="n"/>
      <c r="I1455" s="69" t="n"/>
      <c r="J1455" s="70" t="str">
        <f>IF(E1455="","",IF(ISNUMBER(I1455),I1455,IFERROR(IF(ISNUMBER(INDEX(art_price,MATCH($E1455,art_ref,0))),INDEX(art_price,MATCH($E1455,art_ref,0)),""),"")))</f>
        <v/>
      </c>
      <c r="K1455" s="71" t="n"/>
      <c r="L1455" s="72" t="n"/>
      <c r="M1455" s="72" t="str">
        <f>IF(E1455="","",IF(L1455&lt;&gt;"",L1455,IFERROR(IF(ISNUMBER(INDEX(art_tva,MATCH($E1455,art_ref,0))),INDEX(art_tva,MATCH($E1455,art_ref,0)),""),"")))</f>
        <v/>
      </c>
      <c r="N1455" s="70" t="str">
        <f>IF(OR(E1455="",J1455=""),"",ROUND(N(H1455)*J1455*(1-N(K1455)),2))</f>
        <v/>
      </c>
      <c r="O1455" s="70" t="str">
        <f>IF(OR(N1455="",NOT(ISNUMBER(M1455))),"",ROUND(N1455*M1455,2))</f>
        <v/>
      </c>
      <c r="P1455" s="70" t="str">
        <f>IF(N1455="","",N1455+N(O1455))</f>
        <v/>
      </c>
      <c r="Q1455" s="64" t="n"/>
      <c r="R1455" s="73" t="str">
        <f>IF(N(Q1455)&gt;0,Q1455,IF(OR(N(B1455)=0,ISNA(MATCH($C1455,sup_code,0))),"",IF(ISNUMBER(INDEX(sup_delay,MATCH($C1455,sup_code,0))),B1455+INDEX(sup_delay,MATCH($C1455,sup_code,0)),"")))</f>
        <v/>
      </c>
      <c r="S1455" s="64" t="n"/>
      <c r="T1455" s="68" t="n"/>
      <c r="U1455" s="64" t="n"/>
      <c r="V1455" s="65" t="n"/>
      <c r="W1455" s="74" t="str">
        <f>IF(AND(A1455="",E1455=""),"",IF(V1455="Oui",0,MAX(0,ROUND(N(H1455)-N(T1455),6))))</f>
        <v/>
      </c>
      <c r="X1455" s="67" t="str">
        <f>IF(AND(A1455="",E1455=""),"",IF(V1455="Oui","Annulé",IF(AND(N(H1455)&gt;0,N(T1455)&gt;=N(H1455)),"Reçu",IF(N(S1455)=0,"Brouillon",IF(AND(ISNUMBER(R1455),R1455&lt;p_today),"En retard",IF(N(T1455)&gt;0,"Partiel","Envoyé"))))))</f>
        <v/>
      </c>
      <c r="Y1455" s="75" t="str">
        <f>IF(X1455="En retard",p_today-R1455,IF(AND(X1455="Reçu",ISNUMBER(R1455)),MAX(0,N(U1455)-R1455),""))</f>
        <v/>
      </c>
      <c r="Z1455" s="67" t="str">
        <f>IF(AND(A1455="",E1455=""),"",IF(A1455="","N° de bon manquant",IF(N(B1455)=0,"Date de commande manquante",IF(C1455="","Fournisseur manquant",IF(ISNA(MATCH($C1455,sup_code,0)),"Fournisseur inconnu",IF(E1455="","Article manquant",IF(ISNA(MATCH($E1455,art_ref,0)),"Article inconnu",IF(N(H1455)&lt;=0,"Quantité invalide",IF(J1455="","Prix manquant",IF(OR(N(K1455)&lt;0,N(K1455)&gt;=1),"Remise invalide",IF(M1455="","TVA manquante",IF(ISNA(MATCH(M1455,p_tva,0)),"Taux de TVA inconnu",IF(COUNTIFS(po_num,A1455,po_sup,"&lt;&gt;"&amp;C1455)&gt;0,"Fournisseur différent sur ce bon",IF(COUNTIFS(po_num,A1455,po_date,"&lt;&gt;"&amp;B1455)&gt;0,"Date différente sur ce bon",IF(COUNTIF(po_num,A1455)&gt;25,"Plus de 25 lignes sur ce bon",IF(R1455="","Date de livraison manquante",IF(R1455&lt;B1455,"Livraison avant la commande",IF(AND(N(T1455)&gt;0,N(S1455)=0),"Date d'envoi manquante",IF(N(T1455)&gt;N(H1455),"Reçu plus que commandé",IF(AND(N(T1455)&gt;0,N(U1455)=0),"Date de réception manquante",IF(AND(N(U1455)&gt;0,U1455&lt;B1455),"Réception avant la commande","OK")))))))))))))))))))))</f>
        <v/>
      </c>
      <c r="AA1455" s="66" t="str">
        <f>IF(AND(X1455="Reçu",ISNUMBER(R1455)),IF(N(U1455)&lt;=R1455,1,0),"")</f>
        <v/>
      </c>
      <c r="AB1455" s="76" t="str">
        <f>IF(OR(X1455="Envoyé",X1455="Partiel",X1455="En retard"),IF(ISNUMBER(R1455),R1455,100000)+ROW()/100000,"")</f>
        <v/>
      </c>
      <c r="AC1455" s="66" t="str">
        <f>IF(A1455="","",IF(COUNTIF($A$6:A1455,A1455)=1,1,""))</f>
        <v/>
      </c>
      <c r="AD1455" s="66" t="str">
        <f>IF(AC1455=1,COUNT($AC$6:AC1455),"")</f>
        <v/>
      </c>
      <c r="AE1455" s="66" t="str">
        <f>IFERROR(INDEX(po_num,MATCH(1450,po_seq,0))&amp;"","")</f>
        <v/>
      </c>
      <c r="AF1455" s="66" t="str">
        <f>IF(OR(A1455="",p_po=""),"",IF(A1455&amp;""=p_po,COUNTIF($A$6:A1455,A1455),""))</f>
        <v/>
      </c>
      <c r="AG1455" s="66" t="str">
        <f>IF(OR(AB1455="",A1455=""),"",IF(COUNTIFS($A$6:A1455,A1455,$AB$6:AB1455,"&gt;0")=1,1,""))</f>
        <v/>
      </c>
      <c r="AH1455" s="70" t="str">
        <f>IF(AB1455="","",ROUND(N(W1455)*N(J1455)*(1-N(K1455)),2))</f>
        <v/>
      </c>
      <c r="AI1455" s="70" t="str">
        <f>IF(OR(J1455="",N(T1455)&lt;=0,V1455="Oui"),"",ROUND(N(T1455)*J1455*(1-N(K1455)),2))</f>
        <v/>
      </c>
    </row>
    <row r="1456">
      <c r="A1456" s="63" t="n"/>
      <c r="B1456" s="64" t="n"/>
      <c r="C1456" s="65" t="n"/>
      <c r="D1456" s="66" t="str">
        <f>IF(C1456="","",IFERROR(INDEX(sup_name,MATCH($C1456,sup_code,0))&amp;"","Fournisseur inconnu"))</f>
        <v/>
      </c>
      <c r="E1456" s="63" t="n"/>
      <c r="F1456" s="66" t="str">
        <f>IF(E1456="","",IFERROR(INDEX(art_des,MATCH($E1456,art_ref,0))&amp;"","Article inconnu"))</f>
        <v/>
      </c>
      <c r="G1456" s="67" t="str">
        <f>IF(E1456="","",IFERROR(INDEX(art_unit,MATCH($E1456,art_ref,0))&amp;"",""))</f>
        <v/>
      </c>
      <c r="H1456" s="68" t="n"/>
      <c r="I1456" s="69" t="n"/>
      <c r="J1456" s="70" t="str">
        <f>IF(E1456="","",IF(ISNUMBER(I1456),I1456,IFERROR(IF(ISNUMBER(INDEX(art_price,MATCH($E1456,art_ref,0))),INDEX(art_price,MATCH($E1456,art_ref,0)),""),"")))</f>
        <v/>
      </c>
      <c r="K1456" s="71" t="n"/>
      <c r="L1456" s="72" t="n"/>
      <c r="M1456" s="72" t="str">
        <f>IF(E1456="","",IF(L1456&lt;&gt;"",L1456,IFERROR(IF(ISNUMBER(INDEX(art_tva,MATCH($E1456,art_ref,0))),INDEX(art_tva,MATCH($E1456,art_ref,0)),""),"")))</f>
        <v/>
      </c>
      <c r="N1456" s="70" t="str">
        <f>IF(OR(E1456="",J1456=""),"",ROUND(N(H1456)*J1456*(1-N(K1456)),2))</f>
        <v/>
      </c>
      <c r="O1456" s="70" t="str">
        <f>IF(OR(N1456="",NOT(ISNUMBER(M1456))),"",ROUND(N1456*M1456,2))</f>
        <v/>
      </c>
      <c r="P1456" s="70" t="str">
        <f>IF(N1456="","",N1456+N(O1456))</f>
        <v/>
      </c>
      <c r="Q1456" s="64" t="n"/>
      <c r="R1456" s="73" t="str">
        <f>IF(N(Q1456)&gt;0,Q1456,IF(OR(N(B1456)=0,ISNA(MATCH($C1456,sup_code,0))),"",IF(ISNUMBER(INDEX(sup_delay,MATCH($C1456,sup_code,0))),B1456+INDEX(sup_delay,MATCH($C1456,sup_code,0)),"")))</f>
        <v/>
      </c>
      <c r="S1456" s="64" t="n"/>
      <c r="T1456" s="68" t="n"/>
      <c r="U1456" s="64" t="n"/>
      <c r="V1456" s="65" t="n"/>
      <c r="W1456" s="74" t="str">
        <f>IF(AND(A1456="",E1456=""),"",IF(V1456="Oui",0,MAX(0,ROUND(N(H1456)-N(T1456),6))))</f>
        <v/>
      </c>
      <c r="X1456" s="67" t="str">
        <f>IF(AND(A1456="",E1456=""),"",IF(V1456="Oui","Annulé",IF(AND(N(H1456)&gt;0,N(T1456)&gt;=N(H1456)),"Reçu",IF(N(S1456)=0,"Brouillon",IF(AND(ISNUMBER(R1456),R1456&lt;p_today),"En retard",IF(N(T1456)&gt;0,"Partiel","Envoyé"))))))</f>
        <v/>
      </c>
      <c r="Y1456" s="75" t="str">
        <f>IF(X1456="En retard",p_today-R1456,IF(AND(X1456="Reçu",ISNUMBER(R1456)),MAX(0,N(U1456)-R1456),""))</f>
        <v/>
      </c>
      <c r="Z1456" s="67" t="str">
        <f>IF(AND(A1456="",E1456=""),"",IF(A1456="","N° de bon manquant",IF(N(B1456)=0,"Date de commande manquante",IF(C1456="","Fournisseur manquant",IF(ISNA(MATCH($C1456,sup_code,0)),"Fournisseur inconnu",IF(E1456="","Article manquant",IF(ISNA(MATCH($E1456,art_ref,0)),"Article inconnu",IF(N(H1456)&lt;=0,"Quantité invalide",IF(J1456="","Prix manquant",IF(OR(N(K1456)&lt;0,N(K1456)&gt;=1),"Remise invalide",IF(M1456="","TVA manquante",IF(ISNA(MATCH(M1456,p_tva,0)),"Taux de TVA inconnu",IF(COUNTIFS(po_num,A1456,po_sup,"&lt;&gt;"&amp;C1456)&gt;0,"Fournisseur différent sur ce bon",IF(COUNTIFS(po_num,A1456,po_date,"&lt;&gt;"&amp;B1456)&gt;0,"Date différente sur ce bon",IF(COUNTIF(po_num,A1456)&gt;25,"Plus de 25 lignes sur ce bon",IF(R1456="","Date de livraison manquante",IF(R1456&lt;B1456,"Livraison avant la commande",IF(AND(N(T1456)&gt;0,N(S1456)=0),"Date d'envoi manquante",IF(N(T1456)&gt;N(H1456),"Reçu plus que commandé",IF(AND(N(T1456)&gt;0,N(U1456)=0),"Date de réception manquante",IF(AND(N(U1456)&gt;0,U1456&lt;B1456),"Réception avant la commande","OK")))))))))))))))))))))</f>
        <v/>
      </c>
      <c r="AA1456" s="66" t="str">
        <f>IF(AND(X1456="Reçu",ISNUMBER(R1456)),IF(N(U1456)&lt;=R1456,1,0),"")</f>
        <v/>
      </c>
      <c r="AB1456" s="76" t="str">
        <f>IF(OR(X1456="Envoyé",X1456="Partiel",X1456="En retard"),IF(ISNUMBER(R1456),R1456,100000)+ROW()/100000,"")</f>
        <v/>
      </c>
      <c r="AC1456" s="66" t="str">
        <f>IF(A1456="","",IF(COUNTIF($A$6:A1456,A1456)=1,1,""))</f>
        <v/>
      </c>
      <c r="AD1456" s="66" t="str">
        <f>IF(AC1456=1,COUNT($AC$6:AC1456),"")</f>
        <v/>
      </c>
      <c r="AE1456" s="66" t="str">
        <f>IFERROR(INDEX(po_num,MATCH(1451,po_seq,0))&amp;"","")</f>
        <v/>
      </c>
      <c r="AF1456" s="66" t="str">
        <f>IF(OR(A1456="",p_po=""),"",IF(A1456&amp;""=p_po,COUNTIF($A$6:A1456,A1456),""))</f>
        <v/>
      </c>
      <c r="AG1456" s="66" t="str">
        <f>IF(OR(AB1456="",A1456=""),"",IF(COUNTIFS($A$6:A1456,A1456,$AB$6:AB1456,"&gt;0")=1,1,""))</f>
        <v/>
      </c>
      <c r="AH1456" s="70" t="str">
        <f>IF(AB1456="","",ROUND(N(W1456)*N(J1456)*(1-N(K1456)),2))</f>
        <v/>
      </c>
      <c r="AI1456" s="70" t="str">
        <f>IF(OR(J1456="",N(T1456)&lt;=0,V1456="Oui"),"",ROUND(N(T1456)*J1456*(1-N(K1456)),2))</f>
        <v/>
      </c>
    </row>
    <row r="1457">
      <c r="A1457" s="63" t="n"/>
      <c r="B1457" s="64" t="n"/>
      <c r="C1457" s="65" t="n"/>
      <c r="D1457" s="66" t="str">
        <f>IF(C1457="","",IFERROR(INDEX(sup_name,MATCH($C1457,sup_code,0))&amp;"","Fournisseur inconnu"))</f>
        <v/>
      </c>
      <c r="E1457" s="63" t="n"/>
      <c r="F1457" s="66" t="str">
        <f>IF(E1457="","",IFERROR(INDEX(art_des,MATCH($E1457,art_ref,0))&amp;"","Article inconnu"))</f>
        <v/>
      </c>
      <c r="G1457" s="67" t="str">
        <f>IF(E1457="","",IFERROR(INDEX(art_unit,MATCH($E1457,art_ref,0))&amp;"",""))</f>
        <v/>
      </c>
      <c r="H1457" s="68" t="n"/>
      <c r="I1457" s="69" t="n"/>
      <c r="J1457" s="70" t="str">
        <f>IF(E1457="","",IF(ISNUMBER(I1457),I1457,IFERROR(IF(ISNUMBER(INDEX(art_price,MATCH($E1457,art_ref,0))),INDEX(art_price,MATCH($E1457,art_ref,0)),""),"")))</f>
        <v/>
      </c>
      <c r="K1457" s="71" t="n"/>
      <c r="L1457" s="72" t="n"/>
      <c r="M1457" s="72" t="str">
        <f>IF(E1457="","",IF(L1457&lt;&gt;"",L1457,IFERROR(IF(ISNUMBER(INDEX(art_tva,MATCH($E1457,art_ref,0))),INDEX(art_tva,MATCH($E1457,art_ref,0)),""),"")))</f>
        <v/>
      </c>
      <c r="N1457" s="70" t="str">
        <f>IF(OR(E1457="",J1457=""),"",ROUND(N(H1457)*J1457*(1-N(K1457)),2))</f>
        <v/>
      </c>
      <c r="O1457" s="70" t="str">
        <f>IF(OR(N1457="",NOT(ISNUMBER(M1457))),"",ROUND(N1457*M1457,2))</f>
        <v/>
      </c>
      <c r="P1457" s="70" t="str">
        <f>IF(N1457="","",N1457+N(O1457))</f>
        <v/>
      </c>
      <c r="Q1457" s="64" t="n"/>
      <c r="R1457" s="73" t="str">
        <f>IF(N(Q1457)&gt;0,Q1457,IF(OR(N(B1457)=0,ISNA(MATCH($C1457,sup_code,0))),"",IF(ISNUMBER(INDEX(sup_delay,MATCH($C1457,sup_code,0))),B1457+INDEX(sup_delay,MATCH($C1457,sup_code,0)),"")))</f>
        <v/>
      </c>
      <c r="S1457" s="64" t="n"/>
      <c r="T1457" s="68" t="n"/>
      <c r="U1457" s="64" t="n"/>
      <c r="V1457" s="65" t="n"/>
      <c r="W1457" s="74" t="str">
        <f>IF(AND(A1457="",E1457=""),"",IF(V1457="Oui",0,MAX(0,ROUND(N(H1457)-N(T1457),6))))</f>
        <v/>
      </c>
      <c r="X1457" s="67" t="str">
        <f>IF(AND(A1457="",E1457=""),"",IF(V1457="Oui","Annulé",IF(AND(N(H1457)&gt;0,N(T1457)&gt;=N(H1457)),"Reçu",IF(N(S1457)=0,"Brouillon",IF(AND(ISNUMBER(R1457),R1457&lt;p_today),"En retard",IF(N(T1457)&gt;0,"Partiel","Envoyé"))))))</f>
        <v/>
      </c>
      <c r="Y1457" s="75" t="str">
        <f>IF(X1457="En retard",p_today-R1457,IF(AND(X1457="Reçu",ISNUMBER(R1457)),MAX(0,N(U1457)-R1457),""))</f>
        <v/>
      </c>
      <c r="Z1457" s="67" t="str">
        <f>IF(AND(A1457="",E1457=""),"",IF(A1457="","N° de bon manquant",IF(N(B1457)=0,"Date de commande manquante",IF(C1457="","Fournisseur manquant",IF(ISNA(MATCH($C1457,sup_code,0)),"Fournisseur inconnu",IF(E1457="","Article manquant",IF(ISNA(MATCH($E1457,art_ref,0)),"Article inconnu",IF(N(H1457)&lt;=0,"Quantité invalide",IF(J1457="","Prix manquant",IF(OR(N(K1457)&lt;0,N(K1457)&gt;=1),"Remise invalide",IF(M1457="","TVA manquante",IF(ISNA(MATCH(M1457,p_tva,0)),"Taux de TVA inconnu",IF(COUNTIFS(po_num,A1457,po_sup,"&lt;&gt;"&amp;C1457)&gt;0,"Fournisseur différent sur ce bon",IF(COUNTIFS(po_num,A1457,po_date,"&lt;&gt;"&amp;B1457)&gt;0,"Date différente sur ce bon",IF(COUNTIF(po_num,A1457)&gt;25,"Plus de 25 lignes sur ce bon",IF(R1457="","Date de livraison manquante",IF(R1457&lt;B1457,"Livraison avant la commande",IF(AND(N(T1457)&gt;0,N(S1457)=0),"Date d'envoi manquante",IF(N(T1457)&gt;N(H1457),"Reçu plus que commandé",IF(AND(N(T1457)&gt;0,N(U1457)=0),"Date de réception manquante",IF(AND(N(U1457)&gt;0,U1457&lt;B1457),"Réception avant la commande","OK")))))))))))))))))))))</f>
        <v/>
      </c>
      <c r="AA1457" s="66" t="str">
        <f>IF(AND(X1457="Reçu",ISNUMBER(R1457)),IF(N(U1457)&lt;=R1457,1,0),"")</f>
        <v/>
      </c>
      <c r="AB1457" s="76" t="str">
        <f>IF(OR(X1457="Envoyé",X1457="Partiel",X1457="En retard"),IF(ISNUMBER(R1457),R1457,100000)+ROW()/100000,"")</f>
        <v/>
      </c>
      <c r="AC1457" s="66" t="str">
        <f>IF(A1457="","",IF(COUNTIF($A$6:A1457,A1457)=1,1,""))</f>
        <v/>
      </c>
      <c r="AD1457" s="66" t="str">
        <f>IF(AC1457=1,COUNT($AC$6:AC1457),"")</f>
        <v/>
      </c>
      <c r="AE1457" s="66" t="str">
        <f>IFERROR(INDEX(po_num,MATCH(1452,po_seq,0))&amp;"","")</f>
        <v/>
      </c>
      <c r="AF1457" s="66" t="str">
        <f>IF(OR(A1457="",p_po=""),"",IF(A1457&amp;""=p_po,COUNTIF($A$6:A1457,A1457),""))</f>
        <v/>
      </c>
      <c r="AG1457" s="66" t="str">
        <f>IF(OR(AB1457="",A1457=""),"",IF(COUNTIFS($A$6:A1457,A1457,$AB$6:AB1457,"&gt;0")=1,1,""))</f>
        <v/>
      </c>
      <c r="AH1457" s="70" t="str">
        <f>IF(AB1457="","",ROUND(N(W1457)*N(J1457)*(1-N(K1457)),2))</f>
        <v/>
      </c>
      <c r="AI1457" s="70" t="str">
        <f>IF(OR(J1457="",N(T1457)&lt;=0,V1457="Oui"),"",ROUND(N(T1457)*J1457*(1-N(K1457)),2))</f>
        <v/>
      </c>
    </row>
    <row r="1458">
      <c r="A1458" s="63" t="n"/>
      <c r="B1458" s="64" t="n"/>
      <c r="C1458" s="65" t="n"/>
      <c r="D1458" s="66" t="str">
        <f>IF(C1458="","",IFERROR(INDEX(sup_name,MATCH($C1458,sup_code,0))&amp;"","Fournisseur inconnu"))</f>
        <v/>
      </c>
      <c r="E1458" s="63" t="n"/>
      <c r="F1458" s="66" t="str">
        <f>IF(E1458="","",IFERROR(INDEX(art_des,MATCH($E1458,art_ref,0))&amp;"","Article inconnu"))</f>
        <v/>
      </c>
      <c r="G1458" s="67" t="str">
        <f>IF(E1458="","",IFERROR(INDEX(art_unit,MATCH($E1458,art_ref,0))&amp;"",""))</f>
        <v/>
      </c>
      <c r="H1458" s="68" t="n"/>
      <c r="I1458" s="69" t="n"/>
      <c r="J1458" s="70" t="str">
        <f>IF(E1458="","",IF(ISNUMBER(I1458),I1458,IFERROR(IF(ISNUMBER(INDEX(art_price,MATCH($E1458,art_ref,0))),INDEX(art_price,MATCH($E1458,art_ref,0)),""),"")))</f>
        <v/>
      </c>
      <c r="K1458" s="71" t="n"/>
      <c r="L1458" s="72" t="n"/>
      <c r="M1458" s="72" t="str">
        <f>IF(E1458="","",IF(L1458&lt;&gt;"",L1458,IFERROR(IF(ISNUMBER(INDEX(art_tva,MATCH($E1458,art_ref,0))),INDEX(art_tva,MATCH($E1458,art_ref,0)),""),"")))</f>
        <v/>
      </c>
      <c r="N1458" s="70" t="str">
        <f>IF(OR(E1458="",J1458=""),"",ROUND(N(H1458)*J1458*(1-N(K1458)),2))</f>
        <v/>
      </c>
      <c r="O1458" s="70" t="str">
        <f>IF(OR(N1458="",NOT(ISNUMBER(M1458))),"",ROUND(N1458*M1458,2))</f>
        <v/>
      </c>
      <c r="P1458" s="70" t="str">
        <f>IF(N1458="","",N1458+N(O1458))</f>
        <v/>
      </c>
      <c r="Q1458" s="64" t="n"/>
      <c r="R1458" s="73" t="str">
        <f>IF(N(Q1458)&gt;0,Q1458,IF(OR(N(B1458)=0,ISNA(MATCH($C1458,sup_code,0))),"",IF(ISNUMBER(INDEX(sup_delay,MATCH($C1458,sup_code,0))),B1458+INDEX(sup_delay,MATCH($C1458,sup_code,0)),"")))</f>
        <v/>
      </c>
      <c r="S1458" s="64" t="n"/>
      <c r="T1458" s="68" t="n"/>
      <c r="U1458" s="64" t="n"/>
      <c r="V1458" s="65" t="n"/>
      <c r="W1458" s="74" t="str">
        <f>IF(AND(A1458="",E1458=""),"",IF(V1458="Oui",0,MAX(0,ROUND(N(H1458)-N(T1458),6))))</f>
        <v/>
      </c>
      <c r="X1458" s="67" t="str">
        <f>IF(AND(A1458="",E1458=""),"",IF(V1458="Oui","Annulé",IF(AND(N(H1458)&gt;0,N(T1458)&gt;=N(H1458)),"Reçu",IF(N(S1458)=0,"Brouillon",IF(AND(ISNUMBER(R1458),R1458&lt;p_today),"En retard",IF(N(T1458)&gt;0,"Partiel","Envoyé"))))))</f>
        <v/>
      </c>
      <c r="Y1458" s="75" t="str">
        <f>IF(X1458="En retard",p_today-R1458,IF(AND(X1458="Reçu",ISNUMBER(R1458)),MAX(0,N(U1458)-R1458),""))</f>
        <v/>
      </c>
      <c r="Z1458" s="67" t="str">
        <f>IF(AND(A1458="",E1458=""),"",IF(A1458="","N° de bon manquant",IF(N(B1458)=0,"Date de commande manquante",IF(C1458="","Fournisseur manquant",IF(ISNA(MATCH($C1458,sup_code,0)),"Fournisseur inconnu",IF(E1458="","Article manquant",IF(ISNA(MATCH($E1458,art_ref,0)),"Article inconnu",IF(N(H1458)&lt;=0,"Quantité invalide",IF(J1458="","Prix manquant",IF(OR(N(K1458)&lt;0,N(K1458)&gt;=1),"Remise invalide",IF(M1458="","TVA manquante",IF(ISNA(MATCH(M1458,p_tva,0)),"Taux de TVA inconnu",IF(COUNTIFS(po_num,A1458,po_sup,"&lt;&gt;"&amp;C1458)&gt;0,"Fournisseur différent sur ce bon",IF(COUNTIFS(po_num,A1458,po_date,"&lt;&gt;"&amp;B1458)&gt;0,"Date différente sur ce bon",IF(COUNTIF(po_num,A1458)&gt;25,"Plus de 25 lignes sur ce bon",IF(R1458="","Date de livraison manquante",IF(R1458&lt;B1458,"Livraison avant la commande",IF(AND(N(T1458)&gt;0,N(S1458)=0),"Date d'envoi manquante",IF(N(T1458)&gt;N(H1458),"Reçu plus que commandé",IF(AND(N(T1458)&gt;0,N(U1458)=0),"Date de réception manquante",IF(AND(N(U1458)&gt;0,U1458&lt;B1458),"Réception avant la commande","OK")))))))))))))))))))))</f>
        <v/>
      </c>
      <c r="AA1458" s="66" t="str">
        <f>IF(AND(X1458="Reçu",ISNUMBER(R1458)),IF(N(U1458)&lt;=R1458,1,0),"")</f>
        <v/>
      </c>
      <c r="AB1458" s="76" t="str">
        <f>IF(OR(X1458="Envoyé",X1458="Partiel",X1458="En retard"),IF(ISNUMBER(R1458),R1458,100000)+ROW()/100000,"")</f>
        <v/>
      </c>
      <c r="AC1458" s="66" t="str">
        <f>IF(A1458="","",IF(COUNTIF($A$6:A1458,A1458)=1,1,""))</f>
        <v/>
      </c>
      <c r="AD1458" s="66" t="str">
        <f>IF(AC1458=1,COUNT($AC$6:AC1458),"")</f>
        <v/>
      </c>
      <c r="AE1458" s="66" t="str">
        <f>IFERROR(INDEX(po_num,MATCH(1453,po_seq,0))&amp;"","")</f>
        <v/>
      </c>
      <c r="AF1458" s="66" t="str">
        <f>IF(OR(A1458="",p_po=""),"",IF(A1458&amp;""=p_po,COUNTIF($A$6:A1458,A1458),""))</f>
        <v/>
      </c>
      <c r="AG1458" s="66" t="str">
        <f>IF(OR(AB1458="",A1458=""),"",IF(COUNTIFS($A$6:A1458,A1458,$AB$6:AB1458,"&gt;0")=1,1,""))</f>
        <v/>
      </c>
      <c r="AH1458" s="70" t="str">
        <f>IF(AB1458="","",ROUND(N(W1458)*N(J1458)*(1-N(K1458)),2))</f>
        <v/>
      </c>
      <c r="AI1458" s="70" t="str">
        <f>IF(OR(J1458="",N(T1458)&lt;=0,V1458="Oui"),"",ROUND(N(T1458)*J1458*(1-N(K1458)),2))</f>
        <v/>
      </c>
    </row>
    <row r="1459">
      <c r="A1459" s="63" t="n"/>
      <c r="B1459" s="64" t="n"/>
      <c r="C1459" s="65" t="n"/>
      <c r="D1459" s="66" t="str">
        <f>IF(C1459="","",IFERROR(INDEX(sup_name,MATCH($C1459,sup_code,0))&amp;"","Fournisseur inconnu"))</f>
        <v/>
      </c>
      <c r="E1459" s="63" t="n"/>
      <c r="F1459" s="66" t="str">
        <f>IF(E1459="","",IFERROR(INDEX(art_des,MATCH($E1459,art_ref,0))&amp;"","Article inconnu"))</f>
        <v/>
      </c>
      <c r="G1459" s="67" t="str">
        <f>IF(E1459="","",IFERROR(INDEX(art_unit,MATCH($E1459,art_ref,0))&amp;"",""))</f>
        <v/>
      </c>
      <c r="H1459" s="68" t="n"/>
      <c r="I1459" s="69" t="n"/>
      <c r="J1459" s="70" t="str">
        <f>IF(E1459="","",IF(ISNUMBER(I1459),I1459,IFERROR(IF(ISNUMBER(INDEX(art_price,MATCH($E1459,art_ref,0))),INDEX(art_price,MATCH($E1459,art_ref,0)),""),"")))</f>
        <v/>
      </c>
      <c r="K1459" s="71" t="n"/>
      <c r="L1459" s="72" t="n"/>
      <c r="M1459" s="72" t="str">
        <f>IF(E1459="","",IF(L1459&lt;&gt;"",L1459,IFERROR(IF(ISNUMBER(INDEX(art_tva,MATCH($E1459,art_ref,0))),INDEX(art_tva,MATCH($E1459,art_ref,0)),""),"")))</f>
        <v/>
      </c>
      <c r="N1459" s="70" t="str">
        <f>IF(OR(E1459="",J1459=""),"",ROUND(N(H1459)*J1459*(1-N(K1459)),2))</f>
        <v/>
      </c>
      <c r="O1459" s="70" t="str">
        <f>IF(OR(N1459="",NOT(ISNUMBER(M1459))),"",ROUND(N1459*M1459,2))</f>
        <v/>
      </c>
      <c r="P1459" s="70" t="str">
        <f>IF(N1459="","",N1459+N(O1459))</f>
        <v/>
      </c>
      <c r="Q1459" s="64" t="n"/>
      <c r="R1459" s="73" t="str">
        <f>IF(N(Q1459)&gt;0,Q1459,IF(OR(N(B1459)=0,ISNA(MATCH($C1459,sup_code,0))),"",IF(ISNUMBER(INDEX(sup_delay,MATCH($C1459,sup_code,0))),B1459+INDEX(sup_delay,MATCH($C1459,sup_code,0)),"")))</f>
        <v/>
      </c>
      <c r="S1459" s="64" t="n"/>
      <c r="T1459" s="68" t="n"/>
      <c r="U1459" s="64" t="n"/>
      <c r="V1459" s="65" t="n"/>
      <c r="W1459" s="74" t="str">
        <f>IF(AND(A1459="",E1459=""),"",IF(V1459="Oui",0,MAX(0,ROUND(N(H1459)-N(T1459),6))))</f>
        <v/>
      </c>
      <c r="X1459" s="67" t="str">
        <f>IF(AND(A1459="",E1459=""),"",IF(V1459="Oui","Annulé",IF(AND(N(H1459)&gt;0,N(T1459)&gt;=N(H1459)),"Reçu",IF(N(S1459)=0,"Brouillon",IF(AND(ISNUMBER(R1459),R1459&lt;p_today),"En retard",IF(N(T1459)&gt;0,"Partiel","Envoyé"))))))</f>
        <v/>
      </c>
      <c r="Y1459" s="75" t="str">
        <f>IF(X1459="En retard",p_today-R1459,IF(AND(X1459="Reçu",ISNUMBER(R1459)),MAX(0,N(U1459)-R1459),""))</f>
        <v/>
      </c>
      <c r="Z1459" s="67" t="str">
        <f>IF(AND(A1459="",E1459=""),"",IF(A1459="","N° de bon manquant",IF(N(B1459)=0,"Date de commande manquante",IF(C1459="","Fournisseur manquant",IF(ISNA(MATCH($C1459,sup_code,0)),"Fournisseur inconnu",IF(E1459="","Article manquant",IF(ISNA(MATCH($E1459,art_ref,0)),"Article inconnu",IF(N(H1459)&lt;=0,"Quantité invalide",IF(J1459="","Prix manquant",IF(OR(N(K1459)&lt;0,N(K1459)&gt;=1),"Remise invalide",IF(M1459="","TVA manquante",IF(ISNA(MATCH(M1459,p_tva,0)),"Taux de TVA inconnu",IF(COUNTIFS(po_num,A1459,po_sup,"&lt;&gt;"&amp;C1459)&gt;0,"Fournisseur différent sur ce bon",IF(COUNTIFS(po_num,A1459,po_date,"&lt;&gt;"&amp;B1459)&gt;0,"Date différente sur ce bon",IF(COUNTIF(po_num,A1459)&gt;25,"Plus de 25 lignes sur ce bon",IF(R1459="","Date de livraison manquante",IF(R1459&lt;B1459,"Livraison avant la commande",IF(AND(N(T1459)&gt;0,N(S1459)=0),"Date d'envoi manquante",IF(N(T1459)&gt;N(H1459),"Reçu plus que commandé",IF(AND(N(T1459)&gt;0,N(U1459)=0),"Date de réception manquante",IF(AND(N(U1459)&gt;0,U1459&lt;B1459),"Réception avant la commande","OK")))))))))))))))))))))</f>
        <v/>
      </c>
      <c r="AA1459" s="66" t="str">
        <f>IF(AND(X1459="Reçu",ISNUMBER(R1459)),IF(N(U1459)&lt;=R1459,1,0),"")</f>
        <v/>
      </c>
      <c r="AB1459" s="76" t="str">
        <f>IF(OR(X1459="Envoyé",X1459="Partiel",X1459="En retard"),IF(ISNUMBER(R1459),R1459,100000)+ROW()/100000,"")</f>
        <v/>
      </c>
      <c r="AC1459" s="66" t="str">
        <f>IF(A1459="","",IF(COUNTIF($A$6:A1459,A1459)=1,1,""))</f>
        <v/>
      </c>
      <c r="AD1459" s="66" t="str">
        <f>IF(AC1459=1,COUNT($AC$6:AC1459),"")</f>
        <v/>
      </c>
      <c r="AE1459" s="66" t="str">
        <f>IFERROR(INDEX(po_num,MATCH(1454,po_seq,0))&amp;"","")</f>
        <v/>
      </c>
      <c r="AF1459" s="66" t="str">
        <f>IF(OR(A1459="",p_po=""),"",IF(A1459&amp;""=p_po,COUNTIF($A$6:A1459,A1459),""))</f>
        <v/>
      </c>
      <c r="AG1459" s="66" t="str">
        <f>IF(OR(AB1459="",A1459=""),"",IF(COUNTIFS($A$6:A1459,A1459,$AB$6:AB1459,"&gt;0")=1,1,""))</f>
        <v/>
      </c>
      <c r="AH1459" s="70" t="str">
        <f>IF(AB1459="","",ROUND(N(W1459)*N(J1459)*(1-N(K1459)),2))</f>
        <v/>
      </c>
      <c r="AI1459" s="70" t="str">
        <f>IF(OR(J1459="",N(T1459)&lt;=0,V1459="Oui"),"",ROUND(N(T1459)*J1459*(1-N(K1459)),2))</f>
        <v/>
      </c>
    </row>
    <row r="1460">
      <c r="A1460" s="63" t="n"/>
      <c r="B1460" s="64" t="n"/>
      <c r="C1460" s="65" t="n"/>
      <c r="D1460" s="66" t="str">
        <f>IF(C1460="","",IFERROR(INDEX(sup_name,MATCH($C1460,sup_code,0))&amp;"","Fournisseur inconnu"))</f>
        <v/>
      </c>
      <c r="E1460" s="63" t="n"/>
      <c r="F1460" s="66" t="str">
        <f>IF(E1460="","",IFERROR(INDEX(art_des,MATCH($E1460,art_ref,0))&amp;"","Article inconnu"))</f>
        <v/>
      </c>
      <c r="G1460" s="67" t="str">
        <f>IF(E1460="","",IFERROR(INDEX(art_unit,MATCH($E1460,art_ref,0))&amp;"",""))</f>
        <v/>
      </c>
      <c r="H1460" s="68" t="n"/>
      <c r="I1460" s="69" t="n"/>
      <c r="J1460" s="70" t="str">
        <f>IF(E1460="","",IF(ISNUMBER(I1460),I1460,IFERROR(IF(ISNUMBER(INDEX(art_price,MATCH($E1460,art_ref,0))),INDEX(art_price,MATCH($E1460,art_ref,0)),""),"")))</f>
        <v/>
      </c>
      <c r="K1460" s="71" t="n"/>
      <c r="L1460" s="72" t="n"/>
      <c r="M1460" s="72" t="str">
        <f>IF(E1460="","",IF(L1460&lt;&gt;"",L1460,IFERROR(IF(ISNUMBER(INDEX(art_tva,MATCH($E1460,art_ref,0))),INDEX(art_tva,MATCH($E1460,art_ref,0)),""),"")))</f>
        <v/>
      </c>
      <c r="N1460" s="70" t="str">
        <f>IF(OR(E1460="",J1460=""),"",ROUND(N(H1460)*J1460*(1-N(K1460)),2))</f>
        <v/>
      </c>
      <c r="O1460" s="70" t="str">
        <f>IF(OR(N1460="",NOT(ISNUMBER(M1460))),"",ROUND(N1460*M1460,2))</f>
        <v/>
      </c>
      <c r="P1460" s="70" t="str">
        <f>IF(N1460="","",N1460+N(O1460))</f>
        <v/>
      </c>
      <c r="Q1460" s="64" t="n"/>
      <c r="R1460" s="73" t="str">
        <f>IF(N(Q1460)&gt;0,Q1460,IF(OR(N(B1460)=0,ISNA(MATCH($C1460,sup_code,0))),"",IF(ISNUMBER(INDEX(sup_delay,MATCH($C1460,sup_code,0))),B1460+INDEX(sup_delay,MATCH($C1460,sup_code,0)),"")))</f>
        <v/>
      </c>
      <c r="S1460" s="64" t="n"/>
      <c r="T1460" s="68" t="n"/>
      <c r="U1460" s="64" t="n"/>
      <c r="V1460" s="65" t="n"/>
      <c r="W1460" s="74" t="str">
        <f>IF(AND(A1460="",E1460=""),"",IF(V1460="Oui",0,MAX(0,ROUND(N(H1460)-N(T1460),6))))</f>
        <v/>
      </c>
      <c r="X1460" s="67" t="str">
        <f>IF(AND(A1460="",E1460=""),"",IF(V1460="Oui","Annulé",IF(AND(N(H1460)&gt;0,N(T1460)&gt;=N(H1460)),"Reçu",IF(N(S1460)=0,"Brouillon",IF(AND(ISNUMBER(R1460),R1460&lt;p_today),"En retard",IF(N(T1460)&gt;0,"Partiel","Envoyé"))))))</f>
        <v/>
      </c>
      <c r="Y1460" s="75" t="str">
        <f>IF(X1460="En retard",p_today-R1460,IF(AND(X1460="Reçu",ISNUMBER(R1460)),MAX(0,N(U1460)-R1460),""))</f>
        <v/>
      </c>
      <c r="Z1460" s="67" t="str">
        <f>IF(AND(A1460="",E1460=""),"",IF(A1460="","N° de bon manquant",IF(N(B1460)=0,"Date de commande manquante",IF(C1460="","Fournisseur manquant",IF(ISNA(MATCH($C1460,sup_code,0)),"Fournisseur inconnu",IF(E1460="","Article manquant",IF(ISNA(MATCH($E1460,art_ref,0)),"Article inconnu",IF(N(H1460)&lt;=0,"Quantité invalide",IF(J1460="","Prix manquant",IF(OR(N(K1460)&lt;0,N(K1460)&gt;=1),"Remise invalide",IF(M1460="","TVA manquante",IF(ISNA(MATCH(M1460,p_tva,0)),"Taux de TVA inconnu",IF(COUNTIFS(po_num,A1460,po_sup,"&lt;&gt;"&amp;C1460)&gt;0,"Fournisseur différent sur ce bon",IF(COUNTIFS(po_num,A1460,po_date,"&lt;&gt;"&amp;B1460)&gt;0,"Date différente sur ce bon",IF(COUNTIF(po_num,A1460)&gt;25,"Plus de 25 lignes sur ce bon",IF(R1460="","Date de livraison manquante",IF(R1460&lt;B1460,"Livraison avant la commande",IF(AND(N(T1460)&gt;0,N(S1460)=0),"Date d'envoi manquante",IF(N(T1460)&gt;N(H1460),"Reçu plus que commandé",IF(AND(N(T1460)&gt;0,N(U1460)=0),"Date de réception manquante",IF(AND(N(U1460)&gt;0,U1460&lt;B1460),"Réception avant la commande","OK")))))))))))))))))))))</f>
        <v/>
      </c>
      <c r="AA1460" s="66" t="str">
        <f>IF(AND(X1460="Reçu",ISNUMBER(R1460)),IF(N(U1460)&lt;=R1460,1,0),"")</f>
        <v/>
      </c>
      <c r="AB1460" s="76" t="str">
        <f>IF(OR(X1460="Envoyé",X1460="Partiel",X1460="En retard"),IF(ISNUMBER(R1460),R1460,100000)+ROW()/100000,"")</f>
        <v/>
      </c>
      <c r="AC1460" s="66" t="str">
        <f>IF(A1460="","",IF(COUNTIF($A$6:A1460,A1460)=1,1,""))</f>
        <v/>
      </c>
      <c r="AD1460" s="66" t="str">
        <f>IF(AC1460=1,COUNT($AC$6:AC1460),"")</f>
        <v/>
      </c>
      <c r="AE1460" s="66" t="str">
        <f>IFERROR(INDEX(po_num,MATCH(1455,po_seq,0))&amp;"","")</f>
        <v/>
      </c>
      <c r="AF1460" s="66" t="str">
        <f>IF(OR(A1460="",p_po=""),"",IF(A1460&amp;""=p_po,COUNTIF($A$6:A1460,A1460),""))</f>
        <v/>
      </c>
      <c r="AG1460" s="66" t="str">
        <f>IF(OR(AB1460="",A1460=""),"",IF(COUNTIFS($A$6:A1460,A1460,$AB$6:AB1460,"&gt;0")=1,1,""))</f>
        <v/>
      </c>
      <c r="AH1460" s="70" t="str">
        <f>IF(AB1460="","",ROUND(N(W1460)*N(J1460)*(1-N(K1460)),2))</f>
        <v/>
      </c>
      <c r="AI1460" s="70" t="str">
        <f>IF(OR(J1460="",N(T1460)&lt;=0,V1460="Oui"),"",ROUND(N(T1460)*J1460*(1-N(K1460)),2))</f>
        <v/>
      </c>
    </row>
    <row r="1461">
      <c r="A1461" s="63" t="n"/>
      <c r="B1461" s="64" t="n"/>
      <c r="C1461" s="65" t="n"/>
      <c r="D1461" s="66" t="str">
        <f>IF(C1461="","",IFERROR(INDEX(sup_name,MATCH($C1461,sup_code,0))&amp;"","Fournisseur inconnu"))</f>
        <v/>
      </c>
      <c r="E1461" s="63" t="n"/>
      <c r="F1461" s="66" t="str">
        <f>IF(E1461="","",IFERROR(INDEX(art_des,MATCH($E1461,art_ref,0))&amp;"","Article inconnu"))</f>
        <v/>
      </c>
      <c r="G1461" s="67" t="str">
        <f>IF(E1461="","",IFERROR(INDEX(art_unit,MATCH($E1461,art_ref,0))&amp;"",""))</f>
        <v/>
      </c>
      <c r="H1461" s="68" t="n"/>
      <c r="I1461" s="69" t="n"/>
      <c r="J1461" s="70" t="str">
        <f>IF(E1461="","",IF(ISNUMBER(I1461),I1461,IFERROR(IF(ISNUMBER(INDEX(art_price,MATCH($E1461,art_ref,0))),INDEX(art_price,MATCH($E1461,art_ref,0)),""),"")))</f>
        <v/>
      </c>
      <c r="K1461" s="71" t="n"/>
      <c r="L1461" s="72" t="n"/>
      <c r="M1461" s="72" t="str">
        <f>IF(E1461="","",IF(L1461&lt;&gt;"",L1461,IFERROR(IF(ISNUMBER(INDEX(art_tva,MATCH($E1461,art_ref,0))),INDEX(art_tva,MATCH($E1461,art_ref,0)),""),"")))</f>
        <v/>
      </c>
      <c r="N1461" s="70" t="str">
        <f>IF(OR(E1461="",J1461=""),"",ROUND(N(H1461)*J1461*(1-N(K1461)),2))</f>
        <v/>
      </c>
      <c r="O1461" s="70" t="str">
        <f>IF(OR(N1461="",NOT(ISNUMBER(M1461))),"",ROUND(N1461*M1461,2))</f>
        <v/>
      </c>
      <c r="P1461" s="70" t="str">
        <f>IF(N1461="","",N1461+N(O1461))</f>
        <v/>
      </c>
      <c r="Q1461" s="64" t="n"/>
      <c r="R1461" s="73" t="str">
        <f>IF(N(Q1461)&gt;0,Q1461,IF(OR(N(B1461)=0,ISNA(MATCH($C1461,sup_code,0))),"",IF(ISNUMBER(INDEX(sup_delay,MATCH($C1461,sup_code,0))),B1461+INDEX(sup_delay,MATCH($C1461,sup_code,0)),"")))</f>
        <v/>
      </c>
      <c r="S1461" s="64" t="n"/>
      <c r="T1461" s="68" t="n"/>
      <c r="U1461" s="64" t="n"/>
      <c r="V1461" s="65" t="n"/>
      <c r="W1461" s="74" t="str">
        <f>IF(AND(A1461="",E1461=""),"",IF(V1461="Oui",0,MAX(0,ROUND(N(H1461)-N(T1461),6))))</f>
        <v/>
      </c>
      <c r="X1461" s="67" t="str">
        <f>IF(AND(A1461="",E1461=""),"",IF(V1461="Oui","Annulé",IF(AND(N(H1461)&gt;0,N(T1461)&gt;=N(H1461)),"Reçu",IF(N(S1461)=0,"Brouillon",IF(AND(ISNUMBER(R1461),R1461&lt;p_today),"En retard",IF(N(T1461)&gt;0,"Partiel","Envoyé"))))))</f>
        <v/>
      </c>
      <c r="Y1461" s="75" t="str">
        <f>IF(X1461="En retard",p_today-R1461,IF(AND(X1461="Reçu",ISNUMBER(R1461)),MAX(0,N(U1461)-R1461),""))</f>
        <v/>
      </c>
      <c r="Z1461" s="67" t="str">
        <f>IF(AND(A1461="",E1461=""),"",IF(A1461="","N° de bon manquant",IF(N(B1461)=0,"Date de commande manquante",IF(C1461="","Fournisseur manquant",IF(ISNA(MATCH($C1461,sup_code,0)),"Fournisseur inconnu",IF(E1461="","Article manquant",IF(ISNA(MATCH($E1461,art_ref,0)),"Article inconnu",IF(N(H1461)&lt;=0,"Quantité invalide",IF(J1461="","Prix manquant",IF(OR(N(K1461)&lt;0,N(K1461)&gt;=1),"Remise invalide",IF(M1461="","TVA manquante",IF(ISNA(MATCH(M1461,p_tva,0)),"Taux de TVA inconnu",IF(COUNTIFS(po_num,A1461,po_sup,"&lt;&gt;"&amp;C1461)&gt;0,"Fournisseur différent sur ce bon",IF(COUNTIFS(po_num,A1461,po_date,"&lt;&gt;"&amp;B1461)&gt;0,"Date différente sur ce bon",IF(COUNTIF(po_num,A1461)&gt;25,"Plus de 25 lignes sur ce bon",IF(R1461="","Date de livraison manquante",IF(R1461&lt;B1461,"Livraison avant la commande",IF(AND(N(T1461)&gt;0,N(S1461)=0),"Date d'envoi manquante",IF(N(T1461)&gt;N(H1461),"Reçu plus que commandé",IF(AND(N(T1461)&gt;0,N(U1461)=0),"Date de réception manquante",IF(AND(N(U1461)&gt;0,U1461&lt;B1461),"Réception avant la commande","OK")))))))))))))))))))))</f>
        <v/>
      </c>
      <c r="AA1461" s="66" t="str">
        <f>IF(AND(X1461="Reçu",ISNUMBER(R1461)),IF(N(U1461)&lt;=R1461,1,0),"")</f>
        <v/>
      </c>
      <c r="AB1461" s="76" t="str">
        <f>IF(OR(X1461="Envoyé",X1461="Partiel",X1461="En retard"),IF(ISNUMBER(R1461),R1461,100000)+ROW()/100000,"")</f>
        <v/>
      </c>
      <c r="AC1461" s="66" t="str">
        <f>IF(A1461="","",IF(COUNTIF($A$6:A1461,A1461)=1,1,""))</f>
        <v/>
      </c>
      <c r="AD1461" s="66" t="str">
        <f>IF(AC1461=1,COUNT($AC$6:AC1461),"")</f>
        <v/>
      </c>
      <c r="AE1461" s="66" t="str">
        <f>IFERROR(INDEX(po_num,MATCH(1456,po_seq,0))&amp;"","")</f>
        <v/>
      </c>
      <c r="AF1461" s="66" t="str">
        <f>IF(OR(A1461="",p_po=""),"",IF(A1461&amp;""=p_po,COUNTIF($A$6:A1461,A1461),""))</f>
        <v/>
      </c>
      <c r="AG1461" s="66" t="str">
        <f>IF(OR(AB1461="",A1461=""),"",IF(COUNTIFS($A$6:A1461,A1461,$AB$6:AB1461,"&gt;0")=1,1,""))</f>
        <v/>
      </c>
      <c r="AH1461" s="70" t="str">
        <f>IF(AB1461="","",ROUND(N(W1461)*N(J1461)*(1-N(K1461)),2))</f>
        <v/>
      </c>
      <c r="AI1461" s="70" t="str">
        <f>IF(OR(J1461="",N(T1461)&lt;=0,V1461="Oui"),"",ROUND(N(T1461)*J1461*(1-N(K1461)),2))</f>
        <v/>
      </c>
    </row>
    <row r="1462">
      <c r="A1462" s="63" t="n"/>
      <c r="B1462" s="64" t="n"/>
      <c r="C1462" s="65" t="n"/>
      <c r="D1462" s="66" t="str">
        <f>IF(C1462="","",IFERROR(INDEX(sup_name,MATCH($C1462,sup_code,0))&amp;"","Fournisseur inconnu"))</f>
        <v/>
      </c>
      <c r="E1462" s="63" t="n"/>
      <c r="F1462" s="66" t="str">
        <f>IF(E1462="","",IFERROR(INDEX(art_des,MATCH($E1462,art_ref,0))&amp;"","Article inconnu"))</f>
        <v/>
      </c>
      <c r="G1462" s="67" t="str">
        <f>IF(E1462="","",IFERROR(INDEX(art_unit,MATCH($E1462,art_ref,0))&amp;"",""))</f>
        <v/>
      </c>
      <c r="H1462" s="68" t="n"/>
      <c r="I1462" s="69" t="n"/>
      <c r="J1462" s="70" t="str">
        <f>IF(E1462="","",IF(ISNUMBER(I1462),I1462,IFERROR(IF(ISNUMBER(INDEX(art_price,MATCH($E1462,art_ref,0))),INDEX(art_price,MATCH($E1462,art_ref,0)),""),"")))</f>
        <v/>
      </c>
      <c r="K1462" s="71" t="n"/>
      <c r="L1462" s="72" t="n"/>
      <c r="M1462" s="72" t="str">
        <f>IF(E1462="","",IF(L1462&lt;&gt;"",L1462,IFERROR(IF(ISNUMBER(INDEX(art_tva,MATCH($E1462,art_ref,0))),INDEX(art_tva,MATCH($E1462,art_ref,0)),""),"")))</f>
        <v/>
      </c>
      <c r="N1462" s="70" t="str">
        <f>IF(OR(E1462="",J1462=""),"",ROUND(N(H1462)*J1462*(1-N(K1462)),2))</f>
        <v/>
      </c>
      <c r="O1462" s="70" t="str">
        <f>IF(OR(N1462="",NOT(ISNUMBER(M1462))),"",ROUND(N1462*M1462,2))</f>
        <v/>
      </c>
      <c r="P1462" s="70" t="str">
        <f>IF(N1462="","",N1462+N(O1462))</f>
        <v/>
      </c>
      <c r="Q1462" s="64" t="n"/>
      <c r="R1462" s="73" t="str">
        <f>IF(N(Q1462)&gt;0,Q1462,IF(OR(N(B1462)=0,ISNA(MATCH($C1462,sup_code,0))),"",IF(ISNUMBER(INDEX(sup_delay,MATCH($C1462,sup_code,0))),B1462+INDEX(sup_delay,MATCH($C1462,sup_code,0)),"")))</f>
        <v/>
      </c>
      <c r="S1462" s="64" t="n"/>
      <c r="T1462" s="68" t="n"/>
      <c r="U1462" s="64" t="n"/>
      <c r="V1462" s="65" t="n"/>
      <c r="W1462" s="74" t="str">
        <f>IF(AND(A1462="",E1462=""),"",IF(V1462="Oui",0,MAX(0,ROUND(N(H1462)-N(T1462),6))))</f>
        <v/>
      </c>
      <c r="X1462" s="67" t="str">
        <f>IF(AND(A1462="",E1462=""),"",IF(V1462="Oui","Annulé",IF(AND(N(H1462)&gt;0,N(T1462)&gt;=N(H1462)),"Reçu",IF(N(S1462)=0,"Brouillon",IF(AND(ISNUMBER(R1462),R1462&lt;p_today),"En retard",IF(N(T1462)&gt;0,"Partiel","Envoyé"))))))</f>
        <v/>
      </c>
      <c r="Y1462" s="75" t="str">
        <f>IF(X1462="En retard",p_today-R1462,IF(AND(X1462="Reçu",ISNUMBER(R1462)),MAX(0,N(U1462)-R1462),""))</f>
        <v/>
      </c>
      <c r="Z1462" s="67" t="str">
        <f>IF(AND(A1462="",E1462=""),"",IF(A1462="","N° de bon manquant",IF(N(B1462)=0,"Date de commande manquante",IF(C1462="","Fournisseur manquant",IF(ISNA(MATCH($C1462,sup_code,0)),"Fournisseur inconnu",IF(E1462="","Article manquant",IF(ISNA(MATCH($E1462,art_ref,0)),"Article inconnu",IF(N(H1462)&lt;=0,"Quantité invalide",IF(J1462="","Prix manquant",IF(OR(N(K1462)&lt;0,N(K1462)&gt;=1),"Remise invalide",IF(M1462="","TVA manquante",IF(ISNA(MATCH(M1462,p_tva,0)),"Taux de TVA inconnu",IF(COUNTIFS(po_num,A1462,po_sup,"&lt;&gt;"&amp;C1462)&gt;0,"Fournisseur différent sur ce bon",IF(COUNTIFS(po_num,A1462,po_date,"&lt;&gt;"&amp;B1462)&gt;0,"Date différente sur ce bon",IF(COUNTIF(po_num,A1462)&gt;25,"Plus de 25 lignes sur ce bon",IF(R1462="","Date de livraison manquante",IF(R1462&lt;B1462,"Livraison avant la commande",IF(AND(N(T1462)&gt;0,N(S1462)=0),"Date d'envoi manquante",IF(N(T1462)&gt;N(H1462),"Reçu plus que commandé",IF(AND(N(T1462)&gt;0,N(U1462)=0),"Date de réception manquante",IF(AND(N(U1462)&gt;0,U1462&lt;B1462),"Réception avant la commande","OK")))))))))))))))))))))</f>
        <v/>
      </c>
      <c r="AA1462" s="66" t="str">
        <f>IF(AND(X1462="Reçu",ISNUMBER(R1462)),IF(N(U1462)&lt;=R1462,1,0),"")</f>
        <v/>
      </c>
      <c r="AB1462" s="76" t="str">
        <f>IF(OR(X1462="Envoyé",X1462="Partiel",X1462="En retard"),IF(ISNUMBER(R1462),R1462,100000)+ROW()/100000,"")</f>
        <v/>
      </c>
      <c r="AC1462" s="66" t="str">
        <f>IF(A1462="","",IF(COUNTIF($A$6:A1462,A1462)=1,1,""))</f>
        <v/>
      </c>
      <c r="AD1462" s="66" t="str">
        <f>IF(AC1462=1,COUNT($AC$6:AC1462),"")</f>
        <v/>
      </c>
      <c r="AE1462" s="66" t="str">
        <f>IFERROR(INDEX(po_num,MATCH(1457,po_seq,0))&amp;"","")</f>
        <v/>
      </c>
      <c r="AF1462" s="66" t="str">
        <f>IF(OR(A1462="",p_po=""),"",IF(A1462&amp;""=p_po,COUNTIF($A$6:A1462,A1462),""))</f>
        <v/>
      </c>
      <c r="AG1462" s="66" t="str">
        <f>IF(OR(AB1462="",A1462=""),"",IF(COUNTIFS($A$6:A1462,A1462,$AB$6:AB1462,"&gt;0")=1,1,""))</f>
        <v/>
      </c>
      <c r="AH1462" s="70" t="str">
        <f>IF(AB1462="","",ROUND(N(W1462)*N(J1462)*(1-N(K1462)),2))</f>
        <v/>
      </c>
      <c r="AI1462" s="70" t="str">
        <f>IF(OR(J1462="",N(T1462)&lt;=0,V1462="Oui"),"",ROUND(N(T1462)*J1462*(1-N(K1462)),2))</f>
        <v/>
      </c>
    </row>
    <row r="1463">
      <c r="A1463" s="63" t="n"/>
      <c r="B1463" s="64" t="n"/>
      <c r="C1463" s="65" t="n"/>
      <c r="D1463" s="66" t="str">
        <f>IF(C1463="","",IFERROR(INDEX(sup_name,MATCH($C1463,sup_code,0))&amp;"","Fournisseur inconnu"))</f>
        <v/>
      </c>
      <c r="E1463" s="63" t="n"/>
      <c r="F1463" s="66" t="str">
        <f>IF(E1463="","",IFERROR(INDEX(art_des,MATCH($E1463,art_ref,0))&amp;"","Article inconnu"))</f>
        <v/>
      </c>
      <c r="G1463" s="67" t="str">
        <f>IF(E1463="","",IFERROR(INDEX(art_unit,MATCH($E1463,art_ref,0))&amp;"",""))</f>
        <v/>
      </c>
      <c r="H1463" s="68" t="n"/>
      <c r="I1463" s="69" t="n"/>
      <c r="J1463" s="70" t="str">
        <f>IF(E1463="","",IF(ISNUMBER(I1463),I1463,IFERROR(IF(ISNUMBER(INDEX(art_price,MATCH($E1463,art_ref,0))),INDEX(art_price,MATCH($E1463,art_ref,0)),""),"")))</f>
        <v/>
      </c>
      <c r="K1463" s="71" t="n"/>
      <c r="L1463" s="72" t="n"/>
      <c r="M1463" s="72" t="str">
        <f>IF(E1463="","",IF(L1463&lt;&gt;"",L1463,IFERROR(IF(ISNUMBER(INDEX(art_tva,MATCH($E1463,art_ref,0))),INDEX(art_tva,MATCH($E1463,art_ref,0)),""),"")))</f>
        <v/>
      </c>
      <c r="N1463" s="70" t="str">
        <f>IF(OR(E1463="",J1463=""),"",ROUND(N(H1463)*J1463*(1-N(K1463)),2))</f>
        <v/>
      </c>
      <c r="O1463" s="70" t="str">
        <f>IF(OR(N1463="",NOT(ISNUMBER(M1463))),"",ROUND(N1463*M1463,2))</f>
        <v/>
      </c>
      <c r="P1463" s="70" t="str">
        <f>IF(N1463="","",N1463+N(O1463))</f>
        <v/>
      </c>
      <c r="Q1463" s="64" t="n"/>
      <c r="R1463" s="73" t="str">
        <f>IF(N(Q1463)&gt;0,Q1463,IF(OR(N(B1463)=0,ISNA(MATCH($C1463,sup_code,0))),"",IF(ISNUMBER(INDEX(sup_delay,MATCH($C1463,sup_code,0))),B1463+INDEX(sup_delay,MATCH($C1463,sup_code,0)),"")))</f>
        <v/>
      </c>
      <c r="S1463" s="64" t="n"/>
      <c r="T1463" s="68" t="n"/>
      <c r="U1463" s="64" t="n"/>
      <c r="V1463" s="65" t="n"/>
      <c r="W1463" s="74" t="str">
        <f>IF(AND(A1463="",E1463=""),"",IF(V1463="Oui",0,MAX(0,ROUND(N(H1463)-N(T1463),6))))</f>
        <v/>
      </c>
      <c r="X1463" s="67" t="str">
        <f>IF(AND(A1463="",E1463=""),"",IF(V1463="Oui","Annulé",IF(AND(N(H1463)&gt;0,N(T1463)&gt;=N(H1463)),"Reçu",IF(N(S1463)=0,"Brouillon",IF(AND(ISNUMBER(R1463),R1463&lt;p_today),"En retard",IF(N(T1463)&gt;0,"Partiel","Envoyé"))))))</f>
        <v/>
      </c>
      <c r="Y1463" s="75" t="str">
        <f>IF(X1463="En retard",p_today-R1463,IF(AND(X1463="Reçu",ISNUMBER(R1463)),MAX(0,N(U1463)-R1463),""))</f>
        <v/>
      </c>
      <c r="Z1463" s="67" t="str">
        <f>IF(AND(A1463="",E1463=""),"",IF(A1463="","N° de bon manquant",IF(N(B1463)=0,"Date de commande manquante",IF(C1463="","Fournisseur manquant",IF(ISNA(MATCH($C1463,sup_code,0)),"Fournisseur inconnu",IF(E1463="","Article manquant",IF(ISNA(MATCH($E1463,art_ref,0)),"Article inconnu",IF(N(H1463)&lt;=0,"Quantité invalide",IF(J1463="","Prix manquant",IF(OR(N(K1463)&lt;0,N(K1463)&gt;=1),"Remise invalide",IF(M1463="","TVA manquante",IF(ISNA(MATCH(M1463,p_tva,0)),"Taux de TVA inconnu",IF(COUNTIFS(po_num,A1463,po_sup,"&lt;&gt;"&amp;C1463)&gt;0,"Fournisseur différent sur ce bon",IF(COUNTIFS(po_num,A1463,po_date,"&lt;&gt;"&amp;B1463)&gt;0,"Date différente sur ce bon",IF(COUNTIF(po_num,A1463)&gt;25,"Plus de 25 lignes sur ce bon",IF(R1463="","Date de livraison manquante",IF(R1463&lt;B1463,"Livraison avant la commande",IF(AND(N(T1463)&gt;0,N(S1463)=0),"Date d'envoi manquante",IF(N(T1463)&gt;N(H1463),"Reçu plus que commandé",IF(AND(N(T1463)&gt;0,N(U1463)=0),"Date de réception manquante",IF(AND(N(U1463)&gt;0,U1463&lt;B1463),"Réception avant la commande","OK")))))))))))))))))))))</f>
        <v/>
      </c>
      <c r="AA1463" s="66" t="str">
        <f>IF(AND(X1463="Reçu",ISNUMBER(R1463)),IF(N(U1463)&lt;=R1463,1,0),"")</f>
        <v/>
      </c>
      <c r="AB1463" s="76" t="str">
        <f>IF(OR(X1463="Envoyé",X1463="Partiel",X1463="En retard"),IF(ISNUMBER(R1463),R1463,100000)+ROW()/100000,"")</f>
        <v/>
      </c>
      <c r="AC1463" s="66" t="str">
        <f>IF(A1463="","",IF(COUNTIF($A$6:A1463,A1463)=1,1,""))</f>
        <v/>
      </c>
      <c r="AD1463" s="66" t="str">
        <f>IF(AC1463=1,COUNT($AC$6:AC1463),"")</f>
        <v/>
      </c>
      <c r="AE1463" s="66" t="str">
        <f>IFERROR(INDEX(po_num,MATCH(1458,po_seq,0))&amp;"","")</f>
        <v/>
      </c>
      <c r="AF1463" s="66" t="str">
        <f>IF(OR(A1463="",p_po=""),"",IF(A1463&amp;""=p_po,COUNTIF($A$6:A1463,A1463),""))</f>
        <v/>
      </c>
      <c r="AG1463" s="66" t="str">
        <f>IF(OR(AB1463="",A1463=""),"",IF(COUNTIFS($A$6:A1463,A1463,$AB$6:AB1463,"&gt;0")=1,1,""))</f>
        <v/>
      </c>
      <c r="AH1463" s="70" t="str">
        <f>IF(AB1463="","",ROUND(N(W1463)*N(J1463)*(1-N(K1463)),2))</f>
        <v/>
      </c>
      <c r="AI1463" s="70" t="str">
        <f>IF(OR(J1463="",N(T1463)&lt;=0,V1463="Oui"),"",ROUND(N(T1463)*J1463*(1-N(K1463)),2))</f>
        <v/>
      </c>
    </row>
    <row r="1464">
      <c r="A1464" s="63" t="n"/>
      <c r="B1464" s="64" t="n"/>
      <c r="C1464" s="65" t="n"/>
      <c r="D1464" s="66" t="str">
        <f>IF(C1464="","",IFERROR(INDEX(sup_name,MATCH($C1464,sup_code,0))&amp;"","Fournisseur inconnu"))</f>
        <v/>
      </c>
      <c r="E1464" s="63" t="n"/>
      <c r="F1464" s="66" t="str">
        <f>IF(E1464="","",IFERROR(INDEX(art_des,MATCH($E1464,art_ref,0))&amp;"","Article inconnu"))</f>
        <v/>
      </c>
      <c r="G1464" s="67" t="str">
        <f>IF(E1464="","",IFERROR(INDEX(art_unit,MATCH($E1464,art_ref,0))&amp;"",""))</f>
        <v/>
      </c>
      <c r="H1464" s="68" t="n"/>
      <c r="I1464" s="69" t="n"/>
      <c r="J1464" s="70" t="str">
        <f>IF(E1464="","",IF(ISNUMBER(I1464),I1464,IFERROR(IF(ISNUMBER(INDEX(art_price,MATCH($E1464,art_ref,0))),INDEX(art_price,MATCH($E1464,art_ref,0)),""),"")))</f>
        <v/>
      </c>
      <c r="K1464" s="71" t="n"/>
      <c r="L1464" s="72" t="n"/>
      <c r="M1464" s="72" t="str">
        <f>IF(E1464="","",IF(L1464&lt;&gt;"",L1464,IFERROR(IF(ISNUMBER(INDEX(art_tva,MATCH($E1464,art_ref,0))),INDEX(art_tva,MATCH($E1464,art_ref,0)),""),"")))</f>
        <v/>
      </c>
      <c r="N1464" s="70" t="str">
        <f>IF(OR(E1464="",J1464=""),"",ROUND(N(H1464)*J1464*(1-N(K1464)),2))</f>
        <v/>
      </c>
      <c r="O1464" s="70" t="str">
        <f>IF(OR(N1464="",NOT(ISNUMBER(M1464))),"",ROUND(N1464*M1464,2))</f>
        <v/>
      </c>
      <c r="P1464" s="70" t="str">
        <f>IF(N1464="","",N1464+N(O1464))</f>
        <v/>
      </c>
      <c r="Q1464" s="64" t="n"/>
      <c r="R1464" s="73" t="str">
        <f>IF(N(Q1464)&gt;0,Q1464,IF(OR(N(B1464)=0,ISNA(MATCH($C1464,sup_code,0))),"",IF(ISNUMBER(INDEX(sup_delay,MATCH($C1464,sup_code,0))),B1464+INDEX(sup_delay,MATCH($C1464,sup_code,0)),"")))</f>
        <v/>
      </c>
      <c r="S1464" s="64" t="n"/>
      <c r="T1464" s="68" t="n"/>
      <c r="U1464" s="64" t="n"/>
      <c r="V1464" s="65" t="n"/>
      <c r="W1464" s="74" t="str">
        <f>IF(AND(A1464="",E1464=""),"",IF(V1464="Oui",0,MAX(0,ROUND(N(H1464)-N(T1464),6))))</f>
        <v/>
      </c>
      <c r="X1464" s="67" t="str">
        <f>IF(AND(A1464="",E1464=""),"",IF(V1464="Oui","Annulé",IF(AND(N(H1464)&gt;0,N(T1464)&gt;=N(H1464)),"Reçu",IF(N(S1464)=0,"Brouillon",IF(AND(ISNUMBER(R1464),R1464&lt;p_today),"En retard",IF(N(T1464)&gt;0,"Partiel","Envoyé"))))))</f>
        <v/>
      </c>
      <c r="Y1464" s="75" t="str">
        <f>IF(X1464="En retard",p_today-R1464,IF(AND(X1464="Reçu",ISNUMBER(R1464)),MAX(0,N(U1464)-R1464),""))</f>
        <v/>
      </c>
      <c r="Z1464" s="67" t="str">
        <f>IF(AND(A1464="",E1464=""),"",IF(A1464="","N° de bon manquant",IF(N(B1464)=0,"Date de commande manquante",IF(C1464="","Fournisseur manquant",IF(ISNA(MATCH($C1464,sup_code,0)),"Fournisseur inconnu",IF(E1464="","Article manquant",IF(ISNA(MATCH($E1464,art_ref,0)),"Article inconnu",IF(N(H1464)&lt;=0,"Quantité invalide",IF(J1464="","Prix manquant",IF(OR(N(K1464)&lt;0,N(K1464)&gt;=1),"Remise invalide",IF(M1464="","TVA manquante",IF(ISNA(MATCH(M1464,p_tva,0)),"Taux de TVA inconnu",IF(COUNTIFS(po_num,A1464,po_sup,"&lt;&gt;"&amp;C1464)&gt;0,"Fournisseur différent sur ce bon",IF(COUNTIFS(po_num,A1464,po_date,"&lt;&gt;"&amp;B1464)&gt;0,"Date différente sur ce bon",IF(COUNTIF(po_num,A1464)&gt;25,"Plus de 25 lignes sur ce bon",IF(R1464="","Date de livraison manquante",IF(R1464&lt;B1464,"Livraison avant la commande",IF(AND(N(T1464)&gt;0,N(S1464)=0),"Date d'envoi manquante",IF(N(T1464)&gt;N(H1464),"Reçu plus que commandé",IF(AND(N(T1464)&gt;0,N(U1464)=0),"Date de réception manquante",IF(AND(N(U1464)&gt;0,U1464&lt;B1464),"Réception avant la commande","OK")))))))))))))))))))))</f>
        <v/>
      </c>
      <c r="AA1464" s="66" t="str">
        <f>IF(AND(X1464="Reçu",ISNUMBER(R1464)),IF(N(U1464)&lt;=R1464,1,0),"")</f>
        <v/>
      </c>
      <c r="AB1464" s="76" t="str">
        <f>IF(OR(X1464="Envoyé",X1464="Partiel",X1464="En retard"),IF(ISNUMBER(R1464),R1464,100000)+ROW()/100000,"")</f>
        <v/>
      </c>
      <c r="AC1464" s="66" t="str">
        <f>IF(A1464="","",IF(COUNTIF($A$6:A1464,A1464)=1,1,""))</f>
        <v/>
      </c>
      <c r="AD1464" s="66" t="str">
        <f>IF(AC1464=1,COUNT($AC$6:AC1464),"")</f>
        <v/>
      </c>
      <c r="AE1464" s="66" t="str">
        <f>IFERROR(INDEX(po_num,MATCH(1459,po_seq,0))&amp;"","")</f>
        <v/>
      </c>
      <c r="AF1464" s="66" t="str">
        <f>IF(OR(A1464="",p_po=""),"",IF(A1464&amp;""=p_po,COUNTIF($A$6:A1464,A1464),""))</f>
        <v/>
      </c>
      <c r="AG1464" s="66" t="str">
        <f>IF(OR(AB1464="",A1464=""),"",IF(COUNTIFS($A$6:A1464,A1464,$AB$6:AB1464,"&gt;0")=1,1,""))</f>
        <v/>
      </c>
      <c r="AH1464" s="70" t="str">
        <f>IF(AB1464="","",ROUND(N(W1464)*N(J1464)*(1-N(K1464)),2))</f>
        <v/>
      </c>
      <c r="AI1464" s="70" t="str">
        <f>IF(OR(J1464="",N(T1464)&lt;=0,V1464="Oui"),"",ROUND(N(T1464)*J1464*(1-N(K1464)),2))</f>
        <v/>
      </c>
    </row>
    <row r="1465">
      <c r="A1465" s="63" t="n"/>
      <c r="B1465" s="64" t="n"/>
      <c r="C1465" s="65" t="n"/>
      <c r="D1465" s="66" t="str">
        <f>IF(C1465="","",IFERROR(INDEX(sup_name,MATCH($C1465,sup_code,0))&amp;"","Fournisseur inconnu"))</f>
        <v/>
      </c>
      <c r="E1465" s="63" t="n"/>
      <c r="F1465" s="66" t="str">
        <f>IF(E1465="","",IFERROR(INDEX(art_des,MATCH($E1465,art_ref,0))&amp;"","Article inconnu"))</f>
        <v/>
      </c>
      <c r="G1465" s="67" t="str">
        <f>IF(E1465="","",IFERROR(INDEX(art_unit,MATCH($E1465,art_ref,0))&amp;"",""))</f>
        <v/>
      </c>
      <c r="H1465" s="68" t="n"/>
      <c r="I1465" s="69" t="n"/>
      <c r="J1465" s="70" t="str">
        <f>IF(E1465="","",IF(ISNUMBER(I1465),I1465,IFERROR(IF(ISNUMBER(INDEX(art_price,MATCH($E1465,art_ref,0))),INDEX(art_price,MATCH($E1465,art_ref,0)),""),"")))</f>
        <v/>
      </c>
      <c r="K1465" s="71" t="n"/>
      <c r="L1465" s="72" t="n"/>
      <c r="M1465" s="72" t="str">
        <f>IF(E1465="","",IF(L1465&lt;&gt;"",L1465,IFERROR(IF(ISNUMBER(INDEX(art_tva,MATCH($E1465,art_ref,0))),INDEX(art_tva,MATCH($E1465,art_ref,0)),""),"")))</f>
        <v/>
      </c>
      <c r="N1465" s="70" t="str">
        <f>IF(OR(E1465="",J1465=""),"",ROUND(N(H1465)*J1465*(1-N(K1465)),2))</f>
        <v/>
      </c>
      <c r="O1465" s="70" t="str">
        <f>IF(OR(N1465="",NOT(ISNUMBER(M1465))),"",ROUND(N1465*M1465,2))</f>
        <v/>
      </c>
      <c r="P1465" s="70" t="str">
        <f>IF(N1465="","",N1465+N(O1465))</f>
        <v/>
      </c>
      <c r="Q1465" s="64" t="n"/>
      <c r="R1465" s="73" t="str">
        <f>IF(N(Q1465)&gt;0,Q1465,IF(OR(N(B1465)=0,ISNA(MATCH($C1465,sup_code,0))),"",IF(ISNUMBER(INDEX(sup_delay,MATCH($C1465,sup_code,0))),B1465+INDEX(sup_delay,MATCH($C1465,sup_code,0)),"")))</f>
        <v/>
      </c>
      <c r="S1465" s="64" t="n"/>
      <c r="T1465" s="68" t="n"/>
      <c r="U1465" s="64" t="n"/>
      <c r="V1465" s="65" t="n"/>
      <c r="W1465" s="74" t="str">
        <f>IF(AND(A1465="",E1465=""),"",IF(V1465="Oui",0,MAX(0,ROUND(N(H1465)-N(T1465),6))))</f>
        <v/>
      </c>
      <c r="X1465" s="67" t="str">
        <f>IF(AND(A1465="",E1465=""),"",IF(V1465="Oui","Annulé",IF(AND(N(H1465)&gt;0,N(T1465)&gt;=N(H1465)),"Reçu",IF(N(S1465)=0,"Brouillon",IF(AND(ISNUMBER(R1465),R1465&lt;p_today),"En retard",IF(N(T1465)&gt;0,"Partiel","Envoyé"))))))</f>
        <v/>
      </c>
      <c r="Y1465" s="75" t="str">
        <f>IF(X1465="En retard",p_today-R1465,IF(AND(X1465="Reçu",ISNUMBER(R1465)),MAX(0,N(U1465)-R1465),""))</f>
        <v/>
      </c>
      <c r="Z1465" s="67" t="str">
        <f>IF(AND(A1465="",E1465=""),"",IF(A1465="","N° de bon manquant",IF(N(B1465)=0,"Date de commande manquante",IF(C1465="","Fournisseur manquant",IF(ISNA(MATCH($C1465,sup_code,0)),"Fournisseur inconnu",IF(E1465="","Article manquant",IF(ISNA(MATCH($E1465,art_ref,0)),"Article inconnu",IF(N(H1465)&lt;=0,"Quantité invalide",IF(J1465="","Prix manquant",IF(OR(N(K1465)&lt;0,N(K1465)&gt;=1),"Remise invalide",IF(M1465="","TVA manquante",IF(ISNA(MATCH(M1465,p_tva,0)),"Taux de TVA inconnu",IF(COUNTIFS(po_num,A1465,po_sup,"&lt;&gt;"&amp;C1465)&gt;0,"Fournisseur différent sur ce bon",IF(COUNTIFS(po_num,A1465,po_date,"&lt;&gt;"&amp;B1465)&gt;0,"Date différente sur ce bon",IF(COUNTIF(po_num,A1465)&gt;25,"Plus de 25 lignes sur ce bon",IF(R1465="","Date de livraison manquante",IF(R1465&lt;B1465,"Livraison avant la commande",IF(AND(N(T1465)&gt;0,N(S1465)=0),"Date d'envoi manquante",IF(N(T1465)&gt;N(H1465),"Reçu plus que commandé",IF(AND(N(T1465)&gt;0,N(U1465)=0),"Date de réception manquante",IF(AND(N(U1465)&gt;0,U1465&lt;B1465),"Réception avant la commande","OK")))))))))))))))))))))</f>
        <v/>
      </c>
      <c r="AA1465" s="66" t="str">
        <f>IF(AND(X1465="Reçu",ISNUMBER(R1465)),IF(N(U1465)&lt;=R1465,1,0),"")</f>
        <v/>
      </c>
      <c r="AB1465" s="76" t="str">
        <f>IF(OR(X1465="Envoyé",X1465="Partiel",X1465="En retard"),IF(ISNUMBER(R1465),R1465,100000)+ROW()/100000,"")</f>
        <v/>
      </c>
      <c r="AC1465" s="66" t="str">
        <f>IF(A1465="","",IF(COUNTIF($A$6:A1465,A1465)=1,1,""))</f>
        <v/>
      </c>
      <c r="AD1465" s="66" t="str">
        <f>IF(AC1465=1,COUNT($AC$6:AC1465),"")</f>
        <v/>
      </c>
      <c r="AE1465" s="66" t="str">
        <f>IFERROR(INDEX(po_num,MATCH(1460,po_seq,0))&amp;"","")</f>
        <v/>
      </c>
      <c r="AF1465" s="66" t="str">
        <f>IF(OR(A1465="",p_po=""),"",IF(A1465&amp;""=p_po,COUNTIF($A$6:A1465,A1465),""))</f>
        <v/>
      </c>
      <c r="AG1465" s="66" t="str">
        <f>IF(OR(AB1465="",A1465=""),"",IF(COUNTIFS($A$6:A1465,A1465,$AB$6:AB1465,"&gt;0")=1,1,""))</f>
        <v/>
      </c>
      <c r="AH1465" s="70" t="str">
        <f>IF(AB1465="","",ROUND(N(W1465)*N(J1465)*(1-N(K1465)),2))</f>
        <v/>
      </c>
      <c r="AI1465" s="70" t="str">
        <f>IF(OR(J1465="",N(T1465)&lt;=0,V1465="Oui"),"",ROUND(N(T1465)*J1465*(1-N(K1465)),2))</f>
        <v/>
      </c>
    </row>
    <row r="1466">
      <c r="A1466" s="63" t="n"/>
      <c r="B1466" s="64" t="n"/>
      <c r="C1466" s="65" t="n"/>
      <c r="D1466" s="66" t="str">
        <f>IF(C1466="","",IFERROR(INDEX(sup_name,MATCH($C1466,sup_code,0))&amp;"","Fournisseur inconnu"))</f>
        <v/>
      </c>
      <c r="E1466" s="63" t="n"/>
      <c r="F1466" s="66" t="str">
        <f>IF(E1466="","",IFERROR(INDEX(art_des,MATCH($E1466,art_ref,0))&amp;"","Article inconnu"))</f>
        <v/>
      </c>
      <c r="G1466" s="67" t="str">
        <f>IF(E1466="","",IFERROR(INDEX(art_unit,MATCH($E1466,art_ref,0))&amp;"",""))</f>
        <v/>
      </c>
      <c r="H1466" s="68" t="n"/>
      <c r="I1466" s="69" t="n"/>
      <c r="J1466" s="70" t="str">
        <f>IF(E1466="","",IF(ISNUMBER(I1466),I1466,IFERROR(IF(ISNUMBER(INDEX(art_price,MATCH($E1466,art_ref,0))),INDEX(art_price,MATCH($E1466,art_ref,0)),""),"")))</f>
        <v/>
      </c>
      <c r="K1466" s="71" t="n"/>
      <c r="L1466" s="72" t="n"/>
      <c r="M1466" s="72" t="str">
        <f>IF(E1466="","",IF(L1466&lt;&gt;"",L1466,IFERROR(IF(ISNUMBER(INDEX(art_tva,MATCH($E1466,art_ref,0))),INDEX(art_tva,MATCH($E1466,art_ref,0)),""),"")))</f>
        <v/>
      </c>
      <c r="N1466" s="70" t="str">
        <f>IF(OR(E1466="",J1466=""),"",ROUND(N(H1466)*J1466*(1-N(K1466)),2))</f>
        <v/>
      </c>
      <c r="O1466" s="70" t="str">
        <f>IF(OR(N1466="",NOT(ISNUMBER(M1466))),"",ROUND(N1466*M1466,2))</f>
        <v/>
      </c>
      <c r="P1466" s="70" t="str">
        <f>IF(N1466="","",N1466+N(O1466))</f>
        <v/>
      </c>
      <c r="Q1466" s="64" t="n"/>
      <c r="R1466" s="73" t="str">
        <f>IF(N(Q1466)&gt;0,Q1466,IF(OR(N(B1466)=0,ISNA(MATCH($C1466,sup_code,0))),"",IF(ISNUMBER(INDEX(sup_delay,MATCH($C1466,sup_code,0))),B1466+INDEX(sup_delay,MATCH($C1466,sup_code,0)),"")))</f>
        <v/>
      </c>
      <c r="S1466" s="64" t="n"/>
      <c r="T1466" s="68" t="n"/>
      <c r="U1466" s="64" t="n"/>
      <c r="V1466" s="65" t="n"/>
      <c r="W1466" s="74" t="str">
        <f>IF(AND(A1466="",E1466=""),"",IF(V1466="Oui",0,MAX(0,ROUND(N(H1466)-N(T1466),6))))</f>
        <v/>
      </c>
      <c r="X1466" s="67" t="str">
        <f>IF(AND(A1466="",E1466=""),"",IF(V1466="Oui","Annulé",IF(AND(N(H1466)&gt;0,N(T1466)&gt;=N(H1466)),"Reçu",IF(N(S1466)=0,"Brouillon",IF(AND(ISNUMBER(R1466),R1466&lt;p_today),"En retard",IF(N(T1466)&gt;0,"Partiel","Envoyé"))))))</f>
        <v/>
      </c>
      <c r="Y1466" s="75" t="str">
        <f>IF(X1466="En retard",p_today-R1466,IF(AND(X1466="Reçu",ISNUMBER(R1466)),MAX(0,N(U1466)-R1466),""))</f>
        <v/>
      </c>
      <c r="Z1466" s="67" t="str">
        <f>IF(AND(A1466="",E1466=""),"",IF(A1466="","N° de bon manquant",IF(N(B1466)=0,"Date de commande manquante",IF(C1466="","Fournisseur manquant",IF(ISNA(MATCH($C1466,sup_code,0)),"Fournisseur inconnu",IF(E1466="","Article manquant",IF(ISNA(MATCH($E1466,art_ref,0)),"Article inconnu",IF(N(H1466)&lt;=0,"Quantité invalide",IF(J1466="","Prix manquant",IF(OR(N(K1466)&lt;0,N(K1466)&gt;=1),"Remise invalide",IF(M1466="","TVA manquante",IF(ISNA(MATCH(M1466,p_tva,0)),"Taux de TVA inconnu",IF(COUNTIFS(po_num,A1466,po_sup,"&lt;&gt;"&amp;C1466)&gt;0,"Fournisseur différent sur ce bon",IF(COUNTIFS(po_num,A1466,po_date,"&lt;&gt;"&amp;B1466)&gt;0,"Date différente sur ce bon",IF(COUNTIF(po_num,A1466)&gt;25,"Plus de 25 lignes sur ce bon",IF(R1466="","Date de livraison manquante",IF(R1466&lt;B1466,"Livraison avant la commande",IF(AND(N(T1466)&gt;0,N(S1466)=0),"Date d'envoi manquante",IF(N(T1466)&gt;N(H1466),"Reçu plus que commandé",IF(AND(N(T1466)&gt;0,N(U1466)=0),"Date de réception manquante",IF(AND(N(U1466)&gt;0,U1466&lt;B1466),"Réception avant la commande","OK")))))))))))))))))))))</f>
        <v/>
      </c>
      <c r="AA1466" s="66" t="str">
        <f>IF(AND(X1466="Reçu",ISNUMBER(R1466)),IF(N(U1466)&lt;=R1466,1,0),"")</f>
        <v/>
      </c>
      <c r="AB1466" s="76" t="str">
        <f>IF(OR(X1466="Envoyé",X1466="Partiel",X1466="En retard"),IF(ISNUMBER(R1466),R1466,100000)+ROW()/100000,"")</f>
        <v/>
      </c>
      <c r="AC1466" s="66" t="str">
        <f>IF(A1466="","",IF(COUNTIF($A$6:A1466,A1466)=1,1,""))</f>
        <v/>
      </c>
      <c r="AD1466" s="66" t="str">
        <f>IF(AC1466=1,COUNT($AC$6:AC1466),"")</f>
        <v/>
      </c>
      <c r="AE1466" s="66" t="str">
        <f>IFERROR(INDEX(po_num,MATCH(1461,po_seq,0))&amp;"","")</f>
        <v/>
      </c>
      <c r="AF1466" s="66" t="str">
        <f>IF(OR(A1466="",p_po=""),"",IF(A1466&amp;""=p_po,COUNTIF($A$6:A1466,A1466),""))</f>
        <v/>
      </c>
      <c r="AG1466" s="66" t="str">
        <f>IF(OR(AB1466="",A1466=""),"",IF(COUNTIFS($A$6:A1466,A1466,$AB$6:AB1466,"&gt;0")=1,1,""))</f>
        <v/>
      </c>
      <c r="AH1466" s="70" t="str">
        <f>IF(AB1466="","",ROUND(N(W1466)*N(J1466)*(1-N(K1466)),2))</f>
        <v/>
      </c>
      <c r="AI1466" s="70" t="str">
        <f>IF(OR(J1466="",N(T1466)&lt;=0,V1466="Oui"),"",ROUND(N(T1466)*J1466*(1-N(K1466)),2))</f>
        <v/>
      </c>
    </row>
    <row r="1467">
      <c r="A1467" s="63" t="n"/>
      <c r="B1467" s="64" t="n"/>
      <c r="C1467" s="65" t="n"/>
      <c r="D1467" s="66" t="str">
        <f>IF(C1467="","",IFERROR(INDEX(sup_name,MATCH($C1467,sup_code,0))&amp;"","Fournisseur inconnu"))</f>
        <v/>
      </c>
      <c r="E1467" s="63" t="n"/>
      <c r="F1467" s="66" t="str">
        <f>IF(E1467="","",IFERROR(INDEX(art_des,MATCH($E1467,art_ref,0))&amp;"","Article inconnu"))</f>
        <v/>
      </c>
      <c r="G1467" s="67" t="str">
        <f>IF(E1467="","",IFERROR(INDEX(art_unit,MATCH($E1467,art_ref,0))&amp;"",""))</f>
        <v/>
      </c>
      <c r="H1467" s="68" t="n"/>
      <c r="I1467" s="69" t="n"/>
      <c r="J1467" s="70" t="str">
        <f>IF(E1467="","",IF(ISNUMBER(I1467),I1467,IFERROR(IF(ISNUMBER(INDEX(art_price,MATCH($E1467,art_ref,0))),INDEX(art_price,MATCH($E1467,art_ref,0)),""),"")))</f>
        <v/>
      </c>
      <c r="K1467" s="71" t="n"/>
      <c r="L1467" s="72" t="n"/>
      <c r="M1467" s="72" t="str">
        <f>IF(E1467="","",IF(L1467&lt;&gt;"",L1467,IFERROR(IF(ISNUMBER(INDEX(art_tva,MATCH($E1467,art_ref,0))),INDEX(art_tva,MATCH($E1467,art_ref,0)),""),"")))</f>
        <v/>
      </c>
      <c r="N1467" s="70" t="str">
        <f>IF(OR(E1467="",J1467=""),"",ROUND(N(H1467)*J1467*(1-N(K1467)),2))</f>
        <v/>
      </c>
      <c r="O1467" s="70" t="str">
        <f>IF(OR(N1467="",NOT(ISNUMBER(M1467))),"",ROUND(N1467*M1467,2))</f>
        <v/>
      </c>
      <c r="P1467" s="70" t="str">
        <f>IF(N1467="","",N1467+N(O1467))</f>
        <v/>
      </c>
      <c r="Q1467" s="64" t="n"/>
      <c r="R1467" s="73" t="str">
        <f>IF(N(Q1467)&gt;0,Q1467,IF(OR(N(B1467)=0,ISNA(MATCH($C1467,sup_code,0))),"",IF(ISNUMBER(INDEX(sup_delay,MATCH($C1467,sup_code,0))),B1467+INDEX(sup_delay,MATCH($C1467,sup_code,0)),"")))</f>
        <v/>
      </c>
      <c r="S1467" s="64" t="n"/>
      <c r="T1467" s="68" t="n"/>
      <c r="U1467" s="64" t="n"/>
      <c r="V1467" s="65" t="n"/>
      <c r="W1467" s="74" t="str">
        <f>IF(AND(A1467="",E1467=""),"",IF(V1467="Oui",0,MAX(0,ROUND(N(H1467)-N(T1467),6))))</f>
        <v/>
      </c>
      <c r="X1467" s="67" t="str">
        <f>IF(AND(A1467="",E1467=""),"",IF(V1467="Oui","Annulé",IF(AND(N(H1467)&gt;0,N(T1467)&gt;=N(H1467)),"Reçu",IF(N(S1467)=0,"Brouillon",IF(AND(ISNUMBER(R1467),R1467&lt;p_today),"En retard",IF(N(T1467)&gt;0,"Partiel","Envoyé"))))))</f>
        <v/>
      </c>
      <c r="Y1467" s="75" t="str">
        <f>IF(X1467="En retard",p_today-R1467,IF(AND(X1467="Reçu",ISNUMBER(R1467)),MAX(0,N(U1467)-R1467),""))</f>
        <v/>
      </c>
      <c r="Z1467" s="67" t="str">
        <f>IF(AND(A1467="",E1467=""),"",IF(A1467="","N° de bon manquant",IF(N(B1467)=0,"Date de commande manquante",IF(C1467="","Fournisseur manquant",IF(ISNA(MATCH($C1467,sup_code,0)),"Fournisseur inconnu",IF(E1467="","Article manquant",IF(ISNA(MATCH($E1467,art_ref,0)),"Article inconnu",IF(N(H1467)&lt;=0,"Quantité invalide",IF(J1467="","Prix manquant",IF(OR(N(K1467)&lt;0,N(K1467)&gt;=1),"Remise invalide",IF(M1467="","TVA manquante",IF(ISNA(MATCH(M1467,p_tva,0)),"Taux de TVA inconnu",IF(COUNTIFS(po_num,A1467,po_sup,"&lt;&gt;"&amp;C1467)&gt;0,"Fournisseur différent sur ce bon",IF(COUNTIFS(po_num,A1467,po_date,"&lt;&gt;"&amp;B1467)&gt;0,"Date différente sur ce bon",IF(COUNTIF(po_num,A1467)&gt;25,"Plus de 25 lignes sur ce bon",IF(R1467="","Date de livraison manquante",IF(R1467&lt;B1467,"Livraison avant la commande",IF(AND(N(T1467)&gt;0,N(S1467)=0),"Date d'envoi manquante",IF(N(T1467)&gt;N(H1467),"Reçu plus que commandé",IF(AND(N(T1467)&gt;0,N(U1467)=0),"Date de réception manquante",IF(AND(N(U1467)&gt;0,U1467&lt;B1467),"Réception avant la commande","OK")))))))))))))))))))))</f>
        <v/>
      </c>
      <c r="AA1467" s="66" t="str">
        <f>IF(AND(X1467="Reçu",ISNUMBER(R1467)),IF(N(U1467)&lt;=R1467,1,0),"")</f>
        <v/>
      </c>
      <c r="AB1467" s="76" t="str">
        <f>IF(OR(X1467="Envoyé",X1467="Partiel",X1467="En retard"),IF(ISNUMBER(R1467),R1467,100000)+ROW()/100000,"")</f>
        <v/>
      </c>
      <c r="AC1467" s="66" t="str">
        <f>IF(A1467="","",IF(COUNTIF($A$6:A1467,A1467)=1,1,""))</f>
        <v/>
      </c>
      <c r="AD1467" s="66" t="str">
        <f>IF(AC1467=1,COUNT($AC$6:AC1467),"")</f>
        <v/>
      </c>
      <c r="AE1467" s="66" t="str">
        <f>IFERROR(INDEX(po_num,MATCH(1462,po_seq,0))&amp;"","")</f>
        <v/>
      </c>
      <c r="AF1467" s="66" t="str">
        <f>IF(OR(A1467="",p_po=""),"",IF(A1467&amp;""=p_po,COUNTIF($A$6:A1467,A1467),""))</f>
        <v/>
      </c>
      <c r="AG1467" s="66" t="str">
        <f>IF(OR(AB1467="",A1467=""),"",IF(COUNTIFS($A$6:A1467,A1467,$AB$6:AB1467,"&gt;0")=1,1,""))</f>
        <v/>
      </c>
      <c r="AH1467" s="70" t="str">
        <f>IF(AB1467="","",ROUND(N(W1467)*N(J1467)*(1-N(K1467)),2))</f>
        <v/>
      </c>
      <c r="AI1467" s="70" t="str">
        <f>IF(OR(J1467="",N(T1467)&lt;=0,V1467="Oui"),"",ROUND(N(T1467)*J1467*(1-N(K1467)),2))</f>
        <v/>
      </c>
    </row>
    <row r="1468">
      <c r="A1468" s="63" t="n"/>
      <c r="B1468" s="64" t="n"/>
      <c r="C1468" s="65" t="n"/>
      <c r="D1468" s="66" t="str">
        <f>IF(C1468="","",IFERROR(INDEX(sup_name,MATCH($C1468,sup_code,0))&amp;"","Fournisseur inconnu"))</f>
        <v/>
      </c>
      <c r="E1468" s="63" t="n"/>
      <c r="F1468" s="66" t="str">
        <f>IF(E1468="","",IFERROR(INDEX(art_des,MATCH($E1468,art_ref,0))&amp;"","Article inconnu"))</f>
        <v/>
      </c>
      <c r="G1468" s="67" t="str">
        <f>IF(E1468="","",IFERROR(INDEX(art_unit,MATCH($E1468,art_ref,0))&amp;"",""))</f>
        <v/>
      </c>
      <c r="H1468" s="68" t="n"/>
      <c r="I1468" s="69" t="n"/>
      <c r="J1468" s="70" t="str">
        <f>IF(E1468="","",IF(ISNUMBER(I1468),I1468,IFERROR(IF(ISNUMBER(INDEX(art_price,MATCH($E1468,art_ref,0))),INDEX(art_price,MATCH($E1468,art_ref,0)),""),"")))</f>
        <v/>
      </c>
      <c r="K1468" s="71" t="n"/>
      <c r="L1468" s="72" t="n"/>
      <c r="M1468" s="72" t="str">
        <f>IF(E1468="","",IF(L1468&lt;&gt;"",L1468,IFERROR(IF(ISNUMBER(INDEX(art_tva,MATCH($E1468,art_ref,0))),INDEX(art_tva,MATCH($E1468,art_ref,0)),""),"")))</f>
        <v/>
      </c>
      <c r="N1468" s="70" t="str">
        <f>IF(OR(E1468="",J1468=""),"",ROUND(N(H1468)*J1468*(1-N(K1468)),2))</f>
        <v/>
      </c>
      <c r="O1468" s="70" t="str">
        <f>IF(OR(N1468="",NOT(ISNUMBER(M1468))),"",ROUND(N1468*M1468,2))</f>
        <v/>
      </c>
      <c r="P1468" s="70" t="str">
        <f>IF(N1468="","",N1468+N(O1468))</f>
        <v/>
      </c>
      <c r="Q1468" s="64" t="n"/>
      <c r="R1468" s="73" t="str">
        <f>IF(N(Q1468)&gt;0,Q1468,IF(OR(N(B1468)=0,ISNA(MATCH($C1468,sup_code,0))),"",IF(ISNUMBER(INDEX(sup_delay,MATCH($C1468,sup_code,0))),B1468+INDEX(sup_delay,MATCH($C1468,sup_code,0)),"")))</f>
        <v/>
      </c>
      <c r="S1468" s="64" t="n"/>
      <c r="T1468" s="68" t="n"/>
      <c r="U1468" s="64" t="n"/>
      <c r="V1468" s="65" t="n"/>
      <c r="W1468" s="74" t="str">
        <f>IF(AND(A1468="",E1468=""),"",IF(V1468="Oui",0,MAX(0,ROUND(N(H1468)-N(T1468),6))))</f>
        <v/>
      </c>
      <c r="X1468" s="67" t="str">
        <f>IF(AND(A1468="",E1468=""),"",IF(V1468="Oui","Annulé",IF(AND(N(H1468)&gt;0,N(T1468)&gt;=N(H1468)),"Reçu",IF(N(S1468)=0,"Brouillon",IF(AND(ISNUMBER(R1468),R1468&lt;p_today),"En retard",IF(N(T1468)&gt;0,"Partiel","Envoyé"))))))</f>
        <v/>
      </c>
      <c r="Y1468" s="75" t="str">
        <f>IF(X1468="En retard",p_today-R1468,IF(AND(X1468="Reçu",ISNUMBER(R1468)),MAX(0,N(U1468)-R1468),""))</f>
        <v/>
      </c>
      <c r="Z1468" s="67" t="str">
        <f>IF(AND(A1468="",E1468=""),"",IF(A1468="","N° de bon manquant",IF(N(B1468)=0,"Date de commande manquante",IF(C1468="","Fournisseur manquant",IF(ISNA(MATCH($C1468,sup_code,0)),"Fournisseur inconnu",IF(E1468="","Article manquant",IF(ISNA(MATCH($E1468,art_ref,0)),"Article inconnu",IF(N(H1468)&lt;=0,"Quantité invalide",IF(J1468="","Prix manquant",IF(OR(N(K1468)&lt;0,N(K1468)&gt;=1),"Remise invalide",IF(M1468="","TVA manquante",IF(ISNA(MATCH(M1468,p_tva,0)),"Taux de TVA inconnu",IF(COUNTIFS(po_num,A1468,po_sup,"&lt;&gt;"&amp;C1468)&gt;0,"Fournisseur différent sur ce bon",IF(COUNTIFS(po_num,A1468,po_date,"&lt;&gt;"&amp;B1468)&gt;0,"Date différente sur ce bon",IF(COUNTIF(po_num,A1468)&gt;25,"Plus de 25 lignes sur ce bon",IF(R1468="","Date de livraison manquante",IF(R1468&lt;B1468,"Livraison avant la commande",IF(AND(N(T1468)&gt;0,N(S1468)=0),"Date d'envoi manquante",IF(N(T1468)&gt;N(H1468),"Reçu plus que commandé",IF(AND(N(T1468)&gt;0,N(U1468)=0),"Date de réception manquante",IF(AND(N(U1468)&gt;0,U1468&lt;B1468),"Réception avant la commande","OK")))))))))))))))))))))</f>
        <v/>
      </c>
      <c r="AA1468" s="66" t="str">
        <f>IF(AND(X1468="Reçu",ISNUMBER(R1468)),IF(N(U1468)&lt;=R1468,1,0),"")</f>
        <v/>
      </c>
      <c r="AB1468" s="76" t="str">
        <f>IF(OR(X1468="Envoyé",X1468="Partiel",X1468="En retard"),IF(ISNUMBER(R1468),R1468,100000)+ROW()/100000,"")</f>
        <v/>
      </c>
      <c r="AC1468" s="66" t="str">
        <f>IF(A1468="","",IF(COUNTIF($A$6:A1468,A1468)=1,1,""))</f>
        <v/>
      </c>
      <c r="AD1468" s="66" t="str">
        <f>IF(AC1468=1,COUNT($AC$6:AC1468),"")</f>
        <v/>
      </c>
      <c r="AE1468" s="66" t="str">
        <f>IFERROR(INDEX(po_num,MATCH(1463,po_seq,0))&amp;"","")</f>
        <v/>
      </c>
      <c r="AF1468" s="66" t="str">
        <f>IF(OR(A1468="",p_po=""),"",IF(A1468&amp;""=p_po,COUNTIF($A$6:A1468,A1468),""))</f>
        <v/>
      </c>
      <c r="AG1468" s="66" t="str">
        <f>IF(OR(AB1468="",A1468=""),"",IF(COUNTIFS($A$6:A1468,A1468,$AB$6:AB1468,"&gt;0")=1,1,""))</f>
        <v/>
      </c>
      <c r="AH1468" s="70" t="str">
        <f>IF(AB1468="","",ROUND(N(W1468)*N(J1468)*(1-N(K1468)),2))</f>
        <v/>
      </c>
      <c r="AI1468" s="70" t="str">
        <f>IF(OR(J1468="",N(T1468)&lt;=0,V1468="Oui"),"",ROUND(N(T1468)*J1468*(1-N(K1468)),2))</f>
        <v/>
      </c>
    </row>
    <row r="1469">
      <c r="A1469" s="63" t="n"/>
      <c r="B1469" s="64" t="n"/>
      <c r="C1469" s="65" t="n"/>
      <c r="D1469" s="66" t="str">
        <f>IF(C1469="","",IFERROR(INDEX(sup_name,MATCH($C1469,sup_code,0))&amp;"","Fournisseur inconnu"))</f>
        <v/>
      </c>
      <c r="E1469" s="63" t="n"/>
      <c r="F1469" s="66" t="str">
        <f>IF(E1469="","",IFERROR(INDEX(art_des,MATCH($E1469,art_ref,0))&amp;"","Article inconnu"))</f>
        <v/>
      </c>
      <c r="G1469" s="67" t="str">
        <f>IF(E1469="","",IFERROR(INDEX(art_unit,MATCH($E1469,art_ref,0))&amp;"",""))</f>
        <v/>
      </c>
      <c r="H1469" s="68" t="n"/>
      <c r="I1469" s="69" t="n"/>
      <c r="J1469" s="70" t="str">
        <f>IF(E1469="","",IF(ISNUMBER(I1469),I1469,IFERROR(IF(ISNUMBER(INDEX(art_price,MATCH($E1469,art_ref,0))),INDEX(art_price,MATCH($E1469,art_ref,0)),""),"")))</f>
        <v/>
      </c>
      <c r="K1469" s="71" t="n"/>
      <c r="L1469" s="72" t="n"/>
      <c r="M1469" s="72" t="str">
        <f>IF(E1469="","",IF(L1469&lt;&gt;"",L1469,IFERROR(IF(ISNUMBER(INDEX(art_tva,MATCH($E1469,art_ref,0))),INDEX(art_tva,MATCH($E1469,art_ref,0)),""),"")))</f>
        <v/>
      </c>
      <c r="N1469" s="70" t="str">
        <f>IF(OR(E1469="",J1469=""),"",ROUND(N(H1469)*J1469*(1-N(K1469)),2))</f>
        <v/>
      </c>
      <c r="O1469" s="70" t="str">
        <f>IF(OR(N1469="",NOT(ISNUMBER(M1469))),"",ROUND(N1469*M1469,2))</f>
        <v/>
      </c>
      <c r="P1469" s="70" t="str">
        <f>IF(N1469="","",N1469+N(O1469))</f>
        <v/>
      </c>
      <c r="Q1469" s="64" t="n"/>
      <c r="R1469" s="73" t="str">
        <f>IF(N(Q1469)&gt;0,Q1469,IF(OR(N(B1469)=0,ISNA(MATCH($C1469,sup_code,0))),"",IF(ISNUMBER(INDEX(sup_delay,MATCH($C1469,sup_code,0))),B1469+INDEX(sup_delay,MATCH($C1469,sup_code,0)),"")))</f>
        <v/>
      </c>
      <c r="S1469" s="64" t="n"/>
      <c r="T1469" s="68" t="n"/>
      <c r="U1469" s="64" t="n"/>
      <c r="V1469" s="65" t="n"/>
      <c r="W1469" s="74" t="str">
        <f>IF(AND(A1469="",E1469=""),"",IF(V1469="Oui",0,MAX(0,ROUND(N(H1469)-N(T1469),6))))</f>
        <v/>
      </c>
      <c r="X1469" s="67" t="str">
        <f>IF(AND(A1469="",E1469=""),"",IF(V1469="Oui","Annulé",IF(AND(N(H1469)&gt;0,N(T1469)&gt;=N(H1469)),"Reçu",IF(N(S1469)=0,"Brouillon",IF(AND(ISNUMBER(R1469),R1469&lt;p_today),"En retard",IF(N(T1469)&gt;0,"Partiel","Envoyé"))))))</f>
        <v/>
      </c>
      <c r="Y1469" s="75" t="str">
        <f>IF(X1469="En retard",p_today-R1469,IF(AND(X1469="Reçu",ISNUMBER(R1469)),MAX(0,N(U1469)-R1469),""))</f>
        <v/>
      </c>
      <c r="Z1469" s="67" t="str">
        <f>IF(AND(A1469="",E1469=""),"",IF(A1469="","N° de bon manquant",IF(N(B1469)=0,"Date de commande manquante",IF(C1469="","Fournisseur manquant",IF(ISNA(MATCH($C1469,sup_code,0)),"Fournisseur inconnu",IF(E1469="","Article manquant",IF(ISNA(MATCH($E1469,art_ref,0)),"Article inconnu",IF(N(H1469)&lt;=0,"Quantité invalide",IF(J1469="","Prix manquant",IF(OR(N(K1469)&lt;0,N(K1469)&gt;=1),"Remise invalide",IF(M1469="","TVA manquante",IF(ISNA(MATCH(M1469,p_tva,0)),"Taux de TVA inconnu",IF(COUNTIFS(po_num,A1469,po_sup,"&lt;&gt;"&amp;C1469)&gt;0,"Fournisseur différent sur ce bon",IF(COUNTIFS(po_num,A1469,po_date,"&lt;&gt;"&amp;B1469)&gt;0,"Date différente sur ce bon",IF(COUNTIF(po_num,A1469)&gt;25,"Plus de 25 lignes sur ce bon",IF(R1469="","Date de livraison manquante",IF(R1469&lt;B1469,"Livraison avant la commande",IF(AND(N(T1469)&gt;0,N(S1469)=0),"Date d'envoi manquante",IF(N(T1469)&gt;N(H1469),"Reçu plus que commandé",IF(AND(N(T1469)&gt;0,N(U1469)=0),"Date de réception manquante",IF(AND(N(U1469)&gt;0,U1469&lt;B1469),"Réception avant la commande","OK")))))))))))))))))))))</f>
        <v/>
      </c>
      <c r="AA1469" s="66" t="str">
        <f>IF(AND(X1469="Reçu",ISNUMBER(R1469)),IF(N(U1469)&lt;=R1469,1,0),"")</f>
        <v/>
      </c>
      <c r="AB1469" s="76" t="str">
        <f>IF(OR(X1469="Envoyé",X1469="Partiel",X1469="En retard"),IF(ISNUMBER(R1469),R1469,100000)+ROW()/100000,"")</f>
        <v/>
      </c>
      <c r="AC1469" s="66" t="str">
        <f>IF(A1469="","",IF(COUNTIF($A$6:A1469,A1469)=1,1,""))</f>
        <v/>
      </c>
      <c r="AD1469" s="66" t="str">
        <f>IF(AC1469=1,COUNT($AC$6:AC1469),"")</f>
        <v/>
      </c>
      <c r="AE1469" s="66" t="str">
        <f>IFERROR(INDEX(po_num,MATCH(1464,po_seq,0))&amp;"","")</f>
        <v/>
      </c>
      <c r="AF1469" s="66" t="str">
        <f>IF(OR(A1469="",p_po=""),"",IF(A1469&amp;""=p_po,COUNTIF($A$6:A1469,A1469),""))</f>
        <v/>
      </c>
      <c r="AG1469" s="66" t="str">
        <f>IF(OR(AB1469="",A1469=""),"",IF(COUNTIFS($A$6:A1469,A1469,$AB$6:AB1469,"&gt;0")=1,1,""))</f>
        <v/>
      </c>
      <c r="AH1469" s="70" t="str">
        <f>IF(AB1469="","",ROUND(N(W1469)*N(J1469)*(1-N(K1469)),2))</f>
        <v/>
      </c>
      <c r="AI1469" s="70" t="str">
        <f>IF(OR(J1469="",N(T1469)&lt;=0,V1469="Oui"),"",ROUND(N(T1469)*J1469*(1-N(K1469)),2))</f>
        <v/>
      </c>
    </row>
    <row r="1470">
      <c r="A1470" s="63" t="n"/>
      <c r="B1470" s="64" t="n"/>
      <c r="C1470" s="65" t="n"/>
      <c r="D1470" s="66" t="str">
        <f>IF(C1470="","",IFERROR(INDEX(sup_name,MATCH($C1470,sup_code,0))&amp;"","Fournisseur inconnu"))</f>
        <v/>
      </c>
      <c r="E1470" s="63" t="n"/>
      <c r="F1470" s="66" t="str">
        <f>IF(E1470="","",IFERROR(INDEX(art_des,MATCH($E1470,art_ref,0))&amp;"","Article inconnu"))</f>
        <v/>
      </c>
      <c r="G1470" s="67" t="str">
        <f>IF(E1470="","",IFERROR(INDEX(art_unit,MATCH($E1470,art_ref,0))&amp;"",""))</f>
        <v/>
      </c>
      <c r="H1470" s="68" t="n"/>
      <c r="I1470" s="69" t="n"/>
      <c r="J1470" s="70" t="str">
        <f>IF(E1470="","",IF(ISNUMBER(I1470),I1470,IFERROR(IF(ISNUMBER(INDEX(art_price,MATCH($E1470,art_ref,0))),INDEX(art_price,MATCH($E1470,art_ref,0)),""),"")))</f>
        <v/>
      </c>
      <c r="K1470" s="71" t="n"/>
      <c r="L1470" s="72" t="n"/>
      <c r="M1470" s="72" t="str">
        <f>IF(E1470="","",IF(L1470&lt;&gt;"",L1470,IFERROR(IF(ISNUMBER(INDEX(art_tva,MATCH($E1470,art_ref,0))),INDEX(art_tva,MATCH($E1470,art_ref,0)),""),"")))</f>
        <v/>
      </c>
      <c r="N1470" s="70" t="str">
        <f>IF(OR(E1470="",J1470=""),"",ROUND(N(H1470)*J1470*(1-N(K1470)),2))</f>
        <v/>
      </c>
      <c r="O1470" s="70" t="str">
        <f>IF(OR(N1470="",NOT(ISNUMBER(M1470))),"",ROUND(N1470*M1470,2))</f>
        <v/>
      </c>
      <c r="P1470" s="70" t="str">
        <f>IF(N1470="","",N1470+N(O1470))</f>
        <v/>
      </c>
      <c r="Q1470" s="64" t="n"/>
      <c r="R1470" s="73" t="str">
        <f>IF(N(Q1470)&gt;0,Q1470,IF(OR(N(B1470)=0,ISNA(MATCH($C1470,sup_code,0))),"",IF(ISNUMBER(INDEX(sup_delay,MATCH($C1470,sup_code,0))),B1470+INDEX(sup_delay,MATCH($C1470,sup_code,0)),"")))</f>
        <v/>
      </c>
      <c r="S1470" s="64" t="n"/>
      <c r="T1470" s="68" t="n"/>
      <c r="U1470" s="64" t="n"/>
      <c r="V1470" s="65" t="n"/>
      <c r="W1470" s="74" t="str">
        <f>IF(AND(A1470="",E1470=""),"",IF(V1470="Oui",0,MAX(0,ROUND(N(H1470)-N(T1470),6))))</f>
        <v/>
      </c>
      <c r="X1470" s="67" t="str">
        <f>IF(AND(A1470="",E1470=""),"",IF(V1470="Oui","Annulé",IF(AND(N(H1470)&gt;0,N(T1470)&gt;=N(H1470)),"Reçu",IF(N(S1470)=0,"Brouillon",IF(AND(ISNUMBER(R1470),R1470&lt;p_today),"En retard",IF(N(T1470)&gt;0,"Partiel","Envoyé"))))))</f>
        <v/>
      </c>
      <c r="Y1470" s="75" t="str">
        <f>IF(X1470="En retard",p_today-R1470,IF(AND(X1470="Reçu",ISNUMBER(R1470)),MAX(0,N(U1470)-R1470),""))</f>
        <v/>
      </c>
      <c r="Z1470" s="67" t="str">
        <f>IF(AND(A1470="",E1470=""),"",IF(A1470="","N° de bon manquant",IF(N(B1470)=0,"Date de commande manquante",IF(C1470="","Fournisseur manquant",IF(ISNA(MATCH($C1470,sup_code,0)),"Fournisseur inconnu",IF(E1470="","Article manquant",IF(ISNA(MATCH($E1470,art_ref,0)),"Article inconnu",IF(N(H1470)&lt;=0,"Quantité invalide",IF(J1470="","Prix manquant",IF(OR(N(K1470)&lt;0,N(K1470)&gt;=1),"Remise invalide",IF(M1470="","TVA manquante",IF(ISNA(MATCH(M1470,p_tva,0)),"Taux de TVA inconnu",IF(COUNTIFS(po_num,A1470,po_sup,"&lt;&gt;"&amp;C1470)&gt;0,"Fournisseur différent sur ce bon",IF(COUNTIFS(po_num,A1470,po_date,"&lt;&gt;"&amp;B1470)&gt;0,"Date différente sur ce bon",IF(COUNTIF(po_num,A1470)&gt;25,"Plus de 25 lignes sur ce bon",IF(R1470="","Date de livraison manquante",IF(R1470&lt;B1470,"Livraison avant la commande",IF(AND(N(T1470)&gt;0,N(S1470)=0),"Date d'envoi manquante",IF(N(T1470)&gt;N(H1470),"Reçu plus que commandé",IF(AND(N(T1470)&gt;0,N(U1470)=0),"Date de réception manquante",IF(AND(N(U1470)&gt;0,U1470&lt;B1470),"Réception avant la commande","OK")))))))))))))))))))))</f>
        <v/>
      </c>
      <c r="AA1470" s="66" t="str">
        <f>IF(AND(X1470="Reçu",ISNUMBER(R1470)),IF(N(U1470)&lt;=R1470,1,0),"")</f>
        <v/>
      </c>
      <c r="AB1470" s="76" t="str">
        <f>IF(OR(X1470="Envoyé",X1470="Partiel",X1470="En retard"),IF(ISNUMBER(R1470),R1470,100000)+ROW()/100000,"")</f>
        <v/>
      </c>
      <c r="AC1470" s="66" t="str">
        <f>IF(A1470="","",IF(COUNTIF($A$6:A1470,A1470)=1,1,""))</f>
        <v/>
      </c>
      <c r="AD1470" s="66" t="str">
        <f>IF(AC1470=1,COUNT($AC$6:AC1470),"")</f>
        <v/>
      </c>
      <c r="AE1470" s="66" t="str">
        <f>IFERROR(INDEX(po_num,MATCH(1465,po_seq,0))&amp;"","")</f>
        <v/>
      </c>
      <c r="AF1470" s="66" t="str">
        <f>IF(OR(A1470="",p_po=""),"",IF(A1470&amp;""=p_po,COUNTIF($A$6:A1470,A1470),""))</f>
        <v/>
      </c>
      <c r="AG1470" s="66" t="str">
        <f>IF(OR(AB1470="",A1470=""),"",IF(COUNTIFS($A$6:A1470,A1470,$AB$6:AB1470,"&gt;0")=1,1,""))</f>
        <v/>
      </c>
      <c r="AH1470" s="70" t="str">
        <f>IF(AB1470="","",ROUND(N(W1470)*N(J1470)*(1-N(K1470)),2))</f>
        <v/>
      </c>
      <c r="AI1470" s="70" t="str">
        <f>IF(OR(J1470="",N(T1470)&lt;=0,V1470="Oui"),"",ROUND(N(T1470)*J1470*(1-N(K1470)),2))</f>
        <v/>
      </c>
    </row>
    <row r="1471">
      <c r="A1471" s="63" t="n"/>
      <c r="B1471" s="64" t="n"/>
      <c r="C1471" s="65" t="n"/>
      <c r="D1471" s="66" t="str">
        <f>IF(C1471="","",IFERROR(INDEX(sup_name,MATCH($C1471,sup_code,0))&amp;"","Fournisseur inconnu"))</f>
        <v/>
      </c>
      <c r="E1471" s="63" t="n"/>
      <c r="F1471" s="66" t="str">
        <f>IF(E1471="","",IFERROR(INDEX(art_des,MATCH($E1471,art_ref,0))&amp;"","Article inconnu"))</f>
        <v/>
      </c>
      <c r="G1471" s="67" t="str">
        <f>IF(E1471="","",IFERROR(INDEX(art_unit,MATCH($E1471,art_ref,0))&amp;"",""))</f>
        <v/>
      </c>
      <c r="H1471" s="68" t="n"/>
      <c r="I1471" s="69" t="n"/>
      <c r="J1471" s="70" t="str">
        <f>IF(E1471="","",IF(ISNUMBER(I1471),I1471,IFERROR(IF(ISNUMBER(INDEX(art_price,MATCH($E1471,art_ref,0))),INDEX(art_price,MATCH($E1471,art_ref,0)),""),"")))</f>
        <v/>
      </c>
      <c r="K1471" s="71" t="n"/>
      <c r="L1471" s="72" t="n"/>
      <c r="M1471" s="72" t="str">
        <f>IF(E1471="","",IF(L1471&lt;&gt;"",L1471,IFERROR(IF(ISNUMBER(INDEX(art_tva,MATCH($E1471,art_ref,0))),INDEX(art_tva,MATCH($E1471,art_ref,0)),""),"")))</f>
        <v/>
      </c>
      <c r="N1471" s="70" t="str">
        <f>IF(OR(E1471="",J1471=""),"",ROUND(N(H1471)*J1471*(1-N(K1471)),2))</f>
        <v/>
      </c>
      <c r="O1471" s="70" t="str">
        <f>IF(OR(N1471="",NOT(ISNUMBER(M1471))),"",ROUND(N1471*M1471,2))</f>
        <v/>
      </c>
      <c r="P1471" s="70" t="str">
        <f>IF(N1471="","",N1471+N(O1471))</f>
        <v/>
      </c>
      <c r="Q1471" s="64" t="n"/>
      <c r="R1471" s="73" t="str">
        <f>IF(N(Q1471)&gt;0,Q1471,IF(OR(N(B1471)=0,ISNA(MATCH($C1471,sup_code,0))),"",IF(ISNUMBER(INDEX(sup_delay,MATCH($C1471,sup_code,0))),B1471+INDEX(sup_delay,MATCH($C1471,sup_code,0)),"")))</f>
        <v/>
      </c>
      <c r="S1471" s="64" t="n"/>
      <c r="T1471" s="68" t="n"/>
      <c r="U1471" s="64" t="n"/>
      <c r="V1471" s="65" t="n"/>
      <c r="W1471" s="74" t="str">
        <f>IF(AND(A1471="",E1471=""),"",IF(V1471="Oui",0,MAX(0,ROUND(N(H1471)-N(T1471),6))))</f>
        <v/>
      </c>
      <c r="X1471" s="67" t="str">
        <f>IF(AND(A1471="",E1471=""),"",IF(V1471="Oui","Annulé",IF(AND(N(H1471)&gt;0,N(T1471)&gt;=N(H1471)),"Reçu",IF(N(S1471)=0,"Brouillon",IF(AND(ISNUMBER(R1471),R1471&lt;p_today),"En retard",IF(N(T1471)&gt;0,"Partiel","Envoyé"))))))</f>
        <v/>
      </c>
      <c r="Y1471" s="75" t="str">
        <f>IF(X1471="En retard",p_today-R1471,IF(AND(X1471="Reçu",ISNUMBER(R1471)),MAX(0,N(U1471)-R1471),""))</f>
        <v/>
      </c>
      <c r="Z1471" s="67" t="str">
        <f>IF(AND(A1471="",E1471=""),"",IF(A1471="","N° de bon manquant",IF(N(B1471)=0,"Date de commande manquante",IF(C1471="","Fournisseur manquant",IF(ISNA(MATCH($C1471,sup_code,0)),"Fournisseur inconnu",IF(E1471="","Article manquant",IF(ISNA(MATCH($E1471,art_ref,0)),"Article inconnu",IF(N(H1471)&lt;=0,"Quantité invalide",IF(J1471="","Prix manquant",IF(OR(N(K1471)&lt;0,N(K1471)&gt;=1),"Remise invalide",IF(M1471="","TVA manquante",IF(ISNA(MATCH(M1471,p_tva,0)),"Taux de TVA inconnu",IF(COUNTIFS(po_num,A1471,po_sup,"&lt;&gt;"&amp;C1471)&gt;0,"Fournisseur différent sur ce bon",IF(COUNTIFS(po_num,A1471,po_date,"&lt;&gt;"&amp;B1471)&gt;0,"Date différente sur ce bon",IF(COUNTIF(po_num,A1471)&gt;25,"Plus de 25 lignes sur ce bon",IF(R1471="","Date de livraison manquante",IF(R1471&lt;B1471,"Livraison avant la commande",IF(AND(N(T1471)&gt;0,N(S1471)=0),"Date d'envoi manquante",IF(N(T1471)&gt;N(H1471),"Reçu plus que commandé",IF(AND(N(T1471)&gt;0,N(U1471)=0),"Date de réception manquante",IF(AND(N(U1471)&gt;0,U1471&lt;B1471),"Réception avant la commande","OK")))))))))))))))))))))</f>
        <v/>
      </c>
      <c r="AA1471" s="66" t="str">
        <f>IF(AND(X1471="Reçu",ISNUMBER(R1471)),IF(N(U1471)&lt;=R1471,1,0),"")</f>
        <v/>
      </c>
      <c r="AB1471" s="76" t="str">
        <f>IF(OR(X1471="Envoyé",X1471="Partiel",X1471="En retard"),IF(ISNUMBER(R1471),R1471,100000)+ROW()/100000,"")</f>
        <v/>
      </c>
      <c r="AC1471" s="66" t="str">
        <f>IF(A1471="","",IF(COUNTIF($A$6:A1471,A1471)=1,1,""))</f>
        <v/>
      </c>
      <c r="AD1471" s="66" t="str">
        <f>IF(AC1471=1,COUNT($AC$6:AC1471),"")</f>
        <v/>
      </c>
      <c r="AE1471" s="66" t="str">
        <f>IFERROR(INDEX(po_num,MATCH(1466,po_seq,0))&amp;"","")</f>
        <v/>
      </c>
      <c r="AF1471" s="66" t="str">
        <f>IF(OR(A1471="",p_po=""),"",IF(A1471&amp;""=p_po,COUNTIF($A$6:A1471,A1471),""))</f>
        <v/>
      </c>
      <c r="AG1471" s="66" t="str">
        <f>IF(OR(AB1471="",A1471=""),"",IF(COUNTIFS($A$6:A1471,A1471,$AB$6:AB1471,"&gt;0")=1,1,""))</f>
        <v/>
      </c>
      <c r="AH1471" s="70" t="str">
        <f>IF(AB1471="","",ROUND(N(W1471)*N(J1471)*(1-N(K1471)),2))</f>
        <v/>
      </c>
      <c r="AI1471" s="70" t="str">
        <f>IF(OR(J1471="",N(T1471)&lt;=0,V1471="Oui"),"",ROUND(N(T1471)*J1471*(1-N(K1471)),2))</f>
        <v/>
      </c>
    </row>
    <row r="1472">
      <c r="A1472" s="63" t="n"/>
      <c r="B1472" s="64" t="n"/>
      <c r="C1472" s="65" t="n"/>
      <c r="D1472" s="66" t="str">
        <f>IF(C1472="","",IFERROR(INDEX(sup_name,MATCH($C1472,sup_code,0))&amp;"","Fournisseur inconnu"))</f>
        <v/>
      </c>
      <c r="E1472" s="63" t="n"/>
      <c r="F1472" s="66" t="str">
        <f>IF(E1472="","",IFERROR(INDEX(art_des,MATCH($E1472,art_ref,0))&amp;"","Article inconnu"))</f>
        <v/>
      </c>
      <c r="G1472" s="67" t="str">
        <f>IF(E1472="","",IFERROR(INDEX(art_unit,MATCH($E1472,art_ref,0))&amp;"",""))</f>
        <v/>
      </c>
      <c r="H1472" s="68" t="n"/>
      <c r="I1472" s="69" t="n"/>
      <c r="J1472" s="70" t="str">
        <f>IF(E1472="","",IF(ISNUMBER(I1472),I1472,IFERROR(IF(ISNUMBER(INDEX(art_price,MATCH($E1472,art_ref,0))),INDEX(art_price,MATCH($E1472,art_ref,0)),""),"")))</f>
        <v/>
      </c>
      <c r="K1472" s="71" t="n"/>
      <c r="L1472" s="72" t="n"/>
      <c r="M1472" s="72" t="str">
        <f>IF(E1472="","",IF(L1472&lt;&gt;"",L1472,IFERROR(IF(ISNUMBER(INDEX(art_tva,MATCH($E1472,art_ref,0))),INDEX(art_tva,MATCH($E1472,art_ref,0)),""),"")))</f>
        <v/>
      </c>
      <c r="N1472" s="70" t="str">
        <f>IF(OR(E1472="",J1472=""),"",ROUND(N(H1472)*J1472*(1-N(K1472)),2))</f>
        <v/>
      </c>
      <c r="O1472" s="70" t="str">
        <f>IF(OR(N1472="",NOT(ISNUMBER(M1472))),"",ROUND(N1472*M1472,2))</f>
        <v/>
      </c>
      <c r="P1472" s="70" t="str">
        <f>IF(N1472="","",N1472+N(O1472))</f>
        <v/>
      </c>
      <c r="Q1472" s="64" t="n"/>
      <c r="R1472" s="73" t="str">
        <f>IF(N(Q1472)&gt;0,Q1472,IF(OR(N(B1472)=0,ISNA(MATCH($C1472,sup_code,0))),"",IF(ISNUMBER(INDEX(sup_delay,MATCH($C1472,sup_code,0))),B1472+INDEX(sup_delay,MATCH($C1472,sup_code,0)),"")))</f>
        <v/>
      </c>
      <c r="S1472" s="64" t="n"/>
      <c r="T1472" s="68" t="n"/>
      <c r="U1472" s="64" t="n"/>
      <c r="V1472" s="65" t="n"/>
      <c r="W1472" s="74" t="str">
        <f>IF(AND(A1472="",E1472=""),"",IF(V1472="Oui",0,MAX(0,ROUND(N(H1472)-N(T1472),6))))</f>
        <v/>
      </c>
      <c r="X1472" s="67" t="str">
        <f>IF(AND(A1472="",E1472=""),"",IF(V1472="Oui","Annulé",IF(AND(N(H1472)&gt;0,N(T1472)&gt;=N(H1472)),"Reçu",IF(N(S1472)=0,"Brouillon",IF(AND(ISNUMBER(R1472),R1472&lt;p_today),"En retard",IF(N(T1472)&gt;0,"Partiel","Envoyé"))))))</f>
        <v/>
      </c>
      <c r="Y1472" s="75" t="str">
        <f>IF(X1472="En retard",p_today-R1472,IF(AND(X1472="Reçu",ISNUMBER(R1472)),MAX(0,N(U1472)-R1472),""))</f>
        <v/>
      </c>
      <c r="Z1472" s="67" t="str">
        <f>IF(AND(A1472="",E1472=""),"",IF(A1472="","N° de bon manquant",IF(N(B1472)=0,"Date de commande manquante",IF(C1472="","Fournisseur manquant",IF(ISNA(MATCH($C1472,sup_code,0)),"Fournisseur inconnu",IF(E1472="","Article manquant",IF(ISNA(MATCH($E1472,art_ref,0)),"Article inconnu",IF(N(H1472)&lt;=0,"Quantité invalide",IF(J1472="","Prix manquant",IF(OR(N(K1472)&lt;0,N(K1472)&gt;=1),"Remise invalide",IF(M1472="","TVA manquante",IF(ISNA(MATCH(M1472,p_tva,0)),"Taux de TVA inconnu",IF(COUNTIFS(po_num,A1472,po_sup,"&lt;&gt;"&amp;C1472)&gt;0,"Fournisseur différent sur ce bon",IF(COUNTIFS(po_num,A1472,po_date,"&lt;&gt;"&amp;B1472)&gt;0,"Date différente sur ce bon",IF(COUNTIF(po_num,A1472)&gt;25,"Plus de 25 lignes sur ce bon",IF(R1472="","Date de livraison manquante",IF(R1472&lt;B1472,"Livraison avant la commande",IF(AND(N(T1472)&gt;0,N(S1472)=0),"Date d'envoi manquante",IF(N(T1472)&gt;N(H1472),"Reçu plus que commandé",IF(AND(N(T1472)&gt;0,N(U1472)=0),"Date de réception manquante",IF(AND(N(U1472)&gt;0,U1472&lt;B1472),"Réception avant la commande","OK")))))))))))))))))))))</f>
        <v/>
      </c>
      <c r="AA1472" s="66" t="str">
        <f>IF(AND(X1472="Reçu",ISNUMBER(R1472)),IF(N(U1472)&lt;=R1472,1,0),"")</f>
        <v/>
      </c>
      <c r="AB1472" s="76" t="str">
        <f>IF(OR(X1472="Envoyé",X1472="Partiel",X1472="En retard"),IF(ISNUMBER(R1472),R1472,100000)+ROW()/100000,"")</f>
        <v/>
      </c>
      <c r="AC1472" s="66" t="str">
        <f>IF(A1472="","",IF(COUNTIF($A$6:A1472,A1472)=1,1,""))</f>
        <v/>
      </c>
      <c r="AD1472" s="66" t="str">
        <f>IF(AC1472=1,COUNT($AC$6:AC1472),"")</f>
        <v/>
      </c>
      <c r="AE1472" s="66" t="str">
        <f>IFERROR(INDEX(po_num,MATCH(1467,po_seq,0))&amp;"","")</f>
        <v/>
      </c>
      <c r="AF1472" s="66" t="str">
        <f>IF(OR(A1472="",p_po=""),"",IF(A1472&amp;""=p_po,COUNTIF($A$6:A1472,A1472),""))</f>
        <v/>
      </c>
      <c r="AG1472" s="66" t="str">
        <f>IF(OR(AB1472="",A1472=""),"",IF(COUNTIFS($A$6:A1472,A1472,$AB$6:AB1472,"&gt;0")=1,1,""))</f>
        <v/>
      </c>
      <c r="AH1472" s="70" t="str">
        <f>IF(AB1472="","",ROUND(N(W1472)*N(J1472)*(1-N(K1472)),2))</f>
        <v/>
      </c>
      <c r="AI1472" s="70" t="str">
        <f>IF(OR(J1472="",N(T1472)&lt;=0,V1472="Oui"),"",ROUND(N(T1472)*J1472*(1-N(K1472)),2))</f>
        <v/>
      </c>
    </row>
    <row r="1473">
      <c r="A1473" s="63" t="n"/>
      <c r="B1473" s="64" t="n"/>
      <c r="C1473" s="65" t="n"/>
      <c r="D1473" s="66" t="str">
        <f>IF(C1473="","",IFERROR(INDEX(sup_name,MATCH($C1473,sup_code,0))&amp;"","Fournisseur inconnu"))</f>
        <v/>
      </c>
      <c r="E1473" s="63" t="n"/>
      <c r="F1473" s="66" t="str">
        <f>IF(E1473="","",IFERROR(INDEX(art_des,MATCH($E1473,art_ref,0))&amp;"","Article inconnu"))</f>
        <v/>
      </c>
      <c r="G1473" s="67" t="str">
        <f>IF(E1473="","",IFERROR(INDEX(art_unit,MATCH($E1473,art_ref,0))&amp;"",""))</f>
        <v/>
      </c>
      <c r="H1473" s="68" t="n"/>
      <c r="I1473" s="69" t="n"/>
      <c r="J1473" s="70" t="str">
        <f>IF(E1473="","",IF(ISNUMBER(I1473),I1473,IFERROR(IF(ISNUMBER(INDEX(art_price,MATCH($E1473,art_ref,0))),INDEX(art_price,MATCH($E1473,art_ref,0)),""),"")))</f>
        <v/>
      </c>
      <c r="K1473" s="71" t="n"/>
      <c r="L1473" s="72" t="n"/>
      <c r="M1473" s="72" t="str">
        <f>IF(E1473="","",IF(L1473&lt;&gt;"",L1473,IFERROR(IF(ISNUMBER(INDEX(art_tva,MATCH($E1473,art_ref,0))),INDEX(art_tva,MATCH($E1473,art_ref,0)),""),"")))</f>
        <v/>
      </c>
      <c r="N1473" s="70" t="str">
        <f>IF(OR(E1473="",J1473=""),"",ROUND(N(H1473)*J1473*(1-N(K1473)),2))</f>
        <v/>
      </c>
      <c r="O1473" s="70" t="str">
        <f>IF(OR(N1473="",NOT(ISNUMBER(M1473))),"",ROUND(N1473*M1473,2))</f>
        <v/>
      </c>
      <c r="P1473" s="70" t="str">
        <f>IF(N1473="","",N1473+N(O1473))</f>
        <v/>
      </c>
      <c r="Q1473" s="64" t="n"/>
      <c r="R1473" s="73" t="str">
        <f>IF(N(Q1473)&gt;0,Q1473,IF(OR(N(B1473)=0,ISNA(MATCH($C1473,sup_code,0))),"",IF(ISNUMBER(INDEX(sup_delay,MATCH($C1473,sup_code,0))),B1473+INDEX(sup_delay,MATCH($C1473,sup_code,0)),"")))</f>
        <v/>
      </c>
      <c r="S1473" s="64" t="n"/>
      <c r="T1473" s="68" t="n"/>
      <c r="U1473" s="64" t="n"/>
      <c r="V1473" s="65" t="n"/>
      <c r="W1473" s="74" t="str">
        <f>IF(AND(A1473="",E1473=""),"",IF(V1473="Oui",0,MAX(0,ROUND(N(H1473)-N(T1473),6))))</f>
        <v/>
      </c>
      <c r="X1473" s="67" t="str">
        <f>IF(AND(A1473="",E1473=""),"",IF(V1473="Oui","Annulé",IF(AND(N(H1473)&gt;0,N(T1473)&gt;=N(H1473)),"Reçu",IF(N(S1473)=0,"Brouillon",IF(AND(ISNUMBER(R1473),R1473&lt;p_today),"En retard",IF(N(T1473)&gt;0,"Partiel","Envoyé"))))))</f>
        <v/>
      </c>
      <c r="Y1473" s="75" t="str">
        <f>IF(X1473="En retard",p_today-R1473,IF(AND(X1473="Reçu",ISNUMBER(R1473)),MAX(0,N(U1473)-R1473),""))</f>
        <v/>
      </c>
      <c r="Z1473" s="67" t="str">
        <f>IF(AND(A1473="",E1473=""),"",IF(A1473="","N° de bon manquant",IF(N(B1473)=0,"Date de commande manquante",IF(C1473="","Fournisseur manquant",IF(ISNA(MATCH($C1473,sup_code,0)),"Fournisseur inconnu",IF(E1473="","Article manquant",IF(ISNA(MATCH($E1473,art_ref,0)),"Article inconnu",IF(N(H1473)&lt;=0,"Quantité invalide",IF(J1473="","Prix manquant",IF(OR(N(K1473)&lt;0,N(K1473)&gt;=1),"Remise invalide",IF(M1473="","TVA manquante",IF(ISNA(MATCH(M1473,p_tva,0)),"Taux de TVA inconnu",IF(COUNTIFS(po_num,A1473,po_sup,"&lt;&gt;"&amp;C1473)&gt;0,"Fournisseur différent sur ce bon",IF(COUNTIFS(po_num,A1473,po_date,"&lt;&gt;"&amp;B1473)&gt;0,"Date différente sur ce bon",IF(COUNTIF(po_num,A1473)&gt;25,"Plus de 25 lignes sur ce bon",IF(R1473="","Date de livraison manquante",IF(R1473&lt;B1473,"Livraison avant la commande",IF(AND(N(T1473)&gt;0,N(S1473)=0),"Date d'envoi manquante",IF(N(T1473)&gt;N(H1473),"Reçu plus que commandé",IF(AND(N(T1473)&gt;0,N(U1473)=0),"Date de réception manquante",IF(AND(N(U1473)&gt;0,U1473&lt;B1473),"Réception avant la commande","OK")))))))))))))))))))))</f>
        <v/>
      </c>
      <c r="AA1473" s="66" t="str">
        <f>IF(AND(X1473="Reçu",ISNUMBER(R1473)),IF(N(U1473)&lt;=R1473,1,0),"")</f>
        <v/>
      </c>
      <c r="AB1473" s="76" t="str">
        <f>IF(OR(X1473="Envoyé",X1473="Partiel",X1473="En retard"),IF(ISNUMBER(R1473),R1473,100000)+ROW()/100000,"")</f>
        <v/>
      </c>
      <c r="AC1473" s="66" t="str">
        <f>IF(A1473="","",IF(COUNTIF($A$6:A1473,A1473)=1,1,""))</f>
        <v/>
      </c>
      <c r="AD1473" s="66" t="str">
        <f>IF(AC1473=1,COUNT($AC$6:AC1473),"")</f>
        <v/>
      </c>
      <c r="AE1473" s="66" t="str">
        <f>IFERROR(INDEX(po_num,MATCH(1468,po_seq,0))&amp;"","")</f>
        <v/>
      </c>
      <c r="AF1473" s="66" t="str">
        <f>IF(OR(A1473="",p_po=""),"",IF(A1473&amp;""=p_po,COUNTIF($A$6:A1473,A1473),""))</f>
        <v/>
      </c>
      <c r="AG1473" s="66" t="str">
        <f>IF(OR(AB1473="",A1473=""),"",IF(COUNTIFS($A$6:A1473,A1473,$AB$6:AB1473,"&gt;0")=1,1,""))</f>
        <v/>
      </c>
      <c r="AH1473" s="70" t="str">
        <f>IF(AB1473="","",ROUND(N(W1473)*N(J1473)*(1-N(K1473)),2))</f>
        <v/>
      </c>
      <c r="AI1473" s="70" t="str">
        <f>IF(OR(J1473="",N(T1473)&lt;=0,V1473="Oui"),"",ROUND(N(T1473)*J1473*(1-N(K1473)),2))</f>
        <v/>
      </c>
    </row>
    <row r="1474">
      <c r="A1474" s="63" t="n"/>
      <c r="B1474" s="64" t="n"/>
      <c r="C1474" s="65" t="n"/>
      <c r="D1474" s="66" t="str">
        <f>IF(C1474="","",IFERROR(INDEX(sup_name,MATCH($C1474,sup_code,0))&amp;"","Fournisseur inconnu"))</f>
        <v/>
      </c>
      <c r="E1474" s="63" t="n"/>
      <c r="F1474" s="66" t="str">
        <f>IF(E1474="","",IFERROR(INDEX(art_des,MATCH($E1474,art_ref,0))&amp;"","Article inconnu"))</f>
        <v/>
      </c>
      <c r="G1474" s="67" t="str">
        <f>IF(E1474="","",IFERROR(INDEX(art_unit,MATCH($E1474,art_ref,0))&amp;"",""))</f>
        <v/>
      </c>
      <c r="H1474" s="68" t="n"/>
      <c r="I1474" s="69" t="n"/>
      <c r="J1474" s="70" t="str">
        <f>IF(E1474="","",IF(ISNUMBER(I1474),I1474,IFERROR(IF(ISNUMBER(INDEX(art_price,MATCH($E1474,art_ref,0))),INDEX(art_price,MATCH($E1474,art_ref,0)),""),"")))</f>
        <v/>
      </c>
      <c r="K1474" s="71" t="n"/>
      <c r="L1474" s="72" t="n"/>
      <c r="M1474" s="72" t="str">
        <f>IF(E1474="","",IF(L1474&lt;&gt;"",L1474,IFERROR(IF(ISNUMBER(INDEX(art_tva,MATCH($E1474,art_ref,0))),INDEX(art_tva,MATCH($E1474,art_ref,0)),""),"")))</f>
        <v/>
      </c>
      <c r="N1474" s="70" t="str">
        <f>IF(OR(E1474="",J1474=""),"",ROUND(N(H1474)*J1474*(1-N(K1474)),2))</f>
        <v/>
      </c>
      <c r="O1474" s="70" t="str">
        <f>IF(OR(N1474="",NOT(ISNUMBER(M1474))),"",ROUND(N1474*M1474,2))</f>
        <v/>
      </c>
      <c r="P1474" s="70" t="str">
        <f>IF(N1474="","",N1474+N(O1474))</f>
        <v/>
      </c>
      <c r="Q1474" s="64" t="n"/>
      <c r="R1474" s="73" t="str">
        <f>IF(N(Q1474)&gt;0,Q1474,IF(OR(N(B1474)=0,ISNA(MATCH($C1474,sup_code,0))),"",IF(ISNUMBER(INDEX(sup_delay,MATCH($C1474,sup_code,0))),B1474+INDEX(sup_delay,MATCH($C1474,sup_code,0)),"")))</f>
        <v/>
      </c>
      <c r="S1474" s="64" t="n"/>
      <c r="T1474" s="68" t="n"/>
      <c r="U1474" s="64" t="n"/>
      <c r="V1474" s="65" t="n"/>
      <c r="W1474" s="74" t="str">
        <f>IF(AND(A1474="",E1474=""),"",IF(V1474="Oui",0,MAX(0,ROUND(N(H1474)-N(T1474),6))))</f>
        <v/>
      </c>
      <c r="X1474" s="67" t="str">
        <f>IF(AND(A1474="",E1474=""),"",IF(V1474="Oui","Annulé",IF(AND(N(H1474)&gt;0,N(T1474)&gt;=N(H1474)),"Reçu",IF(N(S1474)=0,"Brouillon",IF(AND(ISNUMBER(R1474),R1474&lt;p_today),"En retard",IF(N(T1474)&gt;0,"Partiel","Envoyé"))))))</f>
        <v/>
      </c>
      <c r="Y1474" s="75" t="str">
        <f>IF(X1474="En retard",p_today-R1474,IF(AND(X1474="Reçu",ISNUMBER(R1474)),MAX(0,N(U1474)-R1474),""))</f>
        <v/>
      </c>
      <c r="Z1474" s="67" t="str">
        <f>IF(AND(A1474="",E1474=""),"",IF(A1474="","N° de bon manquant",IF(N(B1474)=0,"Date de commande manquante",IF(C1474="","Fournisseur manquant",IF(ISNA(MATCH($C1474,sup_code,0)),"Fournisseur inconnu",IF(E1474="","Article manquant",IF(ISNA(MATCH($E1474,art_ref,0)),"Article inconnu",IF(N(H1474)&lt;=0,"Quantité invalide",IF(J1474="","Prix manquant",IF(OR(N(K1474)&lt;0,N(K1474)&gt;=1),"Remise invalide",IF(M1474="","TVA manquante",IF(ISNA(MATCH(M1474,p_tva,0)),"Taux de TVA inconnu",IF(COUNTIFS(po_num,A1474,po_sup,"&lt;&gt;"&amp;C1474)&gt;0,"Fournisseur différent sur ce bon",IF(COUNTIFS(po_num,A1474,po_date,"&lt;&gt;"&amp;B1474)&gt;0,"Date différente sur ce bon",IF(COUNTIF(po_num,A1474)&gt;25,"Plus de 25 lignes sur ce bon",IF(R1474="","Date de livraison manquante",IF(R1474&lt;B1474,"Livraison avant la commande",IF(AND(N(T1474)&gt;0,N(S1474)=0),"Date d'envoi manquante",IF(N(T1474)&gt;N(H1474),"Reçu plus que commandé",IF(AND(N(T1474)&gt;0,N(U1474)=0),"Date de réception manquante",IF(AND(N(U1474)&gt;0,U1474&lt;B1474),"Réception avant la commande","OK")))))))))))))))))))))</f>
        <v/>
      </c>
      <c r="AA1474" s="66" t="str">
        <f>IF(AND(X1474="Reçu",ISNUMBER(R1474)),IF(N(U1474)&lt;=R1474,1,0),"")</f>
        <v/>
      </c>
      <c r="AB1474" s="76" t="str">
        <f>IF(OR(X1474="Envoyé",X1474="Partiel",X1474="En retard"),IF(ISNUMBER(R1474),R1474,100000)+ROW()/100000,"")</f>
        <v/>
      </c>
      <c r="AC1474" s="66" t="str">
        <f>IF(A1474="","",IF(COUNTIF($A$6:A1474,A1474)=1,1,""))</f>
        <v/>
      </c>
      <c r="AD1474" s="66" t="str">
        <f>IF(AC1474=1,COUNT($AC$6:AC1474),"")</f>
        <v/>
      </c>
      <c r="AE1474" s="66" t="str">
        <f>IFERROR(INDEX(po_num,MATCH(1469,po_seq,0))&amp;"","")</f>
        <v/>
      </c>
      <c r="AF1474" s="66" t="str">
        <f>IF(OR(A1474="",p_po=""),"",IF(A1474&amp;""=p_po,COUNTIF($A$6:A1474,A1474),""))</f>
        <v/>
      </c>
      <c r="AG1474" s="66" t="str">
        <f>IF(OR(AB1474="",A1474=""),"",IF(COUNTIFS($A$6:A1474,A1474,$AB$6:AB1474,"&gt;0")=1,1,""))</f>
        <v/>
      </c>
      <c r="AH1474" s="70" t="str">
        <f>IF(AB1474="","",ROUND(N(W1474)*N(J1474)*(1-N(K1474)),2))</f>
        <v/>
      </c>
      <c r="AI1474" s="70" t="str">
        <f>IF(OR(J1474="",N(T1474)&lt;=0,V1474="Oui"),"",ROUND(N(T1474)*J1474*(1-N(K1474)),2))</f>
        <v/>
      </c>
    </row>
    <row r="1475">
      <c r="A1475" s="63" t="n"/>
      <c r="B1475" s="64" t="n"/>
      <c r="C1475" s="65" t="n"/>
      <c r="D1475" s="66" t="str">
        <f>IF(C1475="","",IFERROR(INDEX(sup_name,MATCH($C1475,sup_code,0))&amp;"","Fournisseur inconnu"))</f>
        <v/>
      </c>
      <c r="E1475" s="63" t="n"/>
      <c r="F1475" s="66" t="str">
        <f>IF(E1475="","",IFERROR(INDEX(art_des,MATCH($E1475,art_ref,0))&amp;"","Article inconnu"))</f>
        <v/>
      </c>
      <c r="G1475" s="67" t="str">
        <f>IF(E1475="","",IFERROR(INDEX(art_unit,MATCH($E1475,art_ref,0))&amp;"",""))</f>
        <v/>
      </c>
      <c r="H1475" s="68" t="n"/>
      <c r="I1475" s="69" t="n"/>
      <c r="J1475" s="70" t="str">
        <f>IF(E1475="","",IF(ISNUMBER(I1475),I1475,IFERROR(IF(ISNUMBER(INDEX(art_price,MATCH($E1475,art_ref,0))),INDEX(art_price,MATCH($E1475,art_ref,0)),""),"")))</f>
        <v/>
      </c>
      <c r="K1475" s="71" t="n"/>
      <c r="L1475" s="72" t="n"/>
      <c r="M1475" s="72" t="str">
        <f>IF(E1475="","",IF(L1475&lt;&gt;"",L1475,IFERROR(IF(ISNUMBER(INDEX(art_tva,MATCH($E1475,art_ref,0))),INDEX(art_tva,MATCH($E1475,art_ref,0)),""),"")))</f>
        <v/>
      </c>
      <c r="N1475" s="70" t="str">
        <f>IF(OR(E1475="",J1475=""),"",ROUND(N(H1475)*J1475*(1-N(K1475)),2))</f>
        <v/>
      </c>
      <c r="O1475" s="70" t="str">
        <f>IF(OR(N1475="",NOT(ISNUMBER(M1475))),"",ROUND(N1475*M1475,2))</f>
        <v/>
      </c>
      <c r="P1475" s="70" t="str">
        <f>IF(N1475="","",N1475+N(O1475))</f>
        <v/>
      </c>
      <c r="Q1475" s="64" t="n"/>
      <c r="R1475" s="73" t="str">
        <f>IF(N(Q1475)&gt;0,Q1475,IF(OR(N(B1475)=0,ISNA(MATCH($C1475,sup_code,0))),"",IF(ISNUMBER(INDEX(sup_delay,MATCH($C1475,sup_code,0))),B1475+INDEX(sup_delay,MATCH($C1475,sup_code,0)),"")))</f>
        <v/>
      </c>
      <c r="S1475" s="64" t="n"/>
      <c r="T1475" s="68" t="n"/>
      <c r="U1475" s="64" t="n"/>
      <c r="V1475" s="65" t="n"/>
      <c r="W1475" s="74" t="str">
        <f>IF(AND(A1475="",E1475=""),"",IF(V1475="Oui",0,MAX(0,ROUND(N(H1475)-N(T1475),6))))</f>
        <v/>
      </c>
      <c r="X1475" s="67" t="str">
        <f>IF(AND(A1475="",E1475=""),"",IF(V1475="Oui","Annulé",IF(AND(N(H1475)&gt;0,N(T1475)&gt;=N(H1475)),"Reçu",IF(N(S1475)=0,"Brouillon",IF(AND(ISNUMBER(R1475),R1475&lt;p_today),"En retard",IF(N(T1475)&gt;0,"Partiel","Envoyé"))))))</f>
        <v/>
      </c>
      <c r="Y1475" s="75" t="str">
        <f>IF(X1475="En retard",p_today-R1475,IF(AND(X1475="Reçu",ISNUMBER(R1475)),MAX(0,N(U1475)-R1475),""))</f>
        <v/>
      </c>
      <c r="Z1475" s="67" t="str">
        <f>IF(AND(A1475="",E1475=""),"",IF(A1475="","N° de bon manquant",IF(N(B1475)=0,"Date de commande manquante",IF(C1475="","Fournisseur manquant",IF(ISNA(MATCH($C1475,sup_code,0)),"Fournisseur inconnu",IF(E1475="","Article manquant",IF(ISNA(MATCH($E1475,art_ref,0)),"Article inconnu",IF(N(H1475)&lt;=0,"Quantité invalide",IF(J1475="","Prix manquant",IF(OR(N(K1475)&lt;0,N(K1475)&gt;=1),"Remise invalide",IF(M1475="","TVA manquante",IF(ISNA(MATCH(M1475,p_tva,0)),"Taux de TVA inconnu",IF(COUNTIFS(po_num,A1475,po_sup,"&lt;&gt;"&amp;C1475)&gt;0,"Fournisseur différent sur ce bon",IF(COUNTIFS(po_num,A1475,po_date,"&lt;&gt;"&amp;B1475)&gt;0,"Date différente sur ce bon",IF(COUNTIF(po_num,A1475)&gt;25,"Plus de 25 lignes sur ce bon",IF(R1475="","Date de livraison manquante",IF(R1475&lt;B1475,"Livraison avant la commande",IF(AND(N(T1475)&gt;0,N(S1475)=0),"Date d'envoi manquante",IF(N(T1475)&gt;N(H1475),"Reçu plus que commandé",IF(AND(N(T1475)&gt;0,N(U1475)=0),"Date de réception manquante",IF(AND(N(U1475)&gt;0,U1475&lt;B1475),"Réception avant la commande","OK")))))))))))))))))))))</f>
        <v/>
      </c>
      <c r="AA1475" s="66" t="str">
        <f>IF(AND(X1475="Reçu",ISNUMBER(R1475)),IF(N(U1475)&lt;=R1475,1,0),"")</f>
        <v/>
      </c>
      <c r="AB1475" s="76" t="str">
        <f>IF(OR(X1475="Envoyé",X1475="Partiel",X1475="En retard"),IF(ISNUMBER(R1475),R1475,100000)+ROW()/100000,"")</f>
        <v/>
      </c>
      <c r="AC1475" s="66" t="str">
        <f>IF(A1475="","",IF(COUNTIF($A$6:A1475,A1475)=1,1,""))</f>
        <v/>
      </c>
      <c r="AD1475" s="66" t="str">
        <f>IF(AC1475=1,COUNT($AC$6:AC1475),"")</f>
        <v/>
      </c>
      <c r="AE1475" s="66" t="str">
        <f>IFERROR(INDEX(po_num,MATCH(1470,po_seq,0))&amp;"","")</f>
        <v/>
      </c>
      <c r="AF1475" s="66" t="str">
        <f>IF(OR(A1475="",p_po=""),"",IF(A1475&amp;""=p_po,COUNTIF($A$6:A1475,A1475),""))</f>
        <v/>
      </c>
      <c r="AG1475" s="66" t="str">
        <f>IF(OR(AB1475="",A1475=""),"",IF(COUNTIFS($A$6:A1475,A1475,$AB$6:AB1475,"&gt;0")=1,1,""))</f>
        <v/>
      </c>
      <c r="AH1475" s="70" t="str">
        <f>IF(AB1475="","",ROUND(N(W1475)*N(J1475)*(1-N(K1475)),2))</f>
        <v/>
      </c>
      <c r="AI1475" s="70" t="str">
        <f>IF(OR(J1475="",N(T1475)&lt;=0,V1475="Oui"),"",ROUND(N(T1475)*J1475*(1-N(K1475)),2))</f>
        <v/>
      </c>
    </row>
    <row r="1476">
      <c r="A1476" s="63" t="n"/>
      <c r="B1476" s="64" t="n"/>
      <c r="C1476" s="65" t="n"/>
      <c r="D1476" s="66" t="str">
        <f>IF(C1476="","",IFERROR(INDEX(sup_name,MATCH($C1476,sup_code,0))&amp;"","Fournisseur inconnu"))</f>
        <v/>
      </c>
      <c r="E1476" s="63" t="n"/>
      <c r="F1476" s="66" t="str">
        <f>IF(E1476="","",IFERROR(INDEX(art_des,MATCH($E1476,art_ref,0))&amp;"","Article inconnu"))</f>
        <v/>
      </c>
      <c r="G1476" s="67" t="str">
        <f>IF(E1476="","",IFERROR(INDEX(art_unit,MATCH($E1476,art_ref,0))&amp;"",""))</f>
        <v/>
      </c>
      <c r="H1476" s="68" t="n"/>
      <c r="I1476" s="69" t="n"/>
      <c r="J1476" s="70" t="str">
        <f>IF(E1476="","",IF(ISNUMBER(I1476),I1476,IFERROR(IF(ISNUMBER(INDEX(art_price,MATCH($E1476,art_ref,0))),INDEX(art_price,MATCH($E1476,art_ref,0)),""),"")))</f>
        <v/>
      </c>
      <c r="K1476" s="71" t="n"/>
      <c r="L1476" s="72" t="n"/>
      <c r="M1476" s="72" t="str">
        <f>IF(E1476="","",IF(L1476&lt;&gt;"",L1476,IFERROR(IF(ISNUMBER(INDEX(art_tva,MATCH($E1476,art_ref,0))),INDEX(art_tva,MATCH($E1476,art_ref,0)),""),"")))</f>
        <v/>
      </c>
      <c r="N1476" s="70" t="str">
        <f>IF(OR(E1476="",J1476=""),"",ROUND(N(H1476)*J1476*(1-N(K1476)),2))</f>
        <v/>
      </c>
      <c r="O1476" s="70" t="str">
        <f>IF(OR(N1476="",NOT(ISNUMBER(M1476))),"",ROUND(N1476*M1476,2))</f>
        <v/>
      </c>
      <c r="P1476" s="70" t="str">
        <f>IF(N1476="","",N1476+N(O1476))</f>
        <v/>
      </c>
      <c r="Q1476" s="64" t="n"/>
      <c r="R1476" s="73" t="str">
        <f>IF(N(Q1476)&gt;0,Q1476,IF(OR(N(B1476)=0,ISNA(MATCH($C1476,sup_code,0))),"",IF(ISNUMBER(INDEX(sup_delay,MATCH($C1476,sup_code,0))),B1476+INDEX(sup_delay,MATCH($C1476,sup_code,0)),"")))</f>
        <v/>
      </c>
      <c r="S1476" s="64" t="n"/>
      <c r="T1476" s="68" t="n"/>
      <c r="U1476" s="64" t="n"/>
      <c r="V1476" s="65" t="n"/>
      <c r="W1476" s="74" t="str">
        <f>IF(AND(A1476="",E1476=""),"",IF(V1476="Oui",0,MAX(0,ROUND(N(H1476)-N(T1476),6))))</f>
        <v/>
      </c>
      <c r="X1476" s="67" t="str">
        <f>IF(AND(A1476="",E1476=""),"",IF(V1476="Oui","Annulé",IF(AND(N(H1476)&gt;0,N(T1476)&gt;=N(H1476)),"Reçu",IF(N(S1476)=0,"Brouillon",IF(AND(ISNUMBER(R1476),R1476&lt;p_today),"En retard",IF(N(T1476)&gt;0,"Partiel","Envoyé"))))))</f>
        <v/>
      </c>
      <c r="Y1476" s="75" t="str">
        <f>IF(X1476="En retard",p_today-R1476,IF(AND(X1476="Reçu",ISNUMBER(R1476)),MAX(0,N(U1476)-R1476),""))</f>
        <v/>
      </c>
      <c r="Z1476" s="67" t="str">
        <f>IF(AND(A1476="",E1476=""),"",IF(A1476="","N° de bon manquant",IF(N(B1476)=0,"Date de commande manquante",IF(C1476="","Fournisseur manquant",IF(ISNA(MATCH($C1476,sup_code,0)),"Fournisseur inconnu",IF(E1476="","Article manquant",IF(ISNA(MATCH($E1476,art_ref,0)),"Article inconnu",IF(N(H1476)&lt;=0,"Quantité invalide",IF(J1476="","Prix manquant",IF(OR(N(K1476)&lt;0,N(K1476)&gt;=1),"Remise invalide",IF(M1476="","TVA manquante",IF(ISNA(MATCH(M1476,p_tva,0)),"Taux de TVA inconnu",IF(COUNTIFS(po_num,A1476,po_sup,"&lt;&gt;"&amp;C1476)&gt;0,"Fournisseur différent sur ce bon",IF(COUNTIFS(po_num,A1476,po_date,"&lt;&gt;"&amp;B1476)&gt;0,"Date différente sur ce bon",IF(COUNTIF(po_num,A1476)&gt;25,"Plus de 25 lignes sur ce bon",IF(R1476="","Date de livraison manquante",IF(R1476&lt;B1476,"Livraison avant la commande",IF(AND(N(T1476)&gt;0,N(S1476)=0),"Date d'envoi manquante",IF(N(T1476)&gt;N(H1476),"Reçu plus que commandé",IF(AND(N(T1476)&gt;0,N(U1476)=0),"Date de réception manquante",IF(AND(N(U1476)&gt;0,U1476&lt;B1476),"Réception avant la commande","OK")))))))))))))))))))))</f>
        <v/>
      </c>
      <c r="AA1476" s="66" t="str">
        <f>IF(AND(X1476="Reçu",ISNUMBER(R1476)),IF(N(U1476)&lt;=R1476,1,0),"")</f>
        <v/>
      </c>
      <c r="AB1476" s="76" t="str">
        <f>IF(OR(X1476="Envoyé",X1476="Partiel",X1476="En retard"),IF(ISNUMBER(R1476),R1476,100000)+ROW()/100000,"")</f>
        <v/>
      </c>
      <c r="AC1476" s="66" t="str">
        <f>IF(A1476="","",IF(COUNTIF($A$6:A1476,A1476)=1,1,""))</f>
        <v/>
      </c>
      <c r="AD1476" s="66" t="str">
        <f>IF(AC1476=1,COUNT($AC$6:AC1476),"")</f>
        <v/>
      </c>
      <c r="AE1476" s="66" t="str">
        <f>IFERROR(INDEX(po_num,MATCH(1471,po_seq,0))&amp;"","")</f>
        <v/>
      </c>
      <c r="AF1476" s="66" t="str">
        <f>IF(OR(A1476="",p_po=""),"",IF(A1476&amp;""=p_po,COUNTIF($A$6:A1476,A1476),""))</f>
        <v/>
      </c>
      <c r="AG1476" s="66" t="str">
        <f>IF(OR(AB1476="",A1476=""),"",IF(COUNTIFS($A$6:A1476,A1476,$AB$6:AB1476,"&gt;0")=1,1,""))</f>
        <v/>
      </c>
      <c r="AH1476" s="70" t="str">
        <f>IF(AB1476="","",ROUND(N(W1476)*N(J1476)*(1-N(K1476)),2))</f>
        <v/>
      </c>
      <c r="AI1476" s="70" t="str">
        <f>IF(OR(J1476="",N(T1476)&lt;=0,V1476="Oui"),"",ROUND(N(T1476)*J1476*(1-N(K1476)),2))</f>
        <v/>
      </c>
    </row>
    <row r="1477">
      <c r="A1477" s="63" t="n"/>
      <c r="B1477" s="64" t="n"/>
      <c r="C1477" s="65" t="n"/>
      <c r="D1477" s="66" t="str">
        <f>IF(C1477="","",IFERROR(INDEX(sup_name,MATCH($C1477,sup_code,0))&amp;"","Fournisseur inconnu"))</f>
        <v/>
      </c>
      <c r="E1477" s="63" t="n"/>
      <c r="F1477" s="66" t="str">
        <f>IF(E1477="","",IFERROR(INDEX(art_des,MATCH($E1477,art_ref,0))&amp;"","Article inconnu"))</f>
        <v/>
      </c>
      <c r="G1477" s="67" t="str">
        <f>IF(E1477="","",IFERROR(INDEX(art_unit,MATCH($E1477,art_ref,0))&amp;"",""))</f>
        <v/>
      </c>
      <c r="H1477" s="68" t="n"/>
      <c r="I1477" s="69" t="n"/>
      <c r="J1477" s="70" t="str">
        <f>IF(E1477="","",IF(ISNUMBER(I1477),I1477,IFERROR(IF(ISNUMBER(INDEX(art_price,MATCH($E1477,art_ref,0))),INDEX(art_price,MATCH($E1477,art_ref,0)),""),"")))</f>
        <v/>
      </c>
      <c r="K1477" s="71" t="n"/>
      <c r="L1477" s="72" t="n"/>
      <c r="M1477" s="72" t="str">
        <f>IF(E1477="","",IF(L1477&lt;&gt;"",L1477,IFERROR(IF(ISNUMBER(INDEX(art_tva,MATCH($E1477,art_ref,0))),INDEX(art_tva,MATCH($E1477,art_ref,0)),""),"")))</f>
        <v/>
      </c>
      <c r="N1477" s="70" t="str">
        <f>IF(OR(E1477="",J1477=""),"",ROUND(N(H1477)*J1477*(1-N(K1477)),2))</f>
        <v/>
      </c>
      <c r="O1477" s="70" t="str">
        <f>IF(OR(N1477="",NOT(ISNUMBER(M1477))),"",ROUND(N1477*M1477,2))</f>
        <v/>
      </c>
      <c r="P1477" s="70" t="str">
        <f>IF(N1477="","",N1477+N(O1477))</f>
        <v/>
      </c>
      <c r="Q1477" s="64" t="n"/>
      <c r="R1477" s="73" t="str">
        <f>IF(N(Q1477)&gt;0,Q1477,IF(OR(N(B1477)=0,ISNA(MATCH($C1477,sup_code,0))),"",IF(ISNUMBER(INDEX(sup_delay,MATCH($C1477,sup_code,0))),B1477+INDEX(sup_delay,MATCH($C1477,sup_code,0)),"")))</f>
        <v/>
      </c>
      <c r="S1477" s="64" t="n"/>
      <c r="T1477" s="68" t="n"/>
      <c r="U1477" s="64" t="n"/>
      <c r="V1477" s="65" t="n"/>
      <c r="W1477" s="74" t="str">
        <f>IF(AND(A1477="",E1477=""),"",IF(V1477="Oui",0,MAX(0,ROUND(N(H1477)-N(T1477),6))))</f>
        <v/>
      </c>
      <c r="X1477" s="67" t="str">
        <f>IF(AND(A1477="",E1477=""),"",IF(V1477="Oui","Annulé",IF(AND(N(H1477)&gt;0,N(T1477)&gt;=N(H1477)),"Reçu",IF(N(S1477)=0,"Brouillon",IF(AND(ISNUMBER(R1477),R1477&lt;p_today),"En retard",IF(N(T1477)&gt;0,"Partiel","Envoyé"))))))</f>
        <v/>
      </c>
      <c r="Y1477" s="75" t="str">
        <f>IF(X1477="En retard",p_today-R1477,IF(AND(X1477="Reçu",ISNUMBER(R1477)),MAX(0,N(U1477)-R1477),""))</f>
        <v/>
      </c>
      <c r="Z1477" s="67" t="str">
        <f>IF(AND(A1477="",E1477=""),"",IF(A1477="","N° de bon manquant",IF(N(B1477)=0,"Date de commande manquante",IF(C1477="","Fournisseur manquant",IF(ISNA(MATCH($C1477,sup_code,0)),"Fournisseur inconnu",IF(E1477="","Article manquant",IF(ISNA(MATCH($E1477,art_ref,0)),"Article inconnu",IF(N(H1477)&lt;=0,"Quantité invalide",IF(J1477="","Prix manquant",IF(OR(N(K1477)&lt;0,N(K1477)&gt;=1),"Remise invalide",IF(M1477="","TVA manquante",IF(ISNA(MATCH(M1477,p_tva,0)),"Taux de TVA inconnu",IF(COUNTIFS(po_num,A1477,po_sup,"&lt;&gt;"&amp;C1477)&gt;0,"Fournisseur différent sur ce bon",IF(COUNTIFS(po_num,A1477,po_date,"&lt;&gt;"&amp;B1477)&gt;0,"Date différente sur ce bon",IF(COUNTIF(po_num,A1477)&gt;25,"Plus de 25 lignes sur ce bon",IF(R1477="","Date de livraison manquante",IF(R1477&lt;B1477,"Livraison avant la commande",IF(AND(N(T1477)&gt;0,N(S1477)=0),"Date d'envoi manquante",IF(N(T1477)&gt;N(H1477),"Reçu plus que commandé",IF(AND(N(T1477)&gt;0,N(U1477)=0),"Date de réception manquante",IF(AND(N(U1477)&gt;0,U1477&lt;B1477),"Réception avant la commande","OK")))))))))))))))))))))</f>
        <v/>
      </c>
      <c r="AA1477" s="66" t="str">
        <f>IF(AND(X1477="Reçu",ISNUMBER(R1477)),IF(N(U1477)&lt;=R1477,1,0),"")</f>
        <v/>
      </c>
      <c r="AB1477" s="76" t="str">
        <f>IF(OR(X1477="Envoyé",X1477="Partiel",X1477="En retard"),IF(ISNUMBER(R1477),R1477,100000)+ROW()/100000,"")</f>
        <v/>
      </c>
      <c r="AC1477" s="66" t="str">
        <f>IF(A1477="","",IF(COUNTIF($A$6:A1477,A1477)=1,1,""))</f>
        <v/>
      </c>
      <c r="AD1477" s="66" t="str">
        <f>IF(AC1477=1,COUNT($AC$6:AC1477),"")</f>
        <v/>
      </c>
      <c r="AE1477" s="66" t="str">
        <f>IFERROR(INDEX(po_num,MATCH(1472,po_seq,0))&amp;"","")</f>
        <v/>
      </c>
      <c r="AF1477" s="66" t="str">
        <f>IF(OR(A1477="",p_po=""),"",IF(A1477&amp;""=p_po,COUNTIF($A$6:A1477,A1477),""))</f>
        <v/>
      </c>
      <c r="AG1477" s="66" t="str">
        <f>IF(OR(AB1477="",A1477=""),"",IF(COUNTIFS($A$6:A1477,A1477,$AB$6:AB1477,"&gt;0")=1,1,""))</f>
        <v/>
      </c>
      <c r="AH1477" s="70" t="str">
        <f>IF(AB1477="","",ROUND(N(W1477)*N(J1477)*(1-N(K1477)),2))</f>
        <v/>
      </c>
      <c r="AI1477" s="70" t="str">
        <f>IF(OR(J1477="",N(T1477)&lt;=0,V1477="Oui"),"",ROUND(N(T1477)*J1477*(1-N(K1477)),2))</f>
        <v/>
      </c>
    </row>
    <row r="1478">
      <c r="A1478" s="63" t="n"/>
      <c r="B1478" s="64" t="n"/>
      <c r="C1478" s="65" t="n"/>
      <c r="D1478" s="66" t="str">
        <f>IF(C1478="","",IFERROR(INDEX(sup_name,MATCH($C1478,sup_code,0))&amp;"","Fournisseur inconnu"))</f>
        <v/>
      </c>
      <c r="E1478" s="63" t="n"/>
      <c r="F1478" s="66" t="str">
        <f>IF(E1478="","",IFERROR(INDEX(art_des,MATCH($E1478,art_ref,0))&amp;"","Article inconnu"))</f>
        <v/>
      </c>
      <c r="G1478" s="67" t="str">
        <f>IF(E1478="","",IFERROR(INDEX(art_unit,MATCH($E1478,art_ref,0))&amp;"",""))</f>
        <v/>
      </c>
      <c r="H1478" s="68" t="n"/>
      <c r="I1478" s="69" t="n"/>
      <c r="J1478" s="70" t="str">
        <f>IF(E1478="","",IF(ISNUMBER(I1478),I1478,IFERROR(IF(ISNUMBER(INDEX(art_price,MATCH($E1478,art_ref,0))),INDEX(art_price,MATCH($E1478,art_ref,0)),""),"")))</f>
        <v/>
      </c>
      <c r="K1478" s="71" t="n"/>
      <c r="L1478" s="72" t="n"/>
      <c r="M1478" s="72" t="str">
        <f>IF(E1478="","",IF(L1478&lt;&gt;"",L1478,IFERROR(IF(ISNUMBER(INDEX(art_tva,MATCH($E1478,art_ref,0))),INDEX(art_tva,MATCH($E1478,art_ref,0)),""),"")))</f>
        <v/>
      </c>
      <c r="N1478" s="70" t="str">
        <f>IF(OR(E1478="",J1478=""),"",ROUND(N(H1478)*J1478*(1-N(K1478)),2))</f>
        <v/>
      </c>
      <c r="O1478" s="70" t="str">
        <f>IF(OR(N1478="",NOT(ISNUMBER(M1478))),"",ROUND(N1478*M1478,2))</f>
        <v/>
      </c>
      <c r="P1478" s="70" t="str">
        <f>IF(N1478="","",N1478+N(O1478))</f>
        <v/>
      </c>
      <c r="Q1478" s="64" t="n"/>
      <c r="R1478" s="73" t="str">
        <f>IF(N(Q1478)&gt;0,Q1478,IF(OR(N(B1478)=0,ISNA(MATCH($C1478,sup_code,0))),"",IF(ISNUMBER(INDEX(sup_delay,MATCH($C1478,sup_code,0))),B1478+INDEX(sup_delay,MATCH($C1478,sup_code,0)),"")))</f>
        <v/>
      </c>
      <c r="S1478" s="64" t="n"/>
      <c r="T1478" s="68" t="n"/>
      <c r="U1478" s="64" t="n"/>
      <c r="V1478" s="65" t="n"/>
      <c r="W1478" s="74" t="str">
        <f>IF(AND(A1478="",E1478=""),"",IF(V1478="Oui",0,MAX(0,ROUND(N(H1478)-N(T1478),6))))</f>
        <v/>
      </c>
      <c r="X1478" s="67" t="str">
        <f>IF(AND(A1478="",E1478=""),"",IF(V1478="Oui","Annulé",IF(AND(N(H1478)&gt;0,N(T1478)&gt;=N(H1478)),"Reçu",IF(N(S1478)=0,"Brouillon",IF(AND(ISNUMBER(R1478),R1478&lt;p_today),"En retard",IF(N(T1478)&gt;0,"Partiel","Envoyé"))))))</f>
        <v/>
      </c>
      <c r="Y1478" s="75" t="str">
        <f>IF(X1478="En retard",p_today-R1478,IF(AND(X1478="Reçu",ISNUMBER(R1478)),MAX(0,N(U1478)-R1478),""))</f>
        <v/>
      </c>
      <c r="Z1478" s="67" t="str">
        <f>IF(AND(A1478="",E1478=""),"",IF(A1478="","N° de bon manquant",IF(N(B1478)=0,"Date de commande manquante",IF(C1478="","Fournisseur manquant",IF(ISNA(MATCH($C1478,sup_code,0)),"Fournisseur inconnu",IF(E1478="","Article manquant",IF(ISNA(MATCH($E1478,art_ref,0)),"Article inconnu",IF(N(H1478)&lt;=0,"Quantité invalide",IF(J1478="","Prix manquant",IF(OR(N(K1478)&lt;0,N(K1478)&gt;=1),"Remise invalide",IF(M1478="","TVA manquante",IF(ISNA(MATCH(M1478,p_tva,0)),"Taux de TVA inconnu",IF(COUNTIFS(po_num,A1478,po_sup,"&lt;&gt;"&amp;C1478)&gt;0,"Fournisseur différent sur ce bon",IF(COUNTIFS(po_num,A1478,po_date,"&lt;&gt;"&amp;B1478)&gt;0,"Date différente sur ce bon",IF(COUNTIF(po_num,A1478)&gt;25,"Plus de 25 lignes sur ce bon",IF(R1478="","Date de livraison manquante",IF(R1478&lt;B1478,"Livraison avant la commande",IF(AND(N(T1478)&gt;0,N(S1478)=0),"Date d'envoi manquante",IF(N(T1478)&gt;N(H1478),"Reçu plus que commandé",IF(AND(N(T1478)&gt;0,N(U1478)=0),"Date de réception manquante",IF(AND(N(U1478)&gt;0,U1478&lt;B1478),"Réception avant la commande","OK")))))))))))))))))))))</f>
        <v/>
      </c>
      <c r="AA1478" s="66" t="str">
        <f>IF(AND(X1478="Reçu",ISNUMBER(R1478)),IF(N(U1478)&lt;=R1478,1,0),"")</f>
        <v/>
      </c>
      <c r="AB1478" s="76" t="str">
        <f>IF(OR(X1478="Envoyé",X1478="Partiel",X1478="En retard"),IF(ISNUMBER(R1478),R1478,100000)+ROW()/100000,"")</f>
        <v/>
      </c>
      <c r="AC1478" s="66" t="str">
        <f>IF(A1478="","",IF(COUNTIF($A$6:A1478,A1478)=1,1,""))</f>
        <v/>
      </c>
      <c r="AD1478" s="66" t="str">
        <f>IF(AC1478=1,COUNT($AC$6:AC1478),"")</f>
        <v/>
      </c>
      <c r="AE1478" s="66" t="str">
        <f>IFERROR(INDEX(po_num,MATCH(1473,po_seq,0))&amp;"","")</f>
        <v/>
      </c>
      <c r="AF1478" s="66" t="str">
        <f>IF(OR(A1478="",p_po=""),"",IF(A1478&amp;""=p_po,COUNTIF($A$6:A1478,A1478),""))</f>
        <v/>
      </c>
      <c r="AG1478" s="66" t="str">
        <f>IF(OR(AB1478="",A1478=""),"",IF(COUNTIFS($A$6:A1478,A1478,$AB$6:AB1478,"&gt;0")=1,1,""))</f>
        <v/>
      </c>
      <c r="AH1478" s="70" t="str">
        <f>IF(AB1478="","",ROUND(N(W1478)*N(J1478)*(1-N(K1478)),2))</f>
        <v/>
      </c>
      <c r="AI1478" s="70" t="str">
        <f>IF(OR(J1478="",N(T1478)&lt;=0,V1478="Oui"),"",ROUND(N(T1478)*J1478*(1-N(K1478)),2))</f>
        <v/>
      </c>
    </row>
    <row r="1479">
      <c r="A1479" s="63" t="n"/>
      <c r="B1479" s="64" t="n"/>
      <c r="C1479" s="65" t="n"/>
      <c r="D1479" s="66" t="str">
        <f>IF(C1479="","",IFERROR(INDEX(sup_name,MATCH($C1479,sup_code,0))&amp;"","Fournisseur inconnu"))</f>
        <v/>
      </c>
      <c r="E1479" s="63" t="n"/>
      <c r="F1479" s="66" t="str">
        <f>IF(E1479="","",IFERROR(INDEX(art_des,MATCH($E1479,art_ref,0))&amp;"","Article inconnu"))</f>
        <v/>
      </c>
      <c r="G1479" s="67" t="str">
        <f>IF(E1479="","",IFERROR(INDEX(art_unit,MATCH($E1479,art_ref,0))&amp;"",""))</f>
        <v/>
      </c>
      <c r="H1479" s="68" t="n"/>
      <c r="I1479" s="69" t="n"/>
      <c r="J1479" s="70" t="str">
        <f>IF(E1479="","",IF(ISNUMBER(I1479),I1479,IFERROR(IF(ISNUMBER(INDEX(art_price,MATCH($E1479,art_ref,0))),INDEX(art_price,MATCH($E1479,art_ref,0)),""),"")))</f>
        <v/>
      </c>
      <c r="K1479" s="71" t="n"/>
      <c r="L1479" s="72" t="n"/>
      <c r="M1479" s="72" t="str">
        <f>IF(E1479="","",IF(L1479&lt;&gt;"",L1479,IFERROR(IF(ISNUMBER(INDEX(art_tva,MATCH($E1479,art_ref,0))),INDEX(art_tva,MATCH($E1479,art_ref,0)),""),"")))</f>
        <v/>
      </c>
      <c r="N1479" s="70" t="str">
        <f>IF(OR(E1479="",J1479=""),"",ROUND(N(H1479)*J1479*(1-N(K1479)),2))</f>
        <v/>
      </c>
      <c r="O1479" s="70" t="str">
        <f>IF(OR(N1479="",NOT(ISNUMBER(M1479))),"",ROUND(N1479*M1479,2))</f>
        <v/>
      </c>
      <c r="P1479" s="70" t="str">
        <f>IF(N1479="","",N1479+N(O1479))</f>
        <v/>
      </c>
      <c r="Q1479" s="64" t="n"/>
      <c r="R1479" s="73" t="str">
        <f>IF(N(Q1479)&gt;0,Q1479,IF(OR(N(B1479)=0,ISNA(MATCH($C1479,sup_code,0))),"",IF(ISNUMBER(INDEX(sup_delay,MATCH($C1479,sup_code,0))),B1479+INDEX(sup_delay,MATCH($C1479,sup_code,0)),"")))</f>
        <v/>
      </c>
      <c r="S1479" s="64" t="n"/>
      <c r="T1479" s="68" t="n"/>
      <c r="U1479" s="64" t="n"/>
      <c r="V1479" s="65" t="n"/>
      <c r="W1479" s="74" t="str">
        <f>IF(AND(A1479="",E1479=""),"",IF(V1479="Oui",0,MAX(0,ROUND(N(H1479)-N(T1479),6))))</f>
        <v/>
      </c>
      <c r="X1479" s="67" t="str">
        <f>IF(AND(A1479="",E1479=""),"",IF(V1479="Oui","Annulé",IF(AND(N(H1479)&gt;0,N(T1479)&gt;=N(H1479)),"Reçu",IF(N(S1479)=0,"Brouillon",IF(AND(ISNUMBER(R1479),R1479&lt;p_today),"En retard",IF(N(T1479)&gt;0,"Partiel","Envoyé"))))))</f>
        <v/>
      </c>
      <c r="Y1479" s="75" t="str">
        <f>IF(X1479="En retard",p_today-R1479,IF(AND(X1479="Reçu",ISNUMBER(R1479)),MAX(0,N(U1479)-R1479),""))</f>
        <v/>
      </c>
      <c r="Z1479" s="67" t="str">
        <f>IF(AND(A1479="",E1479=""),"",IF(A1479="","N° de bon manquant",IF(N(B1479)=0,"Date de commande manquante",IF(C1479="","Fournisseur manquant",IF(ISNA(MATCH($C1479,sup_code,0)),"Fournisseur inconnu",IF(E1479="","Article manquant",IF(ISNA(MATCH($E1479,art_ref,0)),"Article inconnu",IF(N(H1479)&lt;=0,"Quantité invalide",IF(J1479="","Prix manquant",IF(OR(N(K1479)&lt;0,N(K1479)&gt;=1),"Remise invalide",IF(M1479="","TVA manquante",IF(ISNA(MATCH(M1479,p_tva,0)),"Taux de TVA inconnu",IF(COUNTIFS(po_num,A1479,po_sup,"&lt;&gt;"&amp;C1479)&gt;0,"Fournisseur différent sur ce bon",IF(COUNTIFS(po_num,A1479,po_date,"&lt;&gt;"&amp;B1479)&gt;0,"Date différente sur ce bon",IF(COUNTIF(po_num,A1479)&gt;25,"Plus de 25 lignes sur ce bon",IF(R1479="","Date de livraison manquante",IF(R1479&lt;B1479,"Livraison avant la commande",IF(AND(N(T1479)&gt;0,N(S1479)=0),"Date d'envoi manquante",IF(N(T1479)&gt;N(H1479),"Reçu plus que commandé",IF(AND(N(T1479)&gt;0,N(U1479)=0),"Date de réception manquante",IF(AND(N(U1479)&gt;0,U1479&lt;B1479),"Réception avant la commande","OK")))))))))))))))))))))</f>
        <v/>
      </c>
      <c r="AA1479" s="66" t="str">
        <f>IF(AND(X1479="Reçu",ISNUMBER(R1479)),IF(N(U1479)&lt;=R1479,1,0),"")</f>
        <v/>
      </c>
      <c r="AB1479" s="76" t="str">
        <f>IF(OR(X1479="Envoyé",X1479="Partiel",X1479="En retard"),IF(ISNUMBER(R1479),R1479,100000)+ROW()/100000,"")</f>
        <v/>
      </c>
      <c r="AC1479" s="66" t="str">
        <f>IF(A1479="","",IF(COUNTIF($A$6:A1479,A1479)=1,1,""))</f>
        <v/>
      </c>
      <c r="AD1479" s="66" t="str">
        <f>IF(AC1479=1,COUNT($AC$6:AC1479),"")</f>
        <v/>
      </c>
      <c r="AE1479" s="66" t="str">
        <f>IFERROR(INDEX(po_num,MATCH(1474,po_seq,0))&amp;"","")</f>
        <v/>
      </c>
      <c r="AF1479" s="66" t="str">
        <f>IF(OR(A1479="",p_po=""),"",IF(A1479&amp;""=p_po,COUNTIF($A$6:A1479,A1479),""))</f>
        <v/>
      </c>
      <c r="AG1479" s="66" t="str">
        <f>IF(OR(AB1479="",A1479=""),"",IF(COUNTIFS($A$6:A1479,A1479,$AB$6:AB1479,"&gt;0")=1,1,""))</f>
        <v/>
      </c>
      <c r="AH1479" s="70" t="str">
        <f>IF(AB1479="","",ROUND(N(W1479)*N(J1479)*(1-N(K1479)),2))</f>
        <v/>
      </c>
      <c r="AI1479" s="70" t="str">
        <f>IF(OR(J1479="",N(T1479)&lt;=0,V1479="Oui"),"",ROUND(N(T1479)*J1479*(1-N(K1479)),2))</f>
        <v/>
      </c>
    </row>
    <row r="1480">
      <c r="A1480" s="63" t="n"/>
      <c r="B1480" s="64" t="n"/>
      <c r="C1480" s="65" t="n"/>
      <c r="D1480" s="66" t="str">
        <f>IF(C1480="","",IFERROR(INDEX(sup_name,MATCH($C1480,sup_code,0))&amp;"","Fournisseur inconnu"))</f>
        <v/>
      </c>
      <c r="E1480" s="63" t="n"/>
      <c r="F1480" s="66" t="str">
        <f>IF(E1480="","",IFERROR(INDEX(art_des,MATCH($E1480,art_ref,0))&amp;"","Article inconnu"))</f>
        <v/>
      </c>
      <c r="G1480" s="67" t="str">
        <f>IF(E1480="","",IFERROR(INDEX(art_unit,MATCH($E1480,art_ref,0))&amp;"",""))</f>
        <v/>
      </c>
      <c r="H1480" s="68" t="n"/>
      <c r="I1480" s="69" t="n"/>
      <c r="J1480" s="70" t="str">
        <f>IF(E1480="","",IF(ISNUMBER(I1480),I1480,IFERROR(IF(ISNUMBER(INDEX(art_price,MATCH($E1480,art_ref,0))),INDEX(art_price,MATCH($E1480,art_ref,0)),""),"")))</f>
        <v/>
      </c>
      <c r="K1480" s="71" t="n"/>
      <c r="L1480" s="72" t="n"/>
      <c r="M1480" s="72" t="str">
        <f>IF(E1480="","",IF(L1480&lt;&gt;"",L1480,IFERROR(IF(ISNUMBER(INDEX(art_tva,MATCH($E1480,art_ref,0))),INDEX(art_tva,MATCH($E1480,art_ref,0)),""),"")))</f>
        <v/>
      </c>
      <c r="N1480" s="70" t="str">
        <f>IF(OR(E1480="",J1480=""),"",ROUND(N(H1480)*J1480*(1-N(K1480)),2))</f>
        <v/>
      </c>
      <c r="O1480" s="70" t="str">
        <f>IF(OR(N1480="",NOT(ISNUMBER(M1480))),"",ROUND(N1480*M1480,2))</f>
        <v/>
      </c>
      <c r="P1480" s="70" t="str">
        <f>IF(N1480="","",N1480+N(O1480))</f>
        <v/>
      </c>
      <c r="Q1480" s="64" t="n"/>
      <c r="R1480" s="73" t="str">
        <f>IF(N(Q1480)&gt;0,Q1480,IF(OR(N(B1480)=0,ISNA(MATCH($C1480,sup_code,0))),"",IF(ISNUMBER(INDEX(sup_delay,MATCH($C1480,sup_code,0))),B1480+INDEX(sup_delay,MATCH($C1480,sup_code,0)),"")))</f>
        <v/>
      </c>
      <c r="S1480" s="64" t="n"/>
      <c r="T1480" s="68" t="n"/>
      <c r="U1480" s="64" t="n"/>
      <c r="V1480" s="65" t="n"/>
      <c r="W1480" s="74" t="str">
        <f>IF(AND(A1480="",E1480=""),"",IF(V1480="Oui",0,MAX(0,ROUND(N(H1480)-N(T1480),6))))</f>
        <v/>
      </c>
      <c r="X1480" s="67" t="str">
        <f>IF(AND(A1480="",E1480=""),"",IF(V1480="Oui","Annulé",IF(AND(N(H1480)&gt;0,N(T1480)&gt;=N(H1480)),"Reçu",IF(N(S1480)=0,"Brouillon",IF(AND(ISNUMBER(R1480),R1480&lt;p_today),"En retard",IF(N(T1480)&gt;0,"Partiel","Envoyé"))))))</f>
        <v/>
      </c>
      <c r="Y1480" s="75" t="str">
        <f>IF(X1480="En retard",p_today-R1480,IF(AND(X1480="Reçu",ISNUMBER(R1480)),MAX(0,N(U1480)-R1480),""))</f>
        <v/>
      </c>
      <c r="Z1480" s="67" t="str">
        <f>IF(AND(A1480="",E1480=""),"",IF(A1480="","N° de bon manquant",IF(N(B1480)=0,"Date de commande manquante",IF(C1480="","Fournisseur manquant",IF(ISNA(MATCH($C1480,sup_code,0)),"Fournisseur inconnu",IF(E1480="","Article manquant",IF(ISNA(MATCH($E1480,art_ref,0)),"Article inconnu",IF(N(H1480)&lt;=0,"Quantité invalide",IF(J1480="","Prix manquant",IF(OR(N(K1480)&lt;0,N(K1480)&gt;=1),"Remise invalide",IF(M1480="","TVA manquante",IF(ISNA(MATCH(M1480,p_tva,0)),"Taux de TVA inconnu",IF(COUNTIFS(po_num,A1480,po_sup,"&lt;&gt;"&amp;C1480)&gt;0,"Fournisseur différent sur ce bon",IF(COUNTIFS(po_num,A1480,po_date,"&lt;&gt;"&amp;B1480)&gt;0,"Date différente sur ce bon",IF(COUNTIF(po_num,A1480)&gt;25,"Plus de 25 lignes sur ce bon",IF(R1480="","Date de livraison manquante",IF(R1480&lt;B1480,"Livraison avant la commande",IF(AND(N(T1480)&gt;0,N(S1480)=0),"Date d'envoi manquante",IF(N(T1480)&gt;N(H1480),"Reçu plus que commandé",IF(AND(N(T1480)&gt;0,N(U1480)=0),"Date de réception manquante",IF(AND(N(U1480)&gt;0,U1480&lt;B1480),"Réception avant la commande","OK")))))))))))))))))))))</f>
        <v/>
      </c>
      <c r="AA1480" s="66" t="str">
        <f>IF(AND(X1480="Reçu",ISNUMBER(R1480)),IF(N(U1480)&lt;=R1480,1,0),"")</f>
        <v/>
      </c>
      <c r="AB1480" s="76" t="str">
        <f>IF(OR(X1480="Envoyé",X1480="Partiel",X1480="En retard"),IF(ISNUMBER(R1480),R1480,100000)+ROW()/100000,"")</f>
        <v/>
      </c>
      <c r="AC1480" s="66" t="str">
        <f>IF(A1480="","",IF(COUNTIF($A$6:A1480,A1480)=1,1,""))</f>
        <v/>
      </c>
      <c r="AD1480" s="66" t="str">
        <f>IF(AC1480=1,COUNT($AC$6:AC1480),"")</f>
        <v/>
      </c>
      <c r="AE1480" s="66" t="str">
        <f>IFERROR(INDEX(po_num,MATCH(1475,po_seq,0))&amp;"","")</f>
        <v/>
      </c>
      <c r="AF1480" s="66" t="str">
        <f>IF(OR(A1480="",p_po=""),"",IF(A1480&amp;""=p_po,COUNTIF($A$6:A1480,A1480),""))</f>
        <v/>
      </c>
      <c r="AG1480" s="66" t="str">
        <f>IF(OR(AB1480="",A1480=""),"",IF(COUNTIFS($A$6:A1480,A1480,$AB$6:AB1480,"&gt;0")=1,1,""))</f>
        <v/>
      </c>
      <c r="AH1480" s="70" t="str">
        <f>IF(AB1480="","",ROUND(N(W1480)*N(J1480)*(1-N(K1480)),2))</f>
        <v/>
      </c>
      <c r="AI1480" s="70" t="str">
        <f>IF(OR(J1480="",N(T1480)&lt;=0,V1480="Oui"),"",ROUND(N(T1480)*J1480*(1-N(K1480)),2))</f>
        <v/>
      </c>
    </row>
    <row r="1481">
      <c r="A1481" s="63" t="n"/>
      <c r="B1481" s="64" t="n"/>
      <c r="C1481" s="65" t="n"/>
      <c r="D1481" s="66" t="str">
        <f>IF(C1481="","",IFERROR(INDEX(sup_name,MATCH($C1481,sup_code,0))&amp;"","Fournisseur inconnu"))</f>
        <v/>
      </c>
      <c r="E1481" s="63" t="n"/>
      <c r="F1481" s="66" t="str">
        <f>IF(E1481="","",IFERROR(INDEX(art_des,MATCH($E1481,art_ref,0))&amp;"","Article inconnu"))</f>
        <v/>
      </c>
      <c r="G1481" s="67" t="str">
        <f>IF(E1481="","",IFERROR(INDEX(art_unit,MATCH($E1481,art_ref,0))&amp;"",""))</f>
        <v/>
      </c>
      <c r="H1481" s="68" t="n"/>
      <c r="I1481" s="69" t="n"/>
      <c r="J1481" s="70" t="str">
        <f>IF(E1481="","",IF(ISNUMBER(I1481),I1481,IFERROR(IF(ISNUMBER(INDEX(art_price,MATCH($E1481,art_ref,0))),INDEX(art_price,MATCH($E1481,art_ref,0)),""),"")))</f>
        <v/>
      </c>
      <c r="K1481" s="71" t="n"/>
      <c r="L1481" s="72" t="n"/>
      <c r="M1481" s="72" t="str">
        <f>IF(E1481="","",IF(L1481&lt;&gt;"",L1481,IFERROR(IF(ISNUMBER(INDEX(art_tva,MATCH($E1481,art_ref,0))),INDEX(art_tva,MATCH($E1481,art_ref,0)),""),"")))</f>
        <v/>
      </c>
      <c r="N1481" s="70" t="str">
        <f>IF(OR(E1481="",J1481=""),"",ROUND(N(H1481)*J1481*(1-N(K1481)),2))</f>
        <v/>
      </c>
      <c r="O1481" s="70" t="str">
        <f>IF(OR(N1481="",NOT(ISNUMBER(M1481))),"",ROUND(N1481*M1481,2))</f>
        <v/>
      </c>
      <c r="P1481" s="70" t="str">
        <f>IF(N1481="","",N1481+N(O1481))</f>
        <v/>
      </c>
      <c r="Q1481" s="64" t="n"/>
      <c r="R1481" s="73" t="str">
        <f>IF(N(Q1481)&gt;0,Q1481,IF(OR(N(B1481)=0,ISNA(MATCH($C1481,sup_code,0))),"",IF(ISNUMBER(INDEX(sup_delay,MATCH($C1481,sup_code,0))),B1481+INDEX(sup_delay,MATCH($C1481,sup_code,0)),"")))</f>
        <v/>
      </c>
      <c r="S1481" s="64" t="n"/>
      <c r="T1481" s="68" t="n"/>
      <c r="U1481" s="64" t="n"/>
      <c r="V1481" s="65" t="n"/>
      <c r="W1481" s="74" t="str">
        <f>IF(AND(A1481="",E1481=""),"",IF(V1481="Oui",0,MAX(0,ROUND(N(H1481)-N(T1481),6))))</f>
        <v/>
      </c>
      <c r="X1481" s="67" t="str">
        <f>IF(AND(A1481="",E1481=""),"",IF(V1481="Oui","Annulé",IF(AND(N(H1481)&gt;0,N(T1481)&gt;=N(H1481)),"Reçu",IF(N(S1481)=0,"Brouillon",IF(AND(ISNUMBER(R1481),R1481&lt;p_today),"En retard",IF(N(T1481)&gt;0,"Partiel","Envoyé"))))))</f>
        <v/>
      </c>
      <c r="Y1481" s="75" t="str">
        <f>IF(X1481="En retard",p_today-R1481,IF(AND(X1481="Reçu",ISNUMBER(R1481)),MAX(0,N(U1481)-R1481),""))</f>
        <v/>
      </c>
      <c r="Z1481" s="67" t="str">
        <f>IF(AND(A1481="",E1481=""),"",IF(A1481="","N° de bon manquant",IF(N(B1481)=0,"Date de commande manquante",IF(C1481="","Fournisseur manquant",IF(ISNA(MATCH($C1481,sup_code,0)),"Fournisseur inconnu",IF(E1481="","Article manquant",IF(ISNA(MATCH($E1481,art_ref,0)),"Article inconnu",IF(N(H1481)&lt;=0,"Quantité invalide",IF(J1481="","Prix manquant",IF(OR(N(K1481)&lt;0,N(K1481)&gt;=1),"Remise invalide",IF(M1481="","TVA manquante",IF(ISNA(MATCH(M1481,p_tva,0)),"Taux de TVA inconnu",IF(COUNTIFS(po_num,A1481,po_sup,"&lt;&gt;"&amp;C1481)&gt;0,"Fournisseur différent sur ce bon",IF(COUNTIFS(po_num,A1481,po_date,"&lt;&gt;"&amp;B1481)&gt;0,"Date différente sur ce bon",IF(COUNTIF(po_num,A1481)&gt;25,"Plus de 25 lignes sur ce bon",IF(R1481="","Date de livraison manquante",IF(R1481&lt;B1481,"Livraison avant la commande",IF(AND(N(T1481)&gt;0,N(S1481)=0),"Date d'envoi manquante",IF(N(T1481)&gt;N(H1481),"Reçu plus que commandé",IF(AND(N(T1481)&gt;0,N(U1481)=0),"Date de réception manquante",IF(AND(N(U1481)&gt;0,U1481&lt;B1481),"Réception avant la commande","OK")))))))))))))))))))))</f>
        <v/>
      </c>
      <c r="AA1481" s="66" t="str">
        <f>IF(AND(X1481="Reçu",ISNUMBER(R1481)),IF(N(U1481)&lt;=R1481,1,0),"")</f>
        <v/>
      </c>
      <c r="AB1481" s="76" t="str">
        <f>IF(OR(X1481="Envoyé",X1481="Partiel",X1481="En retard"),IF(ISNUMBER(R1481),R1481,100000)+ROW()/100000,"")</f>
        <v/>
      </c>
      <c r="AC1481" s="66" t="str">
        <f>IF(A1481="","",IF(COUNTIF($A$6:A1481,A1481)=1,1,""))</f>
        <v/>
      </c>
      <c r="AD1481" s="66" t="str">
        <f>IF(AC1481=1,COUNT($AC$6:AC1481),"")</f>
        <v/>
      </c>
      <c r="AE1481" s="66" t="str">
        <f>IFERROR(INDEX(po_num,MATCH(1476,po_seq,0))&amp;"","")</f>
        <v/>
      </c>
      <c r="AF1481" s="66" t="str">
        <f>IF(OR(A1481="",p_po=""),"",IF(A1481&amp;""=p_po,COUNTIF($A$6:A1481,A1481),""))</f>
        <v/>
      </c>
      <c r="AG1481" s="66" t="str">
        <f>IF(OR(AB1481="",A1481=""),"",IF(COUNTIFS($A$6:A1481,A1481,$AB$6:AB1481,"&gt;0")=1,1,""))</f>
        <v/>
      </c>
      <c r="AH1481" s="70" t="str">
        <f>IF(AB1481="","",ROUND(N(W1481)*N(J1481)*(1-N(K1481)),2))</f>
        <v/>
      </c>
      <c r="AI1481" s="70" t="str">
        <f>IF(OR(J1481="",N(T1481)&lt;=0,V1481="Oui"),"",ROUND(N(T1481)*J1481*(1-N(K1481)),2))</f>
        <v/>
      </c>
    </row>
    <row r="1482">
      <c r="A1482" s="63" t="n"/>
      <c r="B1482" s="64" t="n"/>
      <c r="C1482" s="65" t="n"/>
      <c r="D1482" s="66" t="str">
        <f>IF(C1482="","",IFERROR(INDEX(sup_name,MATCH($C1482,sup_code,0))&amp;"","Fournisseur inconnu"))</f>
        <v/>
      </c>
      <c r="E1482" s="63" t="n"/>
      <c r="F1482" s="66" t="str">
        <f>IF(E1482="","",IFERROR(INDEX(art_des,MATCH($E1482,art_ref,0))&amp;"","Article inconnu"))</f>
        <v/>
      </c>
      <c r="G1482" s="67" t="str">
        <f>IF(E1482="","",IFERROR(INDEX(art_unit,MATCH($E1482,art_ref,0))&amp;"",""))</f>
        <v/>
      </c>
      <c r="H1482" s="68" t="n"/>
      <c r="I1482" s="69" t="n"/>
      <c r="J1482" s="70" t="str">
        <f>IF(E1482="","",IF(ISNUMBER(I1482),I1482,IFERROR(IF(ISNUMBER(INDEX(art_price,MATCH($E1482,art_ref,0))),INDEX(art_price,MATCH($E1482,art_ref,0)),""),"")))</f>
        <v/>
      </c>
      <c r="K1482" s="71" t="n"/>
      <c r="L1482" s="72" t="n"/>
      <c r="M1482" s="72" t="str">
        <f>IF(E1482="","",IF(L1482&lt;&gt;"",L1482,IFERROR(IF(ISNUMBER(INDEX(art_tva,MATCH($E1482,art_ref,0))),INDEX(art_tva,MATCH($E1482,art_ref,0)),""),"")))</f>
        <v/>
      </c>
      <c r="N1482" s="70" t="str">
        <f>IF(OR(E1482="",J1482=""),"",ROUND(N(H1482)*J1482*(1-N(K1482)),2))</f>
        <v/>
      </c>
      <c r="O1482" s="70" t="str">
        <f>IF(OR(N1482="",NOT(ISNUMBER(M1482))),"",ROUND(N1482*M1482,2))</f>
        <v/>
      </c>
      <c r="P1482" s="70" t="str">
        <f>IF(N1482="","",N1482+N(O1482))</f>
        <v/>
      </c>
      <c r="Q1482" s="64" t="n"/>
      <c r="R1482" s="73" t="str">
        <f>IF(N(Q1482)&gt;0,Q1482,IF(OR(N(B1482)=0,ISNA(MATCH($C1482,sup_code,0))),"",IF(ISNUMBER(INDEX(sup_delay,MATCH($C1482,sup_code,0))),B1482+INDEX(sup_delay,MATCH($C1482,sup_code,0)),"")))</f>
        <v/>
      </c>
      <c r="S1482" s="64" t="n"/>
      <c r="T1482" s="68" t="n"/>
      <c r="U1482" s="64" t="n"/>
      <c r="V1482" s="65" t="n"/>
      <c r="W1482" s="74" t="str">
        <f>IF(AND(A1482="",E1482=""),"",IF(V1482="Oui",0,MAX(0,ROUND(N(H1482)-N(T1482),6))))</f>
        <v/>
      </c>
      <c r="X1482" s="67" t="str">
        <f>IF(AND(A1482="",E1482=""),"",IF(V1482="Oui","Annulé",IF(AND(N(H1482)&gt;0,N(T1482)&gt;=N(H1482)),"Reçu",IF(N(S1482)=0,"Brouillon",IF(AND(ISNUMBER(R1482),R1482&lt;p_today),"En retard",IF(N(T1482)&gt;0,"Partiel","Envoyé"))))))</f>
        <v/>
      </c>
      <c r="Y1482" s="75" t="str">
        <f>IF(X1482="En retard",p_today-R1482,IF(AND(X1482="Reçu",ISNUMBER(R1482)),MAX(0,N(U1482)-R1482),""))</f>
        <v/>
      </c>
      <c r="Z1482" s="67" t="str">
        <f>IF(AND(A1482="",E1482=""),"",IF(A1482="","N° de bon manquant",IF(N(B1482)=0,"Date de commande manquante",IF(C1482="","Fournisseur manquant",IF(ISNA(MATCH($C1482,sup_code,0)),"Fournisseur inconnu",IF(E1482="","Article manquant",IF(ISNA(MATCH($E1482,art_ref,0)),"Article inconnu",IF(N(H1482)&lt;=0,"Quantité invalide",IF(J1482="","Prix manquant",IF(OR(N(K1482)&lt;0,N(K1482)&gt;=1),"Remise invalide",IF(M1482="","TVA manquante",IF(ISNA(MATCH(M1482,p_tva,0)),"Taux de TVA inconnu",IF(COUNTIFS(po_num,A1482,po_sup,"&lt;&gt;"&amp;C1482)&gt;0,"Fournisseur différent sur ce bon",IF(COUNTIFS(po_num,A1482,po_date,"&lt;&gt;"&amp;B1482)&gt;0,"Date différente sur ce bon",IF(COUNTIF(po_num,A1482)&gt;25,"Plus de 25 lignes sur ce bon",IF(R1482="","Date de livraison manquante",IF(R1482&lt;B1482,"Livraison avant la commande",IF(AND(N(T1482)&gt;0,N(S1482)=0),"Date d'envoi manquante",IF(N(T1482)&gt;N(H1482),"Reçu plus que commandé",IF(AND(N(T1482)&gt;0,N(U1482)=0),"Date de réception manquante",IF(AND(N(U1482)&gt;0,U1482&lt;B1482),"Réception avant la commande","OK")))))))))))))))))))))</f>
        <v/>
      </c>
      <c r="AA1482" s="66" t="str">
        <f>IF(AND(X1482="Reçu",ISNUMBER(R1482)),IF(N(U1482)&lt;=R1482,1,0),"")</f>
        <v/>
      </c>
      <c r="AB1482" s="76" t="str">
        <f>IF(OR(X1482="Envoyé",X1482="Partiel",X1482="En retard"),IF(ISNUMBER(R1482),R1482,100000)+ROW()/100000,"")</f>
        <v/>
      </c>
      <c r="AC1482" s="66" t="str">
        <f>IF(A1482="","",IF(COUNTIF($A$6:A1482,A1482)=1,1,""))</f>
        <v/>
      </c>
      <c r="AD1482" s="66" t="str">
        <f>IF(AC1482=1,COUNT($AC$6:AC1482),"")</f>
        <v/>
      </c>
      <c r="AE1482" s="66" t="str">
        <f>IFERROR(INDEX(po_num,MATCH(1477,po_seq,0))&amp;"","")</f>
        <v/>
      </c>
      <c r="AF1482" s="66" t="str">
        <f>IF(OR(A1482="",p_po=""),"",IF(A1482&amp;""=p_po,COUNTIF($A$6:A1482,A1482),""))</f>
        <v/>
      </c>
      <c r="AG1482" s="66" t="str">
        <f>IF(OR(AB1482="",A1482=""),"",IF(COUNTIFS($A$6:A1482,A1482,$AB$6:AB1482,"&gt;0")=1,1,""))</f>
        <v/>
      </c>
      <c r="AH1482" s="70" t="str">
        <f>IF(AB1482="","",ROUND(N(W1482)*N(J1482)*(1-N(K1482)),2))</f>
        <v/>
      </c>
      <c r="AI1482" s="70" t="str">
        <f>IF(OR(J1482="",N(T1482)&lt;=0,V1482="Oui"),"",ROUND(N(T1482)*J1482*(1-N(K1482)),2))</f>
        <v/>
      </c>
    </row>
    <row r="1483">
      <c r="A1483" s="63" t="n"/>
      <c r="B1483" s="64" t="n"/>
      <c r="C1483" s="65" t="n"/>
      <c r="D1483" s="66" t="str">
        <f>IF(C1483="","",IFERROR(INDEX(sup_name,MATCH($C1483,sup_code,0))&amp;"","Fournisseur inconnu"))</f>
        <v/>
      </c>
      <c r="E1483" s="63" t="n"/>
      <c r="F1483" s="66" t="str">
        <f>IF(E1483="","",IFERROR(INDEX(art_des,MATCH($E1483,art_ref,0))&amp;"","Article inconnu"))</f>
        <v/>
      </c>
      <c r="G1483" s="67" t="str">
        <f>IF(E1483="","",IFERROR(INDEX(art_unit,MATCH($E1483,art_ref,0))&amp;"",""))</f>
        <v/>
      </c>
      <c r="H1483" s="68" t="n"/>
      <c r="I1483" s="69" t="n"/>
      <c r="J1483" s="70" t="str">
        <f>IF(E1483="","",IF(ISNUMBER(I1483),I1483,IFERROR(IF(ISNUMBER(INDEX(art_price,MATCH($E1483,art_ref,0))),INDEX(art_price,MATCH($E1483,art_ref,0)),""),"")))</f>
        <v/>
      </c>
      <c r="K1483" s="71" t="n"/>
      <c r="L1483" s="72" t="n"/>
      <c r="M1483" s="72" t="str">
        <f>IF(E1483="","",IF(L1483&lt;&gt;"",L1483,IFERROR(IF(ISNUMBER(INDEX(art_tva,MATCH($E1483,art_ref,0))),INDEX(art_tva,MATCH($E1483,art_ref,0)),""),"")))</f>
        <v/>
      </c>
      <c r="N1483" s="70" t="str">
        <f>IF(OR(E1483="",J1483=""),"",ROUND(N(H1483)*J1483*(1-N(K1483)),2))</f>
        <v/>
      </c>
      <c r="O1483" s="70" t="str">
        <f>IF(OR(N1483="",NOT(ISNUMBER(M1483))),"",ROUND(N1483*M1483,2))</f>
        <v/>
      </c>
      <c r="P1483" s="70" t="str">
        <f>IF(N1483="","",N1483+N(O1483))</f>
        <v/>
      </c>
      <c r="Q1483" s="64" t="n"/>
      <c r="R1483" s="73" t="str">
        <f>IF(N(Q1483)&gt;0,Q1483,IF(OR(N(B1483)=0,ISNA(MATCH($C1483,sup_code,0))),"",IF(ISNUMBER(INDEX(sup_delay,MATCH($C1483,sup_code,0))),B1483+INDEX(sup_delay,MATCH($C1483,sup_code,0)),"")))</f>
        <v/>
      </c>
      <c r="S1483" s="64" t="n"/>
      <c r="T1483" s="68" t="n"/>
      <c r="U1483" s="64" t="n"/>
      <c r="V1483" s="65" t="n"/>
      <c r="W1483" s="74" t="str">
        <f>IF(AND(A1483="",E1483=""),"",IF(V1483="Oui",0,MAX(0,ROUND(N(H1483)-N(T1483),6))))</f>
        <v/>
      </c>
      <c r="X1483" s="67" t="str">
        <f>IF(AND(A1483="",E1483=""),"",IF(V1483="Oui","Annulé",IF(AND(N(H1483)&gt;0,N(T1483)&gt;=N(H1483)),"Reçu",IF(N(S1483)=0,"Brouillon",IF(AND(ISNUMBER(R1483),R1483&lt;p_today),"En retard",IF(N(T1483)&gt;0,"Partiel","Envoyé"))))))</f>
        <v/>
      </c>
      <c r="Y1483" s="75" t="str">
        <f>IF(X1483="En retard",p_today-R1483,IF(AND(X1483="Reçu",ISNUMBER(R1483)),MAX(0,N(U1483)-R1483),""))</f>
        <v/>
      </c>
      <c r="Z1483" s="67" t="str">
        <f>IF(AND(A1483="",E1483=""),"",IF(A1483="","N° de bon manquant",IF(N(B1483)=0,"Date de commande manquante",IF(C1483="","Fournisseur manquant",IF(ISNA(MATCH($C1483,sup_code,0)),"Fournisseur inconnu",IF(E1483="","Article manquant",IF(ISNA(MATCH($E1483,art_ref,0)),"Article inconnu",IF(N(H1483)&lt;=0,"Quantité invalide",IF(J1483="","Prix manquant",IF(OR(N(K1483)&lt;0,N(K1483)&gt;=1),"Remise invalide",IF(M1483="","TVA manquante",IF(ISNA(MATCH(M1483,p_tva,0)),"Taux de TVA inconnu",IF(COUNTIFS(po_num,A1483,po_sup,"&lt;&gt;"&amp;C1483)&gt;0,"Fournisseur différent sur ce bon",IF(COUNTIFS(po_num,A1483,po_date,"&lt;&gt;"&amp;B1483)&gt;0,"Date différente sur ce bon",IF(COUNTIF(po_num,A1483)&gt;25,"Plus de 25 lignes sur ce bon",IF(R1483="","Date de livraison manquante",IF(R1483&lt;B1483,"Livraison avant la commande",IF(AND(N(T1483)&gt;0,N(S1483)=0),"Date d'envoi manquante",IF(N(T1483)&gt;N(H1483),"Reçu plus que commandé",IF(AND(N(T1483)&gt;0,N(U1483)=0),"Date de réception manquante",IF(AND(N(U1483)&gt;0,U1483&lt;B1483),"Réception avant la commande","OK")))))))))))))))))))))</f>
        <v/>
      </c>
      <c r="AA1483" s="66" t="str">
        <f>IF(AND(X1483="Reçu",ISNUMBER(R1483)),IF(N(U1483)&lt;=R1483,1,0),"")</f>
        <v/>
      </c>
      <c r="AB1483" s="76" t="str">
        <f>IF(OR(X1483="Envoyé",X1483="Partiel",X1483="En retard"),IF(ISNUMBER(R1483),R1483,100000)+ROW()/100000,"")</f>
        <v/>
      </c>
      <c r="AC1483" s="66" t="str">
        <f>IF(A1483="","",IF(COUNTIF($A$6:A1483,A1483)=1,1,""))</f>
        <v/>
      </c>
      <c r="AD1483" s="66" t="str">
        <f>IF(AC1483=1,COUNT($AC$6:AC1483),"")</f>
        <v/>
      </c>
      <c r="AE1483" s="66" t="str">
        <f>IFERROR(INDEX(po_num,MATCH(1478,po_seq,0))&amp;"","")</f>
        <v/>
      </c>
      <c r="AF1483" s="66" t="str">
        <f>IF(OR(A1483="",p_po=""),"",IF(A1483&amp;""=p_po,COUNTIF($A$6:A1483,A1483),""))</f>
        <v/>
      </c>
      <c r="AG1483" s="66" t="str">
        <f>IF(OR(AB1483="",A1483=""),"",IF(COUNTIFS($A$6:A1483,A1483,$AB$6:AB1483,"&gt;0")=1,1,""))</f>
        <v/>
      </c>
      <c r="AH1483" s="70" t="str">
        <f>IF(AB1483="","",ROUND(N(W1483)*N(J1483)*(1-N(K1483)),2))</f>
        <v/>
      </c>
      <c r="AI1483" s="70" t="str">
        <f>IF(OR(J1483="",N(T1483)&lt;=0,V1483="Oui"),"",ROUND(N(T1483)*J1483*(1-N(K1483)),2))</f>
        <v/>
      </c>
    </row>
    <row r="1484">
      <c r="A1484" s="63" t="n"/>
      <c r="B1484" s="64" t="n"/>
      <c r="C1484" s="65" t="n"/>
      <c r="D1484" s="66" t="str">
        <f>IF(C1484="","",IFERROR(INDEX(sup_name,MATCH($C1484,sup_code,0))&amp;"","Fournisseur inconnu"))</f>
        <v/>
      </c>
      <c r="E1484" s="63" t="n"/>
      <c r="F1484" s="66" t="str">
        <f>IF(E1484="","",IFERROR(INDEX(art_des,MATCH($E1484,art_ref,0))&amp;"","Article inconnu"))</f>
        <v/>
      </c>
      <c r="G1484" s="67" t="str">
        <f>IF(E1484="","",IFERROR(INDEX(art_unit,MATCH($E1484,art_ref,0))&amp;"",""))</f>
        <v/>
      </c>
      <c r="H1484" s="68" t="n"/>
      <c r="I1484" s="69" t="n"/>
      <c r="J1484" s="70" t="str">
        <f>IF(E1484="","",IF(ISNUMBER(I1484),I1484,IFERROR(IF(ISNUMBER(INDEX(art_price,MATCH($E1484,art_ref,0))),INDEX(art_price,MATCH($E1484,art_ref,0)),""),"")))</f>
        <v/>
      </c>
      <c r="K1484" s="71" t="n"/>
      <c r="L1484" s="72" t="n"/>
      <c r="M1484" s="72" t="str">
        <f>IF(E1484="","",IF(L1484&lt;&gt;"",L1484,IFERROR(IF(ISNUMBER(INDEX(art_tva,MATCH($E1484,art_ref,0))),INDEX(art_tva,MATCH($E1484,art_ref,0)),""),"")))</f>
        <v/>
      </c>
      <c r="N1484" s="70" t="str">
        <f>IF(OR(E1484="",J1484=""),"",ROUND(N(H1484)*J1484*(1-N(K1484)),2))</f>
        <v/>
      </c>
      <c r="O1484" s="70" t="str">
        <f>IF(OR(N1484="",NOT(ISNUMBER(M1484))),"",ROUND(N1484*M1484,2))</f>
        <v/>
      </c>
      <c r="P1484" s="70" t="str">
        <f>IF(N1484="","",N1484+N(O1484))</f>
        <v/>
      </c>
      <c r="Q1484" s="64" t="n"/>
      <c r="R1484" s="73" t="str">
        <f>IF(N(Q1484)&gt;0,Q1484,IF(OR(N(B1484)=0,ISNA(MATCH($C1484,sup_code,0))),"",IF(ISNUMBER(INDEX(sup_delay,MATCH($C1484,sup_code,0))),B1484+INDEX(sup_delay,MATCH($C1484,sup_code,0)),"")))</f>
        <v/>
      </c>
      <c r="S1484" s="64" t="n"/>
      <c r="T1484" s="68" t="n"/>
      <c r="U1484" s="64" t="n"/>
      <c r="V1484" s="65" t="n"/>
      <c r="W1484" s="74" t="str">
        <f>IF(AND(A1484="",E1484=""),"",IF(V1484="Oui",0,MAX(0,ROUND(N(H1484)-N(T1484),6))))</f>
        <v/>
      </c>
      <c r="X1484" s="67" t="str">
        <f>IF(AND(A1484="",E1484=""),"",IF(V1484="Oui","Annulé",IF(AND(N(H1484)&gt;0,N(T1484)&gt;=N(H1484)),"Reçu",IF(N(S1484)=0,"Brouillon",IF(AND(ISNUMBER(R1484),R1484&lt;p_today),"En retard",IF(N(T1484)&gt;0,"Partiel","Envoyé"))))))</f>
        <v/>
      </c>
      <c r="Y1484" s="75" t="str">
        <f>IF(X1484="En retard",p_today-R1484,IF(AND(X1484="Reçu",ISNUMBER(R1484)),MAX(0,N(U1484)-R1484),""))</f>
        <v/>
      </c>
      <c r="Z1484" s="67" t="str">
        <f>IF(AND(A1484="",E1484=""),"",IF(A1484="","N° de bon manquant",IF(N(B1484)=0,"Date de commande manquante",IF(C1484="","Fournisseur manquant",IF(ISNA(MATCH($C1484,sup_code,0)),"Fournisseur inconnu",IF(E1484="","Article manquant",IF(ISNA(MATCH($E1484,art_ref,0)),"Article inconnu",IF(N(H1484)&lt;=0,"Quantité invalide",IF(J1484="","Prix manquant",IF(OR(N(K1484)&lt;0,N(K1484)&gt;=1),"Remise invalide",IF(M1484="","TVA manquante",IF(ISNA(MATCH(M1484,p_tva,0)),"Taux de TVA inconnu",IF(COUNTIFS(po_num,A1484,po_sup,"&lt;&gt;"&amp;C1484)&gt;0,"Fournisseur différent sur ce bon",IF(COUNTIFS(po_num,A1484,po_date,"&lt;&gt;"&amp;B1484)&gt;0,"Date différente sur ce bon",IF(COUNTIF(po_num,A1484)&gt;25,"Plus de 25 lignes sur ce bon",IF(R1484="","Date de livraison manquante",IF(R1484&lt;B1484,"Livraison avant la commande",IF(AND(N(T1484)&gt;0,N(S1484)=0),"Date d'envoi manquante",IF(N(T1484)&gt;N(H1484),"Reçu plus que commandé",IF(AND(N(T1484)&gt;0,N(U1484)=0),"Date de réception manquante",IF(AND(N(U1484)&gt;0,U1484&lt;B1484),"Réception avant la commande","OK")))))))))))))))))))))</f>
        <v/>
      </c>
      <c r="AA1484" s="66" t="str">
        <f>IF(AND(X1484="Reçu",ISNUMBER(R1484)),IF(N(U1484)&lt;=R1484,1,0),"")</f>
        <v/>
      </c>
      <c r="AB1484" s="76" t="str">
        <f>IF(OR(X1484="Envoyé",X1484="Partiel",X1484="En retard"),IF(ISNUMBER(R1484),R1484,100000)+ROW()/100000,"")</f>
        <v/>
      </c>
      <c r="AC1484" s="66" t="str">
        <f>IF(A1484="","",IF(COUNTIF($A$6:A1484,A1484)=1,1,""))</f>
        <v/>
      </c>
      <c r="AD1484" s="66" t="str">
        <f>IF(AC1484=1,COUNT($AC$6:AC1484),"")</f>
        <v/>
      </c>
      <c r="AE1484" s="66" t="str">
        <f>IFERROR(INDEX(po_num,MATCH(1479,po_seq,0))&amp;"","")</f>
        <v/>
      </c>
      <c r="AF1484" s="66" t="str">
        <f>IF(OR(A1484="",p_po=""),"",IF(A1484&amp;""=p_po,COUNTIF($A$6:A1484,A1484),""))</f>
        <v/>
      </c>
      <c r="AG1484" s="66" t="str">
        <f>IF(OR(AB1484="",A1484=""),"",IF(COUNTIFS($A$6:A1484,A1484,$AB$6:AB1484,"&gt;0")=1,1,""))</f>
        <v/>
      </c>
      <c r="AH1484" s="70" t="str">
        <f>IF(AB1484="","",ROUND(N(W1484)*N(J1484)*(1-N(K1484)),2))</f>
        <v/>
      </c>
      <c r="AI1484" s="70" t="str">
        <f>IF(OR(J1484="",N(T1484)&lt;=0,V1484="Oui"),"",ROUND(N(T1484)*J1484*(1-N(K1484)),2))</f>
        <v/>
      </c>
    </row>
    <row r="1485">
      <c r="A1485" s="63" t="n"/>
      <c r="B1485" s="64" t="n"/>
      <c r="C1485" s="65" t="n"/>
      <c r="D1485" s="66" t="str">
        <f>IF(C1485="","",IFERROR(INDEX(sup_name,MATCH($C1485,sup_code,0))&amp;"","Fournisseur inconnu"))</f>
        <v/>
      </c>
      <c r="E1485" s="63" t="n"/>
      <c r="F1485" s="66" t="str">
        <f>IF(E1485="","",IFERROR(INDEX(art_des,MATCH($E1485,art_ref,0))&amp;"","Article inconnu"))</f>
        <v/>
      </c>
      <c r="G1485" s="67" t="str">
        <f>IF(E1485="","",IFERROR(INDEX(art_unit,MATCH($E1485,art_ref,0))&amp;"",""))</f>
        <v/>
      </c>
      <c r="H1485" s="68" t="n"/>
      <c r="I1485" s="69" t="n"/>
      <c r="J1485" s="70" t="str">
        <f>IF(E1485="","",IF(ISNUMBER(I1485),I1485,IFERROR(IF(ISNUMBER(INDEX(art_price,MATCH($E1485,art_ref,0))),INDEX(art_price,MATCH($E1485,art_ref,0)),""),"")))</f>
        <v/>
      </c>
      <c r="K1485" s="71" t="n"/>
      <c r="L1485" s="72" t="n"/>
      <c r="M1485" s="72" t="str">
        <f>IF(E1485="","",IF(L1485&lt;&gt;"",L1485,IFERROR(IF(ISNUMBER(INDEX(art_tva,MATCH($E1485,art_ref,0))),INDEX(art_tva,MATCH($E1485,art_ref,0)),""),"")))</f>
        <v/>
      </c>
      <c r="N1485" s="70" t="str">
        <f>IF(OR(E1485="",J1485=""),"",ROUND(N(H1485)*J1485*(1-N(K1485)),2))</f>
        <v/>
      </c>
      <c r="O1485" s="70" t="str">
        <f>IF(OR(N1485="",NOT(ISNUMBER(M1485))),"",ROUND(N1485*M1485,2))</f>
        <v/>
      </c>
      <c r="P1485" s="70" t="str">
        <f>IF(N1485="","",N1485+N(O1485))</f>
        <v/>
      </c>
      <c r="Q1485" s="64" t="n"/>
      <c r="R1485" s="73" t="str">
        <f>IF(N(Q1485)&gt;0,Q1485,IF(OR(N(B1485)=0,ISNA(MATCH($C1485,sup_code,0))),"",IF(ISNUMBER(INDEX(sup_delay,MATCH($C1485,sup_code,0))),B1485+INDEX(sup_delay,MATCH($C1485,sup_code,0)),"")))</f>
        <v/>
      </c>
      <c r="S1485" s="64" t="n"/>
      <c r="T1485" s="68" t="n"/>
      <c r="U1485" s="64" t="n"/>
      <c r="V1485" s="65" t="n"/>
      <c r="W1485" s="74" t="str">
        <f>IF(AND(A1485="",E1485=""),"",IF(V1485="Oui",0,MAX(0,ROUND(N(H1485)-N(T1485),6))))</f>
        <v/>
      </c>
      <c r="X1485" s="67" t="str">
        <f>IF(AND(A1485="",E1485=""),"",IF(V1485="Oui","Annulé",IF(AND(N(H1485)&gt;0,N(T1485)&gt;=N(H1485)),"Reçu",IF(N(S1485)=0,"Brouillon",IF(AND(ISNUMBER(R1485),R1485&lt;p_today),"En retard",IF(N(T1485)&gt;0,"Partiel","Envoyé"))))))</f>
        <v/>
      </c>
      <c r="Y1485" s="75" t="str">
        <f>IF(X1485="En retard",p_today-R1485,IF(AND(X1485="Reçu",ISNUMBER(R1485)),MAX(0,N(U1485)-R1485),""))</f>
        <v/>
      </c>
      <c r="Z1485" s="67" t="str">
        <f>IF(AND(A1485="",E1485=""),"",IF(A1485="","N° de bon manquant",IF(N(B1485)=0,"Date de commande manquante",IF(C1485="","Fournisseur manquant",IF(ISNA(MATCH($C1485,sup_code,0)),"Fournisseur inconnu",IF(E1485="","Article manquant",IF(ISNA(MATCH($E1485,art_ref,0)),"Article inconnu",IF(N(H1485)&lt;=0,"Quantité invalide",IF(J1485="","Prix manquant",IF(OR(N(K1485)&lt;0,N(K1485)&gt;=1),"Remise invalide",IF(M1485="","TVA manquante",IF(ISNA(MATCH(M1485,p_tva,0)),"Taux de TVA inconnu",IF(COUNTIFS(po_num,A1485,po_sup,"&lt;&gt;"&amp;C1485)&gt;0,"Fournisseur différent sur ce bon",IF(COUNTIFS(po_num,A1485,po_date,"&lt;&gt;"&amp;B1485)&gt;0,"Date différente sur ce bon",IF(COUNTIF(po_num,A1485)&gt;25,"Plus de 25 lignes sur ce bon",IF(R1485="","Date de livraison manquante",IF(R1485&lt;B1485,"Livraison avant la commande",IF(AND(N(T1485)&gt;0,N(S1485)=0),"Date d'envoi manquante",IF(N(T1485)&gt;N(H1485),"Reçu plus que commandé",IF(AND(N(T1485)&gt;0,N(U1485)=0),"Date de réception manquante",IF(AND(N(U1485)&gt;0,U1485&lt;B1485),"Réception avant la commande","OK")))))))))))))))))))))</f>
        <v/>
      </c>
      <c r="AA1485" s="66" t="str">
        <f>IF(AND(X1485="Reçu",ISNUMBER(R1485)),IF(N(U1485)&lt;=R1485,1,0),"")</f>
        <v/>
      </c>
      <c r="AB1485" s="76" t="str">
        <f>IF(OR(X1485="Envoyé",X1485="Partiel",X1485="En retard"),IF(ISNUMBER(R1485),R1485,100000)+ROW()/100000,"")</f>
        <v/>
      </c>
      <c r="AC1485" s="66" t="str">
        <f>IF(A1485="","",IF(COUNTIF($A$6:A1485,A1485)=1,1,""))</f>
        <v/>
      </c>
      <c r="AD1485" s="66" t="str">
        <f>IF(AC1485=1,COUNT($AC$6:AC1485),"")</f>
        <v/>
      </c>
      <c r="AE1485" s="66" t="str">
        <f>IFERROR(INDEX(po_num,MATCH(1480,po_seq,0))&amp;"","")</f>
        <v/>
      </c>
      <c r="AF1485" s="66" t="str">
        <f>IF(OR(A1485="",p_po=""),"",IF(A1485&amp;""=p_po,COUNTIF($A$6:A1485,A1485),""))</f>
        <v/>
      </c>
      <c r="AG1485" s="66" t="str">
        <f>IF(OR(AB1485="",A1485=""),"",IF(COUNTIFS($A$6:A1485,A1485,$AB$6:AB1485,"&gt;0")=1,1,""))</f>
        <v/>
      </c>
      <c r="AH1485" s="70" t="str">
        <f>IF(AB1485="","",ROUND(N(W1485)*N(J1485)*(1-N(K1485)),2))</f>
        <v/>
      </c>
      <c r="AI1485" s="70" t="str">
        <f>IF(OR(J1485="",N(T1485)&lt;=0,V1485="Oui"),"",ROUND(N(T1485)*J1485*(1-N(K1485)),2))</f>
        <v/>
      </c>
    </row>
    <row r="1486">
      <c r="A1486" s="63" t="n"/>
      <c r="B1486" s="64" t="n"/>
      <c r="C1486" s="65" t="n"/>
      <c r="D1486" s="66" t="str">
        <f>IF(C1486="","",IFERROR(INDEX(sup_name,MATCH($C1486,sup_code,0))&amp;"","Fournisseur inconnu"))</f>
        <v/>
      </c>
      <c r="E1486" s="63" t="n"/>
      <c r="F1486" s="66" t="str">
        <f>IF(E1486="","",IFERROR(INDEX(art_des,MATCH($E1486,art_ref,0))&amp;"","Article inconnu"))</f>
        <v/>
      </c>
      <c r="G1486" s="67" t="str">
        <f>IF(E1486="","",IFERROR(INDEX(art_unit,MATCH($E1486,art_ref,0))&amp;"",""))</f>
        <v/>
      </c>
      <c r="H1486" s="68" t="n"/>
      <c r="I1486" s="69" t="n"/>
      <c r="J1486" s="70" t="str">
        <f>IF(E1486="","",IF(ISNUMBER(I1486),I1486,IFERROR(IF(ISNUMBER(INDEX(art_price,MATCH($E1486,art_ref,0))),INDEX(art_price,MATCH($E1486,art_ref,0)),""),"")))</f>
        <v/>
      </c>
      <c r="K1486" s="71" t="n"/>
      <c r="L1486" s="72" t="n"/>
      <c r="M1486" s="72" t="str">
        <f>IF(E1486="","",IF(L1486&lt;&gt;"",L1486,IFERROR(IF(ISNUMBER(INDEX(art_tva,MATCH($E1486,art_ref,0))),INDEX(art_tva,MATCH($E1486,art_ref,0)),""),"")))</f>
        <v/>
      </c>
      <c r="N1486" s="70" t="str">
        <f>IF(OR(E1486="",J1486=""),"",ROUND(N(H1486)*J1486*(1-N(K1486)),2))</f>
        <v/>
      </c>
      <c r="O1486" s="70" t="str">
        <f>IF(OR(N1486="",NOT(ISNUMBER(M1486))),"",ROUND(N1486*M1486,2))</f>
        <v/>
      </c>
      <c r="P1486" s="70" t="str">
        <f>IF(N1486="","",N1486+N(O1486))</f>
        <v/>
      </c>
      <c r="Q1486" s="64" t="n"/>
      <c r="R1486" s="73" t="str">
        <f>IF(N(Q1486)&gt;0,Q1486,IF(OR(N(B1486)=0,ISNA(MATCH($C1486,sup_code,0))),"",IF(ISNUMBER(INDEX(sup_delay,MATCH($C1486,sup_code,0))),B1486+INDEX(sup_delay,MATCH($C1486,sup_code,0)),"")))</f>
        <v/>
      </c>
      <c r="S1486" s="64" t="n"/>
      <c r="T1486" s="68" t="n"/>
      <c r="U1486" s="64" t="n"/>
      <c r="V1486" s="65" t="n"/>
      <c r="W1486" s="74" t="str">
        <f>IF(AND(A1486="",E1486=""),"",IF(V1486="Oui",0,MAX(0,ROUND(N(H1486)-N(T1486),6))))</f>
        <v/>
      </c>
      <c r="X1486" s="67" t="str">
        <f>IF(AND(A1486="",E1486=""),"",IF(V1486="Oui","Annulé",IF(AND(N(H1486)&gt;0,N(T1486)&gt;=N(H1486)),"Reçu",IF(N(S1486)=0,"Brouillon",IF(AND(ISNUMBER(R1486),R1486&lt;p_today),"En retard",IF(N(T1486)&gt;0,"Partiel","Envoyé"))))))</f>
        <v/>
      </c>
      <c r="Y1486" s="75" t="str">
        <f>IF(X1486="En retard",p_today-R1486,IF(AND(X1486="Reçu",ISNUMBER(R1486)),MAX(0,N(U1486)-R1486),""))</f>
        <v/>
      </c>
      <c r="Z1486" s="67" t="str">
        <f>IF(AND(A1486="",E1486=""),"",IF(A1486="","N° de bon manquant",IF(N(B1486)=0,"Date de commande manquante",IF(C1486="","Fournisseur manquant",IF(ISNA(MATCH($C1486,sup_code,0)),"Fournisseur inconnu",IF(E1486="","Article manquant",IF(ISNA(MATCH($E1486,art_ref,0)),"Article inconnu",IF(N(H1486)&lt;=0,"Quantité invalide",IF(J1486="","Prix manquant",IF(OR(N(K1486)&lt;0,N(K1486)&gt;=1),"Remise invalide",IF(M1486="","TVA manquante",IF(ISNA(MATCH(M1486,p_tva,0)),"Taux de TVA inconnu",IF(COUNTIFS(po_num,A1486,po_sup,"&lt;&gt;"&amp;C1486)&gt;0,"Fournisseur différent sur ce bon",IF(COUNTIFS(po_num,A1486,po_date,"&lt;&gt;"&amp;B1486)&gt;0,"Date différente sur ce bon",IF(COUNTIF(po_num,A1486)&gt;25,"Plus de 25 lignes sur ce bon",IF(R1486="","Date de livraison manquante",IF(R1486&lt;B1486,"Livraison avant la commande",IF(AND(N(T1486)&gt;0,N(S1486)=0),"Date d'envoi manquante",IF(N(T1486)&gt;N(H1486),"Reçu plus que commandé",IF(AND(N(T1486)&gt;0,N(U1486)=0),"Date de réception manquante",IF(AND(N(U1486)&gt;0,U1486&lt;B1486),"Réception avant la commande","OK")))))))))))))))))))))</f>
        <v/>
      </c>
      <c r="AA1486" s="66" t="str">
        <f>IF(AND(X1486="Reçu",ISNUMBER(R1486)),IF(N(U1486)&lt;=R1486,1,0),"")</f>
        <v/>
      </c>
      <c r="AB1486" s="76" t="str">
        <f>IF(OR(X1486="Envoyé",X1486="Partiel",X1486="En retard"),IF(ISNUMBER(R1486),R1486,100000)+ROW()/100000,"")</f>
        <v/>
      </c>
      <c r="AC1486" s="66" t="str">
        <f>IF(A1486="","",IF(COUNTIF($A$6:A1486,A1486)=1,1,""))</f>
        <v/>
      </c>
      <c r="AD1486" s="66" t="str">
        <f>IF(AC1486=1,COUNT($AC$6:AC1486),"")</f>
        <v/>
      </c>
      <c r="AE1486" s="66" t="str">
        <f>IFERROR(INDEX(po_num,MATCH(1481,po_seq,0))&amp;"","")</f>
        <v/>
      </c>
      <c r="AF1486" s="66" t="str">
        <f>IF(OR(A1486="",p_po=""),"",IF(A1486&amp;""=p_po,COUNTIF($A$6:A1486,A1486),""))</f>
        <v/>
      </c>
      <c r="AG1486" s="66" t="str">
        <f>IF(OR(AB1486="",A1486=""),"",IF(COUNTIFS($A$6:A1486,A1486,$AB$6:AB1486,"&gt;0")=1,1,""))</f>
        <v/>
      </c>
      <c r="AH1486" s="70" t="str">
        <f>IF(AB1486="","",ROUND(N(W1486)*N(J1486)*(1-N(K1486)),2))</f>
        <v/>
      </c>
      <c r="AI1486" s="70" t="str">
        <f>IF(OR(J1486="",N(T1486)&lt;=0,V1486="Oui"),"",ROUND(N(T1486)*J1486*(1-N(K1486)),2))</f>
        <v/>
      </c>
    </row>
    <row r="1487">
      <c r="A1487" s="63" t="n"/>
      <c r="B1487" s="64" t="n"/>
      <c r="C1487" s="65" t="n"/>
      <c r="D1487" s="66" t="str">
        <f>IF(C1487="","",IFERROR(INDEX(sup_name,MATCH($C1487,sup_code,0))&amp;"","Fournisseur inconnu"))</f>
        <v/>
      </c>
      <c r="E1487" s="63" t="n"/>
      <c r="F1487" s="66" t="str">
        <f>IF(E1487="","",IFERROR(INDEX(art_des,MATCH($E1487,art_ref,0))&amp;"","Article inconnu"))</f>
        <v/>
      </c>
      <c r="G1487" s="67" t="str">
        <f>IF(E1487="","",IFERROR(INDEX(art_unit,MATCH($E1487,art_ref,0))&amp;"",""))</f>
        <v/>
      </c>
      <c r="H1487" s="68" t="n"/>
      <c r="I1487" s="69" t="n"/>
      <c r="J1487" s="70" t="str">
        <f>IF(E1487="","",IF(ISNUMBER(I1487),I1487,IFERROR(IF(ISNUMBER(INDEX(art_price,MATCH($E1487,art_ref,0))),INDEX(art_price,MATCH($E1487,art_ref,0)),""),"")))</f>
        <v/>
      </c>
      <c r="K1487" s="71" t="n"/>
      <c r="L1487" s="72" t="n"/>
      <c r="M1487" s="72" t="str">
        <f>IF(E1487="","",IF(L1487&lt;&gt;"",L1487,IFERROR(IF(ISNUMBER(INDEX(art_tva,MATCH($E1487,art_ref,0))),INDEX(art_tva,MATCH($E1487,art_ref,0)),""),"")))</f>
        <v/>
      </c>
      <c r="N1487" s="70" t="str">
        <f>IF(OR(E1487="",J1487=""),"",ROUND(N(H1487)*J1487*(1-N(K1487)),2))</f>
        <v/>
      </c>
      <c r="O1487" s="70" t="str">
        <f>IF(OR(N1487="",NOT(ISNUMBER(M1487))),"",ROUND(N1487*M1487,2))</f>
        <v/>
      </c>
      <c r="P1487" s="70" t="str">
        <f>IF(N1487="","",N1487+N(O1487))</f>
        <v/>
      </c>
      <c r="Q1487" s="64" t="n"/>
      <c r="R1487" s="73" t="str">
        <f>IF(N(Q1487)&gt;0,Q1487,IF(OR(N(B1487)=0,ISNA(MATCH($C1487,sup_code,0))),"",IF(ISNUMBER(INDEX(sup_delay,MATCH($C1487,sup_code,0))),B1487+INDEX(sup_delay,MATCH($C1487,sup_code,0)),"")))</f>
        <v/>
      </c>
      <c r="S1487" s="64" t="n"/>
      <c r="T1487" s="68" t="n"/>
      <c r="U1487" s="64" t="n"/>
      <c r="V1487" s="65" t="n"/>
      <c r="W1487" s="74" t="str">
        <f>IF(AND(A1487="",E1487=""),"",IF(V1487="Oui",0,MAX(0,ROUND(N(H1487)-N(T1487),6))))</f>
        <v/>
      </c>
      <c r="X1487" s="67" t="str">
        <f>IF(AND(A1487="",E1487=""),"",IF(V1487="Oui","Annulé",IF(AND(N(H1487)&gt;0,N(T1487)&gt;=N(H1487)),"Reçu",IF(N(S1487)=0,"Brouillon",IF(AND(ISNUMBER(R1487),R1487&lt;p_today),"En retard",IF(N(T1487)&gt;0,"Partiel","Envoyé"))))))</f>
        <v/>
      </c>
      <c r="Y1487" s="75" t="str">
        <f>IF(X1487="En retard",p_today-R1487,IF(AND(X1487="Reçu",ISNUMBER(R1487)),MAX(0,N(U1487)-R1487),""))</f>
        <v/>
      </c>
      <c r="Z1487" s="67" t="str">
        <f>IF(AND(A1487="",E1487=""),"",IF(A1487="","N° de bon manquant",IF(N(B1487)=0,"Date de commande manquante",IF(C1487="","Fournisseur manquant",IF(ISNA(MATCH($C1487,sup_code,0)),"Fournisseur inconnu",IF(E1487="","Article manquant",IF(ISNA(MATCH($E1487,art_ref,0)),"Article inconnu",IF(N(H1487)&lt;=0,"Quantité invalide",IF(J1487="","Prix manquant",IF(OR(N(K1487)&lt;0,N(K1487)&gt;=1),"Remise invalide",IF(M1487="","TVA manquante",IF(ISNA(MATCH(M1487,p_tva,0)),"Taux de TVA inconnu",IF(COUNTIFS(po_num,A1487,po_sup,"&lt;&gt;"&amp;C1487)&gt;0,"Fournisseur différent sur ce bon",IF(COUNTIFS(po_num,A1487,po_date,"&lt;&gt;"&amp;B1487)&gt;0,"Date différente sur ce bon",IF(COUNTIF(po_num,A1487)&gt;25,"Plus de 25 lignes sur ce bon",IF(R1487="","Date de livraison manquante",IF(R1487&lt;B1487,"Livraison avant la commande",IF(AND(N(T1487)&gt;0,N(S1487)=0),"Date d'envoi manquante",IF(N(T1487)&gt;N(H1487),"Reçu plus que commandé",IF(AND(N(T1487)&gt;0,N(U1487)=0),"Date de réception manquante",IF(AND(N(U1487)&gt;0,U1487&lt;B1487),"Réception avant la commande","OK")))))))))))))))))))))</f>
        <v/>
      </c>
      <c r="AA1487" s="66" t="str">
        <f>IF(AND(X1487="Reçu",ISNUMBER(R1487)),IF(N(U1487)&lt;=R1487,1,0),"")</f>
        <v/>
      </c>
      <c r="AB1487" s="76" t="str">
        <f>IF(OR(X1487="Envoyé",X1487="Partiel",X1487="En retard"),IF(ISNUMBER(R1487),R1487,100000)+ROW()/100000,"")</f>
        <v/>
      </c>
      <c r="AC1487" s="66" t="str">
        <f>IF(A1487="","",IF(COUNTIF($A$6:A1487,A1487)=1,1,""))</f>
        <v/>
      </c>
      <c r="AD1487" s="66" t="str">
        <f>IF(AC1487=1,COUNT($AC$6:AC1487),"")</f>
        <v/>
      </c>
      <c r="AE1487" s="66" t="str">
        <f>IFERROR(INDEX(po_num,MATCH(1482,po_seq,0))&amp;"","")</f>
        <v/>
      </c>
      <c r="AF1487" s="66" t="str">
        <f>IF(OR(A1487="",p_po=""),"",IF(A1487&amp;""=p_po,COUNTIF($A$6:A1487,A1487),""))</f>
        <v/>
      </c>
      <c r="AG1487" s="66" t="str">
        <f>IF(OR(AB1487="",A1487=""),"",IF(COUNTIFS($A$6:A1487,A1487,$AB$6:AB1487,"&gt;0")=1,1,""))</f>
        <v/>
      </c>
      <c r="AH1487" s="70" t="str">
        <f>IF(AB1487="","",ROUND(N(W1487)*N(J1487)*(1-N(K1487)),2))</f>
        <v/>
      </c>
      <c r="AI1487" s="70" t="str">
        <f>IF(OR(J1487="",N(T1487)&lt;=0,V1487="Oui"),"",ROUND(N(T1487)*J1487*(1-N(K1487)),2))</f>
        <v/>
      </c>
    </row>
    <row r="1488">
      <c r="A1488" s="63" t="n"/>
      <c r="B1488" s="64" t="n"/>
      <c r="C1488" s="65" t="n"/>
      <c r="D1488" s="66" t="str">
        <f>IF(C1488="","",IFERROR(INDEX(sup_name,MATCH($C1488,sup_code,0))&amp;"","Fournisseur inconnu"))</f>
        <v/>
      </c>
      <c r="E1488" s="63" t="n"/>
      <c r="F1488" s="66" t="str">
        <f>IF(E1488="","",IFERROR(INDEX(art_des,MATCH($E1488,art_ref,0))&amp;"","Article inconnu"))</f>
        <v/>
      </c>
      <c r="G1488" s="67" t="str">
        <f>IF(E1488="","",IFERROR(INDEX(art_unit,MATCH($E1488,art_ref,0))&amp;"",""))</f>
        <v/>
      </c>
      <c r="H1488" s="68" t="n"/>
      <c r="I1488" s="69" t="n"/>
      <c r="J1488" s="70" t="str">
        <f>IF(E1488="","",IF(ISNUMBER(I1488),I1488,IFERROR(IF(ISNUMBER(INDEX(art_price,MATCH($E1488,art_ref,0))),INDEX(art_price,MATCH($E1488,art_ref,0)),""),"")))</f>
        <v/>
      </c>
      <c r="K1488" s="71" t="n"/>
      <c r="L1488" s="72" t="n"/>
      <c r="M1488" s="72" t="str">
        <f>IF(E1488="","",IF(L1488&lt;&gt;"",L1488,IFERROR(IF(ISNUMBER(INDEX(art_tva,MATCH($E1488,art_ref,0))),INDEX(art_tva,MATCH($E1488,art_ref,0)),""),"")))</f>
        <v/>
      </c>
      <c r="N1488" s="70" t="str">
        <f>IF(OR(E1488="",J1488=""),"",ROUND(N(H1488)*J1488*(1-N(K1488)),2))</f>
        <v/>
      </c>
      <c r="O1488" s="70" t="str">
        <f>IF(OR(N1488="",NOT(ISNUMBER(M1488))),"",ROUND(N1488*M1488,2))</f>
        <v/>
      </c>
      <c r="P1488" s="70" t="str">
        <f>IF(N1488="","",N1488+N(O1488))</f>
        <v/>
      </c>
      <c r="Q1488" s="64" t="n"/>
      <c r="R1488" s="73" t="str">
        <f>IF(N(Q1488)&gt;0,Q1488,IF(OR(N(B1488)=0,ISNA(MATCH($C1488,sup_code,0))),"",IF(ISNUMBER(INDEX(sup_delay,MATCH($C1488,sup_code,0))),B1488+INDEX(sup_delay,MATCH($C1488,sup_code,0)),"")))</f>
        <v/>
      </c>
      <c r="S1488" s="64" t="n"/>
      <c r="T1488" s="68" t="n"/>
      <c r="U1488" s="64" t="n"/>
      <c r="V1488" s="65" t="n"/>
      <c r="W1488" s="74" t="str">
        <f>IF(AND(A1488="",E1488=""),"",IF(V1488="Oui",0,MAX(0,ROUND(N(H1488)-N(T1488),6))))</f>
        <v/>
      </c>
      <c r="X1488" s="67" t="str">
        <f>IF(AND(A1488="",E1488=""),"",IF(V1488="Oui","Annulé",IF(AND(N(H1488)&gt;0,N(T1488)&gt;=N(H1488)),"Reçu",IF(N(S1488)=0,"Brouillon",IF(AND(ISNUMBER(R1488),R1488&lt;p_today),"En retard",IF(N(T1488)&gt;0,"Partiel","Envoyé"))))))</f>
        <v/>
      </c>
      <c r="Y1488" s="75" t="str">
        <f>IF(X1488="En retard",p_today-R1488,IF(AND(X1488="Reçu",ISNUMBER(R1488)),MAX(0,N(U1488)-R1488),""))</f>
        <v/>
      </c>
      <c r="Z1488" s="67" t="str">
        <f>IF(AND(A1488="",E1488=""),"",IF(A1488="","N° de bon manquant",IF(N(B1488)=0,"Date de commande manquante",IF(C1488="","Fournisseur manquant",IF(ISNA(MATCH($C1488,sup_code,0)),"Fournisseur inconnu",IF(E1488="","Article manquant",IF(ISNA(MATCH($E1488,art_ref,0)),"Article inconnu",IF(N(H1488)&lt;=0,"Quantité invalide",IF(J1488="","Prix manquant",IF(OR(N(K1488)&lt;0,N(K1488)&gt;=1),"Remise invalide",IF(M1488="","TVA manquante",IF(ISNA(MATCH(M1488,p_tva,0)),"Taux de TVA inconnu",IF(COUNTIFS(po_num,A1488,po_sup,"&lt;&gt;"&amp;C1488)&gt;0,"Fournisseur différent sur ce bon",IF(COUNTIFS(po_num,A1488,po_date,"&lt;&gt;"&amp;B1488)&gt;0,"Date différente sur ce bon",IF(COUNTIF(po_num,A1488)&gt;25,"Plus de 25 lignes sur ce bon",IF(R1488="","Date de livraison manquante",IF(R1488&lt;B1488,"Livraison avant la commande",IF(AND(N(T1488)&gt;0,N(S1488)=0),"Date d'envoi manquante",IF(N(T1488)&gt;N(H1488),"Reçu plus que commandé",IF(AND(N(T1488)&gt;0,N(U1488)=0),"Date de réception manquante",IF(AND(N(U1488)&gt;0,U1488&lt;B1488),"Réception avant la commande","OK")))))))))))))))))))))</f>
        <v/>
      </c>
      <c r="AA1488" s="66" t="str">
        <f>IF(AND(X1488="Reçu",ISNUMBER(R1488)),IF(N(U1488)&lt;=R1488,1,0),"")</f>
        <v/>
      </c>
      <c r="AB1488" s="76" t="str">
        <f>IF(OR(X1488="Envoyé",X1488="Partiel",X1488="En retard"),IF(ISNUMBER(R1488),R1488,100000)+ROW()/100000,"")</f>
        <v/>
      </c>
      <c r="AC1488" s="66" t="str">
        <f>IF(A1488="","",IF(COUNTIF($A$6:A1488,A1488)=1,1,""))</f>
        <v/>
      </c>
      <c r="AD1488" s="66" t="str">
        <f>IF(AC1488=1,COUNT($AC$6:AC1488),"")</f>
        <v/>
      </c>
      <c r="AE1488" s="66" t="str">
        <f>IFERROR(INDEX(po_num,MATCH(1483,po_seq,0))&amp;"","")</f>
        <v/>
      </c>
      <c r="AF1488" s="66" t="str">
        <f>IF(OR(A1488="",p_po=""),"",IF(A1488&amp;""=p_po,COUNTIF($A$6:A1488,A1488),""))</f>
        <v/>
      </c>
      <c r="AG1488" s="66" t="str">
        <f>IF(OR(AB1488="",A1488=""),"",IF(COUNTIFS($A$6:A1488,A1488,$AB$6:AB1488,"&gt;0")=1,1,""))</f>
        <v/>
      </c>
      <c r="AH1488" s="70" t="str">
        <f>IF(AB1488="","",ROUND(N(W1488)*N(J1488)*(1-N(K1488)),2))</f>
        <v/>
      </c>
      <c r="AI1488" s="70" t="str">
        <f>IF(OR(J1488="",N(T1488)&lt;=0,V1488="Oui"),"",ROUND(N(T1488)*J1488*(1-N(K1488)),2))</f>
        <v/>
      </c>
    </row>
    <row r="1489">
      <c r="A1489" s="63" t="n"/>
      <c r="B1489" s="64" t="n"/>
      <c r="C1489" s="65" t="n"/>
      <c r="D1489" s="66" t="str">
        <f>IF(C1489="","",IFERROR(INDEX(sup_name,MATCH($C1489,sup_code,0))&amp;"","Fournisseur inconnu"))</f>
        <v/>
      </c>
      <c r="E1489" s="63" t="n"/>
      <c r="F1489" s="66" t="str">
        <f>IF(E1489="","",IFERROR(INDEX(art_des,MATCH($E1489,art_ref,0))&amp;"","Article inconnu"))</f>
        <v/>
      </c>
      <c r="G1489" s="67" t="str">
        <f>IF(E1489="","",IFERROR(INDEX(art_unit,MATCH($E1489,art_ref,0))&amp;"",""))</f>
        <v/>
      </c>
      <c r="H1489" s="68" t="n"/>
      <c r="I1489" s="69" t="n"/>
      <c r="J1489" s="70" t="str">
        <f>IF(E1489="","",IF(ISNUMBER(I1489),I1489,IFERROR(IF(ISNUMBER(INDEX(art_price,MATCH($E1489,art_ref,0))),INDEX(art_price,MATCH($E1489,art_ref,0)),""),"")))</f>
        <v/>
      </c>
      <c r="K1489" s="71" t="n"/>
      <c r="L1489" s="72" t="n"/>
      <c r="M1489" s="72" t="str">
        <f>IF(E1489="","",IF(L1489&lt;&gt;"",L1489,IFERROR(IF(ISNUMBER(INDEX(art_tva,MATCH($E1489,art_ref,0))),INDEX(art_tva,MATCH($E1489,art_ref,0)),""),"")))</f>
        <v/>
      </c>
      <c r="N1489" s="70" t="str">
        <f>IF(OR(E1489="",J1489=""),"",ROUND(N(H1489)*J1489*(1-N(K1489)),2))</f>
        <v/>
      </c>
      <c r="O1489" s="70" t="str">
        <f>IF(OR(N1489="",NOT(ISNUMBER(M1489))),"",ROUND(N1489*M1489,2))</f>
        <v/>
      </c>
      <c r="P1489" s="70" t="str">
        <f>IF(N1489="","",N1489+N(O1489))</f>
        <v/>
      </c>
      <c r="Q1489" s="64" t="n"/>
      <c r="R1489" s="73" t="str">
        <f>IF(N(Q1489)&gt;0,Q1489,IF(OR(N(B1489)=0,ISNA(MATCH($C1489,sup_code,0))),"",IF(ISNUMBER(INDEX(sup_delay,MATCH($C1489,sup_code,0))),B1489+INDEX(sup_delay,MATCH($C1489,sup_code,0)),"")))</f>
        <v/>
      </c>
      <c r="S1489" s="64" t="n"/>
      <c r="T1489" s="68" t="n"/>
      <c r="U1489" s="64" t="n"/>
      <c r="V1489" s="65" t="n"/>
      <c r="W1489" s="74" t="str">
        <f>IF(AND(A1489="",E1489=""),"",IF(V1489="Oui",0,MAX(0,ROUND(N(H1489)-N(T1489),6))))</f>
        <v/>
      </c>
      <c r="X1489" s="67" t="str">
        <f>IF(AND(A1489="",E1489=""),"",IF(V1489="Oui","Annulé",IF(AND(N(H1489)&gt;0,N(T1489)&gt;=N(H1489)),"Reçu",IF(N(S1489)=0,"Brouillon",IF(AND(ISNUMBER(R1489),R1489&lt;p_today),"En retard",IF(N(T1489)&gt;0,"Partiel","Envoyé"))))))</f>
        <v/>
      </c>
      <c r="Y1489" s="75" t="str">
        <f>IF(X1489="En retard",p_today-R1489,IF(AND(X1489="Reçu",ISNUMBER(R1489)),MAX(0,N(U1489)-R1489),""))</f>
        <v/>
      </c>
      <c r="Z1489" s="67" t="str">
        <f>IF(AND(A1489="",E1489=""),"",IF(A1489="","N° de bon manquant",IF(N(B1489)=0,"Date de commande manquante",IF(C1489="","Fournisseur manquant",IF(ISNA(MATCH($C1489,sup_code,0)),"Fournisseur inconnu",IF(E1489="","Article manquant",IF(ISNA(MATCH($E1489,art_ref,0)),"Article inconnu",IF(N(H1489)&lt;=0,"Quantité invalide",IF(J1489="","Prix manquant",IF(OR(N(K1489)&lt;0,N(K1489)&gt;=1),"Remise invalide",IF(M1489="","TVA manquante",IF(ISNA(MATCH(M1489,p_tva,0)),"Taux de TVA inconnu",IF(COUNTIFS(po_num,A1489,po_sup,"&lt;&gt;"&amp;C1489)&gt;0,"Fournisseur différent sur ce bon",IF(COUNTIFS(po_num,A1489,po_date,"&lt;&gt;"&amp;B1489)&gt;0,"Date différente sur ce bon",IF(COUNTIF(po_num,A1489)&gt;25,"Plus de 25 lignes sur ce bon",IF(R1489="","Date de livraison manquante",IF(R1489&lt;B1489,"Livraison avant la commande",IF(AND(N(T1489)&gt;0,N(S1489)=0),"Date d'envoi manquante",IF(N(T1489)&gt;N(H1489),"Reçu plus que commandé",IF(AND(N(T1489)&gt;0,N(U1489)=0),"Date de réception manquante",IF(AND(N(U1489)&gt;0,U1489&lt;B1489),"Réception avant la commande","OK")))))))))))))))))))))</f>
        <v/>
      </c>
      <c r="AA1489" s="66" t="str">
        <f>IF(AND(X1489="Reçu",ISNUMBER(R1489)),IF(N(U1489)&lt;=R1489,1,0),"")</f>
        <v/>
      </c>
      <c r="AB1489" s="76" t="str">
        <f>IF(OR(X1489="Envoyé",X1489="Partiel",X1489="En retard"),IF(ISNUMBER(R1489),R1489,100000)+ROW()/100000,"")</f>
        <v/>
      </c>
      <c r="AC1489" s="66" t="str">
        <f>IF(A1489="","",IF(COUNTIF($A$6:A1489,A1489)=1,1,""))</f>
        <v/>
      </c>
      <c r="AD1489" s="66" t="str">
        <f>IF(AC1489=1,COUNT($AC$6:AC1489),"")</f>
        <v/>
      </c>
      <c r="AE1489" s="66" t="str">
        <f>IFERROR(INDEX(po_num,MATCH(1484,po_seq,0))&amp;"","")</f>
        <v/>
      </c>
      <c r="AF1489" s="66" t="str">
        <f>IF(OR(A1489="",p_po=""),"",IF(A1489&amp;""=p_po,COUNTIF($A$6:A1489,A1489),""))</f>
        <v/>
      </c>
      <c r="AG1489" s="66" t="str">
        <f>IF(OR(AB1489="",A1489=""),"",IF(COUNTIFS($A$6:A1489,A1489,$AB$6:AB1489,"&gt;0")=1,1,""))</f>
        <v/>
      </c>
      <c r="AH1489" s="70" t="str">
        <f>IF(AB1489="","",ROUND(N(W1489)*N(J1489)*(1-N(K1489)),2))</f>
        <v/>
      </c>
      <c r="AI1489" s="70" t="str">
        <f>IF(OR(J1489="",N(T1489)&lt;=0,V1489="Oui"),"",ROUND(N(T1489)*J1489*(1-N(K1489)),2))</f>
        <v/>
      </c>
    </row>
    <row r="1490">
      <c r="A1490" s="63" t="n"/>
      <c r="B1490" s="64" t="n"/>
      <c r="C1490" s="65" t="n"/>
      <c r="D1490" s="66" t="str">
        <f>IF(C1490="","",IFERROR(INDEX(sup_name,MATCH($C1490,sup_code,0))&amp;"","Fournisseur inconnu"))</f>
        <v/>
      </c>
      <c r="E1490" s="63" t="n"/>
      <c r="F1490" s="66" t="str">
        <f>IF(E1490="","",IFERROR(INDEX(art_des,MATCH($E1490,art_ref,0))&amp;"","Article inconnu"))</f>
        <v/>
      </c>
      <c r="G1490" s="67" t="str">
        <f>IF(E1490="","",IFERROR(INDEX(art_unit,MATCH($E1490,art_ref,0))&amp;"",""))</f>
        <v/>
      </c>
      <c r="H1490" s="68" t="n"/>
      <c r="I1490" s="69" t="n"/>
      <c r="J1490" s="70" t="str">
        <f>IF(E1490="","",IF(ISNUMBER(I1490),I1490,IFERROR(IF(ISNUMBER(INDEX(art_price,MATCH($E1490,art_ref,0))),INDEX(art_price,MATCH($E1490,art_ref,0)),""),"")))</f>
        <v/>
      </c>
      <c r="K1490" s="71" t="n"/>
      <c r="L1490" s="72" t="n"/>
      <c r="M1490" s="72" t="str">
        <f>IF(E1490="","",IF(L1490&lt;&gt;"",L1490,IFERROR(IF(ISNUMBER(INDEX(art_tva,MATCH($E1490,art_ref,0))),INDEX(art_tva,MATCH($E1490,art_ref,0)),""),"")))</f>
        <v/>
      </c>
      <c r="N1490" s="70" t="str">
        <f>IF(OR(E1490="",J1490=""),"",ROUND(N(H1490)*J1490*(1-N(K1490)),2))</f>
        <v/>
      </c>
      <c r="O1490" s="70" t="str">
        <f>IF(OR(N1490="",NOT(ISNUMBER(M1490))),"",ROUND(N1490*M1490,2))</f>
        <v/>
      </c>
      <c r="P1490" s="70" t="str">
        <f>IF(N1490="","",N1490+N(O1490))</f>
        <v/>
      </c>
      <c r="Q1490" s="64" t="n"/>
      <c r="R1490" s="73" t="str">
        <f>IF(N(Q1490)&gt;0,Q1490,IF(OR(N(B1490)=0,ISNA(MATCH($C1490,sup_code,0))),"",IF(ISNUMBER(INDEX(sup_delay,MATCH($C1490,sup_code,0))),B1490+INDEX(sup_delay,MATCH($C1490,sup_code,0)),"")))</f>
        <v/>
      </c>
      <c r="S1490" s="64" t="n"/>
      <c r="T1490" s="68" t="n"/>
      <c r="U1490" s="64" t="n"/>
      <c r="V1490" s="65" t="n"/>
      <c r="W1490" s="74" t="str">
        <f>IF(AND(A1490="",E1490=""),"",IF(V1490="Oui",0,MAX(0,ROUND(N(H1490)-N(T1490),6))))</f>
        <v/>
      </c>
      <c r="X1490" s="67" t="str">
        <f>IF(AND(A1490="",E1490=""),"",IF(V1490="Oui","Annulé",IF(AND(N(H1490)&gt;0,N(T1490)&gt;=N(H1490)),"Reçu",IF(N(S1490)=0,"Brouillon",IF(AND(ISNUMBER(R1490),R1490&lt;p_today),"En retard",IF(N(T1490)&gt;0,"Partiel","Envoyé"))))))</f>
        <v/>
      </c>
      <c r="Y1490" s="75" t="str">
        <f>IF(X1490="En retard",p_today-R1490,IF(AND(X1490="Reçu",ISNUMBER(R1490)),MAX(0,N(U1490)-R1490),""))</f>
        <v/>
      </c>
      <c r="Z1490" s="67" t="str">
        <f>IF(AND(A1490="",E1490=""),"",IF(A1490="","N° de bon manquant",IF(N(B1490)=0,"Date de commande manquante",IF(C1490="","Fournisseur manquant",IF(ISNA(MATCH($C1490,sup_code,0)),"Fournisseur inconnu",IF(E1490="","Article manquant",IF(ISNA(MATCH($E1490,art_ref,0)),"Article inconnu",IF(N(H1490)&lt;=0,"Quantité invalide",IF(J1490="","Prix manquant",IF(OR(N(K1490)&lt;0,N(K1490)&gt;=1),"Remise invalide",IF(M1490="","TVA manquante",IF(ISNA(MATCH(M1490,p_tva,0)),"Taux de TVA inconnu",IF(COUNTIFS(po_num,A1490,po_sup,"&lt;&gt;"&amp;C1490)&gt;0,"Fournisseur différent sur ce bon",IF(COUNTIFS(po_num,A1490,po_date,"&lt;&gt;"&amp;B1490)&gt;0,"Date différente sur ce bon",IF(COUNTIF(po_num,A1490)&gt;25,"Plus de 25 lignes sur ce bon",IF(R1490="","Date de livraison manquante",IF(R1490&lt;B1490,"Livraison avant la commande",IF(AND(N(T1490)&gt;0,N(S1490)=0),"Date d'envoi manquante",IF(N(T1490)&gt;N(H1490),"Reçu plus que commandé",IF(AND(N(T1490)&gt;0,N(U1490)=0),"Date de réception manquante",IF(AND(N(U1490)&gt;0,U1490&lt;B1490),"Réception avant la commande","OK")))))))))))))))))))))</f>
        <v/>
      </c>
      <c r="AA1490" s="66" t="str">
        <f>IF(AND(X1490="Reçu",ISNUMBER(R1490)),IF(N(U1490)&lt;=R1490,1,0),"")</f>
        <v/>
      </c>
      <c r="AB1490" s="76" t="str">
        <f>IF(OR(X1490="Envoyé",X1490="Partiel",X1490="En retard"),IF(ISNUMBER(R1490),R1490,100000)+ROW()/100000,"")</f>
        <v/>
      </c>
      <c r="AC1490" s="66" t="str">
        <f>IF(A1490="","",IF(COUNTIF($A$6:A1490,A1490)=1,1,""))</f>
        <v/>
      </c>
      <c r="AD1490" s="66" t="str">
        <f>IF(AC1490=1,COUNT($AC$6:AC1490),"")</f>
        <v/>
      </c>
      <c r="AE1490" s="66" t="str">
        <f>IFERROR(INDEX(po_num,MATCH(1485,po_seq,0))&amp;"","")</f>
        <v/>
      </c>
      <c r="AF1490" s="66" t="str">
        <f>IF(OR(A1490="",p_po=""),"",IF(A1490&amp;""=p_po,COUNTIF($A$6:A1490,A1490),""))</f>
        <v/>
      </c>
      <c r="AG1490" s="66" t="str">
        <f>IF(OR(AB1490="",A1490=""),"",IF(COUNTIFS($A$6:A1490,A1490,$AB$6:AB1490,"&gt;0")=1,1,""))</f>
        <v/>
      </c>
      <c r="AH1490" s="70" t="str">
        <f>IF(AB1490="","",ROUND(N(W1490)*N(J1490)*(1-N(K1490)),2))</f>
        <v/>
      </c>
      <c r="AI1490" s="70" t="str">
        <f>IF(OR(J1490="",N(T1490)&lt;=0,V1490="Oui"),"",ROUND(N(T1490)*J1490*(1-N(K1490)),2))</f>
        <v/>
      </c>
    </row>
    <row r="1491">
      <c r="A1491" s="63" t="n"/>
      <c r="B1491" s="64" t="n"/>
      <c r="C1491" s="65" t="n"/>
      <c r="D1491" s="66" t="str">
        <f>IF(C1491="","",IFERROR(INDEX(sup_name,MATCH($C1491,sup_code,0))&amp;"","Fournisseur inconnu"))</f>
        <v/>
      </c>
      <c r="E1491" s="63" t="n"/>
      <c r="F1491" s="66" t="str">
        <f>IF(E1491="","",IFERROR(INDEX(art_des,MATCH($E1491,art_ref,0))&amp;"","Article inconnu"))</f>
        <v/>
      </c>
      <c r="G1491" s="67" t="str">
        <f>IF(E1491="","",IFERROR(INDEX(art_unit,MATCH($E1491,art_ref,0))&amp;"",""))</f>
        <v/>
      </c>
      <c r="H1491" s="68" t="n"/>
      <c r="I1491" s="69" t="n"/>
      <c r="J1491" s="70" t="str">
        <f>IF(E1491="","",IF(ISNUMBER(I1491),I1491,IFERROR(IF(ISNUMBER(INDEX(art_price,MATCH($E1491,art_ref,0))),INDEX(art_price,MATCH($E1491,art_ref,0)),""),"")))</f>
        <v/>
      </c>
      <c r="K1491" s="71" t="n"/>
      <c r="L1491" s="72" t="n"/>
      <c r="M1491" s="72" t="str">
        <f>IF(E1491="","",IF(L1491&lt;&gt;"",L1491,IFERROR(IF(ISNUMBER(INDEX(art_tva,MATCH($E1491,art_ref,0))),INDEX(art_tva,MATCH($E1491,art_ref,0)),""),"")))</f>
        <v/>
      </c>
      <c r="N1491" s="70" t="str">
        <f>IF(OR(E1491="",J1491=""),"",ROUND(N(H1491)*J1491*(1-N(K1491)),2))</f>
        <v/>
      </c>
      <c r="O1491" s="70" t="str">
        <f>IF(OR(N1491="",NOT(ISNUMBER(M1491))),"",ROUND(N1491*M1491,2))</f>
        <v/>
      </c>
      <c r="P1491" s="70" t="str">
        <f>IF(N1491="","",N1491+N(O1491))</f>
        <v/>
      </c>
      <c r="Q1491" s="64" t="n"/>
      <c r="R1491" s="73" t="str">
        <f>IF(N(Q1491)&gt;0,Q1491,IF(OR(N(B1491)=0,ISNA(MATCH($C1491,sup_code,0))),"",IF(ISNUMBER(INDEX(sup_delay,MATCH($C1491,sup_code,0))),B1491+INDEX(sup_delay,MATCH($C1491,sup_code,0)),"")))</f>
        <v/>
      </c>
      <c r="S1491" s="64" t="n"/>
      <c r="T1491" s="68" t="n"/>
      <c r="U1491" s="64" t="n"/>
      <c r="V1491" s="65" t="n"/>
      <c r="W1491" s="74" t="str">
        <f>IF(AND(A1491="",E1491=""),"",IF(V1491="Oui",0,MAX(0,ROUND(N(H1491)-N(T1491),6))))</f>
        <v/>
      </c>
      <c r="X1491" s="67" t="str">
        <f>IF(AND(A1491="",E1491=""),"",IF(V1491="Oui","Annulé",IF(AND(N(H1491)&gt;0,N(T1491)&gt;=N(H1491)),"Reçu",IF(N(S1491)=0,"Brouillon",IF(AND(ISNUMBER(R1491),R1491&lt;p_today),"En retard",IF(N(T1491)&gt;0,"Partiel","Envoyé"))))))</f>
        <v/>
      </c>
      <c r="Y1491" s="75" t="str">
        <f>IF(X1491="En retard",p_today-R1491,IF(AND(X1491="Reçu",ISNUMBER(R1491)),MAX(0,N(U1491)-R1491),""))</f>
        <v/>
      </c>
      <c r="Z1491" s="67" t="str">
        <f>IF(AND(A1491="",E1491=""),"",IF(A1491="","N° de bon manquant",IF(N(B1491)=0,"Date de commande manquante",IF(C1491="","Fournisseur manquant",IF(ISNA(MATCH($C1491,sup_code,0)),"Fournisseur inconnu",IF(E1491="","Article manquant",IF(ISNA(MATCH($E1491,art_ref,0)),"Article inconnu",IF(N(H1491)&lt;=0,"Quantité invalide",IF(J1491="","Prix manquant",IF(OR(N(K1491)&lt;0,N(K1491)&gt;=1),"Remise invalide",IF(M1491="","TVA manquante",IF(ISNA(MATCH(M1491,p_tva,0)),"Taux de TVA inconnu",IF(COUNTIFS(po_num,A1491,po_sup,"&lt;&gt;"&amp;C1491)&gt;0,"Fournisseur différent sur ce bon",IF(COUNTIFS(po_num,A1491,po_date,"&lt;&gt;"&amp;B1491)&gt;0,"Date différente sur ce bon",IF(COUNTIF(po_num,A1491)&gt;25,"Plus de 25 lignes sur ce bon",IF(R1491="","Date de livraison manquante",IF(R1491&lt;B1491,"Livraison avant la commande",IF(AND(N(T1491)&gt;0,N(S1491)=0),"Date d'envoi manquante",IF(N(T1491)&gt;N(H1491),"Reçu plus que commandé",IF(AND(N(T1491)&gt;0,N(U1491)=0),"Date de réception manquante",IF(AND(N(U1491)&gt;0,U1491&lt;B1491),"Réception avant la commande","OK")))))))))))))))))))))</f>
        <v/>
      </c>
      <c r="AA1491" s="66" t="str">
        <f>IF(AND(X1491="Reçu",ISNUMBER(R1491)),IF(N(U1491)&lt;=R1491,1,0),"")</f>
        <v/>
      </c>
      <c r="AB1491" s="76" t="str">
        <f>IF(OR(X1491="Envoyé",X1491="Partiel",X1491="En retard"),IF(ISNUMBER(R1491),R1491,100000)+ROW()/100000,"")</f>
        <v/>
      </c>
      <c r="AC1491" s="66" t="str">
        <f>IF(A1491="","",IF(COUNTIF($A$6:A1491,A1491)=1,1,""))</f>
        <v/>
      </c>
      <c r="AD1491" s="66" t="str">
        <f>IF(AC1491=1,COUNT($AC$6:AC1491),"")</f>
        <v/>
      </c>
      <c r="AE1491" s="66" t="str">
        <f>IFERROR(INDEX(po_num,MATCH(1486,po_seq,0))&amp;"","")</f>
        <v/>
      </c>
      <c r="AF1491" s="66" t="str">
        <f>IF(OR(A1491="",p_po=""),"",IF(A1491&amp;""=p_po,COUNTIF($A$6:A1491,A1491),""))</f>
        <v/>
      </c>
      <c r="AG1491" s="66" t="str">
        <f>IF(OR(AB1491="",A1491=""),"",IF(COUNTIFS($A$6:A1491,A1491,$AB$6:AB1491,"&gt;0")=1,1,""))</f>
        <v/>
      </c>
      <c r="AH1491" s="70" t="str">
        <f>IF(AB1491="","",ROUND(N(W1491)*N(J1491)*(1-N(K1491)),2))</f>
        <v/>
      </c>
      <c r="AI1491" s="70" t="str">
        <f>IF(OR(J1491="",N(T1491)&lt;=0,V1491="Oui"),"",ROUND(N(T1491)*J1491*(1-N(K1491)),2))</f>
        <v/>
      </c>
    </row>
    <row r="1492">
      <c r="A1492" s="63" t="n"/>
      <c r="B1492" s="64" t="n"/>
      <c r="C1492" s="65" t="n"/>
      <c r="D1492" s="66" t="str">
        <f>IF(C1492="","",IFERROR(INDEX(sup_name,MATCH($C1492,sup_code,0))&amp;"","Fournisseur inconnu"))</f>
        <v/>
      </c>
      <c r="E1492" s="63" t="n"/>
      <c r="F1492" s="66" t="str">
        <f>IF(E1492="","",IFERROR(INDEX(art_des,MATCH($E1492,art_ref,0))&amp;"","Article inconnu"))</f>
        <v/>
      </c>
      <c r="G1492" s="67" t="str">
        <f>IF(E1492="","",IFERROR(INDEX(art_unit,MATCH($E1492,art_ref,0))&amp;"",""))</f>
        <v/>
      </c>
      <c r="H1492" s="68" t="n"/>
      <c r="I1492" s="69" t="n"/>
      <c r="J1492" s="70" t="str">
        <f>IF(E1492="","",IF(ISNUMBER(I1492),I1492,IFERROR(IF(ISNUMBER(INDEX(art_price,MATCH($E1492,art_ref,0))),INDEX(art_price,MATCH($E1492,art_ref,0)),""),"")))</f>
        <v/>
      </c>
      <c r="K1492" s="71" t="n"/>
      <c r="L1492" s="72" t="n"/>
      <c r="M1492" s="72" t="str">
        <f>IF(E1492="","",IF(L1492&lt;&gt;"",L1492,IFERROR(IF(ISNUMBER(INDEX(art_tva,MATCH($E1492,art_ref,0))),INDEX(art_tva,MATCH($E1492,art_ref,0)),""),"")))</f>
        <v/>
      </c>
      <c r="N1492" s="70" t="str">
        <f>IF(OR(E1492="",J1492=""),"",ROUND(N(H1492)*J1492*(1-N(K1492)),2))</f>
        <v/>
      </c>
      <c r="O1492" s="70" t="str">
        <f>IF(OR(N1492="",NOT(ISNUMBER(M1492))),"",ROUND(N1492*M1492,2))</f>
        <v/>
      </c>
      <c r="P1492" s="70" t="str">
        <f>IF(N1492="","",N1492+N(O1492))</f>
        <v/>
      </c>
      <c r="Q1492" s="64" t="n"/>
      <c r="R1492" s="73" t="str">
        <f>IF(N(Q1492)&gt;0,Q1492,IF(OR(N(B1492)=0,ISNA(MATCH($C1492,sup_code,0))),"",IF(ISNUMBER(INDEX(sup_delay,MATCH($C1492,sup_code,0))),B1492+INDEX(sup_delay,MATCH($C1492,sup_code,0)),"")))</f>
        <v/>
      </c>
      <c r="S1492" s="64" t="n"/>
      <c r="T1492" s="68" t="n"/>
      <c r="U1492" s="64" t="n"/>
      <c r="V1492" s="65" t="n"/>
      <c r="W1492" s="74" t="str">
        <f>IF(AND(A1492="",E1492=""),"",IF(V1492="Oui",0,MAX(0,ROUND(N(H1492)-N(T1492),6))))</f>
        <v/>
      </c>
      <c r="X1492" s="67" t="str">
        <f>IF(AND(A1492="",E1492=""),"",IF(V1492="Oui","Annulé",IF(AND(N(H1492)&gt;0,N(T1492)&gt;=N(H1492)),"Reçu",IF(N(S1492)=0,"Brouillon",IF(AND(ISNUMBER(R1492),R1492&lt;p_today),"En retard",IF(N(T1492)&gt;0,"Partiel","Envoyé"))))))</f>
        <v/>
      </c>
      <c r="Y1492" s="75" t="str">
        <f>IF(X1492="En retard",p_today-R1492,IF(AND(X1492="Reçu",ISNUMBER(R1492)),MAX(0,N(U1492)-R1492),""))</f>
        <v/>
      </c>
      <c r="Z1492" s="67" t="str">
        <f>IF(AND(A1492="",E1492=""),"",IF(A1492="","N° de bon manquant",IF(N(B1492)=0,"Date de commande manquante",IF(C1492="","Fournisseur manquant",IF(ISNA(MATCH($C1492,sup_code,0)),"Fournisseur inconnu",IF(E1492="","Article manquant",IF(ISNA(MATCH($E1492,art_ref,0)),"Article inconnu",IF(N(H1492)&lt;=0,"Quantité invalide",IF(J1492="","Prix manquant",IF(OR(N(K1492)&lt;0,N(K1492)&gt;=1),"Remise invalide",IF(M1492="","TVA manquante",IF(ISNA(MATCH(M1492,p_tva,0)),"Taux de TVA inconnu",IF(COUNTIFS(po_num,A1492,po_sup,"&lt;&gt;"&amp;C1492)&gt;0,"Fournisseur différent sur ce bon",IF(COUNTIFS(po_num,A1492,po_date,"&lt;&gt;"&amp;B1492)&gt;0,"Date différente sur ce bon",IF(COUNTIF(po_num,A1492)&gt;25,"Plus de 25 lignes sur ce bon",IF(R1492="","Date de livraison manquante",IF(R1492&lt;B1492,"Livraison avant la commande",IF(AND(N(T1492)&gt;0,N(S1492)=0),"Date d'envoi manquante",IF(N(T1492)&gt;N(H1492),"Reçu plus que commandé",IF(AND(N(T1492)&gt;0,N(U1492)=0),"Date de réception manquante",IF(AND(N(U1492)&gt;0,U1492&lt;B1492),"Réception avant la commande","OK")))))))))))))))))))))</f>
        <v/>
      </c>
      <c r="AA1492" s="66" t="str">
        <f>IF(AND(X1492="Reçu",ISNUMBER(R1492)),IF(N(U1492)&lt;=R1492,1,0),"")</f>
        <v/>
      </c>
      <c r="AB1492" s="76" t="str">
        <f>IF(OR(X1492="Envoyé",X1492="Partiel",X1492="En retard"),IF(ISNUMBER(R1492),R1492,100000)+ROW()/100000,"")</f>
        <v/>
      </c>
      <c r="AC1492" s="66" t="str">
        <f>IF(A1492="","",IF(COUNTIF($A$6:A1492,A1492)=1,1,""))</f>
        <v/>
      </c>
      <c r="AD1492" s="66" t="str">
        <f>IF(AC1492=1,COUNT($AC$6:AC1492),"")</f>
        <v/>
      </c>
      <c r="AE1492" s="66" t="str">
        <f>IFERROR(INDEX(po_num,MATCH(1487,po_seq,0))&amp;"","")</f>
        <v/>
      </c>
      <c r="AF1492" s="66" t="str">
        <f>IF(OR(A1492="",p_po=""),"",IF(A1492&amp;""=p_po,COUNTIF($A$6:A1492,A1492),""))</f>
        <v/>
      </c>
      <c r="AG1492" s="66" t="str">
        <f>IF(OR(AB1492="",A1492=""),"",IF(COUNTIFS($A$6:A1492,A1492,$AB$6:AB1492,"&gt;0")=1,1,""))</f>
        <v/>
      </c>
      <c r="AH1492" s="70" t="str">
        <f>IF(AB1492="","",ROUND(N(W1492)*N(J1492)*(1-N(K1492)),2))</f>
        <v/>
      </c>
      <c r="AI1492" s="70" t="str">
        <f>IF(OR(J1492="",N(T1492)&lt;=0,V1492="Oui"),"",ROUND(N(T1492)*J1492*(1-N(K1492)),2))</f>
        <v/>
      </c>
    </row>
    <row r="1493">
      <c r="A1493" s="63" t="n"/>
      <c r="B1493" s="64" t="n"/>
      <c r="C1493" s="65" t="n"/>
      <c r="D1493" s="66" t="str">
        <f>IF(C1493="","",IFERROR(INDEX(sup_name,MATCH($C1493,sup_code,0))&amp;"","Fournisseur inconnu"))</f>
        <v/>
      </c>
      <c r="E1493" s="63" t="n"/>
      <c r="F1493" s="66" t="str">
        <f>IF(E1493="","",IFERROR(INDEX(art_des,MATCH($E1493,art_ref,0))&amp;"","Article inconnu"))</f>
        <v/>
      </c>
      <c r="G1493" s="67" t="str">
        <f>IF(E1493="","",IFERROR(INDEX(art_unit,MATCH($E1493,art_ref,0))&amp;"",""))</f>
        <v/>
      </c>
      <c r="H1493" s="68" t="n"/>
      <c r="I1493" s="69" t="n"/>
      <c r="J1493" s="70" t="str">
        <f>IF(E1493="","",IF(ISNUMBER(I1493),I1493,IFERROR(IF(ISNUMBER(INDEX(art_price,MATCH($E1493,art_ref,0))),INDEX(art_price,MATCH($E1493,art_ref,0)),""),"")))</f>
        <v/>
      </c>
      <c r="K1493" s="71" t="n"/>
      <c r="L1493" s="72" t="n"/>
      <c r="M1493" s="72" t="str">
        <f>IF(E1493="","",IF(L1493&lt;&gt;"",L1493,IFERROR(IF(ISNUMBER(INDEX(art_tva,MATCH($E1493,art_ref,0))),INDEX(art_tva,MATCH($E1493,art_ref,0)),""),"")))</f>
        <v/>
      </c>
      <c r="N1493" s="70" t="str">
        <f>IF(OR(E1493="",J1493=""),"",ROUND(N(H1493)*J1493*(1-N(K1493)),2))</f>
        <v/>
      </c>
      <c r="O1493" s="70" t="str">
        <f>IF(OR(N1493="",NOT(ISNUMBER(M1493))),"",ROUND(N1493*M1493,2))</f>
        <v/>
      </c>
      <c r="P1493" s="70" t="str">
        <f>IF(N1493="","",N1493+N(O1493))</f>
        <v/>
      </c>
      <c r="Q1493" s="64" t="n"/>
      <c r="R1493" s="73" t="str">
        <f>IF(N(Q1493)&gt;0,Q1493,IF(OR(N(B1493)=0,ISNA(MATCH($C1493,sup_code,0))),"",IF(ISNUMBER(INDEX(sup_delay,MATCH($C1493,sup_code,0))),B1493+INDEX(sup_delay,MATCH($C1493,sup_code,0)),"")))</f>
        <v/>
      </c>
      <c r="S1493" s="64" t="n"/>
      <c r="T1493" s="68" t="n"/>
      <c r="U1493" s="64" t="n"/>
      <c r="V1493" s="65" t="n"/>
      <c r="W1493" s="74" t="str">
        <f>IF(AND(A1493="",E1493=""),"",IF(V1493="Oui",0,MAX(0,ROUND(N(H1493)-N(T1493),6))))</f>
        <v/>
      </c>
      <c r="X1493" s="67" t="str">
        <f>IF(AND(A1493="",E1493=""),"",IF(V1493="Oui","Annulé",IF(AND(N(H1493)&gt;0,N(T1493)&gt;=N(H1493)),"Reçu",IF(N(S1493)=0,"Brouillon",IF(AND(ISNUMBER(R1493),R1493&lt;p_today),"En retard",IF(N(T1493)&gt;0,"Partiel","Envoyé"))))))</f>
        <v/>
      </c>
      <c r="Y1493" s="75" t="str">
        <f>IF(X1493="En retard",p_today-R1493,IF(AND(X1493="Reçu",ISNUMBER(R1493)),MAX(0,N(U1493)-R1493),""))</f>
        <v/>
      </c>
      <c r="Z1493" s="67" t="str">
        <f>IF(AND(A1493="",E1493=""),"",IF(A1493="","N° de bon manquant",IF(N(B1493)=0,"Date de commande manquante",IF(C1493="","Fournisseur manquant",IF(ISNA(MATCH($C1493,sup_code,0)),"Fournisseur inconnu",IF(E1493="","Article manquant",IF(ISNA(MATCH($E1493,art_ref,0)),"Article inconnu",IF(N(H1493)&lt;=0,"Quantité invalide",IF(J1493="","Prix manquant",IF(OR(N(K1493)&lt;0,N(K1493)&gt;=1),"Remise invalide",IF(M1493="","TVA manquante",IF(ISNA(MATCH(M1493,p_tva,0)),"Taux de TVA inconnu",IF(COUNTIFS(po_num,A1493,po_sup,"&lt;&gt;"&amp;C1493)&gt;0,"Fournisseur différent sur ce bon",IF(COUNTIFS(po_num,A1493,po_date,"&lt;&gt;"&amp;B1493)&gt;0,"Date différente sur ce bon",IF(COUNTIF(po_num,A1493)&gt;25,"Plus de 25 lignes sur ce bon",IF(R1493="","Date de livraison manquante",IF(R1493&lt;B1493,"Livraison avant la commande",IF(AND(N(T1493)&gt;0,N(S1493)=0),"Date d'envoi manquante",IF(N(T1493)&gt;N(H1493),"Reçu plus que commandé",IF(AND(N(T1493)&gt;0,N(U1493)=0),"Date de réception manquante",IF(AND(N(U1493)&gt;0,U1493&lt;B1493),"Réception avant la commande","OK")))))))))))))))))))))</f>
        <v/>
      </c>
      <c r="AA1493" s="66" t="str">
        <f>IF(AND(X1493="Reçu",ISNUMBER(R1493)),IF(N(U1493)&lt;=R1493,1,0),"")</f>
        <v/>
      </c>
      <c r="AB1493" s="76" t="str">
        <f>IF(OR(X1493="Envoyé",X1493="Partiel",X1493="En retard"),IF(ISNUMBER(R1493),R1493,100000)+ROW()/100000,"")</f>
        <v/>
      </c>
      <c r="AC1493" s="66" t="str">
        <f>IF(A1493="","",IF(COUNTIF($A$6:A1493,A1493)=1,1,""))</f>
        <v/>
      </c>
      <c r="AD1493" s="66" t="str">
        <f>IF(AC1493=1,COUNT($AC$6:AC1493),"")</f>
        <v/>
      </c>
      <c r="AE1493" s="66" t="str">
        <f>IFERROR(INDEX(po_num,MATCH(1488,po_seq,0))&amp;"","")</f>
        <v/>
      </c>
      <c r="AF1493" s="66" t="str">
        <f>IF(OR(A1493="",p_po=""),"",IF(A1493&amp;""=p_po,COUNTIF($A$6:A1493,A1493),""))</f>
        <v/>
      </c>
      <c r="AG1493" s="66" t="str">
        <f>IF(OR(AB1493="",A1493=""),"",IF(COUNTIFS($A$6:A1493,A1493,$AB$6:AB1493,"&gt;0")=1,1,""))</f>
        <v/>
      </c>
      <c r="AH1493" s="70" t="str">
        <f>IF(AB1493="","",ROUND(N(W1493)*N(J1493)*(1-N(K1493)),2))</f>
        <v/>
      </c>
      <c r="AI1493" s="70" t="str">
        <f>IF(OR(J1493="",N(T1493)&lt;=0,V1493="Oui"),"",ROUND(N(T1493)*J1493*(1-N(K1493)),2))</f>
        <v/>
      </c>
    </row>
    <row r="1494">
      <c r="A1494" s="63" t="n"/>
      <c r="B1494" s="64" t="n"/>
      <c r="C1494" s="65" t="n"/>
      <c r="D1494" s="66" t="str">
        <f>IF(C1494="","",IFERROR(INDEX(sup_name,MATCH($C1494,sup_code,0))&amp;"","Fournisseur inconnu"))</f>
        <v/>
      </c>
      <c r="E1494" s="63" t="n"/>
      <c r="F1494" s="66" t="str">
        <f>IF(E1494="","",IFERROR(INDEX(art_des,MATCH($E1494,art_ref,0))&amp;"","Article inconnu"))</f>
        <v/>
      </c>
      <c r="G1494" s="67" t="str">
        <f>IF(E1494="","",IFERROR(INDEX(art_unit,MATCH($E1494,art_ref,0))&amp;"",""))</f>
        <v/>
      </c>
      <c r="H1494" s="68" t="n"/>
      <c r="I1494" s="69" t="n"/>
      <c r="J1494" s="70" t="str">
        <f>IF(E1494="","",IF(ISNUMBER(I1494),I1494,IFERROR(IF(ISNUMBER(INDEX(art_price,MATCH($E1494,art_ref,0))),INDEX(art_price,MATCH($E1494,art_ref,0)),""),"")))</f>
        <v/>
      </c>
      <c r="K1494" s="71" t="n"/>
      <c r="L1494" s="72" t="n"/>
      <c r="M1494" s="72" t="str">
        <f>IF(E1494="","",IF(L1494&lt;&gt;"",L1494,IFERROR(IF(ISNUMBER(INDEX(art_tva,MATCH($E1494,art_ref,0))),INDEX(art_tva,MATCH($E1494,art_ref,0)),""),"")))</f>
        <v/>
      </c>
      <c r="N1494" s="70" t="str">
        <f>IF(OR(E1494="",J1494=""),"",ROUND(N(H1494)*J1494*(1-N(K1494)),2))</f>
        <v/>
      </c>
      <c r="O1494" s="70" t="str">
        <f>IF(OR(N1494="",NOT(ISNUMBER(M1494))),"",ROUND(N1494*M1494,2))</f>
        <v/>
      </c>
      <c r="P1494" s="70" t="str">
        <f>IF(N1494="","",N1494+N(O1494))</f>
        <v/>
      </c>
      <c r="Q1494" s="64" t="n"/>
      <c r="R1494" s="73" t="str">
        <f>IF(N(Q1494)&gt;0,Q1494,IF(OR(N(B1494)=0,ISNA(MATCH($C1494,sup_code,0))),"",IF(ISNUMBER(INDEX(sup_delay,MATCH($C1494,sup_code,0))),B1494+INDEX(sup_delay,MATCH($C1494,sup_code,0)),"")))</f>
        <v/>
      </c>
      <c r="S1494" s="64" t="n"/>
      <c r="T1494" s="68" t="n"/>
      <c r="U1494" s="64" t="n"/>
      <c r="V1494" s="65" t="n"/>
      <c r="W1494" s="74" t="str">
        <f>IF(AND(A1494="",E1494=""),"",IF(V1494="Oui",0,MAX(0,ROUND(N(H1494)-N(T1494),6))))</f>
        <v/>
      </c>
      <c r="X1494" s="67" t="str">
        <f>IF(AND(A1494="",E1494=""),"",IF(V1494="Oui","Annulé",IF(AND(N(H1494)&gt;0,N(T1494)&gt;=N(H1494)),"Reçu",IF(N(S1494)=0,"Brouillon",IF(AND(ISNUMBER(R1494),R1494&lt;p_today),"En retard",IF(N(T1494)&gt;0,"Partiel","Envoyé"))))))</f>
        <v/>
      </c>
      <c r="Y1494" s="75" t="str">
        <f>IF(X1494="En retard",p_today-R1494,IF(AND(X1494="Reçu",ISNUMBER(R1494)),MAX(0,N(U1494)-R1494),""))</f>
        <v/>
      </c>
      <c r="Z1494" s="67" t="str">
        <f>IF(AND(A1494="",E1494=""),"",IF(A1494="","N° de bon manquant",IF(N(B1494)=0,"Date de commande manquante",IF(C1494="","Fournisseur manquant",IF(ISNA(MATCH($C1494,sup_code,0)),"Fournisseur inconnu",IF(E1494="","Article manquant",IF(ISNA(MATCH($E1494,art_ref,0)),"Article inconnu",IF(N(H1494)&lt;=0,"Quantité invalide",IF(J1494="","Prix manquant",IF(OR(N(K1494)&lt;0,N(K1494)&gt;=1),"Remise invalide",IF(M1494="","TVA manquante",IF(ISNA(MATCH(M1494,p_tva,0)),"Taux de TVA inconnu",IF(COUNTIFS(po_num,A1494,po_sup,"&lt;&gt;"&amp;C1494)&gt;0,"Fournisseur différent sur ce bon",IF(COUNTIFS(po_num,A1494,po_date,"&lt;&gt;"&amp;B1494)&gt;0,"Date différente sur ce bon",IF(COUNTIF(po_num,A1494)&gt;25,"Plus de 25 lignes sur ce bon",IF(R1494="","Date de livraison manquante",IF(R1494&lt;B1494,"Livraison avant la commande",IF(AND(N(T1494)&gt;0,N(S1494)=0),"Date d'envoi manquante",IF(N(T1494)&gt;N(H1494),"Reçu plus que commandé",IF(AND(N(T1494)&gt;0,N(U1494)=0),"Date de réception manquante",IF(AND(N(U1494)&gt;0,U1494&lt;B1494),"Réception avant la commande","OK")))))))))))))))))))))</f>
        <v/>
      </c>
      <c r="AA1494" s="66" t="str">
        <f>IF(AND(X1494="Reçu",ISNUMBER(R1494)),IF(N(U1494)&lt;=R1494,1,0),"")</f>
        <v/>
      </c>
      <c r="AB1494" s="76" t="str">
        <f>IF(OR(X1494="Envoyé",X1494="Partiel",X1494="En retard"),IF(ISNUMBER(R1494),R1494,100000)+ROW()/100000,"")</f>
        <v/>
      </c>
      <c r="AC1494" s="66" t="str">
        <f>IF(A1494="","",IF(COUNTIF($A$6:A1494,A1494)=1,1,""))</f>
        <v/>
      </c>
      <c r="AD1494" s="66" t="str">
        <f>IF(AC1494=1,COUNT($AC$6:AC1494),"")</f>
        <v/>
      </c>
      <c r="AE1494" s="66" t="str">
        <f>IFERROR(INDEX(po_num,MATCH(1489,po_seq,0))&amp;"","")</f>
        <v/>
      </c>
      <c r="AF1494" s="66" t="str">
        <f>IF(OR(A1494="",p_po=""),"",IF(A1494&amp;""=p_po,COUNTIF($A$6:A1494,A1494),""))</f>
        <v/>
      </c>
      <c r="AG1494" s="66" t="str">
        <f>IF(OR(AB1494="",A1494=""),"",IF(COUNTIFS($A$6:A1494,A1494,$AB$6:AB1494,"&gt;0")=1,1,""))</f>
        <v/>
      </c>
      <c r="AH1494" s="70" t="str">
        <f>IF(AB1494="","",ROUND(N(W1494)*N(J1494)*(1-N(K1494)),2))</f>
        <v/>
      </c>
      <c r="AI1494" s="70" t="str">
        <f>IF(OR(J1494="",N(T1494)&lt;=0,V1494="Oui"),"",ROUND(N(T1494)*J1494*(1-N(K1494)),2))</f>
        <v/>
      </c>
    </row>
    <row r="1495">
      <c r="A1495" s="63" t="n"/>
      <c r="B1495" s="64" t="n"/>
      <c r="C1495" s="65" t="n"/>
      <c r="D1495" s="66" t="str">
        <f>IF(C1495="","",IFERROR(INDEX(sup_name,MATCH($C1495,sup_code,0))&amp;"","Fournisseur inconnu"))</f>
        <v/>
      </c>
      <c r="E1495" s="63" t="n"/>
      <c r="F1495" s="66" t="str">
        <f>IF(E1495="","",IFERROR(INDEX(art_des,MATCH($E1495,art_ref,0))&amp;"","Article inconnu"))</f>
        <v/>
      </c>
      <c r="G1495" s="67" t="str">
        <f>IF(E1495="","",IFERROR(INDEX(art_unit,MATCH($E1495,art_ref,0))&amp;"",""))</f>
        <v/>
      </c>
      <c r="H1495" s="68" t="n"/>
      <c r="I1495" s="69" t="n"/>
      <c r="J1495" s="70" t="str">
        <f>IF(E1495="","",IF(ISNUMBER(I1495),I1495,IFERROR(IF(ISNUMBER(INDEX(art_price,MATCH($E1495,art_ref,0))),INDEX(art_price,MATCH($E1495,art_ref,0)),""),"")))</f>
        <v/>
      </c>
      <c r="K1495" s="71" t="n"/>
      <c r="L1495" s="72" t="n"/>
      <c r="M1495" s="72" t="str">
        <f>IF(E1495="","",IF(L1495&lt;&gt;"",L1495,IFERROR(IF(ISNUMBER(INDEX(art_tva,MATCH($E1495,art_ref,0))),INDEX(art_tva,MATCH($E1495,art_ref,0)),""),"")))</f>
        <v/>
      </c>
      <c r="N1495" s="70" t="str">
        <f>IF(OR(E1495="",J1495=""),"",ROUND(N(H1495)*J1495*(1-N(K1495)),2))</f>
        <v/>
      </c>
      <c r="O1495" s="70" t="str">
        <f>IF(OR(N1495="",NOT(ISNUMBER(M1495))),"",ROUND(N1495*M1495,2))</f>
        <v/>
      </c>
      <c r="P1495" s="70" t="str">
        <f>IF(N1495="","",N1495+N(O1495))</f>
        <v/>
      </c>
      <c r="Q1495" s="64" t="n"/>
      <c r="R1495" s="73" t="str">
        <f>IF(N(Q1495)&gt;0,Q1495,IF(OR(N(B1495)=0,ISNA(MATCH($C1495,sup_code,0))),"",IF(ISNUMBER(INDEX(sup_delay,MATCH($C1495,sup_code,0))),B1495+INDEX(sup_delay,MATCH($C1495,sup_code,0)),"")))</f>
        <v/>
      </c>
      <c r="S1495" s="64" t="n"/>
      <c r="T1495" s="68" t="n"/>
      <c r="U1495" s="64" t="n"/>
      <c r="V1495" s="65" t="n"/>
      <c r="W1495" s="74" t="str">
        <f>IF(AND(A1495="",E1495=""),"",IF(V1495="Oui",0,MAX(0,ROUND(N(H1495)-N(T1495),6))))</f>
        <v/>
      </c>
      <c r="X1495" s="67" t="str">
        <f>IF(AND(A1495="",E1495=""),"",IF(V1495="Oui","Annulé",IF(AND(N(H1495)&gt;0,N(T1495)&gt;=N(H1495)),"Reçu",IF(N(S1495)=0,"Brouillon",IF(AND(ISNUMBER(R1495),R1495&lt;p_today),"En retard",IF(N(T1495)&gt;0,"Partiel","Envoyé"))))))</f>
        <v/>
      </c>
      <c r="Y1495" s="75" t="str">
        <f>IF(X1495="En retard",p_today-R1495,IF(AND(X1495="Reçu",ISNUMBER(R1495)),MAX(0,N(U1495)-R1495),""))</f>
        <v/>
      </c>
      <c r="Z1495" s="67" t="str">
        <f>IF(AND(A1495="",E1495=""),"",IF(A1495="","N° de bon manquant",IF(N(B1495)=0,"Date de commande manquante",IF(C1495="","Fournisseur manquant",IF(ISNA(MATCH($C1495,sup_code,0)),"Fournisseur inconnu",IF(E1495="","Article manquant",IF(ISNA(MATCH($E1495,art_ref,0)),"Article inconnu",IF(N(H1495)&lt;=0,"Quantité invalide",IF(J1495="","Prix manquant",IF(OR(N(K1495)&lt;0,N(K1495)&gt;=1),"Remise invalide",IF(M1495="","TVA manquante",IF(ISNA(MATCH(M1495,p_tva,0)),"Taux de TVA inconnu",IF(COUNTIFS(po_num,A1495,po_sup,"&lt;&gt;"&amp;C1495)&gt;0,"Fournisseur différent sur ce bon",IF(COUNTIFS(po_num,A1495,po_date,"&lt;&gt;"&amp;B1495)&gt;0,"Date différente sur ce bon",IF(COUNTIF(po_num,A1495)&gt;25,"Plus de 25 lignes sur ce bon",IF(R1495="","Date de livraison manquante",IF(R1495&lt;B1495,"Livraison avant la commande",IF(AND(N(T1495)&gt;0,N(S1495)=0),"Date d'envoi manquante",IF(N(T1495)&gt;N(H1495),"Reçu plus que commandé",IF(AND(N(T1495)&gt;0,N(U1495)=0),"Date de réception manquante",IF(AND(N(U1495)&gt;0,U1495&lt;B1495),"Réception avant la commande","OK")))))))))))))))))))))</f>
        <v/>
      </c>
      <c r="AA1495" s="66" t="str">
        <f>IF(AND(X1495="Reçu",ISNUMBER(R1495)),IF(N(U1495)&lt;=R1495,1,0),"")</f>
        <v/>
      </c>
      <c r="AB1495" s="76" t="str">
        <f>IF(OR(X1495="Envoyé",X1495="Partiel",X1495="En retard"),IF(ISNUMBER(R1495),R1495,100000)+ROW()/100000,"")</f>
        <v/>
      </c>
      <c r="AC1495" s="66" t="str">
        <f>IF(A1495="","",IF(COUNTIF($A$6:A1495,A1495)=1,1,""))</f>
        <v/>
      </c>
      <c r="AD1495" s="66" t="str">
        <f>IF(AC1495=1,COUNT($AC$6:AC1495),"")</f>
        <v/>
      </c>
      <c r="AE1495" s="66" t="str">
        <f>IFERROR(INDEX(po_num,MATCH(1490,po_seq,0))&amp;"","")</f>
        <v/>
      </c>
      <c r="AF1495" s="66" t="str">
        <f>IF(OR(A1495="",p_po=""),"",IF(A1495&amp;""=p_po,COUNTIF($A$6:A1495,A1495),""))</f>
        <v/>
      </c>
      <c r="AG1495" s="66" t="str">
        <f>IF(OR(AB1495="",A1495=""),"",IF(COUNTIFS($A$6:A1495,A1495,$AB$6:AB1495,"&gt;0")=1,1,""))</f>
        <v/>
      </c>
      <c r="AH1495" s="70" t="str">
        <f>IF(AB1495="","",ROUND(N(W1495)*N(J1495)*(1-N(K1495)),2))</f>
        <v/>
      </c>
      <c r="AI1495" s="70" t="str">
        <f>IF(OR(J1495="",N(T1495)&lt;=0,V1495="Oui"),"",ROUND(N(T1495)*J1495*(1-N(K1495)),2))</f>
        <v/>
      </c>
    </row>
    <row r="1496">
      <c r="A1496" s="63" t="n"/>
      <c r="B1496" s="64" t="n"/>
      <c r="C1496" s="65" t="n"/>
      <c r="D1496" s="66" t="str">
        <f>IF(C1496="","",IFERROR(INDEX(sup_name,MATCH($C1496,sup_code,0))&amp;"","Fournisseur inconnu"))</f>
        <v/>
      </c>
      <c r="E1496" s="63" t="n"/>
      <c r="F1496" s="66" t="str">
        <f>IF(E1496="","",IFERROR(INDEX(art_des,MATCH($E1496,art_ref,0))&amp;"","Article inconnu"))</f>
        <v/>
      </c>
      <c r="G1496" s="67" t="str">
        <f>IF(E1496="","",IFERROR(INDEX(art_unit,MATCH($E1496,art_ref,0))&amp;"",""))</f>
        <v/>
      </c>
      <c r="H1496" s="68" t="n"/>
      <c r="I1496" s="69" t="n"/>
      <c r="J1496" s="70" t="str">
        <f>IF(E1496="","",IF(ISNUMBER(I1496),I1496,IFERROR(IF(ISNUMBER(INDEX(art_price,MATCH($E1496,art_ref,0))),INDEX(art_price,MATCH($E1496,art_ref,0)),""),"")))</f>
        <v/>
      </c>
      <c r="K1496" s="71" t="n"/>
      <c r="L1496" s="72" t="n"/>
      <c r="M1496" s="72" t="str">
        <f>IF(E1496="","",IF(L1496&lt;&gt;"",L1496,IFERROR(IF(ISNUMBER(INDEX(art_tva,MATCH($E1496,art_ref,0))),INDEX(art_tva,MATCH($E1496,art_ref,0)),""),"")))</f>
        <v/>
      </c>
      <c r="N1496" s="70" t="str">
        <f>IF(OR(E1496="",J1496=""),"",ROUND(N(H1496)*J1496*(1-N(K1496)),2))</f>
        <v/>
      </c>
      <c r="O1496" s="70" t="str">
        <f>IF(OR(N1496="",NOT(ISNUMBER(M1496))),"",ROUND(N1496*M1496,2))</f>
        <v/>
      </c>
      <c r="P1496" s="70" t="str">
        <f>IF(N1496="","",N1496+N(O1496))</f>
        <v/>
      </c>
      <c r="Q1496" s="64" t="n"/>
      <c r="R1496" s="73" t="str">
        <f>IF(N(Q1496)&gt;0,Q1496,IF(OR(N(B1496)=0,ISNA(MATCH($C1496,sup_code,0))),"",IF(ISNUMBER(INDEX(sup_delay,MATCH($C1496,sup_code,0))),B1496+INDEX(sup_delay,MATCH($C1496,sup_code,0)),"")))</f>
        <v/>
      </c>
      <c r="S1496" s="64" t="n"/>
      <c r="T1496" s="68" t="n"/>
      <c r="U1496" s="64" t="n"/>
      <c r="V1496" s="65" t="n"/>
      <c r="W1496" s="74" t="str">
        <f>IF(AND(A1496="",E1496=""),"",IF(V1496="Oui",0,MAX(0,ROUND(N(H1496)-N(T1496),6))))</f>
        <v/>
      </c>
      <c r="X1496" s="67" t="str">
        <f>IF(AND(A1496="",E1496=""),"",IF(V1496="Oui","Annulé",IF(AND(N(H1496)&gt;0,N(T1496)&gt;=N(H1496)),"Reçu",IF(N(S1496)=0,"Brouillon",IF(AND(ISNUMBER(R1496),R1496&lt;p_today),"En retard",IF(N(T1496)&gt;0,"Partiel","Envoyé"))))))</f>
        <v/>
      </c>
      <c r="Y1496" s="75" t="str">
        <f>IF(X1496="En retard",p_today-R1496,IF(AND(X1496="Reçu",ISNUMBER(R1496)),MAX(0,N(U1496)-R1496),""))</f>
        <v/>
      </c>
      <c r="Z1496" s="67" t="str">
        <f>IF(AND(A1496="",E1496=""),"",IF(A1496="","N° de bon manquant",IF(N(B1496)=0,"Date de commande manquante",IF(C1496="","Fournisseur manquant",IF(ISNA(MATCH($C1496,sup_code,0)),"Fournisseur inconnu",IF(E1496="","Article manquant",IF(ISNA(MATCH($E1496,art_ref,0)),"Article inconnu",IF(N(H1496)&lt;=0,"Quantité invalide",IF(J1496="","Prix manquant",IF(OR(N(K1496)&lt;0,N(K1496)&gt;=1),"Remise invalide",IF(M1496="","TVA manquante",IF(ISNA(MATCH(M1496,p_tva,0)),"Taux de TVA inconnu",IF(COUNTIFS(po_num,A1496,po_sup,"&lt;&gt;"&amp;C1496)&gt;0,"Fournisseur différent sur ce bon",IF(COUNTIFS(po_num,A1496,po_date,"&lt;&gt;"&amp;B1496)&gt;0,"Date différente sur ce bon",IF(COUNTIF(po_num,A1496)&gt;25,"Plus de 25 lignes sur ce bon",IF(R1496="","Date de livraison manquante",IF(R1496&lt;B1496,"Livraison avant la commande",IF(AND(N(T1496)&gt;0,N(S1496)=0),"Date d'envoi manquante",IF(N(T1496)&gt;N(H1496),"Reçu plus que commandé",IF(AND(N(T1496)&gt;0,N(U1496)=0),"Date de réception manquante",IF(AND(N(U1496)&gt;0,U1496&lt;B1496),"Réception avant la commande","OK")))))))))))))))))))))</f>
        <v/>
      </c>
      <c r="AA1496" s="66" t="str">
        <f>IF(AND(X1496="Reçu",ISNUMBER(R1496)),IF(N(U1496)&lt;=R1496,1,0),"")</f>
        <v/>
      </c>
      <c r="AB1496" s="76" t="str">
        <f>IF(OR(X1496="Envoyé",X1496="Partiel",X1496="En retard"),IF(ISNUMBER(R1496),R1496,100000)+ROW()/100000,"")</f>
        <v/>
      </c>
      <c r="AC1496" s="66" t="str">
        <f>IF(A1496="","",IF(COUNTIF($A$6:A1496,A1496)=1,1,""))</f>
        <v/>
      </c>
      <c r="AD1496" s="66" t="str">
        <f>IF(AC1496=1,COUNT($AC$6:AC1496),"")</f>
        <v/>
      </c>
      <c r="AE1496" s="66" t="str">
        <f>IFERROR(INDEX(po_num,MATCH(1491,po_seq,0))&amp;"","")</f>
        <v/>
      </c>
      <c r="AF1496" s="66" t="str">
        <f>IF(OR(A1496="",p_po=""),"",IF(A1496&amp;""=p_po,COUNTIF($A$6:A1496,A1496),""))</f>
        <v/>
      </c>
      <c r="AG1496" s="66" t="str">
        <f>IF(OR(AB1496="",A1496=""),"",IF(COUNTIFS($A$6:A1496,A1496,$AB$6:AB1496,"&gt;0")=1,1,""))</f>
        <v/>
      </c>
      <c r="AH1496" s="70" t="str">
        <f>IF(AB1496="","",ROUND(N(W1496)*N(J1496)*(1-N(K1496)),2))</f>
        <v/>
      </c>
      <c r="AI1496" s="70" t="str">
        <f>IF(OR(J1496="",N(T1496)&lt;=0,V1496="Oui"),"",ROUND(N(T1496)*J1496*(1-N(K1496)),2))</f>
        <v/>
      </c>
    </row>
    <row r="1497">
      <c r="A1497" s="63" t="n"/>
      <c r="B1497" s="64" t="n"/>
      <c r="C1497" s="65" t="n"/>
      <c r="D1497" s="66" t="str">
        <f>IF(C1497="","",IFERROR(INDEX(sup_name,MATCH($C1497,sup_code,0))&amp;"","Fournisseur inconnu"))</f>
        <v/>
      </c>
      <c r="E1497" s="63" t="n"/>
      <c r="F1497" s="66" t="str">
        <f>IF(E1497="","",IFERROR(INDEX(art_des,MATCH($E1497,art_ref,0))&amp;"","Article inconnu"))</f>
        <v/>
      </c>
      <c r="G1497" s="67" t="str">
        <f>IF(E1497="","",IFERROR(INDEX(art_unit,MATCH($E1497,art_ref,0))&amp;"",""))</f>
        <v/>
      </c>
      <c r="H1497" s="68" t="n"/>
      <c r="I1497" s="69" t="n"/>
      <c r="J1497" s="70" t="str">
        <f>IF(E1497="","",IF(ISNUMBER(I1497),I1497,IFERROR(IF(ISNUMBER(INDEX(art_price,MATCH($E1497,art_ref,0))),INDEX(art_price,MATCH($E1497,art_ref,0)),""),"")))</f>
        <v/>
      </c>
      <c r="K1497" s="71" t="n"/>
      <c r="L1497" s="72" t="n"/>
      <c r="M1497" s="72" t="str">
        <f>IF(E1497="","",IF(L1497&lt;&gt;"",L1497,IFERROR(IF(ISNUMBER(INDEX(art_tva,MATCH($E1497,art_ref,0))),INDEX(art_tva,MATCH($E1497,art_ref,0)),""),"")))</f>
        <v/>
      </c>
      <c r="N1497" s="70" t="str">
        <f>IF(OR(E1497="",J1497=""),"",ROUND(N(H1497)*J1497*(1-N(K1497)),2))</f>
        <v/>
      </c>
      <c r="O1497" s="70" t="str">
        <f>IF(OR(N1497="",NOT(ISNUMBER(M1497))),"",ROUND(N1497*M1497,2))</f>
        <v/>
      </c>
      <c r="P1497" s="70" t="str">
        <f>IF(N1497="","",N1497+N(O1497))</f>
        <v/>
      </c>
      <c r="Q1497" s="64" t="n"/>
      <c r="R1497" s="73" t="str">
        <f>IF(N(Q1497)&gt;0,Q1497,IF(OR(N(B1497)=0,ISNA(MATCH($C1497,sup_code,0))),"",IF(ISNUMBER(INDEX(sup_delay,MATCH($C1497,sup_code,0))),B1497+INDEX(sup_delay,MATCH($C1497,sup_code,0)),"")))</f>
        <v/>
      </c>
      <c r="S1497" s="64" t="n"/>
      <c r="T1497" s="68" t="n"/>
      <c r="U1497" s="64" t="n"/>
      <c r="V1497" s="65" t="n"/>
      <c r="W1497" s="74" t="str">
        <f>IF(AND(A1497="",E1497=""),"",IF(V1497="Oui",0,MAX(0,ROUND(N(H1497)-N(T1497),6))))</f>
        <v/>
      </c>
      <c r="X1497" s="67" t="str">
        <f>IF(AND(A1497="",E1497=""),"",IF(V1497="Oui","Annulé",IF(AND(N(H1497)&gt;0,N(T1497)&gt;=N(H1497)),"Reçu",IF(N(S1497)=0,"Brouillon",IF(AND(ISNUMBER(R1497),R1497&lt;p_today),"En retard",IF(N(T1497)&gt;0,"Partiel","Envoyé"))))))</f>
        <v/>
      </c>
      <c r="Y1497" s="75" t="str">
        <f>IF(X1497="En retard",p_today-R1497,IF(AND(X1497="Reçu",ISNUMBER(R1497)),MAX(0,N(U1497)-R1497),""))</f>
        <v/>
      </c>
      <c r="Z1497" s="67" t="str">
        <f>IF(AND(A1497="",E1497=""),"",IF(A1497="","N° de bon manquant",IF(N(B1497)=0,"Date de commande manquante",IF(C1497="","Fournisseur manquant",IF(ISNA(MATCH($C1497,sup_code,0)),"Fournisseur inconnu",IF(E1497="","Article manquant",IF(ISNA(MATCH($E1497,art_ref,0)),"Article inconnu",IF(N(H1497)&lt;=0,"Quantité invalide",IF(J1497="","Prix manquant",IF(OR(N(K1497)&lt;0,N(K1497)&gt;=1),"Remise invalide",IF(M1497="","TVA manquante",IF(ISNA(MATCH(M1497,p_tva,0)),"Taux de TVA inconnu",IF(COUNTIFS(po_num,A1497,po_sup,"&lt;&gt;"&amp;C1497)&gt;0,"Fournisseur différent sur ce bon",IF(COUNTIFS(po_num,A1497,po_date,"&lt;&gt;"&amp;B1497)&gt;0,"Date différente sur ce bon",IF(COUNTIF(po_num,A1497)&gt;25,"Plus de 25 lignes sur ce bon",IF(R1497="","Date de livraison manquante",IF(R1497&lt;B1497,"Livraison avant la commande",IF(AND(N(T1497)&gt;0,N(S1497)=0),"Date d'envoi manquante",IF(N(T1497)&gt;N(H1497),"Reçu plus que commandé",IF(AND(N(T1497)&gt;0,N(U1497)=0),"Date de réception manquante",IF(AND(N(U1497)&gt;0,U1497&lt;B1497),"Réception avant la commande","OK")))))))))))))))))))))</f>
        <v/>
      </c>
      <c r="AA1497" s="66" t="str">
        <f>IF(AND(X1497="Reçu",ISNUMBER(R1497)),IF(N(U1497)&lt;=R1497,1,0),"")</f>
        <v/>
      </c>
      <c r="AB1497" s="76" t="str">
        <f>IF(OR(X1497="Envoyé",X1497="Partiel",X1497="En retard"),IF(ISNUMBER(R1497),R1497,100000)+ROW()/100000,"")</f>
        <v/>
      </c>
      <c r="AC1497" s="66" t="str">
        <f>IF(A1497="","",IF(COUNTIF($A$6:A1497,A1497)=1,1,""))</f>
        <v/>
      </c>
      <c r="AD1497" s="66" t="str">
        <f>IF(AC1497=1,COUNT($AC$6:AC1497),"")</f>
        <v/>
      </c>
      <c r="AE1497" s="66" t="str">
        <f>IFERROR(INDEX(po_num,MATCH(1492,po_seq,0))&amp;"","")</f>
        <v/>
      </c>
      <c r="AF1497" s="66" t="str">
        <f>IF(OR(A1497="",p_po=""),"",IF(A1497&amp;""=p_po,COUNTIF($A$6:A1497,A1497),""))</f>
        <v/>
      </c>
      <c r="AG1497" s="66" t="str">
        <f>IF(OR(AB1497="",A1497=""),"",IF(COUNTIFS($A$6:A1497,A1497,$AB$6:AB1497,"&gt;0")=1,1,""))</f>
        <v/>
      </c>
      <c r="AH1497" s="70" t="str">
        <f>IF(AB1497="","",ROUND(N(W1497)*N(J1497)*(1-N(K1497)),2))</f>
        <v/>
      </c>
      <c r="AI1497" s="70" t="str">
        <f>IF(OR(J1497="",N(T1497)&lt;=0,V1497="Oui"),"",ROUND(N(T1497)*J1497*(1-N(K1497)),2))</f>
        <v/>
      </c>
    </row>
    <row r="1498">
      <c r="A1498" s="63" t="n"/>
      <c r="B1498" s="64" t="n"/>
      <c r="C1498" s="65" t="n"/>
      <c r="D1498" s="66" t="str">
        <f>IF(C1498="","",IFERROR(INDEX(sup_name,MATCH($C1498,sup_code,0))&amp;"","Fournisseur inconnu"))</f>
        <v/>
      </c>
      <c r="E1498" s="63" t="n"/>
      <c r="F1498" s="66" t="str">
        <f>IF(E1498="","",IFERROR(INDEX(art_des,MATCH($E1498,art_ref,0))&amp;"","Article inconnu"))</f>
        <v/>
      </c>
      <c r="G1498" s="67" t="str">
        <f>IF(E1498="","",IFERROR(INDEX(art_unit,MATCH($E1498,art_ref,0))&amp;"",""))</f>
        <v/>
      </c>
      <c r="H1498" s="68" t="n"/>
      <c r="I1498" s="69" t="n"/>
      <c r="J1498" s="70" t="str">
        <f>IF(E1498="","",IF(ISNUMBER(I1498),I1498,IFERROR(IF(ISNUMBER(INDEX(art_price,MATCH($E1498,art_ref,0))),INDEX(art_price,MATCH($E1498,art_ref,0)),""),"")))</f>
        <v/>
      </c>
      <c r="K1498" s="71" t="n"/>
      <c r="L1498" s="72" t="n"/>
      <c r="M1498" s="72" t="str">
        <f>IF(E1498="","",IF(L1498&lt;&gt;"",L1498,IFERROR(IF(ISNUMBER(INDEX(art_tva,MATCH($E1498,art_ref,0))),INDEX(art_tva,MATCH($E1498,art_ref,0)),""),"")))</f>
        <v/>
      </c>
      <c r="N1498" s="70" t="str">
        <f>IF(OR(E1498="",J1498=""),"",ROUND(N(H1498)*J1498*(1-N(K1498)),2))</f>
        <v/>
      </c>
      <c r="O1498" s="70" t="str">
        <f>IF(OR(N1498="",NOT(ISNUMBER(M1498))),"",ROUND(N1498*M1498,2))</f>
        <v/>
      </c>
      <c r="P1498" s="70" t="str">
        <f>IF(N1498="","",N1498+N(O1498))</f>
        <v/>
      </c>
      <c r="Q1498" s="64" t="n"/>
      <c r="R1498" s="73" t="str">
        <f>IF(N(Q1498)&gt;0,Q1498,IF(OR(N(B1498)=0,ISNA(MATCH($C1498,sup_code,0))),"",IF(ISNUMBER(INDEX(sup_delay,MATCH($C1498,sup_code,0))),B1498+INDEX(sup_delay,MATCH($C1498,sup_code,0)),"")))</f>
        <v/>
      </c>
      <c r="S1498" s="64" t="n"/>
      <c r="T1498" s="68" t="n"/>
      <c r="U1498" s="64" t="n"/>
      <c r="V1498" s="65" t="n"/>
      <c r="W1498" s="74" t="str">
        <f>IF(AND(A1498="",E1498=""),"",IF(V1498="Oui",0,MAX(0,ROUND(N(H1498)-N(T1498),6))))</f>
        <v/>
      </c>
      <c r="X1498" s="67" t="str">
        <f>IF(AND(A1498="",E1498=""),"",IF(V1498="Oui","Annulé",IF(AND(N(H1498)&gt;0,N(T1498)&gt;=N(H1498)),"Reçu",IF(N(S1498)=0,"Brouillon",IF(AND(ISNUMBER(R1498),R1498&lt;p_today),"En retard",IF(N(T1498)&gt;0,"Partiel","Envoyé"))))))</f>
        <v/>
      </c>
      <c r="Y1498" s="75" t="str">
        <f>IF(X1498="En retard",p_today-R1498,IF(AND(X1498="Reçu",ISNUMBER(R1498)),MAX(0,N(U1498)-R1498),""))</f>
        <v/>
      </c>
      <c r="Z1498" s="67" t="str">
        <f>IF(AND(A1498="",E1498=""),"",IF(A1498="","N° de bon manquant",IF(N(B1498)=0,"Date de commande manquante",IF(C1498="","Fournisseur manquant",IF(ISNA(MATCH($C1498,sup_code,0)),"Fournisseur inconnu",IF(E1498="","Article manquant",IF(ISNA(MATCH($E1498,art_ref,0)),"Article inconnu",IF(N(H1498)&lt;=0,"Quantité invalide",IF(J1498="","Prix manquant",IF(OR(N(K1498)&lt;0,N(K1498)&gt;=1),"Remise invalide",IF(M1498="","TVA manquante",IF(ISNA(MATCH(M1498,p_tva,0)),"Taux de TVA inconnu",IF(COUNTIFS(po_num,A1498,po_sup,"&lt;&gt;"&amp;C1498)&gt;0,"Fournisseur différent sur ce bon",IF(COUNTIFS(po_num,A1498,po_date,"&lt;&gt;"&amp;B1498)&gt;0,"Date différente sur ce bon",IF(COUNTIF(po_num,A1498)&gt;25,"Plus de 25 lignes sur ce bon",IF(R1498="","Date de livraison manquante",IF(R1498&lt;B1498,"Livraison avant la commande",IF(AND(N(T1498)&gt;0,N(S1498)=0),"Date d'envoi manquante",IF(N(T1498)&gt;N(H1498),"Reçu plus que commandé",IF(AND(N(T1498)&gt;0,N(U1498)=0),"Date de réception manquante",IF(AND(N(U1498)&gt;0,U1498&lt;B1498),"Réception avant la commande","OK")))))))))))))))))))))</f>
        <v/>
      </c>
      <c r="AA1498" s="66" t="str">
        <f>IF(AND(X1498="Reçu",ISNUMBER(R1498)),IF(N(U1498)&lt;=R1498,1,0),"")</f>
        <v/>
      </c>
      <c r="AB1498" s="76" t="str">
        <f>IF(OR(X1498="Envoyé",X1498="Partiel",X1498="En retard"),IF(ISNUMBER(R1498),R1498,100000)+ROW()/100000,"")</f>
        <v/>
      </c>
      <c r="AC1498" s="66" t="str">
        <f>IF(A1498="","",IF(COUNTIF($A$6:A1498,A1498)=1,1,""))</f>
        <v/>
      </c>
      <c r="AD1498" s="66" t="str">
        <f>IF(AC1498=1,COUNT($AC$6:AC1498),"")</f>
        <v/>
      </c>
      <c r="AE1498" s="66" t="str">
        <f>IFERROR(INDEX(po_num,MATCH(1493,po_seq,0))&amp;"","")</f>
        <v/>
      </c>
      <c r="AF1498" s="66" t="str">
        <f>IF(OR(A1498="",p_po=""),"",IF(A1498&amp;""=p_po,COUNTIF($A$6:A1498,A1498),""))</f>
        <v/>
      </c>
      <c r="AG1498" s="66" t="str">
        <f>IF(OR(AB1498="",A1498=""),"",IF(COUNTIFS($A$6:A1498,A1498,$AB$6:AB1498,"&gt;0")=1,1,""))</f>
        <v/>
      </c>
      <c r="AH1498" s="70" t="str">
        <f>IF(AB1498="","",ROUND(N(W1498)*N(J1498)*(1-N(K1498)),2))</f>
        <v/>
      </c>
      <c r="AI1498" s="70" t="str">
        <f>IF(OR(J1498="",N(T1498)&lt;=0,V1498="Oui"),"",ROUND(N(T1498)*J1498*(1-N(K1498)),2))</f>
        <v/>
      </c>
    </row>
    <row r="1499">
      <c r="A1499" s="63" t="n"/>
      <c r="B1499" s="64" t="n"/>
      <c r="C1499" s="65" t="n"/>
      <c r="D1499" s="66" t="str">
        <f>IF(C1499="","",IFERROR(INDEX(sup_name,MATCH($C1499,sup_code,0))&amp;"","Fournisseur inconnu"))</f>
        <v/>
      </c>
      <c r="E1499" s="63" t="n"/>
      <c r="F1499" s="66" t="str">
        <f>IF(E1499="","",IFERROR(INDEX(art_des,MATCH($E1499,art_ref,0))&amp;"","Article inconnu"))</f>
        <v/>
      </c>
      <c r="G1499" s="67" t="str">
        <f>IF(E1499="","",IFERROR(INDEX(art_unit,MATCH($E1499,art_ref,0))&amp;"",""))</f>
        <v/>
      </c>
      <c r="H1499" s="68" t="n"/>
      <c r="I1499" s="69" t="n"/>
      <c r="J1499" s="70" t="str">
        <f>IF(E1499="","",IF(ISNUMBER(I1499),I1499,IFERROR(IF(ISNUMBER(INDEX(art_price,MATCH($E1499,art_ref,0))),INDEX(art_price,MATCH($E1499,art_ref,0)),""),"")))</f>
        <v/>
      </c>
      <c r="K1499" s="71" t="n"/>
      <c r="L1499" s="72" t="n"/>
      <c r="M1499" s="72" t="str">
        <f>IF(E1499="","",IF(L1499&lt;&gt;"",L1499,IFERROR(IF(ISNUMBER(INDEX(art_tva,MATCH($E1499,art_ref,0))),INDEX(art_tva,MATCH($E1499,art_ref,0)),""),"")))</f>
        <v/>
      </c>
      <c r="N1499" s="70" t="str">
        <f>IF(OR(E1499="",J1499=""),"",ROUND(N(H1499)*J1499*(1-N(K1499)),2))</f>
        <v/>
      </c>
      <c r="O1499" s="70" t="str">
        <f>IF(OR(N1499="",NOT(ISNUMBER(M1499))),"",ROUND(N1499*M1499,2))</f>
        <v/>
      </c>
      <c r="P1499" s="70" t="str">
        <f>IF(N1499="","",N1499+N(O1499))</f>
        <v/>
      </c>
      <c r="Q1499" s="64" t="n"/>
      <c r="R1499" s="73" t="str">
        <f>IF(N(Q1499)&gt;0,Q1499,IF(OR(N(B1499)=0,ISNA(MATCH($C1499,sup_code,0))),"",IF(ISNUMBER(INDEX(sup_delay,MATCH($C1499,sup_code,0))),B1499+INDEX(sup_delay,MATCH($C1499,sup_code,0)),"")))</f>
        <v/>
      </c>
      <c r="S1499" s="64" t="n"/>
      <c r="T1499" s="68" t="n"/>
      <c r="U1499" s="64" t="n"/>
      <c r="V1499" s="65" t="n"/>
      <c r="W1499" s="74" t="str">
        <f>IF(AND(A1499="",E1499=""),"",IF(V1499="Oui",0,MAX(0,ROUND(N(H1499)-N(T1499),6))))</f>
        <v/>
      </c>
      <c r="X1499" s="67" t="str">
        <f>IF(AND(A1499="",E1499=""),"",IF(V1499="Oui","Annulé",IF(AND(N(H1499)&gt;0,N(T1499)&gt;=N(H1499)),"Reçu",IF(N(S1499)=0,"Brouillon",IF(AND(ISNUMBER(R1499),R1499&lt;p_today),"En retard",IF(N(T1499)&gt;0,"Partiel","Envoyé"))))))</f>
        <v/>
      </c>
      <c r="Y1499" s="75" t="str">
        <f>IF(X1499="En retard",p_today-R1499,IF(AND(X1499="Reçu",ISNUMBER(R1499)),MAX(0,N(U1499)-R1499),""))</f>
        <v/>
      </c>
      <c r="Z1499" s="67" t="str">
        <f>IF(AND(A1499="",E1499=""),"",IF(A1499="","N° de bon manquant",IF(N(B1499)=0,"Date de commande manquante",IF(C1499="","Fournisseur manquant",IF(ISNA(MATCH($C1499,sup_code,0)),"Fournisseur inconnu",IF(E1499="","Article manquant",IF(ISNA(MATCH($E1499,art_ref,0)),"Article inconnu",IF(N(H1499)&lt;=0,"Quantité invalide",IF(J1499="","Prix manquant",IF(OR(N(K1499)&lt;0,N(K1499)&gt;=1),"Remise invalide",IF(M1499="","TVA manquante",IF(ISNA(MATCH(M1499,p_tva,0)),"Taux de TVA inconnu",IF(COUNTIFS(po_num,A1499,po_sup,"&lt;&gt;"&amp;C1499)&gt;0,"Fournisseur différent sur ce bon",IF(COUNTIFS(po_num,A1499,po_date,"&lt;&gt;"&amp;B1499)&gt;0,"Date différente sur ce bon",IF(COUNTIF(po_num,A1499)&gt;25,"Plus de 25 lignes sur ce bon",IF(R1499="","Date de livraison manquante",IF(R1499&lt;B1499,"Livraison avant la commande",IF(AND(N(T1499)&gt;0,N(S1499)=0),"Date d'envoi manquante",IF(N(T1499)&gt;N(H1499),"Reçu plus que commandé",IF(AND(N(T1499)&gt;0,N(U1499)=0),"Date de réception manquante",IF(AND(N(U1499)&gt;0,U1499&lt;B1499),"Réception avant la commande","OK")))))))))))))))))))))</f>
        <v/>
      </c>
      <c r="AA1499" s="66" t="str">
        <f>IF(AND(X1499="Reçu",ISNUMBER(R1499)),IF(N(U1499)&lt;=R1499,1,0),"")</f>
        <v/>
      </c>
      <c r="AB1499" s="76" t="str">
        <f>IF(OR(X1499="Envoyé",X1499="Partiel",X1499="En retard"),IF(ISNUMBER(R1499),R1499,100000)+ROW()/100000,"")</f>
        <v/>
      </c>
      <c r="AC1499" s="66" t="str">
        <f>IF(A1499="","",IF(COUNTIF($A$6:A1499,A1499)=1,1,""))</f>
        <v/>
      </c>
      <c r="AD1499" s="66" t="str">
        <f>IF(AC1499=1,COUNT($AC$6:AC1499),"")</f>
        <v/>
      </c>
      <c r="AE1499" s="66" t="str">
        <f>IFERROR(INDEX(po_num,MATCH(1494,po_seq,0))&amp;"","")</f>
        <v/>
      </c>
      <c r="AF1499" s="66" t="str">
        <f>IF(OR(A1499="",p_po=""),"",IF(A1499&amp;""=p_po,COUNTIF($A$6:A1499,A1499),""))</f>
        <v/>
      </c>
      <c r="AG1499" s="66" t="str">
        <f>IF(OR(AB1499="",A1499=""),"",IF(COUNTIFS($A$6:A1499,A1499,$AB$6:AB1499,"&gt;0")=1,1,""))</f>
        <v/>
      </c>
      <c r="AH1499" s="70" t="str">
        <f>IF(AB1499="","",ROUND(N(W1499)*N(J1499)*(1-N(K1499)),2))</f>
        <v/>
      </c>
      <c r="AI1499" s="70" t="str">
        <f>IF(OR(J1499="",N(T1499)&lt;=0,V1499="Oui"),"",ROUND(N(T1499)*J1499*(1-N(K1499)),2))</f>
        <v/>
      </c>
    </row>
    <row r="1500">
      <c r="A1500" s="63" t="n"/>
      <c r="B1500" s="64" t="n"/>
      <c r="C1500" s="65" t="n"/>
      <c r="D1500" s="66" t="str">
        <f>IF(C1500="","",IFERROR(INDEX(sup_name,MATCH($C1500,sup_code,0))&amp;"","Fournisseur inconnu"))</f>
        <v/>
      </c>
      <c r="E1500" s="63" t="n"/>
      <c r="F1500" s="66" t="str">
        <f>IF(E1500="","",IFERROR(INDEX(art_des,MATCH($E1500,art_ref,0))&amp;"","Article inconnu"))</f>
        <v/>
      </c>
      <c r="G1500" s="67" t="str">
        <f>IF(E1500="","",IFERROR(INDEX(art_unit,MATCH($E1500,art_ref,0))&amp;"",""))</f>
        <v/>
      </c>
      <c r="H1500" s="68" t="n"/>
      <c r="I1500" s="69" t="n"/>
      <c r="J1500" s="70" t="str">
        <f>IF(E1500="","",IF(ISNUMBER(I1500),I1500,IFERROR(IF(ISNUMBER(INDEX(art_price,MATCH($E1500,art_ref,0))),INDEX(art_price,MATCH($E1500,art_ref,0)),""),"")))</f>
        <v/>
      </c>
      <c r="K1500" s="71" t="n"/>
      <c r="L1500" s="72" t="n"/>
      <c r="M1500" s="72" t="str">
        <f>IF(E1500="","",IF(L1500&lt;&gt;"",L1500,IFERROR(IF(ISNUMBER(INDEX(art_tva,MATCH($E1500,art_ref,0))),INDEX(art_tva,MATCH($E1500,art_ref,0)),""),"")))</f>
        <v/>
      </c>
      <c r="N1500" s="70" t="str">
        <f>IF(OR(E1500="",J1500=""),"",ROUND(N(H1500)*J1500*(1-N(K1500)),2))</f>
        <v/>
      </c>
      <c r="O1500" s="70" t="str">
        <f>IF(OR(N1500="",NOT(ISNUMBER(M1500))),"",ROUND(N1500*M1500,2))</f>
        <v/>
      </c>
      <c r="P1500" s="70" t="str">
        <f>IF(N1500="","",N1500+N(O1500))</f>
        <v/>
      </c>
      <c r="Q1500" s="64" t="n"/>
      <c r="R1500" s="73" t="str">
        <f>IF(N(Q1500)&gt;0,Q1500,IF(OR(N(B1500)=0,ISNA(MATCH($C1500,sup_code,0))),"",IF(ISNUMBER(INDEX(sup_delay,MATCH($C1500,sup_code,0))),B1500+INDEX(sup_delay,MATCH($C1500,sup_code,0)),"")))</f>
        <v/>
      </c>
      <c r="S1500" s="64" t="n"/>
      <c r="T1500" s="68" t="n"/>
      <c r="U1500" s="64" t="n"/>
      <c r="V1500" s="65" t="n"/>
      <c r="W1500" s="74" t="str">
        <f>IF(AND(A1500="",E1500=""),"",IF(V1500="Oui",0,MAX(0,ROUND(N(H1500)-N(T1500),6))))</f>
        <v/>
      </c>
      <c r="X1500" s="67" t="str">
        <f>IF(AND(A1500="",E1500=""),"",IF(V1500="Oui","Annulé",IF(AND(N(H1500)&gt;0,N(T1500)&gt;=N(H1500)),"Reçu",IF(N(S1500)=0,"Brouillon",IF(AND(ISNUMBER(R1500),R1500&lt;p_today),"En retard",IF(N(T1500)&gt;0,"Partiel","Envoyé"))))))</f>
        <v/>
      </c>
      <c r="Y1500" s="75" t="str">
        <f>IF(X1500="En retard",p_today-R1500,IF(AND(X1500="Reçu",ISNUMBER(R1500)),MAX(0,N(U1500)-R1500),""))</f>
        <v/>
      </c>
      <c r="Z1500" s="67" t="str">
        <f>IF(AND(A1500="",E1500=""),"",IF(A1500="","N° de bon manquant",IF(N(B1500)=0,"Date de commande manquante",IF(C1500="","Fournisseur manquant",IF(ISNA(MATCH($C1500,sup_code,0)),"Fournisseur inconnu",IF(E1500="","Article manquant",IF(ISNA(MATCH($E1500,art_ref,0)),"Article inconnu",IF(N(H1500)&lt;=0,"Quantité invalide",IF(J1500="","Prix manquant",IF(OR(N(K1500)&lt;0,N(K1500)&gt;=1),"Remise invalide",IF(M1500="","TVA manquante",IF(ISNA(MATCH(M1500,p_tva,0)),"Taux de TVA inconnu",IF(COUNTIFS(po_num,A1500,po_sup,"&lt;&gt;"&amp;C1500)&gt;0,"Fournisseur différent sur ce bon",IF(COUNTIFS(po_num,A1500,po_date,"&lt;&gt;"&amp;B1500)&gt;0,"Date différente sur ce bon",IF(COUNTIF(po_num,A1500)&gt;25,"Plus de 25 lignes sur ce bon",IF(R1500="","Date de livraison manquante",IF(R1500&lt;B1500,"Livraison avant la commande",IF(AND(N(T1500)&gt;0,N(S1500)=0),"Date d'envoi manquante",IF(N(T1500)&gt;N(H1500),"Reçu plus que commandé",IF(AND(N(T1500)&gt;0,N(U1500)=0),"Date de réception manquante",IF(AND(N(U1500)&gt;0,U1500&lt;B1500),"Réception avant la commande","OK")))))))))))))))))))))</f>
        <v/>
      </c>
      <c r="AA1500" s="66" t="str">
        <f>IF(AND(X1500="Reçu",ISNUMBER(R1500)),IF(N(U1500)&lt;=R1500,1,0),"")</f>
        <v/>
      </c>
      <c r="AB1500" s="76" t="str">
        <f>IF(OR(X1500="Envoyé",X1500="Partiel",X1500="En retard"),IF(ISNUMBER(R1500),R1500,100000)+ROW()/100000,"")</f>
        <v/>
      </c>
      <c r="AC1500" s="66" t="str">
        <f>IF(A1500="","",IF(COUNTIF($A$6:A1500,A1500)=1,1,""))</f>
        <v/>
      </c>
      <c r="AD1500" s="66" t="str">
        <f>IF(AC1500=1,COUNT($AC$6:AC1500),"")</f>
        <v/>
      </c>
      <c r="AE1500" s="66" t="str">
        <f>IFERROR(INDEX(po_num,MATCH(1495,po_seq,0))&amp;"","")</f>
        <v/>
      </c>
      <c r="AF1500" s="66" t="str">
        <f>IF(OR(A1500="",p_po=""),"",IF(A1500&amp;""=p_po,COUNTIF($A$6:A1500,A1500),""))</f>
        <v/>
      </c>
      <c r="AG1500" s="66" t="str">
        <f>IF(OR(AB1500="",A1500=""),"",IF(COUNTIFS($A$6:A1500,A1500,$AB$6:AB1500,"&gt;0")=1,1,""))</f>
        <v/>
      </c>
      <c r="AH1500" s="70" t="str">
        <f>IF(AB1500="","",ROUND(N(W1500)*N(J1500)*(1-N(K1500)),2))</f>
        <v/>
      </c>
      <c r="AI1500" s="70" t="str">
        <f>IF(OR(J1500="",N(T1500)&lt;=0,V1500="Oui"),"",ROUND(N(T1500)*J1500*(1-N(K1500)),2))</f>
        <v/>
      </c>
    </row>
    <row r="1501">
      <c r="A1501" s="63" t="n"/>
      <c r="B1501" s="64" t="n"/>
      <c r="C1501" s="65" t="n"/>
      <c r="D1501" s="66" t="str">
        <f>IF(C1501="","",IFERROR(INDEX(sup_name,MATCH($C1501,sup_code,0))&amp;"","Fournisseur inconnu"))</f>
        <v/>
      </c>
      <c r="E1501" s="63" t="n"/>
      <c r="F1501" s="66" t="str">
        <f>IF(E1501="","",IFERROR(INDEX(art_des,MATCH($E1501,art_ref,0))&amp;"","Article inconnu"))</f>
        <v/>
      </c>
      <c r="G1501" s="67" t="str">
        <f>IF(E1501="","",IFERROR(INDEX(art_unit,MATCH($E1501,art_ref,0))&amp;"",""))</f>
        <v/>
      </c>
      <c r="H1501" s="68" t="n"/>
      <c r="I1501" s="69" t="n"/>
      <c r="J1501" s="70" t="str">
        <f>IF(E1501="","",IF(ISNUMBER(I1501),I1501,IFERROR(IF(ISNUMBER(INDEX(art_price,MATCH($E1501,art_ref,0))),INDEX(art_price,MATCH($E1501,art_ref,0)),""),"")))</f>
        <v/>
      </c>
      <c r="K1501" s="71" t="n"/>
      <c r="L1501" s="72" t="n"/>
      <c r="M1501" s="72" t="str">
        <f>IF(E1501="","",IF(L1501&lt;&gt;"",L1501,IFERROR(IF(ISNUMBER(INDEX(art_tva,MATCH($E1501,art_ref,0))),INDEX(art_tva,MATCH($E1501,art_ref,0)),""),"")))</f>
        <v/>
      </c>
      <c r="N1501" s="70" t="str">
        <f>IF(OR(E1501="",J1501=""),"",ROUND(N(H1501)*J1501*(1-N(K1501)),2))</f>
        <v/>
      </c>
      <c r="O1501" s="70" t="str">
        <f>IF(OR(N1501="",NOT(ISNUMBER(M1501))),"",ROUND(N1501*M1501,2))</f>
        <v/>
      </c>
      <c r="P1501" s="70" t="str">
        <f>IF(N1501="","",N1501+N(O1501))</f>
        <v/>
      </c>
      <c r="Q1501" s="64" t="n"/>
      <c r="R1501" s="73" t="str">
        <f>IF(N(Q1501)&gt;0,Q1501,IF(OR(N(B1501)=0,ISNA(MATCH($C1501,sup_code,0))),"",IF(ISNUMBER(INDEX(sup_delay,MATCH($C1501,sup_code,0))),B1501+INDEX(sup_delay,MATCH($C1501,sup_code,0)),"")))</f>
        <v/>
      </c>
      <c r="S1501" s="64" t="n"/>
      <c r="T1501" s="68" t="n"/>
      <c r="U1501" s="64" t="n"/>
      <c r="V1501" s="65" t="n"/>
      <c r="W1501" s="74" t="str">
        <f>IF(AND(A1501="",E1501=""),"",IF(V1501="Oui",0,MAX(0,ROUND(N(H1501)-N(T1501),6))))</f>
        <v/>
      </c>
      <c r="X1501" s="67" t="str">
        <f>IF(AND(A1501="",E1501=""),"",IF(V1501="Oui","Annulé",IF(AND(N(H1501)&gt;0,N(T1501)&gt;=N(H1501)),"Reçu",IF(N(S1501)=0,"Brouillon",IF(AND(ISNUMBER(R1501),R1501&lt;p_today),"En retard",IF(N(T1501)&gt;0,"Partiel","Envoyé"))))))</f>
        <v/>
      </c>
      <c r="Y1501" s="75" t="str">
        <f>IF(X1501="En retard",p_today-R1501,IF(AND(X1501="Reçu",ISNUMBER(R1501)),MAX(0,N(U1501)-R1501),""))</f>
        <v/>
      </c>
      <c r="Z1501" s="67" t="str">
        <f>IF(AND(A1501="",E1501=""),"",IF(A1501="","N° de bon manquant",IF(N(B1501)=0,"Date de commande manquante",IF(C1501="","Fournisseur manquant",IF(ISNA(MATCH($C1501,sup_code,0)),"Fournisseur inconnu",IF(E1501="","Article manquant",IF(ISNA(MATCH($E1501,art_ref,0)),"Article inconnu",IF(N(H1501)&lt;=0,"Quantité invalide",IF(J1501="","Prix manquant",IF(OR(N(K1501)&lt;0,N(K1501)&gt;=1),"Remise invalide",IF(M1501="","TVA manquante",IF(ISNA(MATCH(M1501,p_tva,0)),"Taux de TVA inconnu",IF(COUNTIFS(po_num,A1501,po_sup,"&lt;&gt;"&amp;C1501)&gt;0,"Fournisseur différent sur ce bon",IF(COUNTIFS(po_num,A1501,po_date,"&lt;&gt;"&amp;B1501)&gt;0,"Date différente sur ce bon",IF(COUNTIF(po_num,A1501)&gt;25,"Plus de 25 lignes sur ce bon",IF(R1501="","Date de livraison manquante",IF(R1501&lt;B1501,"Livraison avant la commande",IF(AND(N(T1501)&gt;0,N(S1501)=0),"Date d'envoi manquante",IF(N(T1501)&gt;N(H1501),"Reçu plus que commandé",IF(AND(N(T1501)&gt;0,N(U1501)=0),"Date de réception manquante",IF(AND(N(U1501)&gt;0,U1501&lt;B1501),"Réception avant la commande","OK")))))))))))))))))))))</f>
        <v/>
      </c>
      <c r="AA1501" s="66" t="str">
        <f>IF(AND(X1501="Reçu",ISNUMBER(R1501)),IF(N(U1501)&lt;=R1501,1,0),"")</f>
        <v/>
      </c>
      <c r="AB1501" s="76" t="str">
        <f>IF(OR(X1501="Envoyé",X1501="Partiel",X1501="En retard"),IF(ISNUMBER(R1501),R1501,100000)+ROW()/100000,"")</f>
        <v/>
      </c>
      <c r="AC1501" s="66" t="str">
        <f>IF(A1501="","",IF(COUNTIF($A$6:A1501,A1501)=1,1,""))</f>
        <v/>
      </c>
      <c r="AD1501" s="66" t="str">
        <f>IF(AC1501=1,COUNT($AC$6:AC1501),"")</f>
        <v/>
      </c>
      <c r="AE1501" s="66" t="str">
        <f>IFERROR(INDEX(po_num,MATCH(1496,po_seq,0))&amp;"","")</f>
        <v/>
      </c>
      <c r="AF1501" s="66" t="str">
        <f>IF(OR(A1501="",p_po=""),"",IF(A1501&amp;""=p_po,COUNTIF($A$6:A1501,A1501),""))</f>
        <v/>
      </c>
      <c r="AG1501" s="66" t="str">
        <f>IF(OR(AB1501="",A1501=""),"",IF(COUNTIFS($A$6:A1501,A1501,$AB$6:AB1501,"&gt;0")=1,1,""))</f>
        <v/>
      </c>
      <c r="AH1501" s="70" t="str">
        <f>IF(AB1501="","",ROUND(N(W1501)*N(J1501)*(1-N(K1501)),2))</f>
        <v/>
      </c>
      <c r="AI1501" s="70" t="str">
        <f>IF(OR(J1501="",N(T1501)&lt;=0,V1501="Oui"),"",ROUND(N(T1501)*J1501*(1-N(K1501)),2))</f>
        <v/>
      </c>
    </row>
    <row r="1502">
      <c r="A1502" s="63" t="n"/>
      <c r="B1502" s="64" t="n"/>
      <c r="C1502" s="65" t="n"/>
      <c r="D1502" s="66" t="str">
        <f>IF(C1502="","",IFERROR(INDEX(sup_name,MATCH($C1502,sup_code,0))&amp;"","Fournisseur inconnu"))</f>
        <v/>
      </c>
      <c r="E1502" s="63" t="n"/>
      <c r="F1502" s="66" t="str">
        <f>IF(E1502="","",IFERROR(INDEX(art_des,MATCH($E1502,art_ref,0))&amp;"","Article inconnu"))</f>
        <v/>
      </c>
      <c r="G1502" s="67" t="str">
        <f>IF(E1502="","",IFERROR(INDEX(art_unit,MATCH($E1502,art_ref,0))&amp;"",""))</f>
        <v/>
      </c>
      <c r="H1502" s="68" t="n"/>
      <c r="I1502" s="69" t="n"/>
      <c r="J1502" s="70" t="str">
        <f>IF(E1502="","",IF(ISNUMBER(I1502),I1502,IFERROR(IF(ISNUMBER(INDEX(art_price,MATCH($E1502,art_ref,0))),INDEX(art_price,MATCH($E1502,art_ref,0)),""),"")))</f>
        <v/>
      </c>
      <c r="K1502" s="71" t="n"/>
      <c r="L1502" s="72" t="n"/>
      <c r="M1502" s="72" t="str">
        <f>IF(E1502="","",IF(L1502&lt;&gt;"",L1502,IFERROR(IF(ISNUMBER(INDEX(art_tva,MATCH($E1502,art_ref,0))),INDEX(art_tva,MATCH($E1502,art_ref,0)),""),"")))</f>
        <v/>
      </c>
      <c r="N1502" s="70" t="str">
        <f>IF(OR(E1502="",J1502=""),"",ROUND(N(H1502)*J1502*(1-N(K1502)),2))</f>
        <v/>
      </c>
      <c r="O1502" s="70" t="str">
        <f>IF(OR(N1502="",NOT(ISNUMBER(M1502))),"",ROUND(N1502*M1502,2))</f>
        <v/>
      </c>
      <c r="P1502" s="70" t="str">
        <f>IF(N1502="","",N1502+N(O1502))</f>
        <v/>
      </c>
      <c r="Q1502" s="64" t="n"/>
      <c r="R1502" s="73" t="str">
        <f>IF(N(Q1502)&gt;0,Q1502,IF(OR(N(B1502)=0,ISNA(MATCH($C1502,sup_code,0))),"",IF(ISNUMBER(INDEX(sup_delay,MATCH($C1502,sup_code,0))),B1502+INDEX(sup_delay,MATCH($C1502,sup_code,0)),"")))</f>
        <v/>
      </c>
      <c r="S1502" s="64" t="n"/>
      <c r="T1502" s="68" t="n"/>
      <c r="U1502" s="64" t="n"/>
      <c r="V1502" s="65" t="n"/>
      <c r="W1502" s="74" t="str">
        <f>IF(AND(A1502="",E1502=""),"",IF(V1502="Oui",0,MAX(0,ROUND(N(H1502)-N(T1502),6))))</f>
        <v/>
      </c>
      <c r="X1502" s="67" t="str">
        <f>IF(AND(A1502="",E1502=""),"",IF(V1502="Oui","Annulé",IF(AND(N(H1502)&gt;0,N(T1502)&gt;=N(H1502)),"Reçu",IF(N(S1502)=0,"Brouillon",IF(AND(ISNUMBER(R1502),R1502&lt;p_today),"En retard",IF(N(T1502)&gt;0,"Partiel","Envoyé"))))))</f>
        <v/>
      </c>
      <c r="Y1502" s="75" t="str">
        <f>IF(X1502="En retard",p_today-R1502,IF(AND(X1502="Reçu",ISNUMBER(R1502)),MAX(0,N(U1502)-R1502),""))</f>
        <v/>
      </c>
      <c r="Z1502" s="67" t="str">
        <f>IF(AND(A1502="",E1502=""),"",IF(A1502="","N° de bon manquant",IF(N(B1502)=0,"Date de commande manquante",IF(C1502="","Fournisseur manquant",IF(ISNA(MATCH($C1502,sup_code,0)),"Fournisseur inconnu",IF(E1502="","Article manquant",IF(ISNA(MATCH($E1502,art_ref,0)),"Article inconnu",IF(N(H1502)&lt;=0,"Quantité invalide",IF(J1502="","Prix manquant",IF(OR(N(K1502)&lt;0,N(K1502)&gt;=1),"Remise invalide",IF(M1502="","TVA manquante",IF(ISNA(MATCH(M1502,p_tva,0)),"Taux de TVA inconnu",IF(COUNTIFS(po_num,A1502,po_sup,"&lt;&gt;"&amp;C1502)&gt;0,"Fournisseur différent sur ce bon",IF(COUNTIFS(po_num,A1502,po_date,"&lt;&gt;"&amp;B1502)&gt;0,"Date différente sur ce bon",IF(COUNTIF(po_num,A1502)&gt;25,"Plus de 25 lignes sur ce bon",IF(R1502="","Date de livraison manquante",IF(R1502&lt;B1502,"Livraison avant la commande",IF(AND(N(T1502)&gt;0,N(S1502)=0),"Date d'envoi manquante",IF(N(T1502)&gt;N(H1502),"Reçu plus que commandé",IF(AND(N(T1502)&gt;0,N(U1502)=0),"Date de réception manquante",IF(AND(N(U1502)&gt;0,U1502&lt;B1502),"Réception avant la commande","OK")))))))))))))))))))))</f>
        <v/>
      </c>
      <c r="AA1502" s="66" t="str">
        <f>IF(AND(X1502="Reçu",ISNUMBER(R1502)),IF(N(U1502)&lt;=R1502,1,0),"")</f>
        <v/>
      </c>
      <c r="AB1502" s="76" t="str">
        <f>IF(OR(X1502="Envoyé",X1502="Partiel",X1502="En retard"),IF(ISNUMBER(R1502),R1502,100000)+ROW()/100000,"")</f>
        <v/>
      </c>
      <c r="AC1502" s="66" t="str">
        <f>IF(A1502="","",IF(COUNTIF($A$6:A1502,A1502)=1,1,""))</f>
        <v/>
      </c>
      <c r="AD1502" s="66" t="str">
        <f>IF(AC1502=1,COUNT($AC$6:AC1502),"")</f>
        <v/>
      </c>
      <c r="AE1502" s="66" t="str">
        <f>IFERROR(INDEX(po_num,MATCH(1497,po_seq,0))&amp;"","")</f>
        <v/>
      </c>
      <c r="AF1502" s="66" t="str">
        <f>IF(OR(A1502="",p_po=""),"",IF(A1502&amp;""=p_po,COUNTIF($A$6:A1502,A1502),""))</f>
        <v/>
      </c>
      <c r="AG1502" s="66" t="str">
        <f>IF(OR(AB1502="",A1502=""),"",IF(COUNTIFS($A$6:A1502,A1502,$AB$6:AB1502,"&gt;0")=1,1,""))</f>
        <v/>
      </c>
      <c r="AH1502" s="70" t="str">
        <f>IF(AB1502="","",ROUND(N(W1502)*N(J1502)*(1-N(K1502)),2))</f>
        <v/>
      </c>
      <c r="AI1502" s="70" t="str">
        <f>IF(OR(J1502="",N(T1502)&lt;=0,V1502="Oui"),"",ROUND(N(T1502)*J1502*(1-N(K1502)),2))</f>
        <v/>
      </c>
    </row>
    <row r="1503">
      <c r="A1503" s="63" t="n"/>
      <c r="B1503" s="64" t="n"/>
      <c r="C1503" s="65" t="n"/>
      <c r="D1503" s="66" t="str">
        <f>IF(C1503="","",IFERROR(INDEX(sup_name,MATCH($C1503,sup_code,0))&amp;"","Fournisseur inconnu"))</f>
        <v/>
      </c>
      <c r="E1503" s="63" t="n"/>
      <c r="F1503" s="66" t="str">
        <f>IF(E1503="","",IFERROR(INDEX(art_des,MATCH($E1503,art_ref,0))&amp;"","Article inconnu"))</f>
        <v/>
      </c>
      <c r="G1503" s="67" t="str">
        <f>IF(E1503="","",IFERROR(INDEX(art_unit,MATCH($E1503,art_ref,0))&amp;"",""))</f>
        <v/>
      </c>
      <c r="H1503" s="68" t="n"/>
      <c r="I1503" s="69" t="n"/>
      <c r="J1503" s="70" t="str">
        <f>IF(E1503="","",IF(ISNUMBER(I1503),I1503,IFERROR(IF(ISNUMBER(INDEX(art_price,MATCH($E1503,art_ref,0))),INDEX(art_price,MATCH($E1503,art_ref,0)),""),"")))</f>
        <v/>
      </c>
      <c r="K1503" s="71" t="n"/>
      <c r="L1503" s="72" t="n"/>
      <c r="M1503" s="72" t="str">
        <f>IF(E1503="","",IF(L1503&lt;&gt;"",L1503,IFERROR(IF(ISNUMBER(INDEX(art_tva,MATCH($E1503,art_ref,0))),INDEX(art_tva,MATCH($E1503,art_ref,0)),""),"")))</f>
        <v/>
      </c>
      <c r="N1503" s="70" t="str">
        <f>IF(OR(E1503="",J1503=""),"",ROUND(N(H1503)*J1503*(1-N(K1503)),2))</f>
        <v/>
      </c>
      <c r="O1503" s="70" t="str">
        <f>IF(OR(N1503="",NOT(ISNUMBER(M1503))),"",ROUND(N1503*M1503,2))</f>
        <v/>
      </c>
      <c r="P1503" s="70" t="str">
        <f>IF(N1503="","",N1503+N(O1503))</f>
        <v/>
      </c>
      <c r="Q1503" s="64" t="n"/>
      <c r="R1503" s="73" t="str">
        <f>IF(N(Q1503)&gt;0,Q1503,IF(OR(N(B1503)=0,ISNA(MATCH($C1503,sup_code,0))),"",IF(ISNUMBER(INDEX(sup_delay,MATCH($C1503,sup_code,0))),B1503+INDEX(sup_delay,MATCH($C1503,sup_code,0)),"")))</f>
        <v/>
      </c>
      <c r="S1503" s="64" t="n"/>
      <c r="T1503" s="68" t="n"/>
      <c r="U1503" s="64" t="n"/>
      <c r="V1503" s="65" t="n"/>
      <c r="W1503" s="74" t="str">
        <f>IF(AND(A1503="",E1503=""),"",IF(V1503="Oui",0,MAX(0,ROUND(N(H1503)-N(T1503),6))))</f>
        <v/>
      </c>
      <c r="X1503" s="67" t="str">
        <f>IF(AND(A1503="",E1503=""),"",IF(V1503="Oui","Annulé",IF(AND(N(H1503)&gt;0,N(T1503)&gt;=N(H1503)),"Reçu",IF(N(S1503)=0,"Brouillon",IF(AND(ISNUMBER(R1503),R1503&lt;p_today),"En retard",IF(N(T1503)&gt;0,"Partiel","Envoyé"))))))</f>
        <v/>
      </c>
      <c r="Y1503" s="75" t="str">
        <f>IF(X1503="En retard",p_today-R1503,IF(AND(X1503="Reçu",ISNUMBER(R1503)),MAX(0,N(U1503)-R1503),""))</f>
        <v/>
      </c>
      <c r="Z1503" s="67" t="str">
        <f>IF(AND(A1503="",E1503=""),"",IF(A1503="","N° de bon manquant",IF(N(B1503)=0,"Date de commande manquante",IF(C1503="","Fournisseur manquant",IF(ISNA(MATCH($C1503,sup_code,0)),"Fournisseur inconnu",IF(E1503="","Article manquant",IF(ISNA(MATCH($E1503,art_ref,0)),"Article inconnu",IF(N(H1503)&lt;=0,"Quantité invalide",IF(J1503="","Prix manquant",IF(OR(N(K1503)&lt;0,N(K1503)&gt;=1),"Remise invalide",IF(M1503="","TVA manquante",IF(ISNA(MATCH(M1503,p_tva,0)),"Taux de TVA inconnu",IF(COUNTIFS(po_num,A1503,po_sup,"&lt;&gt;"&amp;C1503)&gt;0,"Fournisseur différent sur ce bon",IF(COUNTIFS(po_num,A1503,po_date,"&lt;&gt;"&amp;B1503)&gt;0,"Date différente sur ce bon",IF(COUNTIF(po_num,A1503)&gt;25,"Plus de 25 lignes sur ce bon",IF(R1503="","Date de livraison manquante",IF(R1503&lt;B1503,"Livraison avant la commande",IF(AND(N(T1503)&gt;0,N(S1503)=0),"Date d'envoi manquante",IF(N(T1503)&gt;N(H1503),"Reçu plus que commandé",IF(AND(N(T1503)&gt;0,N(U1503)=0),"Date de réception manquante",IF(AND(N(U1503)&gt;0,U1503&lt;B1503),"Réception avant la commande","OK")))))))))))))))))))))</f>
        <v/>
      </c>
      <c r="AA1503" s="66" t="str">
        <f>IF(AND(X1503="Reçu",ISNUMBER(R1503)),IF(N(U1503)&lt;=R1503,1,0),"")</f>
        <v/>
      </c>
      <c r="AB1503" s="76" t="str">
        <f>IF(OR(X1503="Envoyé",X1503="Partiel",X1503="En retard"),IF(ISNUMBER(R1503),R1503,100000)+ROW()/100000,"")</f>
        <v/>
      </c>
      <c r="AC1503" s="66" t="str">
        <f>IF(A1503="","",IF(COUNTIF($A$6:A1503,A1503)=1,1,""))</f>
        <v/>
      </c>
      <c r="AD1503" s="66" t="str">
        <f>IF(AC1503=1,COUNT($AC$6:AC1503),"")</f>
        <v/>
      </c>
      <c r="AE1503" s="66" t="str">
        <f>IFERROR(INDEX(po_num,MATCH(1498,po_seq,0))&amp;"","")</f>
        <v/>
      </c>
      <c r="AF1503" s="66" t="str">
        <f>IF(OR(A1503="",p_po=""),"",IF(A1503&amp;""=p_po,COUNTIF($A$6:A1503,A1503),""))</f>
        <v/>
      </c>
      <c r="AG1503" s="66" t="str">
        <f>IF(OR(AB1503="",A1503=""),"",IF(COUNTIFS($A$6:A1503,A1503,$AB$6:AB1503,"&gt;0")=1,1,""))</f>
        <v/>
      </c>
      <c r="AH1503" s="70" t="str">
        <f>IF(AB1503="","",ROUND(N(W1503)*N(J1503)*(1-N(K1503)),2))</f>
        <v/>
      </c>
      <c r="AI1503" s="70" t="str">
        <f>IF(OR(J1503="",N(T1503)&lt;=0,V1503="Oui"),"",ROUND(N(T1503)*J1503*(1-N(K1503)),2))</f>
        <v/>
      </c>
    </row>
    <row r="1504">
      <c r="A1504" s="63" t="n"/>
      <c r="B1504" s="64" t="n"/>
      <c r="C1504" s="65" t="n"/>
      <c r="D1504" s="66" t="str">
        <f>IF(C1504="","",IFERROR(INDEX(sup_name,MATCH($C1504,sup_code,0))&amp;"","Fournisseur inconnu"))</f>
        <v/>
      </c>
      <c r="E1504" s="63" t="n"/>
      <c r="F1504" s="66" t="str">
        <f>IF(E1504="","",IFERROR(INDEX(art_des,MATCH($E1504,art_ref,0))&amp;"","Article inconnu"))</f>
        <v/>
      </c>
      <c r="G1504" s="67" t="str">
        <f>IF(E1504="","",IFERROR(INDEX(art_unit,MATCH($E1504,art_ref,0))&amp;"",""))</f>
        <v/>
      </c>
      <c r="H1504" s="68" t="n"/>
      <c r="I1504" s="69" t="n"/>
      <c r="J1504" s="70" t="str">
        <f>IF(E1504="","",IF(ISNUMBER(I1504),I1504,IFERROR(IF(ISNUMBER(INDEX(art_price,MATCH($E1504,art_ref,0))),INDEX(art_price,MATCH($E1504,art_ref,0)),""),"")))</f>
        <v/>
      </c>
      <c r="K1504" s="71" t="n"/>
      <c r="L1504" s="72" t="n"/>
      <c r="M1504" s="72" t="str">
        <f>IF(E1504="","",IF(L1504&lt;&gt;"",L1504,IFERROR(IF(ISNUMBER(INDEX(art_tva,MATCH($E1504,art_ref,0))),INDEX(art_tva,MATCH($E1504,art_ref,0)),""),"")))</f>
        <v/>
      </c>
      <c r="N1504" s="70" t="str">
        <f>IF(OR(E1504="",J1504=""),"",ROUND(N(H1504)*J1504*(1-N(K1504)),2))</f>
        <v/>
      </c>
      <c r="O1504" s="70" t="str">
        <f>IF(OR(N1504="",NOT(ISNUMBER(M1504))),"",ROUND(N1504*M1504,2))</f>
        <v/>
      </c>
      <c r="P1504" s="70" t="str">
        <f>IF(N1504="","",N1504+N(O1504))</f>
        <v/>
      </c>
      <c r="Q1504" s="64" t="n"/>
      <c r="R1504" s="73" t="str">
        <f>IF(N(Q1504)&gt;0,Q1504,IF(OR(N(B1504)=0,ISNA(MATCH($C1504,sup_code,0))),"",IF(ISNUMBER(INDEX(sup_delay,MATCH($C1504,sup_code,0))),B1504+INDEX(sup_delay,MATCH($C1504,sup_code,0)),"")))</f>
        <v/>
      </c>
      <c r="S1504" s="64" t="n"/>
      <c r="T1504" s="68" t="n"/>
      <c r="U1504" s="64" t="n"/>
      <c r="V1504" s="65" t="n"/>
      <c r="W1504" s="74" t="str">
        <f>IF(AND(A1504="",E1504=""),"",IF(V1504="Oui",0,MAX(0,ROUND(N(H1504)-N(T1504),6))))</f>
        <v/>
      </c>
      <c r="X1504" s="67" t="str">
        <f>IF(AND(A1504="",E1504=""),"",IF(V1504="Oui","Annulé",IF(AND(N(H1504)&gt;0,N(T1504)&gt;=N(H1504)),"Reçu",IF(N(S1504)=0,"Brouillon",IF(AND(ISNUMBER(R1504),R1504&lt;p_today),"En retard",IF(N(T1504)&gt;0,"Partiel","Envoyé"))))))</f>
        <v/>
      </c>
      <c r="Y1504" s="75" t="str">
        <f>IF(X1504="En retard",p_today-R1504,IF(AND(X1504="Reçu",ISNUMBER(R1504)),MAX(0,N(U1504)-R1504),""))</f>
        <v/>
      </c>
      <c r="Z1504" s="67" t="str">
        <f>IF(AND(A1504="",E1504=""),"",IF(A1504="","N° de bon manquant",IF(N(B1504)=0,"Date de commande manquante",IF(C1504="","Fournisseur manquant",IF(ISNA(MATCH($C1504,sup_code,0)),"Fournisseur inconnu",IF(E1504="","Article manquant",IF(ISNA(MATCH($E1504,art_ref,0)),"Article inconnu",IF(N(H1504)&lt;=0,"Quantité invalide",IF(J1504="","Prix manquant",IF(OR(N(K1504)&lt;0,N(K1504)&gt;=1),"Remise invalide",IF(M1504="","TVA manquante",IF(ISNA(MATCH(M1504,p_tva,0)),"Taux de TVA inconnu",IF(COUNTIFS(po_num,A1504,po_sup,"&lt;&gt;"&amp;C1504)&gt;0,"Fournisseur différent sur ce bon",IF(COUNTIFS(po_num,A1504,po_date,"&lt;&gt;"&amp;B1504)&gt;0,"Date différente sur ce bon",IF(COUNTIF(po_num,A1504)&gt;25,"Plus de 25 lignes sur ce bon",IF(R1504="","Date de livraison manquante",IF(R1504&lt;B1504,"Livraison avant la commande",IF(AND(N(T1504)&gt;0,N(S1504)=0),"Date d'envoi manquante",IF(N(T1504)&gt;N(H1504),"Reçu plus que commandé",IF(AND(N(T1504)&gt;0,N(U1504)=0),"Date de réception manquante",IF(AND(N(U1504)&gt;0,U1504&lt;B1504),"Réception avant la commande","OK")))))))))))))))))))))</f>
        <v/>
      </c>
      <c r="AA1504" s="66" t="str">
        <f>IF(AND(X1504="Reçu",ISNUMBER(R1504)),IF(N(U1504)&lt;=R1504,1,0),"")</f>
        <v/>
      </c>
      <c r="AB1504" s="76" t="str">
        <f>IF(OR(X1504="Envoyé",X1504="Partiel",X1504="En retard"),IF(ISNUMBER(R1504),R1504,100000)+ROW()/100000,"")</f>
        <v/>
      </c>
      <c r="AC1504" s="66" t="str">
        <f>IF(A1504="","",IF(COUNTIF($A$6:A1504,A1504)=1,1,""))</f>
        <v/>
      </c>
      <c r="AD1504" s="66" t="str">
        <f>IF(AC1504=1,COUNT($AC$6:AC1504),"")</f>
        <v/>
      </c>
      <c r="AE1504" s="66" t="str">
        <f>IFERROR(INDEX(po_num,MATCH(1499,po_seq,0))&amp;"","")</f>
        <v/>
      </c>
      <c r="AF1504" s="66" t="str">
        <f>IF(OR(A1504="",p_po=""),"",IF(A1504&amp;""=p_po,COUNTIF($A$6:A1504,A1504),""))</f>
        <v/>
      </c>
      <c r="AG1504" s="66" t="str">
        <f>IF(OR(AB1504="",A1504=""),"",IF(COUNTIFS($A$6:A1504,A1504,$AB$6:AB1504,"&gt;0")=1,1,""))</f>
        <v/>
      </c>
      <c r="AH1504" s="70" t="str">
        <f>IF(AB1504="","",ROUND(N(W1504)*N(J1504)*(1-N(K1504)),2))</f>
        <v/>
      </c>
      <c r="AI1504" s="70" t="str">
        <f>IF(OR(J1504="",N(T1504)&lt;=0,V1504="Oui"),"",ROUND(N(T1504)*J1504*(1-N(K1504)),2))</f>
        <v/>
      </c>
    </row>
    <row r="1505">
      <c r="A1505" s="63" t="n"/>
      <c r="B1505" s="64" t="n"/>
      <c r="C1505" s="65" t="n"/>
      <c r="D1505" s="66" t="str">
        <f>IF(C1505="","",IFERROR(INDEX(sup_name,MATCH($C1505,sup_code,0))&amp;"","Fournisseur inconnu"))</f>
        <v/>
      </c>
      <c r="E1505" s="63" t="n"/>
      <c r="F1505" s="66" t="str">
        <f>IF(E1505="","",IFERROR(INDEX(art_des,MATCH($E1505,art_ref,0))&amp;"","Article inconnu"))</f>
        <v/>
      </c>
      <c r="G1505" s="67" t="str">
        <f>IF(E1505="","",IFERROR(INDEX(art_unit,MATCH($E1505,art_ref,0))&amp;"",""))</f>
        <v/>
      </c>
      <c r="H1505" s="68" t="n"/>
      <c r="I1505" s="69" t="n"/>
      <c r="J1505" s="70" t="str">
        <f>IF(E1505="","",IF(ISNUMBER(I1505),I1505,IFERROR(IF(ISNUMBER(INDEX(art_price,MATCH($E1505,art_ref,0))),INDEX(art_price,MATCH($E1505,art_ref,0)),""),"")))</f>
        <v/>
      </c>
      <c r="K1505" s="71" t="n"/>
      <c r="L1505" s="72" t="n"/>
      <c r="M1505" s="72" t="str">
        <f>IF(E1505="","",IF(L1505&lt;&gt;"",L1505,IFERROR(IF(ISNUMBER(INDEX(art_tva,MATCH($E1505,art_ref,0))),INDEX(art_tva,MATCH($E1505,art_ref,0)),""),"")))</f>
        <v/>
      </c>
      <c r="N1505" s="70" t="str">
        <f>IF(OR(E1505="",J1505=""),"",ROUND(N(H1505)*J1505*(1-N(K1505)),2))</f>
        <v/>
      </c>
      <c r="O1505" s="70" t="str">
        <f>IF(OR(N1505="",NOT(ISNUMBER(M1505))),"",ROUND(N1505*M1505,2))</f>
        <v/>
      </c>
      <c r="P1505" s="70" t="str">
        <f>IF(N1505="","",N1505+N(O1505))</f>
        <v/>
      </c>
      <c r="Q1505" s="64" t="n"/>
      <c r="R1505" s="73" t="str">
        <f>IF(N(Q1505)&gt;0,Q1505,IF(OR(N(B1505)=0,ISNA(MATCH($C1505,sup_code,0))),"",IF(ISNUMBER(INDEX(sup_delay,MATCH($C1505,sup_code,0))),B1505+INDEX(sup_delay,MATCH($C1505,sup_code,0)),"")))</f>
        <v/>
      </c>
      <c r="S1505" s="64" t="n"/>
      <c r="T1505" s="68" t="n"/>
      <c r="U1505" s="64" t="n"/>
      <c r="V1505" s="65" t="n"/>
      <c r="W1505" s="74" t="str">
        <f>IF(AND(A1505="",E1505=""),"",IF(V1505="Oui",0,MAX(0,ROUND(N(H1505)-N(T1505),6))))</f>
        <v/>
      </c>
      <c r="X1505" s="67" t="str">
        <f>IF(AND(A1505="",E1505=""),"",IF(V1505="Oui","Annulé",IF(AND(N(H1505)&gt;0,N(T1505)&gt;=N(H1505)),"Reçu",IF(N(S1505)=0,"Brouillon",IF(AND(ISNUMBER(R1505),R1505&lt;p_today),"En retard",IF(N(T1505)&gt;0,"Partiel","Envoyé"))))))</f>
        <v/>
      </c>
      <c r="Y1505" s="75" t="str">
        <f>IF(X1505="En retard",p_today-R1505,IF(AND(X1505="Reçu",ISNUMBER(R1505)),MAX(0,N(U1505)-R1505),""))</f>
        <v/>
      </c>
      <c r="Z1505" s="67" t="str">
        <f>IF(AND(A1505="",E1505=""),"",IF(A1505="","N° de bon manquant",IF(N(B1505)=0,"Date de commande manquante",IF(C1505="","Fournisseur manquant",IF(ISNA(MATCH($C1505,sup_code,0)),"Fournisseur inconnu",IF(E1505="","Article manquant",IF(ISNA(MATCH($E1505,art_ref,0)),"Article inconnu",IF(N(H1505)&lt;=0,"Quantité invalide",IF(J1505="","Prix manquant",IF(OR(N(K1505)&lt;0,N(K1505)&gt;=1),"Remise invalide",IF(M1505="","TVA manquante",IF(ISNA(MATCH(M1505,p_tva,0)),"Taux de TVA inconnu",IF(COUNTIFS(po_num,A1505,po_sup,"&lt;&gt;"&amp;C1505)&gt;0,"Fournisseur différent sur ce bon",IF(COUNTIFS(po_num,A1505,po_date,"&lt;&gt;"&amp;B1505)&gt;0,"Date différente sur ce bon",IF(COUNTIF(po_num,A1505)&gt;25,"Plus de 25 lignes sur ce bon",IF(R1505="","Date de livraison manquante",IF(R1505&lt;B1505,"Livraison avant la commande",IF(AND(N(T1505)&gt;0,N(S1505)=0),"Date d'envoi manquante",IF(N(T1505)&gt;N(H1505),"Reçu plus que commandé",IF(AND(N(T1505)&gt;0,N(U1505)=0),"Date de réception manquante",IF(AND(N(U1505)&gt;0,U1505&lt;B1505),"Réception avant la commande","OK")))))))))))))))))))))</f>
        <v/>
      </c>
      <c r="AA1505" s="66" t="str">
        <f>IF(AND(X1505="Reçu",ISNUMBER(R1505)),IF(N(U1505)&lt;=R1505,1,0),"")</f>
        <v/>
      </c>
      <c r="AB1505" s="76" t="str">
        <f>IF(OR(X1505="Envoyé",X1505="Partiel",X1505="En retard"),IF(ISNUMBER(R1505),R1505,100000)+ROW()/100000,"")</f>
        <v/>
      </c>
      <c r="AC1505" s="66" t="str">
        <f>IF(A1505="","",IF(COUNTIF($A$6:A1505,A1505)=1,1,""))</f>
        <v/>
      </c>
      <c r="AD1505" s="66" t="str">
        <f>IF(AC1505=1,COUNT($AC$6:AC1505),"")</f>
        <v/>
      </c>
      <c r="AE1505" s="66" t="str">
        <f>IFERROR(INDEX(po_num,MATCH(1500,po_seq,0))&amp;"","")</f>
        <v/>
      </c>
      <c r="AF1505" s="66" t="str">
        <f>IF(OR(A1505="",p_po=""),"",IF(A1505&amp;""=p_po,COUNTIF($A$6:A1505,A1505),""))</f>
        <v/>
      </c>
      <c r="AG1505" s="66" t="str">
        <f>IF(OR(AB1505="",A1505=""),"",IF(COUNTIFS($A$6:A1505,A1505,$AB$6:AB1505,"&gt;0")=1,1,""))</f>
        <v/>
      </c>
      <c r="AH1505" s="70" t="str">
        <f>IF(AB1505="","",ROUND(N(W1505)*N(J1505)*(1-N(K1505)),2))</f>
        <v/>
      </c>
      <c r="AI1505" s="70" t="str">
        <f>IF(OR(J1505="",N(T1505)&lt;=0,V1505="Oui"),"",ROUND(N(T1505)*J1505*(1-N(K1505)),2))</f>
        <v/>
      </c>
    </row>
    <row r="1506">
      <c r="A1506" s="63" t="n"/>
      <c r="B1506" s="64" t="n"/>
      <c r="C1506" s="65" t="n"/>
      <c r="D1506" s="66" t="str">
        <f>IF(C1506="","",IFERROR(INDEX(sup_name,MATCH($C1506,sup_code,0))&amp;"","Fournisseur inconnu"))</f>
        <v/>
      </c>
      <c r="E1506" s="63" t="n"/>
      <c r="F1506" s="66" t="str">
        <f>IF(E1506="","",IFERROR(INDEX(art_des,MATCH($E1506,art_ref,0))&amp;"","Article inconnu"))</f>
        <v/>
      </c>
      <c r="G1506" s="67" t="str">
        <f>IF(E1506="","",IFERROR(INDEX(art_unit,MATCH($E1506,art_ref,0))&amp;"",""))</f>
        <v/>
      </c>
      <c r="H1506" s="68" t="n"/>
      <c r="I1506" s="69" t="n"/>
      <c r="J1506" s="70" t="str">
        <f>IF(E1506="","",IF(ISNUMBER(I1506),I1506,IFERROR(IF(ISNUMBER(INDEX(art_price,MATCH($E1506,art_ref,0))),INDEX(art_price,MATCH($E1506,art_ref,0)),""),"")))</f>
        <v/>
      </c>
      <c r="K1506" s="71" t="n"/>
      <c r="L1506" s="72" t="n"/>
      <c r="M1506" s="72" t="str">
        <f>IF(E1506="","",IF(L1506&lt;&gt;"",L1506,IFERROR(IF(ISNUMBER(INDEX(art_tva,MATCH($E1506,art_ref,0))),INDEX(art_tva,MATCH($E1506,art_ref,0)),""),"")))</f>
        <v/>
      </c>
      <c r="N1506" s="70" t="str">
        <f>IF(OR(E1506="",J1506=""),"",ROUND(N(H1506)*J1506*(1-N(K1506)),2))</f>
        <v/>
      </c>
      <c r="O1506" s="70" t="str">
        <f>IF(OR(N1506="",NOT(ISNUMBER(M1506))),"",ROUND(N1506*M1506,2))</f>
        <v/>
      </c>
      <c r="P1506" s="70" t="str">
        <f>IF(N1506="","",N1506+N(O1506))</f>
        <v/>
      </c>
      <c r="Q1506" s="64" t="n"/>
      <c r="R1506" s="73" t="str">
        <f>IF(N(Q1506)&gt;0,Q1506,IF(OR(N(B1506)=0,ISNA(MATCH($C1506,sup_code,0))),"",IF(ISNUMBER(INDEX(sup_delay,MATCH($C1506,sup_code,0))),B1506+INDEX(sup_delay,MATCH($C1506,sup_code,0)),"")))</f>
        <v/>
      </c>
      <c r="S1506" s="64" t="n"/>
      <c r="T1506" s="68" t="n"/>
      <c r="U1506" s="64" t="n"/>
      <c r="V1506" s="65" t="n"/>
      <c r="W1506" s="74" t="str">
        <f>IF(AND(A1506="",E1506=""),"",IF(V1506="Oui",0,MAX(0,ROUND(N(H1506)-N(T1506),6))))</f>
        <v/>
      </c>
      <c r="X1506" s="67" t="str">
        <f>IF(AND(A1506="",E1506=""),"",IF(V1506="Oui","Annulé",IF(AND(N(H1506)&gt;0,N(T1506)&gt;=N(H1506)),"Reçu",IF(N(S1506)=0,"Brouillon",IF(AND(ISNUMBER(R1506),R1506&lt;p_today),"En retard",IF(N(T1506)&gt;0,"Partiel","Envoyé"))))))</f>
        <v/>
      </c>
      <c r="Y1506" s="75" t="str">
        <f>IF(X1506="En retard",p_today-R1506,IF(AND(X1506="Reçu",ISNUMBER(R1506)),MAX(0,N(U1506)-R1506),""))</f>
        <v/>
      </c>
      <c r="Z1506" s="67" t="str">
        <f>IF(AND(A1506="",E1506=""),"",IF(A1506="","N° de bon manquant",IF(N(B1506)=0,"Date de commande manquante",IF(C1506="","Fournisseur manquant",IF(ISNA(MATCH($C1506,sup_code,0)),"Fournisseur inconnu",IF(E1506="","Article manquant",IF(ISNA(MATCH($E1506,art_ref,0)),"Article inconnu",IF(N(H1506)&lt;=0,"Quantité invalide",IF(J1506="","Prix manquant",IF(OR(N(K1506)&lt;0,N(K1506)&gt;=1),"Remise invalide",IF(M1506="","TVA manquante",IF(ISNA(MATCH(M1506,p_tva,0)),"Taux de TVA inconnu",IF(COUNTIFS(po_num,A1506,po_sup,"&lt;&gt;"&amp;C1506)&gt;0,"Fournisseur différent sur ce bon",IF(COUNTIFS(po_num,A1506,po_date,"&lt;&gt;"&amp;B1506)&gt;0,"Date différente sur ce bon",IF(COUNTIF(po_num,A1506)&gt;25,"Plus de 25 lignes sur ce bon",IF(R1506="","Date de livraison manquante",IF(R1506&lt;B1506,"Livraison avant la commande",IF(AND(N(T1506)&gt;0,N(S1506)=0),"Date d'envoi manquante",IF(N(T1506)&gt;N(H1506),"Reçu plus que commandé",IF(AND(N(T1506)&gt;0,N(U1506)=0),"Date de réception manquante",IF(AND(N(U1506)&gt;0,U1506&lt;B1506),"Réception avant la commande","OK")))))))))))))))))))))</f>
        <v/>
      </c>
      <c r="AA1506" s="66" t="str">
        <f>IF(AND(X1506="Reçu",ISNUMBER(R1506)),IF(N(U1506)&lt;=R1506,1,0),"")</f>
        <v/>
      </c>
      <c r="AB1506" s="76" t="str">
        <f>IF(OR(X1506="Envoyé",X1506="Partiel",X1506="En retard"),IF(ISNUMBER(R1506),R1506,100000)+ROW()/100000,"")</f>
        <v/>
      </c>
      <c r="AC1506" s="66" t="str">
        <f>IF(A1506="","",IF(COUNTIF($A$6:A1506,A1506)=1,1,""))</f>
        <v/>
      </c>
      <c r="AD1506" s="66" t="str">
        <f>IF(AC1506=1,COUNT($AC$6:AC1506),"")</f>
        <v/>
      </c>
      <c r="AE1506" s="66" t="str">
        <f>IFERROR(INDEX(po_num,MATCH(1501,po_seq,0))&amp;"","")</f>
        <v/>
      </c>
      <c r="AF1506" s="66" t="str">
        <f>IF(OR(A1506="",p_po=""),"",IF(A1506&amp;""=p_po,COUNTIF($A$6:A1506,A1506),""))</f>
        <v/>
      </c>
      <c r="AG1506" s="66" t="str">
        <f>IF(OR(AB1506="",A1506=""),"",IF(COUNTIFS($A$6:A1506,A1506,$AB$6:AB1506,"&gt;0")=1,1,""))</f>
        <v/>
      </c>
      <c r="AH1506" s="70" t="str">
        <f>IF(AB1506="","",ROUND(N(W1506)*N(J1506)*(1-N(K1506)),2))</f>
        <v/>
      </c>
      <c r="AI1506" s="70" t="str">
        <f>IF(OR(J1506="",N(T1506)&lt;=0,V1506="Oui"),"",ROUND(N(T1506)*J1506*(1-N(K1506)),2))</f>
        <v/>
      </c>
    </row>
    <row r="1507">
      <c r="A1507" s="63" t="n"/>
      <c r="B1507" s="64" t="n"/>
      <c r="C1507" s="65" t="n"/>
      <c r="D1507" s="66" t="str">
        <f>IF(C1507="","",IFERROR(INDEX(sup_name,MATCH($C1507,sup_code,0))&amp;"","Fournisseur inconnu"))</f>
        <v/>
      </c>
      <c r="E1507" s="63" t="n"/>
      <c r="F1507" s="66" t="str">
        <f>IF(E1507="","",IFERROR(INDEX(art_des,MATCH($E1507,art_ref,0))&amp;"","Article inconnu"))</f>
        <v/>
      </c>
      <c r="G1507" s="67" t="str">
        <f>IF(E1507="","",IFERROR(INDEX(art_unit,MATCH($E1507,art_ref,0))&amp;"",""))</f>
        <v/>
      </c>
      <c r="H1507" s="68" t="n"/>
      <c r="I1507" s="69" t="n"/>
      <c r="J1507" s="70" t="str">
        <f>IF(E1507="","",IF(ISNUMBER(I1507),I1507,IFERROR(IF(ISNUMBER(INDEX(art_price,MATCH($E1507,art_ref,0))),INDEX(art_price,MATCH($E1507,art_ref,0)),""),"")))</f>
        <v/>
      </c>
      <c r="K1507" s="71" t="n"/>
      <c r="L1507" s="72" t="n"/>
      <c r="M1507" s="72" t="str">
        <f>IF(E1507="","",IF(L1507&lt;&gt;"",L1507,IFERROR(IF(ISNUMBER(INDEX(art_tva,MATCH($E1507,art_ref,0))),INDEX(art_tva,MATCH($E1507,art_ref,0)),""),"")))</f>
        <v/>
      </c>
      <c r="N1507" s="70" t="str">
        <f>IF(OR(E1507="",J1507=""),"",ROUND(N(H1507)*J1507*(1-N(K1507)),2))</f>
        <v/>
      </c>
      <c r="O1507" s="70" t="str">
        <f>IF(OR(N1507="",NOT(ISNUMBER(M1507))),"",ROUND(N1507*M1507,2))</f>
        <v/>
      </c>
      <c r="P1507" s="70" t="str">
        <f>IF(N1507="","",N1507+N(O1507))</f>
        <v/>
      </c>
      <c r="Q1507" s="64" t="n"/>
      <c r="R1507" s="73" t="str">
        <f>IF(N(Q1507)&gt;0,Q1507,IF(OR(N(B1507)=0,ISNA(MATCH($C1507,sup_code,0))),"",IF(ISNUMBER(INDEX(sup_delay,MATCH($C1507,sup_code,0))),B1507+INDEX(sup_delay,MATCH($C1507,sup_code,0)),"")))</f>
        <v/>
      </c>
      <c r="S1507" s="64" t="n"/>
      <c r="T1507" s="68" t="n"/>
      <c r="U1507" s="64" t="n"/>
      <c r="V1507" s="65" t="n"/>
      <c r="W1507" s="74" t="str">
        <f>IF(AND(A1507="",E1507=""),"",IF(V1507="Oui",0,MAX(0,ROUND(N(H1507)-N(T1507),6))))</f>
        <v/>
      </c>
      <c r="X1507" s="67" t="str">
        <f>IF(AND(A1507="",E1507=""),"",IF(V1507="Oui","Annulé",IF(AND(N(H1507)&gt;0,N(T1507)&gt;=N(H1507)),"Reçu",IF(N(S1507)=0,"Brouillon",IF(AND(ISNUMBER(R1507),R1507&lt;p_today),"En retard",IF(N(T1507)&gt;0,"Partiel","Envoyé"))))))</f>
        <v/>
      </c>
      <c r="Y1507" s="75" t="str">
        <f>IF(X1507="En retard",p_today-R1507,IF(AND(X1507="Reçu",ISNUMBER(R1507)),MAX(0,N(U1507)-R1507),""))</f>
        <v/>
      </c>
      <c r="Z1507" s="67" t="str">
        <f>IF(AND(A1507="",E1507=""),"",IF(A1507="","N° de bon manquant",IF(N(B1507)=0,"Date de commande manquante",IF(C1507="","Fournisseur manquant",IF(ISNA(MATCH($C1507,sup_code,0)),"Fournisseur inconnu",IF(E1507="","Article manquant",IF(ISNA(MATCH($E1507,art_ref,0)),"Article inconnu",IF(N(H1507)&lt;=0,"Quantité invalide",IF(J1507="","Prix manquant",IF(OR(N(K1507)&lt;0,N(K1507)&gt;=1),"Remise invalide",IF(M1507="","TVA manquante",IF(ISNA(MATCH(M1507,p_tva,0)),"Taux de TVA inconnu",IF(COUNTIFS(po_num,A1507,po_sup,"&lt;&gt;"&amp;C1507)&gt;0,"Fournisseur différent sur ce bon",IF(COUNTIFS(po_num,A1507,po_date,"&lt;&gt;"&amp;B1507)&gt;0,"Date différente sur ce bon",IF(COUNTIF(po_num,A1507)&gt;25,"Plus de 25 lignes sur ce bon",IF(R1507="","Date de livraison manquante",IF(R1507&lt;B1507,"Livraison avant la commande",IF(AND(N(T1507)&gt;0,N(S1507)=0),"Date d'envoi manquante",IF(N(T1507)&gt;N(H1507),"Reçu plus que commandé",IF(AND(N(T1507)&gt;0,N(U1507)=0),"Date de réception manquante",IF(AND(N(U1507)&gt;0,U1507&lt;B1507),"Réception avant la commande","OK")))))))))))))))))))))</f>
        <v/>
      </c>
      <c r="AA1507" s="66" t="str">
        <f>IF(AND(X1507="Reçu",ISNUMBER(R1507)),IF(N(U1507)&lt;=R1507,1,0),"")</f>
        <v/>
      </c>
      <c r="AB1507" s="76" t="str">
        <f>IF(OR(X1507="Envoyé",X1507="Partiel",X1507="En retard"),IF(ISNUMBER(R1507),R1507,100000)+ROW()/100000,"")</f>
        <v/>
      </c>
      <c r="AC1507" s="66" t="str">
        <f>IF(A1507="","",IF(COUNTIF($A$6:A1507,A1507)=1,1,""))</f>
        <v/>
      </c>
      <c r="AD1507" s="66" t="str">
        <f>IF(AC1507=1,COUNT($AC$6:AC1507),"")</f>
        <v/>
      </c>
      <c r="AE1507" s="66" t="str">
        <f>IFERROR(INDEX(po_num,MATCH(1502,po_seq,0))&amp;"","")</f>
        <v/>
      </c>
      <c r="AF1507" s="66" t="str">
        <f>IF(OR(A1507="",p_po=""),"",IF(A1507&amp;""=p_po,COUNTIF($A$6:A1507,A1507),""))</f>
        <v/>
      </c>
      <c r="AG1507" s="66" t="str">
        <f>IF(OR(AB1507="",A1507=""),"",IF(COUNTIFS($A$6:A1507,A1507,$AB$6:AB1507,"&gt;0")=1,1,""))</f>
        <v/>
      </c>
      <c r="AH1507" s="70" t="str">
        <f>IF(AB1507="","",ROUND(N(W1507)*N(J1507)*(1-N(K1507)),2))</f>
        <v/>
      </c>
      <c r="AI1507" s="70" t="str">
        <f>IF(OR(J1507="",N(T1507)&lt;=0,V1507="Oui"),"",ROUND(N(T1507)*J1507*(1-N(K1507)),2))</f>
        <v/>
      </c>
    </row>
    <row r="1508">
      <c r="A1508" s="63" t="n"/>
      <c r="B1508" s="64" t="n"/>
      <c r="C1508" s="65" t="n"/>
      <c r="D1508" s="66" t="str">
        <f>IF(C1508="","",IFERROR(INDEX(sup_name,MATCH($C1508,sup_code,0))&amp;"","Fournisseur inconnu"))</f>
        <v/>
      </c>
      <c r="E1508" s="63" t="n"/>
      <c r="F1508" s="66" t="str">
        <f>IF(E1508="","",IFERROR(INDEX(art_des,MATCH($E1508,art_ref,0))&amp;"","Article inconnu"))</f>
        <v/>
      </c>
      <c r="G1508" s="67" t="str">
        <f>IF(E1508="","",IFERROR(INDEX(art_unit,MATCH($E1508,art_ref,0))&amp;"",""))</f>
        <v/>
      </c>
      <c r="H1508" s="68" t="n"/>
      <c r="I1508" s="69" t="n"/>
      <c r="J1508" s="70" t="str">
        <f>IF(E1508="","",IF(ISNUMBER(I1508),I1508,IFERROR(IF(ISNUMBER(INDEX(art_price,MATCH($E1508,art_ref,0))),INDEX(art_price,MATCH($E1508,art_ref,0)),""),"")))</f>
        <v/>
      </c>
      <c r="K1508" s="71" t="n"/>
      <c r="L1508" s="72" t="n"/>
      <c r="M1508" s="72" t="str">
        <f>IF(E1508="","",IF(L1508&lt;&gt;"",L1508,IFERROR(IF(ISNUMBER(INDEX(art_tva,MATCH($E1508,art_ref,0))),INDEX(art_tva,MATCH($E1508,art_ref,0)),""),"")))</f>
        <v/>
      </c>
      <c r="N1508" s="70" t="str">
        <f>IF(OR(E1508="",J1508=""),"",ROUND(N(H1508)*J1508*(1-N(K1508)),2))</f>
        <v/>
      </c>
      <c r="O1508" s="70" t="str">
        <f>IF(OR(N1508="",NOT(ISNUMBER(M1508))),"",ROUND(N1508*M1508,2))</f>
        <v/>
      </c>
      <c r="P1508" s="70" t="str">
        <f>IF(N1508="","",N1508+N(O1508))</f>
        <v/>
      </c>
      <c r="Q1508" s="64" t="n"/>
      <c r="R1508" s="73" t="str">
        <f>IF(N(Q1508)&gt;0,Q1508,IF(OR(N(B1508)=0,ISNA(MATCH($C1508,sup_code,0))),"",IF(ISNUMBER(INDEX(sup_delay,MATCH($C1508,sup_code,0))),B1508+INDEX(sup_delay,MATCH($C1508,sup_code,0)),"")))</f>
        <v/>
      </c>
      <c r="S1508" s="64" t="n"/>
      <c r="T1508" s="68" t="n"/>
      <c r="U1508" s="64" t="n"/>
      <c r="V1508" s="65" t="n"/>
      <c r="W1508" s="74" t="str">
        <f>IF(AND(A1508="",E1508=""),"",IF(V1508="Oui",0,MAX(0,ROUND(N(H1508)-N(T1508),6))))</f>
        <v/>
      </c>
      <c r="X1508" s="67" t="str">
        <f>IF(AND(A1508="",E1508=""),"",IF(V1508="Oui","Annulé",IF(AND(N(H1508)&gt;0,N(T1508)&gt;=N(H1508)),"Reçu",IF(N(S1508)=0,"Brouillon",IF(AND(ISNUMBER(R1508),R1508&lt;p_today),"En retard",IF(N(T1508)&gt;0,"Partiel","Envoyé"))))))</f>
        <v/>
      </c>
      <c r="Y1508" s="75" t="str">
        <f>IF(X1508="En retard",p_today-R1508,IF(AND(X1508="Reçu",ISNUMBER(R1508)),MAX(0,N(U1508)-R1508),""))</f>
        <v/>
      </c>
      <c r="Z1508" s="67" t="str">
        <f>IF(AND(A1508="",E1508=""),"",IF(A1508="","N° de bon manquant",IF(N(B1508)=0,"Date de commande manquante",IF(C1508="","Fournisseur manquant",IF(ISNA(MATCH($C1508,sup_code,0)),"Fournisseur inconnu",IF(E1508="","Article manquant",IF(ISNA(MATCH($E1508,art_ref,0)),"Article inconnu",IF(N(H1508)&lt;=0,"Quantité invalide",IF(J1508="","Prix manquant",IF(OR(N(K1508)&lt;0,N(K1508)&gt;=1),"Remise invalide",IF(M1508="","TVA manquante",IF(ISNA(MATCH(M1508,p_tva,0)),"Taux de TVA inconnu",IF(COUNTIFS(po_num,A1508,po_sup,"&lt;&gt;"&amp;C1508)&gt;0,"Fournisseur différent sur ce bon",IF(COUNTIFS(po_num,A1508,po_date,"&lt;&gt;"&amp;B1508)&gt;0,"Date différente sur ce bon",IF(COUNTIF(po_num,A1508)&gt;25,"Plus de 25 lignes sur ce bon",IF(R1508="","Date de livraison manquante",IF(R1508&lt;B1508,"Livraison avant la commande",IF(AND(N(T1508)&gt;0,N(S1508)=0),"Date d'envoi manquante",IF(N(T1508)&gt;N(H1508),"Reçu plus que commandé",IF(AND(N(T1508)&gt;0,N(U1508)=0),"Date de réception manquante",IF(AND(N(U1508)&gt;0,U1508&lt;B1508),"Réception avant la commande","OK")))))))))))))))))))))</f>
        <v/>
      </c>
      <c r="AA1508" s="66" t="str">
        <f>IF(AND(X1508="Reçu",ISNUMBER(R1508)),IF(N(U1508)&lt;=R1508,1,0),"")</f>
        <v/>
      </c>
      <c r="AB1508" s="76" t="str">
        <f>IF(OR(X1508="Envoyé",X1508="Partiel",X1508="En retard"),IF(ISNUMBER(R1508),R1508,100000)+ROW()/100000,"")</f>
        <v/>
      </c>
      <c r="AC1508" s="66" t="str">
        <f>IF(A1508="","",IF(COUNTIF($A$6:A1508,A1508)=1,1,""))</f>
        <v/>
      </c>
      <c r="AD1508" s="66" t="str">
        <f>IF(AC1508=1,COUNT($AC$6:AC1508),"")</f>
        <v/>
      </c>
      <c r="AE1508" s="66" t="str">
        <f>IFERROR(INDEX(po_num,MATCH(1503,po_seq,0))&amp;"","")</f>
        <v/>
      </c>
      <c r="AF1508" s="66" t="str">
        <f>IF(OR(A1508="",p_po=""),"",IF(A1508&amp;""=p_po,COUNTIF($A$6:A1508,A1508),""))</f>
        <v/>
      </c>
      <c r="AG1508" s="66" t="str">
        <f>IF(OR(AB1508="",A1508=""),"",IF(COUNTIFS($A$6:A1508,A1508,$AB$6:AB1508,"&gt;0")=1,1,""))</f>
        <v/>
      </c>
      <c r="AH1508" s="70" t="str">
        <f>IF(AB1508="","",ROUND(N(W1508)*N(J1508)*(1-N(K1508)),2))</f>
        <v/>
      </c>
      <c r="AI1508" s="70" t="str">
        <f>IF(OR(J1508="",N(T1508)&lt;=0,V1508="Oui"),"",ROUND(N(T1508)*J1508*(1-N(K1508)),2))</f>
        <v/>
      </c>
    </row>
    <row r="1509">
      <c r="A1509" s="63" t="n"/>
      <c r="B1509" s="64" t="n"/>
      <c r="C1509" s="65" t="n"/>
      <c r="D1509" s="66" t="str">
        <f>IF(C1509="","",IFERROR(INDEX(sup_name,MATCH($C1509,sup_code,0))&amp;"","Fournisseur inconnu"))</f>
        <v/>
      </c>
      <c r="E1509" s="63" t="n"/>
      <c r="F1509" s="66" t="str">
        <f>IF(E1509="","",IFERROR(INDEX(art_des,MATCH($E1509,art_ref,0))&amp;"","Article inconnu"))</f>
        <v/>
      </c>
      <c r="G1509" s="67" t="str">
        <f>IF(E1509="","",IFERROR(INDEX(art_unit,MATCH($E1509,art_ref,0))&amp;"",""))</f>
        <v/>
      </c>
      <c r="H1509" s="68" t="n"/>
      <c r="I1509" s="69" t="n"/>
      <c r="J1509" s="70" t="str">
        <f>IF(E1509="","",IF(ISNUMBER(I1509),I1509,IFERROR(IF(ISNUMBER(INDEX(art_price,MATCH($E1509,art_ref,0))),INDEX(art_price,MATCH($E1509,art_ref,0)),""),"")))</f>
        <v/>
      </c>
      <c r="K1509" s="71" t="n"/>
      <c r="L1509" s="72" t="n"/>
      <c r="M1509" s="72" t="str">
        <f>IF(E1509="","",IF(L1509&lt;&gt;"",L1509,IFERROR(IF(ISNUMBER(INDEX(art_tva,MATCH($E1509,art_ref,0))),INDEX(art_tva,MATCH($E1509,art_ref,0)),""),"")))</f>
        <v/>
      </c>
      <c r="N1509" s="70" t="str">
        <f>IF(OR(E1509="",J1509=""),"",ROUND(N(H1509)*J1509*(1-N(K1509)),2))</f>
        <v/>
      </c>
      <c r="O1509" s="70" t="str">
        <f>IF(OR(N1509="",NOT(ISNUMBER(M1509))),"",ROUND(N1509*M1509,2))</f>
        <v/>
      </c>
      <c r="P1509" s="70" t="str">
        <f>IF(N1509="","",N1509+N(O1509))</f>
        <v/>
      </c>
      <c r="Q1509" s="64" t="n"/>
      <c r="R1509" s="73" t="str">
        <f>IF(N(Q1509)&gt;0,Q1509,IF(OR(N(B1509)=0,ISNA(MATCH($C1509,sup_code,0))),"",IF(ISNUMBER(INDEX(sup_delay,MATCH($C1509,sup_code,0))),B1509+INDEX(sup_delay,MATCH($C1509,sup_code,0)),"")))</f>
        <v/>
      </c>
      <c r="S1509" s="64" t="n"/>
      <c r="T1509" s="68" t="n"/>
      <c r="U1509" s="64" t="n"/>
      <c r="V1509" s="65" t="n"/>
      <c r="W1509" s="74" t="str">
        <f>IF(AND(A1509="",E1509=""),"",IF(V1509="Oui",0,MAX(0,ROUND(N(H1509)-N(T1509),6))))</f>
        <v/>
      </c>
      <c r="X1509" s="67" t="str">
        <f>IF(AND(A1509="",E1509=""),"",IF(V1509="Oui","Annulé",IF(AND(N(H1509)&gt;0,N(T1509)&gt;=N(H1509)),"Reçu",IF(N(S1509)=0,"Brouillon",IF(AND(ISNUMBER(R1509),R1509&lt;p_today),"En retard",IF(N(T1509)&gt;0,"Partiel","Envoyé"))))))</f>
        <v/>
      </c>
      <c r="Y1509" s="75" t="str">
        <f>IF(X1509="En retard",p_today-R1509,IF(AND(X1509="Reçu",ISNUMBER(R1509)),MAX(0,N(U1509)-R1509),""))</f>
        <v/>
      </c>
      <c r="Z1509" s="67" t="str">
        <f>IF(AND(A1509="",E1509=""),"",IF(A1509="","N° de bon manquant",IF(N(B1509)=0,"Date de commande manquante",IF(C1509="","Fournisseur manquant",IF(ISNA(MATCH($C1509,sup_code,0)),"Fournisseur inconnu",IF(E1509="","Article manquant",IF(ISNA(MATCH($E1509,art_ref,0)),"Article inconnu",IF(N(H1509)&lt;=0,"Quantité invalide",IF(J1509="","Prix manquant",IF(OR(N(K1509)&lt;0,N(K1509)&gt;=1),"Remise invalide",IF(M1509="","TVA manquante",IF(ISNA(MATCH(M1509,p_tva,0)),"Taux de TVA inconnu",IF(COUNTIFS(po_num,A1509,po_sup,"&lt;&gt;"&amp;C1509)&gt;0,"Fournisseur différent sur ce bon",IF(COUNTIFS(po_num,A1509,po_date,"&lt;&gt;"&amp;B1509)&gt;0,"Date différente sur ce bon",IF(COUNTIF(po_num,A1509)&gt;25,"Plus de 25 lignes sur ce bon",IF(R1509="","Date de livraison manquante",IF(R1509&lt;B1509,"Livraison avant la commande",IF(AND(N(T1509)&gt;0,N(S1509)=0),"Date d'envoi manquante",IF(N(T1509)&gt;N(H1509),"Reçu plus que commandé",IF(AND(N(T1509)&gt;0,N(U1509)=0),"Date de réception manquante",IF(AND(N(U1509)&gt;0,U1509&lt;B1509),"Réception avant la commande","OK")))))))))))))))))))))</f>
        <v/>
      </c>
      <c r="AA1509" s="66" t="str">
        <f>IF(AND(X1509="Reçu",ISNUMBER(R1509)),IF(N(U1509)&lt;=R1509,1,0),"")</f>
        <v/>
      </c>
      <c r="AB1509" s="76" t="str">
        <f>IF(OR(X1509="Envoyé",X1509="Partiel",X1509="En retard"),IF(ISNUMBER(R1509),R1509,100000)+ROW()/100000,"")</f>
        <v/>
      </c>
      <c r="AC1509" s="66" t="str">
        <f>IF(A1509="","",IF(COUNTIF($A$6:A1509,A1509)=1,1,""))</f>
        <v/>
      </c>
      <c r="AD1509" s="66" t="str">
        <f>IF(AC1509=1,COUNT($AC$6:AC1509),"")</f>
        <v/>
      </c>
      <c r="AE1509" s="66" t="str">
        <f>IFERROR(INDEX(po_num,MATCH(1504,po_seq,0))&amp;"","")</f>
        <v/>
      </c>
      <c r="AF1509" s="66" t="str">
        <f>IF(OR(A1509="",p_po=""),"",IF(A1509&amp;""=p_po,COUNTIF($A$6:A1509,A1509),""))</f>
        <v/>
      </c>
      <c r="AG1509" s="66" t="str">
        <f>IF(OR(AB1509="",A1509=""),"",IF(COUNTIFS($A$6:A1509,A1509,$AB$6:AB1509,"&gt;0")=1,1,""))</f>
        <v/>
      </c>
      <c r="AH1509" s="70" t="str">
        <f>IF(AB1509="","",ROUND(N(W1509)*N(J1509)*(1-N(K1509)),2))</f>
        <v/>
      </c>
      <c r="AI1509" s="70" t="str">
        <f>IF(OR(J1509="",N(T1509)&lt;=0,V1509="Oui"),"",ROUND(N(T1509)*J1509*(1-N(K1509)),2))</f>
        <v/>
      </c>
    </row>
    <row r="1510">
      <c r="A1510" s="63" t="n"/>
      <c r="B1510" s="64" t="n"/>
      <c r="C1510" s="65" t="n"/>
      <c r="D1510" s="66" t="str">
        <f>IF(C1510="","",IFERROR(INDEX(sup_name,MATCH($C1510,sup_code,0))&amp;"","Fournisseur inconnu"))</f>
        <v/>
      </c>
      <c r="E1510" s="63" t="n"/>
      <c r="F1510" s="66" t="str">
        <f>IF(E1510="","",IFERROR(INDEX(art_des,MATCH($E1510,art_ref,0))&amp;"","Article inconnu"))</f>
        <v/>
      </c>
      <c r="G1510" s="67" t="str">
        <f>IF(E1510="","",IFERROR(INDEX(art_unit,MATCH($E1510,art_ref,0))&amp;"",""))</f>
        <v/>
      </c>
      <c r="H1510" s="68" t="n"/>
      <c r="I1510" s="69" t="n"/>
      <c r="J1510" s="70" t="str">
        <f>IF(E1510="","",IF(ISNUMBER(I1510),I1510,IFERROR(IF(ISNUMBER(INDEX(art_price,MATCH($E1510,art_ref,0))),INDEX(art_price,MATCH($E1510,art_ref,0)),""),"")))</f>
        <v/>
      </c>
      <c r="K1510" s="71" t="n"/>
      <c r="L1510" s="72" t="n"/>
      <c r="M1510" s="72" t="str">
        <f>IF(E1510="","",IF(L1510&lt;&gt;"",L1510,IFERROR(IF(ISNUMBER(INDEX(art_tva,MATCH($E1510,art_ref,0))),INDEX(art_tva,MATCH($E1510,art_ref,0)),""),"")))</f>
        <v/>
      </c>
      <c r="N1510" s="70" t="str">
        <f>IF(OR(E1510="",J1510=""),"",ROUND(N(H1510)*J1510*(1-N(K1510)),2))</f>
        <v/>
      </c>
      <c r="O1510" s="70" t="str">
        <f>IF(OR(N1510="",NOT(ISNUMBER(M1510))),"",ROUND(N1510*M1510,2))</f>
        <v/>
      </c>
      <c r="P1510" s="70" t="str">
        <f>IF(N1510="","",N1510+N(O1510))</f>
        <v/>
      </c>
      <c r="Q1510" s="64" t="n"/>
      <c r="R1510" s="73" t="str">
        <f>IF(N(Q1510)&gt;0,Q1510,IF(OR(N(B1510)=0,ISNA(MATCH($C1510,sup_code,0))),"",IF(ISNUMBER(INDEX(sup_delay,MATCH($C1510,sup_code,0))),B1510+INDEX(sup_delay,MATCH($C1510,sup_code,0)),"")))</f>
        <v/>
      </c>
      <c r="S1510" s="64" t="n"/>
      <c r="T1510" s="68" t="n"/>
      <c r="U1510" s="64" t="n"/>
      <c r="V1510" s="65" t="n"/>
      <c r="W1510" s="74" t="str">
        <f>IF(AND(A1510="",E1510=""),"",IF(V1510="Oui",0,MAX(0,ROUND(N(H1510)-N(T1510),6))))</f>
        <v/>
      </c>
      <c r="X1510" s="67" t="str">
        <f>IF(AND(A1510="",E1510=""),"",IF(V1510="Oui","Annulé",IF(AND(N(H1510)&gt;0,N(T1510)&gt;=N(H1510)),"Reçu",IF(N(S1510)=0,"Brouillon",IF(AND(ISNUMBER(R1510),R1510&lt;p_today),"En retard",IF(N(T1510)&gt;0,"Partiel","Envoyé"))))))</f>
        <v/>
      </c>
      <c r="Y1510" s="75" t="str">
        <f>IF(X1510="En retard",p_today-R1510,IF(AND(X1510="Reçu",ISNUMBER(R1510)),MAX(0,N(U1510)-R1510),""))</f>
        <v/>
      </c>
      <c r="Z1510" s="67" t="str">
        <f>IF(AND(A1510="",E1510=""),"",IF(A1510="","N° de bon manquant",IF(N(B1510)=0,"Date de commande manquante",IF(C1510="","Fournisseur manquant",IF(ISNA(MATCH($C1510,sup_code,0)),"Fournisseur inconnu",IF(E1510="","Article manquant",IF(ISNA(MATCH($E1510,art_ref,0)),"Article inconnu",IF(N(H1510)&lt;=0,"Quantité invalide",IF(J1510="","Prix manquant",IF(OR(N(K1510)&lt;0,N(K1510)&gt;=1),"Remise invalide",IF(M1510="","TVA manquante",IF(ISNA(MATCH(M1510,p_tva,0)),"Taux de TVA inconnu",IF(COUNTIFS(po_num,A1510,po_sup,"&lt;&gt;"&amp;C1510)&gt;0,"Fournisseur différent sur ce bon",IF(COUNTIFS(po_num,A1510,po_date,"&lt;&gt;"&amp;B1510)&gt;0,"Date différente sur ce bon",IF(COUNTIF(po_num,A1510)&gt;25,"Plus de 25 lignes sur ce bon",IF(R1510="","Date de livraison manquante",IF(R1510&lt;B1510,"Livraison avant la commande",IF(AND(N(T1510)&gt;0,N(S1510)=0),"Date d'envoi manquante",IF(N(T1510)&gt;N(H1510),"Reçu plus que commandé",IF(AND(N(T1510)&gt;0,N(U1510)=0),"Date de réception manquante",IF(AND(N(U1510)&gt;0,U1510&lt;B1510),"Réception avant la commande","OK")))))))))))))))))))))</f>
        <v/>
      </c>
      <c r="AA1510" s="66" t="str">
        <f>IF(AND(X1510="Reçu",ISNUMBER(R1510)),IF(N(U1510)&lt;=R1510,1,0),"")</f>
        <v/>
      </c>
      <c r="AB1510" s="76" t="str">
        <f>IF(OR(X1510="Envoyé",X1510="Partiel",X1510="En retard"),IF(ISNUMBER(R1510),R1510,100000)+ROW()/100000,"")</f>
        <v/>
      </c>
      <c r="AC1510" s="66" t="str">
        <f>IF(A1510="","",IF(COUNTIF($A$6:A1510,A1510)=1,1,""))</f>
        <v/>
      </c>
      <c r="AD1510" s="66" t="str">
        <f>IF(AC1510=1,COUNT($AC$6:AC1510),"")</f>
        <v/>
      </c>
      <c r="AE1510" s="66" t="str">
        <f>IFERROR(INDEX(po_num,MATCH(1505,po_seq,0))&amp;"","")</f>
        <v/>
      </c>
      <c r="AF1510" s="66" t="str">
        <f>IF(OR(A1510="",p_po=""),"",IF(A1510&amp;""=p_po,COUNTIF($A$6:A1510,A1510),""))</f>
        <v/>
      </c>
      <c r="AG1510" s="66" t="str">
        <f>IF(OR(AB1510="",A1510=""),"",IF(COUNTIFS($A$6:A1510,A1510,$AB$6:AB1510,"&gt;0")=1,1,""))</f>
        <v/>
      </c>
      <c r="AH1510" s="70" t="str">
        <f>IF(AB1510="","",ROUND(N(W1510)*N(J1510)*(1-N(K1510)),2))</f>
        <v/>
      </c>
      <c r="AI1510" s="70" t="str">
        <f>IF(OR(J1510="",N(T1510)&lt;=0,V1510="Oui"),"",ROUND(N(T1510)*J1510*(1-N(K1510)),2))</f>
        <v/>
      </c>
    </row>
    <row r="1511">
      <c r="A1511" s="63" t="n"/>
      <c r="B1511" s="64" t="n"/>
      <c r="C1511" s="65" t="n"/>
      <c r="D1511" s="66" t="str">
        <f>IF(C1511="","",IFERROR(INDEX(sup_name,MATCH($C1511,sup_code,0))&amp;"","Fournisseur inconnu"))</f>
        <v/>
      </c>
      <c r="E1511" s="63" t="n"/>
      <c r="F1511" s="66" t="str">
        <f>IF(E1511="","",IFERROR(INDEX(art_des,MATCH($E1511,art_ref,0))&amp;"","Article inconnu"))</f>
        <v/>
      </c>
      <c r="G1511" s="67" t="str">
        <f>IF(E1511="","",IFERROR(INDEX(art_unit,MATCH($E1511,art_ref,0))&amp;"",""))</f>
        <v/>
      </c>
      <c r="H1511" s="68" t="n"/>
      <c r="I1511" s="69" t="n"/>
      <c r="J1511" s="70" t="str">
        <f>IF(E1511="","",IF(ISNUMBER(I1511),I1511,IFERROR(IF(ISNUMBER(INDEX(art_price,MATCH($E1511,art_ref,0))),INDEX(art_price,MATCH($E1511,art_ref,0)),""),"")))</f>
        <v/>
      </c>
      <c r="K1511" s="71" t="n"/>
      <c r="L1511" s="72" t="n"/>
      <c r="M1511" s="72" t="str">
        <f>IF(E1511="","",IF(L1511&lt;&gt;"",L1511,IFERROR(IF(ISNUMBER(INDEX(art_tva,MATCH($E1511,art_ref,0))),INDEX(art_tva,MATCH($E1511,art_ref,0)),""),"")))</f>
        <v/>
      </c>
      <c r="N1511" s="70" t="str">
        <f>IF(OR(E1511="",J1511=""),"",ROUND(N(H1511)*J1511*(1-N(K1511)),2))</f>
        <v/>
      </c>
      <c r="O1511" s="70" t="str">
        <f>IF(OR(N1511="",NOT(ISNUMBER(M1511))),"",ROUND(N1511*M1511,2))</f>
        <v/>
      </c>
      <c r="P1511" s="70" t="str">
        <f>IF(N1511="","",N1511+N(O1511))</f>
        <v/>
      </c>
      <c r="Q1511" s="64" t="n"/>
      <c r="R1511" s="73" t="str">
        <f>IF(N(Q1511)&gt;0,Q1511,IF(OR(N(B1511)=0,ISNA(MATCH($C1511,sup_code,0))),"",IF(ISNUMBER(INDEX(sup_delay,MATCH($C1511,sup_code,0))),B1511+INDEX(sup_delay,MATCH($C1511,sup_code,0)),"")))</f>
        <v/>
      </c>
      <c r="S1511" s="64" t="n"/>
      <c r="T1511" s="68" t="n"/>
      <c r="U1511" s="64" t="n"/>
      <c r="V1511" s="65" t="n"/>
      <c r="W1511" s="74" t="str">
        <f>IF(AND(A1511="",E1511=""),"",IF(V1511="Oui",0,MAX(0,ROUND(N(H1511)-N(T1511),6))))</f>
        <v/>
      </c>
      <c r="X1511" s="67" t="str">
        <f>IF(AND(A1511="",E1511=""),"",IF(V1511="Oui","Annulé",IF(AND(N(H1511)&gt;0,N(T1511)&gt;=N(H1511)),"Reçu",IF(N(S1511)=0,"Brouillon",IF(AND(ISNUMBER(R1511),R1511&lt;p_today),"En retard",IF(N(T1511)&gt;0,"Partiel","Envoyé"))))))</f>
        <v/>
      </c>
      <c r="Y1511" s="75" t="str">
        <f>IF(X1511="En retard",p_today-R1511,IF(AND(X1511="Reçu",ISNUMBER(R1511)),MAX(0,N(U1511)-R1511),""))</f>
        <v/>
      </c>
      <c r="Z1511" s="67" t="str">
        <f>IF(AND(A1511="",E1511=""),"",IF(A1511="","N° de bon manquant",IF(N(B1511)=0,"Date de commande manquante",IF(C1511="","Fournisseur manquant",IF(ISNA(MATCH($C1511,sup_code,0)),"Fournisseur inconnu",IF(E1511="","Article manquant",IF(ISNA(MATCH($E1511,art_ref,0)),"Article inconnu",IF(N(H1511)&lt;=0,"Quantité invalide",IF(J1511="","Prix manquant",IF(OR(N(K1511)&lt;0,N(K1511)&gt;=1),"Remise invalide",IF(M1511="","TVA manquante",IF(ISNA(MATCH(M1511,p_tva,0)),"Taux de TVA inconnu",IF(COUNTIFS(po_num,A1511,po_sup,"&lt;&gt;"&amp;C1511)&gt;0,"Fournisseur différent sur ce bon",IF(COUNTIFS(po_num,A1511,po_date,"&lt;&gt;"&amp;B1511)&gt;0,"Date différente sur ce bon",IF(COUNTIF(po_num,A1511)&gt;25,"Plus de 25 lignes sur ce bon",IF(R1511="","Date de livraison manquante",IF(R1511&lt;B1511,"Livraison avant la commande",IF(AND(N(T1511)&gt;0,N(S1511)=0),"Date d'envoi manquante",IF(N(T1511)&gt;N(H1511),"Reçu plus que commandé",IF(AND(N(T1511)&gt;0,N(U1511)=0),"Date de réception manquante",IF(AND(N(U1511)&gt;0,U1511&lt;B1511),"Réception avant la commande","OK")))))))))))))))))))))</f>
        <v/>
      </c>
      <c r="AA1511" s="66" t="str">
        <f>IF(AND(X1511="Reçu",ISNUMBER(R1511)),IF(N(U1511)&lt;=R1511,1,0),"")</f>
        <v/>
      </c>
      <c r="AB1511" s="76" t="str">
        <f>IF(OR(X1511="Envoyé",X1511="Partiel",X1511="En retard"),IF(ISNUMBER(R1511),R1511,100000)+ROW()/100000,"")</f>
        <v/>
      </c>
      <c r="AC1511" s="66" t="str">
        <f>IF(A1511="","",IF(COUNTIF($A$6:A1511,A1511)=1,1,""))</f>
        <v/>
      </c>
      <c r="AD1511" s="66" t="str">
        <f>IF(AC1511=1,COUNT($AC$6:AC1511),"")</f>
        <v/>
      </c>
      <c r="AE1511" s="66" t="str">
        <f>IFERROR(INDEX(po_num,MATCH(1506,po_seq,0))&amp;"","")</f>
        <v/>
      </c>
      <c r="AF1511" s="66" t="str">
        <f>IF(OR(A1511="",p_po=""),"",IF(A1511&amp;""=p_po,COUNTIF($A$6:A1511,A1511),""))</f>
        <v/>
      </c>
      <c r="AG1511" s="66" t="str">
        <f>IF(OR(AB1511="",A1511=""),"",IF(COUNTIFS($A$6:A1511,A1511,$AB$6:AB1511,"&gt;0")=1,1,""))</f>
        <v/>
      </c>
      <c r="AH1511" s="70" t="str">
        <f>IF(AB1511="","",ROUND(N(W1511)*N(J1511)*(1-N(K1511)),2))</f>
        <v/>
      </c>
      <c r="AI1511" s="70" t="str">
        <f>IF(OR(J1511="",N(T1511)&lt;=0,V1511="Oui"),"",ROUND(N(T1511)*J1511*(1-N(K1511)),2))</f>
        <v/>
      </c>
    </row>
    <row r="1512">
      <c r="A1512" s="63" t="n"/>
      <c r="B1512" s="64" t="n"/>
      <c r="C1512" s="65" t="n"/>
      <c r="D1512" s="66" t="str">
        <f>IF(C1512="","",IFERROR(INDEX(sup_name,MATCH($C1512,sup_code,0))&amp;"","Fournisseur inconnu"))</f>
        <v/>
      </c>
      <c r="E1512" s="63" t="n"/>
      <c r="F1512" s="66" t="str">
        <f>IF(E1512="","",IFERROR(INDEX(art_des,MATCH($E1512,art_ref,0))&amp;"","Article inconnu"))</f>
        <v/>
      </c>
      <c r="G1512" s="67" t="str">
        <f>IF(E1512="","",IFERROR(INDEX(art_unit,MATCH($E1512,art_ref,0))&amp;"",""))</f>
        <v/>
      </c>
      <c r="H1512" s="68" t="n"/>
      <c r="I1512" s="69" t="n"/>
      <c r="J1512" s="70" t="str">
        <f>IF(E1512="","",IF(ISNUMBER(I1512),I1512,IFERROR(IF(ISNUMBER(INDEX(art_price,MATCH($E1512,art_ref,0))),INDEX(art_price,MATCH($E1512,art_ref,0)),""),"")))</f>
        <v/>
      </c>
      <c r="K1512" s="71" t="n"/>
      <c r="L1512" s="72" t="n"/>
      <c r="M1512" s="72" t="str">
        <f>IF(E1512="","",IF(L1512&lt;&gt;"",L1512,IFERROR(IF(ISNUMBER(INDEX(art_tva,MATCH($E1512,art_ref,0))),INDEX(art_tva,MATCH($E1512,art_ref,0)),""),"")))</f>
        <v/>
      </c>
      <c r="N1512" s="70" t="str">
        <f>IF(OR(E1512="",J1512=""),"",ROUND(N(H1512)*J1512*(1-N(K1512)),2))</f>
        <v/>
      </c>
      <c r="O1512" s="70" t="str">
        <f>IF(OR(N1512="",NOT(ISNUMBER(M1512))),"",ROUND(N1512*M1512,2))</f>
        <v/>
      </c>
      <c r="P1512" s="70" t="str">
        <f>IF(N1512="","",N1512+N(O1512))</f>
        <v/>
      </c>
      <c r="Q1512" s="64" t="n"/>
      <c r="R1512" s="73" t="str">
        <f>IF(N(Q1512)&gt;0,Q1512,IF(OR(N(B1512)=0,ISNA(MATCH($C1512,sup_code,0))),"",IF(ISNUMBER(INDEX(sup_delay,MATCH($C1512,sup_code,0))),B1512+INDEX(sup_delay,MATCH($C1512,sup_code,0)),"")))</f>
        <v/>
      </c>
      <c r="S1512" s="64" t="n"/>
      <c r="T1512" s="68" t="n"/>
      <c r="U1512" s="64" t="n"/>
      <c r="V1512" s="65" t="n"/>
      <c r="W1512" s="74" t="str">
        <f>IF(AND(A1512="",E1512=""),"",IF(V1512="Oui",0,MAX(0,ROUND(N(H1512)-N(T1512),6))))</f>
        <v/>
      </c>
      <c r="X1512" s="67" t="str">
        <f>IF(AND(A1512="",E1512=""),"",IF(V1512="Oui","Annulé",IF(AND(N(H1512)&gt;0,N(T1512)&gt;=N(H1512)),"Reçu",IF(N(S1512)=0,"Brouillon",IF(AND(ISNUMBER(R1512),R1512&lt;p_today),"En retard",IF(N(T1512)&gt;0,"Partiel","Envoyé"))))))</f>
        <v/>
      </c>
      <c r="Y1512" s="75" t="str">
        <f>IF(X1512="En retard",p_today-R1512,IF(AND(X1512="Reçu",ISNUMBER(R1512)),MAX(0,N(U1512)-R1512),""))</f>
        <v/>
      </c>
      <c r="Z1512" s="67" t="str">
        <f>IF(AND(A1512="",E1512=""),"",IF(A1512="","N° de bon manquant",IF(N(B1512)=0,"Date de commande manquante",IF(C1512="","Fournisseur manquant",IF(ISNA(MATCH($C1512,sup_code,0)),"Fournisseur inconnu",IF(E1512="","Article manquant",IF(ISNA(MATCH($E1512,art_ref,0)),"Article inconnu",IF(N(H1512)&lt;=0,"Quantité invalide",IF(J1512="","Prix manquant",IF(OR(N(K1512)&lt;0,N(K1512)&gt;=1),"Remise invalide",IF(M1512="","TVA manquante",IF(ISNA(MATCH(M1512,p_tva,0)),"Taux de TVA inconnu",IF(COUNTIFS(po_num,A1512,po_sup,"&lt;&gt;"&amp;C1512)&gt;0,"Fournisseur différent sur ce bon",IF(COUNTIFS(po_num,A1512,po_date,"&lt;&gt;"&amp;B1512)&gt;0,"Date différente sur ce bon",IF(COUNTIF(po_num,A1512)&gt;25,"Plus de 25 lignes sur ce bon",IF(R1512="","Date de livraison manquante",IF(R1512&lt;B1512,"Livraison avant la commande",IF(AND(N(T1512)&gt;0,N(S1512)=0),"Date d'envoi manquante",IF(N(T1512)&gt;N(H1512),"Reçu plus que commandé",IF(AND(N(T1512)&gt;0,N(U1512)=0),"Date de réception manquante",IF(AND(N(U1512)&gt;0,U1512&lt;B1512),"Réception avant la commande","OK")))))))))))))))))))))</f>
        <v/>
      </c>
      <c r="AA1512" s="66" t="str">
        <f>IF(AND(X1512="Reçu",ISNUMBER(R1512)),IF(N(U1512)&lt;=R1512,1,0),"")</f>
        <v/>
      </c>
      <c r="AB1512" s="76" t="str">
        <f>IF(OR(X1512="Envoyé",X1512="Partiel",X1512="En retard"),IF(ISNUMBER(R1512),R1512,100000)+ROW()/100000,"")</f>
        <v/>
      </c>
      <c r="AC1512" s="66" t="str">
        <f>IF(A1512="","",IF(COUNTIF($A$6:A1512,A1512)=1,1,""))</f>
        <v/>
      </c>
      <c r="AD1512" s="66" t="str">
        <f>IF(AC1512=1,COUNT($AC$6:AC1512),"")</f>
        <v/>
      </c>
      <c r="AE1512" s="66" t="str">
        <f>IFERROR(INDEX(po_num,MATCH(1507,po_seq,0))&amp;"","")</f>
        <v/>
      </c>
      <c r="AF1512" s="66" t="str">
        <f>IF(OR(A1512="",p_po=""),"",IF(A1512&amp;""=p_po,COUNTIF($A$6:A1512,A1512),""))</f>
        <v/>
      </c>
      <c r="AG1512" s="66" t="str">
        <f>IF(OR(AB1512="",A1512=""),"",IF(COUNTIFS($A$6:A1512,A1512,$AB$6:AB1512,"&gt;0")=1,1,""))</f>
        <v/>
      </c>
      <c r="AH1512" s="70" t="str">
        <f>IF(AB1512="","",ROUND(N(W1512)*N(J1512)*(1-N(K1512)),2))</f>
        <v/>
      </c>
      <c r="AI1512" s="70" t="str">
        <f>IF(OR(J1512="",N(T1512)&lt;=0,V1512="Oui"),"",ROUND(N(T1512)*J1512*(1-N(K1512)),2))</f>
        <v/>
      </c>
    </row>
    <row r="1513">
      <c r="A1513" s="63" t="n"/>
      <c r="B1513" s="64" t="n"/>
      <c r="C1513" s="65" t="n"/>
      <c r="D1513" s="66" t="str">
        <f>IF(C1513="","",IFERROR(INDEX(sup_name,MATCH($C1513,sup_code,0))&amp;"","Fournisseur inconnu"))</f>
        <v/>
      </c>
      <c r="E1513" s="63" t="n"/>
      <c r="F1513" s="66" t="str">
        <f>IF(E1513="","",IFERROR(INDEX(art_des,MATCH($E1513,art_ref,0))&amp;"","Article inconnu"))</f>
        <v/>
      </c>
      <c r="G1513" s="67" t="str">
        <f>IF(E1513="","",IFERROR(INDEX(art_unit,MATCH($E1513,art_ref,0))&amp;"",""))</f>
        <v/>
      </c>
      <c r="H1513" s="68" t="n"/>
      <c r="I1513" s="69" t="n"/>
      <c r="J1513" s="70" t="str">
        <f>IF(E1513="","",IF(ISNUMBER(I1513),I1513,IFERROR(IF(ISNUMBER(INDEX(art_price,MATCH($E1513,art_ref,0))),INDEX(art_price,MATCH($E1513,art_ref,0)),""),"")))</f>
        <v/>
      </c>
      <c r="K1513" s="71" t="n"/>
      <c r="L1513" s="72" t="n"/>
      <c r="M1513" s="72" t="str">
        <f>IF(E1513="","",IF(L1513&lt;&gt;"",L1513,IFERROR(IF(ISNUMBER(INDEX(art_tva,MATCH($E1513,art_ref,0))),INDEX(art_tva,MATCH($E1513,art_ref,0)),""),"")))</f>
        <v/>
      </c>
      <c r="N1513" s="70" t="str">
        <f>IF(OR(E1513="",J1513=""),"",ROUND(N(H1513)*J1513*(1-N(K1513)),2))</f>
        <v/>
      </c>
      <c r="O1513" s="70" t="str">
        <f>IF(OR(N1513="",NOT(ISNUMBER(M1513))),"",ROUND(N1513*M1513,2))</f>
        <v/>
      </c>
      <c r="P1513" s="70" t="str">
        <f>IF(N1513="","",N1513+N(O1513))</f>
        <v/>
      </c>
      <c r="Q1513" s="64" t="n"/>
      <c r="R1513" s="73" t="str">
        <f>IF(N(Q1513)&gt;0,Q1513,IF(OR(N(B1513)=0,ISNA(MATCH($C1513,sup_code,0))),"",IF(ISNUMBER(INDEX(sup_delay,MATCH($C1513,sup_code,0))),B1513+INDEX(sup_delay,MATCH($C1513,sup_code,0)),"")))</f>
        <v/>
      </c>
      <c r="S1513" s="64" t="n"/>
      <c r="T1513" s="68" t="n"/>
      <c r="U1513" s="64" t="n"/>
      <c r="V1513" s="65" t="n"/>
      <c r="W1513" s="74" t="str">
        <f>IF(AND(A1513="",E1513=""),"",IF(V1513="Oui",0,MAX(0,ROUND(N(H1513)-N(T1513),6))))</f>
        <v/>
      </c>
      <c r="X1513" s="67" t="str">
        <f>IF(AND(A1513="",E1513=""),"",IF(V1513="Oui","Annulé",IF(AND(N(H1513)&gt;0,N(T1513)&gt;=N(H1513)),"Reçu",IF(N(S1513)=0,"Brouillon",IF(AND(ISNUMBER(R1513),R1513&lt;p_today),"En retard",IF(N(T1513)&gt;0,"Partiel","Envoyé"))))))</f>
        <v/>
      </c>
      <c r="Y1513" s="75" t="str">
        <f>IF(X1513="En retard",p_today-R1513,IF(AND(X1513="Reçu",ISNUMBER(R1513)),MAX(0,N(U1513)-R1513),""))</f>
        <v/>
      </c>
      <c r="Z1513" s="67" t="str">
        <f>IF(AND(A1513="",E1513=""),"",IF(A1513="","N° de bon manquant",IF(N(B1513)=0,"Date de commande manquante",IF(C1513="","Fournisseur manquant",IF(ISNA(MATCH($C1513,sup_code,0)),"Fournisseur inconnu",IF(E1513="","Article manquant",IF(ISNA(MATCH($E1513,art_ref,0)),"Article inconnu",IF(N(H1513)&lt;=0,"Quantité invalide",IF(J1513="","Prix manquant",IF(OR(N(K1513)&lt;0,N(K1513)&gt;=1),"Remise invalide",IF(M1513="","TVA manquante",IF(ISNA(MATCH(M1513,p_tva,0)),"Taux de TVA inconnu",IF(COUNTIFS(po_num,A1513,po_sup,"&lt;&gt;"&amp;C1513)&gt;0,"Fournisseur différent sur ce bon",IF(COUNTIFS(po_num,A1513,po_date,"&lt;&gt;"&amp;B1513)&gt;0,"Date différente sur ce bon",IF(COUNTIF(po_num,A1513)&gt;25,"Plus de 25 lignes sur ce bon",IF(R1513="","Date de livraison manquante",IF(R1513&lt;B1513,"Livraison avant la commande",IF(AND(N(T1513)&gt;0,N(S1513)=0),"Date d'envoi manquante",IF(N(T1513)&gt;N(H1513),"Reçu plus que commandé",IF(AND(N(T1513)&gt;0,N(U1513)=0),"Date de réception manquante",IF(AND(N(U1513)&gt;0,U1513&lt;B1513),"Réception avant la commande","OK")))))))))))))))))))))</f>
        <v/>
      </c>
      <c r="AA1513" s="66" t="str">
        <f>IF(AND(X1513="Reçu",ISNUMBER(R1513)),IF(N(U1513)&lt;=R1513,1,0),"")</f>
        <v/>
      </c>
      <c r="AB1513" s="76" t="str">
        <f>IF(OR(X1513="Envoyé",X1513="Partiel",X1513="En retard"),IF(ISNUMBER(R1513),R1513,100000)+ROW()/100000,"")</f>
        <v/>
      </c>
      <c r="AC1513" s="66" t="str">
        <f>IF(A1513="","",IF(COUNTIF($A$6:A1513,A1513)=1,1,""))</f>
        <v/>
      </c>
      <c r="AD1513" s="66" t="str">
        <f>IF(AC1513=1,COUNT($AC$6:AC1513),"")</f>
        <v/>
      </c>
      <c r="AE1513" s="66" t="str">
        <f>IFERROR(INDEX(po_num,MATCH(1508,po_seq,0))&amp;"","")</f>
        <v/>
      </c>
      <c r="AF1513" s="66" t="str">
        <f>IF(OR(A1513="",p_po=""),"",IF(A1513&amp;""=p_po,COUNTIF($A$6:A1513,A1513),""))</f>
        <v/>
      </c>
      <c r="AG1513" s="66" t="str">
        <f>IF(OR(AB1513="",A1513=""),"",IF(COUNTIFS($A$6:A1513,A1513,$AB$6:AB1513,"&gt;0")=1,1,""))</f>
        <v/>
      </c>
      <c r="AH1513" s="70" t="str">
        <f>IF(AB1513="","",ROUND(N(W1513)*N(J1513)*(1-N(K1513)),2))</f>
        <v/>
      </c>
      <c r="AI1513" s="70" t="str">
        <f>IF(OR(J1513="",N(T1513)&lt;=0,V1513="Oui"),"",ROUND(N(T1513)*J1513*(1-N(K1513)),2))</f>
        <v/>
      </c>
    </row>
    <row r="1514">
      <c r="A1514" s="63" t="n"/>
      <c r="B1514" s="64" t="n"/>
      <c r="C1514" s="65" t="n"/>
      <c r="D1514" s="66" t="str">
        <f>IF(C1514="","",IFERROR(INDEX(sup_name,MATCH($C1514,sup_code,0))&amp;"","Fournisseur inconnu"))</f>
        <v/>
      </c>
      <c r="E1514" s="63" t="n"/>
      <c r="F1514" s="66" t="str">
        <f>IF(E1514="","",IFERROR(INDEX(art_des,MATCH($E1514,art_ref,0))&amp;"","Article inconnu"))</f>
        <v/>
      </c>
      <c r="G1514" s="67" t="str">
        <f>IF(E1514="","",IFERROR(INDEX(art_unit,MATCH($E1514,art_ref,0))&amp;"",""))</f>
        <v/>
      </c>
      <c r="H1514" s="68" t="n"/>
      <c r="I1514" s="69" t="n"/>
      <c r="J1514" s="70" t="str">
        <f>IF(E1514="","",IF(ISNUMBER(I1514),I1514,IFERROR(IF(ISNUMBER(INDEX(art_price,MATCH($E1514,art_ref,0))),INDEX(art_price,MATCH($E1514,art_ref,0)),""),"")))</f>
        <v/>
      </c>
      <c r="K1514" s="71" t="n"/>
      <c r="L1514" s="72" t="n"/>
      <c r="M1514" s="72" t="str">
        <f>IF(E1514="","",IF(L1514&lt;&gt;"",L1514,IFERROR(IF(ISNUMBER(INDEX(art_tva,MATCH($E1514,art_ref,0))),INDEX(art_tva,MATCH($E1514,art_ref,0)),""),"")))</f>
        <v/>
      </c>
      <c r="N1514" s="70" t="str">
        <f>IF(OR(E1514="",J1514=""),"",ROUND(N(H1514)*J1514*(1-N(K1514)),2))</f>
        <v/>
      </c>
      <c r="O1514" s="70" t="str">
        <f>IF(OR(N1514="",NOT(ISNUMBER(M1514))),"",ROUND(N1514*M1514,2))</f>
        <v/>
      </c>
      <c r="P1514" s="70" t="str">
        <f>IF(N1514="","",N1514+N(O1514))</f>
        <v/>
      </c>
      <c r="Q1514" s="64" t="n"/>
      <c r="R1514" s="73" t="str">
        <f>IF(N(Q1514)&gt;0,Q1514,IF(OR(N(B1514)=0,ISNA(MATCH($C1514,sup_code,0))),"",IF(ISNUMBER(INDEX(sup_delay,MATCH($C1514,sup_code,0))),B1514+INDEX(sup_delay,MATCH($C1514,sup_code,0)),"")))</f>
        <v/>
      </c>
      <c r="S1514" s="64" t="n"/>
      <c r="T1514" s="68" t="n"/>
      <c r="U1514" s="64" t="n"/>
      <c r="V1514" s="65" t="n"/>
      <c r="W1514" s="74" t="str">
        <f>IF(AND(A1514="",E1514=""),"",IF(V1514="Oui",0,MAX(0,ROUND(N(H1514)-N(T1514),6))))</f>
        <v/>
      </c>
      <c r="X1514" s="67" t="str">
        <f>IF(AND(A1514="",E1514=""),"",IF(V1514="Oui","Annulé",IF(AND(N(H1514)&gt;0,N(T1514)&gt;=N(H1514)),"Reçu",IF(N(S1514)=0,"Brouillon",IF(AND(ISNUMBER(R1514),R1514&lt;p_today),"En retard",IF(N(T1514)&gt;0,"Partiel","Envoyé"))))))</f>
        <v/>
      </c>
      <c r="Y1514" s="75" t="str">
        <f>IF(X1514="En retard",p_today-R1514,IF(AND(X1514="Reçu",ISNUMBER(R1514)),MAX(0,N(U1514)-R1514),""))</f>
        <v/>
      </c>
      <c r="Z1514" s="67" t="str">
        <f>IF(AND(A1514="",E1514=""),"",IF(A1514="","N° de bon manquant",IF(N(B1514)=0,"Date de commande manquante",IF(C1514="","Fournisseur manquant",IF(ISNA(MATCH($C1514,sup_code,0)),"Fournisseur inconnu",IF(E1514="","Article manquant",IF(ISNA(MATCH($E1514,art_ref,0)),"Article inconnu",IF(N(H1514)&lt;=0,"Quantité invalide",IF(J1514="","Prix manquant",IF(OR(N(K1514)&lt;0,N(K1514)&gt;=1),"Remise invalide",IF(M1514="","TVA manquante",IF(ISNA(MATCH(M1514,p_tva,0)),"Taux de TVA inconnu",IF(COUNTIFS(po_num,A1514,po_sup,"&lt;&gt;"&amp;C1514)&gt;0,"Fournisseur différent sur ce bon",IF(COUNTIFS(po_num,A1514,po_date,"&lt;&gt;"&amp;B1514)&gt;0,"Date différente sur ce bon",IF(COUNTIF(po_num,A1514)&gt;25,"Plus de 25 lignes sur ce bon",IF(R1514="","Date de livraison manquante",IF(R1514&lt;B1514,"Livraison avant la commande",IF(AND(N(T1514)&gt;0,N(S1514)=0),"Date d'envoi manquante",IF(N(T1514)&gt;N(H1514),"Reçu plus que commandé",IF(AND(N(T1514)&gt;0,N(U1514)=0),"Date de réception manquante",IF(AND(N(U1514)&gt;0,U1514&lt;B1514),"Réception avant la commande","OK")))))))))))))))))))))</f>
        <v/>
      </c>
      <c r="AA1514" s="66" t="str">
        <f>IF(AND(X1514="Reçu",ISNUMBER(R1514)),IF(N(U1514)&lt;=R1514,1,0),"")</f>
        <v/>
      </c>
      <c r="AB1514" s="76" t="str">
        <f>IF(OR(X1514="Envoyé",X1514="Partiel",X1514="En retard"),IF(ISNUMBER(R1514),R1514,100000)+ROW()/100000,"")</f>
        <v/>
      </c>
      <c r="AC1514" s="66" t="str">
        <f>IF(A1514="","",IF(COUNTIF($A$6:A1514,A1514)=1,1,""))</f>
        <v/>
      </c>
      <c r="AD1514" s="66" t="str">
        <f>IF(AC1514=1,COUNT($AC$6:AC1514),"")</f>
        <v/>
      </c>
      <c r="AE1514" s="66" t="str">
        <f>IFERROR(INDEX(po_num,MATCH(1509,po_seq,0))&amp;"","")</f>
        <v/>
      </c>
      <c r="AF1514" s="66" t="str">
        <f>IF(OR(A1514="",p_po=""),"",IF(A1514&amp;""=p_po,COUNTIF($A$6:A1514,A1514),""))</f>
        <v/>
      </c>
      <c r="AG1514" s="66" t="str">
        <f>IF(OR(AB1514="",A1514=""),"",IF(COUNTIFS($A$6:A1514,A1514,$AB$6:AB1514,"&gt;0")=1,1,""))</f>
        <v/>
      </c>
      <c r="AH1514" s="70" t="str">
        <f>IF(AB1514="","",ROUND(N(W1514)*N(J1514)*(1-N(K1514)),2))</f>
        <v/>
      </c>
      <c r="AI1514" s="70" t="str">
        <f>IF(OR(J1514="",N(T1514)&lt;=0,V1514="Oui"),"",ROUND(N(T1514)*J1514*(1-N(K1514)),2))</f>
        <v/>
      </c>
    </row>
    <row r="1515">
      <c r="A1515" s="63" t="n"/>
      <c r="B1515" s="64" t="n"/>
      <c r="C1515" s="65" t="n"/>
      <c r="D1515" s="66" t="str">
        <f>IF(C1515="","",IFERROR(INDEX(sup_name,MATCH($C1515,sup_code,0))&amp;"","Fournisseur inconnu"))</f>
        <v/>
      </c>
      <c r="E1515" s="63" t="n"/>
      <c r="F1515" s="66" t="str">
        <f>IF(E1515="","",IFERROR(INDEX(art_des,MATCH($E1515,art_ref,0))&amp;"","Article inconnu"))</f>
        <v/>
      </c>
      <c r="G1515" s="67" t="str">
        <f>IF(E1515="","",IFERROR(INDEX(art_unit,MATCH($E1515,art_ref,0))&amp;"",""))</f>
        <v/>
      </c>
      <c r="H1515" s="68" t="n"/>
      <c r="I1515" s="69" t="n"/>
      <c r="J1515" s="70" t="str">
        <f>IF(E1515="","",IF(ISNUMBER(I1515),I1515,IFERROR(IF(ISNUMBER(INDEX(art_price,MATCH($E1515,art_ref,0))),INDEX(art_price,MATCH($E1515,art_ref,0)),""),"")))</f>
        <v/>
      </c>
      <c r="K1515" s="71" t="n"/>
      <c r="L1515" s="72" t="n"/>
      <c r="M1515" s="72" t="str">
        <f>IF(E1515="","",IF(L1515&lt;&gt;"",L1515,IFERROR(IF(ISNUMBER(INDEX(art_tva,MATCH($E1515,art_ref,0))),INDEX(art_tva,MATCH($E1515,art_ref,0)),""),"")))</f>
        <v/>
      </c>
      <c r="N1515" s="70" t="str">
        <f>IF(OR(E1515="",J1515=""),"",ROUND(N(H1515)*J1515*(1-N(K1515)),2))</f>
        <v/>
      </c>
      <c r="O1515" s="70" t="str">
        <f>IF(OR(N1515="",NOT(ISNUMBER(M1515))),"",ROUND(N1515*M1515,2))</f>
        <v/>
      </c>
      <c r="P1515" s="70" t="str">
        <f>IF(N1515="","",N1515+N(O1515))</f>
        <v/>
      </c>
      <c r="Q1515" s="64" t="n"/>
      <c r="R1515" s="73" t="str">
        <f>IF(N(Q1515)&gt;0,Q1515,IF(OR(N(B1515)=0,ISNA(MATCH($C1515,sup_code,0))),"",IF(ISNUMBER(INDEX(sup_delay,MATCH($C1515,sup_code,0))),B1515+INDEX(sup_delay,MATCH($C1515,sup_code,0)),"")))</f>
        <v/>
      </c>
      <c r="S1515" s="64" t="n"/>
      <c r="T1515" s="68" t="n"/>
      <c r="U1515" s="64" t="n"/>
      <c r="V1515" s="65" t="n"/>
      <c r="W1515" s="74" t="str">
        <f>IF(AND(A1515="",E1515=""),"",IF(V1515="Oui",0,MAX(0,ROUND(N(H1515)-N(T1515),6))))</f>
        <v/>
      </c>
      <c r="X1515" s="67" t="str">
        <f>IF(AND(A1515="",E1515=""),"",IF(V1515="Oui","Annulé",IF(AND(N(H1515)&gt;0,N(T1515)&gt;=N(H1515)),"Reçu",IF(N(S1515)=0,"Brouillon",IF(AND(ISNUMBER(R1515),R1515&lt;p_today),"En retard",IF(N(T1515)&gt;0,"Partiel","Envoyé"))))))</f>
        <v/>
      </c>
      <c r="Y1515" s="75" t="str">
        <f>IF(X1515="En retard",p_today-R1515,IF(AND(X1515="Reçu",ISNUMBER(R1515)),MAX(0,N(U1515)-R1515),""))</f>
        <v/>
      </c>
      <c r="Z1515" s="67" t="str">
        <f>IF(AND(A1515="",E1515=""),"",IF(A1515="","N° de bon manquant",IF(N(B1515)=0,"Date de commande manquante",IF(C1515="","Fournisseur manquant",IF(ISNA(MATCH($C1515,sup_code,0)),"Fournisseur inconnu",IF(E1515="","Article manquant",IF(ISNA(MATCH($E1515,art_ref,0)),"Article inconnu",IF(N(H1515)&lt;=0,"Quantité invalide",IF(J1515="","Prix manquant",IF(OR(N(K1515)&lt;0,N(K1515)&gt;=1),"Remise invalide",IF(M1515="","TVA manquante",IF(ISNA(MATCH(M1515,p_tva,0)),"Taux de TVA inconnu",IF(COUNTIFS(po_num,A1515,po_sup,"&lt;&gt;"&amp;C1515)&gt;0,"Fournisseur différent sur ce bon",IF(COUNTIFS(po_num,A1515,po_date,"&lt;&gt;"&amp;B1515)&gt;0,"Date différente sur ce bon",IF(COUNTIF(po_num,A1515)&gt;25,"Plus de 25 lignes sur ce bon",IF(R1515="","Date de livraison manquante",IF(R1515&lt;B1515,"Livraison avant la commande",IF(AND(N(T1515)&gt;0,N(S1515)=0),"Date d'envoi manquante",IF(N(T1515)&gt;N(H1515),"Reçu plus que commandé",IF(AND(N(T1515)&gt;0,N(U1515)=0),"Date de réception manquante",IF(AND(N(U1515)&gt;0,U1515&lt;B1515),"Réception avant la commande","OK")))))))))))))))))))))</f>
        <v/>
      </c>
      <c r="AA1515" s="66" t="str">
        <f>IF(AND(X1515="Reçu",ISNUMBER(R1515)),IF(N(U1515)&lt;=R1515,1,0),"")</f>
        <v/>
      </c>
      <c r="AB1515" s="76" t="str">
        <f>IF(OR(X1515="Envoyé",X1515="Partiel",X1515="En retard"),IF(ISNUMBER(R1515),R1515,100000)+ROW()/100000,"")</f>
        <v/>
      </c>
      <c r="AC1515" s="66" t="str">
        <f>IF(A1515="","",IF(COUNTIF($A$6:A1515,A1515)=1,1,""))</f>
        <v/>
      </c>
      <c r="AD1515" s="66" t="str">
        <f>IF(AC1515=1,COUNT($AC$6:AC1515),"")</f>
        <v/>
      </c>
      <c r="AE1515" s="66" t="str">
        <f>IFERROR(INDEX(po_num,MATCH(1510,po_seq,0))&amp;"","")</f>
        <v/>
      </c>
      <c r="AF1515" s="66" t="str">
        <f>IF(OR(A1515="",p_po=""),"",IF(A1515&amp;""=p_po,COUNTIF($A$6:A1515,A1515),""))</f>
        <v/>
      </c>
      <c r="AG1515" s="66" t="str">
        <f>IF(OR(AB1515="",A1515=""),"",IF(COUNTIFS($A$6:A1515,A1515,$AB$6:AB1515,"&gt;0")=1,1,""))</f>
        <v/>
      </c>
      <c r="AH1515" s="70" t="str">
        <f>IF(AB1515="","",ROUND(N(W1515)*N(J1515)*(1-N(K1515)),2))</f>
        <v/>
      </c>
      <c r="AI1515" s="70" t="str">
        <f>IF(OR(J1515="",N(T1515)&lt;=0,V1515="Oui"),"",ROUND(N(T1515)*J1515*(1-N(K1515)),2))</f>
        <v/>
      </c>
    </row>
    <row r="1516">
      <c r="A1516" s="63" t="n"/>
      <c r="B1516" s="64" t="n"/>
      <c r="C1516" s="65" t="n"/>
      <c r="D1516" s="66" t="str">
        <f>IF(C1516="","",IFERROR(INDEX(sup_name,MATCH($C1516,sup_code,0))&amp;"","Fournisseur inconnu"))</f>
        <v/>
      </c>
      <c r="E1516" s="63" t="n"/>
      <c r="F1516" s="66" t="str">
        <f>IF(E1516="","",IFERROR(INDEX(art_des,MATCH($E1516,art_ref,0))&amp;"","Article inconnu"))</f>
        <v/>
      </c>
      <c r="G1516" s="67" t="str">
        <f>IF(E1516="","",IFERROR(INDEX(art_unit,MATCH($E1516,art_ref,0))&amp;"",""))</f>
        <v/>
      </c>
      <c r="H1516" s="68" t="n"/>
      <c r="I1516" s="69" t="n"/>
      <c r="J1516" s="70" t="str">
        <f>IF(E1516="","",IF(ISNUMBER(I1516),I1516,IFERROR(IF(ISNUMBER(INDEX(art_price,MATCH($E1516,art_ref,0))),INDEX(art_price,MATCH($E1516,art_ref,0)),""),"")))</f>
        <v/>
      </c>
      <c r="K1516" s="71" t="n"/>
      <c r="L1516" s="72" t="n"/>
      <c r="M1516" s="72" t="str">
        <f>IF(E1516="","",IF(L1516&lt;&gt;"",L1516,IFERROR(IF(ISNUMBER(INDEX(art_tva,MATCH($E1516,art_ref,0))),INDEX(art_tva,MATCH($E1516,art_ref,0)),""),"")))</f>
        <v/>
      </c>
      <c r="N1516" s="70" t="str">
        <f>IF(OR(E1516="",J1516=""),"",ROUND(N(H1516)*J1516*(1-N(K1516)),2))</f>
        <v/>
      </c>
      <c r="O1516" s="70" t="str">
        <f>IF(OR(N1516="",NOT(ISNUMBER(M1516))),"",ROUND(N1516*M1516,2))</f>
        <v/>
      </c>
      <c r="P1516" s="70" t="str">
        <f>IF(N1516="","",N1516+N(O1516))</f>
        <v/>
      </c>
      <c r="Q1516" s="64" t="n"/>
      <c r="R1516" s="73" t="str">
        <f>IF(N(Q1516)&gt;0,Q1516,IF(OR(N(B1516)=0,ISNA(MATCH($C1516,sup_code,0))),"",IF(ISNUMBER(INDEX(sup_delay,MATCH($C1516,sup_code,0))),B1516+INDEX(sup_delay,MATCH($C1516,sup_code,0)),"")))</f>
        <v/>
      </c>
      <c r="S1516" s="64" t="n"/>
      <c r="T1516" s="68" t="n"/>
      <c r="U1516" s="64" t="n"/>
      <c r="V1516" s="65" t="n"/>
      <c r="W1516" s="74" t="str">
        <f>IF(AND(A1516="",E1516=""),"",IF(V1516="Oui",0,MAX(0,ROUND(N(H1516)-N(T1516),6))))</f>
        <v/>
      </c>
      <c r="X1516" s="67" t="str">
        <f>IF(AND(A1516="",E1516=""),"",IF(V1516="Oui","Annulé",IF(AND(N(H1516)&gt;0,N(T1516)&gt;=N(H1516)),"Reçu",IF(N(S1516)=0,"Brouillon",IF(AND(ISNUMBER(R1516),R1516&lt;p_today),"En retard",IF(N(T1516)&gt;0,"Partiel","Envoyé"))))))</f>
        <v/>
      </c>
      <c r="Y1516" s="75" t="str">
        <f>IF(X1516="En retard",p_today-R1516,IF(AND(X1516="Reçu",ISNUMBER(R1516)),MAX(0,N(U1516)-R1516),""))</f>
        <v/>
      </c>
      <c r="Z1516" s="67" t="str">
        <f>IF(AND(A1516="",E1516=""),"",IF(A1516="","N° de bon manquant",IF(N(B1516)=0,"Date de commande manquante",IF(C1516="","Fournisseur manquant",IF(ISNA(MATCH($C1516,sup_code,0)),"Fournisseur inconnu",IF(E1516="","Article manquant",IF(ISNA(MATCH($E1516,art_ref,0)),"Article inconnu",IF(N(H1516)&lt;=0,"Quantité invalide",IF(J1516="","Prix manquant",IF(OR(N(K1516)&lt;0,N(K1516)&gt;=1),"Remise invalide",IF(M1516="","TVA manquante",IF(ISNA(MATCH(M1516,p_tva,0)),"Taux de TVA inconnu",IF(COUNTIFS(po_num,A1516,po_sup,"&lt;&gt;"&amp;C1516)&gt;0,"Fournisseur différent sur ce bon",IF(COUNTIFS(po_num,A1516,po_date,"&lt;&gt;"&amp;B1516)&gt;0,"Date différente sur ce bon",IF(COUNTIF(po_num,A1516)&gt;25,"Plus de 25 lignes sur ce bon",IF(R1516="","Date de livraison manquante",IF(R1516&lt;B1516,"Livraison avant la commande",IF(AND(N(T1516)&gt;0,N(S1516)=0),"Date d'envoi manquante",IF(N(T1516)&gt;N(H1516),"Reçu plus que commandé",IF(AND(N(T1516)&gt;0,N(U1516)=0),"Date de réception manquante",IF(AND(N(U1516)&gt;0,U1516&lt;B1516),"Réception avant la commande","OK")))))))))))))))))))))</f>
        <v/>
      </c>
      <c r="AA1516" s="66" t="str">
        <f>IF(AND(X1516="Reçu",ISNUMBER(R1516)),IF(N(U1516)&lt;=R1516,1,0),"")</f>
        <v/>
      </c>
      <c r="AB1516" s="76" t="str">
        <f>IF(OR(X1516="Envoyé",X1516="Partiel",X1516="En retard"),IF(ISNUMBER(R1516),R1516,100000)+ROW()/100000,"")</f>
        <v/>
      </c>
      <c r="AC1516" s="66" t="str">
        <f>IF(A1516="","",IF(COUNTIF($A$6:A1516,A1516)=1,1,""))</f>
        <v/>
      </c>
      <c r="AD1516" s="66" t="str">
        <f>IF(AC1516=1,COUNT($AC$6:AC1516),"")</f>
        <v/>
      </c>
      <c r="AE1516" s="66" t="str">
        <f>IFERROR(INDEX(po_num,MATCH(1511,po_seq,0))&amp;"","")</f>
        <v/>
      </c>
      <c r="AF1516" s="66" t="str">
        <f>IF(OR(A1516="",p_po=""),"",IF(A1516&amp;""=p_po,COUNTIF($A$6:A1516,A1516),""))</f>
        <v/>
      </c>
      <c r="AG1516" s="66" t="str">
        <f>IF(OR(AB1516="",A1516=""),"",IF(COUNTIFS($A$6:A1516,A1516,$AB$6:AB1516,"&gt;0")=1,1,""))</f>
        <v/>
      </c>
      <c r="AH1516" s="70" t="str">
        <f>IF(AB1516="","",ROUND(N(W1516)*N(J1516)*(1-N(K1516)),2))</f>
        <v/>
      </c>
      <c r="AI1516" s="70" t="str">
        <f>IF(OR(J1516="",N(T1516)&lt;=0,V1516="Oui"),"",ROUND(N(T1516)*J1516*(1-N(K1516)),2))</f>
        <v/>
      </c>
    </row>
    <row r="1517">
      <c r="A1517" s="63" t="n"/>
      <c r="B1517" s="64" t="n"/>
      <c r="C1517" s="65" t="n"/>
      <c r="D1517" s="66" t="str">
        <f>IF(C1517="","",IFERROR(INDEX(sup_name,MATCH($C1517,sup_code,0))&amp;"","Fournisseur inconnu"))</f>
        <v/>
      </c>
      <c r="E1517" s="63" t="n"/>
      <c r="F1517" s="66" t="str">
        <f>IF(E1517="","",IFERROR(INDEX(art_des,MATCH($E1517,art_ref,0))&amp;"","Article inconnu"))</f>
        <v/>
      </c>
      <c r="G1517" s="67" t="str">
        <f>IF(E1517="","",IFERROR(INDEX(art_unit,MATCH($E1517,art_ref,0))&amp;"",""))</f>
        <v/>
      </c>
      <c r="H1517" s="68" t="n"/>
      <c r="I1517" s="69" t="n"/>
      <c r="J1517" s="70" t="str">
        <f>IF(E1517="","",IF(ISNUMBER(I1517),I1517,IFERROR(IF(ISNUMBER(INDEX(art_price,MATCH($E1517,art_ref,0))),INDEX(art_price,MATCH($E1517,art_ref,0)),""),"")))</f>
        <v/>
      </c>
      <c r="K1517" s="71" t="n"/>
      <c r="L1517" s="72" t="n"/>
      <c r="M1517" s="72" t="str">
        <f>IF(E1517="","",IF(L1517&lt;&gt;"",L1517,IFERROR(IF(ISNUMBER(INDEX(art_tva,MATCH($E1517,art_ref,0))),INDEX(art_tva,MATCH($E1517,art_ref,0)),""),"")))</f>
        <v/>
      </c>
      <c r="N1517" s="70" t="str">
        <f>IF(OR(E1517="",J1517=""),"",ROUND(N(H1517)*J1517*(1-N(K1517)),2))</f>
        <v/>
      </c>
      <c r="O1517" s="70" t="str">
        <f>IF(OR(N1517="",NOT(ISNUMBER(M1517))),"",ROUND(N1517*M1517,2))</f>
        <v/>
      </c>
      <c r="P1517" s="70" t="str">
        <f>IF(N1517="","",N1517+N(O1517))</f>
        <v/>
      </c>
      <c r="Q1517" s="64" t="n"/>
      <c r="R1517" s="73" t="str">
        <f>IF(N(Q1517)&gt;0,Q1517,IF(OR(N(B1517)=0,ISNA(MATCH($C1517,sup_code,0))),"",IF(ISNUMBER(INDEX(sup_delay,MATCH($C1517,sup_code,0))),B1517+INDEX(sup_delay,MATCH($C1517,sup_code,0)),"")))</f>
        <v/>
      </c>
      <c r="S1517" s="64" t="n"/>
      <c r="T1517" s="68" t="n"/>
      <c r="U1517" s="64" t="n"/>
      <c r="V1517" s="65" t="n"/>
      <c r="W1517" s="74" t="str">
        <f>IF(AND(A1517="",E1517=""),"",IF(V1517="Oui",0,MAX(0,ROUND(N(H1517)-N(T1517),6))))</f>
        <v/>
      </c>
      <c r="X1517" s="67" t="str">
        <f>IF(AND(A1517="",E1517=""),"",IF(V1517="Oui","Annulé",IF(AND(N(H1517)&gt;0,N(T1517)&gt;=N(H1517)),"Reçu",IF(N(S1517)=0,"Brouillon",IF(AND(ISNUMBER(R1517),R1517&lt;p_today),"En retard",IF(N(T1517)&gt;0,"Partiel","Envoyé"))))))</f>
        <v/>
      </c>
      <c r="Y1517" s="75" t="str">
        <f>IF(X1517="En retard",p_today-R1517,IF(AND(X1517="Reçu",ISNUMBER(R1517)),MAX(0,N(U1517)-R1517),""))</f>
        <v/>
      </c>
      <c r="Z1517" s="67" t="str">
        <f>IF(AND(A1517="",E1517=""),"",IF(A1517="","N° de bon manquant",IF(N(B1517)=0,"Date de commande manquante",IF(C1517="","Fournisseur manquant",IF(ISNA(MATCH($C1517,sup_code,0)),"Fournisseur inconnu",IF(E1517="","Article manquant",IF(ISNA(MATCH($E1517,art_ref,0)),"Article inconnu",IF(N(H1517)&lt;=0,"Quantité invalide",IF(J1517="","Prix manquant",IF(OR(N(K1517)&lt;0,N(K1517)&gt;=1),"Remise invalide",IF(M1517="","TVA manquante",IF(ISNA(MATCH(M1517,p_tva,0)),"Taux de TVA inconnu",IF(COUNTIFS(po_num,A1517,po_sup,"&lt;&gt;"&amp;C1517)&gt;0,"Fournisseur différent sur ce bon",IF(COUNTIFS(po_num,A1517,po_date,"&lt;&gt;"&amp;B1517)&gt;0,"Date différente sur ce bon",IF(COUNTIF(po_num,A1517)&gt;25,"Plus de 25 lignes sur ce bon",IF(R1517="","Date de livraison manquante",IF(R1517&lt;B1517,"Livraison avant la commande",IF(AND(N(T1517)&gt;0,N(S1517)=0),"Date d'envoi manquante",IF(N(T1517)&gt;N(H1517),"Reçu plus que commandé",IF(AND(N(T1517)&gt;0,N(U1517)=0),"Date de réception manquante",IF(AND(N(U1517)&gt;0,U1517&lt;B1517),"Réception avant la commande","OK")))))))))))))))))))))</f>
        <v/>
      </c>
      <c r="AA1517" s="66" t="str">
        <f>IF(AND(X1517="Reçu",ISNUMBER(R1517)),IF(N(U1517)&lt;=R1517,1,0),"")</f>
        <v/>
      </c>
      <c r="AB1517" s="76" t="str">
        <f>IF(OR(X1517="Envoyé",X1517="Partiel",X1517="En retard"),IF(ISNUMBER(R1517),R1517,100000)+ROW()/100000,"")</f>
        <v/>
      </c>
      <c r="AC1517" s="66" t="str">
        <f>IF(A1517="","",IF(COUNTIF($A$6:A1517,A1517)=1,1,""))</f>
        <v/>
      </c>
      <c r="AD1517" s="66" t="str">
        <f>IF(AC1517=1,COUNT($AC$6:AC1517),"")</f>
        <v/>
      </c>
      <c r="AE1517" s="66" t="str">
        <f>IFERROR(INDEX(po_num,MATCH(1512,po_seq,0))&amp;"","")</f>
        <v/>
      </c>
      <c r="AF1517" s="66" t="str">
        <f>IF(OR(A1517="",p_po=""),"",IF(A1517&amp;""=p_po,COUNTIF($A$6:A1517,A1517),""))</f>
        <v/>
      </c>
      <c r="AG1517" s="66" t="str">
        <f>IF(OR(AB1517="",A1517=""),"",IF(COUNTIFS($A$6:A1517,A1517,$AB$6:AB1517,"&gt;0")=1,1,""))</f>
        <v/>
      </c>
      <c r="AH1517" s="70" t="str">
        <f>IF(AB1517="","",ROUND(N(W1517)*N(J1517)*(1-N(K1517)),2))</f>
        <v/>
      </c>
      <c r="AI1517" s="70" t="str">
        <f>IF(OR(J1517="",N(T1517)&lt;=0,V1517="Oui"),"",ROUND(N(T1517)*J1517*(1-N(K1517)),2))</f>
        <v/>
      </c>
    </row>
    <row r="1518">
      <c r="A1518" s="63" t="n"/>
      <c r="B1518" s="64" t="n"/>
      <c r="C1518" s="65" t="n"/>
      <c r="D1518" s="66" t="str">
        <f>IF(C1518="","",IFERROR(INDEX(sup_name,MATCH($C1518,sup_code,0))&amp;"","Fournisseur inconnu"))</f>
        <v/>
      </c>
      <c r="E1518" s="63" t="n"/>
      <c r="F1518" s="66" t="str">
        <f>IF(E1518="","",IFERROR(INDEX(art_des,MATCH($E1518,art_ref,0))&amp;"","Article inconnu"))</f>
        <v/>
      </c>
      <c r="G1518" s="67" t="str">
        <f>IF(E1518="","",IFERROR(INDEX(art_unit,MATCH($E1518,art_ref,0))&amp;"",""))</f>
        <v/>
      </c>
      <c r="H1518" s="68" t="n"/>
      <c r="I1518" s="69" t="n"/>
      <c r="J1518" s="70" t="str">
        <f>IF(E1518="","",IF(ISNUMBER(I1518),I1518,IFERROR(IF(ISNUMBER(INDEX(art_price,MATCH($E1518,art_ref,0))),INDEX(art_price,MATCH($E1518,art_ref,0)),""),"")))</f>
        <v/>
      </c>
      <c r="K1518" s="71" t="n"/>
      <c r="L1518" s="72" t="n"/>
      <c r="M1518" s="72" t="str">
        <f>IF(E1518="","",IF(L1518&lt;&gt;"",L1518,IFERROR(IF(ISNUMBER(INDEX(art_tva,MATCH($E1518,art_ref,0))),INDEX(art_tva,MATCH($E1518,art_ref,0)),""),"")))</f>
        <v/>
      </c>
      <c r="N1518" s="70" t="str">
        <f>IF(OR(E1518="",J1518=""),"",ROUND(N(H1518)*J1518*(1-N(K1518)),2))</f>
        <v/>
      </c>
      <c r="O1518" s="70" t="str">
        <f>IF(OR(N1518="",NOT(ISNUMBER(M1518))),"",ROUND(N1518*M1518,2))</f>
        <v/>
      </c>
      <c r="P1518" s="70" t="str">
        <f>IF(N1518="","",N1518+N(O1518))</f>
        <v/>
      </c>
      <c r="Q1518" s="64" t="n"/>
      <c r="R1518" s="73" t="str">
        <f>IF(N(Q1518)&gt;0,Q1518,IF(OR(N(B1518)=0,ISNA(MATCH($C1518,sup_code,0))),"",IF(ISNUMBER(INDEX(sup_delay,MATCH($C1518,sup_code,0))),B1518+INDEX(sup_delay,MATCH($C1518,sup_code,0)),"")))</f>
        <v/>
      </c>
      <c r="S1518" s="64" t="n"/>
      <c r="T1518" s="68" t="n"/>
      <c r="U1518" s="64" t="n"/>
      <c r="V1518" s="65" t="n"/>
      <c r="W1518" s="74" t="str">
        <f>IF(AND(A1518="",E1518=""),"",IF(V1518="Oui",0,MAX(0,ROUND(N(H1518)-N(T1518),6))))</f>
        <v/>
      </c>
      <c r="X1518" s="67" t="str">
        <f>IF(AND(A1518="",E1518=""),"",IF(V1518="Oui","Annulé",IF(AND(N(H1518)&gt;0,N(T1518)&gt;=N(H1518)),"Reçu",IF(N(S1518)=0,"Brouillon",IF(AND(ISNUMBER(R1518),R1518&lt;p_today),"En retard",IF(N(T1518)&gt;0,"Partiel","Envoyé"))))))</f>
        <v/>
      </c>
      <c r="Y1518" s="75" t="str">
        <f>IF(X1518="En retard",p_today-R1518,IF(AND(X1518="Reçu",ISNUMBER(R1518)),MAX(0,N(U1518)-R1518),""))</f>
        <v/>
      </c>
      <c r="Z1518" s="67" t="str">
        <f>IF(AND(A1518="",E1518=""),"",IF(A1518="","N° de bon manquant",IF(N(B1518)=0,"Date de commande manquante",IF(C1518="","Fournisseur manquant",IF(ISNA(MATCH($C1518,sup_code,0)),"Fournisseur inconnu",IF(E1518="","Article manquant",IF(ISNA(MATCH($E1518,art_ref,0)),"Article inconnu",IF(N(H1518)&lt;=0,"Quantité invalide",IF(J1518="","Prix manquant",IF(OR(N(K1518)&lt;0,N(K1518)&gt;=1),"Remise invalide",IF(M1518="","TVA manquante",IF(ISNA(MATCH(M1518,p_tva,0)),"Taux de TVA inconnu",IF(COUNTIFS(po_num,A1518,po_sup,"&lt;&gt;"&amp;C1518)&gt;0,"Fournisseur différent sur ce bon",IF(COUNTIFS(po_num,A1518,po_date,"&lt;&gt;"&amp;B1518)&gt;0,"Date différente sur ce bon",IF(COUNTIF(po_num,A1518)&gt;25,"Plus de 25 lignes sur ce bon",IF(R1518="","Date de livraison manquante",IF(R1518&lt;B1518,"Livraison avant la commande",IF(AND(N(T1518)&gt;0,N(S1518)=0),"Date d'envoi manquante",IF(N(T1518)&gt;N(H1518),"Reçu plus que commandé",IF(AND(N(T1518)&gt;0,N(U1518)=0),"Date de réception manquante",IF(AND(N(U1518)&gt;0,U1518&lt;B1518),"Réception avant la commande","OK")))))))))))))))))))))</f>
        <v/>
      </c>
      <c r="AA1518" s="66" t="str">
        <f>IF(AND(X1518="Reçu",ISNUMBER(R1518)),IF(N(U1518)&lt;=R1518,1,0),"")</f>
        <v/>
      </c>
      <c r="AB1518" s="76" t="str">
        <f>IF(OR(X1518="Envoyé",X1518="Partiel",X1518="En retard"),IF(ISNUMBER(R1518),R1518,100000)+ROW()/100000,"")</f>
        <v/>
      </c>
      <c r="AC1518" s="66" t="str">
        <f>IF(A1518="","",IF(COUNTIF($A$6:A1518,A1518)=1,1,""))</f>
        <v/>
      </c>
      <c r="AD1518" s="66" t="str">
        <f>IF(AC1518=1,COUNT($AC$6:AC1518),"")</f>
        <v/>
      </c>
      <c r="AE1518" s="66" t="str">
        <f>IFERROR(INDEX(po_num,MATCH(1513,po_seq,0))&amp;"","")</f>
        <v/>
      </c>
      <c r="AF1518" s="66" t="str">
        <f>IF(OR(A1518="",p_po=""),"",IF(A1518&amp;""=p_po,COUNTIF($A$6:A1518,A1518),""))</f>
        <v/>
      </c>
      <c r="AG1518" s="66" t="str">
        <f>IF(OR(AB1518="",A1518=""),"",IF(COUNTIFS($A$6:A1518,A1518,$AB$6:AB1518,"&gt;0")=1,1,""))</f>
        <v/>
      </c>
      <c r="AH1518" s="70" t="str">
        <f>IF(AB1518="","",ROUND(N(W1518)*N(J1518)*(1-N(K1518)),2))</f>
        <v/>
      </c>
      <c r="AI1518" s="70" t="str">
        <f>IF(OR(J1518="",N(T1518)&lt;=0,V1518="Oui"),"",ROUND(N(T1518)*J1518*(1-N(K1518)),2))</f>
        <v/>
      </c>
    </row>
    <row r="1519">
      <c r="A1519" s="63" t="n"/>
      <c r="B1519" s="64" t="n"/>
      <c r="C1519" s="65" t="n"/>
      <c r="D1519" s="66" t="str">
        <f>IF(C1519="","",IFERROR(INDEX(sup_name,MATCH($C1519,sup_code,0))&amp;"","Fournisseur inconnu"))</f>
        <v/>
      </c>
      <c r="E1519" s="63" t="n"/>
      <c r="F1519" s="66" t="str">
        <f>IF(E1519="","",IFERROR(INDEX(art_des,MATCH($E1519,art_ref,0))&amp;"","Article inconnu"))</f>
        <v/>
      </c>
      <c r="G1519" s="67" t="str">
        <f>IF(E1519="","",IFERROR(INDEX(art_unit,MATCH($E1519,art_ref,0))&amp;"",""))</f>
        <v/>
      </c>
      <c r="H1519" s="68" t="n"/>
      <c r="I1519" s="69" t="n"/>
      <c r="J1519" s="70" t="str">
        <f>IF(E1519="","",IF(ISNUMBER(I1519),I1519,IFERROR(IF(ISNUMBER(INDEX(art_price,MATCH($E1519,art_ref,0))),INDEX(art_price,MATCH($E1519,art_ref,0)),""),"")))</f>
        <v/>
      </c>
      <c r="K1519" s="71" t="n"/>
      <c r="L1519" s="72" t="n"/>
      <c r="M1519" s="72" t="str">
        <f>IF(E1519="","",IF(L1519&lt;&gt;"",L1519,IFERROR(IF(ISNUMBER(INDEX(art_tva,MATCH($E1519,art_ref,0))),INDEX(art_tva,MATCH($E1519,art_ref,0)),""),"")))</f>
        <v/>
      </c>
      <c r="N1519" s="70" t="str">
        <f>IF(OR(E1519="",J1519=""),"",ROUND(N(H1519)*J1519*(1-N(K1519)),2))</f>
        <v/>
      </c>
      <c r="O1519" s="70" t="str">
        <f>IF(OR(N1519="",NOT(ISNUMBER(M1519))),"",ROUND(N1519*M1519,2))</f>
        <v/>
      </c>
      <c r="P1519" s="70" t="str">
        <f>IF(N1519="","",N1519+N(O1519))</f>
        <v/>
      </c>
      <c r="Q1519" s="64" t="n"/>
      <c r="R1519" s="73" t="str">
        <f>IF(N(Q1519)&gt;0,Q1519,IF(OR(N(B1519)=0,ISNA(MATCH($C1519,sup_code,0))),"",IF(ISNUMBER(INDEX(sup_delay,MATCH($C1519,sup_code,0))),B1519+INDEX(sup_delay,MATCH($C1519,sup_code,0)),"")))</f>
        <v/>
      </c>
      <c r="S1519" s="64" t="n"/>
      <c r="T1519" s="68" t="n"/>
      <c r="U1519" s="64" t="n"/>
      <c r="V1519" s="65" t="n"/>
      <c r="W1519" s="74" t="str">
        <f>IF(AND(A1519="",E1519=""),"",IF(V1519="Oui",0,MAX(0,ROUND(N(H1519)-N(T1519),6))))</f>
        <v/>
      </c>
      <c r="X1519" s="67" t="str">
        <f>IF(AND(A1519="",E1519=""),"",IF(V1519="Oui","Annulé",IF(AND(N(H1519)&gt;0,N(T1519)&gt;=N(H1519)),"Reçu",IF(N(S1519)=0,"Brouillon",IF(AND(ISNUMBER(R1519),R1519&lt;p_today),"En retard",IF(N(T1519)&gt;0,"Partiel","Envoyé"))))))</f>
        <v/>
      </c>
      <c r="Y1519" s="75" t="str">
        <f>IF(X1519="En retard",p_today-R1519,IF(AND(X1519="Reçu",ISNUMBER(R1519)),MAX(0,N(U1519)-R1519),""))</f>
        <v/>
      </c>
      <c r="Z1519" s="67" t="str">
        <f>IF(AND(A1519="",E1519=""),"",IF(A1519="","N° de bon manquant",IF(N(B1519)=0,"Date de commande manquante",IF(C1519="","Fournisseur manquant",IF(ISNA(MATCH($C1519,sup_code,0)),"Fournisseur inconnu",IF(E1519="","Article manquant",IF(ISNA(MATCH($E1519,art_ref,0)),"Article inconnu",IF(N(H1519)&lt;=0,"Quantité invalide",IF(J1519="","Prix manquant",IF(OR(N(K1519)&lt;0,N(K1519)&gt;=1),"Remise invalide",IF(M1519="","TVA manquante",IF(ISNA(MATCH(M1519,p_tva,0)),"Taux de TVA inconnu",IF(COUNTIFS(po_num,A1519,po_sup,"&lt;&gt;"&amp;C1519)&gt;0,"Fournisseur différent sur ce bon",IF(COUNTIFS(po_num,A1519,po_date,"&lt;&gt;"&amp;B1519)&gt;0,"Date différente sur ce bon",IF(COUNTIF(po_num,A1519)&gt;25,"Plus de 25 lignes sur ce bon",IF(R1519="","Date de livraison manquante",IF(R1519&lt;B1519,"Livraison avant la commande",IF(AND(N(T1519)&gt;0,N(S1519)=0),"Date d'envoi manquante",IF(N(T1519)&gt;N(H1519),"Reçu plus que commandé",IF(AND(N(T1519)&gt;0,N(U1519)=0),"Date de réception manquante",IF(AND(N(U1519)&gt;0,U1519&lt;B1519),"Réception avant la commande","OK")))))))))))))))))))))</f>
        <v/>
      </c>
      <c r="AA1519" s="66" t="str">
        <f>IF(AND(X1519="Reçu",ISNUMBER(R1519)),IF(N(U1519)&lt;=R1519,1,0),"")</f>
        <v/>
      </c>
      <c r="AB1519" s="76" t="str">
        <f>IF(OR(X1519="Envoyé",X1519="Partiel",X1519="En retard"),IF(ISNUMBER(R1519),R1519,100000)+ROW()/100000,"")</f>
        <v/>
      </c>
      <c r="AC1519" s="66" t="str">
        <f>IF(A1519="","",IF(COUNTIF($A$6:A1519,A1519)=1,1,""))</f>
        <v/>
      </c>
      <c r="AD1519" s="66" t="str">
        <f>IF(AC1519=1,COUNT($AC$6:AC1519),"")</f>
        <v/>
      </c>
      <c r="AE1519" s="66" t="str">
        <f>IFERROR(INDEX(po_num,MATCH(1514,po_seq,0))&amp;"","")</f>
        <v/>
      </c>
      <c r="AF1519" s="66" t="str">
        <f>IF(OR(A1519="",p_po=""),"",IF(A1519&amp;""=p_po,COUNTIF($A$6:A1519,A1519),""))</f>
        <v/>
      </c>
      <c r="AG1519" s="66" t="str">
        <f>IF(OR(AB1519="",A1519=""),"",IF(COUNTIFS($A$6:A1519,A1519,$AB$6:AB1519,"&gt;0")=1,1,""))</f>
        <v/>
      </c>
      <c r="AH1519" s="70" t="str">
        <f>IF(AB1519="","",ROUND(N(W1519)*N(J1519)*(1-N(K1519)),2))</f>
        <v/>
      </c>
      <c r="AI1519" s="70" t="str">
        <f>IF(OR(J1519="",N(T1519)&lt;=0,V1519="Oui"),"",ROUND(N(T1519)*J1519*(1-N(K1519)),2))</f>
        <v/>
      </c>
    </row>
    <row r="1520">
      <c r="A1520" s="63" t="n"/>
      <c r="B1520" s="64" t="n"/>
      <c r="C1520" s="65" t="n"/>
      <c r="D1520" s="66" t="str">
        <f>IF(C1520="","",IFERROR(INDEX(sup_name,MATCH($C1520,sup_code,0))&amp;"","Fournisseur inconnu"))</f>
        <v/>
      </c>
      <c r="E1520" s="63" t="n"/>
      <c r="F1520" s="66" t="str">
        <f>IF(E1520="","",IFERROR(INDEX(art_des,MATCH($E1520,art_ref,0))&amp;"","Article inconnu"))</f>
        <v/>
      </c>
      <c r="G1520" s="67" t="str">
        <f>IF(E1520="","",IFERROR(INDEX(art_unit,MATCH($E1520,art_ref,0))&amp;"",""))</f>
        <v/>
      </c>
      <c r="H1520" s="68" t="n"/>
      <c r="I1520" s="69" t="n"/>
      <c r="J1520" s="70" t="str">
        <f>IF(E1520="","",IF(ISNUMBER(I1520),I1520,IFERROR(IF(ISNUMBER(INDEX(art_price,MATCH($E1520,art_ref,0))),INDEX(art_price,MATCH($E1520,art_ref,0)),""),"")))</f>
        <v/>
      </c>
      <c r="K1520" s="71" t="n"/>
      <c r="L1520" s="72" t="n"/>
      <c r="M1520" s="72" t="str">
        <f>IF(E1520="","",IF(L1520&lt;&gt;"",L1520,IFERROR(IF(ISNUMBER(INDEX(art_tva,MATCH($E1520,art_ref,0))),INDEX(art_tva,MATCH($E1520,art_ref,0)),""),"")))</f>
        <v/>
      </c>
      <c r="N1520" s="70" t="str">
        <f>IF(OR(E1520="",J1520=""),"",ROUND(N(H1520)*J1520*(1-N(K1520)),2))</f>
        <v/>
      </c>
      <c r="O1520" s="70" t="str">
        <f>IF(OR(N1520="",NOT(ISNUMBER(M1520))),"",ROUND(N1520*M1520,2))</f>
        <v/>
      </c>
      <c r="P1520" s="70" t="str">
        <f>IF(N1520="","",N1520+N(O1520))</f>
        <v/>
      </c>
      <c r="Q1520" s="64" t="n"/>
      <c r="R1520" s="73" t="str">
        <f>IF(N(Q1520)&gt;0,Q1520,IF(OR(N(B1520)=0,ISNA(MATCH($C1520,sup_code,0))),"",IF(ISNUMBER(INDEX(sup_delay,MATCH($C1520,sup_code,0))),B1520+INDEX(sup_delay,MATCH($C1520,sup_code,0)),"")))</f>
        <v/>
      </c>
      <c r="S1520" s="64" t="n"/>
      <c r="T1520" s="68" t="n"/>
      <c r="U1520" s="64" t="n"/>
      <c r="V1520" s="65" t="n"/>
      <c r="W1520" s="74" t="str">
        <f>IF(AND(A1520="",E1520=""),"",IF(V1520="Oui",0,MAX(0,ROUND(N(H1520)-N(T1520),6))))</f>
        <v/>
      </c>
      <c r="X1520" s="67" t="str">
        <f>IF(AND(A1520="",E1520=""),"",IF(V1520="Oui","Annulé",IF(AND(N(H1520)&gt;0,N(T1520)&gt;=N(H1520)),"Reçu",IF(N(S1520)=0,"Brouillon",IF(AND(ISNUMBER(R1520),R1520&lt;p_today),"En retard",IF(N(T1520)&gt;0,"Partiel","Envoyé"))))))</f>
        <v/>
      </c>
      <c r="Y1520" s="75" t="str">
        <f>IF(X1520="En retard",p_today-R1520,IF(AND(X1520="Reçu",ISNUMBER(R1520)),MAX(0,N(U1520)-R1520),""))</f>
        <v/>
      </c>
      <c r="Z1520" s="67" t="str">
        <f>IF(AND(A1520="",E1520=""),"",IF(A1520="","N° de bon manquant",IF(N(B1520)=0,"Date de commande manquante",IF(C1520="","Fournisseur manquant",IF(ISNA(MATCH($C1520,sup_code,0)),"Fournisseur inconnu",IF(E1520="","Article manquant",IF(ISNA(MATCH($E1520,art_ref,0)),"Article inconnu",IF(N(H1520)&lt;=0,"Quantité invalide",IF(J1520="","Prix manquant",IF(OR(N(K1520)&lt;0,N(K1520)&gt;=1),"Remise invalide",IF(M1520="","TVA manquante",IF(ISNA(MATCH(M1520,p_tva,0)),"Taux de TVA inconnu",IF(COUNTIFS(po_num,A1520,po_sup,"&lt;&gt;"&amp;C1520)&gt;0,"Fournisseur différent sur ce bon",IF(COUNTIFS(po_num,A1520,po_date,"&lt;&gt;"&amp;B1520)&gt;0,"Date différente sur ce bon",IF(COUNTIF(po_num,A1520)&gt;25,"Plus de 25 lignes sur ce bon",IF(R1520="","Date de livraison manquante",IF(R1520&lt;B1520,"Livraison avant la commande",IF(AND(N(T1520)&gt;0,N(S1520)=0),"Date d'envoi manquante",IF(N(T1520)&gt;N(H1520),"Reçu plus que commandé",IF(AND(N(T1520)&gt;0,N(U1520)=0),"Date de réception manquante",IF(AND(N(U1520)&gt;0,U1520&lt;B1520),"Réception avant la commande","OK")))))))))))))))))))))</f>
        <v/>
      </c>
      <c r="AA1520" s="66" t="str">
        <f>IF(AND(X1520="Reçu",ISNUMBER(R1520)),IF(N(U1520)&lt;=R1520,1,0),"")</f>
        <v/>
      </c>
      <c r="AB1520" s="76" t="str">
        <f>IF(OR(X1520="Envoyé",X1520="Partiel",X1520="En retard"),IF(ISNUMBER(R1520),R1520,100000)+ROW()/100000,"")</f>
        <v/>
      </c>
      <c r="AC1520" s="66" t="str">
        <f>IF(A1520="","",IF(COUNTIF($A$6:A1520,A1520)=1,1,""))</f>
        <v/>
      </c>
      <c r="AD1520" s="66" t="str">
        <f>IF(AC1520=1,COUNT($AC$6:AC1520),"")</f>
        <v/>
      </c>
      <c r="AE1520" s="66" t="str">
        <f>IFERROR(INDEX(po_num,MATCH(1515,po_seq,0))&amp;"","")</f>
        <v/>
      </c>
      <c r="AF1520" s="66" t="str">
        <f>IF(OR(A1520="",p_po=""),"",IF(A1520&amp;""=p_po,COUNTIF($A$6:A1520,A1520),""))</f>
        <v/>
      </c>
      <c r="AG1520" s="66" t="str">
        <f>IF(OR(AB1520="",A1520=""),"",IF(COUNTIFS($A$6:A1520,A1520,$AB$6:AB1520,"&gt;0")=1,1,""))</f>
        <v/>
      </c>
      <c r="AH1520" s="70" t="str">
        <f>IF(AB1520="","",ROUND(N(W1520)*N(J1520)*(1-N(K1520)),2))</f>
        <v/>
      </c>
      <c r="AI1520" s="70" t="str">
        <f>IF(OR(J1520="",N(T1520)&lt;=0,V1520="Oui"),"",ROUND(N(T1520)*J1520*(1-N(K1520)),2))</f>
        <v/>
      </c>
    </row>
    <row r="1521">
      <c r="A1521" s="63" t="n"/>
      <c r="B1521" s="64" t="n"/>
      <c r="C1521" s="65" t="n"/>
      <c r="D1521" s="66" t="str">
        <f>IF(C1521="","",IFERROR(INDEX(sup_name,MATCH($C1521,sup_code,0))&amp;"","Fournisseur inconnu"))</f>
        <v/>
      </c>
      <c r="E1521" s="63" t="n"/>
      <c r="F1521" s="66" t="str">
        <f>IF(E1521="","",IFERROR(INDEX(art_des,MATCH($E1521,art_ref,0))&amp;"","Article inconnu"))</f>
        <v/>
      </c>
      <c r="G1521" s="67" t="str">
        <f>IF(E1521="","",IFERROR(INDEX(art_unit,MATCH($E1521,art_ref,0))&amp;"",""))</f>
        <v/>
      </c>
      <c r="H1521" s="68" t="n"/>
      <c r="I1521" s="69" t="n"/>
      <c r="J1521" s="70" t="str">
        <f>IF(E1521="","",IF(ISNUMBER(I1521),I1521,IFERROR(IF(ISNUMBER(INDEX(art_price,MATCH($E1521,art_ref,0))),INDEX(art_price,MATCH($E1521,art_ref,0)),""),"")))</f>
        <v/>
      </c>
      <c r="K1521" s="71" t="n"/>
      <c r="L1521" s="72" t="n"/>
      <c r="M1521" s="72" t="str">
        <f>IF(E1521="","",IF(L1521&lt;&gt;"",L1521,IFERROR(IF(ISNUMBER(INDEX(art_tva,MATCH($E1521,art_ref,0))),INDEX(art_tva,MATCH($E1521,art_ref,0)),""),"")))</f>
        <v/>
      </c>
      <c r="N1521" s="70" t="str">
        <f>IF(OR(E1521="",J1521=""),"",ROUND(N(H1521)*J1521*(1-N(K1521)),2))</f>
        <v/>
      </c>
      <c r="O1521" s="70" t="str">
        <f>IF(OR(N1521="",NOT(ISNUMBER(M1521))),"",ROUND(N1521*M1521,2))</f>
        <v/>
      </c>
      <c r="P1521" s="70" t="str">
        <f>IF(N1521="","",N1521+N(O1521))</f>
        <v/>
      </c>
      <c r="Q1521" s="64" t="n"/>
      <c r="R1521" s="73" t="str">
        <f>IF(N(Q1521)&gt;0,Q1521,IF(OR(N(B1521)=0,ISNA(MATCH($C1521,sup_code,0))),"",IF(ISNUMBER(INDEX(sup_delay,MATCH($C1521,sup_code,0))),B1521+INDEX(sup_delay,MATCH($C1521,sup_code,0)),"")))</f>
        <v/>
      </c>
      <c r="S1521" s="64" t="n"/>
      <c r="T1521" s="68" t="n"/>
      <c r="U1521" s="64" t="n"/>
      <c r="V1521" s="65" t="n"/>
      <c r="W1521" s="74" t="str">
        <f>IF(AND(A1521="",E1521=""),"",IF(V1521="Oui",0,MAX(0,ROUND(N(H1521)-N(T1521),6))))</f>
        <v/>
      </c>
      <c r="X1521" s="67" t="str">
        <f>IF(AND(A1521="",E1521=""),"",IF(V1521="Oui","Annulé",IF(AND(N(H1521)&gt;0,N(T1521)&gt;=N(H1521)),"Reçu",IF(N(S1521)=0,"Brouillon",IF(AND(ISNUMBER(R1521),R1521&lt;p_today),"En retard",IF(N(T1521)&gt;0,"Partiel","Envoyé"))))))</f>
        <v/>
      </c>
      <c r="Y1521" s="75" t="str">
        <f>IF(X1521="En retard",p_today-R1521,IF(AND(X1521="Reçu",ISNUMBER(R1521)),MAX(0,N(U1521)-R1521),""))</f>
        <v/>
      </c>
      <c r="Z1521" s="67" t="str">
        <f>IF(AND(A1521="",E1521=""),"",IF(A1521="","N° de bon manquant",IF(N(B1521)=0,"Date de commande manquante",IF(C1521="","Fournisseur manquant",IF(ISNA(MATCH($C1521,sup_code,0)),"Fournisseur inconnu",IF(E1521="","Article manquant",IF(ISNA(MATCH($E1521,art_ref,0)),"Article inconnu",IF(N(H1521)&lt;=0,"Quantité invalide",IF(J1521="","Prix manquant",IF(OR(N(K1521)&lt;0,N(K1521)&gt;=1),"Remise invalide",IF(M1521="","TVA manquante",IF(ISNA(MATCH(M1521,p_tva,0)),"Taux de TVA inconnu",IF(COUNTIFS(po_num,A1521,po_sup,"&lt;&gt;"&amp;C1521)&gt;0,"Fournisseur différent sur ce bon",IF(COUNTIFS(po_num,A1521,po_date,"&lt;&gt;"&amp;B1521)&gt;0,"Date différente sur ce bon",IF(COUNTIF(po_num,A1521)&gt;25,"Plus de 25 lignes sur ce bon",IF(R1521="","Date de livraison manquante",IF(R1521&lt;B1521,"Livraison avant la commande",IF(AND(N(T1521)&gt;0,N(S1521)=0),"Date d'envoi manquante",IF(N(T1521)&gt;N(H1521),"Reçu plus que commandé",IF(AND(N(T1521)&gt;0,N(U1521)=0),"Date de réception manquante",IF(AND(N(U1521)&gt;0,U1521&lt;B1521),"Réception avant la commande","OK")))))))))))))))))))))</f>
        <v/>
      </c>
      <c r="AA1521" s="66" t="str">
        <f>IF(AND(X1521="Reçu",ISNUMBER(R1521)),IF(N(U1521)&lt;=R1521,1,0),"")</f>
        <v/>
      </c>
      <c r="AB1521" s="76" t="str">
        <f>IF(OR(X1521="Envoyé",X1521="Partiel",X1521="En retard"),IF(ISNUMBER(R1521),R1521,100000)+ROW()/100000,"")</f>
        <v/>
      </c>
      <c r="AC1521" s="66" t="str">
        <f>IF(A1521="","",IF(COUNTIF($A$6:A1521,A1521)=1,1,""))</f>
        <v/>
      </c>
      <c r="AD1521" s="66" t="str">
        <f>IF(AC1521=1,COUNT($AC$6:AC1521),"")</f>
        <v/>
      </c>
      <c r="AE1521" s="66" t="str">
        <f>IFERROR(INDEX(po_num,MATCH(1516,po_seq,0))&amp;"","")</f>
        <v/>
      </c>
      <c r="AF1521" s="66" t="str">
        <f>IF(OR(A1521="",p_po=""),"",IF(A1521&amp;""=p_po,COUNTIF($A$6:A1521,A1521),""))</f>
        <v/>
      </c>
      <c r="AG1521" s="66" t="str">
        <f>IF(OR(AB1521="",A1521=""),"",IF(COUNTIFS($A$6:A1521,A1521,$AB$6:AB1521,"&gt;0")=1,1,""))</f>
        <v/>
      </c>
      <c r="AH1521" s="70" t="str">
        <f>IF(AB1521="","",ROUND(N(W1521)*N(J1521)*(1-N(K1521)),2))</f>
        <v/>
      </c>
      <c r="AI1521" s="70" t="str">
        <f>IF(OR(J1521="",N(T1521)&lt;=0,V1521="Oui"),"",ROUND(N(T1521)*J1521*(1-N(K1521)),2))</f>
        <v/>
      </c>
    </row>
    <row r="1522">
      <c r="A1522" s="63" t="n"/>
      <c r="B1522" s="64" t="n"/>
      <c r="C1522" s="65" t="n"/>
      <c r="D1522" s="66" t="str">
        <f>IF(C1522="","",IFERROR(INDEX(sup_name,MATCH($C1522,sup_code,0))&amp;"","Fournisseur inconnu"))</f>
        <v/>
      </c>
      <c r="E1522" s="63" t="n"/>
      <c r="F1522" s="66" t="str">
        <f>IF(E1522="","",IFERROR(INDEX(art_des,MATCH($E1522,art_ref,0))&amp;"","Article inconnu"))</f>
        <v/>
      </c>
      <c r="G1522" s="67" t="str">
        <f>IF(E1522="","",IFERROR(INDEX(art_unit,MATCH($E1522,art_ref,0))&amp;"",""))</f>
        <v/>
      </c>
      <c r="H1522" s="68" t="n"/>
      <c r="I1522" s="69" t="n"/>
      <c r="J1522" s="70" t="str">
        <f>IF(E1522="","",IF(ISNUMBER(I1522),I1522,IFERROR(IF(ISNUMBER(INDEX(art_price,MATCH($E1522,art_ref,0))),INDEX(art_price,MATCH($E1522,art_ref,0)),""),"")))</f>
        <v/>
      </c>
      <c r="K1522" s="71" t="n"/>
      <c r="L1522" s="72" t="n"/>
      <c r="M1522" s="72" t="str">
        <f>IF(E1522="","",IF(L1522&lt;&gt;"",L1522,IFERROR(IF(ISNUMBER(INDEX(art_tva,MATCH($E1522,art_ref,0))),INDEX(art_tva,MATCH($E1522,art_ref,0)),""),"")))</f>
        <v/>
      </c>
      <c r="N1522" s="70" t="str">
        <f>IF(OR(E1522="",J1522=""),"",ROUND(N(H1522)*J1522*(1-N(K1522)),2))</f>
        <v/>
      </c>
      <c r="O1522" s="70" t="str">
        <f>IF(OR(N1522="",NOT(ISNUMBER(M1522))),"",ROUND(N1522*M1522,2))</f>
        <v/>
      </c>
      <c r="P1522" s="70" t="str">
        <f>IF(N1522="","",N1522+N(O1522))</f>
        <v/>
      </c>
      <c r="Q1522" s="64" t="n"/>
      <c r="R1522" s="73" t="str">
        <f>IF(N(Q1522)&gt;0,Q1522,IF(OR(N(B1522)=0,ISNA(MATCH($C1522,sup_code,0))),"",IF(ISNUMBER(INDEX(sup_delay,MATCH($C1522,sup_code,0))),B1522+INDEX(sup_delay,MATCH($C1522,sup_code,0)),"")))</f>
        <v/>
      </c>
      <c r="S1522" s="64" t="n"/>
      <c r="T1522" s="68" t="n"/>
      <c r="U1522" s="64" t="n"/>
      <c r="V1522" s="65" t="n"/>
      <c r="W1522" s="74" t="str">
        <f>IF(AND(A1522="",E1522=""),"",IF(V1522="Oui",0,MAX(0,ROUND(N(H1522)-N(T1522),6))))</f>
        <v/>
      </c>
      <c r="X1522" s="67" t="str">
        <f>IF(AND(A1522="",E1522=""),"",IF(V1522="Oui","Annulé",IF(AND(N(H1522)&gt;0,N(T1522)&gt;=N(H1522)),"Reçu",IF(N(S1522)=0,"Brouillon",IF(AND(ISNUMBER(R1522),R1522&lt;p_today),"En retard",IF(N(T1522)&gt;0,"Partiel","Envoyé"))))))</f>
        <v/>
      </c>
      <c r="Y1522" s="75" t="str">
        <f>IF(X1522="En retard",p_today-R1522,IF(AND(X1522="Reçu",ISNUMBER(R1522)),MAX(0,N(U1522)-R1522),""))</f>
        <v/>
      </c>
      <c r="Z1522" s="67" t="str">
        <f>IF(AND(A1522="",E1522=""),"",IF(A1522="","N° de bon manquant",IF(N(B1522)=0,"Date de commande manquante",IF(C1522="","Fournisseur manquant",IF(ISNA(MATCH($C1522,sup_code,0)),"Fournisseur inconnu",IF(E1522="","Article manquant",IF(ISNA(MATCH($E1522,art_ref,0)),"Article inconnu",IF(N(H1522)&lt;=0,"Quantité invalide",IF(J1522="","Prix manquant",IF(OR(N(K1522)&lt;0,N(K1522)&gt;=1),"Remise invalide",IF(M1522="","TVA manquante",IF(ISNA(MATCH(M1522,p_tva,0)),"Taux de TVA inconnu",IF(COUNTIFS(po_num,A1522,po_sup,"&lt;&gt;"&amp;C1522)&gt;0,"Fournisseur différent sur ce bon",IF(COUNTIFS(po_num,A1522,po_date,"&lt;&gt;"&amp;B1522)&gt;0,"Date différente sur ce bon",IF(COUNTIF(po_num,A1522)&gt;25,"Plus de 25 lignes sur ce bon",IF(R1522="","Date de livraison manquante",IF(R1522&lt;B1522,"Livraison avant la commande",IF(AND(N(T1522)&gt;0,N(S1522)=0),"Date d'envoi manquante",IF(N(T1522)&gt;N(H1522),"Reçu plus que commandé",IF(AND(N(T1522)&gt;0,N(U1522)=0),"Date de réception manquante",IF(AND(N(U1522)&gt;0,U1522&lt;B1522),"Réception avant la commande","OK")))))))))))))))))))))</f>
        <v/>
      </c>
      <c r="AA1522" s="66" t="str">
        <f>IF(AND(X1522="Reçu",ISNUMBER(R1522)),IF(N(U1522)&lt;=R1522,1,0),"")</f>
        <v/>
      </c>
      <c r="AB1522" s="76" t="str">
        <f>IF(OR(X1522="Envoyé",X1522="Partiel",X1522="En retard"),IF(ISNUMBER(R1522),R1522,100000)+ROW()/100000,"")</f>
        <v/>
      </c>
      <c r="AC1522" s="66" t="str">
        <f>IF(A1522="","",IF(COUNTIF($A$6:A1522,A1522)=1,1,""))</f>
        <v/>
      </c>
      <c r="AD1522" s="66" t="str">
        <f>IF(AC1522=1,COUNT($AC$6:AC1522),"")</f>
        <v/>
      </c>
      <c r="AE1522" s="66" t="str">
        <f>IFERROR(INDEX(po_num,MATCH(1517,po_seq,0))&amp;"","")</f>
        <v/>
      </c>
      <c r="AF1522" s="66" t="str">
        <f>IF(OR(A1522="",p_po=""),"",IF(A1522&amp;""=p_po,COUNTIF($A$6:A1522,A1522),""))</f>
        <v/>
      </c>
      <c r="AG1522" s="66" t="str">
        <f>IF(OR(AB1522="",A1522=""),"",IF(COUNTIFS($A$6:A1522,A1522,$AB$6:AB1522,"&gt;0")=1,1,""))</f>
        <v/>
      </c>
      <c r="AH1522" s="70" t="str">
        <f>IF(AB1522="","",ROUND(N(W1522)*N(J1522)*(1-N(K1522)),2))</f>
        <v/>
      </c>
      <c r="AI1522" s="70" t="str">
        <f>IF(OR(J1522="",N(T1522)&lt;=0,V1522="Oui"),"",ROUND(N(T1522)*J1522*(1-N(K1522)),2))</f>
        <v/>
      </c>
    </row>
    <row r="1523">
      <c r="A1523" s="63" t="n"/>
      <c r="B1523" s="64" t="n"/>
      <c r="C1523" s="65" t="n"/>
      <c r="D1523" s="66" t="str">
        <f>IF(C1523="","",IFERROR(INDEX(sup_name,MATCH($C1523,sup_code,0))&amp;"","Fournisseur inconnu"))</f>
        <v/>
      </c>
      <c r="E1523" s="63" t="n"/>
      <c r="F1523" s="66" t="str">
        <f>IF(E1523="","",IFERROR(INDEX(art_des,MATCH($E1523,art_ref,0))&amp;"","Article inconnu"))</f>
        <v/>
      </c>
      <c r="G1523" s="67" t="str">
        <f>IF(E1523="","",IFERROR(INDEX(art_unit,MATCH($E1523,art_ref,0))&amp;"",""))</f>
        <v/>
      </c>
      <c r="H1523" s="68" t="n"/>
      <c r="I1523" s="69" t="n"/>
      <c r="J1523" s="70" t="str">
        <f>IF(E1523="","",IF(ISNUMBER(I1523),I1523,IFERROR(IF(ISNUMBER(INDEX(art_price,MATCH($E1523,art_ref,0))),INDEX(art_price,MATCH($E1523,art_ref,0)),""),"")))</f>
        <v/>
      </c>
      <c r="K1523" s="71" t="n"/>
      <c r="L1523" s="72" t="n"/>
      <c r="M1523" s="72" t="str">
        <f>IF(E1523="","",IF(L1523&lt;&gt;"",L1523,IFERROR(IF(ISNUMBER(INDEX(art_tva,MATCH($E1523,art_ref,0))),INDEX(art_tva,MATCH($E1523,art_ref,0)),""),"")))</f>
        <v/>
      </c>
      <c r="N1523" s="70" t="str">
        <f>IF(OR(E1523="",J1523=""),"",ROUND(N(H1523)*J1523*(1-N(K1523)),2))</f>
        <v/>
      </c>
      <c r="O1523" s="70" t="str">
        <f>IF(OR(N1523="",NOT(ISNUMBER(M1523))),"",ROUND(N1523*M1523,2))</f>
        <v/>
      </c>
      <c r="P1523" s="70" t="str">
        <f>IF(N1523="","",N1523+N(O1523))</f>
        <v/>
      </c>
      <c r="Q1523" s="64" t="n"/>
      <c r="R1523" s="73" t="str">
        <f>IF(N(Q1523)&gt;0,Q1523,IF(OR(N(B1523)=0,ISNA(MATCH($C1523,sup_code,0))),"",IF(ISNUMBER(INDEX(sup_delay,MATCH($C1523,sup_code,0))),B1523+INDEX(sup_delay,MATCH($C1523,sup_code,0)),"")))</f>
        <v/>
      </c>
      <c r="S1523" s="64" t="n"/>
      <c r="T1523" s="68" t="n"/>
      <c r="U1523" s="64" t="n"/>
      <c r="V1523" s="65" t="n"/>
      <c r="W1523" s="74" t="str">
        <f>IF(AND(A1523="",E1523=""),"",IF(V1523="Oui",0,MAX(0,ROUND(N(H1523)-N(T1523),6))))</f>
        <v/>
      </c>
      <c r="X1523" s="67" t="str">
        <f>IF(AND(A1523="",E1523=""),"",IF(V1523="Oui","Annulé",IF(AND(N(H1523)&gt;0,N(T1523)&gt;=N(H1523)),"Reçu",IF(N(S1523)=0,"Brouillon",IF(AND(ISNUMBER(R1523),R1523&lt;p_today),"En retard",IF(N(T1523)&gt;0,"Partiel","Envoyé"))))))</f>
        <v/>
      </c>
      <c r="Y1523" s="75" t="str">
        <f>IF(X1523="En retard",p_today-R1523,IF(AND(X1523="Reçu",ISNUMBER(R1523)),MAX(0,N(U1523)-R1523),""))</f>
        <v/>
      </c>
      <c r="Z1523" s="67" t="str">
        <f>IF(AND(A1523="",E1523=""),"",IF(A1523="","N° de bon manquant",IF(N(B1523)=0,"Date de commande manquante",IF(C1523="","Fournisseur manquant",IF(ISNA(MATCH($C1523,sup_code,0)),"Fournisseur inconnu",IF(E1523="","Article manquant",IF(ISNA(MATCH($E1523,art_ref,0)),"Article inconnu",IF(N(H1523)&lt;=0,"Quantité invalide",IF(J1523="","Prix manquant",IF(OR(N(K1523)&lt;0,N(K1523)&gt;=1),"Remise invalide",IF(M1523="","TVA manquante",IF(ISNA(MATCH(M1523,p_tva,0)),"Taux de TVA inconnu",IF(COUNTIFS(po_num,A1523,po_sup,"&lt;&gt;"&amp;C1523)&gt;0,"Fournisseur différent sur ce bon",IF(COUNTIFS(po_num,A1523,po_date,"&lt;&gt;"&amp;B1523)&gt;0,"Date différente sur ce bon",IF(COUNTIF(po_num,A1523)&gt;25,"Plus de 25 lignes sur ce bon",IF(R1523="","Date de livraison manquante",IF(R1523&lt;B1523,"Livraison avant la commande",IF(AND(N(T1523)&gt;0,N(S1523)=0),"Date d'envoi manquante",IF(N(T1523)&gt;N(H1523),"Reçu plus que commandé",IF(AND(N(T1523)&gt;0,N(U1523)=0),"Date de réception manquante",IF(AND(N(U1523)&gt;0,U1523&lt;B1523),"Réception avant la commande","OK")))))))))))))))))))))</f>
        <v/>
      </c>
      <c r="AA1523" s="66" t="str">
        <f>IF(AND(X1523="Reçu",ISNUMBER(R1523)),IF(N(U1523)&lt;=R1523,1,0),"")</f>
        <v/>
      </c>
      <c r="AB1523" s="76" t="str">
        <f>IF(OR(X1523="Envoyé",X1523="Partiel",X1523="En retard"),IF(ISNUMBER(R1523),R1523,100000)+ROW()/100000,"")</f>
        <v/>
      </c>
      <c r="AC1523" s="66" t="str">
        <f>IF(A1523="","",IF(COUNTIF($A$6:A1523,A1523)=1,1,""))</f>
        <v/>
      </c>
      <c r="AD1523" s="66" t="str">
        <f>IF(AC1523=1,COUNT($AC$6:AC1523),"")</f>
        <v/>
      </c>
      <c r="AE1523" s="66" t="str">
        <f>IFERROR(INDEX(po_num,MATCH(1518,po_seq,0))&amp;"","")</f>
        <v/>
      </c>
      <c r="AF1523" s="66" t="str">
        <f>IF(OR(A1523="",p_po=""),"",IF(A1523&amp;""=p_po,COUNTIF($A$6:A1523,A1523),""))</f>
        <v/>
      </c>
      <c r="AG1523" s="66" t="str">
        <f>IF(OR(AB1523="",A1523=""),"",IF(COUNTIFS($A$6:A1523,A1523,$AB$6:AB1523,"&gt;0")=1,1,""))</f>
        <v/>
      </c>
      <c r="AH1523" s="70" t="str">
        <f>IF(AB1523="","",ROUND(N(W1523)*N(J1523)*(1-N(K1523)),2))</f>
        <v/>
      </c>
      <c r="AI1523" s="70" t="str">
        <f>IF(OR(J1523="",N(T1523)&lt;=0,V1523="Oui"),"",ROUND(N(T1523)*J1523*(1-N(K1523)),2))</f>
        <v/>
      </c>
    </row>
    <row r="1524">
      <c r="A1524" s="63" t="n"/>
      <c r="B1524" s="64" t="n"/>
      <c r="C1524" s="65" t="n"/>
      <c r="D1524" s="66" t="str">
        <f>IF(C1524="","",IFERROR(INDEX(sup_name,MATCH($C1524,sup_code,0))&amp;"","Fournisseur inconnu"))</f>
        <v/>
      </c>
      <c r="E1524" s="63" t="n"/>
      <c r="F1524" s="66" t="str">
        <f>IF(E1524="","",IFERROR(INDEX(art_des,MATCH($E1524,art_ref,0))&amp;"","Article inconnu"))</f>
        <v/>
      </c>
      <c r="G1524" s="67" t="str">
        <f>IF(E1524="","",IFERROR(INDEX(art_unit,MATCH($E1524,art_ref,0))&amp;"",""))</f>
        <v/>
      </c>
      <c r="H1524" s="68" t="n"/>
      <c r="I1524" s="69" t="n"/>
      <c r="J1524" s="70" t="str">
        <f>IF(E1524="","",IF(ISNUMBER(I1524),I1524,IFERROR(IF(ISNUMBER(INDEX(art_price,MATCH($E1524,art_ref,0))),INDEX(art_price,MATCH($E1524,art_ref,0)),""),"")))</f>
        <v/>
      </c>
      <c r="K1524" s="71" t="n"/>
      <c r="L1524" s="72" t="n"/>
      <c r="M1524" s="72" t="str">
        <f>IF(E1524="","",IF(L1524&lt;&gt;"",L1524,IFERROR(IF(ISNUMBER(INDEX(art_tva,MATCH($E1524,art_ref,0))),INDEX(art_tva,MATCH($E1524,art_ref,0)),""),"")))</f>
        <v/>
      </c>
      <c r="N1524" s="70" t="str">
        <f>IF(OR(E1524="",J1524=""),"",ROUND(N(H1524)*J1524*(1-N(K1524)),2))</f>
        <v/>
      </c>
      <c r="O1524" s="70" t="str">
        <f>IF(OR(N1524="",NOT(ISNUMBER(M1524))),"",ROUND(N1524*M1524,2))</f>
        <v/>
      </c>
      <c r="P1524" s="70" t="str">
        <f>IF(N1524="","",N1524+N(O1524))</f>
        <v/>
      </c>
      <c r="Q1524" s="64" t="n"/>
      <c r="R1524" s="73" t="str">
        <f>IF(N(Q1524)&gt;0,Q1524,IF(OR(N(B1524)=0,ISNA(MATCH($C1524,sup_code,0))),"",IF(ISNUMBER(INDEX(sup_delay,MATCH($C1524,sup_code,0))),B1524+INDEX(sup_delay,MATCH($C1524,sup_code,0)),"")))</f>
        <v/>
      </c>
      <c r="S1524" s="64" t="n"/>
      <c r="T1524" s="68" t="n"/>
      <c r="U1524" s="64" t="n"/>
      <c r="V1524" s="65" t="n"/>
      <c r="W1524" s="74" t="str">
        <f>IF(AND(A1524="",E1524=""),"",IF(V1524="Oui",0,MAX(0,ROUND(N(H1524)-N(T1524),6))))</f>
        <v/>
      </c>
      <c r="X1524" s="67" t="str">
        <f>IF(AND(A1524="",E1524=""),"",IF(V1524="Oui","Annulé",IF(AND(N(H1524)&gt;0,N(T1524)&gt;=N(H1524)),"Reçu",IF(N(S1524)=0,"Brouillon",IF(AND(ISNUMBER(R1524),R1524&lt;p_today),"En retard",IF(N(T1524)&gt;0,"Partiel","Envoyé"))))))</f>
        <v/>
      </c>
      <c r="Y1524" s="75" t="str">
        <f>IF(X1524="En retard",p_today-R1524,IF(AND(X1524="Reçu",ISNUMBER(R1524)),MAX(0,N(U1524)-R1524),""))</f>
        <v/>
      </c>
      <c r="Z1524" s="67" t="str">
        <f>IF(AND(A1524="",E1524=""),"",IF(A1524="","N° de bon manquant",IF(N(B1524)=0,"Date de commande manquante",IF(C1524="","Fournisseur manquant",IF(ISNA(MATCH($C1524,sup_code,0)),"Fournisseur inconnu",IF(E1524="","Article manquant",IF(ISNA(MATCH($E1524,art_ref,0)),"Article inconnu",IF(N(H1524)&lt;=0,"Quantité invalide",IF(J1524="","Prix manquant",IF(OR(N(K1524)&lt;0,N(K1524)&gt;=1),"Remise invalide",IF(M1524="","TVA manquante",IF(ISNA(MATCH(M1524,p_tva,0)),"Taux de TVA inconnu",IF(COUNTIFS(po_num,A1524,po_sup,"&lt;&gt;"&amp;C1524)&gt;0,"Fournisseur différent sur ce bon",IF(COUNTIFS(po_num,A1524,po_date,"&lt;&gt;"&amp;B1524)&gt;0,"Date différente sur ce bon",IF(COUNTIF(po_num,A1524)&gt;25,"Plus de 25 lignes sur ce bon",IF(R1524="","Date de livraison manquante",IF(R1524&lt;B1524,"Livraison avant la commande",IF(AND(N(T1524)&gt;0,N(S1524)=0),"Date d'envoi manquante",IF(N(T1524)&gt;N(H1524),"Reçu plus que commandé",IF(AND(N(T1524)&gt;0,N(U1524)=0),"Date de réception manquante",IF(AND(N(U1524)&gt;0,U1524&lt;B1524),"Réception avant la commande","OK")))))))))))))))))))))</f>
        <v/>
      </c>
      <c r="AA1524" s="66" t="str">
        <f>IF(AND(X1524="Reçu",ISNUMBER(R1524)),IF(N(U1524)&lt;=R1524,1,0),"")</f>
        <v/>
      </c>
      <c r="AB1524" s="76" t="str">
        <f>IF(OR(X1524="Envoyé",X1524="Partiel",X1524="En retard"),IF(ISNUMBER(R1524),R1524,100000)+ROW()/100000,"")</f>
        <v/>
      </c>
      <c r="AC1524" s="66" t="str">
        <f>IF(A1524="","",IF(COUNTIF($A$6:A1524,A1524)=1,1,""))</f>
        <v/>
      </c>
      <c r="AD1524" s="66" t="str">
        <f>IF(AC1524=1,COUNT($AC$6:AC1524),"")</f>
        <v/>
      </c>
      <c r="AE1524" s="66" t="str">
        <f>IFERROR(INDEX(po_num,MATCH(1519,po_seq,0))&amp;"","")</f>
        <v/>
      </c>
      <c r="AF1524" s="66" t="str">
        <f>IF(OR(A1524="",p_po=""),"",IF(A1524&amp;""=p_po,COUNTIF($A$6:A1524,A1524),""))</f>
        <v/>
      </c>
      <c r="AG1524" s="66" t="str">
        <f>IF(OR(AB1524="",A1524=""),"",IF(COUNTIFS($A$6:A1524,A1524,$AB$6:AB1524,"&gt;0")=1,1,""))</f>
        <v/>
      </c>
      <c r="AH1524" s="70" t="str">
        <f>IF(AB1524="","",ROUND(N(W1524)*N(J1524)*(1-N(K1524)),2))</f>
        <v/>
      </c>
      <c r="AI1524" s="70" t="str">
        <f>IF(OR(J1524="",N(T1524)&lt;=0,V1524="Oui"),"",ROUND(N(T1524)*J1524*(1-N(K1524)),2))</f>
        <v/>
      </c>
    </row>
    <row r="1525">
      <c r="A1525" s="63" t="n"/>
      <c r="B1525" s="64" t="n"/>
      <c r="C1525" s="65" t="n"/>
      <c r="D1525" s="66" t="str">
        <f>IF(C1525="","",IFERROR(INDEX(sup_name,MATCH($C1525,sup_code,0))&amp;"","Fournisseur inconnu"))</f>
        <v/>
      </c>
      <c r="E1525" s="63" t="n"/>
      <c r="F1525" s="66" t="str">
        <f>IF(E1525="","",IFERROR(INDEX(art_des,MATCH($E1525,art_ref,0))&amp;"","Article inconnu"))</f>
        <v/>
      </c>
      <c r="G1525" s="67" t="str">
        <f>IF(E1525="","",IFERROR(INDEX(art_unit,MATCH($E1525,art_ref,0))&amp;"",""))</f>
        <v/>
      </c>
      <c r="H1525" s="68" t="n"/>
      <c r="I1525" s="69" t="n"/>
      <c r="J1525" s="70" t="str">
        <f>IF(E1525="","",IF(ISNUMBER(I1525),I1525,IFERROR(IF(ISNUMBER(INDEX(art_price,MATCH($E1525,art_ref,0))),INDEX(art_price,MATCH($E1525,art_ref,0)),""),"")))</f>
        <v/>
      </c>
      <c r="K1525" s="71" t="n"/>
      <c r="L1525" s="72" t="n"/>
      <c r="M1525" s="72" t="str">
        <f>IF(E1525="","",IF(L1525&lt;&gt;"",L1525,IFERROR(IF(ISNUMBER(INDEX(art_tva,MATCH($E1525,art_ref,0))),INDEX(art_tva,MATCH($E1525,art_ref,0)),""),"")))</f>
        <v/>
      </c>
      <c r="N1525" s="70" t="str">
        <f>IF(OR(E1525="",J1525=""),"",ROUND(N(H1525)*J1525*(1-N(K1525)),2))</f>
        <v/>
      </c>
      <c r="O1525" s="70" t="str">
        <f>IF(OR(N1525="",NOT(ISNUMBER(M1525))),"",ROUND(N1525*M1525,2))</f>
        <v/>
      </c>
      <c r="P1525" s="70" t="str">
        <f>IF(N1525="","",N1525+N(O1525))</f>
        <v/>
      </c>
      <c r="Q1525" s="64" t="n"/>
      <c r="R1525" s="73" t="str">
        <f>IF(N(Q1525)&gt;0,Q1525,IF(OR(N(B1525)=0,ISNA(MATCH($C1525,sup_code,0))),"",IF(ISNUMBER(INDEX(sup_delay,MATCH($C1525,sup_code,0))),B1525+INDEX(sup_delay,MATCH($C1525,sup_code,0)),"")))</f>
        <v/>
      </c>
      <c r="S1525" s="64" t="n"/>
      <c r="T1525" s="68" t="n"/>
      <c r="U1525" s="64" t="n"/>
      <c r="V1525" s="65" t="n"/>
      <c r="W1525" s="74" t="str">
        <f>IF(AND(A1525="",E1525=""),"",IF(V1525="Oui",0,MAX(0,ROUND(N(H1525)-N(T1525),6))))</f>
        <v/>
      </c>
      <c r="X1525" s="67" t="str">
        <f>IF(AND(A1525="",E1525=""),"",IF(V1525="Oui","Annulé",IF(AND(N(H1525)&gt;0,N(T1525)&gt;=N(H1525)),"Reçu",IF(N(S1525)=0,"Brouillon",IF(AND(ISNUMBER(R1525),R1525&lt;p_today),"En retard",IF(N(T1525)&gt;0,"Partiel","Envoyé"))))))</f>
        <v/>
      </c>
      <c r="Y1525" s="75" t="str">
        <f>IF(X1525="En retard",p_today-R1525,IF(AND(X1525="Reçu",ISNUMBER(R1525)),MAX(0,N(U1525)-R1525),""))</f>
        <v/>
      </c>
      <c r="Z1525" s="67" t="str">
        <f>IF(AND(A1525="",E1525=""),"",IF(A1525="","N° de bon manquant",IF(N(B1525)=0,"Date de commande manquante",IF(C1525="","Fournisseur manquant",IF(ISNA(MATCH($C1525,sup_code,0)),"Fournisseur inconnu",IF(E1525="","Article manquant",IF(ISNA(MATCH($E1525,art_ref,0)),"Article inconnu",IF(N(H1525)&lt;=0,"Quantité invalide",IF(J1525="","Prix manquant",IF(OR(N(K1525)&lt;0,N(K1525)&gt;=1),"Remise invalide",IF(M1525="","TVA manquante",IF(ISNA(MATCH(M1525,p_tva,0)),"Taux de TVA inconnu",IF(COUNTIFS(po_num,A1525,po_sup,"&lt;&gt;"&amp;C1525)&gt;0,"Fournisseur différent sur ce bon",IF(COUNTIFS(po_num,A1525,po_date,"&lt;&gt;"&amp;B1525)&gt;0,"Date différente sur ce bon",IF(COUNTIF(po_num,A1525)&gt;25,"Plus de 25 lignes sur ce bon",IF(R1525="","Date de livraison manquante",IF(R1525&lt;B1525,"Livraison avant la commande",IF(AND(N(T1525)&gt;0,N(S1525)=0),"Date d'envoi manquante",IF(N(T1525)&gt;N(H1525),"Reçu plus que commandé",IF(AND(N(T1525)&gt;0,N(U1525)=0),"Date de réception manquante",IF(AND(N(U1525)&gt;0,U1525&lt;B1525),"Réception avant la commande","OK")))))))))))))))))))))</f>
        <v/>
      </c>
      <c r="AA1525" s="66" t="str">
        <f>IF(AND(X1525="Reçu",ISNUMBER(R1525)),IF(N(U1525)&lt;=R1525,1,0),"")</f>
        <v/>
      </c>
      <c r="AB1525" s="76" t="str">
        <f>IF(OR(X1525="Envoyé",X1525="Partiel",X1525="En retard"),IF(ISNUMBER(R1525),R1525,100000)+ROW()/100000,"")</f>
        <v/>
      </c>
      <c r="AC1525" s="66" t="str">
        <f>IF(A1525="","",IF(COUNTIF($A$6:A1525,A1525)=1,1,""))</f>
        <v/>
      </c>
      <c r="AD1525" s="66" t="str">
        <f>IF(AC1525=1,COUNT($AC$6:AC1525),"")</f>
        <v/>
      </c>
      <c r="AE1525" s="66" t="str">
        <f>IFERROR(INDEX(po_num,MATCH(1520,po_seq,0))&amp;"","")</f>
        <v/>
      </c>
      <c r="AF1525" s="66" t="str">
        <f>IF(OR(A1525="",p_po=""),"",IF(A1525&amp;""=p_po,COUNTIF($A$6:A1525,A1525),""))</f>
        <v/>
      </c>
      <c r="AG1525" s="66" t="str">
        <f>IF(OR(AB1525="",A1525=""),"",IF(COUNTIFS($A$6:A1525,A1525,$AB$6:AB1525,"&gt;0")=1,1,""))</f>
        <v/>
      </c>
      <c r="AH1525" s="70" t="str">
        <f>IF(AB1525="","",ROUND(N(W1525)*N(J1525)*(1-N(K1525)),2))</f>
        <v/>
      </c>
      <c r="AI1525" s="70" t="str">
        <f>IF(OR(J1525="",N(T1525)&lt;=0,V1525="Oui"),"",ROUND(N(T1525)*J1525*(1-N(K1525)),2))</f>
        <v/>
      </c>
    </row>
    <row r="1526">
      <c r="A1526" s="63" t="n"/>
      <c r="B1526" s="64" t="n"/>
      <c r="C1526" s="65" t="n"/>
      <c r="D1526" s="66" t="str">
        <f>IF(C1526="","",IFERROR(INDEX(sup_name,MATCH($C1526,sup_code,0))&amp;"","Fournisseur inconnu"))</f>
        <v/>
      </c>
      <c r="E1526" s="63" t="n"/>
      <c r="F1526" s="66" t="str">
        <f>IF(E1526="","",IFERROR(INDEX(art_des,MATCH($E1526,art_ref,0))&amp;"","Article inconnu"))</f>
        <v/>
      </c>
      <c r="G1526" s="67" t="str">
        <f>IF(E1526="","",IFERROR(INDEX(art_unit,MATCH($E1526,art_ref,0))&amp;"",""))</f>
        <v/>
      </c>
      <c r="H1526" s="68" t="n"/>
      <c r="I1526" s="69" t="n"/>
      <c r="J1526" s="70" t="str">
        <f>IF(E1526="","",IF(ISNUMBER(I1526),I1526,IFERROR(IF(ISNUMBER(INDEX(art_price,MATCH($E1526,art_ref,0))),INDEX(art_price,MATCH($E1526,art_ref,0)),""),"")))</f>
        <v/>
      </c>
      <c r="K1526" s="71" t="n"/>
      <c r="L1526" s="72" t="n"/>
      <c r="M1526" s="72" t="str">
        <f>IF(E1526="","",IF(L1526&lt;&gt;"",L1526,IFERROR(IF(ISNUMBER(INDEX(art_tva,MATCH($E1526,art_ref,0))),INDEX(art_tva,MATCH($E1526,art_ref,0)),""),"")))</f>
        <v/>
      </c>
      <c r="N1526" s="70" t="str">
        <f>IF(OR(E1526="",J1526=""),"",ROUND(N(H1526)*J1526*(1-N(K1526)),2))</f>
        <v/>
      </c>
      <c r="O1526" s="70" t="str">
        <f>IF(OR(N1526="",NOT(ISNUMBER(M1526))),"",ROUND(N1526*M1526,2))</f>
        <v/>
      </c>
      <c r="P1526" s="70" t="str">
        <f>IF(N1526="","",N1526+N(O1526))</f>
        <v/>
      </c>
      <c r="Q1526" s="64" t="n"/>
      <c r="R1526" s="73" t="str">
        <f>IF(N(Q1526)&gt;0,Q1526,IF(OR(N(B1526)=0,ISNA(MATCH($C1526,sup_code,0))),"",IF(ISNUMBER(INDEX(sup_delay,MATCH($C1526,sup_code,0))),B1526+INDEX(sup_delay,MATCH($C1526,sup_code,0)),"")))</f>
        <v/>
      </c>
      <c r="S1526" s="64" t="n"/>
      <c r="T1526" s="68" t="n"/>
      <c r="U1526" s="64" t="n"/>
      <c r="V1526" s="65" t="n"/>
      <c r="W1526" s="74" t="str">
        <f>IF(AND(A1526="",E1526=""),"",IF(V1526="Oui",0,MAX(0,ROUND(N(H1526)-N(T1526),6))))</f>
        <v/>
      </c>
      <c r="X1526" s="67" t="str">
        <f>IF(AND(A1526="",E1526=""),"",IF(V1526="Oui","Annulé",IF(AND(N(H1526)&gt;0,N(T1526)&gt;=N(H1526)),"Reçu",IF(N(S1526)=0,"Brouillon",IF(AND(ISNUMBER(R1526),R1526&lt;p_today),"En retard",IF(N(T1526)&gt;0,"Partiel","Envoyé"))))))</f>
        <v/>
      </c>
      <c r="Y1526" s="75" t="str">
        <f>IF(X1526="En retard",p_today-R1526,IF(AND(X1526="Reçu",ISNUMBER(R1526)),MAX(0,N(U1526)-R1526),""))</f>
        <v/>
      </c>
      <c r="Z1526" s="67" t="str">
        <f>IF(AND(A1526="",E1526=""),"",IF(A1526="","N° de bon manquant",IF(N(B1526)=0,"Date de commande manquante",IF(C1526="","Fournisseur manquant",IF(ISNA(MATCH($C1526,sup_code,0)),"Fournisseur inconnu",IF(E1526="","Article manquant",IF(ISNA(MATCH($E1526,art_ref,0)),"Article inconnu",IF(N(H1526)&lt;=0,"Quantité invalide",IF(J1526="","Prix manquant",IF(OR(N(K1526)&lt;0,N(K1526)&gt;=1),"Remise invalide",IF(M1526="","TVA manquante",IF(ISNA(MATCH(M1526,p_tva,0)),"Taux de TVA inconnu",IF(COUNTIFS(po_num,A1526,po_sup,"&lt;&gt;"&amp;C1526)&gt;0,"Fournisseur différent sur ce bon",IF(COUNTIFS(po_num,A1526,po_date,"&lt;&gt;"&amp;B1526)&gt;0,"Date différente sur ce bon",IF(COUNTIF(po_num,A1526)&gt;25,"Plus de 25 lignes sur ce bon",IF(R1526="","Date de livraison manquante",IF(R1526&lt;B1526,"Livraison avant la commande",IF(AND(N(T1526)&gt;0,N(S1526)=0),"Date d'envoi manquante",IF(N(T1526)&gt;N(H1526),"Reçu plus que commandé",IF(AND(N(T1526)&gt;0,N(U1526)=0),"Date de réception manquante",IF(AND(N(U1526)&gt;0,U1526&lt;B1526),"Réception avant la commande","OK")))))))))))))))))))))</f>
        <v/>
      </c>
      <c r="AA1526" s="66" t="str">
        <f>IF(AND(X1526="Reçu",ISNUMBER(R1526)),IF(N(U1526)&lt;=R1526,1,0),"")</f>
        <v/>
      </c>
      <c r="AB1526" s="76" t="str">
        <f>IF(OR(X1526="Envoyé",X1526="Partiel",X1526="En retard"),IF(ISNUMBER(R1526),R1526,100000)+ROW()/100000,"")</f>
        <v/>
      </c>
      <c r="AC1526" s="66" t="str">
        <f>IF(A1526="","",IF(COUNTIF($A$6:A1526,A1526)=1,1,""))</f>
        <v/>
      </c>
      <c r="AD1526" s="66" t="str">
        <f>IF(AC1526=1,COUNT($AC$6:AC1526),"")</f>
        <v/>
      </c>
      <c r="AE1526" s="66" t="str">
        <f>IFERROR(INDEX(po_num,MATCH(1521,po_seq,0))&amp;"","")</f>
        <v/>
      </c>
      <c r="AF1526" s="66" t="str">
        <f>IF(OR(A1526="",p_po=""),"",IF(A1526&amp;""=p_po,COUNTIF($A$6:A1526,A1526),""))</f>
        <v/>
      </c>
      <c r="AG1526" s="66" t="str">
        <f>IF(OR(AB1526="",A1526=""),"",IF(COUNTIFS($A$6:A1526,A1526,$AB$6:AB1526,"&gt;0")=1,1,""))</f>
        <v/>
      </c>
      <c r="AH1526" s="70" t="str">
        <f>IF(AB1526="","",ROUND(N(W1526)*N(J1526)*(1-N(K1526)),2))</f>
        <v/>
      </c>
      <c r="AI1526" s="70" t="str">
        <f>IF(OR(J1526="",N(T1526)&lt;=0,V1526="Oui"),"",ROUND(N(T1526)*J1526*(1-N(K1526)),2))</f>
        <v/>
      </c>
    </row>
    <row r="1527">
      <c r="A1527" s="63" t="n"/>
      <c r="B1527" s="64" t="n"/>
      <c r="C1527" s="65" t="n"/>
      <c r="D1527" s="66" t="str">
        <f>IF(C1527="","",IFERROR(INDEX(sup_name,MATCH($C1527,sup_code,0))&amp;"","Fournisseur inconnu"))</f>
        <v/>
      </c>
      <c r="E1527" s="63" t="n"/>
      <c r="F1527" s="66" t="str">
        <f>IF(E1527="","",IFERROR(INDEX(art_des,MATCH($E1527,art_ref,0))&amp;"","Article inconnu"))</f>
        <v/>
      </c>
      <c r="G1527" s="67" t="str">
        <f>IF(E1527="","",IFERROR(INDEX(art_unit,MATCH($E1527,art_ref,0))&amp;"",""))</f>
        <v/>
      </c>
      <c r="H1527" s="68" t="n"/>
      <c r="I1527" s="69" t="n"/>
      <c r="J1527" s="70" t="str">
        <f>IF(E1527="","",IF(ISNUMBER(I1527),I1527,IFERROR(IF(ISNUMBER(INDEX(art_price,MATCH($E1527,art_ref,0))),INDEX(art_price,MATCH($E1527,art_ref,0)),""),"")))</f>
        <v/>
      </c>
      <c r="K1527" s="71" t="n"/>
      <c r="L1527" s="72" t="n"/>
      <c r="M1527" s="72" t="str">
        <f>IF(E1527="","",IF(L1527&lt;&gt;"",L1527,IFERROR(IF(ISNUMBER(INDEX(art_tva,MATCH($E1527,art_ref,0))),INDEX(art_tva,MATCH($E1527,art_ref,0)),""),"")))</f>
        <v/>
      </c>
      <c r="N1527" s="70" t="str">
        <f>IF(OR(E1527="",J1527=""),"",ROUND(N(H1527)*J1527*(1-N(K1527)),2))</f>
        <v/>
      </c>
      <c r="O1527" s="70" t="str">
        <f>IF(OR(N1527="",NOT(ISNUMBER(M1527))),"",ROUND(N1527*M1527,2))</f>
        <v/>
      </c>
      <c r="P1527" s="70" t="str">
        <f>IF(N1527="","",N1527+N(O1527))</f>
        <v/>
      </c>
      <c r="Q1527" s="64" t="n"/>
      <c r="R1527" s="73" t="str">
        <f>IF(N(Q1527)&gt;0,Q1527,IF(OR(N(B1527)=0,ISNA(MATCH($C1527,sup_code,0))),"",IF(ISNUMBER(INDEX(sup_delay,MATCH($C1527,sup_code,0))),B1527+INDEX(sup_delay,MATCH($C1527,sup_code,0)),"")))</f>
        <v/>
      </c>
      <c r="S1527" s="64" t="n"/>
      <c r="T1527" s="68" t="n"/>
      <c r="U1527" s="64" t="n"/>
      <c r="V1527" s="65" t="n"/>
      <c r="W1527" s="74" t="str">
        <f>IF(AND(A1527="",E1527=""),"",IF(V1527="Oui",0,MAX(0,ROUND(N(H1527)-N(T1527),6))))</f>
        <v/>
      </c>
      <c r="X1527" s="67" t="str">
        <f>IF(AND(A1527="",E1527=""),"",IF(V1527="Oui","Annulé",IF(AND(N(H1527)&gt;0,N(T1527)&gt;=N(H1527)),"Reçu",IF(N(S1527)=0,"Brouillon",IF(AND(ISNUMBER(R1527),R1527&lt;p_today),"En retard",IF(N(T1527)&gt;0,"Partiel","Envoyé"))))))</f>
        <v/>
      </c>
      <c r="Y1527" s="75" t="str">
        <f>IF(X1527="En retard",p_today-R1527,IF(AND(X1527="Reçu",ISNUMBER(R1527)),MAX(0,N(U1527)-R1527),""))</f>
        <v/>
      </c>
      <c r="Z1527" s="67" t="str">
        <f>IF(AND(A1527="",E1527=""),"",IF(A1527="","N° de bon manquant",IF(N(B1527)=0,"Date de commande manquante",IF(C1527="","Fournisseur manquant",IF(ISNA(MATCH($C1527,sup_code,0)),"Fournisseur inconnu",IF(E1527="","Article manquant",IF(ISNA(MATCH($E1527,art_ref,0)),"Article inconnu",IF(N(H1527)&lt;=0,"Quantité invalide",IF(J1527="","Prix manquant",IF(OR(N(K1527)&lt;0,N(K1527)&gt;=1),"Remise invalide",IF(M1527="","TVA manquante",IF(ISNA(MATCH(M1527,p_tva,0)),"Taux de TVA inconnu",IF(COUNTIFS(po_num,A1527,po_sup,"&lt;&gt;"&amp;C1527)&gt;0,"Fournisseur différent sur ce bon",IF(COUNTIFS(po_num,A1527,po_date,"&lt;&gt;"&amp;B1527)&gt;0,"Date différente sur ce bon",IF(COUNTIF(po_num,A1527)&gt;25,"Plus de 25 lignes sur ce bon",IF(R1527="","Date de livraison manquante",IF(R1527&lt;B1527,"Livraison avant la commande",IF(AND(N(T1527)&gt;0,N(S1527)=0),"Date d'envoi manquante",IF(N(T1527)&gt;N(H1527),"Reçu plus que commandé",IF(AND(N(T1527)&gt;0,N(U1527)=0),"Date de réception manquante",IF(AND(N(U1527)&gt;0,U1527&lt;B1527),"Réception avant la commande","OK")))))))))))))))))))))</f>
        <v/>
      </c>
      <c r="AA1527" s="66" t="str">
        <f>IF(AND(X1527="Reçu",ISNUMBER(R1527)),IF(N(U1527)&lt;=R1527,1,0),"")</f>
        <v/>
      </c>
      <c r="AB1527" s="76" t="str">
        <f>IF(OR(X1527="Envoyé",X1527="Partiel",X1527="En retard"),IF(ISNUMBER(R1527),R1527,100000)+ROW()/100000,"")</f>
        <v/>
      </c>
      <c r="AC1527" s="66" t="str">
        <f>IF(A1527="","",IF(COUNTIF($A$6:A1527,A1527)=1,1,""))</f>
        <v/>
      </c>
      <c r="AD1527" s="66" t="str">
        <f>IF(AC1527=1,COUNT($AC$6:AC1527),"")</f>
        <v/>
      </c>
      <c r="AE1527" s="66" t="str">
        <f>IFERROR(INDEX(po_num,MATCH(1522,po_seq,0))&amp;"","")</f>
        <v/>
      </c>
      <c r="AF1527" s="66" t="str">
        <f>IF(OR(A1527="",p_po=""),"",IF(A1527&amp;""=p_po,COUNTIF($A$6:A1527,A1527),""))</f>
        <v/>
      </c>
      <c r="AG1527" s="66" t="str">
        <f>IF(OR(AB1527="",A1527=""),"",IF(COUNTIFS($A$6:A1527,A1527,$AB$6:AB1527,"&gt;0")=1,1,""))</f>
        <v/>
      </c>
      <c r="AH1527" s="70" t="str">
        <f>IF(AB1527="","",ROUND(N(W1527)*N(J1527)*(1-N(K1527)),2))</f>
        <v/>
      </c>
      <c r="AI1527" s="70" t="str">
        <f>IF(OR(J1527="",N(T1527)&lt;=0,V1527="Oui"),"",ROUND(N(T1527)*J1527*(1-N(K1527)),2))</f>
        <v/>
      </c>
    </row>
    <row r="1528">
      <c r="A1528" s="63" t="n"/>
      <c r="B1528" s="64" t="n"/>
      <c r="C1528" s="65" t="n"/>
      <c r="D1528" s="66" t="str">
        <f>IF(C1528="","",IFERROR(INDEX(sup_name,MATCH($C1528,sup_code,0))&amp;"","Fournisseur inconnu"))</f>
        <v/>
      </c>
      <c r="E1528" s="63" t="n"/>
      <c r="F1528" s="66" t="str">
        <f>IF(E1528="","",IFERROR(INDEX(art_des,MATCH($E1528,art_ref,0))&amp;"","Article inconnu"))</f>
        <v/>
      </c>
      <c r="G1528" s="67" t="str">
        <f>IF(E1528="","",IFERROR(INDEX(art_unit,MATCH($E1528,art_ref,0))&amp;"",""))</f>
        <v/>
      </c>
      <c r="H1528" s="68" t="n"/>
      <c r="I1528" s="69" t="n"/>
      <c r="J1528" s="70" t="str">
        <f>IF(E1528="","",IF(ISNUMBER(I1528),I1528,IFERROR(IF(ISNUMBER(INDEX(art_price,MATCH($E1528,art_ref,0))),INDEX(art_price,MATCH($E1528,art_ref,0)),""),"")))</f>
        <v/>
      </c>
      <c r="K1528" s="71" t="n"/>
      <c r="L1528" s="72" t="n"/>
      <c r="M1528" s="72" t="str">
        <f>IF(E1528="","",IF(L1528&lt;&gt;"",L1528,IFERROR(IF(ISNUMBER(INDEX(art_tva,MATCH($E1528,art_ref,0))),INDEX(art_tva,MATCH($E1528,art_ref,0)),""),"")))</f>
        <v/>
      </c>
      <c r="N1528" s="70" t="str">
        <f>IF(OR(E1528="",J1528=""),"",ROUND(N(H1528)*J1528*(1-N(K1528)),2))</f>
        <v/>
      </c>
      <c r="O1528" s="70" t="str">
        <f>IF(OR(N1528="",NOT(ISNUMBER(M1528))),"",ROUND(N1528*M1528,2))</f>
        <v/>
      </c>
      <c r="P1528" s="70" t="str">
        <f>IF(N1528="","",N1528+N(O1528))</f>
        <v/>
      </c>
      <c r="Q1528" s="64" t="n"/>
      <c r="R1528" s="73" t="str">
        <f>IF(N(Q1528)&gt;0,Q1528,IF(OR(N(B1528)=0,ISNA(MATCH($C1528,sup_code,0))),"",IF(ISNUMBER(INDEX(sup_delay,MATCH($C1528,sup_code,0))),B1528+INDEX(sup_delay,MATCH($C1528,sup_code,0)),"")))</f>
        <v/>
      </c>
      <c r="S1528" s="64" t="n"/>
      <c r="T1528" s="68" t="n"/>
      <c r="U1528" s="64" t="n"/>
      <c r="V1528" s="65" t="n"/>
      <c r="W1528" s="74" t="str">
        <f>IF(AND(A1528="",E1528=""),"",IF(V1528="Oui",0,MAX(0,ROUND(N(H1528)-N(T1528),6))))</f>
        <v/>
      </c>
      <c r="X1528" s="67" t="str">
        <f>IF(AND(A1528="",E1528=""),"",IF(V1528="Oui","Annulé",IF(AND(N(H1528)&gt;0,N(T1528)&gt;=N(H1528)),"Reçu",IF(N(S1528)=0,"Brouillon",IF(AND(ISNUMBER(R1528),R1528&lt;p_today),"En retard",IF(N(T1528)&gt;0,"Partiel","Envoyé"))))))</f>
        <v/>
      </c>
      <c r="Y1528" s="75" t="str">
        <f>IF(X1528="En retard",p_today-R1528,IF(AND(X1528="Reçu",ISNUMBER(R1528)),MAX(0,N(U1528)-R1528),""))</f>
        <v/>
      </c>
      <c r="Z1528" s="67" t="str">
        <f>IF(AND(A1528="",E1528=""),"",IF(A1528="","N° de bon manquant",IF(N(B1528)=0,"Date de commande manquante",IF(C1528="","Fournisseur manquant",IF(ISNA(MATCH($C1528,sup_code,0)),"Fournisseur inconnu",IF(E1528="","Article manquant",IF(ISNA(MATCH($E1528,art_ref,0)),"Article inconnu",IF(N(H1528)&lt;=0,"Quantité invalide",IF(J1528="","Prix manquant",IF(OR(N(K1528)&lt;0,N(K1528)&gt;=1),"Remise invalide",IF(M1528="","TVA manquante",IF(ISNA(MATCH(M1528,p_tva,0)),"Taux de TVA inconnu",IF(COUNTIFS(po_num,A1528,po_sup,"&lt;&gt;"&amp;C1528)&gt;0,"Fournisseur différent sur ce bon",IF(COUNTIFS(po_num,A1528,po_date,"&lt;&gt;"&amp;B1528)&gt;0,"Date différente sur ce bon",IF(COUNTIF(po_num,A1528)&gt;25,"Plus de 25 lignes sur ce bon",IF(R1528="","Date de livraison manquante",IF(R1528&lt;B1528,"Livraison avant la commande",IF(AND(N(T1528)&gt;0,N(S1528)=0),"Date d'envoi manquante",IF(N(T1528)&gt;N(H1528),"Reçu plus que commandé",IF(AND(N(T1528)&gt;0,N(U1528)=0),"Date de réception manquante",IF(AND(N(U1528)&gt;0,U1528&lt;B1528),"Réception avant la commande","OK")))))))))))))))))))))</f>
        <v/>
      </c>
      <c r="AA1528" s="66" t="str">
        <f>IF(AND(X1528="Reçu",ISNUMBER(R1528)),IF(N(U1528)&lt;=R1528,1,0),"")</f>
        <v/>
      </c>
      <c r="AB1528" s="76" t="str">
        <f>IF(OR(X1528="Envoyé",X1528="Partiel",X1528="En retard"),IF(ISNUMBER(R1528),R1528,100000)+ROW()/100000,"")</f>
        <v/>
      </c>
      <c r="AC1528" s="66" t="str">
        <f>IF(A1528="","",IF(COUNTIF($A$6:A1528,A1528)=1,1,""))</f>
        <v/>
      </c>
      <c r="AD1528" s="66" t="str">
        <f>IF(AC1528=1,COUNT($AC$6:AC1528),"")</f>
        <v/>
      </c>
      <c r="AE1528" s="66" t="str">
        <f>IFERROR(INDEX(po_num,MATCH(1523,po_seq,0))&amp;"","")</f>
        <v/>
      </c>
      <c r="AF1528" s="66" t="str">
        <f>IF(OR(A1528="",p_po=""),"",IF(A1528&amp;""=p_po,COUNTIF($A$6:A1528,A1528),""))</f>
        <v/>
      </c>
      <c r="AG1528" s="66" t="str">
        <f>IF(OR(AB1528="",A1528=""),"",IF(COUNTIFS($A$6:A1528,A1528,$AB$6:AB1528,"&gt;0")=1,1,""))</f>
        <v/>
      </c>
      <c r="AH1528" s="70" t="str">
        <f>IF(AB1528="","",ROUND(N(W1528)*N(J1528)*(1-N(K1528)),2))</f>
        <v/>
      </c>
      <c r="AI1528" s="70" t="str">
        <f>IF(OR(J1528="",N(T1528)&lt;=0,V1528="Oui"),"",ROUND(N(T1528)*J1528*(1-N(K1528)),2))</f>
        <v/>
      </c>
    </row>
    <row r="1529">
      <c r="A1529" s="63" t="n"/>
      <c r="B1529" s="64" t="n"/>
      <c r="C1529" s="65" t="n"/>
      <c r="D1529" s="66" t="str">
        <f>IF(C1529="","",IFERROR(INDEX(sup_name,MATCH($C1529,sup_code,0))&amp;"","Fournisseur inconnu"))</f>
        <v/>
      </c>
      <c r="E1529" s="63" t="n"/>
      <c r="F1529" s="66" t="str">
        <f>IF(E1529="","",IFERROR(INDEX(art_des,MATCH($E1529,art_ref,0))&amp;"","Article inconnu"))</f>
        <v/>
      </c>
      <c r="G1529" s="67" t="str">
        <f>IF(E1529="","",IFERROR(INDEX(art_unit,MATCH($E1529,art_ref,0))&amp;"",""))</f>
        <v/>
      </c>
      <c r="H1529" s="68" t="n"/>
      <c r="I1529" s="69" t="n"/>
      <c r="J1529" s="70" t="str">
        <f>IF(E1529="","",IF(ISNUMBER(I1529),I1529,IFERROR(IF(ISNUMBER(INDEX(art_price,MATCH($E1529,art_ref,0))),INDEX(art_price,MATCH($E1529,art_ref,0)),""),"")))</f>
        <v/>
      </c>
      <c r="K1529" s="71" t="n"/>
      <c r="L1529" s="72" t="n"/>
      <c r="M1529" s="72" t="str">
        <f>IF(E1529="","",IF(L1529&lt;&gt;"",L1529,IFERROR(IF(ISNUMBER(INDEX(art_tva,MATCH($E1529,art_ref,0))),INDEX(art_tva,MATCH($E1529,art_ref,0)),""),"")))</f>
        <v/>
      </c>
      <c r="N1529" s="70" t="str">
        <f>IF(OR(E1529="",J1529=""),"",ROUND(N(H1529)*J1529*(1-N(K1529)),2))</f>
        <v/>
      </c>
      <c r="O1529" s="70" t="str">
        <f>IF(OR(N1529="",NOT(ISNUMBER(M1529))),"",ROUND(N1529*M1529,2))</f>
        <v/>
      </c>
      <c r="P1529" s="70" t="str">
        <f>IF(N1529="","",N1529+N(O1529))</f>
        <v/>
      </c>
      <c r="Q1529" s="64" t="n"/>
      <c r="R1529" s="73" t="str">
        <f>IF(N(Q1529)&gt;0,Q1529,IF(OR(N(B1529)=0,ISNA(MATCH($C1529,sup_code,0))),"",IF(ISNUMBER(INDEX(sup_delay,MATCH($C1529,sup_code,0))),B1529+INDEX(sup_delay,MATCH($C1529,sup_code,0)),"")))</f>
        <v/>
      </c>
      <c r="S1529" s="64" t="n"/>
      <c r="T1529" s="68" t="n"/>
      <c r="U1529" s="64" t="n"/>
      <c r="V1529" s="65" t="n"/>
      <c r="W1529" s="74" t="str">
        <f>IF(AND(A1529="",E1529=""),"",IF(V1529="Oui",0,MAX(0,ROUND(N(H1529)-N(T1529),6))))</f>
        <v/>
      </c>
      <c r="X1529" s="67" t="str">
        <f>IF(AND(A1529="",E1529=""),"",IF(V1529="Oui","Annulé",IF(AND(N(H1529)&gt;0,N(T1529)&gt;=N(H1529)),"Reçu",IF(N(S1529)=0,"Brouillon",IF(AND(ISNUMBER(R1529),R1529&lt;p_today),"En retard",IF(N(T1529)&gt;0,"Partiel","Envoyé"))))))</f>
        <v/>
      </c>
      <c r="Y1529" s="75" t="str">
        <f>IF(X1529="En retard",p_today-R1529,IF(AND(X1529="Reçu",ISNUMBER(R1529)),MAX(0,N(U1529)-R1529),""))</f>
        <v/>
      </c>
      <c r="Z1529" s="67" t="str">
        <f>IF(AND(A1529="",E1529=""),"",IF(A1529="","N° de bon manquant",IF(N(B1529)=0,"Date de commande manquante",IF(C1529="","Fournisseur manquant",IF(ISNA(MATCH($C1529,sup_code,0)),"Fournisseur inconnu",IF(E1529="","Article manquant",IF(ISNA(MATCH($E1529,art_ref,0)),"Article inconnu",IF(N(H1529)&lt;=0,"Quantité invalide",IF(J1529="","Prix manquant",IF(OR(N(K1529)&lt;0,N(K1529)&gt;=1),"Remise invalide",IF(M1529="","TVA manquante",IF(ISNA(MATCH(M1529,p_tva,0)),"Taux de TVA inconnu",IF(COUNTIFS(po_num,A1529,po_sup,"&lt;&gt;"&amp;C1529)&gt;0,"Fournisseur différent sur ce bon",IF(COUNTIFS(po_num,A1529,po_date,"&lt;&gt;"&amp;B1529)&gt;0,"Date différente sur ce bon",IF(COUNTIF(po_num,A1529)&gt;25,"Plus de 25 lignes sur ce bon",IF(R1529="","Date de livraison manquante",IF(R1529&lt;B1529,"Livraison avant la commande",IF(AND(N(T1529)&gt;0,N(S1529)=0),"Date d'envoi manquante",IF(N(T1529)&gt;N(H1529),"Reçu plus que commandé",IF(AND(N(T1529)&gt;0,N(U1529)=0),"Date de réception manquante",IF(AND(N(U1529)&gt;0,U1529&lt;B1529),"Réception avant la commande","OK")))))))))))))))))))))</f>
        <v/>
      </c>
      <c r="AA1529" s="66" t="str">
        <f>IF(AND(X1529="Reçu",ISNUMBER(R1529)),IF(N(U1529)&lt;=R1529,1,0),"")</f>
        <v/>
      </c>
      <c r="AB1529" s="76" t="str">
        <f>IF(OR(X1529="Envoyé",X1529="Partiel",X1529="En retard"),IF(ISNUMBER(R1529),R1529,100000)+ROW()/100000,"")</f>
        <v/>
      </c>
      <c r="AC1529" s="66" t="str">
        <f>IF(A1529="","",IF(COUNTIF($A$6:A1529,A1529)=1,1,""))</f>
        <v/>
      </c>
      <c r="AD1529" s="66" t="str">
        <f>IF(AC1529=1,COUNT($AC$6:AC1529),"")</f>
        <v/>
      </c>
      <c r="AE1529" s="66" t="str">
        <f>IFERROR(INDEX(po_num,MATCH(1524,po_seq,0))&amp;"","")</f>
        <v/>
      </c>
      <c r="AF1529" s="66" t="str">
        <f>IF(OR(A1529="",p_po=""),"",IF(A1529&amp;""=p_po,COUNTIF($A$6:A1529,A1529),""))</f>
        <v/>
      </c>
      <c r="AG1529" s="66" t="str">
        <f>IF(OR(AB1529="",A1529=""),"",IF(COUNTIFS($A$6:A1529,A1529,$AB$6:AB1529,"&gt;0")=1,1,""))</f>
        <v/>
      </c>
      <c r="AH1529" s="70" t="str">
        <f>IF(AB1529="","",ROUND(N(W1529)*N(J1529)*(1-N(K1529)),2))</f>
        <v/>
      </c>
      <c r="AI1529" s="70" t="str">
        <f>IF(OR(J1529="",N(T1529)&lt;=0,V1529="Oui"),"",ROUND(N(T1529)*J1529*(1-N(K1529)),2))</f>
        <v/>
      </c>
    </row>
    <row r="1530">
      <c r="A1530" s="63" t="n"/>
      <c r="B1530" s="64" t="n"/>
      <c r="C1530" s="65" t="n"/>
      <c r="D1530" s="66" t="str">
        <f>IF(C1530="","",IFERROR(INDEX(sup_name,MATCH($C1530,sup_code,0))&amp;"","Fournisseur inconnu"))</f>
        <v/>
      </c>
      <c r="E1530" s="63" t="n"/>
      <c r="F1530" s="66" t="str">
        <f>IF(E1530="","",IFERROR(INDEX(art_des,MATCH($E1530,art_ref,0))&amp;"","Article inconnu"))</f>
        <v/>
      </c>
      <c r="G1530" s="67" t="str">
        <f>IF(E1530="","",IFERROR(INDEX(art_unit,MATCH($E1530,art_ref,0))&amp;"",""))</f>
        <v/>
      </c>
      <c r="H1530" s="68" t="n"/>
      <c r="I1530" s="69" t="n"/>
      <c r="J1530" s="70" t="str">
        <f>IF(E1530="","",IF(ISNUMBER(I1530),I1530,IFERROR(IF(ISNUMBER(INDEX(art_price,MATCH($E1530,art_ref,0))),INDEX(art_price,MATCH($E1530,art_ref,0)),""),"")))</f>
        <v/>
      </c>
      <c r="K1530" s="71" t="n"/>
      <c r="L1530" s="72" t="n"/>
      <c r="M1530" s="72" t="str">
        <f>IF(E1530="","",IF(L1530&lt;&gt;"",L1530,IFERROR(IF(ISNUMBER(INDEX(art_tva,MATCH($E1530,art_ref,0))),INDEX(art_tva,MATCH($E1530,art_ref,0)),""),"")))</f>
        <v/>
      </c>
      <c r="N1530" s="70" t="str">
        <f>IF(OR(E1530="",J1530=""),"",ROUND(N(H1530)*J1530*(1-N(K1530)),2))</f>
        <v/>
      </c>
      <c r="O1530" s="70" t="str">
        <f>IF(OR(N1530="",NOT(ISNUMBER(M1530))),"",ROUND(N1530*M1530,2))</f>
        <v/>
      </c>
      <c r="P1530" s="70" t="str">
        <f>IF(N1530="","",N1530+N(O1530))</f>
        <v/>
      </c>
      <c r="Q1530" s="64" t="n"/>
      <c r="R1530" s="73" t="str">
        <f>IF(N(Q1530)&gt;0,Q1530,IF(OR(N(B1530)=0,ISNA(MATCH($C1530,sup_code,0))),"",IF(ISNUMBER(INDEX(sup_delay,MATCH($C1530,sup_code,0))),B1530+INDEX(sup_delay,MATCH($C1530,sup_code,0)),"")))</f>
        <v/>
      </c>
      <c r="S1530" s="64" t="n"/>
      <c r="T1530" s="68" t="n"/>
      <c r="U1530" s="64" t="n"/>
      <c r="V1530" s="65" t="n"/>
      <c r="W1530" s="74" t="str">
        <f>IF(AND(A1530="",E1530=""),"",IF(V1530="Oui",0,MAX(0,ROUND(N(H1530)-N(T1530),6))))</f>
        <v/>
      </c>
      <c r="X1530" s="67" t="str">
        <f>IF(AND(A1530="",E1530=""),"",IF(V1530="Oui","Annulé",IF(AND(N(H1530)&gt;0,N(T1530)&gt;=N(H1530)),"Reçu",IF(N(S1530)=0,"Brouillon",IF(AND(ISNUMBER(R1530),R1530&lt;p_today),"En retard",IF(N(T1530)&gt;0,"Partiel","Envoyé"))))))</f>
        <v/>
      </c>
      <c r="Y1530" s="75" t="str">
        <f>IF(X1530="En retard",p_today-R1530,IF(AND(X1530="Reçu",ISNUMBER(R1530)),MAX(0,N(U1530)-R1530),""))</f>
        <v/>
      </c>
      <c r="Z1530" s="67" t="str">
        <f>IF(AND(A1530="",E1530=""),"",IF(A1530="","N° de bon manquant",IF(N(B1530)=0,"Date de commande manquante",IF(C1530="","Fournisseur manquant",IF(ISNA(MATCH($C1530,sup_code,0)),"Fournisseur inconnu",IF(E1530="","Article manquant",IF(ISNA(MATCH($E1530,art_ref,0)),"Article inconnu",IF(N(H1530)&lt;=0,"Quantité invalide",IF(J1530="","Prix manquant",IF(OR(N(K1530)&lt;0,N(K1530)&gt;=1),"Remise invalide",IF(M1530="","TVA manquante",IF(ISNA(MATCH(M1530,p_tva,0)),"Taux de TVA inconnu",IF(COUNTIFS(po_num,A1530,po_sup,"&lt;&gt;"&amp;C1530)&gt;0,"Fournisseur différent sur ce bon",IF(COUNTIFS(po_num,A1530,po_date,"&lt;&gt;"&amp;B1530)&gt;0,"Date différente sur ce bon",IF(COUNTIF(po_num,A1530)&gt;25,"Plus de 25 lignes sur ce bon",IF(R1530="","Date de livraison manquante",IF(R1530&lt;B1530,"Livraison avant la commande",IF(AND(N(T1530)&gt;0,N(S1530)=0),"Date d'envoi manquante",IF(N(T1530)&gt;N(H1530),"Reçu plus que commandé",IF(AND(N(T1530)&gt;0,N(U1530)=0),"Date de réception manquante",IF(AND(N(U1530)&gt;0,U1530&lt;B1530),"Réception avant la commande","OK")))))))))))))))))))))</f>
        <v/>
      </c>
      <c r="AA1530" s="66" t="str">
        <f>IF(AND(X1530="Reçu",ISNUMBER(R1530)),IF(N(U1530)&lt;=R1530,1,0),"")</f>
        <v/>
      </c>
      <c r="AB1530" s="76" t="str">
        <f>IF(OR(X1530="Envoyé",X1530="Partiel",X1530="En retard"),IF(ISNUMBER(R1530),R1530,100000)+ROW()/100000,"")</f>
        <v/>
      </c>
      <c r="AC1530" s="66" t="str">
        <f>IF(A1530="","",IF(COUNTIF($A$6:A1530,A1530)=1,1,""))</f>
        <v/>
      </c>
      <c r="AD1530" s="66" t="str">
        <f>IF(AC1530=1,COUNT($AC$6:AC1530),"")</f>
        <v/>
      </c>
      <c r="AE1530" s="66" t="str">
        <f>IFERROR(INDEX(po_num,MATCH(1525,po_seq,0))&amp;"","")</f>
        <v/>
      </c>
      <c r="AF1530" s="66" t="str">
        <f>IF(OR(A1530="",p_po=""),"",IF(A1530&amp;""=p_po,COUNTIF($A$6:A1530,A1530),""))</f>
        <v/>
      </c>
      <c r="AG1530" s="66" t="str">
        <f>IF(OR(AB1530="",A1530=""),"",IF(COUNTIFS($A$6:A1530,A1530,$AB$6:AB1530,"&gt;0")=1,1,""))</f>
        <v/>
      </c>
      <c r="AH1530" s="70" t="str">
        <f>IF(AB1530="","",ROUND(N(W1530)*N(J1530)*(1-N(K1530)),2))</f>
        <v/>
      </c>
      <c r="AI1530" s="70" t="str">
        <f>IF(OR(J1530="",N(T1530)&lt;=0,V1530="Oui"),"",ROUND(N(T1530)*J1530*(1-N(K1530)),2))</f>
        <v/>
      </c>
    </row>
    <row r="1531">
      <c r="A1531" s="63" t="n"/>
      <c r="B1531" s="64" t="n"/>
      <c r="C1531" s="65" t="n"/>
      <c r="D1531" s="66" t="str">
        <f>IF(C1531="","",IFERROR(INDEX(sup_name,MATCH($C1531,sup_code,0))&amp;"","Fournisseur inconnu"))</f>
        <v/>
      </c>
      <c r="E1531" s="63" t="n"/>
      <c r="F1531" s="66" t="str">
        <f>IF(E1531="","",IFERROR(INDEX(art_des,MATCH($E1531,art_ref,0))&amp;"","Article inconnu"))</f>
        <v/>
      </c>
      <c r="G1531" s="67" t="str">
        <f>IF(E1531="","",IFERROR(INDEX(art_unit,MATCH($E1531,art_ref,0))&amp;"",""))</f>
        <v/>
      </c>
      <c r="H1531" s="68" t="n"/>
      <c r="I1531" s="69" t="n"/>
      <c r="J1531" s="70" t="str">
        <f>IF(E1531="","",IF(ISNUMBER(I1531),I1531,IFERROR(IF(ISNUMBER(INDEX(art_price,MATCH($E1531,art_ref,0))),INDEX(art_price,MATCH($E1531,art_ref,0)),""),"")))</f>
        <v/>
      </c>
      <c r="K1531" s="71" t="n"/>
      <c r="L1531" s="72" t="n"/>
      <c r="M1531" s="72" t="str">
        <f>IF(E1531="","",IF(L1531&lt;&gt;"",L1531,IFERROR(IF(ISNUMBER(INDEX(art_tva,MATCH($E1531,art_ref,0))),INDEX(art_tva,MATCH($E1531,art_ref,0)),""),"")))</f>
        <v/>
      </c>
      <c r="N1531" s="70" t="str">
        <f>IF(OR(E1531="",J1531=""),"",ROUND(N(H1531)*J1531*(1-N(K1531)),2))</f>
        <v/>
      </c>
      <c r="O1531" s="70" t="str">
        <f>IF(OR(N1531="",NOT(ISNUMBER(M1531))),"",ROUND(N1531*M1531,2))</f>
        <v/>
      </c>
      <c r="P1531" s="70" t="str">
        <f>IF(N1531="","",N1531+N(O1531))</f>
        <v/>
      </c>
      <c r="Q1531" s="64" t="n"/>
      <c r="R1531" s="73" t="str">
        <f>IF(N(Q1531)&gt;0,Q1531,IF(OR(N(B1531)=0,ISNA(MATCH($C1531,sup_code,0))),"",IF(ISNUMBER(INDEX(sup_delay,MATCH($C1531,sup_code,0))),B1531+INDEX(sup_delay,MATCH($C1531,sup_code,0)),"")))</f>
        <v/>
      </c>
      <c r="S1531" s="64" t="n"/>
      <c r="T1531" s="68" t="n"/>
      <c r="U1531" s="64" t="n"/>
      <c r="V1531" s="65" t="n"/>
      <c r="W1531" s="74" t="str">
        <f>IF(AND(A1531="",E1531=""),"",IF(V1531="Oui",0,MAX(0,ROUND(N(H1531)-N(T1531),6))))</f>
        <v/>
      </c>
      <c r="X1531" s="67" t="str">
        <f>IF(AND(A1531="",E1531=""),"",IF(V1531="Oui","Annulé",IF(AND(N(H1531)&gt;0,N(T1531)&gt;=N(H1531)),"Reçu",IF(N(S1531)=0,"Brouillon",IF(AND(ISNUMBER(R1531),R1531&lt;p_today),"En retard",IF(N(T1531)&gt;0,"Partiel","Envoyé"))))))</f>
        <v/>
      </c>
      <c r="Y1531" s="75" t="str">
        <f>IF(X1531="En retard",p_today-R1531,IF(AND(X1531="Reçu",ISNUMBER(R1531)),MAX(0,N(U1531)-R1531),""))</f>
        <v/>
      </c>
      <c r="Z1531" s="67" t="str">
        <f>IF(AND(A1531="",E1531=""),"",IF(A1531="","N° de bon manquant",IF(N(B1531)=0,"Date de commande manquante",IF(C1531="","Fournisseur manquant",IF(ISNA(MATCH($C1531,sup_code,0)),"Fournisseur inconnu",IF(E1531="","Article manquant",IF(ISNA(MATCH($E1531,art_ref,0)),"Article inconnu",IF(N(H1531)&lt;=0,"Quantité invalide",IF(J1531="","Prix manquant",IF(OR(N(K1531)&lt;0,N(K1531)&gt;=1),"Remise invalide",IF(M1531="","TVA manquante",IF(ISNA(MATCH(M1531,p_tva,0)),"Taux de TVA inconnu",IF(COUNTIFS(po_num,A1531,po_sup,"&lt;&gt;"&amp;C1531)&gt;0,"Fournisseur différent sur ce bon",IF(COUNTIFS(po_num,A1531,po_date,"&lt;&gt;"&amp;B1531)&gt;0,"Date différente sur ce bon",IF(COUNTIF(po_num,A1531)&gt;25,"Plus de 25 lignes sur ce bon",IF(R1531="","Date de livraison manquante",IF(R1531&lt;B1531,"Livraison avant la commande",IF(AND(N(T1531)&gt;0,N(S1531)=0),"Date d'envoi manquante",IF(N(T1531)&gt;N(H1531),"Reçu plus que commandé",IF(AND(N(T1531)&gt;0,N(U1531)=0),"Date de réception manquante",IF(AND(N(U1531)&gt;0,U1531&lt;B1531),"Réception avant la commande","OK")))))))))))))))))))))</f>
        <v/>
      </c>
      <c r="AA1531" s="66" t="str">
        <f>IF(AND(X1531="Reçu",ISNUMBER(R1531)),IF(N(U1531)&lt;=R1531,1,0),"")</f>
        <v/>
      </c>
      <c r="AB1531" s="76" t="str">
        <f>IF(OR(X1531="Envoyé",X1531="Partiel",X1531="En retard"),IF(ISNUMBER(R1531),R1531,100000)+ROW()/100000,"")</f>
        <v/>
      </c>
      <c r="AC1531" s="66" t="str">
        <f>IF(A1531="","",IF(COUNTIF($A$6:A1531,A1531)=1,1,""))</f>
        <v/>
      </c>
      <c r="AD1531" s="66" t="str">
        <f>IF(AC1531=1,COUNT($AC$6:AC1531),"")</f>
        <v/>
      </c>
      <c r="AE1531" s="66" t="str">
        <f>IFERROR(INDEX(po_num,MATCH(1526,po_seq,0))&amp;"","")</f>
        <v/>
      </c>
      <c r="AF1531" s="66" t="str">
        <f>IF(OR(A1531="",p_po=""),"",IF(A1531&amp;""=p_po,COUNTIF($A$6:A1531,A1531),""))</f>
        <v/>
      </c>
      <c r="AG1531" s="66" t="str">
        <f>IF(OR(AB1531="",A1531=""),"",IF(COUNTIFS($A$6:A1531,A1531,$AB$6:AB1531,"&gt;0")=1,1,""))</f>
        <v/>
      </c>
      <c r="AH1531" s="70" t="str">
        <f>IF(AB1531="","",ROUND(N(W1531)*N(J1531)*(1-N(K1531)),2))</f>
        <v/>
      </c>
      <c r="AI1531" s="70" t="str">
        <f>IF(OR(J1531="",N(T1531)&lt;=0,V1531="Oui"),"",ROUND(N(T1531)*J1531*(1-N(K1531)),2))</f>
        <v/>
      </c>
    </row>
    <row r="1532">
      <c r="A1532" s="63" t="n"/>
      <c r="B1532" s="64" t="n"/>
      <c r="C1532" s="65" t="n"/>
      <c r="D1532" s="66" t="str">
        <f>IF(C1532="","",IFERROR(INDEX(sup_name,MATCH($C1532,sup_code,0))&amp;"","Fournisseur inconnu"))</f>
        <v/>
      </c>
      <c r="E1532" s="63" t="n"/>
      <c r="F1532" s="66" t="str">
        <f>IF(E1532="","",IFERROR(INDEX(art_des,MATCH($E1532,art_ref,0))&amp;"","Article inconnu"))</f>
        <v/>
      </c>
      <c r="G1532" s="67" t="str">
        <f>IF(E1532="","",IFERROR(INDEX(art_unit,MATCH($E1532,art_ref,0))&amp;"",""))</f>
        <v/>
      </c>
      <c r="H1532" s="68" t="n"/>
      <c r="I1532" s="69" t="n"/>
      <c r="J1532" s="70" t="str">
        <f>IF(E1532="","",IF(ISNUMBER(I1532),I1532,IFERROR(IF(ISNUMBER(INDEX(art_price,MATCH($E1532,art_ref,0))),INDEX(art_price,MATCH($E1532,art_ref,0)),""),"")))</f>
        <v/>
      </c>
      <c r="K1532" s="71" t="n"/>
      <c r="L1532" s="72" t="n"/>
      <c r="M1532" s="72" t="str">
        <f>IF(E1532="","",IF(L1532&lt;&gt;"",L1532,IFERROR(IF(ISNUMBER(INDEX(art_tva,MATCH($E1532,art_ref,0))),INDEX(art_tva,MATCH($E1532,art_ref,0)),""),"")))</f>
        <v/>
      </c>
      <c r="N1532" s="70" t="str">
        <f>IF(OR(E1532="",J1532=""),"",ROUND(N(H1532)*J1532*(1-N(K1532)),2))</f>
        <v/>
      </c>
      <c r="O1532" s="70" t="str">
        <f>IF(OR(N1532="",NOT(ISNUMBER(M1532))),"",ROUND(N1532*M1532,2))</f>
        <v/>
      </c>
      <c r="P1532" s="70" t="str">
        <f>IF(N1532="","",N1532+N(O1532))</f>
        <v/>
      </c>
      <c r="Q1532" s="64" t="n"/>
      <c r="R1532" s="73" t="str">
        <f>IF(N(Q1532)&gt;0,Q1532,IF(OR(N(B1532)=0,ISNA(MATCH($C1532,sup_code,0))),"",IF(ISNUMBER(INDEX(sup_delay,MATCH($C1532,sup_code,0))),B1532+INDEX(sup_delay,MATCH($C1532,sup_code,0)),"")))</f>
        <v/>
      </c>
      <c r="S1532" s="64" t="n"/>
      <c r="T1532" s="68" t="n"/>
      <c r="U1532" s="64" t="n"/>
      <c r="V1532" s="65" t="n"/>
      <c r="W1532" s="74" t="str">
        <f>IF(AND(A1532="",E1532=""),"",IF(V1532="Oui",0,MAX(0,ROUND(N(H1532)-N(T1532),6))))</f>
        <v/>
      </c>
      <c r="X1532" s="67" t="str">
        <f>IF(AND(A1532="",E1532=""),"",IF(V1532="Oui","Annulé",IF(AND(N(H1532)&gt;0,N(T1532)&gt;=N(H1532)),"Reçu",IF(N(S1532)=0,"Brouillon",IF(AND(ISNUMBER(R1532),R1532&lt;p_today),"En retard",IF(N(T1532)&gt;0,"Partiel","Envoyé"))))))</f>
        <v/>
      </c>
      <c r="Y1532" s="75" t="str">
        <f>IF(X1532="En retard",p_today-R1532,IF(AND(X1532="Reçu",ISNUMBER(R1532)),MAX(0,N(U1532)-R1532),""))</f>
        <v/>
      </c>
      <c r="Z1532" s="67" t="str">
        <f>IF(AND(A1532="",E1532=""),"",IF(A1532="","N° de bon manquant",IF(N(B1532)=0,"Date de commande manquante",IF(C1532="","Fournisseur manquant",IF(ISNA(MATCH($C1532,sup_code,0)),"Fournisseur inconnu",IF(E1532="","Article manquant",IF(ISNA(MATCH($E1532,art_ref,0)),"Article inconnu",IF(N(H1532)&lt;=0,"Quantité invalide",IF(J1532="","Prix manquant",IF(OR(N(K1532)&lt;0,N(K1532)&gt;=1),"Remise invalide",IF(M1532="","TVA manquante",IF(ISNA(MATCH(M1532,p_tva,0)),"Taux de TVA inconnu",IF(COUNTIFS(po_num,A1532,po_sup,"&lt;&gt;"&amp;C1532)&gt;0,"Fournisseur différent sur ce bon",IF(COUNTIFS(po_num,A1532,po_date,"&lt;&gt;"&amp;B1532)&gt;0,"Date différente sur ce bon",IF(COUNTIF(po_num,A1532)&gt;25,"Plus de 25 lignes sur ce bon",IF(R1532="","Date de livraison manquante",IF(R1532&lt;B1532,"Livraison avant la commande",IF(AND(N(T1532)&gt;0,N(S1532)=0),"Date d'envoi manquante",IF(N(T1532)&gt;N(H1532),"Reçu plus que commandé",IF(AND(N(T1532)&gt;0,N(U1532)=0),"Date de réception manquante",IF(AND(N(U1532)&gt;0,U1532&lt;B1532),"Réception avant la commande","OK")))))))))))))))))))))</f>
        <v/>
      </c>
      <c r="AA1532" s="66" t="str">
        <f>IF(AND(X1532="Reçu",ISNUMBER(R1532)),IF(N(U1532)&lt;=R1532,1,0),"")</f>
        <v/>
      </c>
      <c r="AB1532" s="76" t="str">
        <f>IF(OR(X1532="Envoyé",X1532="Partiel",X1532="En retard"),IF(ISNUMBER(R1532),R1532,100000)+ROW()/100000,"")</f>
        <v/>
      </c>
      <c r="AC1532" s="66" t="str">
        <f>IF(A1532="","",IF(COUNTIF($A$6:A1532,A1532)=1,1,""))</f>
        <v/>
      </c>
      <c r="AD1532" s="66" t="str">
        <f>IF(AC1532=1,COUNT($AC$6:AC1532),"")</f>
        <v/>
      </c>
      <c r="AE1532" s="66" t="str">
        <f>IFERROR(INDEX(po_num,MATCH(1527,po_seq,0))&amp;"","")</f>
        <v/>
      </c>
      <c r="AF1532" s="66" t="str">
        <f>IF(OR(A1532="",p_po=""),"",IF(A1532&amp;""=p_po,COUNTIF($A$6:A1532,A1532),""))</f>
        <v/>
      </c>
      <c r="AG1532" s="66" t="str">
        <f>IF(OR(AB1532="",A1532=""),"",IF(COUNTIFS($A$6:A1532,A1532,$AB$6:AB1532,"&gt;0")=1,1,""))</f>
        <v/>
      </c>
      <c r="AH1532" s="70" t="str">
        <f>IF(AB1532="","",ROUND(N(W1532)*N(J1532)*(1-N(K1532)),2))</f>
        <v/>
      </c>
      <c r="AI1532" s="70" t="str">
        <f>IF(OR(J1532="",N(T1532)&lt;=0,V1532="Oui"),"",ROUND(N(T1532)*J1532*(1-N(K1532)),2))</f>
        <v/>
      </c>
    </row>
    <row r="1533">
      <c r="A1533" s="63" t="n"/>
      <c r="B1533" s="64" t="n"/>
      <c r="C1533" s="65" t="n"/>
      <c r="D1533" s="66" t="str">
        <f>IF(C1533="","",IFERROR(INDEX(sup_name,MATCH($C1533,sup_code,0))&amp;"","Fournisseur inconnu"))</f>
        <v/>
      </c>
      <c r="E1533" s="63" t="n"/>
      <c r="F1533" s="66" t="str">
        <f>IF(E1533="","",IFERROR(INDEX(art_des,MATCH($E1533,art_ref,0))&amp;"","Article inconnu"))</f>
        <v/>
      </c>
      <c r="G1533" s="67" t="str">
        <f>IF(E1533="","",IFERROR(INDEX(art_unit,MATCH($E1533,art_ref,0))&amp;"",""))</f>
        <v/>
      </c>
      <c r="H1533" s="68" t="n"/>
      <c r="I1533" s="69" t="n"/>
      <c r="J1533" s="70" t="str">
        <f>IF(E1533="","",IF(ISNUMBER(I1533),I1533,IFERROR(IF(ISNUMBER(INDEX(art_price,MATCH($E1533,art_ref,0))),INDEX(art_price,MATCH($E1533,art_ref,0)),""),"")))</f>
        <v/>
      </c>
      <c r="K1533" s="71" t="n"/>
      <c r="L1533" s="72" t="n"/>
      <c r="M1533" s="72" t="str">
        <f>IF(E1533="","",IF(L1533&lt;&gt;"",L1533,IFERROR(IF(ISNUMBER(INDEX(art_tva,MATCH($E1533,art_ref,0))),INDEX(art_tva,MATCH($E1533,art_ref,0)),""),"")))</f>
        <v/>
      </c>
      <c r="N1533" s="70" t="str">
        <f>IF(OR(E1533="",J1533=""),"",ROUND(N(H1533)*J1533*(1-N(K1533)),2))</f>
        <v/>
      </c>
      <c r="O1533" s="70" t="str">
        <f>IF(OR(N1533="",NOT(ISNUMBER(M1533))),"",ROUND(N1533*M1533,2))</f>
        <v/>
      </c>
      <c r="P1533" s="70" t="str">
        <f>IF(N1533="","",N1533+N(O1533))</f>
        <v/>
      </c>
      <c r="Q1533" s="64" t="n"/>
      <c r="R1533" s="73" t="str">
        <f>IF(N(Q1533)&gt;0,Q1533,IF(OR(N(B1533)=0,ISNA(MATCH($C1533,sup_code,0))),"",IF(ISNUMBER(INDEX(sup_delay,MATCH($C1533,sup_code,0))),B1533+INDEX(sup_delay,MATCH($C1533,sup_code,0)),"")))</f>
        <v/>
      </c>
      <c r="S1533" s="64" t="n"/>
      <c r="T1533" s="68" t="n"/>
      <c r="U1533" s="64" t="n"/>
      <c r="V1533" s="65" t="n"/>
      <c r="W1533" s="74" t="str">
        <f>IF(AND(A1533="",E1533=""),"",IF(V1533="Oui",0,MAX(0,ROUND(N(H1533)-N(T1533),6))))</f>
        <v/>
      </c>
      <c r="X1533" s="67" t="str">
        <f>IF(AND(A1533="",E1533=""),"",IF(V1533="Oui","Annulé",IF(AND(N(H1533)&gt;0,N(T1533)&gt;=N(H1533)),"Reçu",IF(N(S1533)=0,"Brouillon",IF(AND(ISNUMBER(R1533),R1533&lt;p_today),"En retard",IF(N(T1533)&gt;0,"Partiel","Envoyé"))))))</f>
        <v/>
      </c>
      <c r="Y1533" s="75" t="str">
        <f>IF(X1533="En retard",p_today-R1533,IF(AND(X1533="Reçu",ISNUMBER(R1533)),MAX(0,N(U1533)-R1533),""))</f>
        <v/>
      </c>
      <c r="Z1533" s="67" t="str">
        <f>IF(AND(A1533="",E1533=""),"",IF(A1533="","N° de bon manquant",IF(N(B1533)=0,"Date de commande manquante",IF(C1533="","Fournisseur manquant",IF(ISNA(MATCH($C1533,sup_code,0)),"Fournisseur inconnu",IF(E1533="","Article manquant",IF(ISNA(MATCH($E1533,art_ref,0)),"Article inconnu",IF(N(H1533)&lt;=0,"Quantité invalide",IF(J1533="","Prix manquant",IF(OR(N(K1533)&lt;0,N(K1533)&gt;=1),"Remise invalide",IF(M1533="","TVA manquante",IF(ISNA(MATCH(M1533,p_tva,0)),"Taux de TVA inconnu",IF(COUNTIFS(po_num,A1533,po_sup,"&lt;&gt;"&amp;C1533)&gt;0,"Fournisseur différent sur ce bon",IF(COUNTIFS(po_num,A1533,po_date,"&lt;&gt;"&amp;B1533)&gt;0,"Date différente sur ce bon",IF(COUNTIF(po_num,A1533)&gt;25,"Plus de 25 lignes sur ce bon",IF(R1533="","Date de livraison manquante",IF(R1533&lt;B1533,"Livraison avant la commande",IF(AND(N(T1533)&gt;0,N(S1533)=0),"Date d'envoi manquante",IF(N(T1533)&gt;N(H1533),"Reçu plus que commandé",IF(AND(N(T1533)&gt;0,N(U1533)=0),"Date de réception manquante",IF(AND(N(U1533)&gt;0,U1533&lt;B1533),"Réception avant la commande","OK")))))))))))))))))))))</f>
        <v/>
      </c>
      <c r="AA1533" s="66" t="str">
        <f>IF(AND(X1533="Reçu",ISNUMBER(R1533)),IF(N(U1533)&lt;=R1533,1,0),"")</f>
        <v/>
      </c>
      <c r="AB1533" s="76" t="str">
        <f>IF(OR(X1533="Envoyé",X1533="Partiel",X1533="En retard"),IF(ISNUMBER(R1533),R1533,100000)+ROW()/100000,"")</f>
        <v/>
      </c>
      <c r="AC1533" s="66" t="str">
        <f>IF(A1533="","",IF(COUNTIF($A$6:A1533,A1533)=1,1,""))</f>
        <v/>
      </c>
      <c r="AD1533" s="66" t="str">
        <f>IF(AC1533=1,COUNT($AC$6:AC1533),"")</f>
        <v/>
      </c>
      <c r="AE1533" s="66" t="str">
        <f>IFERROR(INDEX(po_num,MATCH(1528,po_seq,0))&amp;"","")</f>
        <v/>
      </c>
      <c r="AF1533" s="66" t="str">
        <f>IF(OR(A1533="",p_po=""),"",IF(A1533&amp;""=p_po,COUNTIF($A$6:A1533,A1533),""))</f>
        <v/>
      </c>
      <c r="AG1533" s="66" t="str">
        <f>IF(OR(AB1533="",A1533=""),"",IF(COUNTIFS($A$6:A1533,A1533,$AB$6:AB1533,"&gt;0")=1,1,""))</f>
        <v/>
      </c>
      <c r="AH1533" s="70" t="str">
        <f>IF(AB1533="","",ROUND(N(W1533)*N(J1533)*(1-N(K1533)),2))</f>
        <v/>
      </c>
      <c r="AI1533" s="70" t="str">
        <f>IF(OR(J1533="",N(T1533)&lt;=0,V1533="Oui"),"",ROUND(N(T1533)*J1533*(1-N(K1533)),2))</f>
        <v/>
      </c>
    </row>
    <row r="1534">
      <c r="A1534" s="63" t="n"/>
      <c r="B1534" s="64" t="n"/>
      <c r="C1534" s="65" t="n"/>
      <c r="D1534" s="66" t="str">
        <f>IF(C1534="","",IFERROR(INDEX(sup_name,MATCH($C1534,sup_code,0))&amp;"","Fournisseur inconnu"))</f>
        <v/>
      </c>
      <c r="E1534" s="63" t="n"/>
      <c r="F1534" s="66" t="str">
        <f>IF(E1534="","",IFERROR(INDEX(art_des,MATCH($E1534,art_ref,0))&amp;"","Article inconnu"))</f>
        <v/>
      </c>
      <c r="G1534" s="67" t="str">
        <f>IF(E1534="","",IFERROR(INDEX(art_unit,MATCH($E1534,art_ref,0))&amp;"",""))</f>
        <v/>
      </c>
      <c r="H1534" s="68" t="n"/>
      <c r="I1534" s="69" t="n"/>
      <c r="J1534" s="70" t="str">
        <f>IF(E1534="","",IF(ISNUMBER(I1534),I1534,IFERROR(IF(ISNUMBER(INDEX(art_price,MATCH($E1534,art_ref,0))),INDEX(art_price,MATCH($E1534,art_ref,0)),""),"")))</f>
        <v/>
      </c>
      <c r="K1534" s="71" t="n"/>
      <c r="L1534" s="72" t="n"/>
      <c r="M1534" s="72" t="str">
        <f>IF(E1534="","",IF(L1534&lt;&gt;"",L1534,IFERROR(IF(ISNUMBER(INDEX(art_tva,MATCH($E1534,art_ref,0))),INDEX(art_tva,MATCH($E1534,art_ref,0)),""),"")))</f>
        <v/>
      </c>
      <c r="N1534" s="70" t="str">
        <f>IF(OR(E1534="",J1534=""),"",ROUND(N(H1534)*J1534*(1-N(K1534)),2))</f>
        <v/>
      </c>
      <c r="O1534" s="70" t="str">
        <f>IF(OR(N1534="",NOT(ISNUMBER(M1534))),"",ROUND(N1534*M1534,2))</f>
        <v/>
      </c>
      <c r="P1534" s="70" t="str">
        <f>IF(N1534="","",N1534+N(O1534))</f>
        <v/>
      </c>
      <c r="Q1534" s="64" t="n"/>
      <c r="R1534" s="73" t="str">
        <f>IF(N(Q1534)&gt;0,Q1534,IF(OR(N(B1534)=0,ISNA(MATCH($C1534,sup_code,0))),"",IF(ISNUMBER(INDEX(sup_delay,MATCH($C1534,sup_code,0))),B1534+INDEX(sup_delay,MATCH($C1534,sup_code,0)),"")))</f>
        <v/>
      </c>
      <c r="S1534" s="64" t="n"/>
      <c r="T1534" s="68" t="n"/>
      <c r="U1534" s="64" t="n"/>
      <c r="V1534" s="65" t="n"/>
      <c r="W1534" s="74" t="str">
        <f>IF(AND(A1534="",E1534=""),"",IF(V1534="Oui",0,MAX(0,ROUND(N(H1534)-N(T1534),6))))</f>
        <v/>
      </c>
      <c r="X1534" s="67" t="str">
        <f>IF(AND(A1534="",E1534=""),"",IF(V1534="Oui","Annulé",IF(AND(N(H1534)&gt;0,N(T1534)&gt;=N(H1534)),"Reçu",IF(N(S1534)=0,"Brouillon",IF(AND(ISNUMBER(R1534),R1534&lt;p_today),"En retard",IF(N(T1534)&gt;0,"Partiel","Envoyé"))))))</f>
        <v/>
      </c>
      <c r="Y1534" s="75" t="str">
        <f>IF(X1534="En retard",p_today-R1534,IF(AND(X1534="Reçu",ISNUMBER(R1534)),MAX(0,N(U1534)-R1534),""))</f>
        <v/>
      </c>
      <c r="Z1534" s="67" t="str">
        <f>IF(AND(A1534="",E1534=""),"",IF(A1534="","N° de bon manquant",IF(N(B1534)=0,"Date de commande manquante",IF(C1534="","Fournisseur manquant",IF(ISNA(MATCH($C1534,sup_code,0)),"Fournisseur inconnu",IF(E1534="","Article manquant",IF(ISNA(MATCH($E1534,art_ref,0)),"Article inconnu",IF(N(H1534)&lt;=0,"Quantité invalide",IF(J1534="","Prix manquant",IF(OR(N(K1534)&lt;0,N(K1534)&gt;=1),"Remise invalide",IF(M1534="","TVA manquante",IF(ISNA(MATCH(M1534,p_tva,0)),"Taux de TVA inconnu",IF(COUNTIFS(po_num,A1534,po_sup,"&lt;&gt;"&amp;C1534)&gt;0,"Fournisseur différent sur ce bon",IF(COUNTIFS(po_num,A1534,po_date,"&lt;&gt;"&amp;B1534)&gt;0,"Date différente sur ce bon",IF(COUNTIF(po_num,A1534)&gt;25,"Plus de 25 lignes sur ce bon",IF(R1534="","Date de livraison manquante",IF(R1534&lt;B1534,"Livraison avant la commande",IF(AND(N(T1534)&gt;0,N(S1534)=0),"Date d'envoi manquante",IF(N(T1534)&gt;N(H1534),"Reçu plus que commandé",IF(AND(N(T1534)&gt;0,N(U1534)=0),"Date de réception manquante",IF(AND(N(U1534)&gt;0,U1534&lt;B1534),"Réception avant la commande","OK")))))))))))))))))))))</f>
        <v/>
      </c>
      <c r="AA1534" s="66" t="str">
        <f>IF(AND(X1534="Reçu",ISNUMBER(R1534)),IF(N(U1534)&lt;=R1534,1,0),"")</f>
        <v/>
      </c>
      <c r="AB1534" s="76" t="str">
        <f>IF(OR(X1534="Envoyé",X1534="Partiel",X1534="En retard"),IF(ISNUMBER(R1534),R1534,100000)+ROW()/100000,"")</f>
        <v/>
      </c>
      <c r="AC1534" s="66" t="str">
        <f>IF(A1534="","",IF(COUNTIF($A$6:A1534,A1534)=1,1,""))</f>
        <v/>
      </c>
      <c r="AD1534" s="66" t="str">
        <f>IF(AC1534=1,COUNT($AC$6:AC1534),"")</f>
        <v/>
      </c>
      <c r="AE1534" s="66" t="str">
        <f>IFERROR(INDEX(po_num,MATCH(1529,po_seq,0))&amp;"","")</f>
        <v/>
      </c>
      <c r="AF1534" s="66" t="str">
        <f>IF(OR(A1534="",p_po=""),"",IF(A1534&amp;""=p_po,COUNTIF($A$6:A1534,A1534),""))</f>
        <v/>
      </c>
      <c r="AG1534" s="66" t="str">
        <f>IF(OR(AB1534="",A1534=""),"",IF(COUNTIFS($A$6:A1534,A1534,$AB$6:AB1534,"&gt;0")=1,1,""))</f>
        <v/>
      </c>
      <c r="AH1534" s="70" t="str">
        <f>IF(AB1534="","",ROUND(N(W1534)*N(J1534)*(1-N(K1534)),2))</f>
        <v/>
      </c>
      <c r="AI1534" s="70" t="str">
        <f>IF(OR(J1534="",N(T1534)&lt;=0,V1534="Oui"),"",ROUND(N(T1534)*J1534*(1-N(K1534)),2))</f>
        <v/>
      </c>
    </row>
    <row r="1535">
      <c r="A1535" s="63" t="n"/>
      <c r="B1535" s="64" t="n"/>
      <c r="C1535" s="65" t="n"/>
      <c r="D1535" s="66" t="str">
        <f>IF(C1535="","",IFERROR(INDEX(sup_name,MATCH($C1535,sup_code,0))&amp;"","Fournisseur inconnu"))</f>
        <v/>
      </c>
      <c r="E1535" s="63" t="n"/>
      <c r="F1535" s="66" t="str">
        <f>IF(E1535="","",IFERROR(INDEX(art_des,MATCH($E1535,art_ref,0))&amp;"","Article inconnu"))</f>
        <v/>
      </c>
      <c r="G1535" s="67" t="str">
        <f>IF(E1535="","",IFERROR(INDEX(art_unit,MATCH($E1535,art_ref,0))&amp;"",""))</f>
        <v/>
      </c>
      <c r="H1535" s="68" t="n"/>
      <c r="I1535" s="69" t="n"/>
      <c r="J1535" s="70" t="str">
        <f>IF(E1535="","",IF(ISNUMBER(I1535),I1535,IFERROR(IF(ISNUMBER(INDEX(art_price,MATCH($E1535,art_ref,0))),INDEX(art_price,MATCH($E1535,art_ref,0)),""),"")))</f>
        <v/>
      </c>
      <c r="K1535" s="71" t="n"/>
      <c r="L1535" s="72" t="n"/>
      <c r="M1535" s="72" t="str">
        <f>IF(E1535="","",IF(L1535&lt;&gt;"",L1535,IFERROR(IF(ISNUMBER(INDEX(art_tva,MATCH($E1535,art_ref,0))),INDEX(art_tva,MATCH($E1535,art_ref,0)),""),"")))</f>
        <v/>
      </c>
      <c r="N1535" s="70" t="str">
        <f>IF(OR(E1535="",J1535=""),"",ROUND(N(H1535)*J1535*(1-N(K1535)),2))</f>
        <v/>
      </c>
      <c r="O1535" s="70" t="str">
        <f>IF(OR(N1535="",NOT(ISNUMBER(M1535))),"",ROUND(N1535*M1535,2))</f>
        <v/>
      </c>
      <c r="P1535" s="70" t="str">
        <f>IF(N1535="","",N1535+N(O1535))</f>
        <v/>
      </c>
      <c r="Q1535" s="64" t="n"/>
      <c r="R1535" s="73" t="str">
        <f>IF(N(Q1535)&gt;0,Q1535,IF(OR(N(B1535)=0,ISNA(MATCH($C1535,sup_code,0))),"",IF(ISNUMBER(INDEX(sup_delay,MATCH($C1535,sup_code,0))),B1535+INDEX(sup_delay,MATCH($C1535,sup_code,0)),"")))</f>
        <v/>
      </c>
      <c r="S1535" s="64" t="n"/>
      <c r="T1535" s="68" t="n"/>
      <c r="U1535" s="64" t="n"/>
      <c r="V1535" s="65" t="n"/>
      <c r="W1535" s="74" t="str">
        <f>IF(AND(A1535="",E1535=""),"",IF(V1535="Oui",0,MAX(0,ROUND(N(H1535)-N(T1535),6))))</f>
        <v/>
      </c>
      <c r="X1535" s="67" t="str">
        <f>IF(AND(A1535="",E1535=""),"",IF(V1535="Oui","Annulé",IF(AND(N(H1535)&gt;0,N(T1535)&gt;=N(H1535)),"Reçu",IF(N(S1535)=0,"Brouillon",IF(AND(ISNUMBER(R1535),R1535&lt;p_today),"En retard",IF(N(T1535)&gt;0,"Partiel","Envoyé"))))))</f>
        <v/>
      </c>
      <c r="Y1535" s="75" t="str">
        <f>IF(X1535="En retard",p_today-R1535,IF(AND(X1535="Reçu",ISNUMBER(R1535)),MAX(0,N(U1535)-R1535),""))</f>
        <v/>
      </c>
      <c r="Z1535" s="67" t="str">
        <f>IF(AND(A1535="",E1535=""),"",IF(A1535="","N° de bon manquant",IF(N(B1535)=0,"Date de commande manquante",IF(C1535="","Fournisseur manquant",IF(ISNA(MATCH($C1535,sup_code,0)),"Fournisseur inconnu",IF(E1535="","Article manquant",IF(ISNA(MATCH($E1535,art_ref,0)),"Article inconnu",IF(N(H1535)&lt;=0,"Quantité invalide",IF(J1535="","Prix manquant",IF(OR(N(K1535)&lt;0,N(K1535)&gt;=1),"Remise invalide",IF(M1535="","TVA manquante",IF(ISNA(MATCH(M1535,p_tva,0)),"Taux de TVA inconnu",IF(COUNTIFS(po_num,A1535,po_sup,"&lt;&gt;"&amp;C1535)&gt;0,"Fournisseur différent sur ce bon",IF(COUNTIFS(po_num,A1535,po_date,"&lt;&gt;"&amp;B1535)&gt;0,"Date différente sur ce bon",IF(COUNTIF(po_num,A1535)&gt;25,"Plus de 25 lignes sur ce bon",IF(R1535="","Date de livraison manquante",IF(R1535&lt;B1535,"Livraison avant la commande",IF(AND(N(T1535)&gt;0,N(S1535)=0),"Date d'envoi manquante",IF(N(T1535)&gt;N(H1535),"Reçu plus que commandé",IF(AND(N(T1535)&gt;0,N(U1535)=0),"Date de réception manquante",IF(AND(N(U1535)&gt;0,U1535&lt;B1535),"Réception avant la commande","OK")))))))))))))))))))))</f>
        <v/>
      </c>
      <c r="AA1535" s="66" t="str">
        <f>IF(AND(X1535="Reçu",ISNUMBER(R1535)),IF(N(U1535)&lt;=R1535,1,0),"")</f>
        <v/>
      </c>
      <c r="AB1535" s="76" t="str">
        <f>IF(OR(X1535="Envoyé",X1535="Partiel",X1535="En retard"),IF(ISNUMBER(R1535),R1535,100000)+ROW()/100000,"")</f>
        <v/>
      </c>
      <c r="AC1535" s="66" t="str">
        <f>IF(A1535="","",IF(COUNTIF($A$6:A1535,A1535)=1,1,""))</f>
        <v/>
      </c>
      <c r="AD1535" s="66" t="str">
        <f>IF(AC1535=1,COUNT($AC$6:AC1535),"")</f>
        <v/>
      </c>
      <c r="AE1535" s="66" t="str">
        <f>IFERROR(INDEX(po_num,MATCH(1530,po_seq,0))&amp;"","")</f>
        <v/>
      </c>
      <c r="AF1535" s="66" t="str">
        <f>IF(OR(A1535="",p_po=""),"",IF(A1535&amp;""=p_po,COUNTIF($A$6:A1535,A1535),""))</f>
        <v/>
      </c>
      <c r="AG1535" s="66" t="str">
        <f>IF(OR(AB1535="",A1535=""),"",IF(COUNTIFS($A$6:A1535,A1535,$AB$6:AB1535,"&gt;0")=1,1,""))</f>
        <v/>
      </c>
      <c r="AH1535" s="70" t="str">
        <f>IF(AB1535="","",ROUND(N(W1535)*N(J1535)*(1-N(K1535)),2))</f>
        <v/>
      </c>
      <c r="AI1535" s="70" t="str">
        <f>IF(OR(J1535="",N(T1535)&lt;=0,V1535="Oui"),"",ROUND(N(T1535)*J1535*(1-N(K1535)),2))</f>
        <v/>
      </c>
    </row>
    <row r="1536">
      <c r="A1536" s="63" t="n"/>
      <c r="B1536" s="64" t="n"/>
      <c r="C1536" s="65" t="n"/>
      <c r="D1536" s="66" t="str">
        <f>IF(C1536="","",IFERROR(INDEX(sup_name,MATCH($C1536,sup_code,0))&amp;"","Fournisseur inconnu"))</f>
        <v/>
      </c>
      <c r="E1536" s="63" t="n"/>
      <c r="F1536" s="66" t="str">
        <f>IF(E1536="","",IFERROR(INDEX(art_des,MATCH($E1536,art_ref,0))&amp;"","Article inconnu"))</f>
        <v/>
      </c>
      <c r="G1536" s="67" t="str">
        <f>IF(E1536="","",IFERROR(INDEX(art_unit,MATCH($E1536,art_ref,0))&amp;"",""))</f>
        <v/>
      </c>
      <c r="H1536" s="68" t="n"/>
      <c r="I1536" s="69" t="n"/>
      <c r="J1536" s="70" t="str">
        <f>IF(E1536="","",IF(ISNUMBER(I1536),I1536,IFERROR(IF(ISNUMBER(INDEX(art_price,MATCH($E1536,art_ref,0))),INDEX(art_price,MATCH($E1536,art_ref,0)),""),"")))</f>
        <v/>
      </c>
      <c r="K1536" s="71" t="n"/>
      <c r="L1536" s="72" t="n"/>
      <c r="M1536" s="72" t="str">
        <f>IF(E1536="","",IF(L1536&lt;&gt;"",L1536,IFERROR(IF(ISNUMBER(INDEX(art_tva,MATCH($E1536,art_ref,0))),INDEX(art_tva,MATCH($E1536,art_ref,0)),""),"")))</f>
        <v/>
      </c>
      <c r="N1536" s="70" t="str">
        <f>IF(OR(E1536="",J1536=""),"",ROUND(N(H1536)*J1536*(1-N(K1536)),2))</f>
        <v/>
      </c>
      <c r="O1536" s="70" t="str">
        <f>IF(OR(N1536="",NOT(ISNUMBER(M1536))),"",ROUND(N1536*M1536,2))</f>
        <v/>
      </c>
      <c r="P1536" s="70" t="str">
        <f>IF(N1536="","",N1536+N(O1536))</f>
        <v/>
      </c>
      <c r="Q1536" s="64" t="n"/>
      <c r="R1536" s="73" t="str">
        <f>IF(N(Q1536)&gt;0,Q1536,IF(OR(N(B1536)=0,ISNA(MATCH($C1536,sup_code,0))),"",IF(ISNUMBER(INDEX(sup_delay,MATCH($C1536,sup_code,0))),B1536+INDEX(sup_delay,MATCH($C1536,sup_code,0)),"")))</f>
        <v/>
      </c>
      <c r="S1536" s="64" t="n"/>
      <c r="T1536" s="68" t="n"/>
      <c r="U1536" s="64" t="n"/>
      <c r="V1536" s="65" t="n"/>
      <c r="W1536" s="74" t="str">
        <f>IF(AND(A1536="",E1536=""),"",IF(V1536="Oui",0,MAX(0,ROUND(N(H1536)-N(T1536),6))))</f>
        <v/>
      </c>
      <c r="X1536" s="67" t="str">
        <f>IF(AND(A1536="",E1536=""),"",IF(V1536="Oui","Annulé",IF(AND(N(H1536)&gt;0,N(T1536)&gt;=N(H1536)),"Reçu",IF(N(S1536)=0,"Brouillon",IF(AND(ISNUMBER(R1536),R1536&lt;p_today),"En retard",IF(N(T1536)&gt;0,"Partiel","Envoyé"))))))</f>
        <v/>
      </c>
      <c r="Y1536" s="75" t="str">
        <f>IF(X1536="En retard",p_today-R1536,IF(AND(X1536="Reçu",ISNUMBER(R1536)),MAX(0,N(U1536)-R1536),""))</f>
        <v/>
      </c>
      <c r="Z1536" s="67" t="str">
        <f>IF(AND(A1536="",E1536=""),"",IF(A1536="","N° de bon manquant",IF(N(B1536)=0,"Date de commande manquante",IF(C1536="","Fournisseur manquant",IF(ISNA(MATCH($C1536,sup_code,0)),"Fournisseur inconnu",IF(E1536="","Article manquant",IF(ISNA(MATCH($E1536,art_ref,0)),"Article inconnu",IF(N(H1536)&lt;=0,"Quantité invalide",IF(J1536="","Prix manquant",IF(OR(N(K1536)&lt;0,N(K1536)&gt;=1),"Remise invalide",IF(M1536="","TVA manquante",IF(ISNA(MATCH(M1536,p_tva,0)),"Taux de TVA inconnu",IF(COUNTIFS(po_num,A1536,po_sup,"&lt;&gt;"&amp;C1536)&gt;0,"Fournisseur différent sur ce bon",IF(COUNTIFS(po_num,A1536,po_date,"&lt;&gt;"&amp;B1536)&gt;0,"Date différente sur ce bon",IF(COUNTIF(po_num,A1536)&gt;25,"Plus de 25 lignes sur ce bon",IF(R1536="","Date de livraison manquante",IF(R1536&lt;B1536,"Livraison avant la commande",IF(AND(N(T1536)&gt;0,N(S1536)=0),"Date d'envoi manquante",IF(N(T1536)&gt;N(H1536),"Reçu plus que commandé",IF(AND(N(T1536)&gt;0,N(U1536)=0),"Date de réception manquante",IF(AND(N(U1536)&gt;0,U1536&lt;B1536),"Réception avant la commande","OK")))))))))))))))))))))</f>
        <v/>
      </c>
      <c r="AA1536" s="66" t="str">
        <f>IF(AND(X1536="Reçu",ISNUMBER(R1536)),IF(N(U1536)&lt;=R1536,1,0),"")</f>
        <v/>
      </c>
      <c r="AB1536" s="76" t="str">
        <f>IF(OR(X1536="Envoyé",X1536="Partiel",X1536="En retard"),IF(ISNUMBER(R1536),R1536,100000)+ROW()/100000,"")</f>
        <v/>
      </c>
      <c r="AC1536" s="66" t="str">
        <f>IF(A1536="","",IF(COUNTIF($A$6:A1536,A1536)=1,1,""))</f>
        <v/>
      </c>
      <c r="AD1536" s="66" t="str">
        <f>IF(AC1536=1,COUNT($AC$6:AC1536),"")</f>
        <v/>
      </c>
      <c r="AE1536" s="66" t="str">
        <f>IFERROR(INDEX(po_num,MATCH(1531,po_seq,0))&amp;"","")</f>
        <v/>
      </c>
      <c r="AF1536" s="66" t="str">
        <f>IF(OR(A1536="",p_po=""),"",IF(A1536&amp;""=p_po,COUNTIF($A$6:A1536,A1536),""))</f>
        <v/>
      </c>
      <c r="AG1536" s="66" t="str">
        <f>IF(OR(AB1536="",A1536=""),"",IF(COUNTIFS($A$6:A1536,A1536,$AB$6:AB1536,"&gt;0")=1,1,""))</f>
        <v/>
      </c>
      <c r="AH1536" s="70" t="str">
        <f>IF(AB1536="","",ROUND(N(W1536)*N(J1536)*(1-N(K1536)),2))</f>
        <v/>
      </c>
      <c r="AI1536" s="70" t="str">
        <f>IF(OR(J1536="",N(T1536)&lt;=0,V1536="Oui"),"",ROUND(N(T1536)*J1536*(1-N(K1536)),2))</f>
        <v/>
      </c>
    </row>
    <row r="1537">
      <c r="A1537" s="63" t="n"/>
      <c r="B1537" s="64" t="n"/>
      <c r="C1537" s="65" t="n"/>
      <c r="D1537" s="66" t="str">
        <f>IF(C1537="","",IFERROR(INDEX(sup_name,MATCH($C1537,sup_code,0))&amp;"","Fournisseur inconnu"))</f>
        <v/>
      </c>
      <c r="E1537" s="63" t="n"/>
      <c r="F1537" s="66" t="str">
        <f>IF(E1537="","",IFERROR(INDEX(art_des,MATCH($E1537,art_ref,0))&amp;"","Article inconnu"))</f>
        <v/>
      </c>
      <c r="G1537" s="67" t="str">
        <f>IF(E1537="","",IFERROR(INDEX(art_unit,MATCH($E1537,art_ref,0))&amp;"",""))</f>
        <v/>
      </c>
      <c r="H1537" s="68" t="n"/>
      <c r="I1537" s="69" t="n"/>
      <c r="J1537" s="70" t="str">
        <f>IF(E1537="","",IF(ISNUMBER(I1537),I1537,IFERROR(IF(ISNUMBER(INDEX(art_price,MATCH($E1537,art_ref,0))),INDEX(art_price,MATCH($E1537,art_ref,0)),""),"")))</f>
        <v/>
      </c>
      <c r="K1537" s="71" t="n"/>
      <c r="L1537" s="72" t="n"/>
      <c r="M1537" s="72" t="str">
        <f>IF(E1537="","",IF(L1537&lt;&gt;"",L1537,IFERROR(IF(ISNUMBER(INDEX(art_tva,MATCH($E1537,art_ref,0))),INDEX(art_tva,MATCH($E1537,art_ref,0)),""),"")))</f>
        <v/>
      </c>
      <c r="N1537" s="70" t="str">
        <f>IF(OR(E1537="",J1537=""),"",ROUND(N(H1537)*J1537*(1-N(K1537)),2))</f>
        <v/>
      </c>
      <c r="O1537" s="70" t="str">
        <f>IF(OR(N1537="",NOT(ISNUMBER(M1537))),"",ROUND(N1537*M1537,2))</f>
        <v/>
      </c>
      <c r="P1537" s="70" t="str">
        <f>IF(N1537="","",N1537+N(O1537))</f>
        <v/>
      </c>
      <c r="Q1537" s="64" t="n"/>
      <c r="R1537" s="73" t="str">
        <f>IF(N(Q1537)&gt;0,Q1537,IF(OR(N(B1537)=0,ISNA(MATCH($C1537,sup_code,0))),"",IF(ISNUMBER(INDEX(sup_delay,MATCH($C1537,sup_code,0))),B1537+INDEX(sup_delay,MATCH($C1537,sup_code,0)),"")))</f>
        <v/>
      </c>
      <c r="S1537" s="64" t="n"/>
      <c r="T1537" s="68" t="n"/>
      <c r="U1537" s="64" t="n"/>
      <c r="V1537" s="65" t="n"/>
      <c r="W1537" s="74" t="str">
        <f>IF(AND(A1537="",E1537=""),"",IF(V1537="Oui",0,MAX(0,ROUND(N(H1537)-N(T1537),6))))</f>
        <v/>
      </c>
      <c r="X1537" s="67" t="str">
        <f>IF(AND(A1537="",E1537=""),"",IF(V1537="Oui","Annulé",IF(AND(N(H1537)&gt;0,N(T1537)&gt;=N(H1537)),"Reçu",IF(N(S1537)=0,"Brouillon",IF(AND(ISNUMBER(R1537),R1537&lt;p_today),"En retard",IF(N(T1537)&gt;0,"Partiel","Envoyé"))))))</f>
        <v/>
      </c>
      <c r="Y1537" s="75" t="str">
        <f>IF(X1537="En retard",p_today-R1537,IF(AND(X1537="Reçu",ISNUMBER(R1537)),MAX(0,N(U1537)-R1537),""))</f>
        <v/>
      </c>
      <c r="Z1537" s="67" t="str">
        <f>IF(AND(A1537="",E1537=""),"",IF(A1537="","N° de bon manquant",IF(N(B1537)=0,"Date de commande manquante",IF(C1537="","Fournisseur manquant",IF(ISNA(MATCH($C1537,sup_code,0)),"Fournisseur inconnu",IF(E1537="","Article manquant",IF(ISNA(MATCH($E1537,art_ref,0)),"Article inconnu",IF(N(H1537)&lt;=0,"Quantité invalide",IF(J1537="","Prix manquant",IF(OR(N(K1537)&lt;0,N(K1537)&gt;=1),"Remise invalide",IF(M1537="","TVA manquante",IF(ISNA(MATCH(M1537,p_tva,0)),"Taux de TVA inconnu",IF(COUNTIFS(po_num,A1537,po_sup,"&lt;&gt;"&amp;C1537)&gt;0,"Fournisseur différent sur ce bon",IF(COUNTIFS(po_num,A1537,po_date,"&lt;&gt;"&amp;B1537)&gt;0,"Date différente sur ce bon",IF(COUNTIF(po_num,A1537)&gt;25,"Plus de 25 lignes sur ce bon",IF(R1537="","Date de livraison manquante",IF(R1537&lt;B1537,"Livraison avant la commande",IF(AND(N(T1537)&gt;0,N(S1537)=0),"Date d'envoi manquante",IF(N(T1537)&gt;N(H1537),"Reçu plus que commandé",IF(AND(N(T1537)&gt;0,N(U1537)=0),"Date de réception manquante",IF(AND(N(U1537)&gt;0,U1537&lt;B1537),"Réception avant la commande","OK")))))))))))))))))))))</f>
        <v/>
      </c>
      <c r="AA1537" s="66" t="str">
        <f>IF(AND(X1537="Reçu",ISNUMBER(R1537)),IF(N(U1537)&lt;=R1537,1,0),"")</f>
        <v/>
      </c>
      <c r="AB1537" s="76" t="str">
        <f>IF(OR(X1537="Envoyé",X1537="Partiel",X1537="En retard"),IF(ISNUMBER(R1537),R1537,100000)+ROW()/100000,"")</f>
        <v/>
      </c>
      <c r="AC1537" s="66" t="str">
        <f>IF(A1537="","",IF(COUNTIF($A$6:A1537,A1537)=1,1,""))</f>
        <v/>
      </c>
      <c r="AD1537" s="66" t="str">
        <f>IF(AC1537=1,COUNT($AC$6:AC1537),"")</f>
        <v/>
      </c>
      <c r="AE1537" s="66" t="str">
        <f>IFERROR(INDEX(po_num,MATCH(1532,po_seq,0))&amp;"","")</f>
        <v/>
      </c>
      <c r="AF1537" s="66" t="str">
        <f>IF(OR(A1537="",p_po=""),"",IF(A1537&amp;""=p_po,COUNTIF($A$6:A1537,A1537),""))</f>
        <v/>
      </c>
      <c r="AG1537" s="66" t="str">
        <f>IF(OR(AB1537="",A1537=""),"",IF(COUNTIFS($A$6:A1537,A1537,$AB$6:AB1537,"&gt;0")=1,1,""))</f>
        <v/>
      </c>
      <c r="AH1537" s="70" t="str">
        <f>IF(AB1537="","",ROUND(N(W1537)*N(J1537)*(1-N(K1537)),2))</f>
        <v/>
      </c>
      <c r="AI1537" s="70" t="str">
        <f>IF(OR(J1537="",N(T1537)&lt;=0,V1537="Oui"),"",ROUND(N(T1537)*J1537*(1-N(K1537)),2))</f>
        <v/>
      </c>
    </row>
    <row r="1538">
      <c r="A1538" s="63" t="n"/>
      <c r="B1538" s="64" t="n"/>
      <c r="C1538" s="65" t="n"/>
      <c r="D1538" s="66" t="str">
        <f>IF(C1538="","",IFERROR(INDEX(sup_name,MATCH($C1538,sup_code,0))&amp;"","Fournisseur inconnu"))</f>
        <v/>
      </c>
      <c r="E1538" s="63" t="n"/>
      <c r="F1538" s="66" t="str">
        <f>IF(E1538="","",IFERROR(INDEX(art_des,MATCH($E1538,art_ref,0))&amp;"","Article inconnu"))</f>
        <v/>
      </c>
      <c r="G1538" s="67" t="str">
        <f>IF(E1538="","",IFERROR(INDEX(art_unit,MATCH($E1538,art_ref,0))&amp;"",""))</f>
        <v/>
      </c>
      <c r="H1538" s="68" t="n"/>
      <c r="I1538" s="69" t="n"/>
      <c r="J1538" s="70" t="str">
        <f>IF(E1538="","",IF(ISNUMBER(I1538),I1538,IFERROR(IF(ISNUMBER(INDEX(art_price,MATCH($E1538,art_ref,0))),INDEX(art_price,MATCH($E1538,art_ref,0)),""),"")))</f>
        <v/>
      </c>
      <c r="K1538" s="71" t="n"/>
      <c r="L1538" s="72" t="n"/>
      <c r="M1538" s="72" t="str">
        <f>IF(E1538="","",IF(L1538&lt;&gt;"",L1538,IFERROR(IF(ISNUMBER(INDEX(art_tva,MATCH($E1538,art_ref,0))),INDEX(art_tva,MATCH($E1538,art_ref,0)),""),"")))</f>
        <v/>
      </c>
      <c r="N1538" s="70" t="str">
        <f>IF(OR(E1538="",J1538=""),"",ROUND(N(H1538)*J1538*(1-N(K1538)),2))</f>
        <v/>
      </c>
      <c r="O1538" s="70" t="str">
        <f>IF(OR(N1538="",NOT(ISNUMBER(M1538))),"",ROUND(N1538*M1538,2))</f>
        <v/>
      </c>
      <c r="P1538" s="70" t="str">
        <f>IF(N1538="","",N1538+N(O1538))</f>
        <v/>
      </c>
      <c r="Q1538" s="64" t="n"/>
      <c r="R1538" s="73" t="str">
        <f>IF(N(Q1538)&gt;0,Q1538,IF(OR(N(B1538)=0,ISNA(MATCH($C1538,sup_code,0))),"",IF(ISNUMBER(INDEX(sup_delay,MATCH($C1538,sup_code,0))),B1538+INDEX(sup_delay,MATCH($C1538,sup_code,0)),"")))</f>
        <v/>
      </c>
      <c r="S1538" s="64" t="n"/>
      <c r="T1538" s="68" t="n"/>
      <c r="U1538" s="64" t="n"/>
      <c r="V1538" s="65" t="n"/>
      <c r="W1538" s="74" t="str">
        <f>IF(AND(A1538="",E1538=""),"",IF(V1538="Oui",0,MAX(0,ROUND(N(H1538)-N(T1538),6))))</f>
        <v/>
      </c>
      <c r="X1538" s="67" t="str">
        <f>IF(AND(A1538="",E1538=""),"",IF(V1538="Oui","Annulé",IF(AND(N(H1538)&gt;0,N(T1538)&gt;=N(H1538)),"Reçu",IF(N(S1538)=0,"Brouillon",IF(AND(ISNUMBER(R1538),R1538&lt;p_today),"En retard",IF(N(T1538)&gt;0,"Partiel","Envoyé"))))))</f>
        <v/>
      </c>
      <c r="Y1538" s="75" t="str">
        <f>IF(X1538="En retard",p_today-R1538,IF(AND(X1538="Reçu",ISNUMBER(R1538)),MAX(0,N(U1538)-R1538),""))</f>
        <v/>
      </c>
      <c r="Z1538" s="67" t="str">
        <f>IF(AND(A1538="",E1538=""),"",IF(A1538="","N° de bon manquant",IF(N(B1538)=0,"Date de commande manquante",IF(C1538="","Fournisseur manquant",IF(ISNA(MATCH($C1538,sup_code,0)),"Fournisseur inconnu",IF(E1538="","Article manquant",IF(ISNA(MATCH($E1538,art_ref,0)),"Article inconnu",IF(N(H1538)&lt;=0,"Quantité invalide",IF(J1538="","Prix manquant",IF(OR(N(K1538)&lt;0,N(K1538)&gt;=1),"Remise invalide",IF(M1538="","TVA manquante",IF(ISNA(MATCH(M1538,p_tva,0)),"Taux de TVA inconnu",IF(COUNTIFS(po_num,A1538,po_sup,"&lt;&gt;"&amp;C1538)&gt;0,"Fournisseur différent sur ce bon",IF(COUNTIFS(po_num,A1538,po_date,"&lt;&gt;"&amp;B1538)&gt;0,"Date différente sur ce bon",IF(COUNTIF(po_num,A1538)&gt;25,"Plus de 25 lignes sur ce bon",IF(R1538="","Date de livraison manquante",IF(R1538&lt;B1538,"Livraison avant la commande",IF(AND(N(T1538)&gt;0,N(S1538)=0),"Date d'envoi manquante",IF(N(T1538)&gt;N(H1538),"Reçu plus que commandé",IF(AND(N(T1538)&gt;0,N(U1538)=0),"Date de réception manquante",IF(AND(N(U1538)&gt;0,U1538&lt;B1538),"Réception avant la commande","OK")))))))))))))))))))))</f>
        <v/>
      </c>
      <c r="AA1538" s="66" t="str">
        <f>IF(AND(X1538="Reçu",ISNUMBER(R1538)),IF(N(U1538)&lt;=R1538,1,0),"")</f>
        <v/>
      </c>
      <c r="AB1538" s="76" t="str">
        <f>IF(OR(X1538="Envoyé",X1538="Partiel",X1538="En retard"),IF(ISNUMBER(R1538),R1538,100000)+ROW()/100000,"")</f>
        <v/>
      </c>
      <c r="AC1538" s="66" t="str">
        <f>IF(A1538="","",IF(COUNTIF($A$6:A1538,A1538)=1,1,""))</f>
        <v/>
      </c>
      <c r="AD1538" s="66" t="str">
        <f>IF(AC1538=1,COUNT($AC$6:AC1538),"")</f>
        <v/>
      </c>
      <c r="AE1538" s="66" t="str">
        <f>IFERROR(INDEX(po_num,MATCH(1533,po_seq,0))&amp;"","")</f>
        <v/>
      </c>
      <c r="AF1538" s="66" t="str">
        <f>IF(OR(A1538="",p_po=""),"",IF(A1538&amp;""=p_po,COUNTIF($A$6:A1538,A1538),""))</f>
        <v/>
      </c>
      <c r="AG1538" s="66" t="str">
        <f>IF(OR(AB1538="",A1538=""),"",IF(COUNTIFS($A$6:A1538,A1538,$AB$6:AB1538,"&gt;0")=1,1,""))</f>
        <v/>
      </c>
      <c r="AH1538" s="70" t="str">
        <f>IF(AB1538="","",ROUND(N(W1538)*N(J1538)*(1-N(K1538)),2))</f>
        <v/>
      </c>
      <c r="AI1538" s="70" t="str">
        <f>IF(OR(J1538="",N(T1538)&lt;=0,V1538="Oui"),"",ROUND(N(T1538)*J1538*(1-N(K1538)),2))</f>
        <v/>
      </c>
    </row>
    <row r="1539">
      <c r="A1539" s="63" t="n"/>
      <c r="B1539" s="64" t="n"/>
      <c r="C1539" s="65" t="n"/>
      <c r="D1539" s="66" t="str">
        <f>IF(C1539="","",IFERROR(INDEX(sup_name,MATCH($C1539,sup_code,0))&amp;"","Fournisseur inconnu"))</f>
        <v/>
      </c>
      <c r="E1539" s="63" t="n"/>
      <c r="F1539" s="66" t="str">
        <f>IF(E1539="","",IFERROR(INDEX(art_des,MATCH($E1539,art_ref,0))&amp;"","Article inconnu"))</f>
        <v/>
      </c>
      <c r="G1539" s="67" t="str">
        <f>IF(E1539="","",IFERROR(INDEX(art_unit,MATCH($E1539,art_ref,0))&amp;"",""))</f>
        <v/>
      </c>
      <c r="H1539" s="68" t="n"/>
      <c r="I1539" s="69" t="n"/>
      <c r="J1539" s="70" t="str">
        <f>IF(E1539="","",IF(ISNUMBER(I1539),I1539,IFERROR(IF(ISNUMBER(INDEX(art_price,MATCH($E1539,art_ref,0))),INDEX(art_price,MATCH($E1539,art_ref,0)),""),"")))</f>
        <v/>
      </c>
      <c r="K1539" s="71" t="n"/>
      <c r="L1539" s="72" t="n"/>
      <c r="M1539" s="72" t="str">
        <f>IF(E1539="","",IF(L1539&lt;&gt;"",L1539,IFERROR(IF(ISNUMBER(INDEX(art_tva,MATCH($E1539,art_ref,0))),INDEX(art_tva,MATCH($E1539,art_ref,0)),""),"")))</f>
        <v/>
      </c>
      <c r="N1539" s="70" t="str">
        <f>IF(OR(E1539="",J1539=""),"",ROUND(N(H1539)*J1539*(1-N(K1539)),2))</f>
        <v/>
      </c>
      <c r="O1539" s="70" t="str">
        <f>IF(OR(N1539="",NOT(ISNUMBER(M1539))),"",ROUND(N1539*M1539,2))</f>
        <v/>
      </c>
      <c r="P1539" s="70" t="str">
        <f>IF(N1539="","",N1539+N(O1539))</f>
        <v/>
      </c>
      <c r="Q1539" s="64" t="n"/>
      <c r="R1539" s="73" t="str">
        <f>IF(N(Q1539)&gt;0,Q1539,IF(OR(N(B1539)=0,ISNA(MATCH($C1539,sup_code,0))),"",IF(ISNUMBER(INDEX(sup_delay,MATCH($C1539,sup_code,0))),B1539+INDEX(sup_delay,MATCH($C1539,sup_code,0)),"")))</f>
        <v/>
      </c>
      <c r="S1539" s="64" t="n"/>
      <c r="T1539" s="68" t="n"/>
      <c r="U1539" s="64" t="n"/>
      <c r="V1539" s="65" t="n"/>
      <c r="W1539" s="74" t="str">
        <f>IF(AND(A1539="",E1539=""),"",IF(V1539="Oui",0,MAX(0,ROUND(N(H1539)-N(T1539),6))))</f>
        <v/>
      </c>
      <c r="X1539" s="67" t="str">
        <f>IF(AND(A1539="",E1539=""),"",IF(V1539="Oui","Annulé",IF(AND(N(H1539)&gt;0,N(T1539)&gt;=N(H1539)),"Reçu",IF(N(S1539)=0,"Brouillon",IF(AND(ISNUMBER(R1539),R1539&lt;p_today),"En retard",IF(N(T1539)&gt;0,"Partiel","Envoyé"))))))</f>
        <v/>
      </c>
      <c r="Y1539" s="75" t="str">
        <f>IF(X1539="En retard",p_today-R1539,IF(AND(X1539="Reçu",ISNUMBER(R1539)),MAX(0,N(U1539)-R1539),""))</f>
        <v/>
      </c>
      <c r="Z1539" s="67" t="str">
        <f>IF(AND(A1539="",E1539=""),"",IF(A1539="","N° de bon manquant",IF(N(B1539)=0,"Date de commande manquante",IF(C1539="","Fournisseur manquant",IF(ISNA(MATCH($C1539,sup_code,0)),"Fournisseur inconnu",IF(E1539="","Article manquant",IF(ISNA(MATCH($E1539,art_ref,0)),"Article inconnu",IF(N(H1539)&lt;=0,"Quantité invalide",IF(J1539="","Prix manquant",IF(OR(N(K1539)&lt;0,N(K1539)&gt;=1),"Remise invalide",IF(M1539="","TVA manquante",IF(ISNA(MATCH(M1539,p_tva,0)),"Taux de TVA inconnu",IF(COUNTIFS(po_num,A1539,po_sup,"&lt;&gt;"&amp;C1539)&gt;0,"Fournisseur différent sur ce bon",IF(COUNTIFS(po_num,A1539,po_date,"&lt;&gt;"&amp;B1539)&gt;0,"Date différente sur ce bon",IF(COUNTIF(po_num,A1539)&gt;25,"Plus de 25 lignes sur ce bon",IF(R1539="","Date de livraison manquante",IF(R1539&lt;B1539,"Livraison avant la commande",IF(AND(N(T1539)&gt;0,N(S1539)=0),"Date d'envoi manquante",IF(N(T1539)&gt;N(H1539),"Reçu plus que commandé",IF(AND(N(T1539)&gt;0,N(U1539)=0),"Date de réception manquante",IF(AND(N(U1539)&gt;0,U1539&lt;B1539),"Réception avant la commande","OK")))))))))))))))))))))</f>
        <v/>
      </c>
      <c r="AA1539" s="66" t="str">
        <f>IF(AND(X1539="Reçu",ISNUMBER(R1539)),IF(N(U1539)&lt;=R1539,1,0),"")</f>
        <v/>
      </c>
      <c r="AB1539" s="76" t="str">
        <f>IF(OR(X1539="Envoyé",X1539="Partiel",X1539="En retard"),IF(ISNUMBER(R1539),R1539,100000)+ROW()/100000,"")</f>
        <v/>
      </c>
      <c r="AC1539" s="66" t="str">
        <f>IF(A1539="","",IF(COUNTIF($A$6:A1539,A1539)=1,1,""))</f>
        <v/>
      </c>
      <c r="AD1539" s="66" t="str">
        <f>IF(AC1539=1,COUNT($AC$6:AC1539),"")</f>
        <v/>
      </c>
      <c r="AE1539" s="66" t="str">
        <f>IFERROR(INDEX(po_num,MATCH(1534,po_seq,0))&amp;"","")</f>
        <v/>
      </c>
      <c r="AF1539" s="66" t="str">
        <f>IF(OR(A1539="",p_po=""),"",IF(A1539&amp;""=p_po,COUNTIF($A$6:A1539,A1539),""))</f>
        <v/>
      </c>
      <c r="AG1539" s="66" t="str">
        <f>IF(OR(AB1539="",A1539=""),"",IF(COUNTIFS($A$6:A1539,A1539,$AB$6:AB1539,"&gt;0")=1,1,""))</f>
        <v/>
      </c>
      <c r="AH1539" s="70" t="str">
        <f>IF(AB1539="","",ROUND(N(W1539)*N(J1539)*(1-N(K1539)),2))</f>
        <v/>
      </c>
      <c r="AI1539" s="70" t="str">
        <f>IF(OR(J1539="",N(T1539)&lt;=0,V1539="Oui"),"",ROUND(N(T1539)*J1539*(1-N(K1539)),2))</f>
        <v/>
      </c>
    </row>
    <row r="1540">
      <c r="A1540" s="63" t="n"/>
      <c r="B1540" s="64" t="n"/>
      <c r="C1540" s="65" t="n"/>
      <c r="D1540" s="66" t="str">
        <f>IF(C1540="","",IFERROR(INDEX(sup_name,MATCH($C1540,sup_code,0))&amp;"","Fournisseur inconnu"))</f>
        <v/>
      </c>
      <c r="E1540" s="63" t="n"/>
      <c r="F1540" s="66" t="str">
        <f>IF(E1540="","",IFERROR(INDEX(art_des,MATCH($E1540,art_ref,0))&amp;"","Article inconnu"))</f>
        <v/>
      </c>
      <c r="G1540" s="67" t="str">
        <f>IF(E1540="","",IFERROR(INDEX(art_unit,MATCH($E1540,art_ref,0))&amp;"",""))</f>
        <v/>
      </c>
      <c r="H1540" s="68" t="n"/>
      <c r="I1540" s="69" t="n"/>
      <c r="J1540" s="70" t="str">
        <f>IF(E1540="","",IF(ISNUMBER(I1540),I1540,IFERROR(IF(ISNUMBER(INDEX(art_price,MATCH($E1540,art_ref,0))),INDEX(art_price,MATCH($E1540,art_ref,0)),""),"")))</f>
        <v/>
      </c>
      <c r="K1540" s="71" t="n"/>
      <c r="L1540" s="72" t="n"/>
      <c r="M1540" s="72" t="str">
        <f>IF(E1540="","",IF(L1540&lt;&gt;"",L1540,IFERROR(IF(ISNUMBER(INDEX(art_tva,MATCH($E1540,art_ref,0))),INDEX(art_tva,MATCH($E1540,art_ref,0)),""),"")))</f>
        <v/>
      </c>
      <c r="N1540" s="70" t="str">
        <f>IF(OR(E1540="",J1540=""),"",ROUND(N(H1540)*J1540*(1-N(K1540)),2))</f>
        <v/>
      </c>
      <c r="O1540" s="70" t="str">
        <f>IF(OR(N1540="",NOT(ISNUMBER(M1540))),"",ROUND(N1540*M1540,2))</f>
        <v/>
      </c>
      <c r="P1540" s="70" t="str">
        <f>IF(N1540="","",N1540+N(O1540))</f>
        <v/>
      </c>
      <c r="Q1540" s="64" t="n"/>
      <c r="R1540" s="73" t="str">
        <f>IF(N(Q1540)&gt;0,Q1540,IF(OR(N(B1540)=0,ISNA(MATCH($C1540,sup_code,0))),"",IF(ISNUMBER(INDEX(sup_delay,MATCH($C1540,sup_code,0))),B1540+INDEX(sup_delay,MATCH($C1540,sup_code,0)),"")))</f>
        <v/>
      </c>
      <c r="S1540" s="64" t="n"/>
      <c r="T1540" s="68" t="n"/>
      <c r="U1540" s="64" t="n"/>
      <c r="V1540" s="65" t="n"/>
      <c r="W1540" s="74" t="str">
        <f>IF(AND(A1540="",E1540=""),"",IF(V1540="Oui",0,MAX(0,ROUND(N(H1540)-N(T1540),6))))</f>
        <v/>
      </c>
      <c r="X1540" s="67" t="str">
        <f>IF(AND(A1540="",E1540=""),"",IF(V1540="Oui","Annulé",IF(AND(N(H1540)&gt;0,N(T1540)&gt;=N(H1540)),"Reçu",IF(N(S1540)=0,"Brouillon",IF(AND(ISNUMBER(R1540),R1540&lt;p_today),"En retard",IF(N(T1540)&gt;0,"Partiel","Envoyé"))))))</f>
        <v/>
      </c>
      <c r="Y1540" s="75" t="str">
        <f>IF(X1540="En retard",p_today-R1540,IF(AND(X1540="Reçu",ISNUMBER(R1540)),MAX(0,N(U1540)-R1540),""))</f>
        <v/>
      </c>
      <c r="Z1540" s="67" t="str">
        <f>IF(AND(A1540="",E1540=""),"",IF(A1540="","N° de bon manquant",IF(N(B1540)=0,"Date de commande manquante",IF(C1540="","Fournisseur manquant",IF(ISNA(MATCH($C1540,sup_code,0)),"Fournisseur inconnu",IF(E1540="","Article manquant",IF(ISNA(MATCH($E1540,art_ref,0)),"Article inconnu",IF(N(H1540)&lt;=0,"Quantité invalide",IF(J1540="","Prix manquant",IF(OR(N(K1540)&lt;0,N(K1540)&gt;=1),"Remise invalide",IF(M1540="","TVA manquante",IF(ISNA(MATCH(M1540,p_tva,0)),"Taux de TVA inconnu",IF(COUNTIFS(po_num,A1540,po_sup,"&lt;&gt;"&amp;C1540)&gt;0,"Fournisseur différent sur ce bon",IF(COUNTIFS(po_num,A1540,po_date,"&lt;&gt;"&amp;B1540)&gt;0,"Date différente sur ce bon",IF(COUNTIF(po_num,A1540)&gt;25,"Plus de 25 lignes sur ce bon",IF(R1540="","Date de livraison manquante",IF(R1540&lt;B1540,"Livraison avant la commande",IF(AND(N(T1540)&gt;0,N(S1540)=0),"Date d'envoi manquante",IF(N(T1540)&gt;N(H1540),"Reçu plus que commandé",IF(AND(N(T1540)&gt;0,N(U1540)=0),"Date de réception manquante",IF(AND(N(U1540)&gt;0,U1540&lt;B1540),"Réception avant la commande","OK")))))))))))))))))))))</f>
        <v/>
      </c>
      <c r="AA1540" s="66" t="str">
        <f>IF(AND(X1540="Reçu",ISNUMBER(R1540)),IF(N(U1540)&lt;=R1540,1,0),"")</f>
        <v/>
      </c>
      <c r="AB1540" s="76" t="str">
        <f>IF(OR(X1540="Envoyé",X1540="Partiel",X1540="En retard"),IF(ISNUMBER(R1540),R1540,100000)+ROW()/100000,"")</f>
        <v/>
      </c>
      <c r="AC1540" s="66" t="str">
        <f>IF(A1540="","",IF(COUNTIF($A$6:A1540,A1540)=1,1,""))</f>
        <v/>
      </c>
      <c r="AD1540" s="66" t="str">
        <f>IF(AC1540=1,COUNT($AC$6:AC1540),"")</f>
        <v/>
      </c>
      <c r="AE1540" s="66" t="str">
        <f>IFERROR(INDEX(po_num,MATCH(1535,po_seq,0))&amp;"","")</f>
        <v/>
      </c>
      <c r="AF1540" s="66" t="str">
        <f>IF(OR(A1540="",p_po=""),"",IF(A1540&amp;""=p_po,COUNTIF($A$6:A1540,A1540),""))</f>
        <v/>
      </c>
      <c r="AG1540" s="66" t="str">
        <f>IF(OR(AB1540="",A1540=""),"",IF(COUNTIFS($A$6:A1540,A1540,$AB$6:AB1540,"&gt;0")=1,1,""))</f>
        <v/>
      </c>
      <c r="AH1540" s="70" t="str">
        <f>IF(AB1540="","",ROUND(N(W1540)*N(J1540)*(1-N(K1540)),2))</f>
        <v/>
      </c>
      <c r="AI1540" s="70" t="str">
        <f>IF(OR(J1540="",N(T1540)&lt;=0,V1540="Oui"),"",ROUND(N(T1540)*J1540*(1-N(K1540)),2))</f>
        <v/>
      </c>
    </row>
    <row r="1541">
      <c r="A1541" s="63" t="n"/>
      <c r="B1541" s="64" t="n"/>
      <c r="C1541" s="65" t="n"/>
      <c r="D1541" s="66" t="str">
        <f>IF(C1541="","",IFERROR(INDEX(sup_name,MATCH($C1541,sup_code,0))&amp;"","Fournisseur inconnu"))</f>
        <v/>
      </c>
      <c r="E1541" s="63" t="n"/>
      <c r="F1541" s="66" t="str">
        <f>IF(E1541="","",IFERROR(INDEX(art_des,MATCH($E1541,art_ref,0))&amp;"","Article inconnu"))</f>
        <v/>
      </c>
      <c r="G1541" s="67" t="str">
        <f>IF(E1541="","",IFERROR(INDEX(art_unit,MATCH($E1541,art_ref,0))&amp;"",""))</f>
        <v/>
      </c>
      <c r="H1541" s="68" t="n"/>
      <c r="I1541" s="69" t="n"/>
      <c r="J1541" s="70" t="str">
        <f>IF(E1541="","",IF(ISNUMBER(I1541),I1541,IFERROR(IF(ISNUMBER(INDEX(art_price,MATCH($E1541,art_ref,0))),INDEX(art_price,MATCH($E1541,art_ref,0)),""),"")))</f>
        <v/>
      </c>
      <c r="K1541" s="71" t="n"/>
      <c r="L1541" s="72" t="n"/>
      <c r="M1541" s="72" t="str">
        <f>IF(E1541="","",IF(L1541&lt;&gt;"",L1541,IFERROR(IF(ISNUMBER(INDEX(art_tva,MATCH($E1541,art_ref,0))),INDEX(art_tva,MATCH($E1541,art_ref,0)),""),"")))</f>
        <v/>
      </c>
      <c r="N1541" s="70" t="str">
        <f>IF(OR(E1541="",J1541=""),"",ROUND(N(H1541)*J1541*(1-N(K1541)),2))</f>
        <v/>
      </c>
      <c r="O1541" s="70" t="str">
        <f>IF(OR(N1541="",NOT(ISNUMBER(M1541))),"",ROUND(N1541*M1541,2))</f>
        <v/>
      </c>
      <c r="P1541" s="70" t="str">
        <f>IF(N1541="","",N1541+N(O1541))</f>
        <v/>
      </c>
      <c r="Q1541" s="64" t="n"/>
      <c r="R1541" s="73" t="str">
        <f>IF(N(Q1541)&gt;0,Q1541,IF(OR(N(B1541)=0,ISNA(MATCH($C1541,sup_code,0))),"",IF(ISNUMBER(INDEX(sup_delay,MATCH($C1541,sup_code,0))),B1541+INDEX(sup_delay,MATCH($C1541,sup_code,0)),"")))</f>
        <v/>
      </c>
      <c r="S1541" s="64" t="n"/>
      <c r="T1541" s="68" t="n"/>
      <c r="U1541" s="64" t="n"/>
      <c r="V1541" s="65" t="n"/>
      <c r="W1541" s="74" t="str">
        <f>IF(AND(A1541="",E1541=""),"",IF(V1541="Oui",0,MAX(0,ROUND(N(H1541)-N(T1541),6))))</f>
        <v/>
      </c>
      <c r="X1541" s="67" t="str">
        <f>IF(AND(A1541="",E1541=""),"",IF(V1541="Oui","Annulé",IF(AND(N(H1541)&gt;0,N(T1541)&gt;=N(H1541)),"Reçu",IF(N(S1541)=0,"Brouillon",IF(AND(ISNUMBER(R1541),R1541&lt;p_today),"En retard",IF(N(T1541)&gt;0,"Partiel","Envoyé"))))))</f>
        <v/>
      </c>
      <c r="Y1541" s="75" t="str">
        <f>IF(X1541="En retard",p_today-R1541,IF(AND(X1541="Reçu",ISNUMBER(R1541)),MAX(0,N(U1541)-R1541),""))</f>
        <v/>
      </c>
      <c r="Z1541" s="67" t="str">
        <f>IF(AND(A1541="",E1541=""),"",IF(A1541="","N° de bon manquant",IF(N(B1541)=0,"Date de commande manquante",IF(C1541="","Fournisseur manquant",IF(ISNA(MATCH($C1541,sup_code,0)),"Fournisseur inconnu",IF(E1541="","Article manquant",IF(ISNA(MATCH($E1541,art_ref,0)),"Article inconnu",IF(N(H1541)&lt;=0,"Quantité invalide",IF(J1541="","Prix manquant",IF(OR(N(K1541)&lt;0,N(K1541)&gt;=1),"Remise invalide",IF(M1541="","TVA manquante",IF(ISNA(MATCH(M1541,p_tva,0)),"Taux de TVA inconnu",IF(COUNTIFS(po_num,A1541,po_sup,"&lt;&gt;"&amp;C1541)&gt;0,"Fournisseur différent sur ce bon",IF(COUNTIFS(po_num,A1541,po_date,"&lt;&gt;"&amp;B1541)&gt;0,"Date différente sur ce bon",IF(COUNTIF(po_num,A1541)&gt;25,"Plus de 25 lignes sur ce bon",IF(R1541="","Date de livraison manquante",IF(R1541&lt;B1541,"Livraison avant la commande",IF(AND(N(T1541)&gt;0,N(S1541)=0),"Date d'envoi manquante",IF(N(T1541)&gt;N(H1541),"Reçu plus que commandé",IF(AND(N(T1541)&gt;0,N(U1541)=0),"Date de réception manquante",IF(AND(N(U1541)&gt;0,U1541&lt;B1541),"Réception avant la commande","OK")))))))))))))))))))))</f>
        <v/>
      </c>
      <c r="AA1541" s="66" t="str">
        <f>IF(AND(X1541="Reçu",ISNUMBER(R1541)),IF(N(U1541)&lt;=R1541,1,0),"")</f>
        <v/>
      </c>
      <c r="AB1541" s="76" t="str">
        <f>IF(OR(X1541="Envoyé",X1541="Partiel",X1541="En retard"),IF(ISNUMBER(R1541),R1541,100000)+ROW()/100000,"")</f>
        <v/>
      </c>
      <c r="AC1541" s="66" t="str">
        <f>IF(A1541="","",IF(COUNTIF($A$6:A1541,A1541)=1,1,""))</f>
        <v/>
      </c>
      <c r="AD1541" s="66" t="str">
        <f>IF(AC1541=1,COUNT($AC$6:AC1541),"")</f>
        <v/>
      </c>
      <c r="AE1541" s="66" t="str">
        <f>IFERROR(INDEX(po_num,MATCH(1536,po_seq,0))&amp;"","")</f>
        <v/>
      </c>
      <c r="AF1541" s="66" t="str">
        <f>IF(OR(A1541="",p_po=""),"",IF(A1541&amp;""=p_po,COUNTIF($A$6:A1541,A1541),""))</f>
        <v/>
      </c>
      <c r="AG1541" s="66" t="str">
        <f>IF(OR(AB1541="",A1541=""),"",IF(COUNTIFS($A$6:A1541,A1541,$AB$6:AB1541,"&gt;0")=1,1,""))</f>
        <v/>
      </c>
      <c r="AH1541" s="70" t="str">
        <f>IF(AB1541="","",ROUND(N(W1541)*N(J1541)*(1-N(K1541)),2))</f>
        <v/>
      </c>
      <c r="AI1541" s="70" t="str">
        <f>IF(OR(J1541="",N(T1541)&lt;=0,V1541="Oui"),"",ROUND(N(T1541)*J1541*(1-N(K1541)),2))</f>
        <v/>
      </c>
    </row>
    <row r="1542">
      <c r="A1542" s="63" t="n"/>
      <c r="B1542" s="64" t="n"/>
      <c r="C1542" s="65" t="n"/>
      <c r="D1542" s="66" t="str">
        <f>IF(C1542="","",IFERROR(INDEX(sup_name,MATCH($C1542,sup_code,0))&amp;"","Fournisseur inconnu"))</f>
        <v/>
      </c>
      <c r="E1542" s="63" t="n"/>
      <c r="F1542" s="66" t="str">
        <f>IF(E1542="","",IFERROR(INDEX(art_des,MATCH($E1542,art_ref,0))&amp;"","Article inconnu"))</f>
        <v/>
      </c>
      <c r="G1542" s="67" t="str">
        <f>IF(E1542="","",IFERROR(INDEX(art_unit,MATCH($E1542,art_ref,0))&amp;"",""))</f>
        <v/>
      </c>
      <c r="H1542" s="68" t="n"/>
      <c r="I1542" s="69" t="n"/>
      <c r="J1542" s="70" t="str">
        <f>IF(E1542="","",IF(ISNUMBER(I1542),I1542,IFERROR(IF(ISNUMBER(INDEX(art_price,MATCH($E1542,art_ref,0))),INDEX(art_price,MATCH($E1542,art_ref,0)),""),"")))</f>
        <v/>
      </c>
      <c r="K1542" s="71" t="n"/>
      <c r="L1542" s="72" t="n"/>
      <c r="M1542" s="72" t="str">
        <f>IF(E1542="","",IF(L1542&lt;&gt;"",L1542,IFERROR(IF(ISNUMBER(INDEX(art_tva,MATCH($E1542,art_ref,0))),INDEX(art_tva,MATCH($E1542,art_ref,0)),""),"")))</f>
        <v/>
      </c>
      <c r="N1542" s="70" t="str">
        <f>IF(OR(E1542="",J1542=""),"",ROUND(N(H1542)*J1542*(1-N(K1542)),2))</f>
        <v/>
      </c>
      <c r="O1542" s="70" t="str">
        <f>IF(OR(N1542="",NOT(ISNUMBER(M1542))),"",ROUND(N1542*M1542,2))</f>
        <v/>
      </c>
      <c r="P1542" s="70" t="str">
        <f>IF(N1542="","",N1542+N(O1542))</f>
        <v/>
      </c>
      <c r="Q1542" s="64" t="n"/>
      <c r="R1542" s="73" t="str">
        <f>IF(N(Q1542)&gt;0,Q1542,IF(OR(N(B1542)=0,ISNA(MATCH($C1542,sup_code,0))),"",IF(ISNUMBER(INDEX(sup_delay,MATCH($C1542,sup_code,0))),B1542+INDEX(sup_delay,MATCH($C1542,sup_code,0)),"")))</f>
        <v/>
      </c>
      <c r="S1542" s="64" t="n"/>
      <c r="T1542" s="68" t="n"/>
      <c r="U1542" s="64" t="n"/>
      <c r="V1542" s="65" t="n"/>
      <c r="W1542" s="74" t="str">
        <f>IF(AND(A1542="",E1542=""),"",IF(V1542="Oui",0,MAX(0,ROUND(N(H1542)-N(T1542),6))))</f>
        <v/>
      </c>
      <c r="X1542" s="67" t="str">
        <f>IF(AND(A1542="",E1542=""),"",IF(V1542="Oui","Annulé",IF(AND(N(H1542)&gt;0,N(T1542)&gt;=N(H1542)),"Reçu",IF(N(S1542)=0,"Brouillon",IF(AND(ISNUMBER(R1542),R1542&lt;p_today),"En retard",IF(N(T1542)&gt;0,"Partiel","Envoyé"))))))</f>
        <v/>
      </c>
      <c r="Y1542" s="75" t="str">
        <f>IF(X1542="En retard",p_today-R1542,IF(AND(X1542="Reçu",ISNUMBER(R1542)),MAX(0,N(U1542)-R1542),""))</f>
        <v/>
      </c>
      <c r="Z1542" s="67" t="str">
        <f>IF(AND(A1542="",E1542=""),"",IF(A1542="","N° de bon manquant",IF(N(B1542)=0,"Date de commande manquante",IF(C1542="","Fournisseur manquant",IF(ISNA(MATCH($C1542,sup_code,0)),"Fournisseur inconnu",IF(E1542="","Article manquant",IF(ISNA(MATCH($E1542,art_ref,0)),"Article inconnu",IF(N(H1542)&lt;=0,"Quantité invalide",IF(J1542="","Prix manquant",IF(OR(N(K1542)&lt;0,N(K1542)&gt;=1),"Remise invalide",IF(M1542="","TVA manquante",IF(ISNA(MATCH(M1542,p_tva,0)),"Taux de TVA inconnu",IF(COUNTIFS(po_num,A1542,po_sup,"&lt;&gt;"&amp;C1542)&gt;0,"Fournisseur différent sur ce bon",IF(COUNTIFS(po_num,A1542,po_date,"&lt;&gt;"&amp;B1542)&gt;0,"Date différente sur ce bon",IF(COUNTIF(po_num,A1542)&gt;25,"Plus de 25 lignes sur ce bon",IF(R1542="","Date de livraison manquante",IF(R1542&lt;B1542,"Livraison avant la commande",IF(AND(N(T1542)&gt;0,N(S1542)=0),"Date d'envoi manquante",IF(N(T1542)&gt;N(H1542),"Reçu plus que commandé",IF(AND(N(T1542)&gt;0,N(U1542)=0),"Date de réception manquante",IF(AND(N(U1542)&gt;0,U1542&lt;B1542),"Réception avant la commande","OK")))))))))))))))))))))</f>
        <v/>
      </c>
      <c r="AA1542" s="66" t="str">
        <f>IF(AND(X1542="Reçu",ISNUMBER(R1542)),IF(N(U1542)&lt;=R1542,1,0),"")</f>
        <v/>
      </c>
      <c r="AB1542" s="76" t="str">
        <f>IF(OR(X1542="Envoyé",X1542="Partiel",X1542="En retard"),IF(ISNUMBER(R1542),R1542,100000)+ROW()/100000,"")</f>
        <v/>
      </c>
      <c r="AC1542" s="66" t="str">
        <f>IF(A1542="","",IF(COUNTIF($A$6:A1542,A1542)=1,1,""))</f>
        <v/>
      </c>
      <c r="AD1542" s="66" t="str">
        <f>IF(AC1542=1,COUNT($AC$6:AC1542),"")</f>
        <v/>
      </c>
      <c r="AE1542" s="66" t="str">
        <f>IFERROR(INDEX(po_num,MATCH(1537,po_seq,0))&amp;"","")</f>
        <v/>
      </c>
      <c r="AF1542" s="66" t="str">
        <f>IF(OR(A1542="",p_po=""),"",IF(A1542&amp;""=p_po,COUNTIF($A$6:A1542,A1542),""))</f>
        <v/>
      </c>
      <c r="AG1542" s="66" t="str">
        <f>IF(OR(AB1542="",A1542=""),"",IF(COUNTIFS($A$6:A1542,A1542,$AB$6:AB1542,"&gt;0")=1,1,""))</f>
        <v/>
      </c>
      <c r="AH1542" s="70" t="str">
        <f>IF(AB1542="","",ROUND(N(W1542)*N(J1542)*(1-N(K1542)),2))</f>
        <v/>
      </c>
      <c r="AI1542" s="70" t="str">
        <f>IF(OR(J1542="",N(T1542)&lt;=0,V1542="Oui"),"",ROUND(N(T1542)*J1542*(1-N(K1542)),2))</f>
        <v/>
      </c>
    </row>
    <row r="1543">
      <c r="A1543" s="63" t="n"/>
      <c r="B1543" s="64" t="n"/>
      <c r="C1543" s="65" t="n"/>
      <c r="D1543" s="66" t="str">
        <f>IF(C1543="","",IFERROR(INDEX(sup_name,MATCH($C1543,sup_code,0))&amp;"","Fournisseur inconnu"))</f>
        <v/>
      </c>
      <c r="E1543" s="63" t="n"/>
      <c r="F1543" s="66" t="str">
        <f>IF(E1543="","",IFERROR(INDEX(art_des,MATCH($E1543,art_ref,0))&amp;"","Article inconnu"))</f>
        <v/>
      </c>
      <c r="G1543" s="67" t="str">
        <f>IF(E1543="","",IFERROR(INDEX(art_unit,MATCH($E1543,art_ref,0))&amp;"",""))</f>
        <v/>
      </c>
      <c r="H1543" s="68" t="n"/>
      <c r="I1543" s="69" t="n"/>
      <c r="J1543" s="70" t="str">
        <f>IF(E1543="","",IF(ISNUMBER(I1543),I1543,IFERROR(IF(ISNUMBER(INDEX(art_price,MATCH($E1543,art_ref,0))),INDEX(art_price,MATCH($E1543,art_ref,0)),""),"")))</f>
        <v/>
      </c>
      <c r="K1543" s="71" t="n"/>
      <c r="L1543" s="72" t="n"/>
      <c r="M1543" s="72" t="str">
        <f>IF(E1543="","",IF(L1543&lt;&gt;"",L1543,IFERROR(IF(ISNUMBER(INDEX(art_tva,MATCH($E1543,art_ref,0))),INDEX(art_tva,MATCH($E1543,art_ref,0)),""),"")))</f>
        <v/>
      </c>
      <c r="N1543" s="70" t="str">
        <f>IF(OR(E1543="",J1543=""),"",ROUND(N(H1543)*J1543*(1-N(K1543)),2))</f>
        <v/>
      </c>
      <c r="O1543" s="70" t="str">
        <f>IF(OR(N1543="",NOT(ISNUMBER(M1543))),"",ROUND(N1543*M1543,2))</f>
        <v/>
      </c>
      <c r="P1543" s="70" t="str">
        <f>IF(N1543="","",N1543+N(O1543))</f>
        <v/>
      </c>
      <c r="Q1543" s="64" t="n"/>
      <c r="R1543" s="73" t="str">
        <f>IF(N(Q1543)&gt;0,Q1543,IF(OR(N(B1543)=0,ISNA(MATCH($C1543,sup_code,0))),"",IF(ISNUMBER(INDEX(sup_delay,MATCH($C1543,sup_code,0))),B1543+INDEX(sup_delay,MATCH($C1543,sup_code,0)),"")))</f>
        <v/>
      </c>
      <c r="S1543" s="64" t="n"/>
      <c r="T1543" s="68" t="n"/>
      <c r="U1543" s="64" t="n"/>
      <c r="V1543" s="65" t="n"/>
      <c r="W1543" s="74" t="str">
        <f>IF(AND(A1543="",E1543=""),"",IF(V1543="Oui",0,MAX(0,ROUND(N(H1543)-N(T1543),6))))</f>
        <v/>
      </c>
      <c r="X1543" s="67" t="str">
        <f>IF(AND(A1543="",E1543=""),"",IF(V1543="Oui","Annulé",IF(AND(N(H1543)&gt;0,N(T1543)&gt;=N(H1543)),"Reçu",IF(N(S1543)=0,"Brouillon",IF(AND(ISNUMBER(R1543),R1543&lt;p_today),"En retard",IF(N(T1543)&gt;0,"Partiel","Envoyé"))))))</f>
        <v/>
      </c>
      <c r="Y1543" s="75" t="str">
        <f>IF(X1543="En retard",p_today-R1543,IF(AND(X1543="Reçu",ISNUMBER(R1543)),MAX(0,N(U1543)-R1543),""))</f>
        <v/>
      </c>
      <c r="Z1543" s="67" t="str">
        <f>IF(AND(A1543="",E1543=""),"",IF(A1543="","N° de bon manquant",IF(N(B1543)=0,"Date de commande manquante",IF(C1543="","Fournisseur manquant",IF(ISNA(MATCH($C1543,sup_code,0)),"Fournisseur inconnu",IF(E1543="","Article manquant",IF(ISNA(MATCH($E1543,art_ref,0)),"Article inconnu",IF(N(H1543)&lt;=0,"Quantité invalide",IF(J1543="","Prix manquant",IF(OR(N(K1543)&lt;0,N(K1543)&gt;=1),"Remise invalide",IF(M1543="","TVA manquante",IF(ISNA(MATCH(M1543,p_tva,0)),"Taux de TVA inconnu",IF(COUNTIFS(po_num,A1543,po_sup,"&lt;&gt;"&amp;C1543)&gt;0,"Fournisseur différent sur ce bon",IF(COUNTIFS(po_num,A1543,po_date,"&lt;&gt;"&amp;B1543)&gt;0,"Date différente sur ce bon",IF(COUNTIF(po_num,A1543)&gt;25,"Plus de 25 lignes sur ce bon",IF(R1543="","Date de livraison manquante",IF(R1543&lt;B1543,"Livraison avant la commande",IF(AND(N(T1543)&gt;0,N(S1543)=0),"Date d'envoi manquante",IF(N(T1543)&gt;N(H1543),"Reçu plus que commandé",IF(AND(N(T1543)&gt;0,N(U1543)=0),"Date de réception manquante",IF(AND(N(U1543)&gt;0,U1543&lt;B1543),"Réception avant la commande","OK")))))))))))))))))))))</f>
        <v/>
      </c>
      <c r="AA1543" s="66" t="str">
        <f>IF(AND(X1543="Reçu",ISNUMBER(R1543)),IF(N(U1543)&lt;=R1543,1,0),"")</f>
        <v/>
      </c>
      <c r="AB1543" s="76" t="str">
        <f>IF(OR(X1543="Envoyé",X1543="Partiel",X1543="En retard"),IF(ISNUMBER(R1543),R1543,100000)+ROW()/100000,"")</f>
        <v/>
      </c>
      <c r="AC1543" s="66" t="str">
        <f>IF(A1543="","",IF(COUNTIF($A$6:A1543,A1543)=1,1,""))</f>
        <v/>
      </c>
      <c r="AD1543" s="66" t="str">
        <f>IF(AC1543=1,COUNT($AC$6:AC1543),"")</f>
        <v/>
      </c>
      <c r="AE1543" s="66" t="str">
        <f>IFERROR(INDEX(po_num,MATCH(1538,po_seq,0))&amp;"","")</f>
        <v/>
      </c>
      <c r="AF1543" s="66" t="str">
        <f>IF(OR(A1543="",p_po=""),"",IF(A1543&amp;""=p_po,COUNTIF($A$6:A1543,A1543),""))</f>
        <v/>
      </c>
      <c r="AG1543" s="66" t="str">
        <f>IF(OR(AB1543="",A1543=""),"",IF(COUNTIFS($A$6:A1543,A1543,$AB$6:AB1543,"&gt;0")=1,1,""))</f>
        <v/>
      </c>
      <c r="AH1543" s="70" t="str">
        <f>IF(AB1543="","",ROUND(N(W1543)*N(J1543)*(1-N(K1543)),2))</f>
        <v/>
      </c>
      <c r="AI1543" s="70" t="str">
        <f>IF(OR(J1543="",N(T1543)&lt;=0,V1543="Oui"),"",ROUND(N(T1543)*J1543*(1-N(K1543)),2))</f>
        <v/>
      </c>
    </row>
    <row r="1544">
      <c r="A1544" s="63" t="n"/>
      <c r="B1544" s="64" t="n"/>
      <c r="C1544" s="65" t="n"/>
      <c r="D1544" s="66" t="str">
        <f>IF(C1544="","",IFERROR(INDEX(sup_name,MATCH($C1544,sup_code,0))&amp;"","Fournisseur inconnu"))</f>
        <v/>
      </c>
      <c r="E1544" s="63" t="n"/>
      <c r="F1544" s="66" t="str">
        <f>IF(E1544="","",IFERROR(INDEX(art_des,MATCH($E1544,art_ref,0))&amp;"","Article inconnu"))</f>
        <v/>
      </c>
      <c r="G1544" s="67" t="str">
        <f>IF(E1544="","",IFERROR(INDEX(art_unit,MATCH($E1544,art_ref,0))&amp;"",""))</f>
        <v/>
      </c>
      <c r="H1544" s="68" t="n"/>
      <c r="I1544" s="69" t="n"/>
      <c r="J1544" s="70" t="str">
        <f>IF(E1544="","",IF(ISNUMBER(I1544),I1544,IFERROR(IF(ISNUMBER(INDEX(art_price,MATCH($E1544,art_ref,0))),INDEX(art_price,MATCH($E1544,art_ref,0)),""),"")))</f>
        <v/>
      </c>
      <c r="K1544" s="71" t="n"/>
      <c r="L1544" s="72" t="n"/>
      <c r="M1544" s="72" t="str">
        <f>IF(E1544="","",IF(L1544&lt;&gt;"",L1544,IFERROR(IF(ISNUMBER(INDEX(art_tva,MATCH($E1544,art_ref,0))),INDEX(art_tva,MATCH($E1544,art_ref,0)),""),"")))</f>
        <v/>
      </c>
      <c r="N1544" s="70" t="str">
        <f>IF(OR(E1544="",J1544=""),"",ROUND(N(H1544)*J1544*(1-N(K1544)),2))</f>
        <v/>
      </c>
      <c r="O1544" s="70" t="str">
        <f>IF(OR(N1544="",NOT(ISNUMBER(M1544))),"",ROUND(N1544*M1544,2))</f>
        <v/>
      </c>
      <c r="P1544" s="70" t="str">
        <f>IF(N1544="","",N1544+N(O1544))</f>
        <v/>
      </c>
      <c r="Q1544" s="64" t="n"/>
      <c r="R1544" s="73" t="str">
        <f>IF(N(Q1544)&gt;0,Q1544,IF(OR(N(B1544)=0,ISNA(MATCH($C1544,sup_code,0))),"",IF(ISNUMBER(INDEX(sup_delay,MATCH($C1544,sup_code,0))),B1544+INDEX(sup_delay,MATCH($C1544,sup_code,0)),"")))</f>
        <v/>
      </c>
      <c r="S1544" s="64" t="n"/>
      <c r="T1544" s="68" t="n"/>
      <c r="U1544" s="64" t="n"/>
      <c r="V1544" s="65" t="n"/>
      <c r="W1544" s="74" t="str">
        <f>IF(AND(A1544="",E1544=""),"",IF(V1544="Oui",0,MAX(0,ROUND(N(H1544)-N(T1544),6))))</f>
        <v/>
      </c>
      <c r="X1544" s="67" t="str">
        <f>IF(AND(A1544="",E1544=""),"",IF(V1544="Oui","Annulé",IF(AND(N(H1544)&gt;0,N(T1544)&gt;=N(H1544)),"Reçu",IF(N(S1544)=0,"Brouillon",IF(AND(ISNUMBER(R1544),R1544&lt;p_today),"En retard",IF(N(T1544)&gt;0,"Partiel","Envoyé"))))))</f>
        <v/>
      </c>
      <c r="Y1544" s="75" t="str">
        <f>IF(X1544="En retard",p_today-R1544,IF(AND(X1544="Reçu",ISNUMBER(R1544)),MAX(0,N(U1544)-R1544),""))</f>
        <v/>
      </c>
      <c r="Z1544" s="67" t="str">
        <f>IF(AND(A1544="",E1544=""),"",IF(A1544="","N° de bon manquant",IF(N(B1544)=0,"Date de commande manquante",IF(C1544="","Fournisseur manquant",IF(ISNA(MATCH($C1544,sup_code,0)),"Fournisseur inconnu",IF(E1544="","Article manquant",IF(ISNA(MATCH($E1544,art_ref,0)),"Article inconnu",IF(N(H1544)&lt;=0,"Quantité invalide",IF(J1544="","Prix manquant",IF(OR(N(K1544)&lt;0,N(K1544)&gt;=1),"Remise invalide",IF(M1544="","TVA manquante",IF(ISNA(MATCH(M1544,p_tva,0)),"Taux de TVA inconnu",IF(COUNTIFS(po_num,A1544,po_sup,"&lt;&gt;"&amp;C1544)&gt;0,"Fournisseur différent sur ce bon",IF(COUNTIFS(po_num,A1544,po_date,"&lt;&gt;"&amp;B1544)&gt;0,"Date différente sur ce bon",IF(COUNTIF(po_num,A1544)&gt;25,"Plus de 25 lignes sur ce bon",IF(R1544="","Date de livraison manquante",IF(R1544&lt;B1544,"Livraison avant la commande",IF(AND(N(T1544)&gt;0,N(S1544)=0),"Date d'envoi manquante",IF(N(T1544)&gt;N(H1544),"Reçu plus que commandé",IF(AND(N(T1544)&gt;0,N(U1544)=0),"Date de réception manquante",IF(AND(N(U1544)&gt;0,U1544&lt;B1544),"Réception avant la commande","OK")))))))))))))))))))))</f>
        <v/>
      </c>
      <c r="AA1544" s="66" t="str">
        <f>IF(AND(X1544="Reçu",ISNUMBER(R1544)),IF(N(U1544)&lt;=R1544,1,0),"")</f>
        <v/>
      </c>
      <c r="AB1544" s="76" t="str">
        <f>IF(OR(X1544="Envoyé",X1544="Partiel",X1544="En retard"),IF(ISNUMBER(R1544),R1544,100000)+ROW()/100000,"")</f>
        <v/>
      </c>
      <c r="AC1544" s="66" t="str">
        <f>IF(A1544="","",IF(COUNTIF($A$6:A1544,A1544)=1,1,""))</f>
        <v/>
      </c>
      <c r="AD1544" s="66" t="str">
        <f>IF(AC1544=1,COUNT($AC$6:AC1544),"")</f>
        <v/>
      </c>
      <c r="AE1544" s="66" t="str">
        <f>IFERROR(INDEX(po_num,MATCH(1539,po_seq,0))&amp;"","")</f>
        <v/>
      </c>
      <c r="AF1544" s="66" t="str">
        <f>IF(OR(A1544="",p_po=""),"",IF(A1544&amp;""=p_po,COUNTIF($A$6:A1544,A1544),""))</f>
        <v/>
      </c>
      <c r="AG1544" s="66" t="str">
        <f>IF(OR(AB1544="",A1544=""),"",IF(COUNTIFS($A$6:A1544,A1544,$AB$6:AB1544,"&gt;0")=1,1,""))</f>
        <v/>
      </c>
      <c r="AH1544" s="70" t="str">
        <f>IF(AB1544="","",ROUND(N(W1544)*N(J1544)*(1-N(K1544)),2))</f>
        <v/>
      </c>
      <c r="AI1544" s="70" t="str">
        <f>IF(OR(J1544="",N(T1544)&lt;=0,V1544="Oui"),"",ROUND(N(T1544)*J1544*(1-N(K1544)),2))</f>
        <v/>
      </c>
    </row>
    <row r="1545">
      <c r="A1545" s="63" t="n"/>
      <c r="B1545" s="64" t="n"/>
      <c r="C1545" s="65" t="n"/>
      <c r="D1545" s="66" t="str">
        <f>IF(C1545="","",IFERROR(INDEX(sup_name,MATCH($C1545,sup_code,0))&amp;"","Fournisseur inconnu"))</f>
        <v/>
      </c>
      <c r="E1545" s="63" t="n"/>
      <c r="F1545" s="66" t="str">
        <f>IF(E1545="","",IFERROR(INDEX(art_des,MATCH($E1545,art_ref,0))&amp;"","Article inconnu"))</f>
        <v/>
      </c>
      <c r="G1545" s="67" t="str">
        <f>IF(E1545="","",IFERROR(INDEX(art_unit,MATCH($E1545,art_ref,0))&amp;"",""))</f>
        <v/>
      </c>
      <c r="H1545" s="68" t="n"/>
      <c r="I1545" s="69" t="n"/>
      <c r="J1545" s="70" t="str">
        <f>IF(E1545="","",IF(ISNUMBER(I1545),I1545,IFERROR(IF(ISNUMBER(INDEX(art_price,MATCH($E1545,art_ref,0))),INDEX(art_price,MATCH($E1545,art_ref,0)),""),"")))</f>
        <v/>
      </c>
      <c r="K1545" s="71" t="n"/>
      <c r="L1545" s="72" t="n"/>
      <c r="M1545" s="72" t="str">
        <f>IF(E1545="","",IF(L1545&lt;&gt;"",L1545,IFERROR(IF(ISNUMBER(INDEX(art_tva,MATCH($E1545,art_ref,0))),INDEX(art_tva,MATCH($E1545,art_ref,0)),""),"")))</f>
        <v/>
      </c>
      <c r="N1545" s="70" t="str">
        <f>IF(OR(E1545="",J1545=""),"",ROUND(N(H1545)*J1545*(1-N(K1545)),2))</f>
        <v/>
      </c>
      <c r="O1545" s="70" t="str">
        <f>IF(OR(N1545="",NOT(ISNUMBER(M1545))),"",ROUND(N1545*M1545,2))</f>
        <v/>
      </c>
      <c r="P1545" s="70" t="str">
        <f>IF(N1545="","",N1545+N(O1545))</f>
        <v/>
      </c>
      <c r="Q1545" s="64" t="n"/>
      <c r="R1545" s="73" t="str">
        <f>IF(N(Q1545)&gt;0,Q1545,IF(OR(N(B1545)=0,ISNA(MATCH($C1545,sup_code,0))),"",IF(ISNUMBER(INDEX(sup_delay,MATCH($C1545,sup_code,0))),B1545+INDEX(sup_delay,MATCH($C1545,sup_code,0)),"")))</f>
        <v/>
      </c>
      <c r="S1545" s="64" t="n"/>
      <c r="T1545" s="68" t="n"/>
      <c r="U1545" s="64" t="n"/>
      <c r="V1545" s="65" t="n"/>
      <c r="W1545" s="74" t="str">
        <f>IF(AND(A1545="",E1545=""),"",IF(V1545="Oui",0,MAX(0,ROUND(N(H1545)-N(T1545),6))))</f>
        <v/>
      </c>
      <c r="X1545" s="67" t="str">
        <f>IF(AND(A1545="",E1545=""),"",IF(V1545="Oui","Annulé",IF(AND(N(H1545)&gt;0,N(T1545)&gt;=N(H1545)),"Reçu",IF(N(S1545)=0,"Brouillon",IF(AND(ISNUMBER(R1545),R1545&lt;p_today),"En retard",IF(N(T1545)&gt;0,"Partiel","Envoyé"))))))</f>
        <v/>
      </c>
      <c r="Y1545" s="75" t="str">
        <f>IF(X1545="En retard",p_today-R1545,IF(AND(X1545="Reçu",ISNUMBER(R1545)),MAX(0,N(U1545)-R1545),""))</f>
        <v/>
      </c>
      <c r="Z1545" s="67" t="str">
        <f>IF(AND(A1545="",E1545=""),"",IF(A1545="","N° de bon manquant",IF(N(B1545)=0,"Date de commande manquante",IF(C1545="","Fournisseur manquant",IF(ISNA(MATCH($C1545,sup_code,0)),"Fournisseur inconnu",IF(E1545="","Article manquant",IF(ISNA(MATCH($E1545,art_ref,0)),"Article inconnu",IF(N(H1545)&lt;=0,"Quantité invalide",IF(J1545="","Prix manquant",IF(OR(N(K1545)&lt;0,N(K1545)&gt;=1),"Remise invalide",IF(M1545="","TVA manquante",IF(ISNA(MATCH(M1545,p_tva,0)),"Taux de TVA inconnu",IF(COUNTIFS(po_num,A1545,po_sup,"&lt;&gt;"&amp;C1545)&gt;0,"Fournisseur différent sur ce bon",IF(COUNTIFS(po_num,A1545,po_date,"&lt;&gt;"&amp;B1545)&gt;0,"Date différente sur ce bon",IF(COUNTIF(po_num,A1545)&gt;25,"Plus de 25 lignes sur ce bon",IF(R1545="","Date de livraison manquante",IF(R1545&lt;B1545,"Livraison avant la commande",IF(AND(N(T1545)&gt;0,N(S1545)=0),"Date d'envoi manquante",IF(N(T1545)&gt;N(H1545),"Reçu plus que commandé",IF(AND(N(T1545)&gt;0,N(U1545)=0),"Date de réception manquante",IF(AND(N(U1545)&gt;0,U1545&lt;B1545),"Réception avant la commande","OK")))))))))))))))))))))</f>
        <v/>
      </c>
      <c r="AA1545" s="66" t="str">
        <f>IF(AND(X1545="Reçu",ISNUMBER(R1545)),IF(N(U1545)&lt;=R1545,1,0),"")</f>
        <v/>
      </c>
      <c r="AB1545" s="76" t="str">
        <f>IF(OR(X1545="Envoyé",X1545="Partiel",X1545="En retard"),IF(ISNUMBER(R1545),R1545,100000)+ROW()/100000,"")</f>
        <v/>
      </c>
      <c r="AC1545" s="66" t="str">
        <f>IF(A1545="","",IF(COUNTIF($A$6:A1545,A1545)=1,1,""))</f>
        <v/>
      </c>
      <c r="AD1545" s="66" t="str">
        <f>IF(AC1545=1,COUNT($AC$6:AC1545),"")</f>
        <v/>
      </c>
      <c r="AE1545" s="66" t="str">
        <f>IFERROR(INDEX(po_num,MATCH(1540,po_seq,0))&amp;"","")</f>
        <v/>
      </c>
      <c r="AF1545" s="66" t="str">
        <f>IF(OR(A1545="",p_po=""),"",IF(A1545&amp;""=p_po,COUNTIF($A$6:A1545,A1545),""))</f>
        <v/>
      </c>
      <c r="AG1545" s="66" t="str">
        <f>IF(OR(AB1545="",A1545=""),"",IF(COUNTIFS($A$6:A1545,A1545,$AB$6:AB1545,"&gt;0")=1,1,""))</f>
        <v/>
      </c>
      <c r="AH1545" s="70" t="str">
        <f>IF(AB1545="","",ROUND(N(W1545)*N(J1545)*(1-N(K1545)),2))</f>
        <v/>
      </c>
      <c r="AI1545" s="70" t="str">
        <f>IF(OR(J1545="",N(T1545)&lt;=0,V1545="Oui"),"",ROUND(N(T1545)*J1545*(1-N(K1545)),2))</f>
        <v/>
      </c>
    </row>
    <row r="1546">
      <c r="A1546" s="63" t="n"/>
      <c r="B1546" s="64" t="n"/>
      <c r="C1546" s="65" t="n"/>
      <c r="D1546" s="66" t="str">
        <f>IF(C1546="","",IFERROR(INDEX(sup_name,MATCH($C1546,sup_code,0))&amp;"","Fournisseur inconnu"))</f>
        <v/>
      </c>
      <c r="E1546" s="63" t="n"/>
      <c r="F1546" s="66" t="str">
        <f>IF(E1546="","",IFERROR(INDEX(art_des,MATCH($E1546,art_ref,0))&amp;"","Article inconnu"))</f>
        <v/>
      </c>
      <c r="G1546" s="67" t="str">
        <f>IF(E1546="","",IFERROR(INDEX(art_unit,MATCH($E1546,art_ref,0))&amp;"",""))</f>
        <v/>
      </c>
      <c r="H1546" s="68" t="n"/>
      <c r="I1546" s="69" t="n"/>
      <c r="J1546" s="70" t="str">
        <f>IF(E1546="","",IF(ISNUMBER(I1546),I1546,IFERROR(IF(ISNUMBER(INDEX(art_price,MATCH($E1546,art_ref,0))),INDEX(art_price,MATCH($E1546,art_ref,0)),""),"")))</f>
        <v/>
      </c>
      <c r="K1546" s="71" t="n"/>
      <c r="L1546" s="72" t="n"/>
      <c r="M1546" s="72" t="str">
        <f>IF(E1546="","",IF(L1546&lt;&gt;"",L1546,IFERROR(IF(ISNUMBER(INDEX(art_tva,MATCH($E1546,art_ref,0))),INDEX(art_tva,MATCH($E1546,art_ref,0)),""),"")))</f>
        <v/>
      </c>
      <c r="N1546" s="70" t="str">
        <f>IF(OR(E1546="",J1546=""),"",ROUND(N(H1546)*J1546*(1-N(K1546)),2))</f>
        <v/>
      </c>
      <c r="O1546" s="70" t="str">
        <f>IF(OR(N1546="",NOT(ISNUMBER(M1546))),"",ROUND(N1546*M1546,2))</f>
        <v/>
      </c>
      <c r="P1546" s="70" t="str">
        <f>IF(N1546="","",N1546+N(O1546))</f>
        <v/>
      </c>
      <c r="Q1546" s="64" t="n"/>
      <c r="R1546" s="73" t="str">
        <f>IF(N(Q1546)&gt;0,Q1546,IF(OR(N(B1546)=0,ISNA(MATCH($C1546,sup_code,0))),"",IF(ISNUMBER(INDEX(sup_delay,MATCH($C1546,sup_code,0))),B1546+INDEX(sup_delay,MATCH($C1546,sup_code,0)),"")))</f>
        <v/>
      </c>
      <c r="S1546" s="64" t="n"/>
      <c r="T1546" s="68" t="n"/>
      <c r="U1546" s="64" t="n"/>
      <c r="V1546" s="65" t="n"/>
      <c r="W1546" s="74" t="str">
        <f>IF(AND(A1546="",E1546=""),"",IF(V1546="Oui",0,MAX(0,ROUND(N(H1546)-N(T1546),6))))</f>
        <v/>
      </c>
      <c r="X1546" s="67" t="str">
        <f>IF(AND(A1546="",E1546=""),"",IF(V1546="Oui","Annulé",IF(AND(N(H1546)&gt;0,N(T1546)&gt;=N(H1546)),"Reçu",IF(N(S1546)=0,"Brouillon",IF(AND(ISNUMBER(R1546),R1546&lt;p_today),"En retard",IF(N(T1546)&gt;0,"Partiel","Envoyé"))))))</f>
        <v/>
      </c>
      <c r="Y1546" s="75" t="str">
        <f>IF(X1546="En retard",p_today-R1546,IF(AND(X1546="Reçu",ISNUMBER(R1546)),MAX(0,N(U1546)-R1546),""))</f>
        <v/>
      </c>
      <c r="Z1546" s="67" t="str">
        <f>IF(AND(A1546="",E1546=""),"",IF(A1546="","N° de bon manquant",IF(N(B1546)=0,"Date de commande manquante",IF(C1546="","Fournisseur manquant",IF(ISNA(MATCH($C1546,sup_code,0)),"Fournisseur inconnu",IF(E1546="","Article manquant",IF(ISNA(MATCH($E1546,art_ref,0)),"Article inconnu",IF(N(H1546)&lt;=0,"Quantité invalide",IF(J1546="","Prix manquant",IF(OR(N(K1546)&lt;0,N(K1546)&gt;=1),"Remise invalide",IF(M1546="","TVA manquante",IF(ISNA(MATCH(M1546,p_tva,0)),"Taux de TVA inconnu",IF(COUNTIFS(po_num,A1546,po_sup,"&lt;&gt;"&amp;C1546)&gt;0,"Fournisseur différent sur ce bon",IF(COUNTIFS(po_num,A1546,po_date,"&lt;&gt;"&amp;B1546)&gt;0,"Date différente sur ce bon",IF(COUNTIF(po_num,A1546)&gt;25,"Plus de 25 lignes sur ce bon",IF(R1546="","Date de livraison manquante",IF(R1546&lt;B1546,"Livraison avant la commande",IF(AND(N(T1546)&gt;0,N(S1546)=0),"Date d'envoi manquante",IF(N(T1546)&gt;N(H1546),"Reçu plus que commandé",IF(AND(N(T1546)&gt;0,N(U1546)=0),"Date de réception manquante",IF(AND(N(U1546)&gt;0,U1546&lt;B1546),"Réception avant la commande","OK")))))))))))))))))))))</f>
        <v/>
      </c>
      <c r="AA1546" s="66" t="str">
        <f>IF(AND(X1546="Reçu",ISNUMBER(R1546)),IF(N(U1546)&lt;=R1546,1,0),"")</f>
        <v/>
      </c>
      <c r="AB1546" s="76" t="str">
        <f>IF(OR(X1546="Envoyé",X1546="Partiel",X1546="En retard"),IF(ISNUMBER(R1546),R1546,100000)+ROW()/100000,"")</f>
        <v/>
      </c>
      <c r="AC1546" s="66" t="str">
        <f>IF(A1546="","",IF(COUNTIF($A$6:A1546,A1546)=1,1,""))</f>
        <v/>
      </c>
      <c r="AD1546" s="66" t="str">
        <f>IF(AC1546=1,COUNT($AC$6:AC1546),"")</f>
        <v/>
      </c>
      <c r="AE1546" s="66" t="str">
        <f>IFERROR(INDEX(po_num,MATCH(1541,po_seq,0))&amp;"","")</f>
        <v/>
      </c>
      <c r="AF1546" s="66" t="str">
        <f>IF(OR(A1546="",p_po=""),"",IF(A1546&amp;""=p_po,COUNTIF($A$6:A1546,A1546),""))</f>
        <v/>
      </c>
      <c r="AG1546" s="66" t="str">
        <f>IF(OR(AB1546="",A1546=""),"",IF(COUNTIFS($A$6:A1546,A1546,$AB$6:AB1546,"&gt;0")=1,1,""))</f>
        <v/>
      </c>
      <c r="AH1546" s="70" t="str">
        <f>IF(AB1546="","",ROUND(N(W1546)*N(J1546)*(1-N(K1546)),2))</f>
        <v/>
      </c>
      <c r="AI1546" s="70" t="str">
        <f>IF(OR(J1546="",N(T1546)&lt;=0,V1546="Oui"),"",ROUND(N(T1546)*J1546*(1-N(K1546)),2))</f>
        <v/>
      </c>
    </row>
    <row r="1547">
      <c r="A1547" s="63" t="n"/>
      <c r="B1547" s="64" t="n"/>
      <c r="C1547" s="65" t="n"/>
      <c r="D1547" s="66" t="str">
        <f>IF(C1547="","",IFERROR(INDEX(sup_name,MATCH($C1547,sup_code,0))&amp;"","Fournisseur inconnu"))</f>
        <v/>
      </c>
      <c r="E1547" s="63" t="n"/>
      <c r="F1547" s="66" t="str">
        <f>IF(E1547="","",IFERROR(INDEX(art_des,MATCH($E1547,art_ref,0))&amp;"","Article inconnu"))</f>
        <v/>
      </c>
      <c r="G1547" s="67" t="str">
        <f>IF(E1547="","",IFERROR(INDEX(art_unit,MATCH($E1547,art_ref,0))&amp;"",""))</f>
        <v/>
      </c>
      <c r="H1547" s="68" t="n"/>
      <c r="I1547" s="69" t="n"/>
      <c r="J1547" s="70" t="str">
        <f>IF(E1547="","",IF(ISNUMBER(I1547),I1547,IFERROR(IF(ISNUMBER(INDEX(art_price,MATCH($E1547,art_ref,0))),INDEX(art_price,MATCH($E1547,art_ref,0)),""),"")))</f>
        <v/>
      </c>
      <c r="K1547" s="71" t="n"/>
      <c r="L1547" s="72" t="n"/>
      <c r="M1547" s="72" t="str">
        <f>IF(E1547="","",IF(L1547&lt;&gt;"",L1547,IFERROR(IF(ISNUMBER(INDEX(art_tva,MATCH($E1547,art_ref,0))),INDEX(art_tva,MATCH($E1547,art_ref,0)),""),"")))</f>
        <v/>
      </c>
      <c r="N1547" s="70" t="str">
        <f>IF(OR(E1547="",J1547=""),"",ROUND(N(H1547)*J1547*(1-N(K1547)),2))</f>
        <v/>
      </c>
      <c r="O1547" s="70" t="str">
        <f>IF(OR(N1547="",NOT(ISNUMBER(M1547))),"",ROUND(N1547*M1547,2))</f>
        <v/>
      </c>
      <c r="P1547" s="70" t="str">
        <f>IF(N1547="","",N1547+N(O1547))</f>
        <v/>
      </c>
      <c r="Q1547" s="64" t="n"/>
      <c r="R1547" s="73" t="str">
        <f>IF(N(Q1547)&gt;0,Q1547,IF(OR(N(B1547)=0,ISNA(MATCH($C1547,sup_code,0))),"",IF(ISNUMBER(INDEX(sup_delay,MATCH($C1547,sup_code,0))),B1547+INDEX(sup_delay,MATCH($C1547,sup_code,0)),"")))</f>
        <v/>
      </c>
      <c r="S1547" s="64" t="n"/>
      <c r="T1547" s="68" t="n"/>
      <c r="U1547" s="64" t="n"/>
      <c r="V1547" s="65" t="n"/>
      <c r="W1547" s="74" t="str">
        <f>IF(AND(A1547="",E1547=""),"",IF(V1547="Oui",0,MAX(0,ROUND(N(H1547)-N(T1547),6))))</f>
        <v/>
      </c>
      <c r="X1547" s="67" t="str">
        <f>IF(AND(A1547="",E1547=""),"",IF(V1547="Oui","Annulé",IF(AND(N(H1547)&gt;0,N(T1547)&gt;=N(H1547)),"Reçu",IF(N(S1547)=0,"Brouillon",IF(AND(ISNUMBER(R1547),R1547&lt;p_today),"En retard",IF(N(T1547)&gt;0,"Partiel","Envoyé"))))))</f>
        <v/>
      </c>
      <c r="Y1547" s="75" t="str">
        <f>IF(X1547="En retard",p_today-R1547,IF(AND(X1547="Reçu",ISNUMBER(R1547)),MAX(0,N(U1547)-R1547),""))</f>
        <v/>
      </c>
      <c r="Z1547" s="67" t="str">
        <f>IF(AND(A1547="",E1547=""),"",IF(A1547="","N° de bon manquant",IF(N(B1547)=0,"Date de commande manquante",IF(C1547="","Fournisseur manquant",IF(ISNA(MATCH($C1547,sup_code,0)),"Fournisseur inconnu",IF(E1547="","Article manquant",IF(ISNA(MATCH($E1547,art_ref,0)),"Article inconnu",IF(N(H1547)&lt;=0,"Quantité invalide",IF(J1547="","Prix manquant",IF(OR(N(K1547)&lt;0,N(K1547)&gt;=1),"Remise invalide",IF(M1547="","TVA manquante",IF(ISNA(MATCH(M1547,p_tva,0)),"Taux de TVA inconnu",IF(COUNTIFS(po_num,A1547,po_sup,"&lt;&gt;"&amp;C1547)&gt;0,"Fournisseur différent sur ce bon",IF(COUNTIFS(po_num,A1547,po_date,"&lt;&gt;"&amp;B1547)&gt;0,"Date différente sur ce bon",IF(COUNTIF(po_num,A1547)&gt;25,"Plus de 25 lignes sur ce bon",IF(R1547="","Date de livraison manquante",IF(R1547&lt;B1547,"Livraison avant la commande",IF(AND(N(T1547)&gt;0,N(S1547)=0),"Date d'envoi manquante",IF(N(T1547)&gt;N(H1547),"Reçu plus que commandé",IF(AND(N(T1547)&gt;0,N(U1547)=0),"Date de réception manquante",IF(AND(N(U1547)&gt;0,U1547&lt;B1547),"Réception avant la commande","OK")))))))))))))))))))))</f>
        <v/>
      </c>
      <c r="AA1547" s="66" t="str">
        <f>IF(AND(X1547="Reçu",ISNUMBER(R1547)),IF(N(U1547)&lt;=R1547,1,0),"")</f>
        <v/>
      </c>
      <c r="AB1547" s="76" t="str">
        <f>IF(OR(X1547="Envoyé",X1547="Partiel",X1547="En retard"),IF(ISNUMBER(R1547),R1547,100000)+ROW()/100000,"")</f>
        <v/>
      </c>
      <c r="AC1547" s="66" t="str">
        <f>IF(A1547="","",IF(COUNTIF($A$6:A1547,A1547)=1,1,""))</f>
        <v/>
      </c>
      <c r="AD1547" s="66" t="str">
        <f>IF(AC1547=1,COUNT($AC$6:AC1547),"")</f>
        <v/>
      </c>
      <c r="AE1547" s="66" t="str">
        <f>IFERROR(INDEX(po_num,MATCH(1542,po_seq,0))&amp;"","")</f>
        <v/>
      </c>
      <c r="AF1547" s="66" t="str">
        <f>IF(OR(A1547="",p_po=""),"",IF(A1547&amp;""=p_po,COUNTIF($A$6:A1547,A1547),""))</f>
        <v/>
      </c>
      <c r="AG1547" s="66" t="str">
        <f>IF(OR(AB1547="",A1547=""),"",IF(COUNTIFS($A$6:A1547,A1547,$AB$6:AB1547,"&gt;0")=1,1,""))</f>
        <v/>
      </c>
      <c r="AH1547" s="70" t="str">
        <f>IF(AB1547="","",ROUND(N(W1547)*N(J1547)*(1-N(K1547)),2))</f>
        <v/>
      </c>
      <c r="AI1547" s="70" t="str">
        <f>IF(OR(J1547="",N(T1547)&lt;=0,V1547="Oui"),"",ROUND(N(T1547)*J1547*(1-N(K1547)),2))</f>
        <v/>
      </c>
    </row>
    <row r="1548">
      <c r="A1548" s="63" t="n"/>
      <c r="B1548" s="64" t="n"/>
      <c r="C1548" s="65" t="n"/>
      <c r="D1548" s="66" t="str">
        <f>IF(C1548="","",IFERROR(INDEX(sup_name,MATCH($C1548,sup_code,0))&amp;"","Fournisseur inconnu"))</f>
        <v/>
      </c>
      <c r="E1548" s="63" t="n"/>
      <c r="F1548" s="66" t="str">
        <f>IF(E1548="","",IFERROR(INDEX(art_des,MATCH($E1548,art_ref,0))&amp;"","Article inconnu"))</f>
        <v/>
      </c>
      <c r="G1548" s="67" t="str">
        <f>IF(E1548="","",IFERROR(INDEX(art_unit,MATCH($E1548,art_ref,0))&amp;"",""))</f>
        <v/>
      </c>
      <c r="H1548" s="68" t="n"/>
      <c r="I1548" s="69" t="n"/>
      <c r="J1548" s="70" t="str">
        <f>IF(E1548="","",IF(ISNUMBER(I1548),I1548,IFERROR(IF(ISNUMBER(INDEX(art_price,MATCH($E1548,art_ref,0))),INDEX(art_price,MATCH($E1548,art_ref,0)),""),"")))</f>
        <v/>
      </c>
      <c r="K1548" s="71" t="n"/>
      <c r="L1548" s="72" t="n"/>
      <c r="M1548" s="72" t="str">
        <f>IF(E1548="","",IF(L1548&lt;&gt;"",L1548,IFERROR(IF(ISNUMBER(INDEX(art_tva,MATCH($E1548,art_ref,0))),INDEX(art_tva,MATCH($E1548,art_ref,0)),""),"")))</f>
        <v/>
      </c>
      <c r="N1548" s="70" t="str">
        <f>IF(OR(E1548="",J1548=""),"",ROUND(N(H1548)*J1548*(1-N(K1548)),2))</f>
        <v/>
      </c>
      <c r="O1548" s="70" t="str">
        <f>IF(OR(N1548="",NOT(ISNUMBER(M1548))),"",ROUND(N1548*M1548,2))</f>
        <v/>
      </c>
      <c r="P1548" s="70" t="str">
        <f>IF(N1548="","",N1548+N(O1548))</f>
        <v/>
      </c>
      <c r="Q1548" s="64" t="n"/>
      <c r="R1548" s="73" t="str">
        <f>IF(N(Q1548)&gt;0,Q1548,IF(OR(N(B1548)=0,ISNA(MATCH($C1548,sup_code,0))),"",IF(ISNUMBER(INDEX(sup_delay,MATCH($C1548,sup_code,0))),B1548+INDEX(sup_delay,MATCH($C1548,sup_code,0)),"")))</f>
        <v/>
      </c>
      <c r="S1548" s="64" t="n"/>
      <c r="T1548" s="68" t="n"/>
      <c r="U1548" s="64" t="n"/>
      <c r="V1548" s="65" t="n"/>
      <c r="W1548" s="74" t="str">
        <f>IF(AND(A1548="",E1548=""),"",IF(V1548="Oui",0,MAX(0,ROUND(N(H1548)-N(T1548),6))))</f>
        <v/>
      </c>
      <c r="X1548" s="67" t="str">
        <f>IF(AND(A1548="",E1548=""),"",IF(V1548="Oui","Annulé",IF(AND(N(H1548)&gt;0,N(T1548)&gt;=N(H1548)),"Reçu",IF(N(S1548)=0,"Brouillon",IF(AND(ISNUMBER(R1548),R1548&lt;p_today),"En retard",IF(N(T1548)&gt;0,"Partiel","Envoyé"))))))</f>
        <v/>
      </c>
      <c r="Y1548" s="75" t="str">
        <f>IF(X1548="En retard",p_today-R1548,IF(AND(X1548="Reçu",ISNUMBER(R1548)),MAX(0,N(U1548)-R1548),""))</f>
        <v/>
      </c>
      <c r="Z1548" s="67" t="str">
        <f>IF(AND(A1548="",E1548=""),"",IF(A1548="","N° de bon manquant",IF(N(B1548)=0,"Date de commande manquante",IF(C1548="","Fournisseur manquant",IF(ISNA(MATCH($C1548,sup_code,0)),"Fournisseur inconnu",IF(E1548="","Article manquant",IF(ISNA(MATCH($E1548,art_ref,0)),"Article inconnu",IF(N(H1548)&lt;=0,"Quantité invalide",IF(J1548="","Prix manquant",IF(OR(N(K1548)&lt;0,N(K1548)&gt;=1),"Remise invalide",IF(M1548="","TVA manquante",IF(ISNA(MATCH(M1548,p_tva,0)),"Taux de TVA inconnu",IF(COUNTIFS(po_num,A1548,po_sup,"&lt;&gt;"&amp;C1548)&gt;0,"Fournisseur différent sur ce bon",IF(COUNTIFS(po_num,A1548,po_date,"&lt;&gt;"&amp;B1548)&gt;0,"Date différente sur ce bon",IF(COUNTIF(po_num,A1548)&gt;25,"Plus de 25 lignes sur ce bon",IF(R1548="","Date de livraison manquante",IF(R1548&lt;B1548,"Livraison avant la commande",IF(AND(N(T1548)&gt;0,N(S1548)=0),"Date d'envoi manquante",IF(N(T1548)&gt;N(H1548),"Reçu plus que commandé",IF(AND(N(T1548)&gt;0,N(U1548)=0),"Date de réception manquante",IF(AND(N(U1548)&gt;0,U1548&lt;B1548),"Réception avant la commande","OK")))))))))))))))))))))</f>
        <v/>
      </c>
      <c r="AA1548" s="66" t="str">
        <f>IF(AND(X1548="Reçu",ISNUMBER(R1548)),IF(N(U1548)&lt;=R1548,1,0),"")</f>
        <v/>
      </c>
      <c r="AB1548" s="76" t="str">
        <f>IF(OR(X1548="Envoyé",X1548="Partiel",X1548="En retard"),IF(ISNUMBER(R1548),R1548,100000)+ROW()/100000,"")</f>
        <v/>
      </c>
      <c r="AC1548" s="66" t="str">
        <f>IF(A1548="","",IF(COUNTIF($A$6:A1548,A1548)=1,1,""))</f>
        <v/>
      </c>
      <c r="AD1548" s="66" t="str">
        <f>IF(AC1548=1,COUNT($AC$6:AC1548),"")</f>
        <v/>
      </c>
      <c r="AE1548" s="66" t="str">
        <f>IFERROR(INDEX(po_num,MATCH(1543,po_seq,0))&amp;"","")</f>
        <v/>
      </c>
      <c r="AF1548" s="66" t="str">
        <f>IF(OR(A1548="",p_po=""),"",IF(A1548&amp;""=p_po,COUNTIF($A$6:A1548,A1548),""))</f>
        <v/>
      </c>
      <c r="AG1548" s="66" t="str">
        <f>IF(OR(AB1548="",A1548=""),"",IF(COUNTIFS($A$6:A1548,A1548,$AB$6:AB1548,"&gt;0")=1,1,""))</f>
        <v/>
      </c>
      <c r="AH1548" s="70" t="str">
        <f>IF(AB1548="","",ROUND(N(W1548)*N(J1548)*(1-N(K1548)),2))</f>
        <v/>
      </c>
      <c r="AI1548" s="70" t="str">
        <f>IF(OR(J1548="",N(T1548)&lt;=0,V1548="Oui"),"",ROUND(N(T1548)*J1548*(1-N(K1548)),2))</f>
        <v/>
      </c>
    </row>
    <row r="1549">
      <c r="A1549" s="63" t="n"/>
      <c r="B1549" s="64" t="n"/>
      <c r="C1549" s="65" t="n"/>
      <c r="D1549" s="66" t="str">
        <f>IF(C1549="","",IFERROR(INDEX(sup_name,MATCH($C1549,sup_code,0))&amp;"","Fournisseur inconnu"))</f>
        <v/>
      </c>
      <c r="E1549" s="63" t="n"/>
      <c r="F1549" s="66" t="str">
        <f>IF(E1549="","",IFERROR(INDEX(art_des,MATCH($E1549,art_ref,0))&amp;"","Article inconnu"))</f>
        <v/>
      </c>
      <c r="G1549" s="67" t="str">
        <f>IF(E1549="","",IFERROR(INDEX(art_unit,MATCH($E1549,art_ref,0))&amp;"",""))</f>
        <v/>
      </c>
      <c r="H1549" s="68" t="n"/>
      <c r="I1549" s="69" t="n"/>
      <c r="J1549" s="70" t="str">
        <f>IF(E1549="","",IF(ISNUMBER(I1549),I1549,IFERROR(IF(ISNUMBER(INDEX(art_price,MATCH($E1549,art_ref,0))),INDEX(art_price,MATCH($E1549,art_ref,0)),""),"")))</f>
        <v/>
      </c>
      <c r="K1549" s="71" t="n"/>
      <c r="L1549" s="72" t="n"/>
      <c r="M1549" s="72" t="str">
        <f>IF(E1549="","",IF(L1549&lt;&gt;"",L1549,IFERROR(IF(ISNUMBER(INDEX(art_tva,MATCH($E1549,art_ref,0))),INDEX(art_tva,MATCH($E1549,art_ref,0)),""),"")))</f>
        <v/>
      </c>
      <c r="N1549" s="70" t="str">
        <f>IF(OR(E1549="",J1549=""),"",ROUND(N(H1549)*J1549*(1-N(K1549)),2))</f>
        <v/>
      </c>
      <c r="O1549" s="70" t="str">
        <f>IF(OR(N1549="",NOT(ISNUMBER(M1549))),"",ROUND(N1549*M1549,2))</f>
        <v/>
      </c>
      <c r="P1549" s="70" t="str">
        <f>IF(N1549="","",N1549+N(O1549))</f>
        <v/>
      </c>
      <c r="Q1549" s="64" t="n"/>
      <c r="R1549" s="73" t="str">
        <f>IF(N(Q1549)&gt;0,Q1549,IF(OR(N(B1549)=0,ISNA(MATCH($C1549,sup_code,0))),"",IF(ISNUMBER(INDEX(sup_delay,MATCH($C1549,sup_code,0))),B1549+INDEX(sup_delay,MATCH($C1549,sup_code,0)),"")))</f>
        <v/>
      </c>
      <c r="S1549" s="64" t="n"/>
      <c r="T1549" s="68" t="n"/>
      <c r="U1549" s="64" t="n"/>
      <c r="V1549" s="65" t="n"/>
      <c r="W1549" s="74" t="str">
        <f>IF(AND(A1549="",E1549=""),"",IF(V1549="Oui",0,MAX(0,ROUND(N(H1549)-N(T1549),6))))</f>
        <v/>
      </c>
      <c r="X1549" s="67" t="str">
        <f>IF(AND(A1549="",E1549=""),"",IF(V1549="Oui","Annulé",IF(AND(N(H1549)&gt;0,N(T1549)&gt;=N(H1549)),"Reçu",IF(N(S1549)=0,"Brouillon",IF(AND(ISNUMBER(R1549),R1549&lt;p_today),"En retard",IF(N(T1549)&gt;0,"Partiel","Envoyé"))))))</f>
        <v/>
      </c>
      <c r="Y1549" s="75" t="str">
        <f>IF(X1549="En retard",p_today-R1549,IF(AND(X1549="Reçu",ISNUMBER(R1549)),MAX(0,N(U1549)-R1549),""))</f>
        <v/>
      </c>
      <c r="Z1549" s="67" t="str">
        <f>IF(AND(A1549="",E1549=""),"",IF(A1549="","N° de bon manquant",IF(N(B1549)=0,"Date de commande manquante",IF(C1549="","Fournisseur manquant",IF(ISNA(MATCH($C1549,sup_code,0)),"Fournisseur inconnu",IF(E1549="","Article manquant",IF(ISNA(MATCH($E1549,art_ref,0)),"Article inconnu",IF(N(H1549)&lt;=0,"Quantité invalide",IF(J1549="","Prix manquant",IF(OR(N(K1549)&lt;0,N(K1549)&gt;=1),"Remise invalide",IF(M1549="","TVA manquante",IF(ISNA(MATCH(M1549,p_tva,0)),"Taux de TVA inconnu",IF(COUNTIFS(po_num,A1549,po_sup,"&lt;&gt;"&amp;C1549)&gt;0,"Fournisseur différent sur ce bon",IF(COUNTIFS(po_num,A1549,po_date,"&lt;&gt;"&amp;B1549)&gt;0,"Date différente sur ce bon",IF(COUNTIF(po_num,A1549)&gt;25,"Plus de 25 lignes sur ce bon",IF(R1549="","Date de livraison manquante",IF(R1549&lt;B1549,"Livraison avant la commande",IF(AND(N(T1549)&gt;0,N(S1549)=0),"Date d'envoi manquante",IF(N(T1549)&gt;N(H1549),"Reçu plus que commandé",IF(AND(N(T1549)&gt;0,N(U1549)=0),"Date de réception manquante",IF(AND(N(U1549)&gt;0,U1549&lt;B1549),"Réception avant la commande","OK")))))))))))))))))))))</f>
        <v/>
      </c>
      <c r="AA1549" s="66" t="str">
        <f>IF(AND(X1549="Reçu",ISNUMBER(R1549)),IF(N(U1549)&lt;=R1549,1,0),"")</f>
        <v/>
      </c>
      <c r="AB1549" s="76" t="str">
        <f>IF(OR(X1549="Envoyé",X1549="Partiel",X1549="En retard"),IF(ISNUMBER(R1549),R1549,100000)+ROW()/100000,"")</f>
        <v/>
      </c>
      <c r="AC1549" s="66" t="str">
        <f>IF(A1549="","",IF(COUNTIF($A$6:A1549,A1549)=1,1,""))</f>
        <v/>
      </c>
      <c r="AD1549" s="66" t="str">
        <f>IF(AC1549=1,COUNT($AC$6:AC1549),"")</f>
        <v/>
      </c>
      <c r="AE1549" s="66" t="str">
        <f>IFERROR(INDEX(po_num,MATCH(1544,po_seq,0))&amp;"","")</f>
        <v/>
      </c>
      <c r="AF1549" s="66" t="str">
        <f>IF(OR(A1549="",p_po=""),"",IF(A1549&amp;""=p_po,COUNTIF($A$6:A1549,A1549),""))</f>
        <v/>
      </c>
      <c r="AG1549" s="66" t="str">
        <f>IF(OR(AB1549="",A1549=""),"",IF(COUNTIFS($A$6:A1549,A1549,$AB$6:AB1549,"&gt;0")=1,1,""))</f>
        <v/>
      </c>
      <c r="AH1549" s="70" t="str">
        <f>IF(AB1549="","",ROUND(N(W1549)*N(J1549)*(1-N(K1549)),2))</f>
        <v/>
      </c>
      <c r="AI1549" s="70" t="str">
        <f>IF(OR(J1549="",N(T1549)&lt;=0,V1549="Oui"),"",ROUND(N(T1549)*J1549*(1-N(K1549)),2))</f>
        <v/>
      </c>
    </row>
    <row r="1550">
      <c r="A1550" s="63" t="n"/>
      <c r="B1550" s="64" t="n"/>
      <c r="C1550" s="65" t="n"/>
      <c r="D1550" s="66" t="str">
        <f>IF(C1550="","",IFERROR(INDEX(sup_name,MATCH($C1550,sup_code,0))&amp;"","Fournisseur inconnu"))</f>
        <v/>
      </c>
      <c r="E1550" s="63" t="n"/>
      <c r="F1550" s="66" t="str">
        <f>IF(E1550="","",IFERROR(INDEX(art_des,MATCH($E1550,art_ref,0))&amp;"","Article inconnu"))</f>
        <v/>
      </c>
      <c r="G1550" s="67" t="str">
        <f>IF(E1550="","",IFERROR(INDEX(art_unit,MATCH($E1550,art_ref,0))&amp;"",""))</f>
        <v/>
      </c>
      <c r="H1550" s="68" t="n"/>
      <c r="I1550" s="69" t="n"/>
      <c r="J1550" s="70" t="str">
        <f>IF(E1550="","",IF(ISNUMBER(I1550),I1550,IFERROR(IF(ISNUMBER(INDEX(art_price,MATCH($E1550,art_ref,0))),INDEX(art_price,MATCH($E1550,art_ref,0)),""),"")))</f>
        <v/>
      </c>
      <c r="K1550" s="71" t="n"/>
      <c r="L1550" s="72" t="n"/>
      <c r="M1550" s="72" t="str">
        <f>IF(E1550="","",IF(L1550&lt;&gt;"",L1550,IFERROR(IF(ISNUMBER(INDEX(art_tva,MATCH($E1550,art_ref,0))),INDEX(art_tva,MATCH($E1550,art_ref,0)),""),"")))</f>
        <v/>
      </c>
      <c r="N1550" s="70" t="str">
        <f>IF(OR(E1550="",J1550=""),"",ROUND(N(H1550)*J1550*(1-N(K1550)),2))</f>
        <v/>
      </c>
      <c r="O1550" s="70" t="str">
        <f>IF(OR(N1550="",NOT(ISNUMBER(M1550))),"",ROUND(N1550*M1550,2))</f>
        <v/>
      </c>
      <c r="P1550" s="70" t="str">
        <f>IF(N1550="","",N1550+N(O1550))</f>
        <v/>
      </c>
      <c r="Q1550" s="64" t="n"/>
      <c r="R1550" s="73" t="str">
        <f>IF(N(Q1550)&gt;0,Q1550,IF(OR(N(B1550)=0,ISNA(MATCH($C1550,sup_code,0))),"",IF(ISNUMBER(INDEX(sup_delay,MATCH($C1550,sup_code,0))),B1550+INDEX(sup_delay,MATCH($C1550,sup_code,0)),"")))</f>
        <v/>
      </c>
      <c r="S1550" s="64" t="n"/>
      <c r="T1550" s="68" t="n"/>
      <c r="U1550" s="64" t="n"/>
      <c r="V1550" s="65" t="n"/>
      <c r="W1550" s="74" t="str">
        <f>IF(AND(A1550="",E1550=""),"",IF(V1550="Oui",0,MAX(0,ROUND(N(H1550)-N(T1550),6))))</f>
        <v/>
      </c>
      <c r="X1550" s="67" t="str">
        <f>IF(AND(A1550="",E1550=""),"",IF(V1550="Oui","Annulé",IF(AND(N(H1550)&gt;0,N(T1550)&gt;=N(H1550)),"Reçu",IF(N(S1550)=0,"Brouillon",IF(AND(ISNUMBER(R1550),R1550&lt;p_today),"En retard",IF(N(T1550)&gt;0,"Partiel","Envoyé"))))))</f>
        <v/>
      </c>
      <c r="Y1550" s="75" t="str">
        <f>IF(X1550="En retard",p_today-R1550,IF(AND(X1550="Reçu",ISNUMBER(R1550)),MAX(0,N(U1550)-R1550),""))</f>
        <v/>
      </c>
      <c r="Z1550" s="67" t="str">
        <f>IF(AND(A1550="",E1550=""),"",IF(A1550="","N° de bon manquant",IF(N(B1550)=0,"Date de commande manquante",IF(C1550="","Fournisseur manquant",IF(ISNA(MATCH($C1550,sup_code,0)),"Fournisseur inconnu",IF(E1550="","Article manquant",IF(ISNA(MATCH($E1550,art_ref,0)),"Article inconnu",IF(N(H1550)&lt;=0,"Quantité invalide",IF(J1550="","Prix manquant",IF(OR(N(K1550)&lt;0,N(K1550)&gt;=1),"Remise invalide",IF(M1550="","TVA manquante",IF(ISNA(MATCH(M1550,p_tva,0)),"Taux de TVA inconnu",IF(COUNTIFS(po_num,A1550,po_sup,"&lt;&gt;"&amp;C1550)&gt;0,"Fournisseur différent sur ce bon",IF(COUNTIFS(po_num,A1550,po_date,"&lt;&gt;"&amp;B1550)&gt;0,"Date différente sur ce bon",IF(COUNTIF(po_num,A1550)&gt;25,"Plus de 25 lignes sur ce bon",IF(R1550="","Date de livraison manquante",IF(R1550&lt;B1550,"Livraison avant la commande",IF(AND(N(T1550)&gt;0,N(S1550)=0),"Date d'envoi manquante",IF(N(T1550)&gt;N(H1550),"Reçu plus que commandé",IF(AND(N(T1550)&gt;0,N(U1550)=0),"Date de réception manquante",IF(AND(N(U1550)&gt;0,U1550&lt;B1550),"Réception avant la commande","OK")))))))))))))))))))))</f>
        <v/>
      </c>
      <c r="AA1550" s="66" t="str">
        <f>IF(AND(X1550="Reçu",ISNUMBER(R1550)),IF(N(U1550)&lt;=R1550,1,0),"")</f>
        <v/>
      </c>
      <c r="AB1550" s="76" t="str">
        <f>IF(OR(X1550="Envoyé",X1550="Partiel",X1550="En retard"),IF(ISNUMBER(R1550),R1550,100000)+ROW()/100000,"")</f>
        <v/>
      </c>
      <c r="AC1550" s="66" t="str">
        <f>IF(A1550="","",IF(COUNTIF($A$6:A1550,A1550)=1,1,""))</f>
        <v/>
      </c>
      <c r="AD1550" s="66" t="str">
        <f>IF(AC1550=1,COUNT($AC$6:AC1550),"")</f>
        <v/>
      </c>
      <c r="AE1550" s="66" t="str">
        <f>IFERROR(INDEX(po_num,MATCH(1545,po_seq,0))&amp;"","")</f>
        <v/>
      </c>
      <c r="AF1550" s="66" t="str">
        <f>IF(OR(A1550="",p_po=""),"",IF(A1550&amp;""=p_po,COUNTIF($A$6:A1550,A1550),""))</f>
        <v/>
      </c>
      <c r="AG1550" s="66" t="str">
        <f>IF(OR(AB1550="",A1550=""),"",IF(COUNTIFS($A$6:A1550,A1550,$AB$6:AB1550,"&gt;0")=1,1,""))</f>
        <v/>
      </c>
      <c r="AH1550" s="70" t="str">
        <f>IF(AB1550="","",ROUND(N(W1550)*N(J1550)*(1-N(K1550)),2))</f>
        <v/>
      </c>
      <c r="AI1550" s="70" t="str">
        <f>IF(OR(J1550="",N(T1550)&lt;=0,V1550="Oui"),"",ROUND(N(T1550)*J1550*(1-N(K1550)),2))</f>
        <v/>
      </c>
    </row>
    <row r="1551">
      <c r="A1551" s="63" t="n"/>
      <c r="B1551" s="64" t="n"/>
      <c r="C1551" s="65" t="n"/>
      <c r="D1551" s="66" t="str">
        <f>IF(C1551="","",IFERROR(INDEX(sup_name,MATCH($C1551,sup_code,0))&amp;"","Fournisseur inconnu"))</f>
        <v/>
      </c>
      <c r="E1551" s="63" t="n"/>
      <c r="F1551" s="66" t="str">
        <f>IF(E1551="","",IFERROR(INDEX(art_des,MATCH($E1551,art_ref,0))&amp;"","Article inconnu"))</f>
        <v/>
      </c>
      <c r="G1551" s="67" t="str">
        <f>IF(E1551="","",IFERROR(INDEX(art_unit,MATCH($E1551,art_ref,0))&amp;"",""))</f>
        <v/>
      </c>
      <c r="H1551" s="68" t="n"/>
      <c r="I1551" s="69" t="n"/>
      <c r="J1551" s="70" t="str">
        <f>IF(E1551="","",IF(ISNUMBER(I1551),I1551,IFERROR(IF(ISNUMBER(INDEX(art_price,MATCH($E1551,art_ref,0))),INDEX(art_price,MATCH($E1551,art_ref,0)),""),"")))</f>
        <v/>
      </c>
      <c r="K1551" s="71" t="n"/>
      <c r="L1551" s="72" t="n"/>
      <c r="M1551" s="72" t="str">
        <f>IF(E1551="","",IF(L1551&lt;&gt;"",L1551,IFERROR(IF(ISNUMBER(INDEX(art_tva,MATCH($E1551,art_ref,0))),INDEX(art_tva,MATCH($E1551,art_ref,0)),""),"")))</f>
        <v/>
      </c>
      <c r="N1551" s="70" t="str">
        <f>IF(OR(E1551="",J1551=""),"",ROUND(N(H1551)*J1551*(1-N(K1551)),2))</f>
        <v/>
      </c>
      <c r="O1551" s="70" t="str">
        <f>IF(OR(N1551="",NOT(ISNUMBER(M1551))),"",ROUND(N1551*M1551,2))</f>
        <v/>
      </c>
      <c r="P1551" s="70" t="str">
        <f>IF(N1551="","",N1551+N(O1551))</f>
        <v/>
      </c>
      <c r="Q1551" s="64" t="n"/>
      <c r="R1551" s="73" t="str">
        <f>IF(N(Q1551)&gt;0,Q1551,IF(OR(N(B1551)=0,ISNA(MATCH($C1551,sup_code,0))),"",IF(ISNUMBER(INDEX(sup_delay,MATCH($C1551,sup_code,0))),B1551+INDEX(sup_delay,MATCH($C1551,sup_code,0)),"")))</f>
        <v/>
      </c>
      <c r="S1551" s="64" t="n"/>
      <c r="T1551" s="68" t="n"/>
      <c r="U1551" s="64" t="n"/>
      <c r="V1551" s="65" t="n"/>
      <c r="W1551" s="74" t="str">
        <f>IF(AND(A1551="",E1551=""),"",IF(V1551="Oui",0,MAX(0,ROUND(N(H1551)-N(T1551),6))))</f>
        <v/>
      </c>
      <c r="X1551" s="67" t="str">
        <f>IF(AND(A1551="",E1551=""),"",IF(V1551="Oui","Annulé",IF(AND(N(H1551)&gt;0,N(T1551)&gt;=N(H1551)),"Reçu",IF(N(S1551)=0,"Brouillon",IF(AND(ISNUMBER(R1551),R1551&lt;p_today),"En retard",IF(N(T1551)&gt;0,"Partiel","Envoyé"))))))</f>
        <v/>
      </c>
      <c r="Y1551" s="75" t="str">
        <f>IF(X1551="En retard",p_today-R1551,IF(AND(X1551="Reçu",ISNUMBER(R1551)),MAX(0,N(U1551)-R1551),""))</f>
        <v/>
      </c>
      <c r="Z1551" s="67" t="str">
        <f>IF(AND(A1551="",E1551=""),"",IF(A1551="","N° de bon manquant",IF(N(B1551)=0,"Date de commande manquante",IF(C1551="","Fournisseur manquant",IF(ISNA(MATCH($C1551,sup_code,0)),"Fournisseur inconnu",IF(E1551="","Article manquant",IF(ISNA(MATCH($E1551,art_ref,0)),"Article inconnu",IF(N(H1551)&lt;=0,"Quantité invalide",IF(J1551="","Prix manquant",IF(OR(N(K1551)&lt;0,N(K1551)&gt;=1),"Remise invalide",IF(M1551="","TVA manquante",IF(ISNA(MATCH(M1551,p_tva,0)),"Taux de TVA inconnu",IF(COUNTIFS(po_num,A1551,po_sup,"&lt;&gt;"&amp;C1551)&gt;0,"Fournisseur différent sur ce bon",IF(COUNTIFS(po_num,A1551,po_date,"&lt;&gt;"&amp;B1551)&gt;0,"Date différente sur ce bon",IF(COUNTIF(po_num,A1551)&gt;25,"Plus de 25 lignes sur ce bon",IF(R1551="","Date de livraison manquante",IF(R1551&lt;B1551,"Livraison avant la commande",IF(AND(N(T1551)&gt;0,N(S1551)=0),"Date d'envoi manquante",IF(N(T1551)&gt;N(H1551),"Reçu plus que commandé",IF(AND(N(T1551)&gt;0,N(U1551)=0),"Date de réception manquante",IF(AND(N(U1551)&gt;0,U1551&lt;B1551),"Réception avant la commande","OK")))))))))))))))))))))</f>
        <v/>
      </c>
      <c r="AA1551" s="66" t="str">
        <f>IF(AND(X1551="Reçu",ISNUMBER(R1551)),IF(N(U1551)&lt;=R1551,1,0),"")</f>
        <v/>
      </c>
      <c r="AB1551" s="76" t="str">
        <f>IF(OR(X1551="Envoyé",X1551="Partiel",X1551="En retard"),IF(ISNUMBER(R1551),R1551,100000)+ROW()/100000,"")</f>
        <v/>
      </c>
      <c r="AC1551" s="66" t="str">
        <f>IF(A1551="","",IF(COUNTIF($A$6:A1551,A1551)=1,1,""))</f>
        <v/>
      </c>
      <c r="AD1551" s="66" t="str">
        <f>IF(AC1551=1,COUNT($AC$6:AC1551),"")</f>
        <v/>
      </c>
      <c r="AE1551" s="66" t="str">
        <f>IFERROR(INDEX(po_num,MATCH(1546,po_seq,0))&amp;"","")</f>
        <v/>
      </c>
      <c r="AF1551" s="66" t="str">
        <f>IF(OR(A1551="",p_po=""),"",IF(A1551&amp;""=p_po,COUNTIF($A$6:A1551,A1551),""))</f>
        <v/>
      </c>
      <c r="AG1551" s="66" t="str">
        <f>IF(OR(AB1551="",A1551=""),"",IF(COUNTIFS($A$6:A1551,A1551,$AB$6:AB1551,"&gt;0")=1,1,""))</f>
        <v/>
      </c>
      <c r="AH1551" s="70" t="str">
        <f>IF(AB1551="","",ROUND(N(W1551)*N(J1551)*(1-N(K1551)),2))</f>
        <v/>
      </c>
      <c r="AI1551" s="70" t="str">
        <f>IF(OR(J1551="",N(T1551)&lt;=0,V1551="Oui"),"",ROUND(N(T1551)*J1551*(1-N(K1551)),2))</f>
        <v/>
      </c>
    </row>
    <row r="1552">
      <c r="A1552" s="63" t="n"/>
      <c r="B1552" s="64" t="n"/>
      <c r="C1552" s="65" t="n"/>
      <c r="D1552" s="66" t="str">
        <f>IF(C1552="","",IFERROR(INDEX(sup_name,MATCH($C1552,sup_code,0))&amp;"","Fournisseur inconnu"))</f>
        <v/>
      </c>
      <c r="E1552" s="63" t="n"/>
      <c r="F1552" s="66" t="str">
        <f>IF(E1552="","",IFERROR(INDEX(art_des,MATCH($E1552,art_ref,0))&amp;"","Article inconnu"))</f>
        <v/>
      </c>
      <c r="G1552" s="67" t="str">
        <f>IF(E1552="","",IFERROR(INDEX(art_unit,MATCH($E1552,art_ref,0))&amp;"",""))</f>
        <v/>
      </c>
      <c r="H1552" s="68" t="n"/>
      <c r="I1552" s="69" t="n"/>
      <c r="J1552" s="70" t="str">
        <f>IF(E1552="","",IF(ISNUMBER(I1552),I1552,IFERROR(IF(ISNUMBER(INDEX(art_price,MATCH($E1552,art_ref,0))),INDEX(art_price,MATCH($E1552,art_ref,0)),""),"")))</f>
        <v/>
      </c>
      <c r="K1552" s="71" t="n"/>
      <c r="L1552" s="72" t="n"/>
      <c r="M1552" s="72" t="str">
        <f>IF(E1552="","",IF(L1552&lt;&gt;"",L1552,IFERROR(IF(ISNUMBER(INDEX(art_tva,MATCH($E1552,art_ref,0))),INDEX(art_tva,MATCH($E1552,art_ref,0)),""),"")))</f>
        <v/>
      </c>
      <c r="N1552" s="70" t="str">
        <f>IF(OR(E1552="",J1552=""),"",ROUND(N(H1552)*J1552*(1-N(K1552)),2))</f>
        <v/>
      </c>
      <c r="O1552" s="70" t="str">
        <f>IF(OR(N1552="",NOT(ISNUMBER(M1552))),"",ROUND(N1552*M1552,2))</f>
        <v/>
      </c>
      <c r="P1552" s="70" t="str">
        <f>IF(N1552="","",N1552+N(O1552))</f>
        <v/>
      </c>
      <c r="Q1552" s="64" t="n"/>
      <c r="R1552" s="73" t="str">
        <f>IF(N(Q1552)&gt;0,Q1552,IF(OR(N(B1552)=0,ISNA(MATCH($C1552,sup_code,0))),"",IF(ISNUMBER(INDEX(sup_delay,MATCH($C1552,sup_code,0))),B1552+INDEX(sup_delay,MATCH($C1552,sup_code,0)),"")))</f>
        <v/>
      </c>
      <c r="S1552" s="64" t="n"/>
      <c r="T1552" s="68" t="n"/>
      <c r="U1552" s="64" t="n"/>
      <c r="V1552" s="65" t="n"/>
      <c r="W1552" s="74" t="str">
        <f>IF(AND(A1552="",E1552=""),"",IF(V1552="Oui",0,MAX(0,ROUND(N(H1552)-N(T1552),6))))</f>
        <v/>
      </c>
      <c r="X1552" s="67" t="str">
        <f>IF(AND(A1552="",E1552=""),"",IF(V1552="Oui","Annulé",IF(AND(N(H1552)&gt;0,N(T1552)&gt;=N(H1552)),"Reçu",IF(N(S1552)=0,"Brouillon",IF(AND(ISNUMBER(R1552),R1552&lt;p_today),"En retard",IF(N(T1552)&gt;0,"Partiel","Envoyé"))))))</f>
        <v/>
      </c>
      <c r="Y1552" s="75" t="str">
        <f>IF(X1552="En retard",p_today-R1552,IF(AND(X1552="Reçu",ISNUMBER(R1552)),MAX(0,N(U1552)-R1552),""))</f>
        <v/>
      </c>
      <c r="Z1552" s="67" t="str">
        <f>IF(AND(A1552="",E1552=""),"",IF(A1552="","N° de bon manquant",IF(N(B1552)=0,"Date de commande manquante",IF(C1552="","Fournisseur manquant",IF(ISNA(MATCH($C1552,sup_code,0)),"Fournisseur inconnu",IF(E1552="","Article manquant",IF(ISNA(MATCH($E1552,art_ref,0)),"Article inconnu",IF(N(H1552)&lt;=0,"Quantité invalide",IF(J1552="","Prix manquant",IF(OR(N(K1552)&lt;0,N(K1552)&gt;=1),"Remise invalide",IF(M1552="","TVA manquante",IF(ISNA(MATCH(M1552,p_tva,0)),"Taux de TVA inconnu",IF(COUNTIFS(po_num,A1552,po_sup,"&lt;&gt;"&amp;C1552)&gt;0,"Fournisseur différent sur ce bon",IF(COUNTIFS(po_num,A1552,po_date,"&lt;&gt;"&amp;B1552)&gt;0,"Date différente sur ce bon",IF(COUNTIF(po_num,A1552)&gt;25,"Plus de 25 lignes sur ce bon",IF(R1552="","Date de livraison manquante",IF(R1552&lt;B1552,"Livraison avant la commande",IF(AND(N(T1552)&gt;0,N(S1552)=0),"Date d'envoi manquante",IF(N(T1552)&gt;N(H1552),"Reçu plus que commandé",IF(AND(N(T1552)&gt;0,N(U1552)=0),"Date de réception manquante",IF(AND(N(U1552)&gt;0,U1552&lt;B1552),"Réception avant la commande","OK")))))))))))))))))))))</f>
        <v/>
      </c>
      <c r="AA1552" s="66" t="str">
        <f>IF(AND(X1552="Reçu",ISNUMBER(R1552)),IF(N(U1552)&lt;=R1552,1,0),"")</f>
        <v/>
      </c>
      <c r="AB1552" s="76" t="str">
        <f>IF(OR(X1552="Envoyé",X1552="Partiel",X1552="En retard"),IF(ISNUMBER(R1552),R1552,100000)+ROW()/100000,"")</f>
        <v/>
      </c>
      <c r="AC1552" s="66" t="str">
        <f>IF(A1552="","",IF(COUNTIF($A$6:A1552,A1552)=1,1,""))</f>
        <v/>
      </c>
      <c r="AD1552" s="66" t="str">
        <f>IF(AC1552=1,COUNT($AC$6:AC1552),"")</f>
        <v/>
      </c>
      <c r="AE1552" s="66" t="str">
        <f>IFERROR(INDEX(po_num,MATCH(1547,po_seq,0))&amp;"","")</f>
        <v/>
      </c>
      <c r="AF1552" s="66" t="str">
        <f>IF(OR(A1552="",p_po=""),"",IF(A1552&amp;""=p_po,COUNTIF($A$6:A1552,A1552),""))</f>
        <v/>
      </c>
      <c r="AG1552" s="66" t="str">
        <f>IF(OR(AB1552="",A1552=""),"",IF(COUNTIFS($A$6:A1552,A1552,$AB$6:AB1552,"&gt;0")=1,1,""))</f>
        <v/>
      </c>
      <c r="AH1552" s="70" t="str">
        <f>IF(AB1552="","",ROUND(N(W1552)*N(J1552)*(1-N(K1552)),2))</f>
        <v/>
      </c>
      <c r="AI1552" s="70" t="str">
        <f>IF(OR(J1552="",N(T1552)&lt;=0,V1552="Oui"),"",ROUND(N(T1552)*J1552*(1-N(K1552)),2))</f>
        <v/>
      </c>
    </row>
    <row r="1553">
      <c r="A1553" s="63" t="n"/>
      <c r="B1553" s="64" t="n"/>
      <c r="C1553" s="65" t="n"/>
      <c r="D1553" s="66" t="str">
        <f>IF(C1553="","",IFERROR(INDEX(sup_name,MATCH($C1553,sup_code,0))&amp;"","Fournisseur inconnu"))</f>
        <v/>
      </c>
      <c r="E1553" s="63" t="n"/>
      <c r="F1553" s="66" t="str">
        <f>IF(E1553="","",IFERROR(INDEX(art_des,MATCH($E1553,art_ref,0))&amp;"","Article inconnu"))</f>
        <v/>
      </c>
      <c r="G1553" s="67" t="str">
        <f>IF(E1553="","",IFERROR(INDEX(art_unit,MATCH($E1553,art_ref,0))&amp;"",""))</f>
        <v/>
      </c>
      <c r="H1553" s="68" t="n"/>
      <c r="I1553" s="69" t="n"/>
      <c r="J1553" s="70" t="str">
        <f>IF(E1553="","",IF(ISNUMBER(I1553),I1553,IFERROR(IF(ISNUMBER(INDEX(art_price,MATCH($E1553,art_ref,0))),INDEX(art_price,MATCH($E1553,art_ref,0)),""),"")))</f>
        <v/>
      </c>
      <c r="K1553" s="71" t="n"/>
      <c r="L1553" s="72" t="n"/>
      <c r="M1553" s="72" t="str">
        <f>IF(E1553="","",IF(L1553&lt;&gt;"",L1553,IFERROR(IF(ISNUMBER(INDEX(art_tva,MATCH($E1553,art_ref,0))),INDEX(art_tva,MATCH($E1553,art_ref,0)),""),"")))</f>
        <v/>
      </c>
      <c r="N1553" s="70" t="str">
        <f>IF(OR(E1553="",J1553=""),"",ROUND(N(H1553)*J1553*(1-N(K1553)),2))</f>
        <v/>
      </c>
      <c r="O1553" s="70" t="str">
        <f>IF(OR(N1553="",NOT(ISNUMBER(M1553))),"",ROUND(N1553*M1553,2))</f>
        <v/>
      </c>
      <c r="P1553" s="70" t="str">
        <f>IF(N1553="","",N1553+N(O1553))</f>
        <v/>
      </c>
      <c r="Q1553" s="64" t="n"/>
      <c r="R1553" s="73" t="str">
        <f>IF(N(Q1553)&gt;0,Q1553,IF(OR(N(B1553)=0,ISNA(MATCH($C1553,sup_code,0))),"",IF(ISNUMBER(INDEX(sup_delay,MATCH($C1553,sup_code,0))),B1553+INDEX(sup_delay,MATCH($C1553,sup_code,0)),"")))</f>
        <v/>
      </c>
      <c r="S1553" s="64" t="n"/>
      <c r="T1553" s="68" t="n"/>
      <c r="U1553" s="64" t="n"/>
      <c r="V1553" s="65" t="n"/>
      <c r="W1553" s="74" t="str">
        <f>IF(AND(A1553="",E1553=""),"",IF(V1553="Oui",0,MAX(0,ROUND(N(H1553)-N(T1553),6))))</f>
        <v/>
      </c>
      <c r="X1553" s="67" t="str">
        <f>IF(AND(A1553="",E1553=""),"",IF(V1553="Oui","Annulé",IF(AND(N(H1553)&gt;0,N(T1553)&gt;=N(H1553)),"Reçu",IF(N(S1553)=0,"Brouillon",IF(AND(ISNUMBER(R1553),R1553&lt;p_today),"En retard",IF(N(T1553)&gt;0,"Partiel","Envoyé"))))))</f>
        <v/>
      </c>
      <c r="Y1553" s="75" t="str">
        <f>IF(X1553="En retard",p_today-R1553,IF(AND(X1553="Reçu",ISNUMBER(R1553)),MAX(0,N(U1553)-R1553),""))</f>
        <v/>
      </c>
      <c r="Z1553" s="67" t="str">
        <f>IF(AND(A1553="",E1553=""),"",IF(A1553="","N° de bon manquant",IF(N(B1553)=0,"Date de commande manquante",IF(C1553="","Fournisseur manquant",IF(ISNA(MATCH($C1553,sup_code,0)),"Fournisseur inconnu",IF(E1553="","Article manquant",IF(ISNA(MATCH($E1553,art_ref,0)),"Article inconnu",IF(N(H1553)&lt;=0,"Quantité invalide",IF(J1553="","Prix manquant",IF(OR(N(K1553)&lt;0,N(K1553)&gt;=1),"Remise invalide",IF(M1553="","TVA manquante",IF(ISNA(MATCH(M1553,p_tva,0)),"Taux de TVA inconnu",IF(COUNTIFS(po_num,A1553,po_sup,"&lt;&gt;"&amp;C1553)&gt;0,"Fournisseur différent sur ce bon",IF(COUNTIFS(po_num,A1553,po_date,"&lt;&gt;"&amp;B1553)&gt;0,"Date différente sur ce bon",IF(COUNTIF(po_num,A1553)&gt;25,"Plus de 25 lignes sur ce bon",IF(R1553="","Date de livraison manquante",IF(R1553&lt;B1553,"Livraison avant la commande",IF(AND(N(T1553)&gt;0,N(S1553)=0),"Date d'envoi manquante",IF(N(T1553)&gt;N(H1553),"Reçu plus que commandé",IF(AND(N(T1553)&gt;0,N(U1553)=0),"Date de réception manquante",IF(AND(N(U1553)&gt;0,U1553&lt;B1553),"Réception avant la commande","OK")))))))))))))))))))))</f>
        <v/>
      </c>
      <c r="AA1553" s="66" t="str">
        <f>IF(AND(X1553="Reçu",ISNUMBER(R1553)),IF(N(U1553)&lt;=R1553,1,0),"")</f>
        <v/>
      </c>
      <c r="AB1553" s="76" t="str">
        <f>IF(OR(X1553="Envoyé",X1553="Partiel",X1553="En retard"),IF(ISNUMBER(R1553),R1553,100000)+ROW()/100000,"")</f>
        <v/>
      </c>
      <c r="AC1553" s="66" t="str">
        <f>IF(A1553="","",IF(COUNTIF($A$6:A1553,A1553)=1,1,""))</f>
        <v/>
      </c>
      <c r="AD1553" s="66" t="str">
        <f>IF(AC1553=1,COUNT($AC$6:AC1553),"")</f>
        <v/>
      </c>
      <c r="AE1553" s="66" t="str">
        <f>IFERROR(INDEX(po_num,MATCH(1548,po_seq,0))&amp;"","")</f>
        <v/>
      </c>
      <c r="AF1553" s="66" t="str">
        <f>IF(OR(A1553="",p_po=""),"",IF(A1553&amp;""=p_po,COUNTIF($A$6:A1553,A1553),""))</f>
        <v/>
      </c>
      <c r="AG1553" s="66" t="str">
        <f>IF(OR(AB1553="",A1553=""),"",IF(COUNTIFS($A$6:A1553,A1553,$AB$6:AB1553,"&gt;0")=1,1,""))</f>
        <v/>
      </c>
      <c r="AH1553" s="70" t="str">
        <f>IF(AB1553="","",ROUND(N(W1553)*N(J1553)*(1-N(K1553)),2))</f>
        <v/>
      </c>
      <c r="AI1553" s="70" t="str">
        <f>IF(OR(J1553="",N(T1553)&lt;=0,V1553="Oui"),"",ROUND(N(T1553)*J1553*(1-N(K1553)),2))</f>
        <v/>
      </c>
    </row>
    <row r="1554">
      <c r="A1554" s="63" t="n"/>
      <c r="B1554" s="64" t="n"/>
      <c r="C1554" s="65" t="n"/>
      <c r="D1554" s="66" t="str">
        <f>IF(C1554="","",IFERROR(INDEX(sup_name,MATCH($C1554,sup_code,0))&amp;"","Fournisseur inconnu"))</f>
        <v/>
      </c>
      <c r="E1554" s="63" t="n"/>
      <c r="F1554" s="66" t="str">
        <f>IF(E1554="","",IFERROR(INDEX(art_des,MATCH($E1554,art_ref,0))&amp;"","Article inconnu"))</f>
        <v/>
      </c>
      <c r="G1554" s="67" t="str">
        <f>IF(E1554="","",IFERROR(INDEX(art_unit,MATCH($E1554,art_ref,0))&amp;"",""))</f>
        <v/>
      </c>
      <c r="H1554" s="68" t="n"/>
      <c r="I1554" s="69" t="n"/>
      <c r="J1554" s="70" t="str">
        <f>IF(E1554="","",IF(ISNUMBER(I1554),I1554,IFERROR(IF(ISNUMBER(INDEX(art_price,MATCH($E1554,art_ref,0))),INDEX(art_price,MATCH($E1554,art_ref,0)),""),"")))</f>
        <v/>
      </c>
      <c r="K1554" s="71" t="n"/>
      <c r="L1554" s="72" t="n"/>
      <c r="M1554" s="72" t="str">
        <f>IF(E1554="","",IF(L1554&lt;&gt;"",L1554,IFERROR(IF(ISNUMBER(INDEX(art_tva,MATCH($E1554,art_ref,0))),INDEX(art_tva,MATCH($E1554,art_ref,0)),""),"")))</f>
        <v/>
      </c>
      <c r="N1554" s="70" t="str">
        <f>IF(OR(E1554="",J1554=""),"",ROUND(N(H1554)*J1554*(1-N(K1554)),2))</f>
        <v/>
      </c>
      <c r="O1554" s="70" t="str">
        <f>IF(OR(N1554="",NOT(ISNUMBER(M1554))),"",ROUND(N1554*M1554,2))</f>
        <v/>
      </c>
      <c r="P1554" s="70" t="str">
        <f>IF(N1554="","",N1554+N(O1554))</f>
        <v/>
      </c>
      <c r="Q1554" s="64" t="n"/>
      <c r="R1554" s="73" t="str">
        <f>IF(N(Q1554)&gt;0,Q1554,IF(OR(N(B1554)=0,ISNA(MATCH($C1554,sup_code,0))),"",IF(ISNUMBER(INDEX(sup_delay,MATCH($C1554,sup_code,0))),B1554+INDEX(sup_delay,MATCH($C1554,sup_code,0)),"")))</f>
        <v/>
      </c>
      <c r="S1554" s="64" t="n"/>
      <c r="T1554" s="68" t="n"/>
      <c r="U1554" s="64" t="n"/>
      <c r="V1554" s="65" t="n"/>
      <c r="W1554" s="74" t="str">
        <f>IF(AND(A1554="",E1554=""),"",IF(V1554="Oui",0,MAX(0,ROUND(N(H1554)-N(T1554),6))))</f>
        <v/>
      </c>
      <c r="X1554" s="67" t="str">
        <f>IF(AND(A1554="",E1554=""),"",IF(V1554="Oui","Annulé",IF(AND(N(H1554)&gt;0,N(T1554)&gt;=N(H1554)),"Reçu",IF(N(S1554)=0,"Brouillon",IF(AND(ISNUMBER(R1554),R1554&lt;p_today),"En retard",IF(N(T1554)&gt;0,"Partiel","Envoyé"))))))</f>
        <v/>
      </c>
      <c r="Y1554" s="75" t="str">
        <f>IF(X1554="En retard",p_today-R1554,IF(AND(X1554="Reçu",ISNUMBER(R1554)),MAX(0,N(U1554)-R1554),""))</f>
        <v/>
      </c>
      <c r="Z1554" s="67" t="str">
        <f>IF(AND(A1554="",E1554=""),"",IF(A1554="","N° de bon manquant",IF(N(B1554)=0,"Date de commande manquante",IF(C1554="","Fournisseur manquant",IF(ISNA(MATCH($C1554,sup_code,0)),"Fournisseur inconnu",IF(E1554="","Article manquant",IF(ISNA(MATCH($E1554,art_ref,0)),"Article inconnu",IF(N(H1554)&lt;=0,"Quantité invalide",IF(J1554="","Prix manquant",IF(OR(N(K1554)&lt;0,N(K1554)&gt;=1),"Remise invalide",IF(M1554="","TVA manquante",IF(ISNA(MATCH(M1554,p_tva,0)),"Taux de TVA inconnu",IF(COUNTIFS(po_num,A1554,po_sup,"&lt;&gt;"&amp;C1554)&gt;0,"Fournisseur différent sur ce bon",IF(COUNTIFS(po_num,A1554,po_date,"&lt;&gt;"&amp;B1554)&gt;0,"Date différente sur ce bon",IF(COUNTIF(po_num,A1554)&gt;25,"Plus de 25 lignes sur ce bon",IF(R1554="","Date de livraison manquante",IF(R1554&lt;B1554,"Livraison avant la commande",IF(AND(N(T1554)&gt;0,N(S1554)=0),"Date d'envoi manquante",IF(N(T1554)&gt;N(H1554),"Reçu plus que commandé",IF(AND(N(T1554)&gt;0,N(U1554)=0),"Date de réception manquante",IF(AND(N(U1554)&gt;0,U1554&lt;B1554),"Réception avant la commande","OK")))))))))))))))))))))</f>
        <v/>
      </c>
      <c r="AA1554" s="66" t="str">
        <f>IF(AND(X1554="Reçu",ISNUMBER(R1554)),IF(N(U1554)&lt;=R1554,1,0),"")</f>
        <v/>
      </c>
      <c r="AB1554" s="76" t="str">
        <f>IF(OR(X1554="Envoyé",X1554="Partiel",X1554="En retard"),IF(ISNUMBER(R1554),R1554,100000)+ROW()/100000,"")</f>
        <v/>
      </c>
      <c r="AC1554" s="66" t="str">
        <f>IF(A1554="","",IF(COUNTIF($A$6:A1554,A1554)=1,1,""))</f>
        <v/>
      </c>
      <c r="AD1554" s="66" t="str">
        <f>IF(AC1554=1,COUNT($AC$6:AC1554),"")</f>
        <v/>
      </c>
      <c r="AE1554" s="66" t="str">
        <f>IFERROR(INDEX(po_num,MATCH(1549,po_seq,0))&amp;"","")</f>
        <v/>
      </c>
      <c r="AF1554" s="66" t="str">
        <f>IF(OR(A1554="",p_po=""),"",IF(A1554&amp;""=p_po,COUNTIF($A$6:A1554,A1554),""))</f>
        <v/>
      </c>
      <c r="AG1554" s="66" t="str">
        <f>IF(OR(AB1554="",A1554=""),"",IF(COUNTIFS($A$6:A1554,A1554,$AB$6:AB1554,"&gt;0")=1,1,""))</f>
        <v/>
      </c>
      <c r="AH1554" s="70" t="str">
        <f>IF(AB1554="","",ROUND(N(W1554)*N(J1554)*(1-N(K1554)),2))</f>
        <v/>
      </c>
      <c r="AI1554" s="70" t="str">
        <f>IF(OR(J1554="",N(T1554)&lt;=0,V1554="Oui"),"",ROUND(N(T1554)*J1554*(1-N(K1554)),2))</f>
        <v/>
      </c>
    </row>
    <row r="1555">
      <c r="A1555" s="63" t="n"/>
      <c r="B1555" s="64" t="n"/>
      <c r="C1555" s="65" t="n"/>
      <c r="D1555" s="66" t="str">
        <f>IF(C1555="","",IFERROR(INDEX(sup_name,MATCH($C1555,sup_code,0))&amp;"","Fournisseur inconnu"))</f>
        <v/>
      </c>
      <c r="E1555" s="63" t="n"/>
      <c r="F1555" s="66" t="str">
        <f>IF(E1555="","",IFERROR(INDEX(art_des,MATCH($E1555,art_ref,0))&amp;"","Article inconnu"))</f>
        <v/>
      </c>
      <c r="G1555" s="67" t="str">
        <f>IF(E1555="","",IFERROR(INDEX(art_unit,MATCH($E1555,art_ref,0))&amp;"",""))</f>
        <v/>
      </c>
      <c r="H1555" s="68" t="n"/>
      <c r="I1555" s="69" t="n"/>
      <c r="J1555" s="70" t="str">
        <f>IF(E1555="","",IF(ISNUMBER(I1555),I1555,IFERROR(IF(ISNUMBER(INDEX(art_price,MATCH($E1555,art_ref,0))),INDEX(art_price,MATCH($E1555,art_ref,0)),""),"")))</f>
        <v/>
      </c>
      <c r="K1555" s="71" t="n"/>
      <c r="L1555" s="72" t="n"/>
      <c r="M1555" s="72" t="str">
        <f>IF(E1555="","",IF(L1555&lt;&gt;"",L1555,IFERROR(IF(ISNUMBER(INDEX(art_tva,MATCH($E1555,art_ref,0))),INDEX(art_tva,MATCH($E1555,art_ref,0)),""),"")))</f>
        <v/>
      </c>
      <c r="N1555" s="70" t="str">
        <f>IF(OR(E1555="",J1555=""),"",ROUND(N(H1555)*J1555*(1-N(K1555)),2))</f>
        <v/>
      </c>
      <c r="O1555" s="70" t="str">
        <f>IF(OR(N1555="",NOT(ISNUMBER(M1555))),"",ROUND(N1555*M1555,2))</f>
        <v/>
      </c>
      <c r="P1555" s="70" t="str">
        <f>IF(N1555="","",N1555+N(O1555))</f>
        <v/>
      </c>
      <c r="Q1555" s="64" t="n"/>
      <c r="R1555" s="73" t="str">
        <f>IF(N(Q1555)&gt;0,Q1555,IF(OR(N(B1555)=0,ISNA(MATCH($C1555,sup_code,0))),"",IF(ISNUMBER(INDEX(sup_delay,MATCH($C1555,sup_code,0))),B1555+INDEX(sup_delay,MATCH($C1555,sup_code,0)),"")))</f>
        <v/>
      </c>
      <c r="S1555" s="64" t="n"/>
      <c r="T1555" s="68" t="n"/>
      <c r="U1555" s="64" t="n"/>
      <c r="V1555" s="65" t="n"/>
      <c r="W1555" s="74" t="str">
        <f>IF(AND(A1555="",E1555=""),"",IF(V1555="Oui",0,MAX(0,ROUND(N(H1555)-N(T1555),6))))</f>
        <v/>
      </c>
      <c r="X1555" s="67" t="str">
        <f>IF(AND(A1555="",E1555=""),"",IF(V1555="Oui","Annulé",IF(AND(N(H1555)&gt;0,N(T1555)&gt;=N(H1555)),"Reçu",IF(N(S1555)=0,"Brouillon",IF(AND(ISNUMBER(R1555),R1555&lt;p_today),"En retard",IF(N(T1555)&gt;0,"Partiel","Envoyé"))))))</f>
        <v/>
      </c>
      <c r="Y1555" s="75" t="str">
        <f>IF(X1555="En retard",p_today-R1555,IF(AND(X1555="Reçu",ISNUMBER(R1555)),MAX(0,N(U1555)-R1555),""))</f>
        <v/>
      </c>
      <c r="Z1555" s="67" t="str">
        <f>IF(AND(A1555="",E1555=""),"",IF(A1555="","N° de bon manquant",IF(N(B1555)=0,"Date de commande manquante",IF(C1555="","Fournisseur manquant",IF(ISNA(MATCH($C1555,sup_code,0)),"Fournisseur inconnu",IF(E1555="","Article manquant",IF(ISNA(MATCH($E1555,art_ref,0)),"Article inconnu",IF(N(H1555)&lt;=0,"Quantité invalide",IF(J1555="","Prix manquant",IF(OR(N(K1555)&lt;0,N(K1555)&gt;=1),"Remise invalide",IF(M1555="","TVA manquante",IF(ISNA(MATCH(M1555,p_tva,0)),"Taux de TVA inconnu",IF(COUNTIFS(po_num,A1555,po_sup,"&lt;&gt;"&amp;C1555)&gt;0,"Fournisseur différent sur ce bon",IF(COUNTIFS(po_num,A1555,po_date,"&lt;&gt;"&amp;B1555)&gt;0,"Date différente sur ce bon",IF(COUNTIF(po_num,A1555)&gt;25,"Plus de 25 lignes sur ce bon",IF(R1555="","Date de livraison manquante",IF(R1555&lt;B1555,"Livraison avant la commande",IF(AND(N(T1555)&gt;0,N(S1555)=0),"Date d'envoi manquante",IF(N(T1555)&gt;N(H1555),"Reçu plus que commandé",IF(AND(N(T1555)&gt;0,N(U1555)=0),"Date de réception manquante",IF(AND(N(U1555)&gt;0,U1555&lt;B1555),"Réception avant la commande","OK")))))))))))))))))))))</f>
        <v/>
      </c>
      <c r="AA1555" s="66" t="str">
        <f>IF(AND(X1555="Reçu",ISNUMBER(R1555)),IF(N(U1555)&lt;=R1555,1,0),"")</f>
        <v/>
      </c>
      <c r="AB1555" s="76" t="str">
        <f>IF(OR(X1555="Envoyé",X1555="Partiel",X1555="En retard"),IF(ISNUMBER(R1555),R1555,100000)+ROW()/100000,"")</f>
        <v/>
      </c>
      <c r="AC1555" s="66" t="str">
        <f>IF(A1555="","",IF(COUNTIF($A$6:A1555,A1555)=1,1,""))</f>
        <v/>
      </c>
      <c r="AD1555" s="66" t="str">
        <f>IF(AC1555=1,COUNT($AC$6:AC1555),"")</f>
        <v/>
      </c>
      <c r="AE1555" s="66" t="str">
        <f>IFERROR(INDEX(po_num,MATCH(1550,po_seq,0))&amp;"","")</f>
        <v/>
      </c>
      <c r="AF1555" s="66" t="str">
        <f>IF(OR(A1555="",p_po=""),"",IF(A1555&amp;""=p_po,COUNTIF($A$6:A1555,A1555),""))</f>
        <v/>
      </c>
      <c r="AG1555" s="66" t="str">
        <f>IF(OR(AB1555="",A1555=""),"",IF(COUNTIFS($A$6:A1555,A1555,$AB$6:AB1555,"&gt;0")=1,1,""))</f>
        <v/>
      </c>
      <c r="AH1555" s="70" t="str">
        <f>IF(AB1555="","",ROUND(N(W1555)*N(J1555)*(1-N(K1555)),2))</f>
        <v/>
      </c>
      <c r="AI1555" s="70" t="str">
        <f>IF(OR(J1555="",N(T1555)&lt;=0,V1555="Oui"),"",ROUND(N(T1555)*J1555*(1-N(K1555)),2))</f>
        <v/>
      </c>
    </row>
    <row r="1556">
      <c r="A1556" s="63" t="n"/>
      <c r="B1556" s="64" t="n"/>
      <c r="C1556" s="65" t="n"/>
      <c r="D1556" s="66" t="str">
        <f>IF(C1556="","",IFERROR(INDEX(sup_name,MATCH($C1556,sup_code,0))&amp;"","Fournisseur inconnu"))</f>
        <v/>
      </c>
      <c r="E1556" s="63" t="n"/>
      <c r="F1556" s="66" t="str">
        <f>IF(E1556="","",IFERROR(INDEX(art_des,MATCH($E1556,art_ref,0))&amp;"","Article inconnu"))</f>
        <v/>
      </c>
      <c r="G1556" s="67" t="str">
        <f>IF(E1556="","",IFERROR(INDEX(art_unit,MATCH($E1556,art_ref,0))&amp;"",""))</f>
        <v/>
      </c>
      <c r="H1556" s="68" t="n"/>
      <c r="I1556" s="69" t="n"/>
      <c r="J1556" s="70" t="str">
        <f>IF(E1556="","",IF(ISNUMBER(I1556),I1556,IFERROR(IF(ISNUMBER(INDEX(art_price,MATCH($E1556,art_ref,0))),INDEX(art_price,MATCH($E1556,art_ref,0)),""),"")))</f>
        <v/>
      </c>
      <c r="K1556" s="71" t="n"/>
      <c r="L1556" s="72" t="n"/>
      <c r="M1556" s="72" t="str">
        <f>IF(E1556="","",IF(L1556&lt;&gt;"",L1556,IFERROR(IF(ISNUMBER(INDEX(art_tva,MATCH($E1556,art_ref,0))),INDEX(art_tva,MATCH($E1556,art_ref,0)),""),"")))</f>
        <v/>
      </c>
      <c r="N1556" s="70" t="str">
        <f>IF(OR(E1556="",J1556=""),"",ROUND(N(H1556)*J1556*(1-N(K1556)),2))</f>
        <v/>
      </c>
      <c r="O1556" s="70" t="str">
        <f>IF(OR(N1556="",NOT(ISNUMBER(M1556))),"",ROUND(N1556*M1556,2))</f>
        <v/>
      </c>
      <c r="P1556" s="70" t="str">
        <f>IF(N1556="","",N1556+N(O1556))</f>
        <v/>
      </c>
      <c r="Q1556" s="64" t="n"/>
      <c r="R1556" s="73" t="str">
        <f>IF(N(Q1556)&gt;0,Q1556,IF(OR(N(B1556)=0,ISNA(MATCH($C1556,sup_code,0))),"",IF(ISNUMBER(INDEX(sup_delay,MATCH($C1556,sup_code,0))),B1556+INDEX(sup_delay,MATCH($C1556,sup_code,0)),"")))</f>
        <v/>
      </c>
      <c r="S1556" s="64" t="n"/>
      <c r="T1556" s="68" t="n"/>
      <c r="U1556" s="64" t="n"/>
      <c r="V1556" s="65" t="n"/>
      <c r="W1556" s="74" t="str">
        <f>IF(AND(A1556="",E1556=""),"",IF(V1556="Oui",0,MAX(0,ROUND(N(H1556)-N(T1556),6))))</f>
        <v/>
      </c>
      <c r="X1556" s="67" t="str">
        <f>IF(AND(A1556="",E1556=""),"",IF(V1556="Oui","Annulé",IF(AND(N(H1556)&gt;0,N(T1556)&gt;=N(H1556)),"Reçu",IF(N(S1556)=0,"Brouillon",IF(AND(ISNUMBER(R1556),R1556&lt;p_today),"En retard",IF(N(T1556)&gt;0,"Partiel","Envoyé"))))))</f>
        <v/>
      </c>
      <c r="Y1556" s="75" t="str">
        <f>IF(X1556="En retard",p_today-R1556,IF(AND(X1556="Reçu",ISNUMBER(R1556)),MAX(0,N(U1556)-R1556),""))</f>
        <v/>
      </c>
      <c r="Z1556" s="67" t="str">
        <f>IF(AND(A1556="",E1556=""),"",IF(A1556="","N° de bon manquant",IF(N(B1556)=0,"Date de commande manquante",IF(C1556="","Fournisseur manquant",IF(ISNA(MATCH($C1556,sup_code,0)),"Fournisseur inconnu",IF(E1556="","Article manquant",IF(ISNA(MATCH($E1556,art_ref,0)),"Article inconnu",IF(N(H1556)&lt;=0,"Quantité invalide",IF(J1556="","Prix manquant",IF(OR(N(K1556)&lt;0,N(K1556)&gt;=1),"Remise invalide",IF(M1556="","TVA manquante",IF(ISNA(MATCH(M1556,p_tva,0)),"Taux de TVA inconnu",IF(COUNTIFS(po_num,A1556,po_sup,"&lt;&gt;"&amp;C1556)&gt;0,"Fournisseur différent sur ce bon",IF(COUNTIFS(po_num,A1556,po_date,"&lt;&gt;"&amp;B1556)&gt;0,"Date différente sur ce bon",IF(COUNTIF(po_num,A1556)&gt;25,"Plus de 25 lignes sur ce bon",IF(R1556="","Date de livraison manquante",IF(R1556&lt;B1556,"Livraison avant la commande",IF(AND(N(T1556)&gt;0,N(S1556)=0),"Date d'envoi manquante",IF(N(T1556)&gt;N(H1556),"Reçu plus que commandé",IF(AND(N(T1556)&gt;0,N(U1556)=0),"Date de réception manquante",IF(AND(N(U1556)&gt;0,U1556&lt;B1556),"Réception avant la commande","OK")))))))))))))))))))))</f>
        <v/>
      </c>
      <c r="AA1556" s="66" t="str">
        <f>IF(AND(X1556="Reçu",ISNUMBER(R1556)),IF(N(U1556)&lt;=R1556,1,0),"")</f>
        <v/>
      </c>
      <c r="AB1556" s="76" t="str">
        <f>IF(OR(X1556="Envoyé",X1556="Partiel",X1556="En retard"),IF(ISNUMBER(R1556),R1556,100000)+ROW()/100000,"")</f>
        <v/>
      </c>
      <c r="AC1556" s="66" t="str">
        <f>IF(A1556="","",IF(COUNTIF($A$6:A1556,A1556)=1,1,""))</f>
        <v/>
      </c>
      <c r="AD1556" s="66" t="str">
        <f>IF(AC1556=1,COUNT($AC$6:AC1556),"")</f>
        <v/>
      </c>
      <c r="AE1556" s="66" t="str">
        <f>IFERROR(INDEX(po_num,MATCH(1551,po_seq,0))&amp;"","")</f>
        <v/>
      </c>
      <c r="AF1556" s="66" t="str">
        <f>IF(OR(A1556="",p_po=""),"",IF(A1556&amp;""=p_po,COUNTIF($A$6:A1556,A1556),""))</f>
        <v/>
      </c>
      <c r="AG1556" s="66" t="str">
        <f>IF(OR(AB1556="",A1556=""),"",IF(COUNTIFS($A$6:A1556,A1556,$AB$6:AB1556,"&gt;0")=1,1,""))</f>
        <v/>
      </c>
      <c r="AH1556" s="70" t="str">
        <f>IF(AB1556="","",ROUND(N(W1556)*N(J1556)*(1-N(K1556)),2))</f>
        <v/>
      </c>
      <c r="AI1556" s="70" t="str">
        <f>IF(OR(J1556="",N(T1556)&lt;=0,V1556="Oui"),"",ROUND(N(T1556)*J1556*(1-N(K1556)),2))</f>
        <v/>
      </c>
    </row>
    <row r="1557">
      <c r="A1557" s="63" t="n"/>
      <c r="B1557" s="64" t="n"/>
      <c r="C1557" s="65" t="n"/>
      <c r="D1557" s="66" t="str">
        <f>IF(C1557="","",IFERROR(INDEX(sup_name,MATCH($C1557,sup_code,0))&amp;"","Fournisseur inconnu"))</f>
        <v/>
      </c>
      <c r="E1557" s="63" t="n"/>
      <c r="F1557" s="66" t="str">
        <f>IF(E1557="","",IFERROR(INDEX(art_des,MATCH($E1557,art_ref,0))&amp;"","Article inconnu"))</f>
        <v/>
      </c>
      <c r="G1557" s="67" t="str">
        <f>IF(E1557="","",IFERROR(INDEX(art_unit,MATCH($E1557,art_ref,0))&amp;"",""))</f>
        <v/>
      </c>
      <c r="H1557" s="68" t="n"/>
      <c r="I1557" s="69" t="n"/>
      <c r="J1557" s="70" t="str">
        <f>IF(E1557="","",IF(ISNUMBER(I1557),I1557,IFERROR(IF(ISNUMBER(INDEX(art_price,MATCH($E1557,art_ref,0))),INDEX(art_price,MATCH($E1557,art_ref,0)),""),"")))</f>
        <v/>
      </c>
      <c r="K1557" s="71" t="n"/>
      <c r="L1557" s="72" t="n"/>
      <c r="M1557" s="72" t="str">
        <f>IF(E1557="","",IF(L1557&lt;&gt;"",L1557,IFERROR(IF(ISNUMBER(INDEX(art_tva,MATCH($E1557,art_ref,0))),INDEX(art_tva,MATCH($E1557,art_ref,0)),""),"")))</f>
        <v/>
      </c>
      <c r="N1557" s="70" t="str">
        <f>IF(OR(E1557="",J1557=""),"",ROUND(N(H1557)*J1557*(1-N(K1557)),2))</f>
        <v/>
      </c>
      <c r="O1557" s="70" t="str">
        <f>IF(OR(N1557="",NOT(ISNUMBER(M1557))),"",ROUND(N1557*M1557,2))</f>
        <v/>
      </c>
      <c r="P1557" s="70" t="str">
        <f>IF(N1557="","",N1557+N(O1557))</f>
        <v/>
      </c>
      <c r="Q1557" s="64" t="n"/>
      <c r="R1557" s="73" t="str">
        <f>IF(N(Q1557)&gt;0,Q1557,IF(OR(N(B1557)=0,ISNA(MATCH($C1557,sup_code,0))),"",IF(ISNUMBER(INDEX(sup_delay,MATCH($C1557,sup_code,0))),B1557+INDEX(sup_delay,MATCH($C1557,sup_code,0)),"")))</f>
        <v/>
      </c>
      <c r="S1557" s="64" t="n"/>
      <c r="T1557" s="68" t="n"/>
      <c r="U1557" s="64" t="n"/>
      <c r="V1557" s="65" t="n"/>
      <c r="W1557" s="74" t="str">
        <f>IF(AND(A1557="",E1557=""),"",IF(V1557="Oui",0,MAX(0,ROUND(N(H1557)-N(T1557),6))))</f>
        <v/>
      </c>
      <c r="X1557" s="67" t="str">
        <f>IF(AND(A1557="",E1557=""),"",IF(V1557="Oui","Annulé",IF(AND(N(H1557)&gt;0,N(T1557)&gt;=N(H1557)),"Reçu",IF(N(S1557)=0,"Brouillon",IF(AND(ISNUMBER(R1557),R1557&lt;p_today),"En retard",IF(N(T1557)&gt;0,"Partiel","Envoyé"))))))</f>
        <v/>
      </c>
      <c r="Y1557" s="75" t="str">
        <f>IF(X1557="En retard",p_today-R1557,IF(AND(X1557="Reçu",ISNUMBER(R1557)),MAX(0,N(U1557)-R1557),""))</f>
        <v/>
      </c>
      <c r="Z1557" s="67" t="str">
        <f>IF(AND(A1557="",E1557=""),"",IF(A1557="","N° de bon manquant",IF(N(B1557)=0,"Date de commande manquante",IF(C1557="","Fournisseur manquant",IF(ISNA(MATCH($C1557,sup_code,0)),"Fournisseur inconnu",IF(E1557="","Article manquant",IF(ISNA(MATCH($E1557,art_ref,0)),"Article inconnu",IF(N(H1557)&lt;=0,"Quantité invalide",IF(J1557="","Prix manquant",IF(OR(N(K1557)&lt;0,N(K1557)&gt;=1),"Remise invalide",IF(M1557="","TVA manquante",IF(ISNA(MATCH(M1557,p_tva,0)),"Taux de TVA inconnu",IF(COUNTIFS(po_num,A1557,po_sup,"&lt;&gt;"&amp;C1557)&gt;0,"Fournisseur différent sur ce bon",IF(COUNTIFS(po_num,A1557,po_date,"&lt;&gt;"&amp;B1557)&gt;0,"Date différente sur ce bon",IF(COUNTIF(po_num,A1557)&gt;25,"Plus de 25 lignes sur ce bon",IF(R1557="","Date de livraison manquante",IF(R1557&lt;B1557,"Livraison avant la commande",IF(AND(N(T1557)&gt;0,N(S1557)=0),"Date d'envoi manquante",IF(N(T1557)&gt;N(H1557),"Reçu plus que commandé",IF(AND(N(T1557)&gt;0,N(U1557)=0),"Date de réception manquante",IF(AND(N(U1557)&gt;0,U1557&lt;B1557),"Réception avant la commande","OK")))))))))))))))))))))</f>
        <v/>
      </c>
      <c r="AA1557" s="66" t="str">
        <f>IF(AND(X1557="Reçu",ISNUMBER(R1557)),IF(N(U1557)&lt;=R1557,1,0),"")</f>
        <v/>
      </c>
      <c r="AB1557" s="76" t="str">
        <f>IF(OR(X1557="Envoyé",X1557="Partiel",X1557="En retard"),IF(ISNUMBER(R1557),R1557,100000)+ROW()/100000,"")</f>
        <v/>
      </c>
      <c r="AC1557" s="66" t="str">
        <f>IF(A1557="","",IF(COUNTIF($A$6:A1557,A1557)=1,1,""))</f>
        <v/>
      </c>
      <c r="AD1557" s="66" t="str">
        <f>IF(AC1557=1,COUNT($AC$6:AC1557),"")</f>
        <v/>
      </c>
      <c r="AE1557" s="66" t="str">
        <f>IFERROR(INDEX(po_num,MATCH(1552,po_seq,0))&amp;"","")</f>
        <v/>
      </c>
      <c r="AF1557" s="66" t="str">
        <f>IF(OR(A1557="",p_po=""),"",IF(A1557&amp;""=p_po,COUNTIF($A$6:A1557,A1557),""))</f>
        <v/>
      </c>
      <c r="AG1557" s="66" t="str">
        <f>IF(OR(AB1557="",A1557=""),"",IF(COUNTIFS($A$6:A1557,A1557,$AB$6:AB1557,"&gt;0")=1,1,""))</f>
        <v/>
      </c>
      <c r="AH1557" s="70" t="str">
        <f>IF(AB1557="","",ROUND(N(W1557)*N(J1557)*(1-N(K1557)),2))</f>
        <v/>
      </c>
      <c r="AI1557" s="70" t="str">
        <f>IF(OR(J1557="",N(T1557)&lt;=0,V1557="Oui"),"",ROUND(N(T1557)*J1557*(1-N(K1557)),2))</f>
        <v/>
      </c>
    </row>
    <row r="1558">
      <c r="A1558" s="63" t="n"/>
      <c r="B1558" s="64" t="n"/>
      <c r="C1558" s="65" t="n"/>
      <c r="D1558" s="66" t="str">
        <f>IF(C1558="","",IFERROR(INDEX(sup_name,MATCH($C1558,sup_code,0))&amp;"","Fournisseur inconnu"))</f>
        <v/>
      </c>
      <c r="E1558" s="63" t="n"/>
      <c r="F1558" s="66" t="str">
        <f>IF(E1558="","",IFERROR(INDEX(art_des,MATCH($E1558,art_ref,0))&amp;"","Article inconnu"))</f>
        <v/>
      </c>
      <c r="G1558" s="67" t="str">
        <f>IF(E1558="","",IFERROR(INDEX(art_unit,MATCH($E1558,art_ref,0))&amp;"",""))</f>
        <v/>
      </c>
      <c r="H1558" s="68" t="n"/>
      <c r="I1558" s="69" t="n"/>
      <c r="J1558" s="70" t="str">
        <f>IF(E1558="","",IF(ISNUMBER(I1558),I1558,IFERROR(IF(ISNUMBER(INDEX(art_price,MATCH($E1558,art_ref,0))),INDEX(art_price,MATCH($E1558,art_ref,0)),""),"")))</f>
        <v/>
      </c>
      <c r="K1558" s="71" t="n"/>
      <c r="L1558" s="72" t="n"/>
      <c r="M1558" s="72" t="str">
        <f>IF(E1558="","",IF(L1558&lt;&gt;"",L1558,IFERROR(IF(ISNUMBER(INDEX(art_tva,MATCH($E1558,art_ref,0))),INDEX(art_tva,MATCH($E1558,art_ref,0)),""),"")))</f>
        <v/>
      </c>
      <c r="N1558" s="70" t="str">
        <f>IF(OR(E1558="",J1558=""),"",ROUND(N(H1558)*J1558*(1-N(K1558)),2))</f>
        <v/>
      </c>
      <c r="O1558" s="70" t="str">
        <f>IF(OR(N1558="",NOT(ISNUMBER(M1558))),"",ROUND(N1558*M1558,2))</f>
        <v/>
      </c>
      <c r="P1558" s="70" t="str">
        <f>IF(N1558="","",N1558+N(O1558))</f>
        <v/>
      </c>
      <c r="Q1558" s="64" t="n"/>
      <c r="R1558" s="73" t="str">
        <f>IF(N(Q1558)&gt;0,Q1558,IF(OR(N(B1558)=0,ISNA(MATCH($C1558,sup_code,0))),"",IF(ISNUMBER(INDEX(sup_delay,MATCH($C1558,sup_code,0))),B1558+INDEX(sup_delay,MATCH($C1558,sup_code,0)),"")))</f>
        <v/>
      </c>
      <c r="S1558" s="64" t="n"/>
      <c r="T1558" s="68" t="n"/>
      <c r="U1558" s="64" t="n"/>
      <c r="V1558" s="65" t="n"/>
      <c r="W1558" s="74" t="str">
        <f>IF(AND(A1558="",E1558=""),"",IF(V1558="Oui",0,MAX(0,ROUND(N(H1558)-N(T1558),6))))</f>
        <v/>
      </c>
      <c r="X1558" s="67" t="str">
        <f>IF(AND(A1558="",E1558=""),"",IF(V1558="Oui","Annulé",IF(AND(N(H1558)&gt;0,N(T1558)&gt;=N(H1558)),"Reçu",IF(N(S1558)=0,"Brouillon",IF(AND(ISNUMBER(R1558),R1558&lt;p_today),"En retard",IF(N(T1558)&gt;0,"Partiel","Envoyé"))))))</f>
        <v/>
      </c>
      <c r="Y1558" s="75" t="str">
        <f>IF(X1558="En retard",p_today-R1558,IF(AND(X1558="Reçu",ISNUMBER(R1558)),MAX(0,N(U1558)-R1558),""))</f>
        <v/>
      </c>
      <c r="Z1558" s="67" t="str">
        <f>IF(AND(A1558="",E1558=""),"",IF(A1558="","N° de bon manquant",IF(N(B1558)=0,"Date de commande manquante",IF(C1558="","Fournisseur manquant",IF(ISNA(MATCH($C1558,sup_code,0)),"Fournisseur inconnu",IF(E1558="","Article manquant",IF(ISNA(MATCH($E1558,art_ref,0)),"Article inconnu",IF(N(H1558)&lt;=0,"Quantité invalide",IF(J1558="","Prix manquant",IF(OR(N(K1558)&lt;0,N(K1558)&gt;=1),"Remise invalide",IF(M1558="","TVA manquante",IF(ISNA(MATCH(M1558,p_tva,0)),"Taux de TVA inconnu",IF(COUNTIFS(po_num,A1558,po_sup,"&lt;&gt;"&amp;C1558)&gt;0,"Fournisseur différent sur ce bon",IF(COUNTIFS(po_num,A1558,po_date,"&lt;&gt;"&amp;B1558)&gt;0,"Date différente sur ce bon",IF(COUNTIF(po_num,A1558)&gt;25,"Plus de 25 lignes sur ce bon",IF(R1558="","Date de livraison manquante",IF(R1558&lt;B1558,"Livraison avant la commande",IF(AND(N(T1558)&gt;0,N(S1558)=0),"Date d'envoi manquante",IF(N(T1558)&gt;N(H1558),"Reçu plus que commandé",IF(AND(N(T1558)&gt;0,N(U1558)=0),"Date de réception manquante",IF(AND(N(U1558)&gt;0,U1558&lt;B1558),"Réception avant la commande","OK")))))))))))))))))))))</f>
        <v/>
      </c>
      <c r="AA1558" s="66" t="str">
        <f>IF(AND(X1558="Reçu",ISNUMBER(R1558)),IF(N(U1558)&lt;=R1558,1,0),"")</f>
        <v/>
      </c>
      <c r="AB1558" s="76" t="str">
        <f>IF(OR(X1558="Envoyé",X1558="Partiel",X1558="En retard"),IF(ISNUMBER(R1558),R1558,100000)+ROW()/100000,"")</f>
        <v/>
      </c>
      <c r="AC1558" s="66" t="str">
        <f>IF(A1558="","",IF(COUNTIF($A$6:A1558,A1558)=1,1,""))</f>
        <v/>
      </c>
      <c r="AD1558" s="66" t="str">
        <f>IF(AC1558=1,COUNT($AC$6:AC1558),"")</f>
        <v/>
      </c>
      <c r="AE1558" s="66" t="str">
        <f>IFERROR(INDEX(po_num,MATCH(1553,po_seq,0))&amp;"","")</f>
        <v/>
      </c>
      <c r="AF1558" s="66" t="str">
        <f>IF(OR(A1558="",p_po=""),"",IF(A1558&amp;""=p_po,COUNTIF($A$6:A1558,A1558),""))</f>
        <v/>
      </c>
      <c r="AG1558" s="66" t="str">
        <f>IF(OR(AB1558="",A1558=""),"",IF(COUNTIFS($A$6:A1558,A1558,$AB$6:AB1558,"&gt;0")=1,1,""))</f>
        <v/>
      </c>
      <c r="AH1558" s="70" t="str">
        <f>IF(AB1558="","",ROUND(N(W1558)*N(J1558)*(1-N(K1558)),2))</f>
        <v/>
      </c>
      <c r="AI1558" s="70" t="str">
        <f>IF(OR(J1558="",N(T1558)&lt;=0,V1558="Oui"),"",ROUND(N(T1558)*J1558*(1-N(K1558)),2))</f>
        <v/>
      </c>
    </row>
    <row r="1559">
      <c r="A1559" s="63" t="n"/>
      <c r="B1559" s="64" t="n"/>
      <c r="C1559" s="65" t="n"/>
      <c r="D1559" s="66" t="str">
        <f>IF(C1559="","",IFERROR(INDEX(sup_name,MATCH($C1559,sup_code,0))&amp;"","Fournisseur inconnu"))</f>
        <v/>
      </c>
      <c r="E1559" s="63" t="n"/>
      <c r="F1559" s="66" t="str">
        <f>IF(E1559="","",IFERROR(INDEX(art_des,MATCH($E1559,art_ref,0))&amp;"","Article inconnu"))</f>
        <v/>
      </c>
      <c r="G1559" s="67" t="str">
        <f>IF(E1559="","",IFERROR(INDEX(art_unit,MATCH($E1559,art_ref,0))&amp;"",""))</f>
        <v/>
      </c>
      <c r="H1559" s="68" t="n"/>
      <c r="I1559" s="69" t="n"/>
      <c r="J1559" s="70" t="str">
        <f>IF(E1559="","",IF(ISNUMBER(I1559),I1559,IFERROR(IF(ISNUMBER(INDEX(art_price,MATCH($E1559,art_ref,0))),INDEX(art_price,MATCH($E1559,art_ref,0)),""),"")))</f>
        <v/>
      </c>
      <c r="K1559" s="71" t="n"/>
      <c r="L1559" s="72" t="n"/>
      <c r="M1559" s="72" t="str">
        <f>IF(E1559="","",IF(L1559&lt;&gt;"",L1559,IFERROR(IF(ISNUMBER(INDEX(art_tva,MATCH($E1559,art_ref,0))),INDEX(art_tva,MATCH($E1559,art_ref,0)),""),"")))</f>
        <v/>
      </c>
      <c r="N1559" s="70" t="str">
        <f>IF(OR(E1559="",J1559=""),"",ROUND(N(H1559)*J1559*(1-N(K1559)),2))</f>
        <v/>
      </c>
      <c r="O1559" s="70" t="str">
        <f>IF(OR(N1559="",NOT(ISNUMBER(M1559))),"",ROUND(N1559*M1559,2))</f>
        <v/>
      </c>
      <c r="P1559" s="70" t="str">
        <f>IF(N1559="","",N1559+N(O1559))</f>
        <v/>
      </c>
      <c r="Q1559" s="64" t="n"/>
      <c r="R1559" s="73" t="str">
        <f>IF(N(Q1559)&gt;0,Q1559,IF(OR(N(B1559)=0,ISNA(MATCH($C1559,sup_code,0))),"",IF(ISNUMBER(INDEX(sup_delay,MATCH($C1559,sup_code,0))),B1559+INDEX(sup_delay,MATCH($C1559,sup_code,0)),"")))</f>
        <v/>
      </c>
      <c r="S1559" s="64" t="n"/>
      <c r="T1559" s="68" t="n"/>
      <c r="U1559" s="64" t="n"/>
      <c r="V1559" s="65" t="n"/>
      <c r="W1559" s="74" t="str">
        <f>IF(AND(A1559="",E1559=""),"",IF(V1559="Oui",0,MAX(0,ROUND(N(H1559)-N(T1559),6))))</f>
        <v/>
      </c>
      <c r="X1559" s="67" t="str">
        <f>IF(AND(A1559="",E1559=""),"",IF(V1559="Oui","Annulé",IF(AND(N(H1559)&gt;0,N(T1559)&gt;=N(H1559)),"Reçu",IF(N(S1559)=0,"Brouillon",IF(AND(ISNUMBER(R1559),R1559&lt;p_today),"En retard",IF(N(T1559)&gt;0,"Partiel","Envoyé"))))))</f>
        <v/>
      </c>
      <c r="Y1559" s="75" t="str">
        <f>IF(X1559="En retard",p_today-R1559,IF(AND(X1559="Reçu",ISNUMBER(R1559)),MAX(0,N(U1559)-R1559),""))</f>
        <v/>
      </c>
      <c r="Z1559" s="67" t="str">
        <f>IF(AND(A1559="",E1559=""),"",IF(A1559="","N° de bon manquant",IF(N(B1559)=0,"Date de commande manquante",IF(C1559="","Fournisseur manquant",IF(ISNA(MATCH($C1559,sup_code,0)),"Fournisseur inconnu",IF(E1559="","Article manquant",IF(ISNA(MATCH($E1559,art_ref,0)),"Article inconnu",IF(N(H1559)&lt;=0,"Quantité invalide",IF(J1559="","Prix manquant",IF(OR(N(K1559)&lt;0,N(K1559)&gt;=1),"Remise invalide",IF(M1559="","TVA manquante",IF(ISNA(MATCH(M1559,p_tva,0)),"Taux de TVA inconnu",IF(COUNTIFS(po_num,A1559,po_sup,"&lt;&gt;"&amp;C1559)&gt;0,"Fournisseur différent sur ce bon",IF(COUNTIFS(po_num,A1559,po_date,"&lt;&gt;"&amp;B1559)&gt;0,"Date différente sur ce bon",IF(COUNTIF(po_num,A1559)&gt;25,"Plus de 25 lignes sur ce bon",IF(R1559="","Date de livraison manquante",IF(R1559&lt;B1559,"Livraison avant la commande",IF(AND(N(T1559)&gt;0,N(S1559)=0),"Date d'envoi manquante",IF(N(T1559)&gt;N(H1559),"Reçu plus que commandé",IF(AND(N(T1559)&gt;0,N(U1559)=0),"Date de réception manquante",IF(AND(N(U1559)&gt;0,U1559&lt;B1559),"Réception avant la commande","OK")))))))))))))))))))))</f>
        <v/>
      </c>
      <c r="AA1559" s="66" t="str">
        <f>IF(AND(X1559="Reçu",ISNUMBER(R1559)),IF(N(U1559)&lt;=R1559,1,0),"")</f>
        <v/>
      </c>
      <c r="AB1559" s="76" t="str">
        <f>IF(OR(X1559="Envoyé",X1559="Partiel",X1559="En retard"),IF(ISNUMBER(R1559),R1559,100000)+ROW()/100000,"")</f>
        <v/>
      </c>
      <c r="AC1559" s="66" t="str">
        <f>IF(A1559="","",IF(COUNTIF($A$6:A1559,A1559)=1,1,""))</f>
        <v/>
      </c>
      <c r="AD1559" s="66" t="str">
        <f>IF(AC1559=1,COUNT($AC$6:AC1559),"")</f>
        <v/>
      </c>
      <c r="AE1559" s="66" t="str">
        <f>IFERROR(INDEX(po_num,MATCH(1554,po_seq,0))&amp;"","")</f>
        <v/>
      </c>
      <c r="AF1559" s="66" t="str">
        <f>IF(OR(A1559="",p_po=""),"",IF(A1559&amp;""=p_po,COUNTIF($A$6:A1559,A1559),""))</f>
        <v/>
      </c>
      <c r="AG1559" s="66" t="str">
        <f>IF(OR(AB1559="",A1559=""),"",IF(COUNTIFS($A$6:A1559,A1559,$AB$6:AB1559,"&gt;0")=1,1,""))</f>
        <v/>
      </c>
      <c r="AH1559" s="70" t="str">
        <f>IF(AB1559="","",ROUND(N(W1559)*N(J1559)*(1-N(K1559)),2))</f>
        <v/>
      </c>
      <c r="AI1559" s="70" t="str">
        <f>IF(OR(J1559="",N(T1559)&lt;=0,V1559="Oui"),"",ROUND(N(T1559)*J1559*(1-N(K1559)),2))</f>
        <v/>
      </c>
    </row>
    <row r="1560">
      <c r="A1560" s="63" t="n"/>
      <c r="B1560" s="64" t="n"/>
      <c r="C1560" s="65" t="n"/>
      <c r="D1560" s="66" t="str">
        <f>IF(C1560="","",IFERROR(INDEX(sup_name,MATCH($C1560,sup_code,0))&amp;"","Fournisseur inconnu"))</f>
        <v/>
      </c>
      <c r="E1560" s="63" t="n"/>
      <c r="F1560" s="66" t="str">
        <f>IF(E1560="","",IFERROR(INDEX(art_des,MATCH($E1560,art_ref,0))&amp;"","Article inconnu"))</f>
        <v/>
      </c>
      <c r="G1560" s="67" t="str">
        <f>IF(E1560="","",IFERROR(INDEX(art_unit,MATCH($E1560,art_ref,0))&amp;"",""))</f>
        <v/>
      </c>
      <c r="H1560" s="68" t="n"/>
      <c r="I1560" s="69" t="n"/>
      <c r="J1560" s="70" t="str">
        <f>IF(E1560="","",IF(ISNUMBER(I1560),I1560,IFERROR(IF(ISNUMBER(INDEX(art_price,MATCH($E1560,art_ref,0))),INDEX(art_price,MATCH($E1560,art_ref,0)),""),"")))</f>
        <v/>
      </c>
      <c r="K1560" s="71" t="n"/>
      <c r="L1560" s="72" t="n"/>
      <c r="M1560" s="72" t="str">
        <f>IF(E1560="","",IF(L1560&lt;&gt;"",L1560,IFERROR(IF(ISNUMBER(INDEX(art_tva,MATCH($E1560,art_ref,0))),INDEX(art_tva,MATCH($E1560,art_ref,0)),""),"")))</f>
        <v/>
      </c>
      <c r="N1560" s="70" t="str">
        <f>IF(OR(E1560="",J1560=""),"",ROUND(N(H1560)*J1560*(1-N(K1560)),2))</f>
        <v/>
      </c>
      <c r="O1560" s="70" t="str">
        <f>IF(OR(N1560="",NOT(ISNUMBER(M1560))),"",ROUND(N1560*M1560,2))</f>
        <v/>
      </c>
      <c r="P1560" s="70" t="str">
        <f>IF(N1560="","",N1560+N(O1560))</f>
        <v/>
      </c>
      <c r="Q1560" s="64" t="n"/>
      <c r="R1560" s="73" t="str">
        <f>IF(N(Q1560)&gt;0,Q1560,IF(OR(N(B1560)=0,ISNA(MATCH($C1560,sup_code,0))),"",IF(ISNUMBER(INDEX(sup_delay,MATCH($C1560,sup_code,0))),B1560+INDEX(sup_delay,MATCH($C1560,sup_code,0)),"")))</f>
        <v/>
      </c>
      <c r="S1560" s="64" t="n"/>
      <c r="T1560" s="68" t="n"/>
      <c r="U1560" s="64" t="n"/>
      <c r="V1560" s="65" t="n"/>
      <c r="W1560" s="74" t="str">
        <f>IF(AND(A1560="",E1560=""),"",IF(V1560="Oui",0,MAX(0,ROUND(N(H1560)-N(T1560),6))))</f>
        <v/>
      </c>
      <c r="X1560" s="67" t="str">
        <f>IF(AND(A1560="",E1560=""),"",IF(V1560="Oui","Annulé",IF(AND(N(H1560)&gt;0,N(T1560)&gt;=N(H1560)),"Reçu",IF(N(S1560)=0,"Brouillon",IF(AND(ISNUMBER(R1560),R1560&lt;p_today),"En retard",IF(N(T1560)&gt;0,"Partiel","Envoyé"))))))</f>
        <v/>
      </c>
      <c r="Y1560" s="75" t="str">
        <f>IF(X1560="En retard",p_today-R1560,IF(AND(X1560="Reçu",ISNUMBER(R1560)),MAX(0,N(U1560)-R1560),""))</f>
        <v/>
      </c>
      <c r="Z1560" s="67" t="str">
        <f>IF(AND(A1560="",E1560=""),"",IF(A1560="","N° de bon manquant",IF(N(B1560)=0,"Date de commande manquante",IF(C1560="","Fournisseur manquant",IF(ISNA(MATCH($C1560,sup_code,0)),"Fournisseur inconnu",IF(E1560="","Article manquant",IF(ISNA(MATCH($E1560,art_ref,0)),"Article inconnu",IF(N(H1560)&lt;=0,"Quantité invalide",IF(J1560="","Prix manquant",IF(OR(N(K1560)&lt;0,N(K1560)&gt;=1),"Remise invalide",IF(M1560="","TVA manquante",IF(ISNA(MATCH(M1560,p_tva,0)),"Taux de TVA inconnu",IF(COUNTIFS(po_num,A1560,po_sup,"&lt;&gt;"&amp;C1560)&gt;0,"Fournisseur différent sur ce bon",IF(COUNTIFS(po_num,A1560,po_date,"&lt;&gt;"&amp;B1560)&gt;0,"Date différente sur ce bon",IF(COUNTIF(po_num,A1560)&gt;25,"Plus de 25 lignes sur ce bon",IF(R1560="","Date de livraison manquante",IF(R1560&lt;B1560,"Livraison avant la commande",IF(AND(N(T1560)&gt;0,N(S1560)=0),"Date d'envoi manquante",IF(N(T1560)&gt;N(H1560),"Reçu plus que commandé",IF(AND(N(T1560)&gt;0,N(U1560)=0),"Date de réception manquante",IF(AND(N(U1560)&gt;0,U1560&lt;B1560),"Réception avant la commande","OK")))))))))))))))))))))</f>
        <v/>
      </c>
      <c r="AA1560" s="66" t="str">
        <f>IF(AND(X1560="Reçu",ISNUMBER(R1560)),IF(N(U1560)&lt;=R1560,1,0),"")</f>
        <v/>
      </c>
      <c r="AB1560" s="76" t="str">
        <f>IF(OR(X1560="Envoyé",X1560="Partiel",X1560="En retard"),IF(ISNUMBER(R1560),R1560,100000)+ROW()/100000,"")</f>
        <v/>
      </c>
      <c r="AC1560" s="66" t="str">
        <f>IF(A1560="","",IF(COUNTIF($A$6:A1560,A1560)=1,1,""))</f>
        <v/>
      </c>
      <c r="AD1560" s="66" t="str">
        <f>IF(AC1560=1,COUNT($AC$6:AC1560),"")</f>
        <v/>
      </c>
      <c r="AE1560" s="66" t="str">
        <f>IFERROR(INDEX(po_num,MATCH(1555,po_seq,0))&amp;"","")</f>
        <v/>
      </c>
      <c r="AF1560" s="66" t="str">
        <f>IF(OR(A1560="",p_po=""),"",IF(A1560&amp;""=p_po,COUNTIF($A$6:A1560,A1560),""))</f>
        <v/>
      </c>
      <c r="AG1560" s="66" t="str">
        <f>IF(OR(AB1560="",A1560=""),"",IF(COUNTIFS($A$6:A1560,A1560,$AB$6:AB1560,"&gt;0")=1,1,""))</f>
        <v/>
      </c>
      <c r="AH1560" s="70" t="str">
        <f>IF(AB1560="","",ROUND(N(W1560)*N(J1560)*(1-N(K1560)),2))</f>
        <v/>
      </c>
      <c r="AI1560" s="70" t="str">
        <f>IF(OR(J1560="",N(T1560)&lt;=0,V1560="Oui"),"",ROUND(N(T1560)*J1560*(1-N(K1560)),2))</f>
        <v/>
      </c>
    </row>
    <row r="1561">
      <c r="A1561" s="63" t="n"/>
      <c r="B1561" s="64" t="n"/>
      <c r="C1561" s="65" t="n"/>
      <c r="D1561" s="66" t="str">
        <f>IF(C1561="","",IFERROR(INDEX(sup_name,MATCH($C1561,sup_code,0))&amp;"","Fournisseur inconnu"))</f>
        <v/>
      </c>
      <c r="E1561" s="63" t="n"/>
      <c r="F1561" s="66" t="str">
        <f>IF(E1561="","",IFERROR(INDEX(art_des,MATCH($E1561,art_ref,0))&amp;"","Article inconnu"))</f>
        <v/>
      </c>
      <c r="G1561" s="67" t="str">
        <f>IF(E1561="","",IFERROR(INDEX(art_unit,MATCH($E1561,art_ref,0))&amp;"",""))</f>
        <v/>
      </c>
      <c r="H1561" s="68" t="n"/>
      <c r="I1561" s="69" t="n"/>
      <c r="J1561" s="70" t="str">
        <f>IF(E1561="","",IF(ISNUMBER(I1561),I1561,IFERROR(IF(ISNUMBER(INDEX(art_price,MATCH($E1561,art_ref,0))),INDEX(art_price,MATCH($E1561,art_ref,0)),""),"")))</f>
        <v/>
      </c>
      <c r="K1561" s="71" t="n"/>
      <c r="L1561" s="72" t="n"/>
      <c r="M1561" s="72" t="str">
        <f>IF(E1561="","",IF(L1561&lt;&gt;"",L1561,IFERROR(IF(ISNUMBER(INDEX(art_tva,MATCH($E1561,art_ref,0))),INDEX(art_tva,MATCH($E1561,art_ref,0)),""),"")))</f>
        <v/>
      </c>
      <c r="N1561" s="70" t="str">
        <f>IF(OR(E1561="",J1561=""),"",ROUND(N(H1561)*J1561*(1-N(K1561)),2))</f>
        <v/>
      </c>
      <c r="O1561" s="70" t="str">
        <f>IF(OR(N1561="",NOT(ISNUMBER(M1561))),"",ROUND(N1561*M1561,2))</f>
        <v/>
      </c>
      <c r="P1561" s="70" t="str">
        <f>IF(N1561="","",N1561+N(O1561))</f>
        <v/>
      </c>
      <c r="Q1561" s="64" t="n"/>
      <c r="R1561" s="73" t="str">
        <f>IF(N(Q1561)&gt;0,Q1561,IF(OR(N(B1561)=0,ISNA(MATCH($C1561,sup_code,0))),"",IF(ISNUMBER(INDEX(sup_delay,MATCH($C1561,sup_code,0))),B1561+INDEX(sup_delay,MATCH($C1561,sup_code,0)),"")))</f>
        <v/>
      </c>
      <c r="S1561" s="64" t="n"/>
      <c r="T1561" s="68" t="n"/>
      <c r="U1561" s="64" t="n"/>
      <c r="V1561" s="65" t="n"/>
      <c r="W1561" s="74" t="str">
        <f>IF(AND(A1561="",E1561=""),"",IF(V1561="Oui",0,MAX(0,ROUND(N(H1561)-N(T1561),6))))</f>
        <v/>
      </c>
      <c r="X1561" s="67" t="str">
        <f>IF(AND(A1561="",E1561=""),"",IF(V1561="Oui","Annulé",IF(AND(N(H1561)&gt;0,N(T1561)&gt;=N(H1561)),"Reçu",IF(N(S1561)=0,"Brouillon",IF(AND(ISNUMBER(R1561),R1561&lt;p_today),"En retard",IF(N(T1561)&gt;0,"Partiel","Envoyé"))))))</f>
        <v/>
      </c>
      <c r="Y1561" s="75" t="str">
        <f>IF(X1561="En retard",p_today-R1561,IF(AND(X1561="Reçu",ISNUMBER(R1561)),MAX(0,N(U1561)-R1561),""))</f>
        <v/>
      </c>
      <c r="Z1561" s="67" t="str">
        <f>IF(AND(A1561="",E1561=""),"",IF(A1561="","N° de bon manquant",IF(N(B1561)=0,"Date de commande manquante",IF(C1561="","Fournisseur manquant",IF(ISNA(MATCH($C1561,sup_code,0)),"Fournisseur inconnu",IF(E1561="","Article manquant",IF(ISNA(MATCH($E1561,art_ref,0)),"Article inconnu",IF(N(H1561)&lt;=0,"Quantité invalide",IF(J1561="","Prix manquant",IF(OR(N(K1561)&lt;0,N(K1561)&gt;=1),"Remise invalide",IF(M1561="","TVA manquante",IF(ISNA(MATCH(M1561,p_tva,0)),"Taux de TVA inconnu",IF(COUNTIFS(po_num,A1561,po_sup,"&lt;&gt;"&amp;C1561)&gt;0,"Fournisseur différent sur ce bon",IF(COUNTIFS(po_num,A1561,po_date,"&lt;&gt;"&amp;B1561)&gt;0,"Date différente sur ce bon",IF(COUNTIF(po_num,A1561)&gt;25,"Plus de 25 lignes sur ce bon",IF(R1561="","Date de livraison manquante",IF(R1561&lt;B1561,"Livraison avant la commande",IF(AND(N(T1561)&gt;0,N(S1561)=0),"Date d'envoi manquante",IF(N(T1561)&gt;N(H1561),"Reçu plus que commandé",IF(AND(N(T1561)&gt;0,N(U1561)=0),"Date de réception manquante",IF(AND(N(U1561)&gt;0,U1561&lt;B1561),"Réception avant la commande","OK")))))))))))))))))))))</f>
        <v/>
      </c>
      <c r="AA1561" s="66" t="str">
        <f>IF(AND(X1561="Reçu",ISNUMBER(R1561)),IF(N(U1561)&lt;=R1561,1,0),"")</f>
        <v/>
      </c>
      <c r="AB1561" s="76" t="str">
        <f>IF(OR(X1561="Envoyé",X1561="Partiel",X1561="En retard"),IF(ISNUMBER(R1561),R1561,100000)+ROW()/100000,"")</f>
        <v/>
      </c>
      <c r="AC1561" s="66" t="str">
        <f>IF(A1561="","",IF(COUNTIF($A$6:A1561,A1561)=1,1,""))</f>
        <v/>
      </c>
      <c r="AD1561" s="66" t="str">
        <f>IF(AC1561=1,COUNT($AC$6:AC1561),"")</f>
        <v/>
      </c>
      <c r="AE1561" s="66" t="str">
        <f>IFERROR(INDEX(po_num,MATCH(1556,po_seq,0))&amp;"","")</f>
        <v/>
      </c>
      <c r="AF1561" s="66" t="str">
        <f>IF(OR(A1561="",p_po=""),"",IF(A1561&amp;""=p_po,COUNTIF($A$6:A1561,A1561),""))</f>
        <v/>
      </c>
      <c r="AG1561" s="66" t="str">
        <f>IF(OR(AB1561="",A1561=""),"",IF(COUNTIFS($A$6:A1561,A1561,$AB$6:AB1561,"&gt;0")=1,1,""))</f>
        <v/>
      </c>
      <c r="AH1561" s="70" t="str">
        <f>IF(AB1561="","",ROUND(N(W1561)*N(J1561)*(1-N(K1561)),2))</f>
        <v/>
      </c>
      <c r="AI1561" s="70" t="str">
        <f>IF(OR(J1561="",N(T1561)&lt;=0,V1561="Oui"),"",ROUND(N(T1561)*J1561*(1-N(K1561)),2))</f>
        <v/>
      </c>
    </row>
    <row r="1562">
      <c r="A1562" s="63" t="n"/>
      <c r="B1562" s="64" t="n"/>
      <c r="C1562" s="65" t="n"/>
      <c r="D1562" s="66" t="str">
        <f>IF(C1562="","",IFERROR(INDEX(sup_name,MATCH($C1562,sup_code,0))&amp;"","Fournisseur inconnu"))</f>
        <v/>
      </c>
      <c r="E1562" s="63" t="n"/>
      <c r="F1562" s="66" t="str">
        <f>IF(E1562="","",IFERROR(INDEX(art_des,MATCH($E1562,art_ref,0))&amp;"","Article inconnu"))</f>
        <v/>
      </c>
      <c r="G1562" s="67" t="str">
        <f>IF(E1562="","",IFERROR(INDEX(art_unit,MATCH($E1562,art_ref,0))&amp;"",""))</f>
        <v/>
      </c>
      <c r="H1562" s="68" t="n"/>
      <c r="I1562" s="69" t="n"/>
      <c r="J1562" s="70" t="str">
        <f>IF(E1562="","",IF(ISNUMBER(I1562),I1562,IFERROR(IF(ISNUMBER(INDEX(art_price,MATCH($E1562,art_ref,0))),INDEX(art_price,MATCH($E1562,art_ref,0)),""),"")))</f>
        <v/>
      </c>
      <c r="K1562" s="71" t="n"/>
      <c r="L1562" s="72" t="n"/>
      <c r="M1562" s="72" t="str">
        <f>IF(E1562="","",IF(L1562&lt;&gt;"",L1562,IFERROR(IF(ISNUMBER(INDEX(art_tva,MATCH($E1562,art_ref,0))),INDEX(art_tva,MATCH($E1562,art_ref,0)),""),"")))</f>
        <v/>
      </c>
      <c r="N1562" s="70" t="str">
        <f>IF(OR(E1562="",J1562=""),"",ROUND(N(H1562)*J1562*(1-N(K1562)),2))</f>
        <v/>
      </c>
      <c r="O1562" s="70" t="str">
        <f>IF(OR(N1562="",NOT(ISNUMBER(M1562))),"",ROUND(N1562*M1562,2))</f>
        <v/>
      </c>
      <c r="P1562" s="70" t="str">
        <f>IF(N1562="","",N1562+N(O1562))</f>
        <v/>
      </c>
      <c r="Q1562" s="64" t="n"/>
      <c r="R1562" s="73" t="str">
        <f>IF(N(Q1562)&gt;0,Q1562,IF(OR(N(B1562)=0,ISNA(MATCH($C1562,sup_code,0))),"",IF(ISNUMBER(INDEX(sup_delay,MATCH($C1562,sup_code,0))),B1562+INDEX(sup_delay,MATCH($C1562,sup_code,0)),"")))</f>
        <v/>
      </c>
      <c r="S1562" s="64" t="n"/>
      <c r="T1562" s="68" t="n"/>
      <c r="U1562" s="64" t="n"/>
      <c r="V1562" s="65" t="n"/>
      <c r="W1562" s="74" t="str">
        <f>IF(AND(A1562="",E1562=""),"",IF(V1562="Oui",0,MAX(0,ROUND(N(H1562)-N(T1562),6))))</f>
        <v/>
      </c>
      <c r="X1562" s="67" t="str">
        <f>IF(AND(A1562="",E1562=""),"",IF(V1562="Oui","Annulé",IF(AND(N(H1562)&gt;0,N(T1562)&gt;=N(H1562)),"Reçu",IF(N(S1562)=0,"Brouillon",IF(AND(ISNUMBER(R1562),R1562&lt;p_today),"En retard",IF(N(T1562)&gt;0,"Partiel","Envoyé"))))))</f>
        <v/>
      </c>
      <c r="Y1562" s="75" t="str">
        <f>IF(X1562="En retard",p_today-R1562,IF(AND(X1562="Reçu",ISNUMBER(R1562)),MAX(0,N(U1562)-R1562),""))</f>
        <v/>
      </c>
      <c r="Z1562" s="67" t="str">
        <f>IF(AND(A1562="",E1562=""),"",IF(A1562="","N° de bon manquant",IF(N(B1562)=0,"Date de commande manquante",IF(C1562="","Fournisseur manquant",IF(ISNA(MATCH($C1562,sup_code,0)),"Fournisseur inconnu",IF(E1562="","Article manquant",IF(ISNA(MATCH($E1562,art_ref,0)),"Article inconnu",IF(N(H1562)&lt;=0,"Quantité invalide",IF(J1562="","Prix manquant",IF(OR(N(K1562)&lt;0,N(K1562)&gt;=1),"Remise invalide",IF(M1562="","TVA manquante",IF(ISNA(MATCH(M1562,p_tva,0)),"Taux de TVA inconnu",IF(COUNTIFS(po_num,A1562,po_sup,"&lt;&gt;"&amp;C1562)&gt;0,"Fournisseur différent sur ce bon",IF(COUNTIFS(po_num,A1562,po_date,"&lt;&gt;"&amp;B1562)&gt;0,"Date différente sur ce bon",IF(COUNTIF(po_num,A1562)&gt;25,"Plus de 25 lignes sur ce bon",IF(R1562="","Date de livraison manquante",IF(R1562&lt;B1562,"Livraison avant la commande",IF(AND(N(T1562)&gt;0,N(S1562)=0),"Date d'envoi manquante",IF(N(T1562)&gt;N(H1562),"Reçu plus que commandé",IF(AND(N(T1562)&gt;0,N(U1562)=0),"Date de réception manquante",IF(AND(N(U1562)&gt;0,U1562&lt;B1562),"Réception avant la commande","OK")))))))))))))))))))))</f>
        <v/>
      </c>
      <c r="AA1562" s="66" t="str">
        <f>IF(AND(X1562="Reçu",ISNUMBER(R1562)),IF(N(U1562)&lt;=R1562,1,0),"")</f>
        <v/>
      </c>
      <c r="AB1562" s="76" t="str">
        <f>IF(OR(X1562="Envoyé",X1562="Partiel",X1562="En retard"),IF(ISNUMBER(R1562),R1562,100000)+ROW()/100000,"")</f>
        <v/>
      </c>
      <c r="AC1562" s="66" t="str">
        <f>IF(A1562="","",IF(COUNTIF($A$6:A1562,A1562)=1,1,""))</f>
        <v/>
      </c>
      <c r="AD1562" s="66" t="str">
        <f>IF(AC1562=1,COUNT($AC$6:AC1562),"")</f>
        <v/>
      </c>
      <c r="AE1562" s="66" t="str">
        <f>IFERROR(INDEX(po_num,MATCH(1557,po_seq,0))&amp;"","")</f>
        <v/>
      </c>
      <c r="AF1562" s="66" t="str">
        <f>IF(OR(A1562="",p_po=""),"",IF(A1562&amp;""=p_po,COUNTIF($A$6:A1562,A1562),""))</f>
        <v/>
      </c>
      <c r="AG1562" s="66" t="str">
        <f>IF(OR(AB1562="",A1562=""),"",IF(COUNTIFS($A$6:A1562,A1562,$AB$6:AB1562,"&gt;0")=1,1,""))</f>
        <v/>
      </c>
      <c r="AH1562" s="70" t="str">
        <f>IF(AB1562="","",ROUND(N(W1562)*N(J1562)*(1-N(K1562)),2))</f>
        <v/>
      </c>
      <c r="AI1562" s="70" t="str">
        <f>IF(OR(J1562="",N(T1562)&lt;=0,V1562="Oui"),"",ROUND(N(T1562)*J1562*(1-N(K1562)),2))</f>
        <v/>
      </c>
    </row>
    <row r="1563">
      <c r="A1563" s="63" t="n"/>
      <c r="B1563" s="64" t="n"/>
      <c r="C1563" s="65" t="n"/>
      <c r="D1563" s="66" t="str">
        <f>IF(C1563="","",IFERROR(INDEX(sup_name,MATCH($C1563,sup_code,0))&amp;"","Fournisseur inconnu"))</f>
        <v/>
      </c>
      <c r="E1563" s="63" t="n"/>
      <c r="F1563" s="66" t="str">
        <f>IF(E1563="","",IFERROR(INDEX(art_des,MATCH($E1563,art_ref,0))&amp;"","Article inconnu"))</f>
        <v/>
      </c>
      <c r="G1563" s="67" t="str">
        <f>IF(E1563="","",IFERROR(INDEX(art_unit,MATCH($E1563,art_ref,0))&amp;"",""))</f>
        <v/>
      </c>
      <c r="H1563" s="68" t="n"/>
      <c r="I1563" s="69" t="n"/>
      <c r="J1563" s="70" t="str">
        <f>IF(E1563="","",IF(ISNUMBER(I1563),I1563,IFERROR(IF(ISNUMBER(INDEX(art_price,MATCH($E1563,art_ref,0))),INDEX(art_price,MATCH($E1563,art_ref,0)),""),"")))</f>
        <v/>
      </c>
      <c r="K1563" s="71" t="n"/>
      <c r="L1563" s="72" t="n"/>
      <c r="M1563" s="72" t="str">
        <f>IF(E1563="","",IF(L1563&lt;&gt;"",L1563,IFERROR(IF(ISNUMBER(INDEX(art_tva,MATCH($E1563,art_ref,0))),INDEX(art_tva,MATCH($E1563,art_ref,0)),""),"")))</f>
        <v/>
      </c>
      <c r="N1563" s="70" t="str">
        <f>IF(OR(E1563="",J1563=""),"",ROUND(N(H1563)*J1563*(1-N(K1563)),2))</f>
        <v/>
      </c>
      <c r="O1563" s="70" t="str">
        <f>IF(OR(N1563="",NOT(ISNUMBER(M1563))),"",ROUND(N1563*M1563,2))</f>
        <v/>
      </c>
      <c r="P1563" s="70" t="str">
        <f>IF(N1563="","",N1563+N(O1563))</f>
        <v/>
      </c>
      <c r="Q1563" s="64" t="n"/>
      <c r="R1563" s="73" t="str">
        <f>IF(N(Q1563)&gt;0,Q1563,IF(OR(N(B1563)=0,ISNA(MATCH($C1563,sup_code,0))),"",IF(ISNUMBER(INDEX(sup_delay,MATCH($C1563,sup_code,0))),B1563+INDEX(sup_delay,MATCH($C1563,sup_code,0)),"")))</f>
        <v/>
      </c>
      <c r="S1563" s="64" t="n"/>
      <c r="T1563" s="68" t="n"/>
      <c r="U1563" s="64" t="n"/>
      <c r="V1563" s="65" t="n"/>
      <c r="W1563" s="74" t="str">
        <f>IF(AND(A1563="",E1563=""),"",IF(V1563="Oui",0,MAX(0,ROUND(N(H1563)-N(T1563),6))))</f>
        <v/>
      </c>
      <c r="X1563" s="67" t="str">
        <f>IF(AND(A1563="",E1563=""),"",IF(V1563="Oui","Annulé",IF(AND(N(H1563)&gt;0,N(T1563)&gt;=N(H1563)),"Reçu",IF(N(S1563)=0,"Brouillon",IF(AND(ISNUMBER(R1563),R1563&lt;p_today),"En retard",IF(N(T1563)&gt;0,"Partiel","Envoyé"))))))</f>
        <v/>
      </c>
      <c r="Y1563" s="75" t="str">
        <f>IF(X1563="En retard",p_today-R1563,IF(AND(X1563="Reçu",ISNUMBER(R1563)),MAX(0,N(U1563)-R1563),""))</f>
        <v/>
      </c>
      <c r="Z1563" s="67" t="str">
        <f>IF(AND(A1563="",E1563=""),"",IF(A1563="","N° de bon manquant",IF(N(B1563)=0,"Date de commande manquante",IF(C1563="","Fournisseur manquant",IF(ISNA(MATCH($C1563,sup_code,0)),"Fournisseur inconnu",IF(E1563="","Article manquant",IF(ISNA(MATCH($E1563,art_ref,0)),"Article inconnu",IF(N(H1563)&lt;=0,"Quantité invalide",IF(J1563="","Prix manquant",IF(OR(N(K1563)&lt;0,N(K1563)&gt;=1),"Remise invalide",IF(M1563="","TVA manquante",IF(ISNA(MATCH(M1563,p_tva,0)),"Taux de TVA inconnu",IF(COUNTIFS(po_num,A1563,po_sup,"&lt;&gt;"&amp;C1563)&gt;0,"Fournisseur différent sur ce bon",IF(COUNTIFS(po_num,A1563,po_date,"&lt;&gt;"&amp;B1563)&gt;0,"Date différente sur ce bon",IF(COUNTIF(po_num,A1563)&gt;25,"Plus de 25 lignes sur ce bon",IF(R1563="","Date de livraison manquante",IF(R1563&lt;B1563,"Livraison avant la commande",IF(AND(N(T1563)&gt;0,N(S1563)=0),"Date d'envoi manquante",IF(N(T1563)&gt;N(H1563),"Reçu plus que commandé",IF(AND(N(T1563)&gt;0,N(U1563)=0),"Date de réception manquante",IF(AND(N(U1563)&gt;0,U1563&lt;B1563),"Réception avant la commande","OK")))))))))))))))))))))</f>
        <v/>
      </c>
      <c r="AA1563" s="66" t="str">
        <f>IF(AND(X1563="Reçu",ISNUMBER(R1563)),IF(N(U1563)&lt;=R1563,1,0),"")</f>
        <v/>
      </c>
      <c r="AB1563" s="76" t="str">
        <f>IF(OR(X1563="Envoyé",X1563="Partiel",X1563="En retard"),IF(ISNUMBER(R1563),R1563,100000)+ROW()/100000,"")</f>
        <v/>
      </c>
      <c r="AC1563" s="66" t="str">
        <f>IF(A1563="","",IF(COUNTIF($A$6:A1563,A1563)=1,1,""))</f>
        <v/>
      </c>
      <c r="AD1563" s="66" t="str">
        <f>IF(AC1563=1,COUNT($AC$6:AC1563),"")</f>
        <v/>
      </c>
      <c r="AE1563" s="66" t="str">
        <f>IFERROR(INDEX(po_num,MATCH(1558,po_seq,0))&amp;"","")</f>
        <v/>
      </c>
      <c r="AF1563" s="66" t="str">
        <f>IF(OR(A1563="",p_po=""),"",IF(A1563&amp;""=p_po,COUNTIF($A$6:A1563,A1563),""))</f>
        <v/>
      </c>
      <c r="AG1563" s="66" t="str">
        <f>IF(OR(AB1563="",A1563=""),"",IF(COUNTIFS($A$6:A1563,A1563,$AB$6:AB1563,"&gt;0")=1,1,""))</f>
        <v/>
      </c>
      <c r="AH1563" s="70" t="str">
        <f>IF(AB1563="","",ROUND(N(W1563)*N(J1563)*(1-N(K1563)),2))</f>
        <v/>
      </c>
      <c r="AI1563" s="70" t="str">
        <f>IF(OR(J1563="",N(T1563)&lt;=0,V1563="Oui"),"",ROUND(N(T1563)*J1563*(1-N(K1563)),2))</f>
        <v/>
      </c>
    </row>
    <row r="1564">
      <c r="A1564" s="63" t="n"/>
      <c r="B1564" s="64" t="n"/>
      <c r="C1564" s="65" t="n"/>
      <c r="D1564" s="66" t="str">
        <f>IF(C1564="","",IFERROR(INDEX(sup_name,MATCH($C1564,sup_code,0))&amp;"","Fournisseur inconnu"))</f>
        <v/>
      </c>
      <c r="E1564" s="63" t="n"/>
      <c r="F1564" s="66" t="str">
        <f>IF(E1564="","",IFERROR(INDEX(art_des,MATCH($E1564,art_ref,0))&amp;"","Article inconnu"))</f>
        <v/>
      </c>
      <c r="G1564" s="67" t="str">
        <f>IF(E1564="","",IFERROR(INDEX(art_unit,MATCH($E1564,art_ref,0))&amp;"",""))</f>
        <v/>
      </c>
      <c r="H1564" s="68" t="n"/>
      <c r="I1564" s="69" t="n"/>
      <c r="J1564" s="70" t="str">
        <f>IF(E1564="","",IF(ISNUMBER(I1564),I1564,IFERROR(IF(ISNUMBER(INDEX(art_price,MATCH($E1564,art_ref,0))),INDEX(art_price,MATCH($E1564,art_ref,0)),""),"")))</f>
        <v/>
      </c>
      <c r="K1564" s="71" t="n"/>
      <c r="L1564" s="72" t="n"/>
      <c r="M1564" s="72" t="str">
        <f>IF(E1564="","",IF(L1564&lt;&gt;"",L1564,IFERROR(IF(ISNUMBER(INDEX(art_tva,MATCH($E1564,art_ref,0))),INDEX(art_tva,MATCH($E1564,art_ref,0)),""),"")))</f>
        <v/>
      </c>
      <c r="N1564" s="70" t="str">
        <f>IF(OR(E1564="",J1564=""),"",ROUND(N(H1564)*J1564*(1-N(K1564)),2))</f>
        <v/>
      </c>
      <c r="O1564" s="70" t="str">
        <f>IF(OR(N1564="",NOT(ISNUMBER(M1564))),"",ROUND(N1564*M1564,2))</f>
        <v/>
      </c>
      <c r="P1564" s="70" t="str">
        <f>IF(N1564="","",N1564+N(O1564))</f>
        <v/>
      </c>
      <c r="Q1564" s="64" t="n"/>
      <c r="R1564" s="73" t="str">
        <f>IF(N(Q1564)&gt;0,Q1564,IF(OR(N(B1564)=0,ISNA(MATCH($C1564,sup_code,0))),"",IF(ISNUMBER(INDEX(sup_delay,MATCH($C1564,sup_code,0))),B1564+INDEX(sup_delay,MATCH($C1564,sup_code,0)),"")))</f>
        <v/>
      </c>
      <c r="S1564" s="64" t="n"/>
      <c r="T1564" s="68" t="n"/>
      <c r="U1564" s="64" t="n"/>
      <c r="V1564" s="65" t="n"/>
      <c r="W1564" s="74" t="str">
        <f>IF(AND(A1564="",E1564=""),"",IF(V1564="Oui",0,MAX(0,ROUND(N(H1564)-N(T1564),6))))</f>
        <v/>
      </c>
      <c r="X1564" s="67" t="str">
        <f>IF(AND(A1564="",E1564=""),"",IF(V1564="Oui","Annulé",IF(AND(N(H1564)&gt;0,N(T1564)&gt;=N(H1564)),"Reçu",IF(N(S1564)=0,"Brouillon",IF(AND(ISNUMBER(R1564),R1564&lt;p_today),"En retard",IF(N(T1564)&gt;0,"Partiel","Envoyé"))))))</f>
        <v/>
      </c>
      <c r="Y1564" s="75" t="str">
        <f>IF(X1564="En retard",p_today-R1564,IF(AND(X1564="Reçu",ISNUMBER(R1564)),MAX(0,N(U1564)-R1564),""))</f>
        <v/>
      </c>
      <c r="Z1564" s="67" t="str">
        <f>IF(AND(A1564="",E1564=""),"",IF(A1564="","N° de bon manquant",IF(N(B1564)=0,"Date de commande manquante",IF(C1564="","Fournisseur manquant",IF(ISNA(MATCH($C1564,sup_code,0)),"Fournisseur inconnu",IF(E1564="","Article manquant",IF(ISNA(MATCH($E1564,art_ref,0)),"Article inconnu",IF(N(H1564)&lt;=0,"Quantité invalide",IF(J1564="","Prix manquant",IF(OR(N(K1564)&lt;0,N(K1564)&gt;=1),"Remise invalide",IF(M1564="","TVA manquante",IF(ISNA(MATCH(M1564,p_tva,0)),"Taux de TVA inconnu",IF(COUNTIFS(po_num,A1564,po_sup,"&lt;&gt;"&amp;C1564)&gt;0,"Fournisseur différent sur ce bon",IF(COUNTIFS(po_num,A1564,po_date,"&lt;&gt;"&amp;B1564)&gt;0,"Date différente sur ce bon",IF(COUNTIF(po_num,A1564)&gt;25,"Plus de 25 lignes sur ce bon",IF(R1564="","Date de livraison manquante",IF(R1564&lt;B1564,"Livraison avant la commande",IF(AND(N(T1564)&gt;0,N(S1564)=0),"Date d'envoi manquante",IF(N(T1564)&gt;N(H1564),"Reçu plus que commandé",IF(AND(N(T1564)&gt;0,N(U1564)=0),"Date de réception manquante",IF(AND(N(U1564)&gt;0,U1564&lt;B1564),"Réception avant la commande","OK")))))))))))))))))))))</f>
        <v/>
      </c>
      <c r="AA1564" s="66" t="str">
        <f>IF(AND(X1564="Reçu",ISNUMBER(R1564)),IF(N(U1564)&lt;=R1564,1,0),"")</f>
        <v/>
      </c>
      <c r="AB1564" s="76" t="str">
        <f>IF(OR(X1564="Envoyé",X1564="Partiel",X1564="En retard"),IF(ISNUMBER(R1564),R1564,100000)+ROW()/100000,"")</f>
        <v/>
      </c>
      <c r="AC1564" s="66" t="str">
        <f>IF(A1564="","",IF(COUNTIF($A$6:A1564,A1564)=1,1,""))</f>
        <v/>
      </c>
      <c r="AD1564" s="66" t="str">
        <f>IF(AC1564=1,COUNT($AC$6:AC1564),"")</f>
        <v/>
      </c>
      <c r="AE1564" s="66" t="str">
        <f>IFERROR(INDEX(po_num,MATCH(1559,po_seq,0))&amp;"","")</f>
        <v/>
      </c>
      <c r="AF1564" s="66" t="str">
        <f>IF(OR(A1564="",p_po=""),"",IF(A1564&amp;""=p_po,COUNTIF($A$6:A1564,A1564),""))</f>
        <v/>
      </c>
      <c r="AG1564" s="66" t="str">
        <f>IF(OR(AB1564="",A1564=""),"",IF(COUNTIFS($A$6:A1564,A1564,$AB$6:AB1564,"&gt;0")=1,1,""))</f>
        <v/>
      </c>
      <c r="AH1564" s="70" t="str">
        <f>IF(AB1564="","",ROUND(N(W1564)*N(J1564)*(1-N(K1564)),2))</f>
        <v/>
      </c>
      <c r="AI1564" s="70" t="str">
        <f>IF(OR(J1564="",N(T1564)&lt;=0,V1564="Oui"),"",ROUND(N(T1564)*J1564*(1-N(K1564)),2))</f>
        <v/>
      </c>
    </row>
    <row r="1565">
      <c r="A1565" s="63" t="n"/>
      <c r="B1565" s="64" t="n"/>
      <c r="C1565" s="65" t="n"/>
      <c r="D1565" s="66" t="str">
        <f>IF(C1565="","",IFERROR(INDEX(sup_name,MATCH($C1565,sup_code,0))&amp;"","Fournisseur inconnu"))</f>
        <v/>
      </c>
      <c r="E1565" s="63" t="n"/>
      <c r="F1565" s="66" t="str">
        <f>IF(E1565="","",IFERROR(INDEX(art_des,MATCH($E1565,art_ref,0))&amp;"","Article inconnu"))</f>
        <v/>
      </c>
      <c r="G1565" s="67" t="str">
        <f>IF(E1565="","",IFERROR(INDEX(art_unit,MATCH($E1565,art_ref,0))&amp;"",""))</f>
        <v/>
      </c>
      <c r="H1565" s="68" t="n"/>
      <c r="I1565" s="69" t="n"/>
      <c r="J1565" s="70" t="str">
        <f>IF(E1565="","",IF(ISNUMBER(I1565),I1565,IFERROR(IF(ISNUMBER(INDEX(art_price,MATCH($E1565,art_ref,0))),INDEX(art_price,MATCH($E1565,art_ref,0)),""),"")))</f>
        <v/>
      </c>
      <c r="K1565" s="71" t="n"/>
      <c r="L1565" s="72" t="n"/>
      <c r="M1565" s="72" t="str">
        <f>IF(E1565="","",IF(L1565&lt;&gt;"",L1565,IFERROR(IF(ISNUMBER(INDEX(art_tva,MATCH($E1565,art_ref,0))),INDEX(art_tva,MATCH($E1565,art_ref,0)),""),"")))</f>
        <v/>
      </c>
      <c r="N1565" s="70" t="str">
        <f>IF(OR(E1565="",J1565=""),"",ROUND(N(H1565)*J1565*(1-N(K1565)),2))</f>
        <v/>
      </c>
      <c r="O1565" s="70" t="str">
        <f>IF(OR(N1565="",NOT(ISNUMBER(M1565))),"",ROUND(N1565*M1565,2))</f>
        <v/>
      </c>
      <c r="P1565" s="70" t="str">
        <f>IF(N1565="","",N1565+N(O1565))</f>
        <v/>
      </c>
      <c r="Q1565" s="64" t="n"/>
      <c r="R1565" s="73" t="str">
        <f>IF(N(Q1565)&gt;0,Q1565,IF(OR(N(B1565)=0,ISNA(MATCH($C1565,sup_code,0))),"",IF(ISNUMBER(INDEX(sup_delay,MATCH($C1565,sup_code,0))),B1565+INDEX(sup_delay,MATCH($C1565,sup_code,0)),"")))</f>
        <v/>
      </c>
      <c r="S1565" s="64" t="n"/>
      <c r="T1565" s="68" t="n"/>
      <c r="U1565" s="64" t="n"/>
      <c r="V1565" s="65" t="n"/>
      <c r="W1565" s="74" t="str">
        <f>IF(AND(A1565="",E1565=""),"",IF(V1565="Oui",0,MAX(0,ROUND(N(H1565)-N(T1565),6))))</f>
        <v/>
      </c>
      <c r="X1565" s="67" t="str">
        <f>IF(AND(A1565="",E1565=""),"",IF(V1565="Oui","Annulé",IF(AND(N(H1565)&gt;0,N(T1565)&gt;=N(H1565)),"Reçu",IF(N(S1565)=0,"Brouillon",IF(AND(ISNUMBER(R1565),R1565&lt;p_today),"En retard",IF(N(T1565)&gt;0,"Partiel","Envoyé"))))))</f>
        <v/>
      </c>
      <c r="Y1565" s="75" t="str">
        <f>IF(X1565="En retard",p_today-R1565,IF(AND(X1565="Reçu",ISNUMBER(R1565)),MAX(0,N(U1565)-R1565),""))</f>
        <v/>
      </c>
      <c r="Z1565" s="67" t="str">
        <f>IF(AND(A1565="",E1565=""),"",IF(A1565="","N° de bon manquant",IF(N(B1565)=0,"Date de commande manquante",IF(C1565="","Fournisseur manquant",IF(ISNA(MATCH($C1565,sup_code,0)),"Fournisseur inconnu",IF(E1565="","Article manquant",IF(ISNA(MATCH($E1565,art_ref,0)),"Article inconnu",IF(N(H1565)&lt;=0,"Quantité invalide",IF(J1565="","Prix manquant",IF(OR(N(K1565)&lt;0,N(K1565)&gt;=1),"Remise invalide",IF(M1565="","TVA manquante",IF(ISNA(MATCH(M1565,p_tva,0)),"Taux de TVA inconnu",IF(COUNTIFS(po_num,A1565,po_sup,"&lt;&gt;"&amp;C1565)&gt;0,"Fournisseur différent sur ce bon",IF(COUNTIFS(po_num,A1565,po_date,"&lt;&gt;"&amp;B1565)&gt;0,"Date différente sur ce bon",IF(COUNTIF(po_num,A1565)&gt;25,"Plus de 25 lignes sur ce bon",IF(R1565="","Date de livraison manquante",IF(R1565&lt;B1565,"Livraison avant la commande",IF(AND(N(T1565)&gt;0,N(S1565)=0),"Date d'envoi manquante",IF(N(T1565)&gt;N(H1565),"Reçu plus que commandé",IF(AND(N(T1565)&gt;0,N(U1565)=0),"Date de réception manquante",IF(AND(N(U1565)&gt;0,U1565&lt;B1565),"Réception avant la commande","OK")))))))))))))))))))))</f>
        <v/>
      </c>
      <c r="AA1565" s="66" t="str">
        <f>IF(AND(X1565="Reçu",ISNUMBER(R1565)),IF(N(U1565)&lt;=R1565,1,0),"")</f>
        <v/>
      </c>
      <c r="AB1565" s="76" t="str">
        <f>IF(OR(X1565="Envoyé",X1565="Partiel",X1565="En retard"),IF(ISNUMBER(R1565),R1565,100000)+ROW()/100000,"")</f>
        <v/>
      </c>
      <c r="AC1565" s="66" t="str">
        <f>IF(A1565="","",IF(COUNTIF($A$6:A1565,A1565)=1,1,""))</f>
        <v/>
      </c>
      <c r="AD1565" s="66" t="str">
        <f>IF(AC1565=1,COUNT($AC$6:AC1565),"")</f>
        <v/>
      </c>
      <c r="AE1565" s="66" t="str">
        <f>IFERROR(INDEX(po_num,MATCH(1560,po_seq,0))&amp;"","")</f>
        <v/>
      </c>
      <c r="AF1565" s="66" t="str">
        <f>IF(OR(A1565="",p_po=""),"",IF(A1565&amp;""=p_po,COUNTIF($A$6:A1565,A1565),""))</f>
        <v/>
      </c>
      <c r="AG1565" s="66" t="str">
        <f>IF(OR(AB1565="",A1565=""),"",IF(COUNTIFS($A$6:A1565,A1565,$AB$6:AB1565,"&gt;0")=1,1,""))</f>
        <v/>
      </c>
      <c r="AH1565" s="70" t="str">
        <f>IF(AB1565="","",ROUND(N(W1565)*N(J1565)*(1-N(K1565)),2))</f>
        <v/>
      </c>
      <c r="AI1565" s="70" t="str">
        <f>IF(OR(J1565="",N(T1565)&lt;=0,V1565="Oui"),"",ROUND(N(T1565)*J1565*(1-N(K1565)),2))</f>
        <v/>
      </c>
    </row>
    <row r="1566">
      <c r="A1566" s="63" t="n"/>
      <c r="B1566" s="64" t="n"/>
      <c r="C1566" s="65" t="n"/>
      <c r="D1566" s="66" t="str">
        <f>IF(C1566="","",IFERROR(INDEX(sup_name,MATCH($C1566,sup_code,0))&amp;"","Fournisseur inconnu"))</f>
        <v/>
      </c>
      <c r="E1566" s="63" t="n"/>
      <c r="F1566" s="66" t="str">
        <f>IF(E1566="","",IFERROR(INDEX(art_des,MATCH($E1566,art_ref,0))&amp;"","Article inconnu"))</f>
        <v/>
      </c>
      <c r="G1566" s="67" t="str">
        <f>IF(E1566="","",IFERROR(INDEX(art_unit,MATCH($E1566,art_ref,0))&amp;"",""))</f>
        <v/>
      </c>
      <c r="H1566" s="68" t="n"/>
      <c r="I1566" s="69" t="n"/>
      <c r="J1566" s="70" t="str">
        <f>IF(E1566="","",IF(ISNUMBER(I1566),I1566,IFERROR(IF(ISNUMBER(INDEX(art_price,MATCH($E1566,art_ref,0))),INDEX(art_price,MATCH($E1566,art_ref,0)),""),"")))</f>
        <v/>
      </c>
      <c r="K1566" s="71" t="n"/>
      <c r="L1566" s="72" t="n"/>
      <c r="M1566" s="72" t="str">
        <f>IF(E1566="","",IF(L1566&lt;&gt;"",L1566,IFERROR(IF(ISNUMBER(INDEX(art_tva,MATCH($E1566,art_ref,0))),INDEX(art_tva,MATCH($E1566,art_ref,0)),""),"")))</f>
        <v/>
      </c>
      <c r="N1566" s="70" t="str">
        <f>IF(OR(E1566="",J1566=""),"",ROUND(N(H1566)*J1566*(1-N(K1566)),2))</f>
        <v/>
      </c>
      <c r="O1566" s="70" t="str">
        <f>IF(OR(N1566="",NOT(ISNUMBER(M1566))),"",ROUND(N1566*M1566,2))</f>
        <v/>
      </c>
      <c r="P1566" s="70" t="str">
        <f>IF(N1566="","",N1566+N(O1566))</f>
        <v/>
      </c>
      <c r="Q1566" s="64" t="n"/>
      <c r="R1566" s="73" t="str">
        <f>IF(N(Q1566)&gt;0,Q1566,IF(OR(N(B1566)=0,ISNA(MATCH($C1566,sup_code,0))),"",IF(ISNUMBER(INDEX(sup_delay,MATCH($C1566,sup_code,0))),B1566+INDEX(sup_delay,MATCH($C1566,sup_code,0)),"")))</f>
        <v/>
      </c>
      <c r="S1566" s="64" t="n"/>
      <c r="T1566" s="68" t="n"/>
      <c r="U1566" s="64" t="n"/>
      <c r="V1566" s="65" t="n"/>
      <c r="W1566" s="74" t="str">
        <f>IF(AND(A1566="",E1566=""),"",IF(V1566="Oui",0,MAX(0,ROUND(N(H1566)-N(T1566),6))))</f>
        <v/>
      </c>
      <c r="X1566" s="67" t="str">
        <f>IF(AND(A1566="",E1566=""),"",IF(V1566="Oui","Annulé",IF(AND(N(H1566)&gt;0,N(T1566)&gt;=N(H1566)),"Reçu",IF(N(S1566)=0,"Brouillon",IF(AND(ISNUMBER(R1566),R1566&lt;p_today),"En retard",IF(N(T1566)&gt;0,"Partiel","Envoyé"))))))</f>
        <v/>
      </c>
      <c r="Y1566" s="75" t="str">
        <f>IF(X1566="En retard",p_today-R1566,IF(AND(X1566="Reçu",ISNUMBER(R1566)),MAX(0,N(U1566)-R1566),""))</f>
        <v/>
      </c>
      <c r="Z1566" s="67" t="str">
        <f>IF(AND(A1566="",E1566=""),"",IF(A1566="","N° de bon manquant",IF(N(B1566)=0,"Date de commande manquante",IF(C1566="","Fournisseur manquant",IF(ISNA(MATCH($C1566,sup_code,0)),"Fournisseur inconnu",IF(E1566="","Article manquant",IF(ISNA(MATCH($E1566,art_ref,0)),"Article inconnu",IF(N(H1566)&lt;=0,"Quantité invalide",IF(J1566="","Prix manquant",IF(OR(N(K1566)&lt;0,N(K1566)&gt;=1),"Remise invalide",IF(M1566="","TVA manquante",IF(ISNA(MATCH(M1566,p_tva,0)),"Taux de TVA inconnu",IF(COUNTIFS(po_num,A1566,po_sup,"&lt;&gt;"&amp;C1566)&gt;0,"Fournisseur différent sur ce bon",IF(COUNTIFS(po_num,A1566,po_date,"&lt;&gt;"&amp;B1566)&gt;0,"Date différente sur ce bon",IF(COUNTIF(po_num,A1566)&gt;25,"Plus de 25 lignes sur ce bon",IF(R1566="","Date de livraison manquante",IF(R1566&lt;B1566,"Livraison avant la commande",IF(AND(N(T1566)&gt;0,N(S1566)=0),"Date d'envoi manquante",IF(N(T1566)&gt;N(H1566),"Reçu plus que commandé",IF(AND(N(T1566)&gt;0,N(U1566)=0),"Date de réception manquante",IF(AND(N(U1566)&gt;0,U1566&lt;B1566),"Réception avant la commande","OK")))))))))))))))))))))</f>
        <v/>
      </c>
      <c r="AA1566" s="66" t="str">
        <f>IF(AND(X1566="Reçu",ISNUMBER(R1566)),IF(N(U1566)&lt;=R1566,1,0),"")</f>
        <v/>
      </c>
      <c r="AB1566" s="76" t="str">
        <f>IF(OR(X1566="Envoyé",X1566="Partiel",X1566="En retard"),IF(ISNUMBER(R1566),R1566,100000)+ROW()/100000,"")</f>
        <v/>
      </c>
      <c r="AC1566" s="66" t="str">
        <f>IF(A1566="","",IF(COUNTIF($A$6:A1566,A1566)=1,1,""))</f>
        <v/>
      </c>
      <c r="AD1566" s="66" t="str">
        <f>IF(AC1566=1,COUNT($AC$6:AC1566),"")</f>
        <v/>
      </c>
      <c r="AE1566" s="66" t="str">
        <f>IFERROR(INDEX(po_num,MATCH(1561,po_seq,0))&amp;"","")</f>
        <v/>
      </c>
      <c r="AF1566" s="66" t="str">
        <f>IF(OR(A1566="",p_po=""),"",IF(A1566&amp;""=p_po,COUNTIF($A$6:A1566,A1566),""))</f>
        <v/>
      </c>
      <c r="AG1566" s="66" t="str">
        <f>IF(OR(AB1566="",A1566=""),"",IF(COUNTIFS($A$6:A1566,A1566,$AB$6:AB1566,"&gt;0")=1,1,""))</f>
        <v/>
      </c>
      <c r="AH1566" s="70" t="str">
        <f>IF(AB1566="","",ROUND(N(W1566)*N(J1566)*(1-N(K1566)),2))</f>
        <v/>
      </c>
      <c r="AI1566" s="70" t="str">
        <f>IF(OR(J1566="",N(T1566)&lt;=0,V1566="Oui"),"",ROUND(N(T1566)*J1566*(1-N(K1566)),2))</f>
        <v/>
      </c>
    </row>
    <row r="1567">
      <c r="A1567" s="63" t="n"/>
      <c r="B1567" s="64" t="n"/>
      <c r="C1567" s="65" t="n"/>
      <c r="D1567" s="66" t="str">
        <f>IF(C1567="","",IFERROR(INDEX(sup_name,MATCH($C1567,sup_code,0))&amp;"","Fournisseur inconnu"))</f>
        <v/>
      </c>
      <c r="E1567" s="63" t="n"/>
      <c r="F1567" s="66" t="str">
        <f>IF(E1567="","",IFERROR(INDEX(art_des,MATCH($E1567,art_ref,0))&amp;"","Article inconnu"))</f>
        <v/>
      </c>
      <c r="G1567" s="67" t="str">
        <f>IF(E1567="","",IFERROR(INDEX(art_unit,MATCH($E1567,art_ref,0))&amp;"",""))</f>
        <v/>
      </c>
      <c r="H1567" s="68" t="n"/>
      <c r="I1567" s="69" t="n"/>
      <c r="J1567" s="70" t="str">
        <f>IF(E1567="","",IF(ISNUMBER(I1567),I1567,IFERROR(IF(ISNUMBER(INDEX(art_price,MATCH($E1567,art_ref,0))),INDEX(art_price,MATCH($E1567,art_ref,0)),""),"")))</f>
        <v/>
      </c>
      <c r="K1567" s="71" t="n"/>
      <c r="L1567" s="72" t="n"/>
      <c r="M1567" s="72" t="str">
        <f>IF(E1567="","",IF(L1567&lt;&gt;"",L1567,IFERROR(IF(ISNUMBER(INDEX(art_tva,MATCH($E1567,art_ref,0))),INDEX(art_tva,MATCH($E1567,art_ref,0)),""),"")))</f>
        <v/>
      </c>
      <c r="N1567" s="70" t="str">
        <f>IF(OR(E1567="",J1567=""),"",ROUND(N(H1567)*J1567*(1-N(K1567)),2))</f>
        <v/>
      </c>
      <c r="O1567" s="70" t="str">
        <f>IF(OR(N1567="",NOT(ISNUMBER(M1567))),"",ROUND(N1567*M1567,2))</f>
        <v/>
      </c>
      <c r="P1567" s="70" t="str">
        <f>IF(N1567="","",N1567+N(O1567))</f>
        <v/>
      </c>
      <c r="Q1567" s="64" t="n"/>
      <c r="R1567" s="73" t="str">
        <f>IF(N(Q1567)&gt;0,Q1567,IF(OR(N(B1567)=0,ISNA(MATCH($C1567,sup_code,0))),"",IF(ISNUMBER(INDEX(sup_delay,MATCH($C1567,sup_code,0))),B1567+INDEX(sup_delay,MATCH($C1567,sup_code,0)),"")))</f>
        <v/>
      </c>
      <c r="S1567" s="64" t="n"/>
      <c r="T1567" s="68" t="n"/>
      <c r="U1567" s="64" t="n"/>
      <c r="V1567" s="65" t="n"/>
      <c r="W1567" s="74" t="str">
        <f>IF(AND(A1567="",E1567=""),"",IF(V1567="Oui",0,MAX(0,ROUND(N(H1567)-N(T1567),6))))</f>
        <v/>
      </c>
      <c r="X1567" s="67" t="str">
        <f>IF(AND(A1567="",E1567=""),"",IF(V1567="Oui","Annulé",IF(AND(N(H1567)&gt;0,N(T1567)&gt;=N(H1567)),"Reçu",IF(N(S1567)=0,"Brouillon",IF(AND(ISNUMBER(R1567),R1567&lt;p_today),"En retard",IF(N(T1567)&gt;0,"Partiel","Envoyé"))))))</f>
        <v/>
      </c>
      <c r="Y1567" s="75" t="str">
        <f>IF(X1567="En retard",p_today-R1567,IF(AND(X1567="Reçu",ISNUMBER(R1567)),MAX(0,N(U1567)-R1567),""))</f>
        <v/>
      </c>
      <c r="Z1567" s="67" t="str">
        <f>IF(AND(A1567="",E1567=""),"",IF(A1567="","N° de bon manquant",IF(N(B1567)=0,"Date de commande manquante",IF(C1567="","Fournisseur manquant",IF(ISNA(MATCH($C1567,sup_code,0)),"Fournisseur inconnu",IF(E1567="","Article manquant",IF(ISNA(MATCH($E1567,art_ref,0)),"Article inconnu",IF(N(H1567)&lt;=0,"Quantité invalide",IF(J1567="","Prix manquant",IF(OR(N(K1567)&lt;0,N(K1567)&gt;=1),"Remise invalide",IF(M1567="","TVA manquante",IF(ISNA(MATCH(M1567,p_tva,0)),"Taux de TVA inconnu",IF(COUNTIFS(po_num,A1567,po_sup,"&lt;&gt;"&amp;C1567)&gt;0,"Fournisseur différent sur ce bon",IF(COUNTIFS(po_num,A1567,po_date,"&lt;&gt;"&amp;B1567)&gt;0,"Date différente sur ce bon",IF(COUNTIF(po_num,A1567)&gt;25,"Plus de 25 lignes sur ce bon",IF(R1567="","Date de livraison manquante",IF(R1567&lt;B1567,"Livraison avant la commande",IF(AND(N(T1567)&gt;0,N(S1567)=0),"Date d'envoi manquante",IF(N(T1567)&gt;N(H1567),"Reçu plus que commandé",IF(AND(N(T1567)&gt;0,N(U1567)=0),"Date de réception manquante",IF(AND(N(U1567)&gt;0,U1567&lt;B1567),"Réception avant la commande","OK")))))))))))))))))))))</f>
        <v/>
      </c>
      <c r="AA1567" s="66" t="str">
        <f>IF(AND(X1567="Reçu",ISNUMBER(R1567)),IF(N(U1567)&lt;=R1567,1,0),"")</f>
        <v/>
      </c>
      <c r="AB1567" s="76" t="str">
        <f>IF(OR(X1567="Envoyé",X1567="Partiel",X1567="En retard"),IF(ISNUMBER(R1567),R1567,100000)+ROW()/100000,"")</f>
        <v/>
      </c>
      <c r="AC1567" s="66" t="str">
        <f>IF(A1567="","",IF(COUNTIF($A$6:A1567,A1567)=1,1,""))</f>
        <v/>
      </c>
      <c r="AD1567" s="66" t="str">
        <f>IF(AC1567=1,COUNT($AC$6:AC1567),"")</f>
        <v/>
      </c>
      <c r="AE1567" s="66" t="str">
        <f>IFERROR(INDEX(po_num,MATCH(1562,po_seq,0))&amp;"","")</f>
        <v/>
      </c>
      <c r="AF1567" s="66" t="str">
        <f>IF(OR(A1567="",p_po=""),"",IF(A1567&amp;""=p_po,COUNTIF($A$6:A1567,A1567),""))</f>
        <v/>
      </c>
      <c r="AG1567" s="66" t="str">
        <f>IF(OR(AB1567="",A1567=""),"",IF(COUNTIFS($A$6:A1567,A1567,$AB$6:AB1567,"&gt;0")=1,1,""))</f>
        <v/>
      </c>
      <c r="AH1567" s="70" t="str">
        <f>IF(AB1567="","",ROUND(N(W1567)*N(J1567)*(1-N(K1567)),2))</f>
        <v/>
      </c>
      <c r="AI1567" s="70" t="str">
        <f>IF(OR(J1567="",N(T1567)&lt;=0,V1567="Oui"),"",ROUND(N(T1567)*J1567*(1-N(K1567)),2))</f>
        <v/>
      </c>
    </row>
    <row r="1568">
      <c r="A1568" s="63" t="n"/>
      <c r="B1568" s="64" t="n"/>
      <c r="C1568" s="65" t="n"/>
      <c r="D1568" s="66" t="str">
        <f>IF(C1568="","",IFERROR(INDEX(sup_name,MATCH($C1568,sup_code,0))&amp;"","Fournisseur inconnu"))</f>
        <v/>
      </c>
      <c r="E1568" s="63" t="n"/>
      <c r="F1568" s="66" t="str">
        <f>IF(E1568="","",IFERROR(INDEX(art_des,MATCH($E1568,art_ref,0))&amp;"","Article inconnu"))</f>
        <v/>
      </c>
      <c r="G1568" s="67" t="str">
        <f>IF(E1568="","",IFERROR(INDEX(art_unit,MATCH($E1568,art_ref,0))&amp;"",""))</f>
        <v/>
      </c>
      <c r="H1568" s="68" t="n"/>
      <c r="I1568" s="69" t="n"/>
      <c r="J1568" s="70" t="str">
        <f>IF(E1568="","",IF(ISNUMBER(I1568),I1568,IFERROR(IF(ISNUMBER(INDEX(art_price,MATCH($E1568,art_ref,0))),INDEX(art_price,MATCH($E1568,art_ref,0)),""),"")))</f>
        <v/>
      </c>
      <c r="K1568" s="71" t="n"/>
      <c r="L1568" s="72" t="n"/>
      <c r="M1568" s="72" t="str">
        <f>IF(E1568="","",IF(L1568&lt;&gt;"",L1568,IFERROR(IF(ISNUMBER(INDEX(art_tva,MATCH($E1568,art_ref,0))),INDEX(art_tva,MATCH($E1568,art_ref,0)),""),"")))</f>
        <v/>
      </c>
      <c r="N1568" s="70" t="str">
        <f>IF(OR(E1568="",J1568=""),"",ROUND(N(H1568)*J1568*(1-N(K1568)),2))</f>
        <v/>
      </c>
      <c r="O1568" s="70" t="str">
        <f>IF(OR(N1568="",NOT(ISNUMBER(M1568))),"",ROUND(N1568*M1568,2))</f>
        <v/>
      </c>
      <c r="P1568" s="70" t="str">
        <f>IF(N1568="","",N1568+N(O1568))</f>
        <v/>
      </c>
      <c r="Q1568" s="64" t="n"/>
      <c r="R1568" s="73" t="str">
        <f>IF(N(Q1568)&gt;0,Q1568,IF(OR(N(B1568)=0,ISNA(MATCH($C1568,sup_code,0))),"",IF(ISNUMBER(INDEX(sup_delay,MATCH($C1568,sup_code,0))),B1568+INDEX(sup_delay,MATCH($C1568,sup_code,0)),"")))</f>
        <v/>
      </c>
      <c r="S1568" s="64" t="n"/>
      <c r="T1568" s="68" t="n"/>
      <c r="U1568" s="64" t="n"/>
      <c r="V1568" s="65" t="n"/>
      <c r="W1568" s="74" t="str">
        <f>IF(AND(A1568="",E1568=""),"",IF(V1568="Oui",0,MAX(0,ROUND(N(H1568)-N(T1568),6))))</f>
        <v/>
      </c>
      <c r="X1568" s="67" t="str">
        <f>IF(AND(A1568="",E1568=""),"",IF(V1568="Oui","Annulé",IF(AND(N(H1568)&gt;0,N(T1568)&gt;=N(H1568)),"Reçu",IF(N(S1568)=0,"Brouillon",IF(AND(ISNUMBER(R1568),R1568&lt;p_today),"En retard",IF(N(T1568)&gt;0,"Partiel","Envoyé"))))))</f>
        <v/>
      </c>
      <c r="Y1568" s="75" t="str">
        <f>IF(X1568="En retard",p_today-R1568,IF(AND(X1568="Reçu",ISNUMBER(R1568)),MAX(0,N(U1568)-R1568),""))</f>
        <v/>
      </c>
      <c r="Z1568" s="67" t="str">
        <f>IF(AND(A1568="",E1568=""),"",IF(A1568="","N° de bon manquant",IF(N(B1568)=0,"Date de commande manquante",IF(C1568="","Fournisseur manquant",IF(ISNA(MATCH($C1568,sup_code,0)),"Fournisseur inconnu",IF(E1568="","Article manquant",IF(ISNA(MATCH($E1568,art_ref,0)),"Article inconnu",IF(N(H1568)&lt;=0,"Quantité invalide",IF(J1568="","Prix manquant",IF(OR(N(K1568)&lt;0,N(K1568)&gt;=1),"Remise invalide",IF(M1568="","TVA manquante",IF(ISNA(MATCH(M1568,p_tva,0)),"Taux de TVA inconnu",IF(COUNTIFS(po_num,A1568,po_sup,"&lt;&gt;"&amp;C1568)&gt;0,"Fournisseur différent sur ce bon",IF(COUNTIFS(po_num,A1568,po_date,"&lt;&gt;"&amp;B1568)&gt;0,"Date différente sur ce bon",IF(COUNTIF(po_num,A1568)&gt;25,"Plus de 25 lignes sur ce bon",IF(R1568="","Date de livraison manquante",IF(R1568&lt;B1568,"Livraison avant la commande",IF(AND(N(T1568)&gt;0,N(S1568)=0),"Date d'envoi manquante",IF(N(T1568)&gt;N(H1568),"Reçu plus que commandé",IF(AND(N(T1568)&gt;0,N(U1568)=0),"Date de réception manquante",IF(AND(N(U1568)&gt;0,U1568&lt;B1568),"Réception avant la commande","OK")))))))))))))))))))))</f>
        <v/>
      </c>
      <c r="AA1568" s="66" t="str">
        <f>IF(AND(X1568="Reçu",ISNUMBER(R1568)),IF(N(U1568)&lt;=R1568,1,0),"")</f>
        <v/>
      </c>
      <c r="AB1568" s="76" t="str">
        <f>IF(OR(X1568="Envoyé",X1568="Partiel",X1568="En retard"),IF(ISNUMBER(R1568),R1568,100000)+ROW()/100000,"")</f>
        <v/>
      </c>
      <c r="AC1568" s="66" t="str">
        <f>IF(A1568="","",IF(COUNTIF($A$6:A1568,A1568)=1,1,""))</f>
        <v/>
      </c>
      <c r="AD1568" s="66" t="str">
        <f>IF(AC1568=1,COUNT($AC$6:AC1568),"")</f>
        <v/>
      </c>
      <c r="AE1568" s="66" t="str">
        <f>IFERROR(INDEX(po_num,MATCH(1563,po_seq,0))&amp;"","")</f>
        <v/>
      </c>
      <c r="AF1568" s="66" t="str">
        <f>IF(OR(A1568="",p_po=""),"",IF(A1568&amp;""=p_po,COUNTIF($A$6:A1568,A1568),""))</f>
        <v/>
      </c>
      <c r="AG1568" s="66" t="str">
        <f>IF(OR(AB1568="",A1568=""),"",IF(COUNTIFS($A$6:A1568,A1568,$AB$6:AB1568,"&gt;0")=1,1,""))</f>
        <v/>
      </c>
      <c r="AH1568" s="70" t="str">
        <f>IF(AB1568="","",ROUND(N(W1568)*N(J1568)*(1-N(K1568)),2))</f>
        <v/>
      </c>
      <c r="AI1568" s="70" t="str">
        <f>IF(OR(J1568="",N(T1568)&lt;=0,V1568="Oui"),"",ROUND(N(T1568)*J1568*(1-N(K1568)),2))</f>
        <v/>
      </c>
    </row>
    <row r="1569">
      <c r="A1569" s="63" t="n"/>
      <c r="B1569" s="64" t="n"/>
      <c r="C1569" s="65" t="n"/>
      <c r="D1569" s="66" t="str">
        <f>IF(C1569="","",IFERROR(INDEX(sup_name,MATCH($C1569,sup_code,0))&amp;"","Fournisseur inconnu"))</f>
        <v/>
      </c>
      <c r="E1569" s="63" t="n"/>
      <c r="F1569" s="66" t="str">
        <f>IF(E1569="","",IFERROR(INDEX(art_des,MATCH($E1569,art_ref,0))&amp;"","Article inconnu"))</f>
        <v/>
      </c>
      <c r="G1569" s="67" t="str">
        <f>IF(E1569="","",IFERROR(INDEX(art_unit,MATCH($E1569,art_ref,0))&amp;"",""))</f>
        <v/>
      </c>
      <c r="H1569" s="68" t="n"/>
      <c r="I1569" s="69" t="n"/>
      <c r="J1569" s="70" t="str">
        <f>IF(E1569="","",IF(ISNUMBER(I1569),I1569,IFERROR(IF(ISNUMBER(INDEX(art_price,MATCH($E1569,art_ref,0))),INDEX(art_price,MATCH($E1569,art_ref,0)),""),"")))</f>
        <v/>
      </c>
      <c r="K1569" s="71" t="n"/>
      <c r="L1569" s="72" t="n"/>
      <c r="M1569" s="72" t="str">
        <f>IF(E1569="","",IF(L1569&lt;&gt;"",L1569,IFERROR(IF(ISNUMBER(INDEX(art_tva,MATCH($E1569,art_ref,0))),INDEX(art_tva,MATCH($E1569,art_ref,0)),""),"")))</f>
        <v/>
      </c>
      <c r="N1569" s="70" t="str">
        <f>IF(OR(E1569="",J1569=""),"",ROUND(N(H1569)*J1569*(1-N(K1569)),2))</f>
        <v/>
      </c>
      <c r="O1569" s="70" t="str">
        <f>IF(OR(N1569="",NOT(ISNUMBER(M1569))),"",ROUND(N1569*M1569,2))</f>
        <v/>
      </c>
      <c r="P1569" s="70" t="str">
        <f>IF(N1569="","",N1569+N(O1569))</f>
        <v/>
      </c>
      <c r="Q1569" s="64" t="n"/>
      <c r="R1569" s="73" t="str">
        <f>IF(N(Q1569)&gt;0,Q1569,IF(OR(N(B1569)=0,ISNA(MATCH($C1569,sup_code,0))),"",IF(ISNUMBER(INDEX(sup_delay,MATCH($C1569,sup_code,0))),B1569+INDEX(sup_delay,MATCH($C1569,sup_code,0)),"")))</f>
        <v/>
      </c>
      <c r="S1569" s="64" t="n"/>
      <c r="T1569" s="68" t="n"/>
      <c r="U1569" s="64" t="n"/>
      <c r="V1569" s="65" t="n"/>
      <c r="W1569" s="74" t="str">
        <f>IF(AND(A1569="",E1569=""),"",IF(V1569="Oui",0,MAX(0,ROUND(N(H1569)-N(T1569),6))))</f>
        <v/>
      </c>
      <c r="X1569" s="67" t="str">
        <f>IF(AND(A1569="",E1569=""),"",IF(V1569="Oui","Annulé",IF(AND(N(H1569)&gt;0,N(T1569)&gt;=N(H1569)),"Reçu",IF(N(S1569)=0,"Brouillon",IF(AND(ISNUMBER(R1569),R1569&lt;p_today),"En retard",IF(N(T1569)&gt;0,"Partiel","Envoyé"))))))</f>
        <v/>
      </c>
      <c r="Y1569" s="75" t="str">
        <f>IF(X1569="En retard",p_today-R1569,IF(AND(X1569="Reçu",ISNUMBER(R1569)),MAX(0,N(U1569)-R1569),""))</f>
        <v/>
      </c>
      <c r="Z1569" s="67" t="str">
        <f>IF(AND(A1569="",E1569=""),"",IF(A1569="","N° de bon manquant",IF(N(B1569)=0,"Date de commande manquante",IF(C1569="","Fournisseur manquant",IF(ISNA(MATCH($C1569,sup_code,0)),"Fournisseur inconnu",IF(E1569="","Article manquant",IF(ISNA(MATCH($E1569,art_ref,0)),"Article inconnu",IF(N(H1569)&lt;=0,"Quantité invalide",IF(J1569="","Prix manquant",IF(OR(N(K1569)&lt;0,N(K1569)&gt;=1),"Remise invalide",IF(M1569="","TVA manquante",IF(ISNA(MATCH(M1569,p_tva,0)),"Taux de TVA inconnu",IF(COUNTIFS(po_num,A1569,po_sup,"&lt;&gt;"&amp;C1569)&gt;0,"Fournisseur différent sur ce bon",IF(COUNTIFS(po_num,A1569,po_date,"&lt;&gt;"&amp;B1569)&gt;0,"Date différente sur ce bon",IF(COUNTIF(po_num,A1569)&gt;25,"Plus de 25 lignes sur ce bon",IF(R1569="","Date de livraison manquante",IF(R1569&lt;B1569,"Livraison avant la commande",IF(AND(N(T1569)&gt;0,N(S1569)=0),"Date d'envoi manquante",IF(N(T1569)&gt;N(H1569),"Reçu plus que commandé",IF(AND(N(T1569)&gt;0,N(U1569)=0),"Date de réception manquante",IF(AND(N(U1569)&gt;0,U1569&lt;B1569),"Réception avant la commande","OK")))))))))))))))))))))</f>
        <v/>
      </c>
      <c r="AA1569" s="66" t="str">
        <f>IF(AND(X1569="Reçu",ISNUMBER(R1569)),IF(N(U1569)&lt;=R1569,1,0),"")</f>
        <v/>
      </c>
      <c r="AB1569" s="76" t="str">
        <f>IF(OR(X1569="Envoyé",X1569="Partiel",X1569="En retard"),IF(ISNUMBER(R1569),R1569,100000)+ROW()/100000,"")</f>
        <v/>
      </c>
      <c r="AC1569" s="66" t="str">
        <f>IF(A1569="","",IF(COUNTIF($A$6:A1569,A1569)=1,1,""))</f>
        <v/>
      </c>
      <c r="AD1569" s="66" t="str">
        <f>IF(AC1569=1,COUNT($AC$6:AC1569),"")</f>
        <v/>
      </c>
      <c r="AE1569" s="66" t="str">
        <f>IFERROR(INDEX(po_num,MATCH(1564,po_seq,0))&amp;"","")</f>
        <v/>
      </c>
      <c r="AF1569" s="66" t="str">
        <f>IF(OR(A1569="",p_po=""),"",IF(A1569&amp;""=p_po,COUNTIF($A$6:A1569,A1569),""))</f>
        <v/>
      </c>
      <c r="AG1569" s="66" t="str">
        <f>IF(OR(AB1569="",A1569=""),"",IF(COUNTIFS($A$6:A1569,A1569,$AB$6:AB1569,"&gt;0")=1,1,""))</f>
        <v/>
      </c>
      <c r="AH1569" s="70" t="str">
        <f>IF(AB1569="","",ROUND(N(W1569)*N(J1569)*(1-N(K1569)),2))</f>
        <v/>
      </c>
      <c r="AI1569" s="70" t="str">
        <f>IF(OR(J1569="",N(T1569)&lt;=0,V1569="Oui"),"",ROUND(N(T1569)*J1569*(1-N(K1569)),2))</f>
        <v/>
      </c>
    </row>
    <row r="1570">
      <c r="A1570" s="63" t="n"/>
      <c r="B1570" s="64" t="n"/>
      <c r="C1570" s="65" t="n"/>
      <c r="D1570" s="66" t="str">
        <f>IF(C1570="","",IFERROR(INDEX(sup_name,MATCH($C1570,sup_code,0))&amp;"","Fournisseur inconnu"))</f>
        <v/>
      </c>
      <c r="E1570" s="63" t="n"/>
      <c r="F1570" s="66" t="str">
        <f>IF(E1570="","",IFERROR(INDEX(art_des,MATCH($E1570,art_ref,0))&amp;"","Article inconnu"))</f>
        <v/>
      </c>
      <c r="G1570" s="67" t="str">
        <f>IF(E1570="","",IFERROR(INDEX(art_unit,MATCH($E1570,art_ref,0))&amp;"",""))</f>
        <v/>
      </c>
      <c r="H1570" s="68" t="n"/>
      <c r="I1570" s="69" t="n"/>
      <c r="J1570" s="70" t="str">
        <f>IF(E1570="","",IF(ISNUMBER(I1570),I1570,IFERROR(IF(ISNUMBER(INDEX(art_price,MATCH($E1570,art_ref,0))),INDEX(art_price,MATCH($E1570,art_ref,0)),""),"")))</f>
        <v/>
      </c>
      <c r="K1570" s="71" t="n"/>
      <c r="L1570" s="72" t="n"/>
      <c r="M1570" s="72" t="str">
        <f>IF(E1570="","",IF(L1570&lt;&gt;"",L1570,IFERROR(IF(ISNUMBER(INDEX(art_tva,MATCH($E1570,art_ref,0))),INDEX(art_tva,MATCH($E1570,art_ref,0)),""),"")))</f>
        <v/>
      </c>
      <c r="N1570" s="70" t="str">
        <f>IF(OR(E1570="",J1570=""),"",ROUND(N(H1570)*J1570*(1-N(K1570)),2))</f>
        <v/>
      </c>
      <c r="O1570" s="70" t="str">
        <f>IF(OR(N1570="",NOT(ISNUMBER(M1570))),"",ROUND(N1570*M1570,2))</f>
        <v/>
      </c>
      <c r="P1570" s="70" t="str">
        <f>IF(N1570="","",N1570+N(O1570))</f>
        <v/>
      </c>
      <c r="Q1570" s="64" t="n"/>
      <c r="R1570" s="73" t="str">
        <f>IF(N(Q1570)&gt;0,Q1570,IF(OR(N(B1570)=0,ISNA(MATCH($C1570,sup_code,0))),"",IF(ISNUMBER(INDEX(sup_delay,MATCH($C1570,sup_code,0))),B1570+INDEX(sup_delay,MATCH($C1570,sup_code,0)),"")))</f>
        <v/>
      </c>
      <c r="S1570" s="64" t="n"/>
      <c r="T1570" s="68" t="n"/>
      <c r="U1570" s="64" t="n"/>
      <c r="V1570" s="65" t="n"/>
      <c r="W1570" s="74" t="str">
        <f>IF(AND(A1570="",E1570=""),"",IF(V1570="Oui",0,MAX(0,ROUND(N(H1570)-N(T1570),6))))</f>
        <v/>
      </c>
      <c r="X1570" s="67" t="str">
        <f>IF(AND(A1570="",E1570=""),"",IF(V1570="Oui","Annulé",IF(AND(N(H1570)&gt;0,N(T1570)&gt;=N(H1570)),"Reçu",IF(N(S1570)=0,"Brouillon",IF(AND(ISNUMBER(R1570),R1570&lt;p_today),"En retard",IF(N(T1570)&gt;0,"Partiel","Envoyé"))))))</f>
        <v/>
      </c>
      <c r="Y1570" s="75" t="str">
        <f>IF(X1570="En retard",p_today-R1570,IF(AND(X1570="Reçu",ISNUMBER(R1570)),MAX(0,N(U1570)-R1570),""))</f>
        <v/>
      </c>
      <c r="Z1570" s="67" t="str">
        <f>IF(AND(A1570="",E1570=""),"",IF(A1570="","N° de bon manquant",IF(N(B1570)=0,"Date de commande manquante",IF(C1570="","Fournisseur manquant",IF(ISNA(MATCH($C1570,sup_code,0)),"Fournisseur inconnu",IF(E1570="","Article manquant",IF(ISNA(MATCH($E1570,art_ref,0)),"Article inconnu",IF(N(H1570)&lt;=0,"Quantité invalide",IF(J1570="","Prix manquant",IF(OR(N(K1570)&lt;0,N(K1570)&gt;=1),"Remise invalide",IF(M1570="","TVA manquante",IF(ISNA(MATCH(M1570,p_tva,0)),"Taux de TVA inconnu",IF(COUNTIFS(po_num,A1570,po_sup,"&lt;&gt;"&amp;C1570)&gt;0,"Fournisseur différent sur ce bon",IF(COUNTIFS(po_num,A1570,po_date,"&lt;&gt;"&amp;B1570)&gt;0,"Date différente sur ce bon",IF(COUNTIF(po_num,A1570)&gt;25,"Plus de 25 lignes sur ce bon",IF(R1570="","Date de livraison manquante",IF(R1570&lt;B1570,"Livraison avant la commande",IF(AND(N(T1570)&gt;0,N(S1570)=0),"Date d'envoi manquante",IF(N(T1570)&gt;N(H1570),"Reçu plus que commandé",IF(AND(N(T1570)&gt;0,N(U1570)=0),"Date de réception manquante",IF(AND(N(U1570)&gt;0,U1570&lt;B1570),"Réception avant la commande","OK")))))))))))))))))))))</f>
        <v/>
      </c>
      <c r="AA1570" s="66" t="str">
        <f>IF(AND(X1570="Reçu",ISNUMBER(R1570)),IF(N(U1570)&lt;=R1570,1,0),"")</f>
        <v/>
      </c>
      <c r="AB1570" s="76" t="str">
        <f>IF(OR(X1570="Envoyé",X1570="Partiel",X1570="En retard"),IF(ISNUMBER(R1570),R1570,100000)+ROW()/100000,"")</f>
        <v/>
      </c>
      <c r="AC1570" s="66" t="str">
        <f>IF(A1570="","",IF(COUNTIF($A$6:A1570,A1570)=1,1,""))</f>
        <v/>
      </c>
      <c r="AD1570" s="66" t="str">
        <f>IF(AC1570=1,COUNT($AC$6:AC1570),"")</f>
        <v/>
      </c>
      <c r="AE1570" s="66" t="str">
        <f>IFERROR(INDEX(po_num,MATCH(1565,po_seq,0))&amp;"","")</f>
        <v/>
      </c>
      <c r="AF1570" s="66" t="str">
        <f>IF(OR(A1570="",p_po=""),"",IF(A1570&amp;""=p_po,COUNTIF($A$6:A1570,A1570),""))</f>
        <v/>
      </c>
      <c r="AG1570" s="66" t="str">
        <f>IF(OR(AB1570="",A1570=""),"",IF(COUNTIFS($A$6:A1570,A1570,$AB$6:AB1570,"&gt;0")=1,1,""))</f>
        <v/>
      </c>
      <c r="AH1570" s="70" t="str">
        <f>IF(AB1570="","",ROUND(N(W1570)*N(J1570)*(1-N(K1570)),2))</f>
        <v/>
      </c>
      <c r="AI1570" s="70" t="str">
        <f>IF(OR(J1570="",N(T1570)&lt;=0,V1570="Oui"),"",ROUND(N(T1570)*J1570*(1-N(K1570)),2))</f>
        <v/>
      </c>
    </row>
    <row r="1571">
      <c r="A1571" s="63" t="n"/>
      <c r="B1571" s="64" t="n"/>
      <c r="C1571" s="65" t="n"/>
      <c r="D1571" s="66" t="str">
        <f>IF(C1571="","",IFERROR(INDEX(sup_name,MATCH($C1571,sup_code,0))&amp;"","Fournisseur inconnu"))</f>
        <v/>
      </c>
      <c r="E1571" s="63" t="n"/>
      <c r="F1571" s="66" t="str">
        <f>IF(E1571="","",IFERROR(INDEX(art_des,MATCH($E1571,art_ref,0))&amp;"","Article inconnu"))</f>
        <v/>
      </c>
      <c r="G1571" s="67" t="str">
        <f>IF(E1571="","",IFERROR(INDEX(art_unit,MATCH($E1571,art_ref,0))&amp;"",""))</f>
        <v/>
      </c>
      <c r="H1571" s="68" t="n"/>
      <c r="I1571" s="69" t="n"/>
      <c r="J1571" s="70" t="str">
        <f>IF(E1571="","",IF(ISNUMBER(I1571),I1571,IFERROR(IF(ISNUMBER(INDEX(art_price,MATCH($E1571,art_ref,0))),INDEX(art_price,MATCH($E1571,art_ref,0)),""),"")))</f>
        <v/>
      </c>
      <c r="K1571" s="71" t="n"/>
      <c r="L1571" s="72" t="n"/>
      <c r="M1571" s="72" t="str">
        <f>IF(E1571="","",IF(L1571&lt;&gt;"",L1571,IFERROR(IF(ISNUMBER(INDEX(art_tva,MATCH($E1571,art_ref,0))),INDEX(art_tva,MATCH($E1571,art_ref,0)),""),"")))</f>
        <v/>
      </c>
      <c r="N1571" s="70" t="str">
        <f>IF(OR(E1571="",J1571=""),"",ROUND(N(H1571)*J1571*(1-N(K1571)),2))</f>
        <v/>
      </c>
      <c r="O1571" s="70" t="str">
        <f>IF(OR(N1571="",NOT(ISNUMBER(M1571))),"",ROUND(N1571*M1571,2))</f>
        <v/>
      </c>
      <c r="P1571" s="70" t="str">
        <f>IF(N1571="","",N1571+N(O1571))</f>
        <v/>
      </c>
      <c r="Q1571" s="64" t="n"/>
      <c r="R1571" s="73" t="str">
        <f>IF(N(Q1571)&gt;0,Q1571,IF(OR(N(B1571)=0,ISNA(MATCH($C1571,sup_code,0))),"",IF(ISNUMBER(INDEX(sup_delay,MATCH($C1571,sup_code,0))),B1571+INDEX(sup_delay,MATCH($C1571,sup_code,0)),"")))</f>
        <v/>
      </c>
      <c r="S1571" s="64" t="n"/>
      <c r="T1571" s="68" t="n"/>
      <c r="U1571" s="64" t="n"/>
      <c r="V1571" s="65" t="n"/>
      <c r="W1571" s="74" t="str">
        <f>IF(AND(A1571="",E1571=""),"",IF(V1571="Oui",0,MAX(0,ROUND(N(H1571)-N(T1571),6))))</f>
        <v/>
      </c>
      <c r="X1571" s="67" t="str">
        <f>IF(AND(A1571="",E1571=""),"",IF(V1571="Oui","Annulé",IF(AND(N(H1571)&gt;0,N(T1571)&gt;=N(H1571)),"Reçu",IF(N(S1571)=0,"Brouillon",IF(AND(ISNUMBER(R1571),R1571&lt;p_today),"En retard",IF(N(T1571)&gt;0,"Partiel","Envoyé"))))))</f>
        <v/>
      </c>
      <c r="Y1571" s="75" t="str">
        <f>IF(X1571="En retard",p_today-R1571,IF(AND(X1571="Reçu",ISNUMBER(R1571)),MAX(0,N(U1571)-R1571),""))</f>
        <v/>
      </c>
      <c r="Z1571" s="67" t="str">
        <f>IF(AND(A1571="",E1571=""),"",IF(A1571="","N° de bon manquant",IF(N(B1571)=0,"Date de commande manquante",IF(C1571="","Fournisseur manquant",IF(ISNA(MATCH($C1571,sup_code,0)),"Fournisseur inconnu",IF(E1571="","Article manquant",IF(ISNA(MATCH($E1571,art_ref,0)),"Article inconnu",IF(N(H1571)&lt;=0,"Quantité invalide",IF(J1571="","Prix manquant",IF(OR(N(K1571)&lt;0,N(K1571)&gt;=1),"Remise invalide",IF(M1571="","TVA manquante",IF(ISNA(MATCH(M1571,p_tva,0)),"Taux de TVA inconnu",IF(COUNTIFS(po_num,A1571,po_sup,"&lt;&gt;"&amp;C1571)&gt;0,"Fournisseur différent sur ce bon",IF(COUNTIFS(po_num,A1571,po_date,"&lt;&gt;"&amp;B1571)&gt;0,"Date différente sur ce bon",IF(COUNTIF(po_num,A1571)&gt;25,"Plus de 25 lignes sur ce bon",IF(R1571="","Date de livraison manquante",IF(R1571&lt;B1571,"Livraison avant la commande",IF(AND(N(T1571)&gt;0,N(S1571)=0),"Date d'envoi manquante",IF(N(T1571)&gt;N(H1571),"Reçu plus que commandé",IF(AND(N(T1571)&gt;0,N(U1571)=0),"Date de réception manquante",IF(AND(N(U1571)&gt;0,U1571&lt;B1571),"Réception avant la commande","OK")))))))))))))))))))))</f>
        <v/>
      </c>
      <c r="AA1571" s="66" t="str">
        <f>IF(AND(X1571="Reçu",ISNUMBER(R1571)),IF(N(U1571)&lt;=R1571,1,0),"")</f>
        <v/>
      </c>
      <c r="AB1571" s="76" t="str">
        <f>IF(OR(X1571="Envoyé",X1571="Partiel",X1571="En retard"),IF(ISNUMBER(R1571),R1571,100000)+ROW()/100000,"")</f>
        <v/>
      </c>
      <c r="AC1571" s="66" t="str">
        <f>IF(A1571="","",IF(COUNTIF($A$6:A1571,A1571)=1,1,""))</f>
        <v/>
      </c>
      <c r="AD1571" s="66" t="str">
        <f>IF(AC1571=1,COUNT($AC$6:AC1571),"")</f>
        <v/>
      </c>
      <c r="AE1571" s="66" t="str">
        <f>IFERROR(INDEX(po_num,MATCH(1566,po_seq,0))&amp;"","")</f>
        <v/>
      </c>
      <c r="AF1571" s="66" t="str">
        <f>IF(OR(A1571="",p_po=""),"",IF(A1571&amp;""=p_po,COUNTIF($A$6:A1571,A1571),""))</f>
        <v/>
      </c>
      <c r="AG1571" s="66" t="str">
        <f>IF(OR(AB1571="",A1571=""),"",IF(COUNTIFS($A$6:A1571,A1571,$AB$6:AB1571,"&gt;0")=1,1,""))</f>
        <v/>
      </c>
      <c r="AH1571" s="70" t="str">
        <f>IF(AB1571="","",ROUND(N(W1571)*N(J1571)*(1-N(K1571)),2))</f>
        <v/>
      </c>
      <c r="AI1571" s="70" t="str">
        <f>IF(OR(J1571="",N(T1571)&lt;=0,V1571="Oui"),"",ROUND(N(T1571)*J1571*(1-N(K1571)),2))</f>
        <v/>
      </c>
    </row>
    <row r="1572">
      <c r="A1572" s="63" t="n"/>
      <c r="B1572" s="64" t="n"/>
      <c r="C1572" s="65" t="n"/>
      <c r="D1572" s="66" t="str">
        <f>IF(C1572="","",IFERROR(INDEX(sup_name,MATCH($C1572,sup_code,0))&amp;"","Fournisseur inconnu"))</f>
        <v/>
      </c>
      <c r="E1572" s="63" t="n"/>
      <c r="F1572" s="66" t="str">
        <f>IF(E1572="","",IFERROR(INDEX(art_des,MATCH($E1572,art_ref,0))&amp;"","Article inconnu"))</f>
        <v/>
      </c>
      <c r="G1572" s="67" t="str">
        <f>IF(E1572="","",IFERROR(INDEX(art_unit,MATCH($E1572,art_ref,0))&amp;"",""))</f>
        <v/>
      </c>
      <c r="H1572" s="68" t="n"/>
      <c r="I1572" s="69" t="n"/>
      <c r="J1572" s="70" t="str">
        <f>IF(E1572="","",IF(ISNUMBER(I1572),I1572,IFERROR(IF(ISNUMBER(INDEX(art_price,MATCH($E1572,art_ref,0))),INDEX(art_price,MATCH($E1572,art_ref,0)),""),"")))</f>
        <v/>
      </c>
      <c r="K1572" s="71" t="n"/>
      <c r="L1572" s="72" t="n"/>
      <c r="M1572" s="72" t="str">
        <f>IF(E1572="","",IF(L1572&lt;&gt;"",L1572,IFERROR(IF(ISNUMBER(INDEX(art_tva,MATCH($E1572,art_ref,0))),INDEX(art_tva,MATCH($E1572,art_ref,0)),""),"")))</f>
        <v/>
      </c>
      <c r="N1572" s="70" t="str">
        <f>IF(OR(E1572="",J1572=""),"",ROUND(N(H1572)*J1572*(1-N(K1572)),2))</f>
        <v/>
      </c>
      <c r="O1572" s="70" t="str">
        <f>IF(OR(N1572="",NOT(ISNUMBER(M1572))),"",ROUND(N1572*M1572,2))</f>
        <v/>
      </c>
      <c r="P1572" s="70" t="str">
        <f>IF(N1572="","",N1572+N(O1572))</f>
        <v/>
      </c>
      <c r="Q1572" s="64" t="n"/>
      <c r="R1572" s="73" t="str">
        <f>IF(N(Q1572)&gt;0,Q1572,IF(OR(N(B1572)=0,ISNA(MATCH($C1572,sup_code,0))),"",IF(ISNUMBER(INDEX(sup_delay,MATCH($C1572,sup_code,0))),B1572+INDEX(sup_delay,MATCH($C1572,sup_code,0)),"")))</f>
        <v/>
      </c>
      <c r="S1572" s="64" t="n"/>
      <c r="T1572" s="68" t="n"/>
      <c r="U1572" s="64" t="n"/>
      <c r="V1572" s="65" t="n"/>
      <c r="W1572" s="74" t="str">
        <f>IF(AND(A1572="",E1572=""),"",IF(V1572="Oui",0,MAX(0,ROUND(N(H1572)-N(T1572),6))))</f>
        <v/>
      </c>
      <c r="X1572" s="67" t="str">
        <f>IF(AND(A1572="",E1572=""),"",IF(V1572="Oui","Annulé",IF(AND(N(H1572)&gt;0,N(T1572)&gt;=N(H1572)),"Reçu",IF(N(S1572)=0,"Brouillon",IF(AND(ISNUMBER(R1572),R1572&lt;p_today),"En retard",IF(N(T1572)&gt;0,"Partiel","Envoyé"))))))</f>
        <v/>
      </c>
      <c r="Y1572" s="75" t="str">
        <f>IF(X1572="En retard",p_today-R1572,IF(AND(X1572="Reçu",ISNUMBER(R1572)),MAX(0,N(U1572)-R1572),""))</f>
        <v/>
      </c>
      <c r="Z1572" s="67" t="str">
        <f>IF(AND(A1572="",E1572=""),"",IF(A1572="","N° de bon manquant",IF(N(B1572)=0,"Date de commande manquante",IF(C1572="","Fournisseur manquant",IF(ISNA(MATCH($C1572,sup_code,0)),"Fournisseur inconnu",IF(E1572="","Article manquant",IF(ISNA(MATCH($E1572,art_ref,0)),"Article inconnu",IF(N(H1572)&lt;=0,"Quantité invalide",IF(J1572="","Prix manquant",IF(OR(N(K1572)&lt;0,N(K1572)&gt;=1),"Remise invalide",IF(M1572="","TVA manquante",IF(ISNA(MATCH(M1572,p_tva,0)),"Taux de TVA inconnu",IF(COUNTIFS(po_num,A1572,po_sup,"&lt;&gt;"&amp;C1572)&gt;0,"Fournisseur différent sur ce bon",IF(COUNTIFS(po_num,A1572,po_date,"&lt;&gt;"&amp;B1572)&gt;0,"Date différente sur ce bon",IF(COUNTIF(po_num,A1572)&gt;25,"Plus de 25 lignes sur ce bon",IF(R1572="","Date de livraison manquante",IF(R1572&lt;B1572,"Livraison avant la commande",IF(AND(N(T1572)&gt;0,N(S1572)=0),"Date d'envoi manquante",IF(N(T1572)&gt;N(H1572),"Reçu plus que commandé",IF(AND(N(T1572)&gt;0,N(U1572)=0),"Date de réception manquante",IF(AND(N(U1572)&gt;0,U1572&lt;B1572),"Réception avant la commande","OK")))))))))))))))))))))</f>
        <v/>
      </c>
      <c r="AA1572" s="66" t="str">
        <f>IF(AND(X1572="Reçu",ISNUMBER(R1572)),IF(N(U1572)&lt;=R1572,1,0),"")</f>
        <v/>
      </c>
      <c r="AB1572" s="76" t="str">
        <f>IF(OR(X1572="Envoyé",X1572="Partiel",X1572="En retard"),IF(ISNUMBER(R1572),R1572,100000)+ROW()/100000,"")</f>
        <v/>
      </c>
      <c r="AC1572" s="66" t="str">
        <f>IF(A1572="","",IF(COUNTIF($A$6:A1572,A1572)=1,1,""))</f>
        <v/>
      </c>
      <c r="AD1572" s="66" t="str">
        <f>IF(AC1572=1,COUNT($AC$6:AC1572),"")</f>
        <v/>
      </c>
      <c r="AE1572" s="66" t="str">
        <f>IFERROR(INDEX(po_num,MATCH(1567,po_seq,0))&amp;"","")</f>
        <v/>
      </c>
      <c r="AF1572" s="66" t="str">
        <f>IF(OR(A1572="",p_po=""),"",IF(A1572&amp;""=p_po,COUNTIF($A$6:A1572,A1572),""))</f>
        <v/>
      </c>
      <c r="AG1572" s="66" t="str">
        <f>IF(OR(AB1572="",A1572=""),"",IF(COUNTIFS($A$6:A1572,A1572,$AB$6:AB1572,"&gt;0")=1,1,""))</f>
        <v/>
      </c>
      <c r="AH1572" s="70" t="str">
        <f>IF(AB1572="","",ROUND(N(W1572)*N(J1572)*(1-N(K1572)),2))</f>
        <v/>
      </c>
      <c r="AI1572" s="70" t="str">
        <f>IF(OR(J1572="",N(T1572)&lt;=0,V1572="Oui"),"",ROUND(N(T1572)*J1572*(1-N(K1572)),2))</f>
        <v/>
      </c>
    </row>
    <row r="1573">
      <c r="A1573" s="63" t="n"/>
      <c r="B1573" s="64" t="n"/>
      <c r="C1573" s="65" t="n"/>
      <c r="D1573" s="66" t="str">
        <f>IF(C1573="","",IFERROR(INDEX(sup_name,MATCH($C1573,sup_code,0))&amp;"","Fournisseur inconnu"))</f>
        <v/>
      </c>
      <c r="E1573" s="63" t="n"/>
      <c r="F1573" s="66" t="str">
        <f>IF(E1573="","",IFERROR(INDEX(art_des,MATCH($E1573,art_ref,0))&amp;"","Article inconnu"))</f>
        <v/>
      </c>
      <c r="G1573" s="67" t="str">
        <f>IF(E1573="","",IFERROR(INDEX(art_unit,MATCH($E1573,art_ref,0))&amp;"",""))</f>
        <v/>
      </c>
      <c r="H1573" s="68" t="n"/>
      <c r="I1573" s="69" t="n"/>
      <c r="J1573" s="70" t="str">
        <f>IF(E1573="","",IF(ISNUMBER(I1573),I1573,IFERROR(IF(ISNUMBER(INDEX(art_price,MATCH($E1573,art_ref,0))),INDEX(art_price,MATCH($E1573,art_ref,0)),""),"")))</f>
        <v/>
      </c>
      <c r="K1573" s="71" t="n"/>
      <c r="L1573" s="72" t="n"/>
      <c r="M1573" s="72" t="str">
        <f>IF(E1573="","",IF(L1573&lt;&gt;"",L1573,IFERROR(IF(ISNUMBER(INDEX(art_tva,MATCH($E1573,art_ref,0))),INDEX(art_tva,MATCH($E1573,art_ref,0)),""),"")))</f>
        <v/>
      </c>
      <c r="N1573" s="70" t="str">
        <f>IF(OR(E1573="",J1573=""),"",ROUND(N(H1573)*J1573*(1-N(K1573)),2))</f>
        <v/>
      </c>
      <c r="O1573" s="70" t="str">
        <f>IF(OR(N1573="",NOT(ISNUMBER(M1573))),"",ROUND(N1573*M1573,2))</f>
        <v/>
      </c>
      <c r="P1573" s="70" t="str">
        <f>IF(N1573="","",N1573+N(O1573))</f>
        <v/>
      </c>
      <c r="Q1573" s="64" t="n"/>
      <c r="R1573" s="73" t="str">
        <f>IF(N(Q1573)&gt;0,Q1573,IF(OR(N(B1573)=0,ISNA(MATCH($C1573,sup_code,0))),"",IF(ISNUMBER(INDEX(sup_delay,MATCH($C1573,sup_code,0))),B1573+INDEX(sup_delay,MATCH($C1573,sup_code,0)),"")))</f>
        <v/>
      </c>
      <c r="S1573" s="64" t="n"/>
      <c r="T1573" s="68" t="n"/>
      <c r="U1573" s="64" t="n"/>
      <c r="V1573" s="65" t="n"/>
      <c r="W1573" s="74" t="str">
        <f>IF(AND(A1573="",E1573=""),"",IF(V1573="Oui",0,MAX(0,ROUND(N(H1573)-N(T1573),6))))</f>
        <v/>
      </c>
      <c r="X1573" s="67" t="str">
        <f>IF(AND(A1573="",E1573=""),"",IF(V1573="Oui","Annulé",IF(AND(N(H1573)&gt;0,N(T1573)&gt;=N(H1573)),"Reçu",IF(N(S1573)=0,"Brouillon",IF(AND(ISNUMBER(R1573),R1573&lt;p_today),"En retard",IF(N(T1573)&gt;0,"Partiel","Envoyé"))))))</f>
        <v/>
      </c>
      <c r="Y1573" s="75" t="str">
        <f>IF(X1573="En retard",p_today-R1573,IF(AND(X1573="Reçu",ISNUMBER(R1573)),MAX(0,N(U1573)-R1573),""))</f>
        <v/>
      </c>
      <c r="Z1573" s="67" t="str">
        <f>IF(AND(A1573="",E1573=""),"",IF(A1573="","N° de bon manquant",IF(N(B1573)=0,"Date de commande manquante",IF(C1573="","Fournisseur manquant",IF(ISNA(MATCH($C1573,sup_code,0)),"Fournisseur inconnu",IF(E1573="","Article manquant",IF(ISNA(MATCH($E1573,art_ref,0)),"Article inconnu",IF(N(H1573)&lt;=0,"Quantité invalide",IF(J1573="","Prix manquant",IF(OR(N(K1573)&lt;0,N(K1573)&gt;=1),"Remise invalide",IF(M1573="","TVA manquante",IF(ISNA(MATCH(M1573,p_tva,0)),"Taux de TVA inconnu",IF(COUNTIFS(po_num,A1573,po_sup,"&lt;&gt;"&amp;C1573)&gt;0,"Fournisseur différent sur ce bon",IF(COUNTIFS(po_num,A1573,po_date,"&lt;&gt;"&amp;B1573)&gt;0,"Date différente sur ce bon",IF(COUNTIF(po_num,A1573)&gt;25,"Plus de 25 lignes sur ce bon",IF(R1573="","Date de livraison manquante",IF(R1573&lt;B1573,"Livraison avant la commande",IF(AND(N(T1573)&gt;0,N(S1573)=0),"Date d'envoi manquante",IF(N(T1573)&gt;N(H1573),"Reçu plus que commandé",IF(AND(N(T1573)&gt;0,N(U1573)=0),"Date de réception manquante",IF(AND(N(U1573)&gt;0,U1573&lt;B1573),"Réception avant la commande","OK")))))))))))))))))))))</f>
        <v/>
      </c>
      <c r="AA1573" s="66" t="str">
        <f>IF(AND(X1573="Reçu",ISNUMBER(R1573)),IF(N(U1573)&lt;=R1573,1,0),"")</f>
        <v/>
      </c>
      <c r="AB1573" s="76" t="str">
        <f>IF(OR(X1573="Envoyé",X1573="Partiel",X1573="En retard"),IF(ISNUMBER(R1573),R1573,100000)+ROW()/100000,"")</f>
        <v/>
      </c>
      <c r="AC1573" s="66" t="str">
        <f>IF(A1573="","",IF(COUNTIF($A$6:A1573,A1573)=1,1,""))</f>
        <v/>
      </c>
      <c r="AD1573" s="66" t="str">
        <f>IF(AC1573=1,COUNT($AC$6:AC1573),"")</f>
        <v/>
      </c>
      <c r="AE1573" s="66" t="str">
        <f>IFERROR(INDEX(po_num,MATCH(1568,po_seq,0))&amp;"","")</f>
        <v/>
      </c>
      <c r="AF1573" s="66" t="str">
        <f>IF(OR(A1573="",p_po=""),"",IF(A1573&amp;""=p_po,COUNTIF($A$6:A1573,A1573),""))</f>
        <v/>
      </c>
      <c r="AG1573" s="66" t="str">
        <f>IF(OR(AB1573="",A1573=""),"",IF(COUNTIFS($A$6:A1573,A1573,$AB$6:AB1573,"&gt;0")=1,1,""))</f>
        <v/>
      </c>
      <c r="AH1573" s="70" t="str">
        <f>IF(AB1573="","",ROUND(N(W1573)*N(J1573)*(1-N(K1573)),2))</f>
        <v/>
      </c>
      <c r="AI1573" s="70" t="str">
        <f>IF(OR(J1573="",N(T1573)&lt;=0,V1573="Oui"),"",ROUND(N(T1573)*J1573*(1-N(K1573)),2))</f>
        <v/>
      </c>
    </row>
    <row r="1574">
      <c r="A1574" s="63" t="n"/>
      <c r="B1574" s="64" t="n"/>
      <c r="C1574" s="65" t="n"/>
      <c r="D1574" s="66" t="str">
        <f>IF(C1574="","",IFERROR(INDEX(sup_name,MATCH($C1574,sup_code,0))&amp;"","Fournisseur inconnu"))</f>
        <v/>
      </c>
      <c r="E1574" s="63" t="n"/>
      <c r="F1574" s="66" t="str">
        <f>IF(E1574="","",IFERROR(INDEX(art_des,MATCH($E1574,art_ref,0))&amp;"","Article inconnu"))</f>
        <v/>
      </c>
      <c r="G1574" s="67" t="str">
        <f>IF(E1574="","",IFERROR(INDEX(art_unit,MATCH($E1574,art_ref,0))&amp;"",""))</f>
        <v/>
      </c>
      <c r="H1574" s="68" t="n"/>
      <c r="I1574" s="69" t="n"/>
      <c r="J1574" s="70" t="str">
        <f>IF(E1574="","",IF(ISNUMBER(I1574),I1574,IFERROR(IF(ISNUMBER(INDEX(art_price,MATCH($E1574,art_ref,0))),INDEX(art_price,MATCH($E1574,art_ref,0)),""),"")))</f>
        <v/>
      </c>
      <c r="K1574" s="71" t="n"/>
      <c r="L1574" s="72" t="n"/>
      <c r="M1574" s="72" t="str">
        <f>IF(E1574="","",IF(L1574&lt;&gt;"",L1574,IFERROR(IF(ISNUMBER(INDEX(art_tva,MATCH($E1574,art_ref,0))),INDEX(art_tva,MATCH($E1574,art_ref,0)),""),"")))</f>
        <v/>
      </c>
      <c r="N1574" s="70" t="str">
        <f>IF(OR(E1574="",J1574=""),"",ROUND(N(H1574)*J1574*(1-N(K1574)),2))</f>
        <v/>
      </c>
      <c r="O1574" s="70" t="str">
        <f>IF(OR(N1574="",NOT(ISNUMBER(M1574))),"",ROUND(N1574*M1574,2))</f>
        <v/>
      </c>
      <c r="P1574" s="70" t="str">
        <f>IF(N1574="","",N1574+N(O1574))</f>
        <v/>
      </c>
      <c r="Q1574" s="64" t="n"/>
      <c r="R1574" s="73" t="str">
        <f>IF(N(Q1574)&gt;0,Q1574,IF(OR(N(B1574)=0,ISNA(MATCH($C1574,sup_code,0))),"",IF(ISNUMBER(INDEX(sup_delay,MATCH($C1574,sup_code,0))),B1574+INDEX(sup_delay,MATCH($C1574,sup_code,0)),"")))</f>
        <v/>
      </c>
      <c r="S1574" s="64" t="n"/>
      <c r="T1574" s="68" t="n"/>
      <c r="U1574" s="64" t="n"/>
      <c r="V1574" s="65" t="n"/>
      <c r="W1574" s="74" t="str">
        <f>IF(AND(A1574="",E1574=""),"",IF(V1574="Oui",0,MAX(0,ROUND(N(H1574)-N(T1574),6))))</f>
        <v/>
      </c>
      <c r="X1574" s="67" t="str">
        <f>IF(AND(A1574="",E1574=""),"",IF(V1574="Oui","Annulé",IF(AND(N(H1574)&gt;0,N(T1574)&gt;=N(H1574)),"Reçu",IF(N(S1574)=0,"Brouillon",IF(AND(ISNUMBER(R1574),R1574&lt;p_today),"En retard",IF(N(T1574)&gt;0,"Partiel","Envoyé"))))))</f>
        <v/>
      </c>
      <c r="Y1574" s="75" t="str">
        <f>IF(X1574="En retard",p_today-R1574,IF(AND(X1574="Reçu",ISNUMBER(R1574)),MAX(0,N(U1574)-R1574),""))</f>
        <v/>
      </c>
      <c r="Z1574" s="67" t="str">
        <f>IF(AND(A1574="",E1574=""),"",IF(A1574="","N° de bon manquant",IF(N(B1574)=0,"Date de commande manquante",IF(C1574="","Fournisseur manquant",IF(ISNA(MATCH($C1574,sup_code,0)),"Fournisseur inconnu",IF(E1574="","Article manquant",IF(ISNA(MATCH($E1574,art_ref,0)),"Article inconnu",IF(N(H1574)&lt;=0,"Quantité invalide",IF(J1574="","Prix manquant",IF(OR(N(K1574)&lt;0,N(K1574)&gt;=1),"Remise invalide",IF(M1574="","TVA manquante",IF(ISNA(MATCH(M1574,p_tva,0)),"Taux de TVA inconnu",IF(COUNTIFS(po_num,A1574,po_sup,"&lt;&gt;"&amp;C1574)&gt;0,"Fournisseur différent sur ce bon",IF(COUNTIFS(po_num,A1574,po_date,"&lt;&gt;"&amp;B1574)&gt;0,"Date différente sur ce bon",IF(COUNTIF(po_num,A1574)&gt;25,"Plus de 25 lignes sur ce bon",IF(R1574="","Date de livraison manquante",IF(R1574&lt;B1574,"Livraison avant la commande",IF(AND(N(T1574)&gt;0,N(S1574)=0),"Date d'envoi manquante",IF(N(T1574)&gt;N(H1574),"Reçu plus que commandé",IF(AND(N(T1574)&gt;0,N(U1574)=0),"Date de réception manquante",IF(AND(N(U1574)&gt;0,U1574&lt;B1574),"Réception avant la commande","OK")))))))))))))))))))))</f>
        <v/>
      </c>
      <c r="AA1574" s="66" t="str">
        <f>IF(AND(X1574="Reçu",ISNUMBER(R1574)),IF(N(U1574)&lt;=R1574,1,0),"")</f>
        <v/>
      </c>
      <c r="AB1574" s="76" t="str">
        <f>IF(OR(X1574="Envoyé",X1574="Partiel",X1574="En retard"),IF(ISNUMBER(R1574),R1574,100000)+ROW()/100000,"")</f>
        <v/>
      </c>
      <c r="AC1574" s="66" t="str">
        <f>IF(A1574="","",IF(COUNTIF($A$6:A1574,A1574)=1,1,""))</f>
        <v/>
      </c>
      <c r="AD1574" s="66" t="str">
        <f>IF(AC1574=1,COUNT($AC$6:AC1574),"")</f>
        <v/>
      </c>
      <c r="AE1574" s="66" t="str">
        <f>IFERROR(INDEX(po_num,MATCH(1569,po_seq,0))&amp;"","")</f>
        <v/>
      </c>
      <c r="AF1574" s="66" t="str">
        <f>IF(OR(A1574="",p_po=""),"",IF(A1574&amp;""=p_po,COUNTIF($A$6:A1574,A1574),""))</f>
        <v/>
      </c>
      <c r="AG1574" s="66" t="str">
        <f>IF(OR(AB1574="",A1574=""),"",IF(COUNTIFS($A$6:A1574,A1574,$AB$6:AB1574,"&gt;0")=1,1,""))</f>
        <v/>
      </c>
      <c r="AH1574" s="70" t="str">
        <f>IF(AB1574="","",ROUND(N(W1574)*N(J1574)*(1-N(K1574)),2))</f>
        <v/>
      </c>
      <c r="AI1574" s="70" t="str">
        <f>IF(OR(J1574="",N(T1574)&lt;=0,V1574="Oui"),"",ROUND(N(T1574)*J1574*(1-N(K1574)),2))</f>
        <v/>
      </c>
    </row>
    <row r="1575">
      <c r="A1575" s="63" t="n"/>
      <c r="B1575" s="64" t="n"/>
      <c r="C1575" s="65" t="n"/>
      <c r="D1575" s="66" t="str">
        <f>IF(C1575="","",IFERROR(INDEX(sup_name,MATCH($C1575,sup_code,0))&amp;"","Fournisseur inconnu"))</f>
        <v/>
      </c>
      <c r="E1575" s="63" t="n"/>
      <c r="F1575" s="66" t="str">
        <f>IF(E1575="","",IFERROR(INDEX(art_des,MATCH($E1575,art_ref,0))&amp;"","Article inconnu"))</f>
        <v/>
      </c>
      <c r="G1575" s="67" t="str">
        <f>IF(E1575="","",IFERROR(INDEX(art_unit,MATCH($E1575,art_ref,0))&amp;"",""))</f>
        <v/>
      </c>
      <c r="H1575" s="68" t="n"/>
      <c r="I1575" s="69" t="n"/>
      <c r="J1575" s="70" t="str">
        <f>IF(E1575="","",IF(ISNUMBER(I1575),I1575,IFERROR(IF(ISNUMBER(INDEX(art_price,MATCH($E1575,art_ref,0))),INDEX(art_price,MATCH($E1575,art_ref,0)),""),"")))</f>
        <v/>
      </c>
      <c r="K1575" s="71" t="n"/>
      <c r="L1575" s="72" t="n"/>
      <c r="M1575" s="72" t="str">
        <f>IF(E1575="","",IF(L1575&lt;&gt;"",L1575,IFERROR(IF(ISNUMBER(INDEX(art_tva,MATCH($E1575,art_ref,0))),INDEX(art_tva,MATCH($E1575,art_ref,0)),""),"")))</f>
        <v/>
      </c>
      <c r="N1575" s="70" t="str">
        <f>IF(OR(E1575="",J1575=""),"",ROUND(N(H1575)*J1575*(1-N(K1575)),2))</f>
        <v/>
      </c>
      <c r="O1575" s="70" t="str">
        <f>IF(OR(N1575="",NOT(ISNUMBER(M1575))),"",ROUND(N1575*M1575,2))</f>
        <v/>
      </c>
      <c r="P1575" s="70" t="str">
        <f>IF(N1575="","",N1575+N(O1575))</f>
        <v/>
      </c>
      <c r="Q1575" s="64" t="n"/>
      <c r="R1575" s="73" t="str">
        <f>IF(N(Q1575)&gt;0,Q1575,IF(OR(N(B1575)=0,ISNA(MATCH($C1575,sup_code,0))),"",IF(ISNUMBER(INDEX(sup_delay,MATCH($C1575,sup_code,0))),B1575+INDEX(sup_delay,MATCH($C1575,sup_code,0)),"")))</f>
        <v/>
      </c>
      <c r="S1575" s="64" t="n"/>
      <c r="T1575" s="68" t="n"/>
      <c r="U1575" s="64" t="n"/>
      <c r="V1575" s="65" t="n"/>
      <c r="W1575" s="74" t="str">
        <f>IF(AND(A1575="",E1575=""),"",IF(V1575="Oui",0,MAX(0,ROUND(N(H1575)-N(T1575),6))))</f>
        <v/>
      </c>
      <c r="X1575" s="67" t="str">
        <f>IF(AND(A1575="",E1575=""),"",IF(V1575="Oui","Annulé",IF(AND(N(H1575)&gt;0,N(T1575)&gt;=N(H1575)),"Reçu",IF(N(S1575)=0,"Brouillon",IF(AND(ISNUMBER(R1575),R1575&lt;p_today),"En retard",IF(N(T1575)&gt;0,"Partiel","Envoyé"))))))</f>
        <v/>
      </c>
      <c r="Y1575" s="75" t="str">
        <f>IF(X1575="En retard",p_today-R1575,IF(AND(X1575="Reçu",ISNUMBER(R1575)),MAX(0,N(U1575)-R1575),""))</f>
        <v/>
      </c>
      <c r="Z1575" s="67" t="str">
        <f>IF(AND(A1575="",E1575=""),"",IF(A1575="","N° de bon manquant",IF(N(B1575)=0,"Date de commande manquante",IF(C1575="","Fournisseur manquant",IF(ISNA(MATCH($C1575,sup_code,0)),"Fournisseur inconnu",IF(E1575="","Article manquant",IF(ISNA(MATCH($E1575,art_ref,0)),"Article inconnu",IF(N(H1575)&lt;=0,"Quantité invalide",IF(J1575="","Prix manquant",IF(OR(N(K1575)&lt;0,N(K1575)&gt;=1),"Remise invalide",IF(M1575="","TVA manquante",IF(ISNA(MATCH(M1575,p_tva,0)),"Taux de TVA inconnu",IF(COUNTIFS(po_num,A1575,po_sup,"&lt;&gt;"&amp;C1575)&gt;0,"Fournisseur différent sur ce bon",IF(COUNTIFS(po_num,A1575,po_date,"&lt;&gt;"&amp;B1575)&gt;0,"Date différente sur ce bon",IF(COUNTIF(po_num,A1575)&gt;25,"Plus de 25 lignes sur ce bon",IF(R1575="","Date de livraison manquante",IF(R1575&lt;B1575,"Livraison avant la commande",IF(AND(N(T1575)&gt;0,N(S1575)=0),"Date d'envoi manquante",IF(N(T1575)&gt;N(H1575),"Reçu plus que commandé",IF(AND(N(T1575)&gt;0,N(U1575)=0),"Date de réception manquante",IF(AND(N(U1575)&gt;0,U1575&lt;B1575),"Réception avant la commande","OK")))))))))))))))))))))</f>
        <v/>
      </c>
      <c r="AA1575" s="66" t="str">
        <f>IF(AND(X1575="Reçu",ISNUMBER(R1575)),IF(N(U1575)&lt;=R1575,1,0),"")</f>
        <v/>
      </c>
      <c r="AB1575" s="76" t="str">
        <f>IF(OR(X1575="Envoyé",X1575="Partiel",X1575="En retard"),IF(ISNUMBER(R1575),R1575,100000)+ROW()/100000,"")</f>
        <v/>
      </c>
      <c r="AC1575" s="66" t="str">
        <f>IF(A1575="","",IF(COUNTIF($A$6:A1575,A1575)=1,1,""))</f>
        <v/>
      </c>
      <c r="AD1575" s="66" t="str">
        <f>IF(AC1575=1,COUNT($AC$6:AC1575),"")</f>
        <v/>
      </c>
      <c r="AE1575" s="66" t="str">
        <f>IFERROR(INDEX(po_num,MATCH(1570,po_seq,0))&amp;"","")</f>
        <v/>
      </c>
      <c r="AF1575" s="66" t="str">
        <f>IF(OR(A1575="",p_po=""),"",IF(A1575&amp;""=p_po,COUNTIF($A$6:A1575,A1575),""))</f>
        <v/>
      </c>
      <c r="AG1575" s="66" t="str">
        <f>IF(OR(AB1575="",A1575=""),"",IF(COUNTIFS($A$6:A1575,A1575,$AB$6:AB1575,"&gt;0")=1,1,""))</f>
        <v/>
      </c>
      <c r="AH1575" s="70" t="str">
        <f>IF(AB1575="","",ROUND(N(W1575)*N(J1575)*(1-N(K1575)),2))</f>
        <v/>
      </c>
      <c r="AI1575" s="70" t="str">
        <f>IF(OR(J1575="",N(T1575)&lt;=0,V1575="Oui"),"",ROUND(N(T1575)*J1575*(1-N(K1575)),2))</f>
        <v/>
      </c>
    </row>
    <row r="1576">
      <c r="A1576" s="63" t="n"/>
      <c r="B1576" s="64" t="n"/>
      <c r="C1576" s="65" t="n"/>
      <c r="D1576" s="66" t="str">
        <f>IF(C1576="","",IFERROR(INDEX(sup_name,MATCH($C1576,sup_code,0))&amp;"","Fournisseur inconnu"))</f>
        <v/>
      </c>
      <c r="E1576" s="63" t="n"/>
      <c r="F1576" s="66" t="str">
        <f>IF(E1576="","",IFERROR(INDEX(art_des,MATCH($E1576,art_ref,0))&amp;"","Article inconnu"))</f>
        <v/>
      </c>
      <c r="G1576" s="67" t="str">
        <f>IF(E1576="","",IFERROR(INDEX(art_unit,MATCH($E1576,art_ref,0))&amp;"",""))</f>
        <v/>
      </c>
      <c r="H1576" s="68" t="n"/>
      <c r="I1576" s="69" t="n"/>
      <c r="J1576" s="70" t="str">
        <f>IF(E1576="","",IF(ISNUMBER(I1576),I1576,IFERROR(IF(ISNUMBER(INDEX(art_price,MATCH($E1576,art_ref,0))),INDEX(art_price,MATCH($E1576,art_ref,0)),""),"")))</f>
        <v/>
      </c>
      <c r="K1576" s="71" t="n"/>
      <c r="L1576" s="72" t="n"/>
      <c r="M1576" s="72" t="str">
        <f>IF(E1576="","",IF(L1576&lt;&gt;"",L1576,IFERROR(IF(ISNUMBER(INDEX(art_tva,MATCH($E1576,art_ref,0))),INDEX(art_tva,MATCH($E1576,art_ref,0)),""),"")))</f>
        <v/>
      </c>
      <c r="N1576" s="70" t="str">
        <f>IF(OR(E1576="",J1576=""),"",ROUND(N(H1576)*J1576*(1-N(K1576)),2))</f>
        <v/>
      </c>
      <c r="O1576" s="70" t="str">
        <f>IF(OR(N1576="",NOT(ISNUMBER(M1576))),"",ROUND(N1576*M1576,2))</f>
        <v/>
      </c>
      <c r="P1576" s="70" t="str">
        <f>IF(N1576="","",N1576+N(O1576))</f>
        <v/>
      </c>
      <c r="Q1576" s="64" t="n"/>
      <c r="R1576" s="73" t="str">
        <f>IF(N(Q1576)&gt;0,Q1576,IF(OR(N(B1576)=0,ISNA(MATCH($C1576,sup_code,0))),"",IF(ISNUMBER(INDEX(sup_delay,MATCH($C1576,sup_code,0))),B1576+INDEX(sup_delay,MATCH($C1576,sup_code,0)),"")))</f>
        <v/>
      </c>
      <c r="S1576" s="64" t="n"/>
      <c r="T1576" s="68" t="n"/>
      <c r="U1576" s="64" t="n"/>
      <c r="V1576" s="65" t="n"/>
      <c r="W1576" s="74" t="str">
        <f>IF(AND(A1576="",E1576=""),"",IF(V1576="Oui",0,MAX(0,ROUND(N(H1576)-N(T1576),6))))</f>
        <v/>
      </c>
      <c r="X1576" s="67" t="str">
        <f>IF(AND(A1576="",E1576=""),"",IF(V1576="Oui","Annulé",IF(AND(N(H1576)&gt;0,N(T1576)&gt;=N(H1576)),"Reçu",IF(N(S1576)=0,"Brouillon",IF(AND(ISNUMBER(R1576),R1576&lt;p_today),"En retard",IF(N(T1576)&gt;0,"Partiel","Envoyé"))))))</f>
        <v/>
      </c>
      <c r="Y1576" s="75" t="str">
        <f>IF(X1576="En retard",p_today-R1576,IF(AND(X1576="Reçu",ISNUMBER(R1576)),MAX(0,N(U1576)-R1576),""))</f>
        <v/>
      </c>
      <c r="Z1576" s="67" t="str">
        <f>IF(AND(A1576="",E1576=""),"",IF(A1576="","N° de bon manquant",IF(N(B1576)=0,"Date de commande manquante",IF(C1576="","Fournisseur manquant",IF(ISNA(MATCH($C1576,sup_code,0)),"Fournisseur inconnu",IF(E1576="","Article manquant",IF(ISNA(MATCH($E1576,art_ref,0)),"Article inconnu",IF(N(H1576)&lt;=0,"Quantité invalide",IF(J1576="","Prix manquant",IF(OR(N(K1576)&lt;0,N(K1576)&gt;=1),"Remise invalide",IF(M1576="","TVA manquante",IF(ISNA(MATCH(M1576,p_tva,0)),"Taux de TVA inconnu",IF(COUNTIFS(po_num,A1576,po_sup,"&lt;&gt;"&amp;C1576)&gt;0,"Fournisseur différent sur ce bon",IF(COUNTIFS(po_num,A1576,po_date,"&lt;&gt;"&amp;B1576)&gt;0,"Date différente sur ce bon",IF(COUNTIF(po_num,A1576)&gt;25,"Plus de 25 lignes sur ce bon",IF(R1576="","Date de livraison manquante",IF(R1576&lt;B1576,"Livraison avant la commande",IF(AND(N(T1576)&gt;0,N(S1576)=0),"Date d'envoi manquante",IF(N(T1576)&gt;N(H1576),"Reçu plus que commandé",IF(AND(N(T1576)&gt;0,N(U1576)=0),"Date de réception manquante",IF(AND(N(U1576)&gt;0,U1576&lt;B1576),"Réception avant la commande","OK")))))))))))))))))))))</f>
        <v/>
      </c>
      <c r="AA1576" s="66" t="str">
        <f>IF(AND(X1576="Reçu",ISNUMBER(R1576)),IF(N(U1576)&lt;=R1576,1,0),"")</f>
        <v/>
      </c>
      <c r="AB1576" s="76" t="str">
        <f>IF(OR(X1576="Envoyé",X1576="Partiel",X1576="En retard"),IF(ISNUMBER(R1576),R1576,100000)+ROW()/100000,"")</f>
        <v/>
      </c>
      <c r="AC1576" s="66" t="str">
        <f>IF(A1576="","",IF(COUNTIF($A$6:A1576,A1576)=1,1,""))</f>
        <v/>
      </c>
      <c r="AD1576" s="66" t="str">
        <f>IF(AC1576=1,COUNT($AC$6:AC1576),"")</f>
        <v/>
      </c>
      <c r="AE1576" s="66" t="str">
        <f>IFERROR(INDEX(po_num,MATCH(1571,po_seq,0))&amp;"","")</f>
        <v/>
      </c>
      <c r="AF1576" s="66" t="str">
        <f>IF(OR(A1576="",p_po=""),"",IF(A1576&amp;""=p_po,COUNTIF($A$6:A1576,A1576),""))</f>
        <v/>
      </c>
      <c r="AG1576" s="66" t="str">
        <f>IF(OR(AB1576="",A1576=""),"",IF(COUNTIFS($A$6:A1576,A1576,$AB$6:AB1576,"&gt;0")=1,1,""))</f>
        <v/>
      </c>
      <c r="AH1576" s="70" t="str">
        <f>IF(AB1576="","",ROUND(N(W1576)*N(J1576)*(1-N(K1576)),2))</f>
        <v/>
      </c>
      <c r="AI1576" s="70" t="str">
        <f>IF(OR(J1576="",N(T1576)&lt;=0,V1576="Oui"),"",ROUND(N(T1576)*J1576*(1-N(K1576)),2))</f>
        <v/>
      </c>
    </row>
    <row r="1577">
      <c r="A1577" s="63" t="n"/>
      <c r="B1577" s="64" t="n"/>
      <c r="C1577" s="65" t="n"/>
      <c r="D1577" s="66" t="str">
        <f>IF(C1577="","",IFERROR(INDEX(sup_name,MATCH($C1577,sup_code,0))&amp;"","Fournisseur inconnu"))</f>
        <v/>
      </c>
      <c r="E1577" s="63" t="n"/>
      <c r="F1577" s="66" t="str">
        <f>IF(E1577="","",IFERROR(INDEX(art_des,MATCH($E1577,art_ref,0))&amp;"","Article inconnu"))</f>
        <v/>
      </c>
      <c r="G1577" s="67" t="str">
        <f>IF(E1577="","",IFERROR(INDEX(art_unit,MATCH($E1577,art_ref,0))&amp;"",""))</f>
        <v/>
      </c>
      <c r="H1577" s="68" t="n"/>
      <c r="I1577" s="69" t="n"/>
      <c r="J1577" s="70" t="str">
        <f>IF(E1577="","",IF(ISNUMBER(I1577),I1577,IFERROR(IF(ISNUMBER(INDEX(art_price,MATCH($E1577,art_ref,0))),INDEX(art_price,MATCH($E1577,art_ref,0)),""),"")))</f>
        <v/>
      </c>
      <c r="K1577" s="71" t="n"/>
      <c r="L1577" s="72" t="n"/>
      <c r="M1577" s="72" t="str">
        <f>IF(E1577="","",IF(L1577&lt;&gt;"",L1577,IFERROR(IF(ISNUMBER(INDEX(art_tva,MATCH($E1577,art_ref,0))),INDEX(art_tva,MATCH($E1577,art_ref,0)),""),"")))</f>
        <v/>
      </c>
      <c r="N1577" s="70" t="str">
        <f>IF(OR(E1577="",J1577=""),"",ROUND(N(H1577)*J1577*(1-N(K1577)),2))</f>
        <v/>
      </c>
      <c r="O1577" s="70" t="str">
        <f>IF(OR(N1577="",NOT(ISNUMBER(M1577))),"",ROUND(N1577*M1577,2))</f>
        <v/>
      </c>
      <c r="P1577" s="70" t="str">
        <f>IF(N1577="","",N1577+N(O1577))</f>
        <v/>
      </c>
      <c r="Q1577" s="64" t="n"/>
      <c r="R1577" s="73" t="str">
        <f>IF(N(Q1577)&gt;0,Q1577,IF(OR(N(B1577)=0,ISNA(MATCH($C1577,sup_code,0))),"",IF(ISNUMBER(INDEX(sup_delay,MATCH($C1577,sup_code,0))),B1577+INDEX(sup_delay,MATCH($C1577,sup_code,0)),"")))</f>
        <v/>
      </c>
      <c r="S1577" s="64" t="n"/>
      <c r="T1577" s="68" t="n"/>
      <c r="U1577" s="64" t="n"/>
      <c r="V1577" s="65" t="n"/>
      <c r="W1577" s="74" t="str">
        <f>IF(AND(A1577="",E1577=""),"",IF(V1577="Oui",0,MAX(0,ROUND(N(H1577)-N(T1577),6))))</f>
        <v/>
      </c>
      <c r="X1577" s="67" t="str">
        <f>IF(AND(A1577="",E1577=""),"",IF(V1577="Oui","Annulé",IF(AND(N(H1577)&gt;0,N(T1577)&gt;=N(H1577)),"Reçu",IF(N(S1577)=0,"Brouillon",IF(AND(ISNUMBER(R1577),R1577&lt;p_today),"En retard",IF(N(T1577)&gt;0,"Partiel","Envoyé"))))))</f>
        <v/>
      </c>
      <c r="Y1577" s="75" t="str">
        <f>IF(X1577="En retard",p_today-R1577,IF(AND(X1577="Reçu",ISNUMBER(R1577)),MAX(0,N(U1577)-R1577),""))</f>
        <v/>
      </c>
      <c r="Z1577" s="67" t="str">
        <f>IF(AND(A1577="",E1577=""),"",IF(A1577="","N° de bon manquant",IF(N(B1577)=0,"Date de commande manquante",IF(C1577="","Fournisseur manquant",IF(ISNA(MATCH($C1577,sup_code,0)),"Fournisseur inconnu",IF(E1577="","Article manquant",IF(ISNA(MATCH($E1577,art_ref,0)),"Article inconnu",IF(N(H1577)&lt;=0,"Quantité invalide",IF(J1577="","Prix manquant",IF(OR(N(K1577)&lt;0,N(K1577)&gt;=1),"Remise invalide",IF(M1577="","TVA manquante",IF(ISNA(MATCH(M1577,p_tva,0)),"Taux de TVA inconnu",IF(COUNTIFS(po_num,A1577,po_sup,"&lt;&gt;"&amp;C1577)&gt;0,"Fournisseur différent sur ce bon",IF(COUNTIFS(po_num,A1577,po_date,"&lt;&gt;"&amp;B1577)&gt;0,"Date différente sur ce bon",IF(COUNTIF(po_num,A1577)&gt;25,"Plus de 25 lignes sur ce bon",IF(R1577="","Date de livraison manquante",IF(R1577&lt;B1577,"Livraison avant la commande",IF(AND(N(T1577)&gt;0,N(S1577)=0),"Date d'envoi manquante",IF(N(T1577)&gt;N(H1577),"Reçu plus que commandé",IF(AND(N(T1577)&gt;0,N(U1577)=0),"Date de réception manquante",IF(AND(N(U1577)&gt;0,U1577&lt;B1577),"Réception avant la commande","OK")))))))))))))))))))))</f>
        <v/>
      </c>
      <c r="AA1577" s="66" t="str">
        <f>IF(AND(X1577="Reçu",ISNUMBER(R1577)),IF(N(U1577)&lt;=R1577,1,0),"")</f>
        <v/>
      </c>
      <c r="AB1577" s="76" t="str">
        <f>IF(OR(X1577="Envoyé",X1577="Partiel",X1577="En retard"),IF(ISNUMBER(R1577),R1577,100000)+ROW()/100000,"")</f>
        <v/>
      </c>
      <c r="AC1577" s="66" t="str">
        <f>IF(A1577="","",IF(COUNTIF($A$6:A1577,A1577)=1,1,""))</f>
        <v/>
      </c>
      <c r="AD1577" s="66" t="str">
        <f>IF(AC1577=1,COUNT($AC$6:AC1577),"")</f>
        <v/>
      </c>
      <c r="AE1577" s="66" t="str">
        <f>IFERROR(INDEX(po_num,MATCH(1572,po_seq,0))&amp;"","")</f>
        <v/>
      </c>
      <c r="AF1577" s="66" t="str">
        <f>IF(OR(A1577="",p_po=""),"",IF(A1577&amp;""=p_po,COUNTIF($A$6:A1577,A1577),""))</f>
        <v/>
      </c>
      <c r="AG1577" s="66" t="str">
        <f>IF(OR(AB1577="",A1577=""),"",IF(COUNTIFS($A$6:A1577,A1577,$AB$6:AB1577,"&gt;0")=1,1,""))</f>
        <v/>
      </c>
      <c r="AH1577" s="70" t="str">
        <f>IF(AB1577="","",ROUND(N(W1577)*N(J1577)*(1-N(K1577)),2))</f>
        <v/>
      </c>
      <c r="AI1577" s="70" t="str">
        <f>IF(OR(J1577="",N(T1577)&lt;=0,V1577="Oui"),"",ROUND(N(T1577)*J1577*(1-N(K1577)),2))</f>
        <v/>
      </c>
    </row>
    <row r="1578">
      <c r="A1578" s="63" t="n"/>
      <c r="B1578" s="64" t="n"/>
      <c r="C1578" s="65" t="n"/>
      <c r="D1578" s="66" t="str">
        <f>IF(C1578="","",IFERROR(INDEX(sup_name,MATCH($C1578,sup_code,0))&amp;"","Fournisseur inconnu"))</f>
        <v/>
      </c>
      <c r="E1578" s="63" t="n"/>
      <c r="F1578" s="66" t="str">
        <f>IF(E1578="","",IFERROR(INDEX(art_des,MATCH($E1578,art_ref,0))&amp;"","Article inconnu"))</f>
        <v/>
      </c>
      <c r="G1578" s="67" t="str">
        <f>IF(E1578="","",IFERROR(INDEX(art_unit,MATCH($E1578,art_ref,0))&amp;"",""))</f>
        <v/>
      </c>
      <c r="H1578" s="68" t="n"/>
      <c r="I1578" s="69" t="n"/>
      <c r="J1578" s="70" t="str">
        <f>IF(E1578="","",IF(ISNUMBER(I1578),I1578,IFERROR(IF(ISNUMBER(INDEX(art_price,MATCH($E1578,art_ref,0))),INDEX(art_price,MATCH($E1578,art_ref,0)),""),"")))</f>
        <v/>
      </c>
      <c r="K1578" s="71" t="n"/>
      <c r="L1578" s="72" t="n"/>
      <c r="M1578" s="72" t="str">
        <f>IF(E1578="","",IF(L1578&lt;&gt;"",L1578,IFERROR(IF(ISNUMBER(INDEX(art_tva,MATCH($E1578,art_ref,0))),INDEX(art_tva,MATCH($E1578,art_ref,0)),""),"")))</f>
        <v/>
      </c>
      <c r="N1578" s="70" t="str">
        <f>IF(OR(E1578="",J1578=""),"",ROUND(N(H1578)*J1578*(1-N(K1578)),2))</f>
        <v/>
      </c>
      <c r="O1578" s="70" t="str">
        <f>IF(OR(N1578="",NOT(ISNUMBER(M1578))),"",ROUND(N1578*M1578,2))</f>
        <v/>
      </c>
      <c r="P1578" s="70" t="str">
        <f>IF(N1578="","",N1578+N(O1578))</f>
        <v/>
      </c>
      <c r="Q1578" s="64" t="n"/>
      <c r="R1578" s="73" t="str">
        <f>IF(N(Q1578)&gt;0,Q1578,IF(OR(N(B1578)=0,ISNA(MATCH($C1578,sup_code,0))),"",IF(ISNUMBER(INDEX(sup_delay,MATCH($C1578,sup_code,0))),B1578+INDEX(sup_delay,MATCH($C1578,sup_code,0)),"")))</f>
        <v/>
      </c>
      <c r="S1578" s="64" t="n"/>
      <c r="T1578" s="68" t="n"/>
      <c r="U1578" s="64" t="n"/>
      <c r="V1578" s="65" t="n"/>
      <c r="W1578" s="74" t="str">
        <f>IF(AND(A1578="",E1578=""),"",IF(V1578="Oui",0,MAX(0,ROUND(N(H1578)-N(T1578),6))))</f>
        <v/>
      </c>
      <c r="X1578" s="67" t="str">
        <f>IF(AND(A1578="",E1578=""),"",IF(V1578="Oui","Annulé",IF(AND(N(H1578)&gt;0,N(T1578)&gt;=N(H1578)),"Reçu",IF(N(S1578)=0,"Brouillon",IF(AND(ISNUMBER(R1578),R1578&lt;p_today),"En retard",IF(N(T1578)&gt;0,"Partiel","Envoyé"))))))</f>
        <v/>
      </c>
      <c r="Y1578" s="75" t="str">
        <f>IF(X1578="En retard",p_today-R1578,IF(AND(X1578="Reçu",ISNUMBER(R1578)),MAX(0,N(U1578)-R1578),""))</f>
        <v/>
      </c>
      <c r="Z1578" s="67" t="str">
        <f>IF(AND(A1578="",E1578=""),"",IF(A1578="","N° de bon manquant",IF(N(B1578)=0,"Date de commande manquante",IF(C1578="","Fournisseur manquant",IF(ISNA(MATCH($C1578,sup_code,0)),"Fournisseur inconnu",IF(E1578="","Article manquant",IF(ISNA(MATCH($E1578,art_ref,0)),"Article inconnu",IF(N(H1578)&lt;=0,"Quantité invalide",IF(J1578="","Prix manquant",IF(OR(N(K1578)&lt;0,N(K1578)&gt;=1),"Remise invalide",IF(M1578="","TVA manquante",IF(ISNA(MATCH(M1578,p_tva,0)),"Taux de TVA inconnu",IF(COUNTIFS(po_num,A1578,po_sup,"&lt;&gt;"&amp;C1578)&gt;0,"Fournisseur différent sur ce bon",IF(COUNTIFS(po_num,A1578,po_date,"&lt;&gt;"&amp;B1578)&gt;0,"Date différente sur ce bon",IF(COUNTIF(po_num,A1578)&gt;25,"Plus de 25 lignes sur ce bon",IF(R1578="","Date de livraison manquante",IF(R1578&lt;B1578,"Livraison avant la commande",IF(AND(N(T1578)&gt;0,N(S1578)=0),"Date d'envoi manquante",IF(N(T1578)&gt;N(H1578),"Reçu plus que commandé",IF(AND(N(T1578)&gt;0,N(U1578)=0),"Date de réception manquante",IF(AND(N(U1578)&gt;0,U1578&lt;B1578),"Réception avant la commande","OK")))))))))))))))))))))</f>
        <v/>
      </c>
      <c r="AA1578" s="66" t="str">
        <f>IF(AND(X1578="Reçu",ISNUMBER(R1578)),IF(N(U1578)&lt;=R1578,1,0),"")</f>
        <v/>
      </c>
      <c r="AB1578" s="76" t="str">
        <f>IF(OR(X1578="Envoyé",X1578="Partiel",X1578="En retard"),IF(ISNUMBER(R1578),R1578,100000)+ROW()/100000,"")</f>
        <v/>
      </c>
      <c r="AC1578" s="66" t="str">
        <f>IF(A1578="","",IF(COUNTIF($A$6:A1578,A1578)=1,1,""))</f>
        <v/>
      </c>
      <c r="AD1578" s="66" t="str">
        <f>IF(AC1578=1,COUNT($AC$6:AC1578),"")</f>
        <v/>
      </c>
      <c r="AE1578" s="66" t="str">
        <f>IFERROR(INDEX(po_num,MATCH(1573,po_seq,0))&amp;"","")</f>
        <v/>
      </c>
      <c r="AF1578" s="66" t="str">
        <f>IF(OR(A1578="",p_po=""),"",IF(A1578&amp;""=p_po,COUNTIF($A$6:A1578,A1578),""))</f>
        <v/>
      </c>
      <c r="AG1578" s="66" t="str">
        <f>IF(OR(AB1578="",A1578=""),"",IF(COUNTIFS($A$6:A1578,A1578,$AB$6:AB1578,"&gt;0")=1,1,""))</f>
        <v/>
      </c>
      <c r="AH1578" s="70" t="str">
        <f>IF(AB1578="","",ROUND(N(W1578)*N(J1578)*(1-N(K1578)),2))</f>
        <v/>
      </c>
      <c r="AI1578" s="70" t="str">
        <f>IF(OR(J1578="",N(T1578)&lt;=0,V1578="Oui"),"",ROUND(N(T1578)*J1578*(1-N(K1578)),2))</f>
        <v/>
      </c>
    </row>
    <row r="1579">
      <c r="A1579" s="63" t="n"/>
      <c r="B1579" s="64" t="n"/>
      <c r="C1579" s="65" t="n"/>
      <c r="D1579" s="66" t="str">
        <f>IF(C1579="","",IFERROR(INDEX(sup_name,MATCH($C1579,sup_code,0))&amp;"","Fournisseur inconnu"))</f>
        <v/>
      </c>
      <c r="E1579" s="63" t="n"/>
      <c r="F1579" s="66" t="str">
        <f>IF(E1579="","",IFERROR(INDEX(art_des,MATCH($E1579,art_ref,0))&amp;"","Article inconnu"))</f>
        <v/>
      </c>
      <c r="G1579" s="67" t="str">
        <f>IF(E1579="","",IFERROR(INDEX(art_unit,MATCH($E1579,art_ref,0))&amp;"",""))</f>
        <v/>
      </c>
      <c r="H1579" s="68" t="n"/>
      <c r="I1579" s="69" t="n"/>
      <c r="J1579" s="70" t="str">
        <f>IF(E1579="","",IF(ISNUMBER(I1579),I1579,IFERROR(IF(ISNUMBER(INDEX(art_price,MATCH($E1579,art_ref,0))),INDEX(art_price,MATCH($E1579,art_ref,0)),""),"")))</f>
        <v/>
      </c>
      <c r="K1579" s="71" t="n"/>
      <c r="L1579" s="72" t="n"/>
      <c r="M1579" s="72" t="str">
        <f>IF(E1579="","",IF(L1579&lt;&gt;"",L1579,IFERROR(IF(ISNUMBER(INDEX(art_tva,MATCH($E1579,art_ref,0))),INDEX(art_tva,MATCH($E1579,art_ref,0)),""),"")))</f>
        <v/>
      </c>
      <c r="N1579" s="70" t="str">
        <f>IF(OR(E1579="",J1579=""),"",ROUND(N(H1579)*J1579*(1-N(K1579)),2))</f>
        <v/>
      </c>
      <c r="O1579" s="70" t="str">
        <f>IF(OR(N1579="",NOT(ISNUMBER(M1579))),"",ROUND(N1579*M1579,2))</f>
        <v/>
      </c>
      <c r="P1579" s="70" t="str">
        <f>IF(N1579="","",N1579+N(O1579))</f>
        <v/>
      </c>
      <c r="Q1579" s="64" t="n"/>
      <c r="R1579" s="73" t="str">
        <f>IF(N(Q1579)&gt;0,Q1579,IF(OR(N(B1579)=0,ISNA(MATCH($C1579,sup_code,0))),"",IF(ISNUMBER(INDEX(sup_delay,MATCH($C1579,sup_code,0))),B1579+INDEX(sup_delay,MATCH($C1579,sup_code,0)),"")))</f>
        <v/>
      </c>
      <c r="S1579" s="64" t="n"/>
      <c r="T1579" s="68" t="n"/>
      <c r="U1579" s="64" t="n"/>
      <c r="V1579" s="65" t="n"/>
      <c r="W1579" s="74" t="str">
        <f>IF(AND(A1579="",E1579=""),"",IF(V1579="Oui",0,MAX(0,ROUND(N(H1579)-N(T1579),6))))</f>
        <v/>
      </c>
      <c r="X1579" s="67" t="str">
        <f>IF(AND(A1579="",E1579=""),"",IF(V1579="Oui","Annulé",IF(AND(N(H1579)&gt;0,N(T1579)&gt;=N(H1579)),"Reçu",IF(N(S1579)=0,"Brouillon",IF(AND(ISNUMBER(R1579),R1579&lt;p_today),"En retard",IF(N(T1579)&gt;0,"Partiel","Envoyé"))))))</f>
        <v/>
      </c>
      <c r="Y1579" s="75" t="str">
        <f>IF(X1579="En retard",p_today-R1579,IF(AND(X1579="Reçu",ISNUMBER(R1579)),MAX(0,N(U1579)-R1579),""))</f>
        <v/>
      </c>
      <c r="Z1579" s="67" t="str">
        <f>IF(AND(A1579="",E1579=""),"",IF(A1579="","N° de bon manquant",IF(N(B1579)=0,"Date de commande manquante",IF(C1579="","Fournisseur manquant",IF(ISNA(MATCH($C1579,sup_code,0)),"Fournisseur inconnu",IF(E1579="","Article manquant",IF(ISNA(MATCH($E1579,art_ref,0)),"Article inconnu",IF(N(H1579)&lt;=0,"Quantité invalide",IF(J1579="","Prix manquant",IF(OR(N(K1579)&lt;0,N(K1579)&gt;=1),"Remise invalide",IF(M1579="","TVA manquante",IF(ISNA(MATCH(M1579,p_tva,0)),"Taux de TVA inconnu",IF(COUNTIFS(po_num,A1579,po_sup,"&lt;&gt;"&amp;C1579)&gt;0,"Fournisseur différent sur ce bon",IF(COUNTIFS(po_num,A1579,po_date,"&lt;&gt;"&amp;B1579)&gt;0,"Date différente sur ce bon",IF(COUNTIF(po_num,A1579)&gt;25,"Plus de 25 lignes sur ce bon",IF(R1579="","Date de livraison manquante",IF(R1579&lt;B1579,"Livraison avant la commande",IF(AND(N(T1579)&gt;0,N(S1579)=0),"Date d'envoi manquante",IF(N(T1579)&gt;N(H1579),"Reçu plus que commandé",IF(AND(N(T1579)&gt;0,N(U1579)=0),"Date de réception manquante",IF(AND(N(U1579)&gt;0,U1579&lt;B1579),"Réception avant la commande","OK")))))))))))))))))))))</f>
        <v/>
      </c>
      <c r="AA1579" s="66" t="str">
        <f>IF(AND(X1579="Reçu",ISNUMBER(R1579)),IF(N(U1579)&lt;=R1579,1,0),"")</f>
        <v/>
      </c>
      <c r="AB1579" s="76" t="str">
        <f>IF(OR(X1579="Envoyé",X1579="Partiel",X1579="En retard"),IF(ISNUMBER(R1579),R1579,100000)+ROW()/100000,"")</f>
        <v/>
      </c>
      <c r="AC1579" s="66" t="str">
        <f>IF(A1579="","",IF(COUNTIF($A$6:A1579,A1579)=1,1,""))</f>
        <v/>
      </c>
      <c r="AD1579" s="66" t="str">
        <f>IF(AC1579=1,COUNT($AC$6:AC1579),"")</f>
        <v/>
      </c>
      <c r="AE1579" s="66" t="str">
        <f>IFERROR(INDEX(po_num,MATCH(1574,po_seq,0))&amp;"","")</f>
        <v/>
      </c>
      <c r="AF1579" s="66" t="str">
        <f>IF(OR(A1579="",p_po=""),"",IF(A1579&amp;""=p_po,COUNTIF($A$6:A1579,A1579),""))</f>
        <v/>
      </c>
      <c r="AG1579" s="66" t="str">
        <f>IF(OR(AB1579="",A1579=""),"",IF(COUNTIFS($A$6:A1579,A1579,$AB$6:AB1579,"&gt;0")=1,1,""))</f>
        <v/>
      </c>
      <c r="AH1579" s="70" t="str">
        <f>IF(AB1579="","",ROUND(N(W1579)*N(J1579)*(1-N(K1579)),2))</f>
        <v/>
      </c>
      <c r="AI1579" s="70" t="str">
        <f>IF(OR(J1579="",N(T1579)&lt;=0,V1579="Oui"),"",ROUND(N(T1579)*J1579*(1-N(K1579)),2))</f>
        <v/>
      </c>
    </row>
    <row r="1580">
      <c r="A1580" s="63" t="n"/>
      <c r="B1580" s="64" t="n"/>
      <c r="C1580" s="65" t="n"/>
      <c r="D1580" s="66" t="str">
        <f>IF(C1580="","",IFERROR(INDEX(sup_name,MATCH($C1580,sup_code,0))&amp;"","Fournisseur inconnu"))</f>
        <v/>
      </c>
      <c r="E1580" s="63" t="n"/>
      <c r="F1580" s="66" t="str">
        <f>IF(E1580="","",IFERROR(INDEX(art_des,MATCH($E1580,art_ref,0))&amp;"","Article inconnu"))</f>
        <v/>
      </c>
      <c r="G1580" s="67" t="str">
        <f>IF(E1580="","",IFERROR(INDEX(art_unit,MATCH($E1580,art_ref,0))&amp;"",""))</f>
        <v/>
      </c>
      <c r="H1580" s="68" t="n"/>
      <c r="I1580" s="69" t="n"/>
      <c r="J1580" s="70" t="str">
        <f>IF(E1580="","",IF(ISNUMBER(I1580),I1580,IFERROR(IF(ISNUMBER(INDEX(art_price,MATCH($E1580,art_ref,0))),INDEX(art_price,MATCH($E1580,art_ref,0)),""),"")))</f>
        <v/>
      </c>
      <c r="K1580" s="71" t="n"/>
      <c r="L1580" s="72" t="n"/>
      <c r="M1580" s="72" t="str">
        <f>IF(E1580="","",IF(L1580&lt;&gt;"",L1580,IFERROR(IF(ISNUMBER(INDEX(art_tva,MATCH($E1580,art_ref,0))),INDEX(art_tva,MATCH($E1580,art_ref,0)),""),"")))</f>
        <v/>
      </c>
      <c r="N1580" s="70" t="str">
        <f>IF(OR(E1580="",J1580=""),"",ROUND(N(H1580)*J1580*(1-N(K1580)),2))</f>
        <v/>
      </c>
      <c r="O1580" s="70" t="str">
        <f>IF(OR(N1580="",NOT(ISNUMBER(M1580))),"",ROUND(N1580*M1580,2))</f>
        <v/>
      </c>
      <c r="P1580" s="70" t="str">
        <f>IF(N1580="","",N1580+N(O1580))</f>
        <v/>
      </c>
      <c r="Q1580" s="64" t="n"/>
      <c r="R1580" s="73" t="str">
        <f>IF(N(Q1580)&gt;0,Q1580,IF(OR(N(B1580)=0,ISNA(MATCH($C1580,sup_code,0))),"",IF(ISNUMBER(INDEX(sup_delay,MATCH($C1580,sup_code,0))),B1580+INDEX(sup_delay,MATCH($C1580,sup_code,0)),"")))</f>
        <v/>
      </c>
      <c r="S1580" s="64" t="n"/>
      <c r="T1580" s="68" t="n"/>
      <c r="U1580" s="64" t="n"/>
      <c r="V1580" s="65" t="n"/>
      <c r="W1580" s="74" t="str">
        <f>IF(AND(A1580="",E1580=""),"",IF(V1580="Oui",0,MAX(0,ROUND(N(H1580)-N(T1580),6))))</f>
        <v/>
      </c>
      <c r="X1580" s="67" t="str">
        <f>IF(AND(A1580="",E1580=""),"",IF(V1580="Oui","Annulé",IF(AND(N(H1580)&gt;0,N(T1580)&gt;=N(H1580)),"Reçu",IF(N(S1580)=0,"Brouillon",IF(AND(ISNUMBER(R1580),R1580&lt;p_today),"En retard",IF(N(T1580)&gt;0,"Partiel","Envoyé"))))))</f>
        <v/>
      </c>
      <c r="Y1580" s="75" t="str">
        <f>IF(X1580="En retard",p_today-R1580,IF(AND(X1580="Reçu",ISNUMBER(R1580)),MAX(0,N(U1580)-R1580),""))</f>
        <v/>
      </c>
      <c r="Z1580" s="67" t="str">
        <f>IF(AND(A1580="",E1580=""),"",IF(A1580="","N° de bon manquant",IF(N(B1580)=0,"Date de commande manquante",IF(C1580="","Fournisseur manquant",IF(ISNA(MATCH($C1580,sup_code,0)),"Fournisseur inconnu",IF(E1580="","Article manquant",IF(ISNA(MATCH($E1580,art_ref,0)),"Article inconnu",IF(N(H1580)&lt;=0,"Quantité invalide",IF(J1580="","Prix manquant",IF(OR(N(K1580)&lt;0,N(K1580)&gt;=1),"Remise invalide",IF(M1580="","TVA manquante",IF(ISNA(MATCH(M1580,p_tva,0)),"Taux de TVA inconnu",IF(COUNTIFS(po_num,A1580,po_sup,"&lt;&gt;"&amp;C1580)&gt;0,"Fournisseur différent sur ce bon",IF(COUNTIFS(po_num,A1580,po_date,"&lt;&gt;"&amp;B1580)&gt;0,"Date différente sur ce bon",IF(COUNTIF(po_num,A1580)&gt;25,"Plus de 25 lignes sur ce bon",IF(R1580="","Date de livraison manquante",IF(R1580&lt;B1580,"Livraison avant la commande",IF(AND(N(T1580)&gt;0,N(S1580)=0),"Date d'envoi manquante",IF(N(T1580)&gt;N(H1580),"Reçu plus que commandé",IF(AND(N(T1580)&gt;0,N(U1580)=0),"Date de réception manquante",IF(AND(N(U1580)&gt;0,U1580&lt;B1580),"Réception avant la commande","OK")))))))))))))))))))))</f>
        <v/>
      </c>
      <c r="AA1580" s="66" t="str">
        <f>IF(AND(X1580="Reçu",ISNUMBER(R1580)),IF(N(U1580)&lt;=R1580,1,0),"")</f>
        <v/>
      </c>
      <c r="AB1580" s="76" t="str">
        <f>IF(OR(X1580="Envoyé",X1580="Partiel",X1580="En retard"),IF(ISNUMBER(R1580),R1580,100000)+ROW()/100000,"")</f>
        <v/>
      </c>
      <c r="AC1580" s="66" t="str">
        <f>IF(A1580="","",IF(COUNTIF($A$6:A1580,A1580)=1,1,""))</f>
        <v/>
      </c>
      <c r="AD1580" s="66" t="str">
        <f>IF(AC1580=1,COUNT($AC$6:AC1580),"")</f>
        <v/>
      </c>
      <c r="AE1580" s="66" t="str">
        <f>IFERROR(INDEX(po_num,MATCH(1575,po_seq,0))&amp;"","")</f>
        <v/>
      </c>
      <c r="AF1580" s="66" t="str">
        <f>IF(OR(A1580="",p_po=""),"",IF(A1580&amp;""=p_po,COUNTIF($A$6:A1580,A1580),""))</f>
        <v/>
      </c>
      <c r="AG1580" s="66" t="str">
        <f>IF(OR(AB1580="",A1580=""),"",IF(COUNTIFS($A$6:A1580,A1580,$AB$6:AB1580,"&gt;0")=1,1,""))</f>
        <v/>
      </c>
      <c r="AH1580" s="70" t="str">
        <f>IF(AB1580="","",ROUND(N(W1580)*N(J1580)*(1-N(K1580)),2))</f>
        <v/>
      </c>
      <c r="AI1580" s="70" t="str">
        <f>IF(OR(J1580="",N(T1580)&lt;=0,V1580="Oui"),"",ROUND(N(T1580)*J1580*(1-N(K1580)),2))</f>
        <v/>
      </c>
    </row>
    <row r="1581">
      <c r="A1581" s="63" t="n"/>
      <c r="B1581" s="64" t="n"/>
      <c r="C1581" s="65" t="n"/>
      <c r="D1581" s="66" t="str">
        <f>IF(C1581="","",IFERROR(INDEX(sup_name,MATCH($C1581,sup_code,0))&amp;"","Fournisseur inconnu"))</f>
        <v/>
      </c>
      <c r="E1581" s="63" t="n"/>
      <c r="F1581" s="66" t="str">
        <f>IF(E1581="","",IFERROR(INDEX(art_des,MATCH($E1581,art_ref,0))&amp;"","Article inconnu"))</f>
        <v/>
      </c>
      <c r="G1581" s="67" t="str">
        <f>IF(E1581="","",IFERROR(INDEX(art_unit,MATCH($E1581,art_ref,0))&amp;"",""))</f>
        <v/>
      </c>
      <c r="H1581" s="68" t="n"/>
      <c r="I1581" s="69" t="n"/>
      <c r="J1581" s="70" t="str">
        <f>IF(E1581="","",IF(ISNUMBER(I1581),I1581,IFERROR(IF(ISNUMBER(INDEX(art_price,MATCH($E1581,art_ref,0))),INDEX(art_price,MATCH($E1581,art_ref,0)),""),"")))</f>
        <v/>
      </c>
      <c r="K1581" s="71" t="n"/>
      <c r="L1581" s="72" t="n"/>
      <c r="M1581" s="72" t="str">
        <f>IF(E1581="","",IF(L1581&lt;&gt;"",L1581,IFERROR(IF(ISNUMBER(INDEX(art_tva,MATCH($E1581,art_ref,0))),INDEX(art_tva,MATCH($E1581,art_ref,0)),""),"")))</f>
        <v/>
      </c>
      <c r="N1581" s="70" t="str">
        <f>IF(OR(E1581="",J1581=""),"",ROUND(N(H1581)*J1581*(1-N(K1581)),2))</f>
        <v/>
      </c>
      <c r="O1581" s="70" t="str">
        <f>IF(OR(N1581="",NOT(ISNUMBER(M1581))),"",ROUND(N1581*M1581,2))</f>
        <v/>
      </c>
      <c r="P1581" s="70" t="str">
        <f>IF(N1581="","",N1581+N(O1581))</f>
        <v/>
      </c>
      <c r="Q1581" s="64" t="n"/>
      <c r="R1581" s="73" t="str">
        <f>IF(N(Q1581)&gt;0,Q1581,IF(OR(N(B1581)=0,ISNA(MATCH($C1581,sup_code,0))),"",IF(ISNUMBER(INDEX(sup_delay,MATCH($C1581,sup_code,0))),B1581+INDEX(sup_delay,MATCH($C1581,sup_code,0)),"")))</f>
        <v/>
      </c>
      <c r="S1581" s="64" t="n"/>
      <c r="T1581" s="68" t="n"/>
      <c r="U1581" s="64" t="n"/>
      <c r="V1581" s="65" t="n"/>
      <c r="W1581" s="74" t="str">
        <f>IF(AND(A1581="",E1581=""),"",IF(V1581="Oui",0,MAX(0,ROUND(N(H1581)-N(T1581),6))))</f>
        <v/>
      </c>
      <c r="X1581" s="67" t="str">
        <f>IF(AND(A1581="",E1581=""),"",IF(V1581="Oui","Annulé",IF(AND(N(H1581)&gt;0,N(T1581)&gt;=N(H1581)),"Reçu",IF(N(S1581)=0,"Brouillon",IF(AND(ISNUMBER(R1581),R1581&lt;p_today),"En retard",IF(N(T1581)&gt;0,"Partiel","Envoyé"))))))</f>
        <v/>
      </c>
      <c r="Y1581" s="75" t="str">
        <f>IF(X1581="En retard",p_today-R1581,IF(AND(X1581="Reçu",ISNUMBER(R1581)),MAX(0,N(U1581)-R1581),""))</f>
        <v/>
      </c>
      <c r="Z1581" s="67" t="str">
        <f>IF(AND(A1581="",E1581=""),"",IF(A1581="","N° de bon manquant",IF(N(B1581)=0,"Date de commande manquante",IF(C1581="","Fournisseur manquant",IF(ISNA(MATCH($C1581,sup_code,0)),"Fournisseur inconnu",IF(E1581="","Article manquant",IF(ISNA(MATCH($E1581,art_ref,0)),"Article inconnu",IF(N(H1581)&lt;=0,"Quantité invalide",IF(J1581="","Prix manquant",IF(OR(N(K1581)&lt;0,N(K1581)&gt;=1),"Remise invalide",IF(M1581="","TVA manquante",IF(ISNA(MATCH(M1581,p_tva,0)),"Taux de TVA inconnu",IF(COUNTIFS(po_num,A1581,po_sup,"&lt;&gt;"&amp;C1581)&gt;0,"Fournisseur différent sur ce bon",IF(COUNTIFS(po_num,A1581,po_date,"&lt;&gt;"&amp;B1581)&gt;0,"Date différente sur ce bon",IF(COUNTIF(po_num,A1581)&gt;25,"Plus de 25 lignes sur ce bon",IF(R1581="","Date de livraison manquante",IF(R1581&lt;B1581,"Livraison avant la commande",IF(AND(N(T1581)&gt;0,N(S1581)=0),"Date d'envoi manquante",IF(N(T1581)&gt;N(H1581),"Reçu plus que commandé",IF(AND(N(T1581)&gt;0,N(U1581)=0),"Date de réception manquante",IF(AND(N(U1581)&gt;0,U1581&lt;B1581),"Réception avant la commande","OK")))))))))))))))))))))</f>
        <v/>
      </c>
      <c r="AA1581" s="66" t="str">
        <f>IF(AND(X1581="Reçu",ISNUMBER(R1581)),IF(N(U1581)&lt;=R1581,1,0),"")</f>
        <v/>
      </c>
      <c r="AB1581" s="76" t="str">
        <f>IF(OR(X1581="Envoyé",X1581="Partiel",X1581="En retard"),IF(ISNUMBER(R1581),R1581,100000)+ROW()/100000,"")</f>
        <v/>
      </c>
      <c r="AC1581" s="66" t="str">
        <f>IF(A1581="","",IF(COUNTIF($A$6:A1581,A1581)=1,1,""))</f>
        <v/>
      </c>
      <c r="AD1581" s="66" t="str">
        <f>IF(AC1581=1,COUNT($AC$6:AC1581),"")</f>
        <v/>
      </c>
      <c r="AE1581" s="66" t="str">
        <f>IFERROR(INDEX(po_num,MATCH(1576,po_seq,0))&amp;"","")</f>
        <v/>
      </c>
      <c r="AF1581" s="66" t="str">
        <f>IF(OR(A1581="",p_po=""),"",IF(A1581&amp;""=p_po,COUNTIF($A$6:A1581,A1581),""))</f>
        <v/>
      </c>
      <c r="AG1581" s="66" t="str">
        <f>IF(OR(AB1581="",A1581=""),"",IF(COUNTIFS($A$6:A1581,A1581,$AB$6:AB1581,"&gt;0")=1,1,""))</f>
        <v/>
      </c>
      <c r="AH1581" s="70" t="str">
        <f>IF(AB1581="","",ROUND(N(W1581)*N(J1581)*(1-N(K1581)),2))</f>
        <v/>
      </c>
      <c r="AI1581" s="70" t="str">
        <f>IF(OR(J1581="",N(T1581)&lt;=0,V1581="Oui"),"",ROUND(N(T1581)*J1581*(1-N(K1581)),2))</f>
        <v/>
      </c>
    </row>
    <row r="1582">
      <c r="A1582" s="63" t="n"/>
      <c r="B1582" s="64" t="n"/>
      <c r="C1582" s="65" t="n"/>
      <c r="D1582" s="66" t="str">
        <f>IF(C1582="","",IFERROR(INDEX(sup_name,MATCH($C1582,sup_code,0))&amp;"","Fournisseur inconnu"))</f>
        <v/>
      </c>
      <c r="E1582" s="63" t="n"/>
      <c r="F1582" s="66" t="str">
        <f>IF(E1582="","",IFERROR(INDEX(art_des,MATCH($E1582,art_ref,0))&amp;"","Article inconnu"))</f>
        <v/>
      </c>
      <c r="G1582" s="67" t="str">
        <f>IF(E1582="","",IFERROR(INDEX(art_unit,MATCH($E1582,art_ref,0))&amp;"",""))</f>
        <v/>
      </c>
      <c r="H1582" s="68" t="n"/>
      <c r="I1582" s="69" t="n"/>
      <c r="J1582" s="70" t="str">
        <f>IF(E1582="","",IF(ISNUMBER(I1582),I1582,IFERROR(IF(ISNUMBER(INDEX(art_price,MATCH($E1582,art_ref,0))),INDEX(art_price,MATCH($E1582,art_ref,0)),""),"")))</f>
        <v/>
      </c>
      <c r="K1582" s="71" t="n"/>
      <c r="L1582" s="72" t="n"/>
      <c r="M1582" s="72" t="str">
        <f>IF(E1582="","",IF(L1582&lt;&gt;"",L1582,IFERROR(IF(ISNUMBER(INDEX(art_tva,MATCH($E1582,art_ref,0))),INDEX(art_tva,MATCH($E1582,art_ref,0)),""),"")))</f>
        <v/>
      </c>
      <c r="N1582" s="70" t="str">
        <f>IF(OR(E1582="",J1582=""),"",ROUND(N(H1582)*J1582*(1-N(K1582)),2))</f>
        <v/>
      </c>
      <c r="O1582" s="70" t="str">
        <f>IF(OR(N1582="",NOT(ISNUMBER(M1582))),"",ROUND(N1582*M1582,2))</f>
        <v/>
      </c>
      <c r="P1582" s="70" t="str">
        <f>IF(N1582="","",N1582+N(O1582))</f>
        <v/>
      </c>
      <c r="Q1582" s="64" t="n"/>
      <c r="R1582" s="73" t="str">
        <f>IF(N(Q1582)&gt;0,Q1582,IF(OR(N(B1582)=0,ISNA(MATCH($C1582,sup_code,0))),"",IF(ISNUMBER(INDEX(sup_delay,MATCH($C1582,sup_code,0))),B1582+INDEX(sup_delay,MATCH($C1582,sup_code,0)),"")))</f>
        <v/>
      </c>
      <c r="S1582" s="64" t="n"/>
      <c r="T1582" s="68" t="n"/>
      <c r="U1582" s="64" t="n"/>
      <c r="V1582" s="65" t="n"/>
      <c r="W1582" s="74" t="str">
        <f>IF(AND(A1582="",E1582=""),"",IF(V1582="Oui",0,MAX(0,ROUND(N(H1582)-N(T1582),6))))</f>
        <v/>
      </c>
      <c r="X1582" s="67" t="str">
        <f>IF(AND(A1582="",E1582=""),"",IF(V1582="Oui","Annulé",IF(AND(N(H1582)&gt;0,N(T1582)&gt;=N(H1582)),"Reçu",IF(N(S1582)=0,"Brouillon",IF(AND(ISNUMBER(R1582),R1582&lt;p_today),"En retard",IF(N(T1582)&gt;0,"Partiel","Envoyé"))))))</f>
        <v/>
      </c>
      <c r="Y1582" s="75" t="str">
        <f>IF(X1582="En retard",p_today-R1582,IF(AND(X1582="Reçu",ISNUMBER(R1582)),MAX(0,N(U1582)-R1582),""))</f>
        <v/>
      </c>
      <c r="Z1582" s="67" t="str">
        <f>IF(AND(A1582="",E1582=""),"",IF(A1582="","N° de bon manquant",IF(N(B1582)=0,"Date de commande manquante",IF(C1582="","Fournisseur manquant",IF(ISNA(MATCH($C1582,sup_code,0)),"Fournisseur inconnu",IF(E1582="","Article manquant",IF(ISNA(MATCH($E1582,art_ref,0)),"Article inconnu",IF(N(H1582)&lt;=0,"Quantité invalide",IF(J1582="","Prix manquant",IF(OR(N(K1582)&lt;0,N(K1582)&gt;=1),"Remise invalide",IF(M1582="","TVA manquante",IF(ISNA(MATCH(M1582,p_tva,0)),"Taux de TVA inconnu",IF(COUNTIFS(po_num,A1582,po_sup,"&lt;&gt;"&amp;C1582)&gt;0,"Fournisseur différent sur ce bon",IF(COUNTIFS(po_num,A1582,po_date,"&lt;&gt;"&amp;B1582)&gt;0,"Date différente sur ce bon",IF(COUNTIF(po_num,A1582)&gt;25,"Plus de 25 lignes sur ce bon",IF(R1582="","Date de livraison manquante",IF(R1582&lt;B1582,"Livraison avant la commande",IF(AND(N(T1582)&gt;0,N(S1582)=0),"Date d'envoi manquante",IF(N(T1582)&gt;N(H1582),"Reçu plus que commandé",IF(AND(N(T1582)&gt;0,N(U1582)=0),"Date de réception manquante",IF(AND(N(U1582)&gt;0,U1582&lt;B1582),"Réception avant la commande","OK")))))))))))))))))))))</f>
        <v/>
      </c>
      <c r="AA1582" s="66" t="str">
        <f>IF(AND(X1582="Reçu",ISNUMBER(R1582)),IF(N(U1582)&lt;=R1582,1,0),"")</f>
        <v/>
      </c>
      <c r="AB1582" s="76" t="str">
        <f>IF(OR(X1582="Envoyé",X1582="Partiel",X1582="En retard"),IF(ISNUMBER(R1582),R1582,100000)+ROW()/100000,"")</f>
        <v/>
      </c>
      <c r="AC1582" s="66" t="str">
        <f>IF(A1582="","",IF(COUNTIF($A$6:A1582,A1582)=1,1,""))</f>
        <v/>
      </c>
      <c r="AD1582" s="66" t="str">
        <f>IF(AC1582=1,COUNT($AC$6:AC1582),"")</f>
        <v/>
      </c>
      <c r="AE1582" s="66" t="str">
        <f>IFERROR(INDEX(po_num,MATCH(1577,po_seq,0))&amp;"","")</f>
        <v/>
      </c>
      <c r="AF1582" s="66" t="str">
        <f>IF(OR(A1582="",p_po=""),"",IF(A1582&amp;""=p_po,COUNTIF($A$6:A1582,A1582),""))</f>
        <v/>
      </c>
      <c r="AG1582" s="66" t="str">
        <f>IF(OR(AB1582="",A1582=""),"",IF(COUNTIFS($A$6:A1582,A1582,$AB$6:AB1582,"&gt;0")=1,1,""))</f>
        <v/>
      </c>
      <c r="AH1582" s="70" t="str">
        <f>IF(AB1582="","",ROUND(N(W1582)*N(J1582)*(1-N(K1582)),2))</f>
        <v/>
      </c>
      <c r="AI1582" s="70" t="str">
        <f>IF(OR(J1582="",N(T1582)&lt;=0,V1582="Oui"),"",ROUND(N(T1582)*J1582*(1-N(K1582)),2))</f>
        <v/>
      </c>
    </row>
    <row r="1583">
      <c r="A1583" s="63" t="n"/>
      <c r="B1583" s="64" t="n"/>
      <c r="C1583" s="65" t="n"/>
      <c r="D1583" s="66" t="str">
        <f>IF(C1583="","",IFERROR(INDEX(sup_name,MATCH($C1583,sup_code,0))&amp;"","Fournisseur inconnu"))</f>
        <v/>
      </c>
      <c r="E1583" s="63" t="n"/>
      <c r="F1583" s="66" t="str">
        <f>IF(E1583="","",IFERROR(INDEX(art_des,MATCH($E1583,art_ref,0))&amp;"","Article inconnu"))</f>
        <v/>
      </c>
      <c r="G1583" s="67" t="str">
        <f>IF(E1583="","",IFERROR(INDEX(art_unit,MATCH($E1583,art_ref,0))&amp;"",""))</f>
        <v/>
      </c>
      <c r="H1583" s="68" t="n"/>
      <c r="I1583" s="69" t="n"/>
      <c r="J1583" s="70" t="str">
        <f>IF(E1583="","",IF(ISNUMBER(I1583),I1583,IFERROR(IF(ISNUMBER(INDEX(art_price,MATCH($E1583,art_ref,0))),INDEX(art_price,MATCH($E1583,art_ref,0)),""),"")))</f>
        <v/>
      </c>
      <c r="K1583" s="71" t="n"/>
      <c r="L1583" s="72" t="n"/>
      <c r="M1583" s="72" t="str">
        <f>IF(E1583="","",IF(L1583&lt;&gt;"",L1583,IFERROR(IF(ISNUMBER(INDEX(art_tva,MATCH($E1583,art_ref,0))),INDEX(art_tva,MATCH($E1583,art_ref,0)),""),"")))</f>
        <v/>
      </c>
      <c r="N1583" s="70" t="str">
        <f>IF(OR(E1583="",J1583=""),"",ROUND(N(H1583)*J1583*(1-N(K1583)),2))</f>
        <v/>
      </c>
      <c r="O1583" s="70" t="str">
        <f>IF(OR(N1583="",NOT(ISNUMBER(M1583))),"",ROUND(N1583*M1583,2))</f>
        <v/>
      </c>
      <c r="P1583" s="70" t="str">
        <f>IF(N1583="","",N1583+N(O1583))</f>
        <v/>
      </c>
      <c r="Q1583" s="64" t="n"/>
      <c r="R1583" s="73" t="str">
        <f>IF(N(Q1583)&gt;0,Q1583,IF(OR(N(B1583)=0,ISNA(MATCH($C1583,sup_code,0))),"",IF(ISNUMBER(INDEX(sup_delay,MATCH($C1583,sup_code,0))),B1583+INDEX(sup_delay,MATCH($C1583,sup_code,0)),"")))</f>
        <v/>
      </c>
      <c r="S1583" s="64" t="n"/>
      <c r="T1583" s="68" t="n"/>
      <c r="U1583" s="64" t="n"/>
      <c r="V1583" s="65" t="n"/>
      <c r="W1583" s="74" t="str">
        <f>IF(AND(A1583="",E1583=""),"",IF(V1583="Oui",0,MAX(0,ROUND(N(H1583)-N(T1583),6))))</f>
        <v/>
      </c>
      <c r="X1583" s="67" t="str">
        <f>IF(AND(A1583="",E1583=""),"",IF(V1583="Oui","Annulé",IF(AND(N(H1583)&gt;0,N(T1583)&gt;=N(H1583)),"Reçu",IF(N(S1583)=0,"Brouillon",IF(AND(ISNUMBER(R1583),R1583&lt;p_today),"En retard",IF(N(T1583)&gt;0,"Partiel","Envoyé"))))))</f>
        <v/>
      </c>
      <c r="Y1583" s="75" t="str">
        <f>IF(X1583="En retard",p_today-R1583,IF(AND(X1583="Reçu",ISNUMBER(R1583)),MAX(0,N(U1583)-R1583),""))</f>
        <v/>
      </c>
      <c r="Z1583" s="67" t="str">
        <f>IF(AND(A1583="",E1583=""),"",IF(A1583="","N° de bon manquant",IF(N(B1583)=0,"Date de commande manquante",IF(C1583="","Fournisseur manquant",IF(ISNA(MATCH($C1583,sup_code,0)),"Fournisseur inconnu",IF(E1583="","Article manquant",IF(ISNA(MATCH($E1583,art_ref,0)),"Article inconnu",IF(N(H1583)&lt;=0,"Quantité invalide",IF(J1583="","Prix manquant",IF(OR(N(K1583)&lt;0,N(K1583)&gt;=1),"Remise invalide",IF(M1583="","TVA manquante",IF(ISNA(MATCH(M1583,p_tva,0)),"Taux de TVA inconnu",IF(COUNTIFS(po_num,A1583,po_sup,"&lt;&gt;"&amp;C1583)&gt;0,"Fournisseur différent sur ce bon",IF(COUNTIFS(po_num,A1583,po_date,"&lt;&gt;"&amp;B1583)&gt;0,"Date différente sur ce bon",IF(COUNTIF(po_num,A1583)&gt;25,"Plus de 25 lignes sur ce bon",IF(R1583="","Date de livraison manquante",IF(R1583&lt;B1583,"Livraison avant la commande",IF(AND(N(T1583)&gt;0,N(S1583)=0),"Date d'envoi manquante",IF(N(T1583)&gt;N(H1583),"Reçu plus que commandé",IF(AND(N(T1583)&gt;0,N(U1583)=0),"Date de réception manquante",IF(AND(N(U1583)&gt;0,U1583&lt;B1583),"Réception avant la commande","OK")))))))))))))))))))))</f>
        <v/>
      </c>
      <c r="AA1583" s="66" t="str">
        <f>IF(AND(X1583="Reçu",ISNUMBER(R1583)),IF(N(U1583)&lt;=R1583,1,0),"")</f>
        <v/>
      </c>
      <c r="AB1583" s="76" t="str">
        <f>IF(OR(X1583="Envoyé",X1583="Partiel",X1583="En retard"),IF(ISNUMBER(R1583),R1583,100000)+ROW()/100000,"")</f>
        <v/>
      </c>
      <c r="AC1583" s="66" t="str">
        <f>IF(A1583="","",IF(COUNTIF($A$6:A1583,A1583)=1,1,""))</f>
        <v/>
      </c>
      <c r="AD1583" s="66" t="str">
        <f>IF(AC1583=1,COUNT($AC$6:AC1583),"")</f>
        <v/>
      </c>
      <c r="AE1583" s="66" t="str">
        <f>IFERROR(INDEX(po_num,MATCH(1578,po_seq,0))&amp;"","")</f>
        <v/>
      </c>
      <c r="AF1583" s="66" t="str">
        <f>IF(OR(A1583="",p_po=""),"",IF(A1583&amp;""=p_po,COUNTIF($A$6:A1583,A1583),""))</f>
        <v/>
      </c>
      <c r="AG1583" s="66" t="str">
        <f>IF(OR(AB1583="",A1583=""),"",IF(COUNTIFS($A$6:A1583,A1583,$AB$6:AB1583,"&gt;0")=1,1,""))</f>
        <v/>
      </c>
      <c r="AH1583" s="70" t="str">
        <f>IF(AB1583="","",ROUND(N(W1583)*N(J1583)*(1-N(K1583)),2))</f>
        <v/>
      </c>
      <c r="AI1583" s="70" t="str">
        <f>IF(OR(J1583="",N(T1583)&lt;=0,V1583="Oui"),"",ROUND(N(T1583)*J1583*(1-N(K1583)),2))</f>
        <v/>
      </c>
    </row>
    <row r="1584">
      <c r="A1584" s="63" t="n"/>
      <c r="B1584" s="64" t="n"/>
      <c r="C1584" s="65" t="n"/>
      <c r="D1584" s="66" t="str">
        <f>IF(C1584="","",IFERROR(INDEX(sup_name,MATCH($C1584,sup_code,0))&amp;"","Fournisseur inconnu"))</f>
        <v/>
      </c>
      <c r="E1584" s="63" t="n"/>
      <c r="F1584" s="66" t="str">
        <f>IF(E1584="","",IFERROR(INDEX(art_des,MATCH($E1584,art_ref,0))&amp;"","Article inconnu"))</f>
        <v/>
      </c>
      <c r="G1584" s="67" t="str">
        <f>IF(E1584="","",IFERROR(INDEX(art_unit,MATCH($E1584,art_ref,0))&amp;"",""))</f>
        <v/>
      </c>
      <c r="H1584" s="68" t="n"/>
      <c r="I1584" s="69" t="n"/>
      <c r="J1584" s="70" t="str">
        <f>IF(E1584="","",IF(ISNUMBER(I1584),I1584,IFERROR(IF(ISNUMBER(INDEX(art_price,MATCH($E1584,art_ref,0))),INDEX(art_price,MATCH($E1584,art_ref,0)),""),"")))</f>
        <v/>
      </c>
      <c r="K1584" s="71" t="n"/>
      <c r="L1584" s="72" t="n"/>
      <c r="M1584" s="72" t="str">
        <f>IF(E1584="","",IF(L1584&lt;&gt;"",L1584,IFERROR(IF(ISNUMBER(INDEX(art_tva,MATCH($E1584,art_ref,0))),INDEX(art_tva,MATCH($E1584,art_ref,0)),""),"")))</f>
        <v/>
      </c>
      <c r="N1584" s="70" t="str">
        <f>IF(OR(E1584="",J1584=""),"",ROUND(N(H1584)*J1584*(1-N(K1584)),2))</f>
        <v/>
      </c>
      <c r="O1584" s="70" t="str">
        <f>IF(OR(N1584="",NOT(ISNUMBER(M1584))),"",ROUND(N1584*M1584,2))</f>
        <v/>
      </c>
      <c r="P1584" s="70" t="str">
        <f>IF(N1584="","",N1584+N(O1584))</f>
        <v/>
      </c>
      <c r="Q1584" s="64" t="n"/>
      <c r="R1584" s="73" t="str">
        <f>IF(N(Q1584)&gt;0,Q1584,IF(OR(N(B1584)=0,ISNA(MATCH($C1584,sup_code,0))),"",IF(ISNUMBER(INDEX(sup_delay,MATCH($C1584,sup_code,0))),B1584+INDEX(sup_delay,MATCH($C1584,sup_code,0)),"")))</f>
        <v/>
      </c>
      <c r="S1584" s="64" t="n"/>
      <c r="T1584" s="68" t="n"/>
      <c r="U1584" s="64" t="n"/>
      <c r="V1584" s="65" t="n"/>
      <c r="W1584" s="74" t="str">
        <f>IF(AND(A1584="",E1584=""),"",IF(V1584="Oui",0,MAX(0,ROUND(N(H1584)-N(T1584),6))))</f>
        <v/>
      </c>
      <c r="X1584" s="67" t="str">
        <f>IF(AND(A1584="",E1584=""),"",IF(V1584="Oui","Annulé",IF(AND(N(H1584)&gt;0,N(T1584)&gt;=N(H1584)),"Reçu",IF(N(S1584)=0,"Brouillon",IF(AND(ISNUMBER(R1584),R1584&lt;p_today),"En retard",IF(N(T1584)&gt;0,"Partiel","Envoyé"))))))</f>
        <v/>
      </c>
      <c r="Y1584" s="75" t="str">
        <f>IF(X1584="En retard",p_today-R1584,IF(AND(X1584="Reçu",ISNUMBER(R1584)),MAX(0,N(U1584)-R1584),""))</f>
        <v/>
      </c>
      <c r="Z1584" s="67" t="str">
        <f>IF(AND(A1584="",E1584=""),"",IF(A1584="","N° de bon manquant",IF(N(B1584)=0,"Date de commande manquante",IF(C1584="","Fournisseur manquant",IF(ISNA(MATCH($C1584,sup_code,0)),"Fournisseur inconnu",IF(E1584="","Article manquant",IF(ISNA(MATCH($E1584,art_ref,0)),"Article inconnu",IF(N(H1584)&lt;=0,"Quantité invalide",IF(J1584="","Prix manquant",IF(OR(N(K1584)&lt;0,N(K1584)&gt;=1),"Remise invalide",IF(M1584="","TVA manquante",IF(ISNA(MATCH(M1584,p_tva,0)),"Taux de TVA inconnu",IF(COUNTIFS(po_num,A1584,po_sup,"&lt;&gt;"&amp;C1584)&gt;0,"Fournisseur différent sur ce bon",IF(COUNTIFS(po_num,A1584,po_date,"&lt;&gt;"&amp;B1584)&gt;0,"Date différente sur ce bon",IF(COUNTIF(po_num,A1584)&gt;25,"Plus de 25 lignes sur ce bon",IF(R1584="","Date de livraison manquante",IF(R1584&lt;B1584,"Livraison avant la commande",IF(AND(N(T1584)&gt;0,N(S1584)=0),"Date d'envoi manquante",IF(N(T1584)&gt;N(H1584),"Reçu plus que commandé",IF(AND(N(T1584)&gt;0,N(U1584)=0),"Date de réception manquante",IF(AND(N(U1584)&gt;0,U1584&lt;B1584),"Réception avant la commande","OK")))))))))))))))))))))</f>
        <v/>
      </c>
      <c r="AA1584" s="66" t="str">
        <f>IF(AND(X1584="Reçu",ISNUMBER(R1584)),IF(N(U1584)&lt;=R1584,1,0),"")</f>
        <v/>
      </c>
      <c r="AB1584" s="76" t="str">
        <f>IF(OR(X1584="Envoyé",X1584="Partiel",X1584="En retard"),IF(ISNUMBER(R1584),R1584,100000)+ROW()/100000,"")</f>
        <v/>
      </c>
      <c r="AC1584" s="66" t="str">
        <f>IF(A1584="","",IF(COUNTIF($A$6:A1584,A1584)=1,1,""))</f>
        <v/>
      </c>
      <c r="AD1584" s="66" t="str">
        <f>IF(AC1584=1,COUNT($AC$6:AC1584),"")</f>
        <v/>
      </c>
      <c r="AE1584" s="66" t="str">
        <f>IFERROR(INDEX(po_num,MATCH(1579,po_seq,0))&amp;"","")</f>
        <v/>
      </c>
      <c r="AF1584" s="66" t="str">
        <f>IF(OR(A1584="",p_po=""),"",IF(A1584&amp;""=p_po,COUNTIF($A$6:A1584,A1584),""))</f>
        <v/>
      </c>
      <c r="AG1584" s="66" t="str">
        <f>IF(OR(AB1584="",A1584=""),"",IF(COUNTIFS($A$6:A1584,A1584,$AB$6:AB1584,"&gt;0")=1,1,""))</f>
        <v/>
      </c>
      <c r="AH1584" s="70" t="str">
        <f>IF(AB1584="","",ROUND(N(W1584)*N(J1584)*(1-N(K1584)),2))</f>
        <v/>
      </c>
      <c r="AI1584" s="70" t="str">
        <f>IF(OR(J1584="",N(T1584)&lt;=0,V1584="Oui"),"",ROUND(N(T1584)*J1584*(1-N(K1584)),2))</f>
        <v/>
      </c>
    </row>
    <row r="1585">
      <c r="A1585" s="63" t="n"/>
      <c r="B1585" s="64" t="n"/>
      <c r="C1585" s="65" t="n"/>
      <c r="D1585" s="66" t="str">
        <f>IF(C1585="","",IFERROR(INDEX(sup_name,MATCH($C1585,sup_code,0))&amp;"","Fournisseur inconnu"))</f>
        <v/>
      </c>
      <c r="E1585" s="63" t="n"/>
      <c r="F1585" s="66" t="str">
        <f>IF(E1585="","",IFERROR(INDEX(art_des,MATCH($E1585,art_ref,0))&amp;"","Article inconnu"))</f>
        <v/>
      </c>
      <c r="G1585" s="67" t="str">
        <f>IF(E1585="","",IFERROR(INDEX(art_unit,MATCH($E1585,art_ref,0))&amp;"",""))</f>
        <v/>
      </c>
      <c r="H1585" s="68" t="n"/>
      <c r="I1585" s="69" t="n"/>
      <c r="J1585" s="70" t="str">
        <f>IF(E1585="","",IF(ISNUMBER(I1585),I1585,IFERROR(IF(ISNUMBER(INDEX(art_price,MATCH($E1585,art_ref,0))),INDEX(art_price,MATCH($E1585,art_ref,0)),""),"")))</f>
        <v/>
      </c>
      <c r="K1585" s="71" t="n"/>
      <c r="L1585" s="72" t="n"/>
      <c r="M1585" s="72" t="str">
        <f>IF(E1585="","",IF(L1585&lt;&gt;"",L1585,IFERROR(IF(ISNUMBER(INDEX(art_tva,MATCH($E1585,art_ref,0))),INDEX(art_tva,MATCH($E1585,art_ref,0)),""),"")))</f>
        <v/>
      </c>
      <c r="N1585" s="70" t="str">
        <f>IF(OR(E1585="",J1585=""),"",ROUND(N(H1585)*J1585*(1-N(K1585)),2))</f>
        <v/>
      </c>
      <c r="O1585" s="70" t="str">
        <f>IF(OR(N1585="",NOT(ISNUMBER(M1585))),"",ROUND(N1585*M1585,2))</f>
        <v/>
      </c>
      <c r="P1585" s="70" t="str">
        <f>IF(N1585="","",N1585+N(O1585))</f>
        <v/>
      </c>
      <c r="Q1585" s="64" t="n"/>
      <c r="R1585" s="73" t="str">
        <f>IF(N(Q1585)&gt;0,Q1585,IF(OR(N(B1585)=0,ISNA(MATCH($C1585,sup_code,0))),"",IF(ISNUMBER(INDEX(sup_delay,MATCH($C1585,sup_code,0))),B1585+INDEX(sup_delay,MATCH($C1585,sup_code,0)),"")))</f>
        <v/>
      </c>
      <c r="S1585" s="64" t="n"/>
      <c r="T1585" s="68" t="n"/>
      <c r="U1585" s="64" t="n"/>
      <c r="V1585" s="65" t="n"/>
      <c r="W1585" s="74" t="str">
        <f>IF(AND(A1585="",E1585=""),"",IF(V1585="Oui",0,MAX(0,ROUND(N(H1585)-N(T1585),6))))</f>
        <v/>
      </c>
      <c r="X1585" s="67" t="str">
        <f>IF(AND(A1585="",E1585=""),"",IF(V1585="Oui","Annulé",IF(AND(N(H1585)&gt;0,N(T1585)&gt;=N(H1585)),"Reçu",IF(N(S1585)=0,"Brouillon",IF(AND(ISNUMBER(R1585),R1585&lt;p_today),"En retard",IF(N(T1585)&gt;0,"Partiel","Envoyé"))))))</f>
        <v/>
      </c>
      <c r="Y1585" s="75" t="str">
        <f>IF(X1585="En retard",p_today-R1585,IF(AND(X1585="Reçu",ISNUMBER(R1585)),MAX(0,N(U1585)-R1585),""))</f>
        <v/>
      </c>
      <c r="Z1585" s="67" t="str">
        <f>IF(AND(A1585="",E1585=""),"",IF(A1585="","N° de bon manquant",IF(N(B1585)=0,"Date de commande manquante",IF(C1585="","Fournisseur manquant",IF(ISNA(MATCH($C1585,sup_code,0)),"Fournisseur inconnu",IF(E1585="","Article manquant",IF(ISNA(MATCH($E1585,art_ref,0)),"Article inconnu",IF(N(H1585)&lt;=0,"Quantité invalide",IF(J1585="","Prix manquant",IF(OR(N(K1585)&lt;0,N(K1585)&gt;=1),"Remise invalide",IF(M1585="","TVA manquante",IF(ISNA(MATCH(M1585,p_tva,0)),"Taux de TVA inconnu",IF(COUNTIFS(po_num,A1585,po_sup,"&lt;&gt;"&amp;C1585)&gt;0,"Fournisseur différent sur ce bon",IF(COUNTIFS(po_num,A1585,po_date,"&lt;&gt;"&amp;B1585)&gt;0,"Date différente sur ce bon",IF(COUNTIF(po_num,A1585)&gt;25,"Plus de 25 lignes sur ce bon",IF(R1585="","Date de livraison manquante",IF(R1585&lt;B1585,"Livraison avant la commande",IF(AND(N(T1585)&gt;0,N(S1585)=0),"Date d'envoi manquante",IF(N(T1585)&gt;N(H1585),"Reçu plus que commandé",IF(AND(N(T1585)&gt;0,N(U1585)=0),"Date de réception manquante",IF(AND(N(U1585)&gt;0,U1585&lt;B1585),"Réception avant la commande","OK")))))))))))))))))))))</f>
        <v/>
      </c>
      <c r="AA1585" s="66" t="str">
        <f>IF(AND(X1585="Reçu",ISNUMBER(R1585)),IF(N(U1585)&lt;=R1585,1,0),"")</f>
        <v/>
      </c>
      <c r="AB1585" s="76" t="str">
        <f>IF(OR(X1585="Envoyé",X1585="Partiel",X1585="En retard"),IF(ISNUMBER(R1585),R1585,100000)+ROW()/100000,"")</f>
        <v/>
      </c>
      <c r="AC1585" s="66" t="str">
        <f>IF(A1585="","",IF(COUNTIF($A$6:A1585,A1585)=1,1,""))</f>
        <v/>
      </c>
      <c r="AD1585" s="66" t="str">
        <f>IF(AC1585=1,COUNT($AC$6:AC1585),"")</f>
        <v/>
      </c>
      <c r="AE1585" s="66" t="str">
        <f>IFERROR(INDEX(po_num,MATCH(1580,po_seq,0))&amp;"","")</f>
        <v/>
      </c>
      <c r="AF1585" s="66" t="str">
        <f>IF(OR(A1585="",p_po=""),"",IF(A1585&amp;""=p_po,COUNTIF($A$6:A1585,A1585),""))</f>
        <v/>
      </c>
      <c r="AG1585" s="66" t="str">
        <f>IF(OR(AB1585="",A1585=""),"",IF(COUNTIFS($A$6:A1585,A1585,$AB$6:AB1585,"&gt;0")=1,1,""))</f>
        <v/>
      </c>
      <c r="AH1585" s="70" t="str">
        <f>IF(AB1585="","",ROUND(N(W1585)*N(J1585)*(1-N(K1585)),2))</f>
        <v/>
      </c>
      <c r="AI1585" s="70" t="str">
        <f>IF(OR(J1585="",N(T1585)&lt;=0,V1585="Oui"),"",ROUND(N(T1585)*J1585*(1-N(K1585)),2))</f>
        <v/>
      </c>
    </row>
    <row r="1586">
      <c r="A1586" s="63" t="n"/>
      <c r="B1586" s="64" t="n"/>
      <c r="C1586" s="65" t="n"/>
      <c r="D1586" s="66" t="str">
        <f>IF(C1586="","",IFERROR(INDEX(sup_name,MATCH($C1586,sup_code,0))&amp;"","Fournisseur inconnu"))</f>
        <v/>
      </c>
      <c r="E1586" s="63" t="n"/>
      <c r="F1586" s="66" t="str">
        <f>IF(E1586="","",IFERROR(INDEX(art_des,MATCH($E1586,art_ref,0))&amp;"","Article inconnu"))</f>
        <v/>
      </c>
      <c r="G1586" s="67" t="str">
        <f>IF(E1586="","",IFERROR(INDEX(art_unit,MATCH($E1586,art_ref,0))&amp;"",""))</f>
        <v/>
      </c>
      <c r="H1586" s="68" t="n"/>
      <c r="I1586" s="69" t="n"/>
      <c r="J1586" s="70" t="str">
        <f>IF(E1586="","",IF(ISNUMBER(I1586),I1586,IFERROR(IF(ISNUMBER(INDEX(art_price,MATCH($E1586,art_ref,0))),INDEX(art_price,MATCH($E1586,art_ref,0)),""),"")))</f>
        <v/>
      </c>
      <c r="K1586" s="71" t="n"/>
      <c r="L1586" s="72" t="n"/>
      <c r="M1586" s="72" t="str">
        <f>IF(E1586="","",IF(L1586&lt;&gt;"",L1586,IFERROR(IF(ISNUMBER(INDEX(art_tva,MATCH($E1586,art_ref,0))),INDEX(art_tva,MATCH($E1586,art_ref,0)),""),"")))</f>
        <v/>
      </c>
      <c r="N1586" s="70" t="str">
        <f>IF(OR(E1586="",J1586=""),"",ROUND(N(H1586)*J1586*(1-N(K1586)),2))</f>
        <v/>
      </c>
      <c r="O1586" s="70" t="str">
        <f>IF(OR(N1586="",NOT(ISNUMBER(M1586))),"",ROUND(N1586*M1586,2))</f>
        <v/>
      </c>
      <c r="P1586" s="70" t="str">
        <f>IF(N1586="","",N1586+N(O1586))</f>
        <v/>
      </c>
      <c r="Q1586" s="64" t="n"/>
      <c r="R1586" s="73" t="str">
        <f>IF(N(Q1586)&gt;0,Q1586,IF(OR(N(B1586)=0,ISNA(MATCH($C1586,sup_code,0))),"",IF(ISNUMBER(INDEX(sup_delay,MATCH($C1586,sup_code,0))),B1586+INDEX(sup_delay,MATCH($C1586,sup_code,0)),"")))</f>
        <v/>
      </c>
      <c r="S1586" s="64" t="n"/>
      <c r="T1586" s="68" t="n"/>
      <c r="U1586" s="64" t="n"/>
      <c r="V1586" s="65" t="n"/>
      <c r="W1586" s="74" t="str">
        <f>IF(AND(A1586="",E1586=""),"",IF(V1586="Oui",0,MAX(0,ROUND(N(H1586)-N(T1586),6))))</f>
        <v/>
      </c>
      <c r="X1586" s="67" t="str">
        <f>IF(AND(A1586="",E1586=""),"",IF(V1586="Oui","Annulé",IF(AND(N(H1586)&gt;0,N(T1586)&gt;=N(H1586)),"Reçu",IF(N(S1586)=0,"Brouillon",IF(AND(ISNUMBER(R1586),R1586&lt;p_today),"En retard",IF(N(T1586)&gt;0,"Partiel","Envoyé"))))))</f>
        <v/>
      </c>
      <c r="Y1586" s="75" t="str">
        <f>IF(X1586="En retard",p_today-R1586,IF(AND(X1586="Reçu",ISNUMBER(R1586)),MAX(0,N(U1586)-R1586),""))</f>
        <v/>
      </c>
      <c r="Z1586" s="67" t="str">
        <f>IF(AND(A1586="",E1586=""),"",IF(A1586="","N° de bon manquant",IF(N(B1586)=0,"Date de commande manquante",IF(C1586="","Fournisseur manquant",IF(ISNA(MATCH($C1586,sup_code,0)),"Fournisseur inconnu",IF(E1586="","Article manquant",IF(ISNA(MATCH($E1586,art_ref,0)),"Article inconnu",IF(N(H1586)&lt;=0,"Quantité invalide",IF(J1586="","Prix manquant",IF(OR(N(K1586)&lt;0,N(K1586)&gt;=1),"Remise invalide",IF(M1586="","TVA manquante",IF(ISNA(MATCH(M1586,p_tva,0)),"Taux de TVA inconnu",IF(COUNTIFS(po_num,A1586,po_sup,"&lt;&gt;"&amp;C1586)&gt;0,"Fournisseur différent sur ce bon",IF(COUNTIFS(po_num,A1586,po_date,"&lt;&gt;"&amp;B1586)&gt;0,"Date différente sur ce bon",IF(COUNTIF(po_num,A1586)&gt;25,"Plus de 25 lignes sur ce bon",IF(R1586="","Date de livraison manquante",IF(R1586&lt;B1586,"Livraison avant la commande",IF(AND(N(T1586)&gt;0,N(S1586)=0),"Date d'envoi manquante",IF(N(T1586)&gt;N(H1586),"Reçu plus que commandé",IF(AND(N(T1586)&gt;0,N(U1586)=0),"Date de réception manquante",IF(AND(N(U1586)&gt;0,U1586&lt;B1586),"Réception avant la commande","OK")))))))))))))))))))))</f>
        <v/>
      </c>
      <c r="AA1586" s="66" t="str">
        <f>IF(AND(X1586="Reçu",ISNUMBER(R1586)),IF(N(U1586)&lt;=R1586,1,0),"")</f>
        <v/>
      </c>
      <c r="AB1586" s="76" t="str">
        <f>IF(OR(X1586="Envoyé",X1586="Partiel",X1586="En retard"),IF(ISNUMBER(R1586),R1586,100000)+ROW()/100000,"")</f>
        <v/>
      </c>
      <c r="AC1586" s="66" t="str">
        <f>IF(A1586="","",IF(COUNTIF($A$6:A1586,A1586)=1,1,""))</f>
        <v/>
      </c>
      <c r="AD1586" s="66" t="str">
        <f>IF(AC1586=1,COUNT($AC$6:AC1586),"")</f>
        <v/>
      </c>
      <c r="AE1586" s="66" t="str">
        <f>IFERROR(INDEX(po_num,MATCH(1581,po_seq,0))&amp;"","")</f>
        <v/>
      </c>
      <c r="AF1586" s="66" t="str">
        <f>IF(OR(A1586="",p_po=""),"",IF(A1586&amp;""=p_po,COUNTIF($A$6:A1586,A1586),""))</f>
        <v/>
      </c>
      <c r="AG1586" s="66" t="str">
        <f>IF(OR(AB1586="",A1586=""),"",IF(COUNTIFS($A$6:A1586,A1586,$AB$6:AB1586,"&gt;0")=1,1,""))</f>
        <v/>
      </c>
      <c r="AH1586" s="70" t="str">
        <f>IF(AB1586="","",ROUND(N(W1586)*N(J1586)*(1-N(K1586)),2))</f>
        <v/>
      </c>
      <c r="AI1586" s="70" t="str">
        <f>IF(OR(J1586="",N(T1586)&lt;=0,V1586="Oui"),"",ROUND(N(T1586)*J1586*(1-N(K1586)),2))</f>
        <v/>
      </c>
    </row>
    <row r="1587">
      <c r="A1587" s="63" t="n"/>
      <c r="B1587" s="64" t="n"/>
      <c r="C1587" s="65" t="n"/>
      <c r="D1587" s="66" t="str">
        <f>IF(C1587="","",IFERROR(INDEX(sup_name,MATCH($C1587,sup_code,0))&amp;"","Fournisseur inconnu"))</f>
        <v/>
      </c>
      <c r="E1587" s="63" t="n"/>
      <c r="F1587" s="66" t="str">
        <f>IF(E1587="","",IFERROR(INDEX(art_des,MATCH($E1587,art_ref,0))&amp;"","Article inconnu"))</f>
        <v/>
      </c>
      <c r="G1587" s="67" t="str">
        <f>IF(E1587="","",IFERROR(INDEX(art_unit,MATCH($E1587,art_ref,0))&amp;"",""))</f>
        <v/>
      </c>
      <c r="H1587" s="68" t="n"/>
      <c r="I1587" s="69" t="n"/>
      <c r="J1587" s="70" t="str">
        <f>IF(E1587="","",IF(ISNUMBER(I1587),I1587,IFERROR(IF(ISNUMBER(INDEX(art_price,MATCH($E1587,art_ref,0))),INDEX(art_price,MATCH($E1587,art_ref,0)),""),"")))</f>
        <v/>
      </c>
      <c r="K1587" s="71" t="n"/>
      <c r="L1587" s="72" t="n"/>
      <c r="M1587" s="72" t="str">
        <f>IF(E1587="","",IF(L1587&lt;&gt;"",L1587,IFERROR(IF(ISNUMBER(INDEX(art_tva,MATCH($E1587,art_ref,0))),INDEX(art_tva,MATCH($E1587,art_ref,0)),""),"")))</f>
        <v/>
      </c>
      <c r="N1587" s="70" t="str">
        <f>IF(OR(E1587="",J1587=""),"",ROUND(N(H1587)*J1587*(1-N(K1587)),2))</f>
        <v/>
      </c>
      <c r="O1587" s="70" t="str">
        <f>IF(OR(N1587="",NOT(ISNUMBER(M1587))),"",ROUND(N1587*M1587,2))</f>
        <v/>
      </c>
      <c r="P1587" s="70" t="str">
        <f>IF(N1587="","",N1587+N(O1587))</f>
        <v/>
      </c>
      <c r="Q1587" s="64" t="n"/>
      <c r="R1587" s="73" t="str">
        <f>IF(N(Q1587)&gt;0,Q1587,IF(OR(N(B1587)=0,ISNA(MATCH($C1587,sup_code,0))),"",IF(ISNUMBER(INDEX(sup_delay,MATCH($C1587,sup_code,0))),B1587+INDEX(sup_delay,MATCH($C1587,sup_code,0)),"")))</f>
        <v/>
      </c>
      <c r="S1587" s="64" t="n"/>
      <c r="T1587" s="68" t="n"/>
      <c r="U1587" s="64" t="n"/>
      <c r="V1587" s="65" t="n"/>
      <c r="W1587" s="74" t="str">
        <f>IF(AND(A1587="",E1587=""),"",IF(V1587="Oui",0,MAX(0,ROUND(N(H1587)-N(T1587),6))))</f>
        <v/>
      </c>
      <c r="X1587" s="67" t="str">
        <f>IF(AND(A1587="",E1587=""),"",IF(V1587="Oui","Annulé",IF(AND(N(H1587)&gt;0,N(T1587)&gt;=N(H1587)),"Reçu",IF(N(S1587)=0,"Brouillon",IF(AND(ISNUMBER(R1587),R1587&lt;p_today),"En retard",IF(N(T1587)&gt;0,"Partiel","Envoyé"))))))</f>
        <v/>
      </c>
      <c r="Y1587" s="75" t="str">
        <f>IF(X1587="En retard",p_today-R1587,IF(AND(X1587="Reçu",ISNUMBER(R1587)),MAX(0,N(U1587)-R1587),""))</f>
        <v/>
      </c>
      <c r="Z1587" s="67" t="str">
        <f>IF(AND(A1587="",E1587=""),"",IF(A1587="","N° de bon manquant",IF(N(B1587)=0,"Date de commande manquante",IF(C1587="","Fournisseur manquant",IF(ISNA(MATCH($C1587,sup_code,0)),"Fournisseur inconnu",IF(E1587="","Article manquant",IF(ISNA(MATCH($E1587,art_ref,0)),"Article inconnu",IF(N(H1587)&lt;=0,"Quantité invalide",IF(J1587="","Prix manquant",IF(OR(N(K1587)&lt;0,N(K1587)&gt;=1),"Remise invalide",IF(M1587="","TVA manquante",IF(ISNA(MATCH(M1587,p_tva,0)),"Taux de TVA inconnu",IF(COUNTIFS(po_num,A1587,po_sup,"&lt;&gt;"&amp;C1587)&gt;0,"Fournisseur différent sur ce bon",IF(COUNTIFS(po_num,A1587,po_date,"&lt;&gt;"&amp;B1587)&gt;0,"Date différente sur ce bon",IF(COUNTIF(po_num,A1587)&gt;25,"Plus de 25 lignes sur ce bon",IF(R1587="","Date de livraison manquante",IF(R1587&lt;B1587,"Livraison avant la commande",IF(AND(N(T1587)&gt;0,N(S1587)=0),"Date d'envoi manquante",IF(N(T1587)&gt;N(H1587),"Reçu plus que commandé",IF(AND(N(T1587)&gt;0,N(U1587)=0),"Date de réception manquante",IF(AND(N(U1587)&gt;0,U1587&lt;B1587),"Réception avant la commande","OK")))))))))))))))))))))</f>
        <v/>
      </c>
      <c r="AA1587" s="66" t="str">
        <f>IF(AND(X1587="Reçu",ISNUMBER(R1587)),IF(N(U1587)&lt;=R1587,1,0),"")</f>
        <v/>
      </c>
      <c r="AB1587" s="76" t="str">
        <f>IF(OR(X1587="Envoyé",X1587="Partiel",X1587="En retard"),IF(ISNUMBER(R1587),R1587,100000)+ROW()/100000,"")</f>
        <v/>
      </c>
      <c r="AC1587" s="66" t="str">
        <f>IF(A1587="","",IF(COUNTIF($A$6:A1587,A1587)=1,1,""))</f>
        <v/>
      </c>
      <c r="AD1587" s="66" t="str">
        <f>IF(AC1587=1,COUNT($AC$6:AC1587),"")</f>
        <v/>
      </c>
      <c r="AE1587" s="66" t="str">
        <f>IFERROR(INDEX(po_num,MATCH(1582,po_seq,0))&amp;"","")</f>
        <v/>
      </c>
      <c r="AF1587" s="66" t="str">
        <f>IF(OR(A1587="",p_po=""),"",IF(A1587&amp;""=p_po,COUNTIF($A$6:A1587,A1587),""))</f>
        <v/>
      </c>
      <c r="AG1587" s="66" t="str">
        <f>IF(OR(AB1587="",A1587=""),"",IF(COUNTIFS($A$6:A1587,A1587,$AB$6:AB1587,"&gt;0")=1,1,""))</f>
        <v/>
      </c>
      <c r="AH1587" s="70" t="str">
        <f>IF(AB1587="","",ROUND(N(W1587)*N(J1587)*(1-N(K1587)),2))</f>
        <v/>
      </c>
      <c r="AI1587" s="70" t="str">
        <f>IF(OR(J1587="",N(T1587)&lt;=0,V1587="Oui"),"",ROUND(N(T1587)*J1587*(1-N(K1587)),2))</f>
        <v/>
      </c>
    </row>
    <row r="1588">
      <c r="A1588" s="63" t="n"/>
      <c r="B1588" s="64" t="n"/>
      <c r="C1588" s="65" t="n"/>
      <c r="D1588" s="66" t="str">
        <f>IF(C1588="","",IFERROR(INDEX(sup_name,MATCH($C1588,sup_code,0))&amp;"","Fournisseur inconnu"))</f>
        <v/>
      </c>
      <c r="E1588" s="63" t="n"/>
      <c r="F1588" s="66" t="str">
        <f>IF(E1588="","",IFERROR(INDEX(art_des,MATCH($E1588,art_ref,0))&amp;"","Article inconnu"))</f>
        <v/>
      </c>
      <c r="G1588" s="67" t="str">
        <f>IF(E1588="","",IFERROR(INDEX(art_unit,MATCH($E1588,art_ref,0))&amp;"",""))</f>
        <v/>
      </c>
      <c r="H1588" s="68" t="n"/>
      <c r="I1588" s="69" t="n"/>
      <c r="J1588" s="70" t="str">
        <f>IF(E1588="","",IF(ISNUMBER(I1588),I1588,IFERROR(IF(ISNUMBER(INDEX(art_price,MATCH($E1588,art_ref,0))),INDEX(art_price,MATCH($E1588,art_ref,0)),""),"")))</f>
        <v/>
      </c>
      <c r="K1588" s="71" t="n"/>
      <c r="L1588" s="72" t="n"/>
      <c r="M1588" s="72" t="str">
        <f>IF(E1588="","",IF(L1588&lt;&gt;"",L1588,IFERROR(IF(ISNUMBER(INDEX(art_tva,MATCH($E1588,art_ref,0))),INDEX(art_tva,MATCH($E1588,art_ref,0)),""),"")))</f>
        <v/>
      </c>
      <c r="N1588" s="70" t="str">
        <f>IF(OR(E1588="",J1588=""),"",ROUND(N(H1588)*J1588*(1-N(K1588)),2))</f>
        <v/>
      </c>
      <c r="O1588" s="70" t="str">
        <f>IF(OR(N1588="",NOT(ISNUMBER(M1588))),"",ROUND(N1588*M1588,2))</f>
        <v/>
      </c>
      <c r="P1588" s="70" t="str">
        <f>IF(N1588="","",N1588+N(O1588))</f>
        <v/>
      </c>
      <c r="Q1588" s="64" t="n"/>
      <c r="R1588" s="73" t="str">
        <f>IF(N(Q1588)&gt;0,Q1588,IF(OR(N(B1588)=0,ISNA(MATCH($C1588,sup_code,0))),"",IF(ISNUMBER(INDEX(sup_delay,MATCH($C1588,sup_code,0))),B1588+INDEX(sup_delay,MATCH($C1588,sup_code,0)),"")))</f>
        <v/>
      </c>
      <c r="S1588" s="64" t="n"/>
      <c r="T1588" s="68" t="n"/>
      <c r="U1588" s="64" t="n"/>
      <c r="V1588" s="65" t="n"/>
      <c r="W1588" s="74" t="str">
        <f>IF(AND(A1588="",E1588=""),"",IF(V1588="Oui",0,MAX(0,ROUND(N(H1588)-N(T1588),6))))</f>
        <v/>
      </c>
      <c r="X1588" s="67" t="str">
        <f>IF(AND(A1588="",E1588=""),"",IF(V1588="Oui","Annulé",IF(AND(N(H1588)&gt;0,N(T1588)&gt;=N(H1588)),"Reçu",IF(N(S1588)=0,"Brouillon",IF(AND(ISNUMBER(R1588),R1588&lt;p_today),"En retard",IF(N(T1588)&gt;0,"Partiel","Envoyé"))))))</f>
        <v/>
      </c>
      <c r="Y1588" s="75" t="str">
        <f>IF(X1588="En retard",p_today-R1588,IF(AND(X1588="Reçu",ISNUMBER(R1588)),MAX(0,N(U1588)-R1588),""))</f>
        <v/>
      </c>
      <c r="Z1588" s="67" t="str">
        <f>IF(AND(A1588="",E1588=""),"",IF(A1588="","N° de bon manquant",IF(N(B1588)=0,"Date de commande manquante",IF(C1588="","Fournisseur manquant",IF(ISNA(MATCH($C1588,sup_code,0)),"Fournisseur inconnu",IF(E1588="","Article manquant",IF(ISNA(MATCH($E1588,art_ref,0)),"Article inconnu",IF(N(H1588)&lt;=0,"Quantité invalide",IF(J1588="","Prix manquant",IF(OR(N(K1588)&lt;0,N(K1588)&gt;=1),"Remise invalide",IF(M1588="","TVA manquante",IF(ISNA(MATCH(M1588,p_tva,0)),"Taux de TVA inconnu",IF(COUNTIFS(po_num,A1588,po_sup,"&lt;&gt;"&amp;C1588)&gt;0,"Fournisseur différent sur ce bon",IF(COUNTIFS(po_num,A1588,po_date,"&lt;&gt;"&amp;B1588)&gt;0,"Date différente sur ce bon",IF(COUNTIF(po_num,A1588)&gt;25,"Plus de 25 lignes sur ce bon",IF(R1588="","Date de livraison manquante",IF(R1588&lt;B1588,"Livraison avant la commande",IF(AND(N(T1588)&gt;0,N(S1588)=0),"Date d'envoi manquante",IF(N(T1588)&gt;N(H1588),"Reçu plus que commandé",IF(AND(N(T1588)&gt;0,N(U1588)=0),"Date de réception manquante",IF(AND(N(U1588)&gt;0,U1588&lt;B1588),"Réception avant la commande","OK")))))))))))))))))))))</f>
        <v/>
      </c>
      <c r="AA1588" s="66" t="str">
        <f>IF(AND(X1588="Reçu",ISNUMBER(R1588)),IF(N(U1588)&lt;=R1588,1,0),"")</f>
        <v/>
      </c>
      <c r="AB1588" s="76" t="str">
        <f>IF(OR(X1588="Envoyé",X1588="Partiel",X1588="En retard"),IF(ISNUMBER(R1588),R1588,100000)+ROW()/100000,"")</f>
        <v/>
      </c>
      <c r="AC1588" s="66" t="str">
        <f>IF(A1588="","",IF(COUNTIF($A$6:A1588,A1588)=1,1,""))</f>
        <v/>
      </c>
      <c r="AD1588" s="66" t="str">
        <f>IF(AC1588=1,COUNT($AC$6:AC1588),"")</f>
        <v/>
      </c>
      <c r="AE1588" s="66" t="str">
        <f>IFERROR(INDEX(po_num,MATCH(1583,po_seq,0))&amp;"","")</f>
        <v/>
      </c>
      <c r="AF1588" s="66" t="str">
        <f>IF(OR(A1588="",p_po=""),"",IF(A1588&amp;""=p_po,COUNTIF($A$6:A1588,A1588),""))</f>
        <v/>
      </c>
      <c r="AG1588" s="66" t="str">
        <f>IF(OR(AB1588="",A1588=""),"",IF(COUNTIFS($A$6:A1588,A1588,$AB$6:AB1588,"&gt;0")=1,1,""))</f>
        <v/>
      </c>
      <c r="AH1588" s="70" t="str">
        <f>IF(AB1588="","",ROUND(N(W1588)*N(J1588)*(1-N(K1588)),2))</f>
        <v/>
      </c>
      <c r="AI1588" s="70" t="str">
        <f>IF(OR(J1588="",N(T1588)&lt;=0,V1588="Oui"),"",ROUND(N(T1588)*J1588*(1-N(K1588)),2))</f>
        <v/>
      </c>
    </row>
    <row r="1589">
      <c r="A1589" s="63" t="n"/>
      <c r="B1589" s="64" t="n"/>
      <c r="C1589" s="65" t="n"/>
      <c r="D1589" s="66" t="str">
        <f>IF(C1589="","",IFERROR(INDEX(sup_name,MATCH($C1589,sup_code,0))&amp;"","Fournisseur inconnu"))</f>
        <v/>
      </c>
      <c r="E1589" s="63" t="n"/>
      <c r="F1589" s="66" t="str">
        <f>IF(E1589="","",IFERROR(INDEX(art_des,MATCH($E1589,art_ref,0))&amp;"","Article inconnu"))</f>
        <v/>
      </c>
      <c r="G1589" s="67" t="str">
        <f>IF(E1589="","",IFERROR(INDEX(art_unit,MATCH($E1589,art_ref,0))&amp;"",""))</f>
        <v/>
      </c>
      <c r="H1589" s="68" t="n"/>
      <c r="I1589" s="69" t="n"/>
      <c r="J1589" s="70" t="str">
        <f>IF(E1589="","",IF(ISNUMBER(I1589),I1589,IFERROR(IF(ISNUMBER(INDEX(art_price,MATCH($E1589,art_ref,0))),INDEX(art_price,MATCH($E1589,art_ref,0)),""),"")))</f>
        <v/>
      </c>
      <c r="K1589" s="71" t="n"/>
      <c r="L1589" s="72" t="n"/>
      <c r="M1589" s="72" t="str">
        <f>IF(E1589="","",IF(L1589&lt;&gt;"",L1589,IFERROR(IF(ISNUMBER(INDEX(art_tva,MATCH($E1589,art_ref,0))),INDEX(art_tva,MATCH($E1589,art_ref,0)),""),"")))</f>
        <v/>
      </c>
      <c r="N1589" s="70" t="str">
        <f>IF(OR(E1589="",J1589=""),"",ROUND(N(H1589)*J1589*(1-N(K1589)),2))</f>
        <v/>
      </c>
      <c r="O1589" s="70" t="str">
        <f>IF(OR(N1589="",NOT(ISNUMBER(M1589))),"",ROUND(N1589*M1589,2))</f>
        <v/>
      </c>
      <c r="P1589" s="70" t="str">
        <f>IF(N1589="","",N1589+N(O1589))</f>
        <v/>
      </c>
      <c r="Q1589" s="64" t="n"/>
      <c r="R1589" s="73" t="str">
        <f>IF(N(Q1589)&gt;0,Q1589,IF(OR(N(B1589)=0,ISNA(MATCH($C1589,sup_code,0))),"",IF(ISNUMBER(INDEX(sup_delay,MATCH($C1589,sup_code,0))),B1589+INDEX(sup_delay,MATCH($C1589,sup_code,0)),"")))</f>
        <v/>
      </c>
      <c r="S1589" s="64" t="n"/>
      <c r="T1589" s="68" t="n"/>
      <c r="U1589" s="64" t="n"/>
      <c r="V1589" s="65" t="n"/>
      <c r="W1589" s="74" t="str">
        <f>IF(AND(A1589="",E1589=""),"",IF(V1589="Oui",0,MAX(0,ROUND(N(H1589)-N(T1589),6))))</f>
        <v/>
      </c>
      <c r="X1589" s="67" t="str">
        <f>IF(AND(A1589="",E1589=""),"",IF(V1589="Oui","Annulé",IF(AND(N(H1589)&gt;0,N(T1589)&gt;=N(H1589)),"Reçu",IF(N(S1589)=0,"Brouillon",IF(AND(ISNUMBER(R1589),R1589&lt;p_today),"En retard",IF(N(T1589)&gt;0,"Partiel","Envoyé"))))))</f>
        <v/>
      </c>
      <c r="Y1589" s="75" t="str">
        <f>IF(X1589="En retard",p_today-R1589,IF(AND(X1589="Reçu",ISNUMBER(R1589)),MAX(0,N(U1589)-R1589),""))</f>
        <v/>
      </c>
      <c r="Z1589" s="67" t="str">
        <f>IF(AND(A1589="",E1589=""),"",IF(A1589="","N° de bon manquant",IF(N(B1589)=0,"Date de commande manquante",IF(C1589="","Fournisseur manquant",IF(ISNA(MATCH($C1589,sup_code,0)),"Fournisseur inconnu",IF(E1589="","Article manquant",IF(ISNA(MATCH($E1589,art_ref,0)),"Article inconnu",IF(N(H1589)&lt;=0,"Quantité invalide",IF(J1589="","Prix manquant",IF(OR(N(K1589)&lt;0,N(K1589)&gt;=1),"Remise invalide",IF(M1589="","TVA manquante",IF(ISNA(MATCH(M1589,p_tva,0)),"Taux de TVA inconnu",IF(COUNTIFS(po_num,A1589,po_sup,"&lt;&gt;"&amp;C1589)&gt;0,"Fournisseur différent sur ce bon",IF(COUNTIFS(po_num,A1589,po_date,"&lt;&gt;"&amp;B1589)&gt;0,"Date différente sur ce bon",IF(COUNTIF(po_num,A1589)&gt;25,"Plus de 25 lignes sur ce bon",IF(R1589="","Date de livraison manquante",IF(R1589&lt;B1589,"Livraison avant la commande",IF(AND(N(T1589)&gt;0,N(S1589)=0),"Date d'envoi manquante",IF(N(T1589)&gt;N(H1589),"Reçu plus que commandé",IF(AND(N(T1589)&gt;0,N(U1589)=0),"Date de réception manquante",IF(AND(N(U1589)&gt;0,U1589&lt;B1589),"Réception avant la commande","OK")))))))))))))))))))))</f>
        <v/>
      </c>
      <c r="AA1589" s="66" t="str">
        <f>IF(AND(X1589="Reçu",ISNUMBER(R1589)),IF(N(U1589)&lt;=R1589,1,0),"")</f>
        <v/>
      </c>
      <c r="AB1589" s="76" t="str">
        <f>IF(OR(X1589="Envoyé",X1589="Partiel",X1589="En retard"),IF(ISNUMBER(R1589),R1589,100000)+ROW()/100000,"")</f>
        <v/>
      </c>
      <c r="AC1589" s="66" t="str">
        <f>IF(A1589="","",IF(COUNTIF($A$6:A1589,A1589)=1,1,""))</f>
        <v/>
      </c>
      <c r="AD1589" s="66" t="str">
        <f>IF(AC1589=1,COUNT($AC$6:AC1589),"")</f>
        <v/>
      </c>
      <c r="AE1589" s="66" t="str">
        <f>IFERROR(INDEX(po_num,MATCH(1584,po_seq,0))&amp;"","")</f>
        <v/>
      </c>
      <c r="AF1589" s="66" t="str">
        <f>IF(OR(A1589="",p_po=""),"",IF(A1589&amp;""=p_po,COUNTIF($A$6:A1589,A1589),""))</f>
        <v/>
      </c>
      <c r="AG1589" s="66" t="str">
        <f>IF(OR(AB1589="",A1589=""),"",IF(COUNTIFS($A$6:A1589,A1589,$AB$6:AB1589,"&gt;0")=1,1,""))</f>
        <v/>
      </c>
      <c r="AH1589" s="70" t="str">
        <f>IF(AB1589="","",ROUND(N(W1589)*N(J1589)*(1-N(K1589)),2))</f>
        <v/>
      </c>
      <c r="AI1589" s="70" t="str">
        <f>IF(OR(J1589="",N(T1589)&lt;=0,V1589="Oui"),"",ROUND(N(T1589)*J1589*(1-N(K1589)),2))</f>
        <v/>
      </c>
    </row>
    <row r="1590">
      <c r="A1590" s="63" t="n"/>
      <c r="B1590" s="64" t="n"/>
      <c r="C1590" s="65" t="n"/>
      <c r="D1590" s="66" t="str">
        <f>IF(C1590="","",IFERROR(INDEX(sup_name,MATCH($C1590,sup_code,0))&amp;"","Fournisseur inconnu"))</f>
        <v/>
      </c>
      <c r="E1590" s="63" t="n"/>
      <c r="F1590" s="66" t="str">
        <f>IF(E1590="","",IFERROR(INDEX(art_des,MATCH($E1590,art_ref,0))&amp;"","Article inconnu"))</f>
        <v/>
      </c>
      <c r="G1590" s="67" t="str">
        <f>IF(E1590="","",IFERROR(INDEX(art_unit,MATCH($E1590,art_ref,0))&amp;"",""))</f>
        <v/>
      </c>
      <c r="H1590" s="68" t="n"/>
      <c r="I1590" s="69" t="n"/>
      <c r="J1590" s="70" t="str">
        <f>IF(E1590="","",IF(ISNUMBER(I1590),I1590,IFERROR(IF(ISNUMBER(INDEX(art_price,MATCH($E1590,art_ref,0))),INDEX(art_price,MATCH($E1590,art_ref,0)),""),"")))</f>
        <v/>
      </c>
      <c r="K1590" s="71" t="n"/>
      <c r="L1590" s="72" t="n"/>
      <c r="M1590" s="72" t="str">
        <f>IF(E1590="","",IF(L1590&lt;&gt;"",L1590,IFERROR(IF(ISNUMBER(INDEX(art_tva,MATCH($E1590,art_ref,0))),INDEX(art_tva,MATCH($E1590,art_ref,0)),""),"")))</f>
        <v/>
      </c>
      <c r="N1590" s="70" t="str">
        <f>IF(OR(E1590="",J1590=""),"",ROUND(N(H1590)*J1590*(1-N(K1590)),2))</f>
        <v/>
      </c>
      <c r="O1590" s="70" t="str">
        <f>IF(OR(N1590="",NOT(ISNUMBER(M1590))),"",ROUND(N1590*M1590,2))</f>
        <v/>
      </c>
      <c r="P1590" s="70" t="str">
        <f>IF(N1590="","",N1590+N(O1590))</f>
        <v/>
      </c>
      <c r="Q1590" s="64" t="n"/>
      <c r="R1590" s="73" t="str">
        <f>IF(N(Q1590)&gt;0,Q1590,IF(OR(N(B1590)=0,ISNA(MATCH($C1590,sup_code,0))),"",IF(ISNUMBER(INDEX(sup_delay,MATCH($C1590,sup_code,0))),B1590+INDEX(sup_delay,MATCH($C1590,sup_code,0)),"")))</f>
        <v/>
      </c>
      <c r="S1590" s="64" t="n"/>
      <c r="T1590" s="68" t="n"/>
      <c r="U1590" s="64" t="n"/>
      <c r="V1590" s="65" t="n"/>
      <c r="W1590" s="74" t="str">
        <f>IF(AND(A1590="",E1590=""),"",IF(V1590="Oui",0,MAX(0,ROUND(N(H1590)-N(T1590),6))))</f>
        <v/>
      </c>
      <c r="X1590" s="67" t="str">
        <f>IF(AND(A1590="",E1590=""),"",IF(V1590="Oui","Annulé",IF(AND(N(H1590)&gt;0,N(T1590)&gt;=N(H1590)),"Reçu",IF(N(S1590)=0,"Brouillon",IF(AND(ISNUMBER(R1590),R1590&lt;p_today),"En retard",IF(N(T1590)&gt;0,"Partiel","Envoyé"))))))</f>
        <v/>
      </c>
      <c r="Y1590" s="75" t="str">
        <f>IF(X1590="En retard",p_today-R1590,IF(AND(X1590="Reçu",ISNUMBER(R1590)),MAX(0,N(U1590)-R1590),""))</f>
        <v/>
      </c>
      <c r="Z1590" s="67" t="str">
        <f>IF(AND(A1590="",E1590=""),"",IF(A1590="","N° de bon manquant",IF(N(B1590)=0,"Date de commande manquante",IF(C1590="","Fournisseur manquant",IF(ISNA(MATCH($C1590,sup_code,0)),"Fournisseur inconnu",IF(E1590="","Article manquant",IF(ISNA(MATCH($E1590,art_ref,0)),"Article inconnu",IF(N(H1590)&lt;=0,"Quantité invalide",IF(J1590="","Prix manquant",IF(OR(N(K1590)&lt;0,N(K1590)&gt;=1),"Remise invalide",IF(M1590="","TVA manquante",IF(ISNA(MATCH(M1590,p_tva,0)),"Taux de TVA inconnu",IF(COUNTIFS(po_num,A1590,po_sup,"&lt;&gt;"&amp;C1590)&gt;0,"Fournisseur différent sur ce bon",IF(COUNTIFS(po_num,A1590,po_date,"&lt;&gt;"&amp;B1590)&gt;0,"Date différente sur ce bon",IF(COUNTIF(po_num,A1590)&gt;25,"Plus de 25 lignes sur ce bon",IF(R1590="","Date de livraison manquante",IF(R1590&lt;B1590,"Livraison avant la commande",IF(AND(N(T1590)&gt;0,N(S1590)=0),"Date d'envoi manquante",IF(N(T1590)&gt;N(H1590),"Reçu plus que commandé",IF(AND(N(T1590)&gt;0,N(U1590)=0),"Date de réception manquante",IF(AND(N(U1590)&gt;0,U1590&lt;B1590),"Réception avant la commande","OK")))))))))))))))))))))</f>
        <v/>
      </c>
      <c r="AA1590" s="66" t="str">
        <f>IF(AND(X1590="Reçu",ISNUMBER(R1590)),IF(N(U1590)&lt;=R1590,1,0),"")</f>
        <v/>
      </c>
      <c r="AB1590" s="76" t="str">
        <f>IF(OR(X1590="Envoyé",X1590="Partiel",X1590="En retard"),IF(ISNUMBER(R1590),R1590,100000)+ROW()/100000,"")</f>
        <v/>
      </c>
      <c r="AC1590" s="66" t="str">
        <f>IF(A1590="","",IF(COUNTIF($A$6:A1590,A1590)=1,1,""))</f>
        <v/>
      </c>
      <c r="AD1590" s="66" t="str">
        <f>IF(AC1590=1,COUNT($AC$6:AC1590),"")</f>
        <v/>
      </c>
      <c r="AE1590" s="66" t="str">
        <f>IFERROR(INDEX(po_num,MATCH(1585,po_seq,0))&amp;"","")</f>
        <v/>
      </c>
      <c r="AF1590" s="66" t="str">
        <f>IF(OR(A1590="",p_po=""),"",IF(A1590&amp;""=p_po,COUNTIF($A$6:A1590,A1590),""))</f>
        <v/>
      </c>
      <c r="AG1590" s="66" t="str">
        <f>IF(OR(AB1590="",A1590=""),"",IF(COUNTIFS($A$6:A1590,A1590,$AB$6:AB1590,"&gt;0")=1,1,""))</f>
        <v/>
      </c>
      <c r="AH1590" s="70" t="str">
        <f>IF(AB1590="","",ROUND(N(W1590)*N(J1590)*(1-N(K1590)),2))</f>
        <v/>
      </c>
      <c r="AI1590" s="70" t="str">
        <f>IF(OR(J1590="",N(T1590)&lt;=0,V1590="Oui"),"",ROUND(N(T1590)*J1590*(1-N(K1590)),2))</f>
        <v/>
      </c>
    </row>
    <row r="1591">
      <c r="A1591" s="63" t="n"/>
      <c r="B1591" s="64" t="n"/>
      <c r="C1591" s="65" t="n"/>
      <c r="D1591" s="66" t="str">
        <f>IF(C1591="","",IFERROR(INDEX(sup_name,MATCH($C1591,sup_code,0))&amp;"","Fournisseur inconnu"))</f>
        <v/>
      </c>
      <c r="E1591" s="63" t="n"/>
      <c r="F1591" s="66" t="str">
        <f>IF(E1591="","",IFERROR(INDEX(art_des,MATCH($E1591,art_ref,0))&amp;"","Article inconnu"))</f>
        <v/>
      </c>
      <c r="G1591" s="67" t="str">
        <f>IF(E1591="","",IFERROR(INDEX(art_unit,MATCH($E1591,art_ref,0))&amp;"",""))</f>
        <v/>
      </c>
      <c r="H1591" s="68" t="n"/>
      <c r="I1591" s="69" t="n"/>
      <c r="J1591" s="70" t="str">
        <f>IF(E1591="","",IF(ISNUMBER(I1591),I1591,IFERROR(IF(ISNUMBER(INDEX(art_price,MATCH($E1591,art_ref,0))),INDEX(art_price,MATCH($E1591,art_ref,0)),""),"")))</f>
        <v/>
      </c>
      <c r="K1591" s="71" t="n"/>
      <c r="L1591" s="72" t="n"/>
      <c r="M1591" s="72" t="str">
        <f>IF(E1591="","",IF(L1591&lt;&gt;"",L1591,IFERROR(IF(ISNUMBER(INDEX(art_tva,MATCH($E1591,art_ref,0))),INDEX(art_tva,MATCH($E1591,art_ref,0)),""),"")))</f>
        <v/>
      </c>
      <c r="N1591" s="70" t="str">
        <f>IF(OR(E1591="",J1591=""),"",ROUND(N(H1591)*J1591*(1-N(K1591)),2))</f>
        <v/>
      </c>
      <c r="O1591" s="70" t="str">
        <f>IF(OR(N1591="",NOT(ISNUMBER(M1591))),"",ROUND(N1591*M1591,2))</f>
        <v/>
      </c>
      <c r="P1591" s="70" t="str">
        <f>IF(N1591="","",N1591+N(O1591))</f>
        <v/>
      </c>
      <c r="Q1591" s="64" t="n"/>
      <c r="R1591" s="73" t="str">
        <f>IF(N(Q1591)&gt;0,Q1591,IF(OR(N(B1591)=0,ISNA(MATCH($C1591,sup_code,0))),"",IF(ISNUMBER(INDEX(sup_delay,MATCH($C1591,sup_code,0))),B1591+INDEX(sup_delay,MATCH($C1591,sup_code,0)),"")))</f>
        <v/>
      </c>
      <c r="S1591" s="64" t="n"/>
      <c r="T1591" s="68" t="n"/>
      <c r="U1591" s="64" t="n"/>
      <c r="V1591" s="65" t="n"/>
      <c r="W1591" s="74" t="str">
        <f>IF(AND(A1591="",E1591=""),"",IF(V1591="Oui",0,MAX(0,ROUND(N(H1591)-N(T1591),6))))</f>
        <v/>
      </c>
      <c r="X1591" s="67" t="str">
        <f>IF(AND(A1591="",E1591=""),"",IF(V1591="Oui","Annulé",IF(AND(N(H1591)&gt;0,N(T1591)&gt;=N(H1591)),"Reçu",IF(N(S1591)=0,"Brouillon",IF(AND(ISNUMBER(R1591),R1591&lt;p_today),"En retard",IF(N(T1591)&gt;0,"Partiel","Envoyé"))))))</f>
        <v/>
      </c>
      <c r="Y1591" s="75" t="str">
        <f>IF(X1591="En retard",p_today-R1591,IF(AND(X1591="Reçu",ISNUMBER(R1591)),MAX(0,N(U1591)-R1591),""))</f>
        <v/>
      </c>
      <c r="Z1591" s="67" t="str">
        <f>IF(AND(A1591="",E1591=""),"",IF(A1591="","N° de bon manquant",IF(N(B1591)=0,"Date de commande manquante",IF(C1591="","Fournisseur manquant",IF(ISNA(MATCH($C1591,sup_code,0)),"Fournisseur inconnu",IF(E1591="","Article manquant",IF(ISNA(MATCH($E1591,art_ref,0)),"Article inconnu",IF(N(H1591)&lt;=0,"Quantité invalide",IF(J1591="","Prix manquant",IF(OR(N(K1591)&lt;0,N(K1591)&gt;=1),"Remise invalide",IF(M1591="","TVA manquante",IF(ISNA(MATCH(M1591,p_tva,0)),"Taux de TVA inconnu",IF(COUNTIFS(po_num,A1591,po_sup,"&lt;&gt;"&amp;C1591)&gt;0,"Fournisseur différent sur ce bon",IF(COUNTIFS(po_num,A1591,po_date,"&lt;&gt;"&amp;B1591)&gt;0,"Date différente sur ce bon",IF(COUNTIF(po_num,A1591)&gt;25,"Plus de 25 lignes sur ce bon",IF(R1591="","Date de livraison manquante",IF(R1591&lt;B1591,"Livraison avant la commande",IF(AND(N(T1591)&gt;0,N(S1591)=0),"Date d'envoi manquante",IF(N(T1591)&gt;N(H1591),"Reçu plus que commandé",IF(AND(N(T1591)&gt;0,N(U1591)=0),"Date de réception manquante",IF(AND(N(U1591)&gt;0,U1591&lt;B1591),"Réception avant la commande","OK")))))))))))))))))))))</f>
        <v/>
      </c>
      <c r="AA1591" s="66" t="str">
        <f>IF(AND(X1591="Reçu",ISNUMBER(R1591)),IF(N(U1591)&lt;=R1591,1,0),"")</f>
        <v/>
      </c>
      <c r="AB1591" s="76" t="str">
        <f>IF(OR(X1591="Envoyé",X1591="Partiel",X1591="En retard"),IF(ISNUMBER(R1591),R1591,100000)+ROW()/100000,"")</f>
        <v/>
      </c>
      <c r="AC1591" s="66" t="str">
        <f>IF(A1591="","",IF(COUNTIF($A$6:A1591,A1591)=1,1,""))</f>
        <v/>
      </c>
      <c r="AD1591" s="66" t="str">
        <f>IF(AC1591=1,COUNT($AC$6:AC1591),"")</f>
        <v/>
      </c>
      <c r="AE1591" s="66" t="str">
        <f>IFERROR(INDEX(po_num,MATCH(1586,po_seq,0))&amp;"","")</f>
        <v/>
      </c>
      <c r="AF1591" s="66" t="str">
        <f>IF(OR(A1591="",p_po=""),"",IF(A1591&amp;""=p_po,COUNTIF($A$6:A1591,A1591),""))</f>
        <v/>
      </c>
      <c r="AG1591" s="66" t="str">
        <f>IF(OR(AB1591="",A1591=""),"",IF(COUNTIFS($A$6:A1591,A1591,$AB$6:AB1591,"&gt;0")=1,1,""))</f>
        <v/>
      </c>
      <c r="AH1591" s="70" t="str">
        <f>IF(AB1591="","",ROUND(N(W1591)*N(J1591)*(1-N(K1591)),2))</f>
        <v/>
      </c>
      <c r="AI1591" s="70" t="str">
        <f>IF(OR(J1591="",N(T1591)&lt;=0,V1591="Oui"),"",ROUND(N(T1591)*J1591*(1-N(K1591)),2))</f>
        <v/>
      </c>
    </row>
    <row r="1592">
      <c r="A1592" s="63" t="n"/>
      <c r="B1592" s="64" t="n"/>
      <c r="C1592" s="65" t="n"/>
      <c r="D1592" s="66" t="str">
        <f>IF(C1592="","",IFERROR(INDEX(sup_name,MATCH($C1592,sup_code,0))&amp;"","Fournisseur inconnu"))</f>
        <v/>
      </c>
      <c r="E1592" s="63" t="n"/>
      <c r="F1592" s="66" t="str">
        <f>IF(E1592="","",IFERROR(INDEX(art_des,MATCH($E1592,art_ref,0))&amp;"","Article inconnu"))</f>
        <v/>
      </c>
      <c r="G1592" s="67" t="str">
        <f>IF(E1592="","",IFERROR(INDEX(art_unit,MATCH($E1592,art_ref,0))&amp;"",""))</f>
        <v/>
      </c>
      <c r="H1592" s="68" t="n"/>
      <c r="I1592" s="69" t="n"/>
      <c r="J1592" s="70" t="str">
        <f>IF(E1592="","",IF(ISNUMBER(I1592),I1592,IFERROR(IF(ISNUMBER(INDEX(art_price,MATCH($E1592,art_ref,0))),INDEX(art_price,MATCH($E1592,art_ref,0)),""),"")))</f>
        <v/>
      </c>
      <c r="K1592" s="71" t="n"/>
      <c r="L1592" s="72" t="n"/>
      <c r="M1592" s="72" t="str">
        <f>IF(E1592="","",IF(L1592&lt;&gt;"",L1592,IFERROR(IF(ISNUMBER(INDEX(art_tva,MATCH($E1592,art_ref,0))),INDEX(art_tva,MATCH($E1592,art_ref,0)),""),"")))</f>
        <v/>
      </c>
      <c r="N1592" s="70" t="str">
        <f>IF(OR(E1592="",J1592=""),"",ROUND(N(H1592)*J1592*(1-N(K1592)),2))</f>
        <v/>
      </c>
      <c r="O1592" s="70" t="str">
        <f>IF(OR(N1592="",NOT(ISNUMBER(M1592))),"",ROUND(N1592*M1592,2))</f>
        <v/>
      </c>
      <c r="P1592" s="70" t="str">
        <f>IF(N1592="","",N1592+N(O1592))</f>
        <v/>
      </c>
      <c r="Q1592" s="64" t="n"/>
      <c r="R1592" s="73" t="str">
        <f>IF(N(Q1592)&gt;0,Q1592,IF(OR(N(B1592)=0,ISNA(MATCH($C1592,sup_code,0))),"",IF(ISNUMBER(INDEX(sup_delay,MATCH($C1592,sup_code,0))),B1592+INDEX(sup_delay,MATCH($C1592,sup_code,0)),"")))</f>
        <v/>
      </c>
      <c r="S1592" s="64" t="n"/>
      <c r="T1592" s="68" t="n"/>
      <c r="U1592" s="64" t="n"/>
      <c r="V1592" s="65" t="n"/>
      <c r="W1592" s="74" t="str">
        <f>IF(AND(A1592="",E1592=""),"",IF(V1592="Oui",0,MAX(0,ROUND(N(H1592)-N(T1592),6))))</f>
        <v/>
      </c>
      <c r="X1592" s="67" t="str">
        <f>IF(AND(A1592="",E1592=""),"",IF(V1592="Oui","Annulé",IF(AND(N(H1592)&gt;0,N(T1592)&gt;=N(H1592)),"Reçu",IF(N(S1592)=0,"Brouillon",IF(AND(ISNUMBER(R1592),R1592&lt;p_today),"En retard",IF(N(T1592)&gt;0,"Partiel","Envoyé"))))))</f>
        <v/>
      </c>
      <c r="Y1592" s="75" t="str">
        <f>IF(X1592="En retard",p_today-R1592,IF(AND(X1592="Reçu",ISNUMBER(R1592)),MAX(0,N(U1592)-R1592),""))</f>
        <v/>
      </c>
      <c r="Z1592" s="67" t="str">
        <f>IF(AND(A1592="",E1592=""),"",IF(A1592="","N° de bon manquant",IF(N(B1592)=0,"Date de commande manquante",IF(C1592="","Fournisseur manquant",IF(ISNA(MATCH($C1592,sup_code,0)),"Fournisseur inconnu",IF(E1592="","Article manquant",IF(ISNA(MATCH($E1592,art_ref,0)),"Article inconnu",IF(N(H1592)&lt;=0,"Quantité invalide",IF(J1592="","Prix manquant",IF(OR(N(K1592)&lt;0,N(K1592)&gt;=1),"Remise invalide",IF(M1592="","TVA manquante",IF(ISNA(MATCH(M1592,p_tva,0)),"Taux de TVA inconnu",IF(COUNTIFS(po_num,A1592,po_sup,"&lt;&gt;"&amp;C1592)&gt;0,"Fournisseur différent sur ce bon",IF(COUNTIFS(po_num,A1592,po_date,"&lt;&gt;"&amp;B1592)&gt;0,"Date différente sur ce bon",IF(COUNTIF(po_num,A1592)&gt;25,"Plus de 25 lignes sur ce bon",IF(R1592="","Date de livraison manquante",IF(R1592&lt;B1592,"Livraison avant la commande",IF(AND(N(T1592)&gt;0,N(S1592)=0),"Date d'envoi manquante",IF(N(T1592)&gt;N(H1592),"Reçu plus que commandé",IF(AND(N(T1592)&gt;0,N(U1592)=0),"Date de réception manquante",IF(AND(N(U1592)&gt;0,U1592&lt;B1592),"Réception avant la commande","OK")))))))))))))))))))))</f>
        <v/>
      </c>
      <c r="AA1592" s="66" t="str">
        <f>IF(AND(X1592="Reçu",ISNUMBER(R1592)),IF(N(U1592)&lt;=R1592,1,0),"")</f>
        <v/>
      </c>
      <c r="AB1592" s="76" t="str">
        <f>IF(OR(X1592="Envoyé",X1592="Partiel",X1592="En retard"),IF(ISNUMBER(R1592),R1592,100000)+ROW()/100000,"")</f>
        <v/>
      </c>
      <c r="AC1592" s="66" t="str">
        <f>IF(A1592="","",IF(COUNTIF($A$6:A1592,A1592)=1,1,""))</f>
        <v/>
      </c>
      <c r="AD1592" s="66" t="str">
        <f>IF(AC1592=1,COUNT($AC$6:AC1592),"")</f>
        <v/>
      </c>
      <c r="AE1592" s="66" t="str">
        <f>IFERROR(INDEX(po_num,MATCH(1587,po_seq,0))&amp;"","")</f>
        <v/>
      </c>
      <c r="AF1592" s="66" t="str">
        <f>IF(OR(A1592="",p_po=""),"",IF(A1592&amp;""=p_po,COUNTIF($A$6:A1592,A1592),""))</f>
        <v/>
      </c>
      <c r="AG1592" s="66" t="str">
        <f>IF(OR(AB1592="",A1592=""),"",IF(COUNTIFS($A$6:A1592,A1592,$AB$6:AB1592,"&gt;0")=1,1,""))</f>
        <v/>
      </c>
      <c r="AH1592" s="70" t="str">
        <f>IF(AB1592="","",ROUND(N(W1592)*N(J1592)*(1-N(K1592)),2))</f>
        <v/>
      </c>
      <c r="AI1592" s="70" t="str">
        <f>IF(OR(J1592="",N(T1592)&lt;=0,V1592="Oui"),"",ROUND(N(T1592)*J1592*(1-N(K1592)),2))</f>
        <v/>
      </c>
    </row>
    <row r="1593">
      <c r="A1593" s="63" t="n"/>
      <c r="B1593" s="64" t="n"/>
      <c r="C1593" s="65" t="n"/>
      <c r="D1593" s="66" t="str">
        <f>IF(C1593="","",IFERROR(INDEX(sup_name,MATCH($C1593,sup_code,0))&amp;"","Fournisseur inconnu"))</f>
        <v/>
      </c>
      <c r="E1593" s="63" t="n"/>
      <c r="F1593" s="66" t="str">
        <f>IF(E1593="","",IFERROR(INDEX(art_des,MATCH($E1593,art_ref,0))&amp;"","Article inconnu"))</f>
        <v/>
      </c>
      <c r="G1593" s="67" t="str">
        <f>IF(E1593="","",IFERROR(INDEX(art_unit,MATCH($E1593,art_ref,0))&amp;"",""))</f>
        <v/>
      </c>
      <c r="H1593" s="68" t="n"/>
      <c r="I1593" s="69" t="n"/>
      <c r="J1593" s="70" t="str">
        <f>IF(E1593="","",IF(ISNUMBER(I1593),I1593,IFERROR(IF(ISNUMBER(INDEX(art_price,MATCH($E1593,art_ref,0))),INDEX(art_price,MATCH($E1593,art_ref,0)),""),"")))</f>
        <v/>
      </c>
      <c r="K1593" s="71" t="n"/>
      <c r="L1593" s="72" t="n"/>
      <c r="M1593" s="72" t="str">
        <f>IF(E1593="","",IF(L1593&lt;&gt;"",L1593,IFERROR(IF(ISNUMBER(INDEX(art_tva,MATCH($E1593,art_ref,0))),INDEX(art_tva,MATCH($E1593,art_ref,0)),""),"")))</f>
        <v/>
      </c>
      <c r="N1593" s="70" t="str">
        <f>IF(OR(E1593="",J1593=""),"",ROUND(N(H1593)*J1593*(1-N(K1593)),2))</f>
        <v/>
      </c>
      <c r="O1593" s="70" t="str">
        <f>IF(OR(N1593="",NOT(ISNUMBER(M1593))),"",ROUND(N1593*M1593,2))</f>
        <v/>
      </c>
      <c r="P1593" s="70" t="str">
        <f>IF(N1593="","",N1593+N(O1593))</f>
        <v/>
      </c>
      <c r="Q1593" s="64" t="n"/>
      <c r="R1593" s="73" t="str">
        <f>IF(N(Q1593)&gt;0,Q1593,IF(OR(N(B1593)=0,ISNA(MATCH($C1593,sup_code,0))),"",IF(ISNUMBER(INDEX(sup_delay,MATCH($C1593,sup_code,0))),B1593+INDEX(sup_delay,MATCH($C1593,sup_code,0)),"")))</f>
        <v/>
      </c>
      <c r="S1593" s="64" t="n"/>
      <c r="T1593" s="68" t="n"/>
      <c r="U1593" s="64" t="n"/>
      <c r="V1593" s="65" t="n"/>
      <c r="W1593" s="74" t="str">
        <f>IF(AND(A1593="",E1593=""),"",IF(V1593="Oui",0,MAX(0,ROUND(N(H1593)-N(T1593),6))))</f>
        <v/>
      </c>
      <c r="X1593" s="67" t="str">
        <f>IF(AND(A1593="",E1593=""),"",IF(V1593="Oui","Annulé",IF(AND(N(H1593)&gt;0,N(T1593)&gt;=N(H1593)),"Reçu",IF(N(S1593)=0,"Brouillon",IF(AND(ISNUMBER(R1593),R1593&lt;p_today),"En retard",IF(N(T1593)&gt;0,"Partiel","Envoyé"))))))</f>
        <v/>
      </c>
      <c r="Y1593" s="75" t="str">
        <f>IF(X1593="En retard",p_today-R1593,IF(AND(X1593="Reçu",ISNUMBER(R1593)),MAX(0,N(U1593)-R1593),""))</f>
        <v/>
      </c>
      <c r="Z1593" s="67" t="str">
        <f>IF(AND(A1593="",E1593=""),"",IF(A1593="","N° de bon manquant",IF(N(B1593)=0,"Date de commande manquante",IF(C1593="","Fournisseur manquant",IF(ISNA(MATCH($C1593,sup_code,0)),"Fournisseur inconnu",IF(E1593="","Article manquant",IF(ISNA(MATCH($E1593,art_ref,0)),"Article inconnu",IF(N(H1593)&lt;=0,"Quantité invalide",IF(J1593="","Prix manquant",IF(OR(N(K1593)&lt;0,N(K1593)&gt;=1),"Remise invalide",IF(M1593="","TVA manquante",IF(ISNA(MATCH(M1593,p_tva,0)),"Taux de TVA inconnu",IF(COUNTIFS(po_num,A1593,po_sup,"&lt;&gt;"&amp;C1593)&gt;0,"Fournisseur différent sur ce bon",IF(COUNTIFS(po_num,A1593,po_date,"&lt;&gt;"&amp;B1593)&gt;0,"Date différente sur ce bon",IF(COUNTIF(po_num,A1593)&gt;25,"Plus de 25 lignes sur ce bon",IF(R1593="","Date de livraison manquante",IF(R1593&lt;B1593,"Livraison avant la commande",IF(AND(N(T1593)&gt;0,N(S1593)=0),"Date d'envoi manquante",IF(N(T1593)&gt;N(H1593),"Reçu plus que commandé",IF(AND(N(T1593)&gt;0,N(U1593)=0),"Date de réception manquante",IF(AND(N(U1593)&gt;0,U1593&lt;B1593),"Réception avant la commande","OK")))))))))))))))))))))</f>
        <v/>
      </c>
      <c r="AA1593" s="66" t="str">
        <f>IF(AND(X1593="Reçu",ISNUMBER(R1593)),IF(N(U1593)&lt;=R1593,1,0),"")</f>
        <v/>
      </c>
      <c r="AB1593" s="76" t="str">
        <f>IF(OR(X1593="Envoyé",X1593="Partiel",X1593="En retard"),IF(ISNUMBER(R1593),R1593,100000)+ROW()/100000,"")</f>
        <v/>
      </c>
      <c r="AC1593" s="66" t="str">
        <f>IF(A1593="","",IF(COUNTIF($A$6:A1593,A1593)=1,1,""))</f>
        <v/>
      </c>
      <c r="AD1593" s="66" t="str">
        <f>IF(AC1593=1,COUNT($AC$6:AC1593),"")</f>
        <v/>
      </c>
      <c r="AE1593" s="66" t="str">
        <f>IFERROR(INDEX(po_num,MATCH(1588,po_seq,0))&amp;"","")</f>
        <v/>
      </c>
      <c r="AF1593" s="66" t="str">
        <f>IF(OR(A1593="",p_po=""),"",IF(A1593&amp;""=p_po,COUNTIF($A$6:A1593,A1593),""))</f>
        <v/>
      </c>
      <c r="AG1593" s="66" t="str">
        <f>IF(OR(AB1593="",A1593=""),"",IF(COUNTIFS($A$6:A1593,A1593,$AB$6:AB1593,"&gt;0")=1,1,""))</f>
        <v/>
      </c>
      <c r="AH1593" s="70" t="str">
        <f>IF(AB1593="","",ROUND(N(W1593)*N(J1593)*(1-N(K1593)),2))</f>
        <v/>
      </c>
      <c r="AI1593" s="70" t="str">
        <f>IF(OR(J1593="",N(T1593)&lt;=0,V1593="Oui"),"",ROUND(N(T1593)*J1593*(1-N(K1593)),2))</f>
        <v/>
      </c>
    </row>
    <row r="1594">
      <c r="A1594" s="63" t="n"/>
      <c r="B1594" s="64" t="n"/>
      <c r="C1594" s="65" t="n"/>
      <c r="D1594" s="66" t="str">
        <f>IF(C1594="","",IFERROR(INDEX(sup_name,MATCH($C1594,sup_code,0))&amp;"","Fournisseur inconnu"))</f>
        <v/>
      </c>
      <c r="E1594" s="63" t="n"/>
      <c r="F1594" s="66" t="str">
        <f>IF(E1594="","",IFERROR(INDEX(art_des,MATCH($E1594,art_ref,0))&amp;"","Article inconnu"))</f>
        <v/>
      </c>
      <c r="G1594" s="67" t="str">
        <f>IF(E1594="","",IFERROR(INDEX(art_unit,MATCH($E1594,art_ref,0))&amp;"",""))</f>
        <v/>
      </c>
      <c r="H1594" s="68" t="n"/>
      <c r="I1594" s="69" t="n"/>
      <c r="J1594" s="70" t="str">
        <f>IF(E1594="","",IF(ISNUMBER(I1594),I1594,IFERROR(IF(ISNUMBER(INDEX(art_price,MATCH($E1594,art_ref,0))),INDEX(art_price,MATCH($E1594,art_ref,0)),""),"")))</f>
        <v/>
      </c>
      <c r="K1594" s="71" t="n"/>
      <c r="L1594" s="72" t="n"/>
      <c r="M1594" s="72" t="str">
        <f>IF(E1594="","",IF(L1594&lt;&gt;"",L1594,IFERROR(IF(ISNUMBER(INDEX(art_tva,MATCH($E1594,art_ref,0))),INDEX(art_tva,MATCH($E1594,art_ref,0)),""),"")))</f>
        <v/>
      </c>
      <c r="N1594" s="70" t="str">
        <f>IF(OR(E1594="",J1594=""),"",ROUND(N(H1594)*J1594*(1-N(K1594)),2))</f>
        <v/>
      </c>
      <c r="O1594" s="70" t="str">
        <f>IF(OR(N1594="",NOT(ISNUMBER(M1594))),"",ROUND(N1594*M1594,2))</f>
        <v/>
      </c>
      <c r="P1594" s="70" t="str">
        <f>IF(N1594="","",N1594+N(O1594))</f>
        <v/>
      </c>
      <c r="Q1594" s="64" t="n"/>
      <c r="R1594" s="73" t="str">
        <f>IF(N(Q1594)&gt;0,Q1594,IF(OR(N(B1594)=0,ISNA(MATCH($C1594,sup_code,0))),"",IF(ISNUMBER(INDEX(sup_delay,MATCH($C1594,sup_code,0))),B1594+INDEX(sup_delay,MATCH($C1594,sup_code,0)),"")))</f>
        <v/>
      </c>
      <c r="S1594" s="64" t="n"/>
      <c r="T1594" s="68" t="n"/>
      <c r="U1594" s="64" t="n"/>
      <c r="V1594" s="65" t="n"/>
      <c r="W1594" s="74" t="str">
        <f>IF(AND(A1594="",E1594=""),"",IF(V1594="Oui",0,MAX(0,ROUND(N(H1594)-N(T1594),6))))</f>
        <v/>
      </c>
      <c r="X1594" s="67" t="str">
        <f>IF(AND(A1594="",E1594=""),"",IF(V1594="Oui","Annulé",IF(AND(N(H1594)&gt;0,N(T1594)&gt;=N(H1594)),"Reçu",IF(N(S1594)=0,"Brouillon",IF(AND(ISNUMBER(R1594),R1594&lt;p_today),"En retard",IF(N(T1594)&gt;0,"Partiel","Envoyé"))))))</f>
        <v/>
      </c>
      <c r="Y1594" s="75" t="str">
        <f>IF(X1594="En retard",p_today-R1594,IF(AND(X1594="Reçu",ISNUMBER(R1594)),MAX(0,N(U1594)-R1594),""))</f>
        <v/>
      </c>
      <c r="Z1594" s="67" t="str">
        <f>IF(AND(A1594="",E1594=""),"",IF(A1594="","N° de bon manquant",IF(N(B1594)=0,"Date de commande manquante",IF(C1594="","Fournisseur manquant",IF(ISNA(MATCH($C1594,sup_code,0)),"Fournisseur inconnu",IF(E1594="","Article manquant",IF(ISNA(MATCH($E1594,art_ref,0)),"Article inconnu",IF(N(H1594)&lt;=0,"Quantité invalide",IF(J1594="","Prix manquant",IF(OR(N(K1594)&lt;0,N(K1594)&gt;=1),"Remise invalide",IF(M1594="","TVA manquante",IF(ISNA(MATCH(M1594,p_tva,0)),"Taux de TVA inconnu",IF(COUNTIFS(po_num,A1594,po_sup,"&lt;&gt;"&amp;C1594)&gt;0,"Fournisseur différent sur ce bon",IF(COUNTIFS(po_num,A1594,po_date,"&lt;&gt;"&amp;B1594)&gt;0,"Date différente sur ce bon",IF(COUNTIF(po_num,A1594)&gt;25,"Plus de 25 lignes sur ce bon",IF(R1594="","Date de livraison manquante",IF(R1594&lt;B1594,"Livraison avant la commande",IF(AND(N(T1594)&gt;0,N(S1594)=0),"Date d'envoi manquante",IF(N(T1594)&gt;N(H1594),"Reçu plus que commandé",IF(AND(N(T1594)&gt;0,N(U1594)=0),"Date de réception manquante",IF(AND(N(U1594)&gt;0,U1594&lt;B1594),"Réception avant la commande","OK")))))))))))))))))))))</f>
        <v/>
      </c>
      <c r="AA1594" s="66" t="str">
        <f>IF(AND(X1594="Reçu",ISNUMBER(R1594)),IF(N(U1594)&lt;=R1594,1,0),"")</f>
        <v/>
      </c>
      <c r="AB1594" s="76" t="str">
        <f>IF(OR(X1594="Envoyé",X1594="Partiel",X1594="En retard"),IF(ISNUMBER(R1594),R1594,100000)+ROW()/100000,"")</f>
        <v/>
      </c>
      <c r="AC1594" s="66" t="str">
        <f>IF(A1594="","",IF(COUNTIF($A$6:A1594,A1594)=1,1,""))</f>
        <v/>
      </c>
      <c r="AD1594" s="66" t="str">
        <f>IF(AC1594=1,COUNT($AC$6:AC1594),"")</f>
        <v/>
      </c>
      <c r="AE1594" s="66" t="str">
        <f>IFERROR(INDEX(po_num,MATCH(1589,po_seq,0))&amp;"","")</f>
        <v/>
      </c>
      <c r="AF1594" s="66" t="str">
        <f>IF(OR(A1594="",p_po=""),"",IF(A1594&amp;""=p_po,COUNTIF($A$6:A1594,A1594),""))</f>
        <v/>
      </c>
      <c r="AG1594" s="66" t="str">
        <f>IF(OR(AB1594="",A1594=""),"",IF(COUNTIFS($A$6:A1594,A1594,$AB$6:AB1594,"&gt;0")=1,1,""))</f>
        <v/>
      </c>
      <c r="AH1594" s="70" t="str">
        <f>IF(AB1594="","",ROUND(N(W1594)*N(J1594)*(1-N(K1594)),2))</f>
        <v/>
      </c>
      <c r="AI1594" s="70" t="str">
        <f>IF(OR(J1594="",N(T1594)&lt;=0,V1594="Oui"),"",ROUND(N(T1594)*J1594*(1-N(K1594)),2))</f>
        <v/>
      </c>
    </row>
    <row r="1595">
      <c r="A1595" s="63" t="n"/>
      <c r="B1595" s="64" t="n"/>
      <c r="C1595" s="65" t="n"/>
      <c r="D1595" s="66" t="str">
        <f>IF(C1595="","",IFERROR(INDEX(sup_name,MATCH($C1595,sup_code,0))&amp;"","Fournisseur inconnu"))</f>
        <v/>
      </c>
      <c r="E1595" s="63" t="n"/>
      <c r="F1595" s="66" t="str">
        <f>IF(E1595="","",IFERROR(INDEX(art_des,MATCH($E1595,art_ref,0))&amp;"","Article inconnu"))</f>
        <v/>
      </c>
      <c r="G1595" s="67" t="str">
        <f>IF(E1595="","",IFERROR(INDEX(art_unit,MATCH($E1595,art_ref,0))&amp;"",""))</f>
        <v/>
      </c>
      <c r="H1595" s="68" t="n"/>
      <c r="I1595" s="69" t="n"/>
      <c r="J1595" s="70" t="str">
        <f>IF(E1595="","",IF(ISNUMBER(I1595),I1595,IFERROR(IF(ISNUMBER(INDEX(art_price,MATCH($E1595,art_ref,0))),INDEX(art_price,MATCH($E1595,art_ref,0)),""),"")))</f>
        <v/>
      </c>
      <c r="K1595" s="71" t="n"/>
      <c r="L1595" s="72" t="n"/>
      <c r="M1595" s="72" t="str">
        <f>IF(E1595="","",IF(L1595&lt;&gt;"",L1595,IFERROR(IF(ISNUMBER(INDEX(art_tva,MATCH($E1595,art_ref,0))),INDEX(art_tva,MATCH($E1595,art_ref,0)),""),"")))</f>
        <v/>
      </c>
      <c r="N1595" s="70" t="str">
        <f>IF(OR(E1595="",J1595=""),"",ROUND(N(H1595)*J1595*(1-N(K1595)),2))</f>
        <v/>
      </c>
      <c r="O1595" s="70" t="str">
        <f>IF(OR(N1595="",NOT(ISNUMBER(M1595))),"",ROUND(N1595*M1595,2))</f>
        <v/>
      </c>
      <c r="P1595" s="70" t="str">
        <f>IF(N1595="","",N1595+N(O1595))</f>
        <v/>
      </c>
      <c r="Q1595" s="64" t="n"/>
      <c r="R1595" s="73" t="str">
        <f>IF(N(Q1595)&gt;0,Q1595,IF(OR(N(B1595)=0,ISNA(MATCH($C1595,sup_code,0))),"",IF(ISNUMBER(INDEX(sup_delay,MATCH($C1595,sup_code,0))),B1595+INDEX(sup_delay,MATCH($C1595,sup_code,0)),"")))</f>
        <v/>
      </c>
      <c r="S1595" s="64" t="n"/>
      <c r="T1595" s="68" t="n"/>
      <c r="U1595" s="64" t="n"/>
      <c r="V1595" s="65" t="n"/>
      <c r="W1595" s="74" t="str">
        <f>IF(AND(A1595="",E1595=""),"",IF(V1595="Oui",0,MAX(0,ROUND(N(H1595)-N(T1595),6))))</f>
        <v/>
      </c>
      <c r="X1595" s="67" t="str">
        <f>IF(AND(A1595="",E1595=""),"",IF(V1595="Oui","Annulé",IF(AND(N(H1595)&gt;0,N(T1595)&gt;=N(H1595)),"Reçu",IF(N(S1595)=0,"Brouillon",IF(AND(ISNUMBER(R1595),R1595&lt;p_today),"En retard",IF(N(T1595)&gt;0,"Partiel","Envoyé"))))))</f>
        <v/>
      </c>
      <c r="Y1595" s="75" t="str">
        <f>IF(X1595="En retard",p_today-R1595,IF(AND(X1595="Reçu",ISNUMBER(R1595)),MAX(0,N(U1595)-R1595),""))</f>
        <v/>
      </c>
      <c r="Z1595" s="67" t="str">
        <f>IF(AND(A1595="",E1595=""),"",IF(A1595="","N° de bon manquant",IF(N(B1595)=0,"Date de commande manquante",IF(C1595="","Fournisseur manquant",IF(ISNA(MATCH($C1595,sup_code,0)),"Fournisseur inconnu",IF(E1595="","Article manquant",IF(ISNA(MATCH($E1595,art_ref,0)),"Article inconnu",IF(N(H1595)&lt;=0,"Quantité invalide",IF(J1595="","Prix manquant",IF(OR(N(K1595)&lt;0,N(K1595)&gt;=1),"Remise invalide",IF(M1595="","TVA manquante",IF(ISNA(MATCH(M1595,p_tva,0)),"Taux de TVA inconnu",IF(COUNTIFS(po_num,A1595,po_sup,"&lt;&gt;"&amp;C1595)&gt;0,"Fournisseur différent sur ce bon",IF(COUNTIFS(po_num,A1595,po_date,"&lt;&gt;"&amp;B1595)&gt;0,"Date différente sur ce bon",IF(COUNTIF(po_num,A1595)&gt;25,"Plus de 25 lignes sur ce bon",IF(R1595="","Date de livraison manquante",IF(R1595&lt;B1595,"Livraison avant la commande",IF(AND(N(T1595)&gt;0,N(S1595)=0),"Date d'envoi manquante",IF(N(T1595)&gt;N(H1595),"Reçu plus que commandé",IF(AND(N(T1595)&gt;0,N(U1595)=0),"Date de réception manquante",IF(AND(N(U1595)&gt;0,U1595&lt;B1595),"Réception avant la commande","OK")))))))))))))))))))))</f>
        <v/>
      </c>
      <c r="AA1595" s="66" t="str">
        <f>IF(AND(X1595="Reçu",ISNUMBER(R1595)),IF(N(U1595)&lt;=R1595,1,0),"")</f>
        <v/>
      </c>
      <c r="AB1595" s="76" t="str">
        <f>IF(OR(X1595="Envoyé",X1595="Partiel",X1595="En retard"),IF(ISNUMBER(R1595),R1595,100000)+ROW()/100000,"")</f>
        <v/>
      </c>
      <c r="AC1595" s="66" t="str">
        <f>IF(A1595="","",IF(COUNTIF($A$6:A1595,A1595)=1,1,""))</f>
        <v/>
      </c>
      <c r="AD1595" s="66" t="str">
        <f>IF(AC1595=1,COUNT($AC$6:AC1595),"")</f>
        <v/>
      </c>
      <c r="AE1595" s="66" t="str">
        <f>IFERROR(INDEX(po_num,MATCH(1590,po_seq,0))&amp;"","")</f>
        <v/>
      </c>
      <c r="AF1595" s="66" t="str">
        <f>IF(OR(A1595="",p_po=""),"",IF(A1595&amp;""=p_po,COUNTIF($A$6:A1595,A1595),""))</f>
        <v/>
      </c>
      <c r="AG1595" s="66" t="str">
        <f>IF(OR(AB1595="",A1595=""),"",IF(COUNTIFS($A$6:A1595,A1595,$AB$6:AB1595,"&gt;0")=1,1,""))</f>
        <v/>
      </c>
      <c r="AH1595" s="70" t="str">
        <f>IF(AB1595="","",ROUND(N(W1595)*N(J1595)*(1-N(K1595)),2))</f>
        <v/>
      </c>
      <c r="AI1595" s="70" t="str">
        <f>IF(OR(J1595="",N(T1595)&lt;=0,V1595="Oui"),"",ROUND(N(T1595)*J1595*(1-N(K1595)),2))</f>
        <v/>
      </c>
    </row>
    <row r="1596">
      <c r="A1596" s="63" t="n"/>
      <c r="B1596" s="64" t="n"/>
      <c r="C1596" s="65" t="n"/>
      <c r="D1596" s="66" t="str">
        <f>IF(C1596="","",IFERROR(INDEX(sup_name,MATCH($C1596,sup_code,0))&amp;"","Fournisseur inconnu"))</f>
        <v/>
      </c>
      <c r="E1596" s="63" t="n"/>
      <c r="F1596" s="66" t="str">
        <f>IF(E1596="","",IFERROR(INDEX(art_des,MATCH($E1596,art_ref,0))&amp;"","Article inconnu"))</f>
        <v/>
      </c>
      <c r="G1596" s="67" t="str">
        <f>IF(E1596="","",IFERROR(INDEX(art_unit,MATCH($E1596,art_ref,0))&amp;"",""))</f>
        <v/>
      </c>
      <c r="H1596" s="68" t="n"/>
      <c r="I1596" s="69" t="n"/>
      <c r="J1596" s="70" t="str">
        <f>IF(E1596="","",IF(ISNUMBER(I1596),I1596,IFERROR(IF(ISNUMBER(INDEX(art_price,MATCH($E1596,art_ref,0))),INDEX(art_price,MATCH($E1596,art_ref,0)),""),"")))</f>
        <v/>
      </c>
      <c r="K1596" s="71" t="n"/>
      <c r="L1596" s="72" t="n"/>
      <c r="M1596" s="72" t="str">
        <f>IF(E1596="","",IF(L1596&lt;&gt;"",L1596,IFERROR(IF(ISNUMBER(INDEX(art_tva,MATCH($E1596,art_ref,0))),INDEX(art_tva,MATCH($E1596,art_ref,0)),""),"")))</f>
        <v/>
      </c>
      <c r="N1596" s="70" t="str">
        <f>IF(OR(E1596="",J1596=""),"",ROUND(N(H1596)*J1596*(1-N(K1596)),2))</f>
        <v/>
      </c>
      <c r="O1596" s="70" t="str">
        <f>IF(OR(N1596="",NOT(ISNUMBER(M1596))),"",ROUND(N1596*M1596,2))</f>
        <v/>
      </c>
      <c r="P1596" s="70" t="str">
        <f>IF(N1596="","",N1596+N(O1596))</f>
        <v/>
      </c>
      <c r="Q1596" s="64" t="n"/>
      <c r="R1596" s="73" t="str">
        <f>IF(N(Q1596)&gt;0,Q1596,IF(OR(N(B1596)=0,ISNA(MATCH($C1596,sup_code,0))),"",IF(ISNUMBER(INDEX(sup_delay,MATCH($C1596,sup_code,0))),B1596+INDEX(sup_delay,MATCH($C1596,sup_code,0)),"")))</f>
        <v/>
      </c>
      <c r="S1596" s="64" t="n"/>
      <c r="T1596" s="68" t="n"/>
      <c r="U1596" s="64" t="n"/>
      <c r="V1596" s="65" t="n"/>
      <c r="W1596" s="74" t="str">
        <f>IF(AND(A1596="",E1596=""),"",IF(V1596="Oui",0,MAX(0,ROUND(N(H1596)-N(T1596),6))))</f>
        <v/>
      </c>
      <c r="X1596" s="67" t="str">
        <f>IF(AND(A1596="",E1596=""),"",IF(V1596="Oui","Annulé",IF(AND(N(H1596)&gt;0,N(T1596)&gt;=N(H1596)),"Reçu",IF(N(S1596)=0,"Brouillon",IF(AND(ISNUMBER(R1596),R1596&lt;p_today),"En retard",IF(N(T1596)&gt;0,"Partiel","Envoyé"))))))</f>
        <v/>
      </c>
      <c r="Y1596" s="75" t="str">
        <f>IF(X1596="En retard",p_today-R1596,IF(AND(X1596="Reçu",ISNUMBER(R1596)),MAX(0,N(U1596)-R1596),""))</f>
        <v/>
      </c>
      <c r="Z1596" s="67" t="str">
        <f>IF(AND(A1596="",E1596=""),"",IF(A1596="","N° de bon manquant",IF(N(B1596)=0,"Date de commande manquante",IF(C1596="","Fournisseur manquant",IF(ISNA(MATCH($C1596,sup_code,0)),"Fournisseur inconnu",IF(E1596="","Article manquant",IF(ISNA(MATCH($E1596,art_ref,0)),"Article inconnu",IF(N(H1596)&lt;=0,"Quantité invalide",IF(J1596="","Prix manquant",IF(OR(N(K1596)&lt;0,N(K1596)&gt;=1),"Remise invalide",IF(M1596="","TVA manquante",IF(ISNA(MATCH(M1596,p_tva,0)),"Taux de TVA inconnu",IF(COUNTIFS(po_num,A1596,po_sup,"&lt;&gt;"&amp;C1596)&gt;0,"Fournisseur différent sur ce bon",IF(COUNTIFS(po_num,A1596,po_date,"&lt;&gt;"&amp;B1596)&gt;0,"Date différente sur ce bon",IF(COUNTIF(po_num,A1596)&gt;25,"Plus de 25 lignes sur ce bon",IF(R1596="","Date de livraison manquante",IF(R1596&lt;B1596,"Livraison avant la commande",IF(AND(N(T1596)&gt;0,N(S1596)=0),"Date d'envoi manquante",IF(N(T1596)&gt;N(H1596),"Reçu plus que commandé",IF(AND(N(T1596)&gt;0,N(U1596)=0),"Date de réception manquante",IF(AND(N(U1596)&gt;0,U1596&lt;B1596),"Réception avant la commande","OK")))))))))))))))))))))</f>
        <v/>
      </c>
      <c r="AA1596" s="66" t="str">
        <f>IF(AND(X1596="Reçu",ISNUMBER(R1596)),IF(N(U1596)&lt;=R1596,1,0),"")</f>
        <v/>
      </c>
      <c r="AB1596" s="76" t="str">
        <f>IF(OR(X1596="Envoyé",X1596="Partiel",X1596="En retard"),IF(ISNUMBER(R1596),R1596,100000)+ROW()/100000,"")</f>
        <v/>
      </c>
      <c r="AC1596" s="66" t="str">
        <f>IF(A1596="","",IF(COUNTIF($A$6:A1596,A1596)=1,1,""))</f>
        <v/>
      </c>
      <c r="AD1596" s="66" t="str">
        <f>IF(AC1596=1,COUNT($AC$6:AC1596),"")</f>
        <v/>
      </c>
      <c r="AE1596" s="66" t="str">
        <f>IFERROR(INDEX(po_num,MATCH(1591,po_seq,0))&amp;"","")</f>
        <v/>
      </c>
      <c r="AF1596" s="66" t="str">
        <f>IF(OR(A1596="",p_po=""),"",IF(A1596&amp;""=p_po,COUNTIF($A$6:A1596,A1596),""))</f>
        <v/>
      </c>
      <c r="AG1596" s="66" t="str">
        <f>IF(OR(AB1596="",A1596=""),"",IF(COUNTIFS($A$6:A1596,A1596,$AB$6:AB1596,"&gt;0")=1,1,""))</f>
        <v/>
      </c>
      <c r="AH1596" s="70" t="str">
        <f>IF(AB1596="","",ROUND(N(W1596)*N(J1596)*(1-N(K1596)),2))</f>
        <v/>
      </c>
      <c r="AI1596" s="70" t="str">
        <f>IF(OR(J1596="",N(T1596)&lt;=0,V1596="Oui"),"",ROUND(N(T1596)*J1596*(1-N(K1596)),2))</f>
        <v/>
      </c>
    </row>
    <row r="1597">
      <c r="A1597" s="63" t="n"/>
      <c r="B1597" s="64" t="n"/>
      <c r="C1597" s="65" t="n"/>
      <c r="D1597" s="66" t="str">
        <f>IF(C1597="","",IFERROR(INDEX(sup_name,MATCH($C1597,sup_code,0))&amp;"","Fournisseur inconnu"))</f>
        <v/>
      </c>
      <c r="E1597" s="63" t="n"/>
      <c r="F1597" s="66" t="str">
        <f>IF(E1597="","",IFERROR(INDEX(art_des,MATCH($E1597,art_ref,0))&amp;"","Article inconnu"))</f>
        <v/>
      </c>
      <c r="G1597" s="67" t="str">
        <f>IF(E1597="","",IFERROR(INDEX(art_unit,MATCH($E1597,art_ref,0))&amp;"",""))</f>
        <v/>
      </c>
      <c r="H1597" s="68" t="n"/>
      <c r="I1597" s="69" t="n"/>
      <c r="J1597" s="70" t="str">
        <f>IF(E1597="","",IF(ISNUMBER(I1597),I1597,IFERROR(IF(ISNUMBER(INDEX(art_price,MATCH($E1597,art_ref,0))),INDEX(art_price,MATCH($E1597,art_ref,0)),""),"")))</f>
        <v/>
      </c>
      <c r="K1597" s="71" t="n"/>
      <c r="L1597" s="72" t="n"/>
      <c r="M1597" s="72" t="str">
        <f>IF(E1597="","",IF(L1597&lt;&gt;"",L1597,IFERROR(IF(ISNUMBER(INDEX(art_tva,MATCH($E1597,art_ref,0))),INDEX(art_tva,MATCH($E1597,art_ref,0)),""),"")))</f>
        <v/>
      </c>
      <c r="N1597" s="70" t="str">
        <f>IF(OR(E1597="",J1597=""),"",ROUND(N(H1597)*J1597*(1-N(K1597)),2))</f>
        <v/>
      </c>
      <c r="O1597" s="70" t="str">
        <f>IF(OR(N1597="",NOT(ISNUMBER(M1597))),"",ROUND(N1597*M1597,2))</f>
        <v/>
      </c>
      <c r="P1597" s="70" t="str">
        <f>IF(N1597="","",N1597+N(O1597))</f>
        <v/>
      </c>
      <c r="Q1597" s="64" t="n"/>
      <c r="R1597" s="73" t="str">
        <f>IF(N(Q1597)&gt;0,Q1597,IF(OR(N(B1597)=0,ISNA(MATCH($C1597,sup_code,0))),"",IF(ISNUMBER(INDEX(sup_delay,MATCH($C1597,sup_code,0))),B1597+INDEX(sup_delay,MATCH($C1597,sup_code,0)),"")))</f>
        <v/>
      </c>
      <c r="S1597" s="64" t="n"/>
      <c r="T1597" s="68" t="n"/>
      <c r="U1597" s="64" t="n"/>
      <c r="V1597" s="65" t="n"/>
      <c r="W1597" s="74" t="str">
        <f>IF(AND(A1597="",E1597=""),"",IF(V1597="Oui",0,MAX(0,ROUND(N(H1597)-N(T1597),6))))</f>
        <v/>
      </c>
      <c r="X1597" s="67" t="str">
        <f>IF(AND(A1597="",E1597=""),"",IF(V1597="Oui","Annulé",IF(AND(N(H1597)&gt;0,N(T1597)&gt;=N(H1597)),"Reçu",IF(N(S1597)=0,"Brouillon",IF(AND(ISNUMBER(R1597),R1597&lt;p_today),"En retard",IF(N(T1597)&gt;0,"Partiel","Envoyé"))))))</f>
        <v/>
      </c>
      <c r="Y1597" s="75" t="str">
        <f>IF(X1597="En retard",p_today-R1597,IF(AND(X1597="Reçu",ISNUMBER(R1597)),MAX(0,N(U1597)-R1597),""))</f>
        <v/>
      </c>
      <c r="Z1597" s="67" t="str">
        <f>IF(AND(A1597="",E1597=""),"",IF(A1597="","N° de bon manquant",IF(N(B1597)=0,"Date de commande manquante",IF(C1597="","Fournisseur manquant",IF(ISNA(MATCH($C1597,sup_code,0)),"Fournisseur inconnu",IF(E1597="","Article manquant",IF(ISNA(MATCH($E1597,art_ref,0)),"Article inconnu",IF(N(H1597)&lt;=0,"Quantité invalide",IF(J1597="","Prix manquant",IF(OR(N(K1597)&lt;0,N(K1597)&gt;=1),"Remise invalide",IF(M1597="","TVA manquante",IF(ISNA(MATCH(M1597,p_tva,0)),"Taux de TVA inconnu",IF(COUNTIFS(po_num,A1597,po_sup,"&lt;&gt;"&amp;C1597)&gt;0,"Fournisseur différent sur ce bon",IF(COUNTIFS(po_num,A1597,po_date,"&lt;&gt;"&amp;B1597)&gt;0,"Date différente sur ce bon",IF(COUNTIF(po_num,A1597)&gt;25,"Plus de 25 lignes sur ce bon",IF(R1597="","Date de livraison manquante",IF(R1597&lt;B1597,"Livraison avant la commande",IF(AND(N(T1597)&gt;0,N(S1597)=0),"Date d'envoi manquante",IF(N(T1597)&gt;N(H1597),"Reçu plus que commandé",IF(AND(N(T1597)&gt;0,N(U1597)=0),"Date de réception manquante",IF(AND(N(U1597)&gt;0,U1597&lt;B1597),"Réception avant la commande","OK")))))))))))))))))))))</f>
        <v/>
      </c>
      <c r="AA1597" s="66" t="str">
        <f>IF(AND(X1597="Reçu",ISNUMBER(R1597)),IF(N(U1597)&lt;=R1597,1,0),"")</f>
        <v/>
      </c>
      <c r="AB1597" s="76" t="str">
        <f>IF(OR(X1597="Envoyé",X1597="Partiel",X1597="En retard"),IF(ISNUMBER(R1597),R1597,100000)+ROW()/100000,"")</f>
        <v/>
      </c>
      <c r="AC1597" s="66" t="str">
        <f>IF(A1597="","",IF(COUNTIF($A$6:A1597,A1597)=1,1,""))</f>
        <v/>
      </c>
      <c r="AD1597" s="66" t="str">
        <f>IF(AC1597=1,COUNT($AC$6:AC1597),"")</f>
        <v/>
      </c>
      <c r="AE1597" s="66" t="str">
        <f>IFERROR(INDEX(po_num,MATCH(1592,po_seq,0))&amp;"","")</f>
        <v/>
      </c>
      <c r="AF1597" s="66" t="str">
        <f>IF(OR(A1597="",p_po=""),"",IF(A1597&amp;""=p_po,COUNTIF($A$6:A1597,A1597),""))</f>
        <v/>
      </c>
      <c r="AG1597" s="66" t="str">
        <f>IF(OR(AB1597="",A1597=""),"",IF(COUNTIFS($A$6:A1597,A1597,$AB$6:AB1597,"&gt;0")=1,1,""))</f>
        <v/>
      </c>
      <c r="AH1597" s="70" t="str">
        <f>IF(AB1597="","",ROUND(N(W1597)*N(J1597)*(1-N(K1597)),2))</f>
        <v/>
      </c>
      <c r="AI1597" s="70" t="str">
        <f>IF(OR(J1597="",N(T1597)&lt;=0,V1597="Oui"),"",ROUND(N(T1597)*J1597*(1-N(K1597)),2))</f>
        <v/>
      </c>
    </row>
    <row r="1598">
      <c r="A1598" s="63" t="n"/>
      <c r="B1598" s="64" t="n"/>
      <c r="C1598" s="65" t="n"/>
      <c r="D1598" s="66" t="str">
        <f>IF(C1598="","",IFERROR(INDEX(sup_name,MATCH($C1598,sup_code,0))&amp;"","Fournisseur inconnu"))</f>
        <v/>
      </c>
      <c r="E1598" s="63" t="n"/>
      <c r="F1598" s="66" t="str">
        <f>IF(E1598="","",IFERROR(INDEX(art_des,MATCH($E1598,art_ref,0))&amp;"","Article inconnu"))</f>
        <v/>
      </c>
      <c r="G1598" s="67" t="str">
        <f>IF(E1598="","",IFERROR(INDEX(art_unit,MATCH($E1598,art_ref,0))&amp;"",""))</f>
        <v/>
      </c>
      <c r="H1598" s="68" t="n"/>
      <c r="I1598" s="69" t="n"/>
      <c r="J1598" s="70" t="str">
        <f>IF(E1598="","",IF(ISNUMBER(I1598),I1598,IFERROR(IF(ISNUMBER(INDEX(art_price,MATCH($E1598,art_ref,0))),INDEX(art_price,MATCH($E1598,art_ref,0)),""),"")))</f>
        <v/>
      </c>
      <c r="K1598" s="71" t="n"/>
      <c r="L1598" s="72" t="n"/>
      <c r="M1598" s="72" t="str">
        <f>IF(E1598="","",IF(L1598&lt;&gt;"",L1598,IFERROR(IF(ISNUMBER(INDEX(art_tva,MATCH($E1598,art_ref,0))),INDEX(art_tva,MATCH($E1598,art_ref,0)),""),"")))</f>
        <v/>
      </c>
      <c r="N1598" s="70" t="str">
        <f>IF(OR(E1598="",J1598=""),"",ROUND(N(H1598)*J1598*(1-N(K1598)),2))</f>
        <v/>
      </c>
      <c r="O1598" s="70" t="str">
        <f>IF(OR(N1598="",NOT(ISNUMBER(M1598))),"",ROUND(N1598*M1598,2))</f>
        <v/>
      </c>
      <c r="P1598" s="70" t="str">
        <f>IF(N1598="","",N1598+N(O1598))</f>
        <v/>
      </c>
      <c r="Q1598" s="64" t="n"/>
      <c r="R1598" s="73" t="str">
        <f>IF(N(Q1598)&gt;0,Q1598,IF(OR(N(B1598)=0,ISNA(MATCH($C1598,sup_code,0))),"",IF(ISNUMBER(INDEX(sup_delay,MATCH($C1598,sup_code,0))),B1598+INDEX(sup_delay,MATCH($C1598,sup_code,0)),"")))</f>
        <v/>
      </c>
      <c r="S1598" s="64" t="n"/>
      <c r="T1598" s="68" t="n"/>
      <c r="U1598" s="64" t="n"/>
      <c r="V1598" s="65" t="n"/>
      <c r="W1598" s="74" t="str">
        <f>IF(AND(A1598="",E1598=""),"",IF(V1598="Oui",0,MAX(0,ROUND(N(H1598)-N(T1598),6))))</f>
        <v/>
      </c>
      <c r="X1598" s="67" t="str">
        <f>IF(AND(A1598="",E1598=""),"",IF(V1598="Oui","Annulé",IF(AND(N(H1598)&gt;0,N(T1598)&gt;=N(H1598)),"Reçu",IF(N(S1598)=0,"Brouillon",IF(AND(ISNUMBER(R1598),R1598&lt;p_today),"En retard",IF(N(T1598)&gt;0,"Partiel","Envoyé"))))))</f>
        <v/>
      </c>
      <c r="Y1598" s="75" t="str">
        <f>IF(X1598="En retard",p_today-R1598,IF(AND(X1598="Reçu",ISNUMBER(R1598)),MAX(0,N(U1598)-R1598),""))</f>
        <v/>
      </c>
      <c r="Z1598" s="67" t="str">
        <f>IF(AND(A1598="",E1598=""),"",IF(A1598="","N° de bon manquant",IF(N(B1598)=0,"Date de commande manquante",IF(C1598="","Fournisseur manquant",IF(ISNA(MATCH($C1598,sup_code,0)),"Fournisseur inconnu",IF(E1598="","Article manquant",IF(ISNA(MATCH($E1598,art_ref,0)),"Article inconnu",IF(N(H1598)&lt;=0,"Quantité invalide",IF(J1598="","Prix manquant",IF(OR(N(K1598)&lt;0,N(K1598)&gt;=1),"Remise invalide",IF(M1598="","TVA manquante",IF(ISNA(MATCH(M1598,p_tva,0)),"Taux de TVA inconnu",IF(COUNTIFS(po_num,A1598,po_sup,"&lt;&gt;"&amp;C1598)&gt;0,"Fournisseur différent sur ce bon",IF(COUNTIFS(po_num,A1598,po_date,"&lt;&gt;"&amp;B1598)&gt;0,"Date différente sur ce bon",IF(COUNTIF(po_num,A1598)&gt;25,"Plus de 25 lignes sur ce bon",IF(R1598="","Date de livraison manquante",IF(R1598&lt;B1598,"Livraison avant la commande",IF(AND(N(T1598)&gt;0,N(S1598)=0),"Date d'envoi manquante",IF(N(T1598)&gt;N(H1598),"Reçu plus que commandé",IF(AND(N(T1598)&gt;0,N(U1598)=0),"Date de réception manquante",IF(AND(N(U1598)&gt;0,U1598&lt;B1598),"Réception avant la commande","OK")))))))))))))))))))))</f>
        <v/>
      </c>
      <c r="AA1598" s="66" t="str">
        <f>IF(AND(X1598="Reçu",ISNUMBER(R1598)),IF(N(U1598)&lt;=R1598,1,0),"")</f>
        <v/>
      </c>
      <c r="AB1598" s="76" t="str">
        <f>IF(OR(X1598="Envoyé",X1598="Partiel",X1598="En retard"),IF(ISNUMBER(R1598),R1598,100000)+ROW()/100000,"")</f>
        <v/>
      </c>
      <c r="AC1598" s="66" t="str">
        <f>IF(A1598="","",IF(COUNTIF($A$6:A1598,A1598)=1,1,""))</f>
        <v/>
      </c>
      <c r="AD1598" s="66" t="str">
        <f>IF(AC1598=1,COUNT($AC$6:AC1598),"")</f>
        <v/>
      </c>
      <c r="AE1598" s="66" t="str">
        <f>IFERROR(INDEX(po_num,MATCH(1593,po_seq,0))&amp;"","")</f>
        <v/>
      </c>
      <c r="AF1598" s="66" t="str">
        <f>IF(OR(A1598="",p_po=""),"",IF(A1598&amp;""=p_po,COUNTIF($A$6:A1598,A1598),""))</f>
        <v/>
      </c>
      <c r="AG1598" s="66" t="str">
        <f>IF(OR(AB1598="",A1598=""),"",IF(COUNTIFS($A$6:A1598,A1598,$AB$6:AB1598,"&gt;0")=1,1,""))</f>
        <v/>
      </c>
      <c r="AH1598" s="70" t="str">
        <f>IF(AB1598="","",ROUND(N(W1598)*N(J1598)*(1-N(K1598)),2))</f>
        <v/>
      </c>
      <c r="AI1598" s="70" t="str">
        <f>IF(OR(J1598="",N(T1598)&lt;=0,V1598="Oui"),"",ROUND(N(T1598)*J1598*(1-N(K1598)),2))</f>
        <v/>
      </c>
    </row>
    <row r="1599">
      <c r="A1599" s="63" t="n"/>
      <c r="B1599" s="64" t="n"/>
      <c r="C1599" s="65" t="n"/>
      <c r="D1599" s="66" t="str">
        <f>IF(C1599="","",IFERROR(INDEX(sup_name,MATCH($C1599,sup_code,0))&amp;"","Fournisseur inconnu"))</f>
        <v/>
      </c>
      <c r="E1599" s="63" t="n"/>
      <c r="F1599" s="66" t="str">
        <f>IF(E1599="","",IFERROR(INDEX(art_des,MATCH($E1599,art_ref,0))&amp;"","Article inconnu"))</f>
        <v/>
      </c>
      <c r="G1599" s="67" t="str">
        <f>IF(E1599="","",IFERROR(INDEX(art_unit,MATCH($E1599,art_ref,0))&amp;"",""))</f>
        <v/>
      </c>
      <c r="H1599" s="68" t="n"/>
      <c r="I1599" s="69" t="n"/>
      <c r="J1599" s="70" t="str">
        <f>IF(E1599="","",IF(ISNUMBER(I1599),I1599,IFERROR(IF(ISNUMBER(INDEX(art_price,MATCH($E1599,art_ref,0))),INDEX(art_price,MATCH($E1599,art_ref,0)),""),"")))</f>
        <v/>
      </c>
      <c r="K1599" s="71" t="n"/>
      <c r="L1599" s="72" t="n"/>
      <c r="M1599" s="72" t="str">
        <f>IF(E1599="","",IF(L1599&lt;&gt;"",L1599,IFERROR(IF(ISNUMBER(INDEX(art_tva,MATCH($E1599,art_ref,0))),INDEX(art_tva,MATCH($E1599,art_ref,0)),""),"")))</f>
        <v/>
      </c>
      <c r="N1599" s="70" t="str">
        <f>IF(OR(E1599="",J1599=""),"",ROUND(N(H1599)*J1599*(1-N(K1599)),2))</f>
        <v/>
      </c>
      <c r="O1599" s="70" t="str">
        <f>IF(OR(N1599="",NOT(ISNUMBER(M1599))),"",ROUND(N1599*M1599,2))</f>
        <v/>
      </c>
      <c r="P1599" s="70" t="str">
        <f>IF(N1599="","",N1599+N(O1599))</f>
        <v/>
      </c>
      <c r="Q1599" s="64" t="n"/>
      <c r="R1599" s="73" t="str">
        <f>IF(N(Q1599)&gt;0,Q1599,IF(OR(N(B1599)=0,ISNA(MATCH($C1599,sup_code,0))),"",IF(ISNUMBER(INDEX(sup_delay,MATCH($C1599,sup_code,0))),B1599+INDEX(sup_delay,MATCH($C1599,sup_code,0)),"")))</f>
        <v/>
      </c>
      <c r="S1599" s="64" t="n"/>
      <c r="T1599" s="68" t="n"/>
      <c r="U1599" s="64" t="n"/>
      <c r="V1599" s="65" t="n"/>
      <c r="W1599" s="74" t="str">
        <f>IF(AND(A1599="",E1599=""),"",IF(V1599="Oui",0,MAX(0,ROUND(N(H1599)-N(T1599),6))))</f>
        <v/>
      </c>
      <c r="X1599" s="67" t="str">
        <f>IF(AND(A1599="",E1599=""),"",IF(V1599="Oui","Annulé",IF(AND(N(H1599)&gt;0,N(T1599)&gt;=N(H1599)),"Reçu",IF(N(S1599)=0,"Brouillon",IF(AND(ISNUMBER(R1599),R1599&lt;p_today),"En retard",IF(N(T1599)&gt;0,"Partiel","Envoyé"))))))</f>
        <v/>
      </c>
      <c r="Y1599" s="75" t="str">
        <f>IF(X1599="En retard",p_today-R1599,IF(AND(X1599="Reçu",ISNUMBER(R1599)),MAX(0,N(U1599)-R1599),""))</f>
        <v/>
      </c>
      <c r="Z1599" s="67" t="str">
        <f>IF(AND(A1599="",E1599=""),"",IF(A1599="","N° de bon manquant",IF(N(B1599)=0,"Date de commande manquante",IF(C1599="","Fournisseur manquant",IF(ISNA(MATCH($C1599,sup_code,0)),"Fournisseur inconnu",IF(E1599="","Article manquant",IF(ISNA(MATCH($E1599,art_ref,0)),"Article inconnu",IF(N(H1599)&lt;=0,"Quantité invalide",IF(J1599="","Prix manquant",IF(OR(N(K1599)&lt;0,N(K1599)&gt;=1),"Remise invalide",IF(M1599="","TVA manquante",IF(ISNA(MATCH(M1599,p_tva,0)),"Taux de TVA inconnu",IF(COUNTIFS(po_num,A1599,po_sup,"&lt;&gt;"&amp;C1599)&gt;0,"Fournisseur différent sur ce bon",IF(COUNTIFS(po_num,A1599,po_date,"&lt;&gt;"&amp;B1599)&gt;0,"Date différente sur ce bon",IF(COUNTIF(po_num,A1599)&gt;25,"Plus de 25 lignes sur ce bon",IF(R1599="","Date de livraison manquante",IF(R1599&lt;B1599,"Livraison avant la commande",IF(AND(N(T1599)&gt;0,N(S1599)=0),"Date d'envoi manquante",IF(N(T1599)&gt;N(H1599),"Reçu plus que commandé",IF(AND(N(T1599)&gt;0,N(U1599)=0),"Date de réception manquante",IF(AND(N(U1599)&gt;0,U1599&lt;B1599),"Réception avant la commande","OK")))))))))))))))))))))</f>
        <v/>
      </c>
      <c r="AA1599" s="66" t="str">
        <f>IF(AND(X1599="Reçu",ISNUMBER(R1599)),IF(N(U1599)&lt;=R1599,1,0),"")</f>
        <v/>
      </c>
      <c r="AB1599" s="76" t="str">
        <f>IF(OR(X1599="Envoyé",X1599="Partiel",X1599="En retard"),IF(ISNUMBER(R1599),R1599,100000)+ROW()/100000,"")</f>
        <v/>
      </c>
      <c r="AC1599" s="66" t="str">
        <f>IF(A1599="","",IF(COUNTIF($A$6:A1599,A1599)=1,1,""))</f>
        <v/>
      </c>
      <c r="AD1599" s="66" t="str">
        <f>IF(AC1599=1,COUNT($AC$6:AC1599),"")</f>
        <v/>
      </c>
      <c r="AE1599" s="66" t="str">
        <f>IFERROR(INDEX(po_num,MATCH(1594,po_seq,0))&amp;"","")</f>
        <v/>
      </c>
      <c r="AF1599" s="66" t="str">
        <f>IF(OR(A1599="",p_po=""),"",IF(A1599&amp;""=p_po,COUNTIF($A$6:A1599,A1599),""))</f>
        <v/>
      </c>
      <c r="AG1599" s="66" t="str">
        <f>IF(OR(AB1599="",A1599=""),"",IF(COUNTIFS($A$6:A1599,A1599,$AB$6:AB1599,"&gt;0")=1,1,""))</f>
        <v/>
      </c>
      <c r="AH1599" s="70" t="str">
        <f>IF(AB1599="","",ROUND(N(W1599)*N(J1599)*(1-N(K1599)),2))</f>
        <v/>
      </c>
      <c r="AI1599" s="70" t="str">
        <f>IF(OR(J1599="",N(T1599)&lt;=0,V1599="Oui"),"",ROUND(N(T1599)*J1599*(1-N(K1599)),2))</f>
        <v/>
      </c>
    </row>
    <row r="1600">
      <c r="A1600" s="63" t="n"/>
      <c r="B1600" s="64" t="n"/>
      <c r="C1600" s="65" t="n"/>
      <c r="D1600" s="66" t="str">
        <f>IF(C1600="","",IFERROR(INDEX(sup_name,MATCH($C1600,sup_code,0))&amp;"","Fournisseur inconnu"))</f>
        <v/>
      </c>
      <c r="E1600" s="63" t="n"/>
      <c r="F1600" s="66" t="str">
        <f>IF(E1600="","",IFERROR(INDEX(art_des,MATCH($E1600,art_ref,0))&amp;"","Article inconnu"))</f>
        <v/>
      </c>
      <c r="G1600" s="67" t="str">
        <f>IF(E1600="","",IFERROR(INDEX(art_unit,MATCH($E1600,art_ref,0))&amp;"",""))</f>
        <v/>
      </c>
      <c r="H1600" s="68" t="n"/>
      <c r="I1600" s="69" t="n"/>
      <c r="J1600" s="70" t="str">
        <f>IF(E1600="","",IF(ISNUMBER(I1600),I1600,IFERROR(IF(ISNUMBER(INDEX(art_price,MATCH($E1600,art_ref,0))),INDEX(art_price,MATCH($E1600,art_ref,0)),""),"")))</f>
        <v/>
      </c>
      <c r="K1600" s="71" t="n"/>
      <c r="L1600" s="72" t="n"/>
      <c r="M1600" s="72" t="str">
        <f>IF(E1600="","",IF(L1600&lt;&gt;"",L1600,IFERROR(IF(ISNUMBER(INDEX(art_tva,MATCH($E1600,art_ref,0))),INDEX(art_tva,MATCH($E1600,art_ref,0)),""),"")))</f>
        <v/>
      </c>
      <c r="N1600" s="70" t="str">
        <f>IF(OR(E1600="",J1600=""),"",ROUND(N(H1600)*J1600*(1-N(K1600)),2))</f>
        <v/>
      </c>
      <c r="O1600" s="70" t="str">
        <f>IF(OR(N1600="",NOT(ISNUMBER(M1600))),"",ROUND(N1600*M1600,2))</f>
        <v/>
      </c>
      <c r="P1600" s="70" t="str">
        <f>IF(N1600="","",N1600+N(O1600))</f>
        <v/>
      </c>
      <c r="Q1600" s="64" t="n"/>
      <c r="R1600" s="73" t="str">
        <f>IF(N(Q1600)&gt;0,Q1600,IF(OR(N(B1600)=0,ISNA(MATCH($C1600,sup_code,0))),"",IF(ISNUMBER(INDEX(sup_delay,MATCH($C1600,sup_code,0))),B1600+INDEX(sup_delay,MATCH($C1600,sup_code,0)),"")))</f>
        <v/>
      </c>
      <c r="S1600" s="64" t="n"/>
      <c r="T1600" s="68" t="n"/>
      <c r="U1600" s="64" t="n"/>
      <c r="V1600" s="65" t="n"/>
      <c r="W1600" s="74" t="str">
        <f>IF(AND(A1600="",E1600=""),"",IF(V1600="Oui",0,MAX(0,ROUND(N(H1600)-N(T1600),6))))</f>
        <v/>
      </c>
      <c r="X1600" s="67" t="str">
        <f>IF(AND(A1600="",E1600=""),"",IF(V1600="Oui","Annulé",IF(AND(N(H1600)&gt;0,N(T1600)&gt;=N(H1600)),"Reçu",IF(N(S1600)=0,"Brouillon",IF(AND(ISNUMBER(R1600),R1600&lt;p_today),"En retard",IF(N(T1600)&gt;0,"Partiel","Envoyé"))))))</f>
        <v/>
      </c>
      <c r="Y1600" s="75" t="str">
        <f>IF(X1600="En retard",p_today-R1600,IF(AND(X1600="Reçu",ISNUMBER(R1600)),MAX(0,N(U1600)-R1600),""))</f>
        <v/>
      </c>
      <c r="Z1600" s="67" t="str">
        <f>IF(AND(A1600="",E1600=""),"",IF(A1600="","N° de bon manquant",IF(N(B1600)=0,"Date de commande manquante",IF(C1600="","Fournisseur manquant",IF(ISNA(MATCH($C1600,sup_code,0)),"Fournisseur inconnu",IF(E1600="","Article manquant",IF(ISNA(MATCH($E1600,art_ref,0)),"Article inconnu",IF(N(H1600)&lt;=0,"Quantité invalide",IF(J1600="","Prix manquant",IF(OR(N(K1600)&lt;0,N(K1600)&gt;=1),"Remise invalide",IF(M1600="","TVA manquante",IF(ISNA(MATCH(M1600,p_tva,0)),"Taux de TVA inconnu",IF(COUNTIFS(po_num,A1600,po_sup,"&lt;&gt;"&amp;C1600)&gt;0,"Fournisseur différent sur ce bon",IF(COUNTIFS(po_num,A1600,po_date,"&lt;&gt;"&amp;B1600)&gt;0,"Date différente sur ce bon",IF(COUNTIF(po_num,A1600)&gt;25,"Plus de 25 lignes sur ce bon",IF(R1600="","Date de livraison manquante",IF(R1600&lt;B1600,"Livraison avant la commande",IF(AND(N(T1600)&gt;0,N(S1600)=0),"Date d'envoi manquante",IF(N(T1600)&gt;N(H1600),"Reçu plus que commandé",IF(AND(N(T1600)&gt;0,N(U1600)=0),"Date de réception manquante",IF(AND(N(U1600)&gt;0,U1600&lt;B1600),"Réception avant la commande","OK")))))))))))))))))))))</f>
        <v/>
      </c>
      <c r="AA1600" s="66" t="str">
        <f>IF(AND(X1600="Reçu",ISNUMBER(R1600)),IF(N(U1600)&lt;=R1600,1,0),"")</f>
        <v/>
      </c>
      <c r="AB1600" s="76" t="str">
        <f>IF(OR(X1600="Envoyé",X1600="Partiel",X1600="En retard"),IF(ISNUMBER(R1600),R1600,100000)+ROW()/100000,"")</f>
        <v/>
      </c>
      <c r="AC1600" s="66" t="str">
        <f>IF(A1600="","",IF(COUNTIF($A$6:A1600,A1600)=1,1,""))</f>
        <v/>
      </c>
      <c r="AD1600" s="66" t="str">
        <f>IF(AC1600=1,COUNT($AC$6:AC1600),"")</f>
        <v/>
      </c>
      <c r="AE1600" s="66" t="str">
        <f>IFERROR(INDEX(po_num,MATCH(1595,po_seq,0))&amp;"","")</f>
        <v/>
      </c>
      <c r="AF1600" s="66" t="str">
        <f>IF(OR(A1600="",p_po=""),"",IF(A1600&amp;""=p_po,COUNTIF($A$6:A1600,A1600),""))</f>
        <v/>
      </c>
      <c r="AG1600" s="66" t="str">
        <f>IF(OR(AB1600="",A1600=""),"",IF(COUNTIFS($A$6:A1600,A1600,$AB$6:AB1600,"&gt;0")=1,1,""))</f>
        <v/>
      </c>
      <c r="AH1600" s="70" t="str">
        <f>IF(AB1600="","",ROUND(N(W1600)*N(J1600)*(1-N(K1600)),2))</f>
        <v/>
      </c>
      <c r="AI1600" s="70" t="str">
        <f>IF(OR(J1600="",N(T1600)&lt;=0,V1600="Oui"),"",ROUND(N(T1600)*J1600*(1-N(K1600)),2))</f>
        <v/>
      </c>
    </row>
    <row r="1601">
      <c r="A1601" s="63" t="n"/>
      <c r="B1601" s="64" t="n"/>
      <c r="C1601" s="65" t="n"/>
      <c r="D1601" s="66" t="str">
        <f>IF(C1601="","",IFERROR(INDEX(sup_name,MATCH($C1601,sup_code,0))&amp;"","Fournisseur inconnu"))</f>
        <v/>
      </c>
      <c r="E1601" s="63" t="n"/>
      <c r="F1601" s="66" t="str">
        <f>IF(E1601="","",IFERROR(INDEX(art_des,MATCH($E1601,art_ref,0))&amp;"","Article inconnu"))</f>
        <v/>
      </c>
      <c r="G1601" s="67" t="str">
        <f>IF(E1601="","",IFERROR(INDEX(art_unit,MATCH($E1601,art_ref,0))&amp;"",""))</f>
        <v/>
      </c>
      <c r="H1601" s="68" t="n"/>
      <c r="I1601" s="69" t="n"/>
      <c r="J1601" s="70" t="str">
        <f>IF(E1601="","",IF(ISNUMBER(I1601),I1601,IFERROR(IF(ISNUMBER(INDEX(art_price,MATCH($E1601,art_ref,0))),INDEX(art_price,MATCH($E1601,art_ref,0)),""),"")))</f>
        <v/>
      </c>
      <c r="K1601" s="71" t="n"/>
      <c r="L1601" s="72" t="n"/>
      <c r="M1601" s="72" t="str">
        <f>IF(E1601="","",IF(L1601&lt;&gt;"",L1601,IFERROR(IF(ISNUMBER(INDEX(art_tva,MATCH($E1601,art_ref,0))),INDEX(art_tva,MATCH($E1601,art_ref,0)),""),"")))</f>
        <v/>
      </c>
      <c r="N1601" s="70" t="str">
        <f>IF(OR(E1601="",J1601=""),"",ROUND(N(H1601)*J1601*(1-N(K1601)),2))</f>
        <v/>
      </c>
      <c r="O1601" s="70" t="str">
        <f>IF(OR(N1601="",NOT(ISNUMBER(M1601))),"",ROUND(N1601*M1601,2))</f>
        <v/>
      </c>
      <c r="P1601" s="70" t="str">
        <f>IF(N1601="","",N1601+N(O1601))</f>
        <v/>
      </c>
      <c r="Q1601" s="64" t="n"/>
      <c r="R1601" s="73" t="str">
        <f>IF(N(Q1601)&gt;0,Q1601,IF(OR(N(B1601)=0,ISNA(MATCH($C1601,sup_code,0))),"",IF(ISNUMBER(INDEX(sup_delay,MATCH($C1601,sup_code,0))),B1601+INDEX(sup_delay,MATCH($C1601,sup_code,0)),"")))</f>
        <v/>
      </c>
      <c r="S1601" s="64" t="n"/>
      <c r="T1601" s="68" t="n"/>
      <c r="U1601" s="64" t="n"/>
      <c r="V1601" s="65" t="n"/>
      <c r="W1601" s="74" t="str">
        <f>IF(AND(A1601="",E1601=""),"",IF(V1601="Oui",0,MAX(0,ROUND(N(H1601)-N(T1601),6))))</f>
        <v/>
      </c>
      <c r="X1601" s="67" t="str">
        <f>IF(AND(A1601="",E1601=""),"",IF(V1601="Oui","Annulé",IF(AND(N(H1601)&gt;0,N(T1601)&gt;=N(H1601)),"Reçu",IF(N(S1601)=0,"Brouillon",IF(AND(ISNUMBER(R1601),R1601&lt;p_today),"En retard",IF(N(T1601)&gt;0,"Partiel","Envoyé"))))))</f>
        <v/>
      </c>
      <c r="Y1601" s="75" t="str">
        <f>IF(X1601="En retard",p_today-R1601,IF(AND(X1601="Reçu",ISNUMBER(R1601)),MAX(0,N(U1601)-R1601),""))</f>
        <v/>
      </c>
      <c r="Z1601" s="67" t="str">
        <f>IF(AND(A1601="",E1601=""),"",IF(A1601="","N° de bon manquant",IF(N(B1601)=0,"Date de commande manquante",IF(C1601="","Fournisseur manquant",IF(ISNA(MATCH($C1601,sup_code,0)),"Fournisseur inconnu",IF(E1601="","Article manquant",IF(ISNA(MATCH($E1601,art_ref,0)),"Article inconnu",IF(N(H1601)&lt;=0,"Quantité invalide",IF(J1601="","Prix manquant",IF(OR(N(K1601)&lt;0,N(K1601)&gt;=1),"Remise invalide",IF(M1601="","TVA manquante",IF(ISNA(MATCH(M1601,p_tva,0)),"Taux de TVA inconnu",IF(COUNTIFS(po_num,A1601,po_sup,"&lt;&gt;"&amp;C1601)&gt;0,"Fournisseur différent sur ce bon",IF(COUNTIFS(po_num,A1601,po_date,"&lt;&gt;"&amp;B1601)&gt;0,"Date différente sur ce bon",IF(COUNTIF(po_num,A1601)&gt;25,"Plus de 25 lignes sur ce bon",IF(R1601="","Date de livraison manquante",IF(R1601&lt;B1601,"Livraison avant la commande",IF(AND(N(T1601)&gt;0,N(S1601)=0),"Date d'envoi manquante",IF(N(T1601)&gt;N(H1601),"Reçu plus que commandé",IF(AND(N(T1601)&gt;0,N(U1601)=0),"Date de réception manquante",IF(AND(N(U1601)&gt;0,U1601&lt;B1601),"Réception avant la commande","OK")))))))))))))))))))))</f>
        <v/>
      </c>
      <c r="AA1601" s="66" t="str">
        <f>IF(AND(X1601="Reçu",ISNUMBER(R1601)),IF(N(U1601)&lt;=R1601,1,0),"")</f>
        <v/>
      </c>
      <c r="AB1601" s="76" t="str">
        <f>IF(OR(X1601="Envoyé",X1601="Partiel",X1601="En retard"),IF(ISNUMBER(R1601),R1601,100000)+ROW()/100000,"")</f>
        <v/>
      </c>
      <c r="AC1601" s="66" t="str">
        <f>IF(A1601="","",IF(COUNTIF($A$6:A1601,A1601)=1,1,""))</f>
        <v/>
      </c>
      <c r="AD1601" s="66" t="str">
        <f>IF(AC1601=1,COUNT($AC$6:AC1601),"")</f>
        <v/>
      </c>
      <c r="AE1601" s="66" t="str">
        <f>IFERROR(INDEX(po_num,MATCH(1596,po_seq,0))&amp;"","")</f>
        <v/>
      </c>
      <c r="AF1601" s="66" t="str">
        <f>IF(OR(A1601="",p_po=""),"",IF(A1601&amp;""=p_po,COUNTIF($A$6:A1601,A1601),""))</f>
        <v/>
      </c>
      <c r="AG1601" s="66" t="str">
        <f>IF(OR(AB1601="",A1601=""),"",IF(COUNTIFS($A$6:A1601,A1601,$AB$6:AB1601,"&gt;0")=1,1,""))</f>
        <v/>
      </c>
      <c r="AH1601" s="70" t="str">
        <f>IF(AB1601="","",ROUND(N(W1601)*N(J1601)*(1-N(K1601)),2))</f>
        <v/>
      </c>
      <c r="AI1601" s="70" t="str">
        <f>IF(OR(J1601="",N(T1601)&lt;=0,V1601="Oui"),"",ROUND(N(T1601)*J1601*(1-N(K1601)),2))</f>
        <v/>
      </c>
    </row>
    <row r="1602">
      <c r="A1602" s="63" t="n"/>
      <c r="B1602" s="64" t="n"/>
      <c r="C1602" s="65" t="n"/>
      <c r="D1602" s="66" t="str">
        <f>IF(C1602="","",IFERROR(INDEX(sup_name,MATCH($C1602,sup_code,0))&amp;"","Fournisseur inconnu"))</f>
        <v/>
      </c>
      <c r="E1602" s="63" t="n"/>
      <c r="F1602" s="66" t="str">
        <f>IF(E1602="","",IFERROR(INDEX(art_des,MATCH($E1602,art_ref,0))&amp;"","Article inconnu"))</f>
        <v/>
      </c>
      <c r="G1602" s="67" t="str">
        <f>IF(E1602="","",IFERROR(INDEX(art_unit,MATCH($E1602,art_ref,0))&amp;"",""))</f>
        <v/>
      </c>
      <c r="H1602" s="68" t="n"/>
      <c r="I1602" s="69" t="n"/>
      <c r="J1602" s="70" t="str">
        <f>IF(E1602="","",IF(ISNUMBER(I1602),I1602,IFERROR(IF(ISNUMBER(INDEX(art_price,MATCH($E1602,art_ref,0))),INDEX(art_price,MATCH($E1602,art_ref,0)),""),"")))</f>
        <v/>
      </c>
      <c r="K1602" s="71" t="n"/>
      <c r="L1602" s="72" t="n"/>
      <c r="M1602" s="72" t="str">
        <f>IF(E1602="","",IF(L1602&lt;&gt;"",L1602,IFERROR(IF(ISNUMBER(INDEX(art_tva,MATCH($E1602,art_ref,0))),INDEX(art_tva,MATCH($E1602,art_ref,0)),""),"")))</f>
        <v/>
      </c>
      <c r="N1602" s="70" t="str">
        <f>IF(OR(E1602="",J1602=""),"",ROUND(N(H1602)*J1602*(1-N(K1602)),2))</f>
        <v/>
      </c>
      <c r="O1602" s="70" t="str">
        <f>IF(OR(N1602="",NOT(ISNUMBER(M1602))),"",ROUND(N1602*M1602,2))</f>
        <v/>
      </c>
      <c r="P1602" s="70" t="str">
        <f>IF(N1602="","",N1602+N(O1602))</f>
        <v/>
      </c>
      <c r="Q1602" s="64" t="n"/>
      <c r="R1602" s="73" t="str">
        <f>IF(N(Q1602)&gt;0,Q1602,IF(OR(N(B1602)=0,ISNA(MATCH($C1602,sup_code,0))),"",IF(ISNUMBER(INDEX(sup_delay,MATCH($C1602,sup_code,0))),B1602+INDEX(sup_delay,MATCH($C1602,sup_code,0)),"")))</f>
        <v/>
      </c>
      <c r="S1602" s="64" t="n"/>
      <c r="T1602" s="68" t="n"/>
      <c r="U1602" s="64" t="n"/>
      <c r="V1602" s="65" t="n"/>
      <c r="W1602" s="74" t="str">
        <f>IF(AND(A1602="",E1602=""),"",IF(V1602="Oui",0,MAX(0,ROUND(N(H1602)-N(T1602),6))))</f>
        <v/>
      </c>
      <c r="X1602" s="67" t="str">
        <f>IF(AND(A1602="",E1602=""),"",IF(V1602="Oui","Annulé",IF(AND(N(H1602)&gt;0,N(T1602)&gt;=N(H1602)),"Reçu",IF(N(S1602)=0,"Brouillon",IF(AND(ISNUMBER(R1602),R1602&lt;p_today),"En retard",IF(N(T1602)&gt;0,"Partiel","Envoyé"))))))</f>
        <v/>
      </c>
      <c r="Y1602" s="75" t="str">
        <f>IF(X1602="En retard",p_today-R1602,IF(AND(X1602="Reçu",ISNUMBER(R1602)),MAX(0,N(U1602)-R1602),""))</f>
        <v/>
      </c>
      <c r="Z1602" s="67" t="str">
        <f>IF(AND(A1602="",E1602=""),"",IF(A1602="","N° de bon manquant",IF(N(B1602)=0,"Date de commande manquante",IF(C1602="","Fournisseur manquant",IF(ISNA(MATCH($C1602,sup_code,0)),"Fournisseur inconnu",IF(E1602="","Article manquant",IF(ISNA(MATCH($E1602,art_ref,0)),"Article inconnu",IF(N(H1602)&lt;=0,"Quantité invalide",IF(J1602="","Prix manquant",IF(OR(N(K1602)&lt;0,N(K1602)&gt;=1),"Remise invalide",IF(M1602="","TVA manquante",IF(ISNA(MATCH(M1602,p_tva,0)),"Taux de TVA inconnu",IF(COUNTIFS(po_num,A1602,po_sup,"&lt;&gt;"&amp;C1602)&gt;0,"Fournisseur différent sur ce bon",IF(COUNTIFS(po_num,A1602,po_date,"&lt;&gt;"&amp;B1602)&gt;0,"Date différente sur ce bon",IF(COUNTIF(po_num,A1602)&gt;25,"Plus de 25 lignes sur ce bon",IF(R1602="","Date de livraison manquante",IF(R1602&lt;B1602,"Livraison avant la commande",IF(AND(N(T1602)&gt;0,N(S1602)=0),"Date d'envoi manquante",IF(N(T1602)&gt;N(H1602),"Reçu plus que commandé",IF(AND(N(T1602)&gt;0,N(U1602)=0),"Date de réception manquante",IF(AND(N(U1602)&gt;0,U1602&lt;B1602),"Réception avant la commande","OK")))))))))))))))))))))</f>
        <v/>
      </c>
      <c r="AA1602" s="66" t="str">
        <f>IF(AND(X1602="Reçu",ISNUMBER(R1602)),IF(N(U1602)&lt;=R1602,1,0),"")</f>
        <v/>
      </c>
      <c r="AB1602" s="76" t="str">
        <f>IF(OR(X1602="Envoyé",X1602="Partiel",X1602="En retard"),IF(ISNUMBER(R1602),R1602,100000)+ROW()/100000,"")</f>
        <v/>
      </c>
      <c r="AC1602" s="66" t="str">
        <f>IF(A1602="","",IF(COUNTIF($A$6:A1602,A1602)=1,1,""))</f>
        <v/>
      </c>
      <c r="AD1602" s="66" t="str">
        <f>IF(AC1602=1,COUNT($AC$6:AC1602),"")</f>
        <v/>
      </c>
      <c r="AE1602" s="66" t="str">
        <f>IFERROR(INDEX(po_num,MATCH(1597,po_seq,0))&amp;"","")</f>
        <v/>
      </c>
      <c r="AF1602" s="66" t="str">
        <f>IF(OR(A1602="",p_po=""),"",IF(A1602&amp;""=p_po,COUNTIF($A$6:A1602,A1602),""))</f>
        <v/>
      </c>
      <c r="AG1602" s="66" t="str">
        <f>IF(OR(AB1602="",A1602=""),"",IF(COUNTIFS($A$6:A1602,A1602,$AB$6:AB1602,"&gt;0")=1,1,""))</f>
        <v/>
      </c>
      <c r="AH1602" s="70" t="str">
        <f>IF(AB1602="","",ROUND(N(W1602)*N(J1602)*(1-N(K1602)),2))</f>
        <v/>
      </c>
      <c r="AI1602" s="70" t="str">
        <f>IF(OR(J1602="",N(T1602)&lt;=0,V1602="Oui"),"",ROUND(N(T1602)*J1602*(1-N(K1602)),2))</f>
        <v/>
      </c>
    </row>
    <row r="1603">
      <c r="A1603" s="63" t="n"/>
      <c r="B1603" s="64" t="n"/>
      <c r="C1603" s="65" t="n"/>
      <c r="D1603" s="66" t="str">
        <f>IF(C1603="","",IFERROR(INDEX(sup_name,MATCH($C1603,sup_code,0))&amp;"","Fournisseur inconnu"))</f>
        <v/>
      </c>
      <c r="E1603" s="63" t="n"/>
      <c r="F1603" s="66" t="str">
        <f>IF(E1603="","",IFERROR(INDEX(art_des,MATCH($E1603,art_ref,0))&amp;"","Article inconnu"))</f>
        <v/>
      </c>
      <c r="G1603" s="67" t="str">
        <f>IF(E1603="","",IFERROR(INDEX(art_unit,MATCH($E1603,art_ref,0))&amp;"",""))</f>
        <v/>
      </c>
      <c r="H1603" s="68" t="n"/>
      <c r="I1603" s="69" t="n"/>
      <c r="J1603" s="70" t="str">
        <f>IF(E1603="","",IF(ISNUMBER(I1603),I1603,IFERROR(IF(ISNUMBER(INDEX(art_price,MATCH($E1603,art_ref,0))),INDEX(art_price,MATCH($E1603,art_ref,0)),""),"")))</f>
        <v/>
      </c>
      <c r="K1603" s="71" t="n"/>
      <c r="L1603" s="72" t="n"/>
      <c r="M1603" s="72" t="str">
        <f>IF(E1603="","",IF(L1603&lt;&gt;"",L1603,IFERROR(IF(ISNUMBER(INDEX(art_tva,MATCH($E1603,art_ref,0))),INDEX(art_tva,MATCH($E1603,art_ref,0)),""),"")))</f>
        <v/>
      </c>
      <c r="N1603" s="70" t="str">
        <f>IF(OR(E1603="",J1603=""),"",ROUND(N(H1603)*J1603*(1-N(K1603)),2))</f>
        <v/>
      </c>
      <c r="O1603" s="70" t="str">
        <f>IF(OR(N1603="",NOT(ISNUMBER(M1603))),"",ROUND(N1603*M1603,2))</f>
        <v/>
      </c>
      <c r="P1603" s="70" t="str">
        <f>IF(N1603="","",N1603+N(O1603))</f>
        <v/>
      </c>
      <c r="Q1603" s="64" t="n"/>
      <c r="R1603" s="73" t="str">
        <f>IF(N(Q1603)&gt;0,Q1603,IF(OR(N(B1603)=0,ISNA(MATCH($C1603,sup_code,0))),"",IF(ISNUMBER(INDEX(sup_delay,MATCH($C1603,sup_code,0))),B1603+INDEX(sup_delay,MATCH($C1603,sup_code,0)),"")))</f>
        <v/>
      </c>
      <c r="S1603" s="64" t="n"/>
      <c r="T1603" s="68" t="n"/>
      <c r="U1603" s="64" t="n"/>
      <c r="V1603" s="65" t="n"/>
      <c r="W1603" s="74" t="str">
        <f>IF(AND(A1603="",E1603=""),"",IF(V1603="Oui",0,MAX(0,ROUND(N(H1603)-N(T1603),6))))</f>
        <v/>
      </c>
      <c r="X1603" s="67" t="str">
        <f>IF(AND(A1603="",E1603=""),"",IF(V1603="Oui","Annulé",IF(AND(N(H1603)&gt;0,N(T1603)&gt;=N(H1603)),"Reçu",IF(N(S1603)=0,"Brouillon",IF(AND(ISNUMBER(R1603),R1603&lt;p_today),"En retard",IF(N(T1603)&gt;0,"Partiel","Envoyé"))))))</f>
        <v/>
      </c>
      <c r="Y1603" s="75" t="str">
        <f>IF(X1603="En retard",p_today-R1603,IF(AND(X1603="Reçu",ISNUMBER(R1603)),MAX(0,N(U1603)-R1603),""))</f>
        <v/>
      </c>
      <c r="Z1603" s="67" t="str">
        <f>IF(AND(A1603="",E1603=""),"",IF(A1603="","N° de bon manquant",IF(N(B1603)=0,"Date de commande manquante",IF(C1603="","Fournisseur manquant",IF(ISNA(MATCH($C1603,sup_code,0)),"Fournisseur inconnu",IF(E1603="","Article manquant",IF(ISNA(MATCH($E1603,art_ref,0)),"Article inconnu",IF(N(H1603)&lt;=0,"Quantité invalide",IF(J1603="","Prix manquant",IF(OR(N(K1603)&lt;0,N(K1603)&gt;=1),"Remise invalide",IF(M1603="","TVA manquante",IF(ISNA(MATCH(M1603,p_tva,0)),"Taux de TVA inconnu",IF(COUNTIFS(po_num,A1603,po_sup,"&lt;&gt;"&amp;C1603)&gt;0,"Fournisseur différent sur ce bon",IF(COUNTIFS(po_num,A1603,po_date,"&lt;&gt;"&amp;B1603)&gt;0,"Date différente sur ce bon",IF(COUNTIF(po_num,A1603)&gt;25,"Plus de 25 lignes sur ce bon",IF(R1603="","Date de livraison manquante",IF(R1603&lt;B1603,"Livraison avant la commande",IF(AND(N(T1603)&gt;0,N(S1603)=0),"Date d'envoi manquante",IF(N(T1603)&gt;N(H1603),"Reçu plus que commandé",IF(AND(N(T1603)&gt;0,N(U1603)=0),"Date de réception manquante",IF(AND(N(U1603)&gt;0,U1603&lt;B1603),"Réception avant la commande","OK")))))))))))))))))))))</f>
        <v/>
      </c>
      <c r="AA1603" s="66" t="str">
        <f>IF(AND(X1603="Reçu",ISNUMBER(R1603)),IF(N(U1603)&lt;=R1603,1,0),"")</f>
        <v/>
      </c>
      <c r="AB1603" s="76" t="str">
        <f>IF(OR(X1603="Envoyé",X1603="Partiel",X1603="En retard"),IF(ISNUMBER(R1603),R1603,100000)+ROW()/100000,"")</f>
        <v/>
      </c>
      <c r="AC1603" s="66" t="str">
        <f>IF(A1603="","",IF(COUNTIF($A$6:A1603,A1603)=1,1,""))</f>
        <v/>
      </c>
      <c r="AD1603" s="66" t="str">
        <f>IF(AC1603=1,COUNT($AC$6:AC1603),"")</f>
        <v/>
      </c>
      <c r="AE1603" s="66" t="str">
        <f>IFERROR(INDEX(po_num,MATCH(1598,po_seq,0))&amp;"","")</f>
        <v/>
      </c>
      <c r="AF1603" s="66" t="str">
        <f>IF(OR(A1603="",p_po=""),"",IF(A1603&amp;""=p_po,COUNTIF($A$6:A1603,A1603),""))</f>
        <v/>
      </c>
      <c r="AG1603" s="66" t="str">
        <f>IF(OR(AB1603="",A1603=""),"",IF(COUNTIFS($A$6:A1603,A1603,$AB$6:AB1603,"&gt;0")=1,1,""))</f>
        <v/>
      </c>
      <c r="AH1603" s="70" t="str">
        <f>IF(AB1603="","",ROUND(N(W1603)*N(J1603)*(1-N(K1603)),2))</f>
        <v/>
      </c>
      <c r="AI1603" s="70" t="str">
        <f>IF(OR(J1603="",N(T1603)&lt;=0,V1603="Oui"),"",ROUND(N(T1603)*J1603*(1-N(K1603)),2))</f>
        <v/>
      </c>
    </row>
    <row r="1604">
      <c r="A1604" s="63" t="n"/>
      <c r="B1604" s="64" t="n"/>
      <c r="C1604" s="65" t="n"/>
      <c r="D1604" s="66" t="str">
        <f>IF(C1604="","",IFERROR(INDEX(sup_name,MATCH($C1604,sup_code,0))&amp;"","Fournisseur inconnu"))</f>
        <v/>
      </c>
      <c r="E1604" s="63" t="n"/>
      <c r="F1604" s="66" t="str">
        <f>IF(E1604="","",IFERROR(INDEX(art_des,MATCH($E1604,art_ref,0))&amp;"","Article inconnu"))</f>
        <v/>
      </c>
      <c r="G1604" s="67" t="str">
        <f>IF(E1604="","",IFERROR(INDEX(art_unit,MATCH($E1604,art_ref,0))&amp;"",""))</f>
        <v/>
      </c>
      <c r="H1604" s="68" t="n"/>
      <c r="I1604" s="69" t="n"/>
      <c r="J1604" s="70" t="str">
        <f>IF(E1604="","",IF(ISNUMBER(I1604),I1604,IFERROR(IF(ISNUMBER(INDEX(art_price,MATCH($E1604,art_ref,0))),INDEX(art_price,MATCH($E1604,art_ref,0)),""),"")))</f>
        <v/>
      </c>
      <c r="K1604" s="71" t="n"/>
      <c r="L1604" s="72" t="n"/>
      <c r="M1604" s="72" t="str">
        <f>IF(E1604="","",IF(L1604&lt;&gt;"",L1604,IFERROR(IF(ISNUMBER(INDEX(art_tva,MATCH($E1604,art_ref,0))),INDEX(art_tva,MATCH($E1604,art_ref,0)),""),"")))</f>
        <v/>
      </c>
      <c r="N1604" s="70" t="str">
        <f>IF(OR(E1604="",J1604=""),"",ROUND(N(H1604)*J1604*(1-N(K1604)),2))</f>
        <v/>
      </c>
      <c r="O1604" s="70" t="str">
        <f>IF(OR(N1604="",NOT(ISNUMBER(M1604))),"",ROUND(N1604*M1604,2))</f>
        <v/>
      </c>
      <c r="P1604" s="70" t="str">
        <f>IF(N1604="","",N1604+N(O1604))</f>
        <v/>
      </c>
      <c r="Q1604" s="64" t="n"/>
      <c r="R1604" s="73" t="str">
        <f>IF(N(Q1604)&gt;0,Q1604,IF(OR(N(B1604)=0,ISNA(MATCH($C1604,sup_code,0))),"",IF(ISNUMBER(INDEX(sup_delay,MATCH($C1604,sup_code,0))),B1604+INDEX(sup_delay,MATCH($C1604,sup_code,0)),"")))</f>
        <v/>
      </c>
      <c r="S1604" s="64" t="n"/>
      <c r="T1604" s="68" t="n"/>
      <c r="U1604" s="64" t="n"/>
      <c r="V1604" s="65" t="n"/>
      <c r="W1604" s="74" t="str">
        <f>IF(AND(A1604="",E1604=""),"",IF(V1604="Oui",0,MAX(0,ROUND(N(H1604)-N(T1604),6))))</f>
        <v/>
      </c>
      <c r="X1604" s="67" t="str">
        <f>IF(AND(A1604="",E1604=""),"",IF(V1604="Oui","Annulé",IF(AND(N(H1604)&gt;0,N(T1604)&gt;=N(H1604)),"Reçu",IF(N(S1604)=0,"Brouillon",IF(AND(ISNUMBER(R1604),R1604&lt;p_today),"En retard",IF(N(T1604)&gt;0,"Partiel","Envoyé"))))))</f>
        <v/>
      </c>
      <c r="Y1604" s="75" t="str">
        <f>IF(X1604="En retard",p_today-R1604,IF(AND(X1604="Reçu",ISNUMBER(R1604)),MAX(0,N(U1604)-R1604),""))</f>
        <v/>
      </c>
      <c r="Z1604" s="67" t="str">
        <f>IF(AND(A1604="",E1604=""),"",IF(A1604="","N° de bon manquant",IF(N(B1604)=0,"Date de commande manquante",IF(C1604="","Fournisseur manquant",IF(ISNA(MATCH($C1604,sup_code,0)),"Fournisseur inconnu",IF(E1604="","Article manquant",IF(ISNA(MATCH($E1604,art_ref,0)),"Article inconnu",IF(N(H1604)&lt;=0,"Quantité invalide",IF(J1604="","Prix manquant",IF(OR(N(K1604)&lt;0,N(K1604)&gt;=1),"Remise invalide",IF(M1604="","TVA manquante",IF(ISNA(MATCH(M1604,p_tva,0)),"Taux de TVA inconnu",IF(COUNTIFS(po_num,A1604,po_sup,"&lt;&gt;"&amp;C1604)&gt;0,"Fournisseur différent sur ce bon",IF(COUNTIFS(po_num,A1604,po_date,"&lt;&gt;"&amp;B1604)&gt;0,"Date différente sur ce bon",IF(COUNTIF(po_num,A1604)&gt;25,"Plus de 25 lignes sur ce bon",IF(R1604="","Date de livraison manquante",IF(R1604&lt;B1604,"Livraison avant la commande",IF(AND(N(T1604)&gt;0,N(S1604)=0),"Date d'envoi manquante",IF(N(T1604)&gt;N(H1604),"Reçu plus que commandé",IF(AND(N(T1604)&gt;0,N(U1604)=0),"Date de réception manquante",IF(AND(N(U1604)&gt;0,U1604&lt;B1604),"Réception avant la commande","OK")))))))))))))))))))))</f>
        <v/>
      </c>
      <c r="AA1604" s="66" t="str">
        <f>IF(AND(X1604="Reçu",ISNUMBER(R1604)),IF(N(U1604)&lt;=R1604,1,0),"")</f>
        <v/>
      </c>
      <c r="AB1604" s="76" t="str">
        <f>IF(OR(X1604="Envoyé",X1604="Partiel",X1604="En retard"),IF(ISNUMBER(R1604),R1604,100000)+ROW()/100000,"")</f>
        <v/>
      </c>
      <c r="AC1604" s="66" t="str">
        <f>IF(A1604="","",IF(COUNTIF($A$6:A1604,A1604)=1,1,""))</f>
        <v/>
      </c>
      <c r="AD1604" s="66" t="str">
        <f>IF(AC1604=1,COUNT($AC$6:AC1604),"")</f>
        <v/>
      </c>
      <c r="AE1604" s="66" t="str">
        <f>IFERROR(INDEX(po_num,MATCH(1599,po_seq,0))&amp;"","")</f>
        <v/>
      </c>
      <c r="AF1604" s="66" t="str">
        <f>IF(OR(A1604="",p_po=""),"",IF(A1604&amp;""=p_po,COUNTIF($A$6:A1604,A1604),""))</f>
        <v/>
      </c>
      <c r="AG1604" s="66" t="str">
        <f>IF(OR(AB1604="",A1604=""),"",IF(COUNTIFS($A$6:A1604,A1604,$AB$6:AB1604,"&gt;0")=1,1,""))</f>
        <v/>
      </c>
      <c r="AH1604" s="70" t="str">
        <f>IF(AB1604="","",ROUND(N(W1604)*N(J1604)*(1-N(K1604)),2))</f>
        <v/>
      </c>
      <c r="AI1604" s="70" t="str">
        <f>IF(OR(J1604="",N(T1604)&lt;=0,V1604="Oui"),"",ROUND(N(T1604)*J1604*(1-N(K1604)),2))</f>
        <v/>
      </c>
    </row>
    <row r="1605">
      <c r="A1605" s="63" t="n"/>
      <c r="B1605" s="64" t="n"/>
      <c r="C1605" s="65" t="n"/>
      <c r="D1605" s="66" t="str">
        <f>IF(C1605="","",IFERROR(INDEX(sup_name,MATCH($C1605,sup_code,0))&amp;"","Fournisseur inconnu"))</f>
        <v/>
      </c>
      <c r="E1605" s="63" t="n"/>
      <c r="F1605" s="66" t="str">
        <f>IF(E1605="","",IFERROR(INDEX(art_des,MATCH($E1605,art_ref,0))&amp;"","Article inconnu"))</f>
        <v/>
      </c>
      <c r="G1605" s="67" t="str">
        <f>IF(E1605="","",IFERROR(INDEX(art_unit,MATCH($E1605,art_ref,0))&amp;"",""))</f>
        <v/>
      </c>
      <c r="H1605" s="68" t="n"/>
      <c r="I1605" s="69" t="n"/>
      <c r="J1605" s="70" t="str">
        <f>IF(E1605="","",IF(ISNUMBER(I1605),I1605,IFERROR(IF(ISNUMBER(INDEX(art_price,MATCH($E1605,art_ref,0))),INDEX(art_price,MATCH($E1605,art_ref,0)),""),"")))</f>
        <v/>
      </c>
      <c r="K1605" s="71" t="n"/>
      <c r="L1605" s="72" t="n"/>
      <c r="M1605" s="72" t="str">
        <f>IF(E1605="","",IF(L1605&lt;&gt;"",L1605,IFERROR(IF(ISNUMBER(INDEX(art_tva,MATCH($E1605,art_ref,0))),INDEX(art_tva,MATCH($E1605,art_ref,0)),""),"")))</f>
        <v/>
      </c>
      <c r="N1605" s="70" t="str">
        <f>IF(OR(E1605="",J1605=""),"",ROUND(N(H1605)*J1605*(1-N(K1605)),2))</f>
        <v/>
      </c>
      <c r="O1605" s="70" t="str">
        <f>IF(OR(N1605="",NOT(ISNUMBER(M1605))),"",ROUND(N1605*M1605,2))</f>
        <v/>
      </c>
      <c r="P1605" s="70" t="str">
        <f>IF(N1605="","",N1605+N(O1605))</f>
        <v/>
      </c>
      <c r="Q1605" s="64" t="n"/>
      <c r="R1605" s="73" t="str">
        <f>IF(N(Q1605)&gt;0,Q1605,IF(OR(N(B1605)=0,ISNA(MATCH($C1605,sup_code,0))),"",IF(ISNUMBER(INDEX(sup_delay,MATCH($C1605,sup_code,0))),B1605+INDEX(sup_delay,MATCH($C1605,sup_code,0)),"")))</f>
        <v/>
      </c>
      <c r="S1605" s="64" t="n"/>
      <c r="T1605" s="68" t="n"/>
      <c r="U1605" s="64" t="n"/>
      <c r="V1605" s="65" t="n"/>
      <c r="W1605" s="74" t="str">
        <f>IF(AND(A1605="",E1605=""),"",IF(V1605="Oui",0,MAX(0,ROUND(N(H1605)-N(T1605),6))))</f>
        <v/>
      </c>
      <c r="X1605" s="67" t="str">
        <f>IF(AND(A1605="",E1605=""),"",IF(V1605="Oui","Annulé",IF(AND(N(H1605)&gt;0,N(T1605)&gt;=N(H1605)),"Reçu",IF(N(S1605)=0,"Brouillon",IF(AND(ISNUMBER(R1605),R1605&lt;p_today),"En retard",IF(N(T1605)&gt;0,"Partiel","Envoyé"))))))</f>
        <v/>
      </c>
      <c r="Y1605" s="75" t="str">
        <f>IF(X1605="En retard",p_today-R1605,IF(AND(X1605="Reçu",ISNUMBER(R1605)),MAX(0,N(U1605)-R1605),""))</f>
        <v/>
      </c>
      <c r="Z1605" s="67" t="str">
        <f>IF(AND(A1605="",E1605=""),"",IF(A1605="","N° de bon manquant",IF(N(B1605)=0,"Date de commande manquante",IF(C1605="","Fournisseur manquant",IF(ISNA(MATCH($C1605,sup_code,0)),"Fournisseur inconnu",IF(E1605="","Article manquant",IF(ISNA(MATCH($E1605,art_ref,0)),"Article inconnu",IF(N(H1605)&lt;=0,"Quantité invalide",IF(J1605="","Prix manquant",IF(OR(N(K1605)&lt;0,N(K1605)&gt;=1),"Remise invalide",IF(M1605="","TVA manquante",IF(ISNA(MATCH(M1605,p_tva,0)),"Taux de TVA inconnu",IF(COUNTIFS(po_num,A1605,po_sup,"&lt;&gt;"&amp;C1605)&gt;0,"Fournisseur différent sur ce bon",IF(COUNTIFS(po_num,A1605,po_date,"&lt;&gt;"&amp;B1605)&gt;0,"Date différente sur ce bon",IF(COUNTIF(po_num,A1605)&gt;25,"Plus de 25 lignes sur ce bon",IF(R1605="","Date de livraison manquante",IF(R1605&lt;B1605,"Livraison avant la commande",IF(AND(N(T1605)&gt;0,N(S1605)=0),"Date d'envoi manquante",IF(N(T1605)&gt;N(H1605),"Reçu plus que commandé",IF(AND(N(T1605)&gt;0,N(U1605)=0),"Date de réception manquante",IF(AND(N(U1605)&gt;0,U1605&lt;B1605),"Réception avant la commande","OK")))))))))))))))))))))</f>
        <v/>
      </c>
      <c r="AA1605" s="66" t="str">
        <f>IF(AND(X1605="Reçu",ISNUMBER(R1605)),IF(N(U1605)&lt;=R1605,1,0),"")</f>
        <v/>
      </c>
      <c r="AB1605" s="76" t="str">
        <f>IF(OR(X1605="Envoyé",X1605="Partiel",X1605="En retard"),IF(ISNUMBER(R1605),R1605,100000)+ROW()/100000,"")</f>
        <v/>
      </c>
      <c r="AC1605" s="66" t="str">
        <f>IF(A1605="","",IF(COUNTIF($A$6:A1605,A1605)=1,1,""))</f>
        <v/>
      </c>
      <c r="AD1605" s="66" t="str">
        <f>IF(AC1605=1,COUNT($AC$6:AC1605),"")</f>
        <v/>
      </c>
      <c r="AE1605" s="66" t="str">
        <f>IFERROR(INDEX(po_num,MATCH(1600,po_seq,0))&amp;"","")</f>
        <v/>
      </c>
      <c r="AF1605" s="66" t="str">
        <f>IF(OR(A1605="",p_po=""),"",IF(A1605&amp;""=p_po,COUNTIF($A$6:A1605,A1605),""))</f>
        <v/>
      </c>
      <c r="AG1605" s="66" t="str">
        <f>IF(OR(AB1605="",A1605=""),"",IF(COUNTIFS($A$6:A1605,A1605,$AB$6:AB1605,"&gt;0")=1,1,""))</f>
        <v/>
      </c>
      <c r="AH1605" s="70" t="str">
        <f>IF(AB1605="","",ROUND(N(W1605)*N(J1605)*(1-N(K1605)),2))</f>
        <v/>
      </c>
      <c r="AI1605" s="70" t="str">
        <f>IF(OR(J1605="",N(T1605)&lt;=0,V1605="Oui"),"",ROUND(N(T1605)*J1605*(1-N(K1605)),2))</f>
        <v/>
      </c>
    </row>
    <row r="1606">
      <c r="A1606" s="63" t="n"/>
      <c r="B1606" s="64" t="n"/>
      <c r="C1606" s="65" t="n"/>
      <c r="D1606" s="66" t="str">
        <f>IF(C1606="","",IFERROR(INDEX(sup_name,MATCH($C1606,sup_code,0))&amp;"","Fournisseur inconnu"))</f>
        <v/>
      </c>
      <c r="E1606" s="63" t="n"/>
      <c r="F1606" s="66" t="str">
        <f>IF(E1606="","",IFERROR(INDEX(art_des,MATCH($E1606,art_ref,0))&amp;"","Article inconnu"))</f>
        <v/>
      </c>
      <c r="G1606" s="67" t="str">
        <f>IF(E1606="","",IFERROR(INDEX(art_unit,MATCH($E1606,art_ref,0))&amp;"",""))</f>
        <v/>
      </c>
      <c r="H1606" s="68" t="n"/>
      <c r="I1606" s="69" t="n"/>
      <c r="J1606" s="70" t="str">
        <f>IF(E1606="","",IF(ISNUMBER(I1606),I1606,IFERROR(IF(ISNUMBER(INDEX(art_price,MATCH($E1606,art_ref,0))),INDEX(art_price,MATCH($E1606,art_ref,0)),""),"")))</f>
        <v/>
      </c>
      <c r="K1606" s="71" t="n"/>
      <c r="L1606" s="72" t="n"/>
      <c r="M1606" s="72" t="str">
        <f>IF(E1606="","",IF(L1606&lt;&gt;"",L1606,IFERROR(IF(ISNUMBER(INDEX(art_tva,MATCH($E1606,art_ref,0))),INDEX(art_tva,MATCH($E1606,art_ref,0)),""),"")))</f>
        <v/>
      </c>
      <c r="N1606" s="70" t="str">
        <f>IF(OR(E1606="",J1606=""),"",ROUND(N(H1606)*J1606*(1-N(K1606)),2))</f>
        <v/>
      </c>
      <c r="O1606" s="70" t="str">
        <f>IF(OR(N1606="",NOT(ISNUMBER(M1606))),"",ROUND(N1606*M1606,2))</f>
        <v/>
      </c>
      <c r="P1606" s="70" t="str">
        <f>IF(N1606="","",N1606+N(O1606))</f>
        <v/>
      </c>
      <c r="Q1606" s="64" t="n"/>
      <c r="R1606" s="73" t="str">
        <f>IF(N(Q1606)&gt;0,Q1606,IF(OR(N(B1606)=0,ISNA(MATCH($C1606,sup_code,0))),"",IF(ISNUMBER(INDEX(sup_delay,MATCH($C1606,sup_code,0))),B1606+INDEX(sup_delay,MATCH($C1606,sup_code,0)),"")))</f>
        <v/>
      </c>
      <c r="S1606" s="64" t="n"/>
      <c r="T1606" s="68" t="n"/>
      <c r="U1606" s="64" t="n"/>
      <c r="V1606" s="65" t="n"/>
      <c r="W1606" s="74" t="str">
        <f>IF(AND(A1606="",E1606=""),"",IF(V1606="Oui",0,MAX(0,ROUND(N(H1606)-N(T1606),6))))</f>
        <v/>
      </c>
      <c r="X1606" s="67" t="str">
        <f>IF(AND(A1606="",E1606=""),"",IF(V1606="Oui","Annulé",IF(AND(N(H1606)&gt;0,N(T1606)&gt;=N(H1606)),"Reçu",IF(N(S1606)=0,"Brouillon",IF(AND(ISNUMBER(R1606),R1606&lt;p_today),"En retard",IF(N(T1606)&gt;0,"Partiel","Envoyé"))))))</f>
        <v/>
      </c>
      <c r="Y1606" s="75" t="str">
        <f>IF(X1606="En retard",p_today-R1606,IF(AND(X1606="Reçu",ISNUMBER(R1606)),MAX(0,N(U1606)-R1606),""))</f>
        <v/>
      </c>
      <c r="Z1606" s="67" t="str">
        <f>IF(AND(A1606="",E1606=""),"",IF(A1606="","N° de bon manquant",IF(N(B1606)=0,"Date de commande manquante",IF(C1606="","Fournisseur manquant",IF(ISNA(MATCH($C1606,sup_code,0)),"Fournisseur inconnu",IF(E1606="","Article manquant",IF(ISNA(MATCH($E1606,art_ref,0)),"Article inconnu",IF(N(H1606)&lt;=0,"Quantité invalide",IF(J1606="","Prix manquant",IF(OR(N(K1606)&lt;0,N(K1606)&gt;=1),"Remise invalide",IF(M1606="","TVA manquante",IF(ISNA(MATCH(M1606,p_tva,0)),"Taux de TVA inconnu",IF(COUNTIFS(po_num,A1606,po_sup,"&lt;&gt;"&amp;C1606)&gt;0,"Fournisseur différent sur ce bon",IF(COUNTIFS(po_num,A1606,po_date,"&lt;&gt;"&amp;B1606)&gt;0,"Date différente sur ce bon",IF(COUNTIF(po_num,A1606)&gt;25,"Plus de 25 lignes sur ce bon",IF(R1606="","Date de livraison manquante",IF(R1606&lt;B1606,"Livraison avant la commande",IF(AND(N(T1606)&gt;0,N(S1606)=0),"Date d'envoi manquante",IF(N(T1606)&gt;N(H1606),"Reçu plus que commandé",IF(AND(N(T1606)&gt;0,N(U1606)=0),"Date de réception manquante",IF(AND(N(U1606)&gt;0,U1606&lt;B1606),"Réception avant la commande","OK")))))))))))))))))))))</f>
        <v/>
      </c>
      <c r="AA1606" s="66" t="str">
        <f>IF(AND(X1606="Reçu",ISNUMBER(R1606)),IF(N(U1606)&lt;=R1606,1,0),"")</f>
        <v/>
      </c>
      <c r="AB1606" s="76" t="str">
        <f>IF(OR(X1606="Envoyé",X1606="Partiel",X1606="En retard"),IF(ISNUMBER(R1606),R1606,100000)+ROW()/100000,"")</f>
        <v/>
      </c>
      <c r="AC1606" s="66" t="str">
        <f>IF(A1606="","",IF(COUNTIF($A$6:A1606,A1606)=1,1,""))</f>
        <v/>
      </c>
      <c r="AD1606" s="66" t="str">
        <f>IF(AC1606=1,COUNT($AC$6:AC1606),"")</f>
        <v/>
      </c>
      <c r="AE1606" s="66" t="str">
        <f>IFERROR(INDEX(po_num,MATCH(1601,po_seq,0))&amp;"","")</f>
        <v/>
      </c>
      <c r="AF1606" s="66" t="str">
        <f>IF(OR(A1606="",p_po=""),"",IF(A1606&amp;""=p_po,COUNTIF($A$6:A1606,A1606),""))</f>
        <v/>
      </c>
      <c r="AG1606" s="66" t="str">
        <f>IF(OR(AB1606="",A1606=""),"",IF(COUNTIFS($A$6:A1606,A1606,$AB$6:AB1606,"&gt;0")=1,1,""))</f>
        <v/>
      </c>
      <c r="AH1606" s="70" t="str">
        <f>IF(AB1606="","",ROUND(N(W1606)*N(J1606)*(1-N(K1606)),2))</f>
        <v/>
      </c>
      <c r="AI1606" s="70" t="str">
        <f>IF(OR(J1606="",N(T1606)&lt;=0,V1606="Oui"),"",ROUND(N(T1606)*J1606*(1-N(K1606)),2))</f>
        <v/>
      </c>
    </row>
    <row r="1607">
      <c r="A1607" s="63" t="n"/>
      <c r="B1607" s="64" t="n"/>
      <c r="C1607" s="65" t="n"/>
      <c r="D1607" s="66" t="str">
        <f>IF(C1607="","",IFERROR(INDEX(sup_name,MATCH($C1607,sup_code,0))&amp;"","Fournisseur inconnu"))</f>
        <v/>
      </c>
      <c r="E1607" s="63" t="n"/>
      <c r="F1607" s="66" t="str">
        <f>IF(E1607="","",IFERROR(INDEX(art_des,MATCH($E1607,art_ref,0))&amp;"","Article inconnu"))</f>
        <v/>
      </c>
      <c r="G1607" s="67" t="str">
        <f>IF(E1607="","",IFERROR(INDEX(art_unit,MATCH($E1607,art_ref,0))&amp;"",""))</f>
        <v/>
      </c>
      <c r="H1607" s="68" t="n"/>
      <c r="I1607" s="69" t="n"/>
      <c r="J1607" s="70" t="str">
        <f>IF(E1607="","",IF(ISNUMBER(I1607),I1607,IFERROR(IF(ISNUMBER(INDEX(art_price,MATCH($E1607,art_ref,0))),INDEX(art_price,MATCH($E1607,art_ref,0)),""),"")))</f>
        <v/>
      </c>
      <c r="K1607" s="71" t="n"/>
      <c r="L1607" s="72" t="n"/>
      <c r="M1607" s="72" t="str">
        <f>IF(E1607="","",IF(L1607&lt;&gt;"",L1607,IFERROR(IF(ISNUMBER(INDEX(art_tva,MATCH($E1607,art_ref,0))),INDEX(art_tva,MATCH($E1607,art_ref,0)),""),"")))</f>
        <v/>
      </c>
      <c r="N1607" s="70" t="str">
        <f>IF(OR(E1607="",J1607=""),"",ROUND(N(H1607)*J1607*(1-N(K1607)),2))</f>
        <v/>
      </c>
      <c r="O1607" s="70" t="str">
        <f>IF(OR(N1607="",NOT(ISNUMBER(M1607))),"",ROUND(N1607*M1607,2))</f>
        <v/>
      </c>
      <c r="P1607" s="70" t="str">
        <f>IF(N1607="","",N1607+N(O1607))</f>
        <v/>
      </c>
      <c r="Q1607" s="64" t="n"/>
      <c r="R1607" s="73" t="str">
        <f>IF(N(Q1607)&gt;0,Q1607,IF(OR(N(B1607)=0,ISNA(MATCH($C1607,sup_code,0))),"",IF(ISNUMBER(INDEX(sup_delay,MATCH($C1607,sup_code,0))),B1607+INDEX(sup_delay,MATCH($C1607,sup_code,0)),"")))</f>
        <v/>
      </c>
      <c r="S1607" s="64" t="n"/>
      <c r="T1607" s="68" t="n"/>
      <c r="U1607" s="64" t="n"/>
      <c r="V1607" s="65" t="n"/>
      <c r="W1607" s="74" t="str">
        <f>IF(AND(A1607="",E1607=""),"",IF(V1607="Oui",0,MAX(0,ROUND(N(H1607)-N(T1607),6))))</f>
        <v/>
      </c>
      <c r="X1607" s="67" t="str">
        <f>IF(AND(A1607="",E1607=""),"",IF(V1607="Oui","Annulé",IF(AND(N(H1607)&gt;0,N(T1607)&gt;=N(H1607)),"Reçu",IF(N(S1607)=0,"Brouillon",IF(AND(ISNUMBER(R1607),R1607&lt;p_today),"En retard",IF(N(T1607)&gt;0,"Partiel","Envoyé"))))))</f>
        <v/>
      </c>
      <c r="Y1607" s="75" t="str">
        <f>IF(X1607="En retard",p_today-R1607,IF(AND(X1607="Reçu",ISNUMBER(R1607)),MAX(0,N(U1607)-R1607),""))</f>
        <v/>
      </c>
      <c r="Z1607" s="67" t="str">
        <f>IF(AND(A1607="",E1607=""),"",IF(A1607="","N° de bon manquant",IF(N(B1607)=0,"Date de commande manquante",IF(C1607="","Fournisseur manquant",IF(ISNA(MATCH($C1607,sup_code,0)),"Fournisseur inconnu",IF(E1607="","Article manquant",IF(ISNA(MATCH($E1607,art_ref,0)),"Article inconnu",IF(N(H1607)&lt;=0,"Quantité invalide",IF(J1607="","Prix manquant",IF(OR(N(K1607)&lt;0,N(K1607)&gt;=1),"Remise invalide",IF(M1607="","TVA manquante",IF(ISNA(MATCH(M1607,p_tva,0)),"Taux de TVA inconnu",IF(COUNTIFS(po_num,A1607,po_sup,"&lt;&gt;"&amp;C1607)&gt;0,"Fournisseur différent sur ce bon",IF(COUNTIFS(po_num,A1607,po_date,"&lt;&gt;"&amp;B1607)&gt;0,"Date différente sur ce bon",IF(COUNTIF(po_num,A1607)&gt;25,"Plus de 25 lignes sur ce bon",IF(R1607="","Date de livraison manquante",IF(R1607&lt;B1607,"Livraison avant la commande",IF(AND(N(T1607)&gt;0,N(S1607)=0),"Date d'envoi manquante",IF(N(T1607)&gt;N(H1607),"Reçu plus que commandé",IF(AND(N(T1607)&gt;0,N(U1607)=0),"Date de réception manquante",IF(AND(N(U1607)&gt;0,U1607&lt;B1607),"Réception avant la commande","OK")))))))))))))))))))))</f>
        <v/>
      </c>
      <c r="AA1607" s="66" t="str">
        <f>IF(AND(X1607="Reçu",ISNUMBER(R1607)),IF(N(U1607)&lt;=R1607,1,0),"")</f>
        <v/>
      </c>
      <c r="AB1607" s="76" t="str">
        <f>IF(OR(X1607="Envoyé",X1607="Partiel",X1607="En retard"),IF(ISNUMBER(R1607),R1607,100000)+ROW()/100000,"")</f>
        <v/>
      </c>
      <c r="AC1607" s="66" t="str">
        <f>IF(A1607="","",IF(COUNTIF($A$6:A1607,A1607)=1,1,""))</f>
        <v/>
      </c>
      <c r="AD1607" s="66" t="str">
        <f>IF(AC1607=1,COUNT($AC$6:AC1607),"")</f>
        <v/>
      </c>
      <c r="AE1607" s="66" t="str">
        <f>IFERROR(INDEX(po_num,MATCH(1602,po_seq,0))&amp;"","")</f>
        <v/>
      </c>
      <c r="AF1607" s="66" t="str">
        <f>IF(OR(A1607="",p_po=""),"",IF(A1607&amp;""=p_po,COUNTIF($A$6:A1607,A1607),""))</f>
        <v/>
      </c>
      <c r="AG1607" s="66" t="str">
        <f>IF(OR(AB1607="",A1607=""),"",IF(COUNTIFS($A$6:A1607,A1607,$AB$6:AB1607,"&gt;0")=1,1,""))</f>
        <v/>
      </c>
      <c r="AH1607" s="70" t="str">
        <f>IF(AB1607="","",ROUND(N(W1607)*N(J1607)*(1-N(K1607)),2))</f>
        <v/>
      </c>
      <c r="AI1607" s="70" t="str">
        <f>IF(OR(J1607="",N(T1607)&lt;=0,V1607="Oui"),"",ROUND(N(T1607)*J1607*(1-N(K1607)),2))</f>
        <v/>
      </c>
    </row>
    <row r="1608">
      <c r="A1608" s="63" t="n"/>
      <c r="B1608" s="64" t="n"/>
      <c r="C1608" s="65" t="n"/>
      <c r="D1608" s="66" t="str">
        <f>IF(C1608="","",IFERROR(INDEX(sup_name,MATCH($C1608,sup_code,0))&amp;"","Fournisseur inconnu"))</f>
        <v/>
      </c>
      <c r="E1608" s="63" t="n"/>
      <c r="F1608" s="66" t="str">
        <f>IF(E1608="","",IFERROR(INDEX(art_des,MATCH($E1608,art_ref,0))&amp;"","Article inconnu"))</f>
        <v/>
      </c>
      <c r="G1608" s="67" t="str">
        <f>IF(E1608="","",IFERROR(INDEX(art_unit,MATCH($E1608,art_ref,0))&amp;"",""))</f>
        <v/>
      </c>
      <c r="H1608" s="68" t="n"/>
      <c r="I1608" s="69" t="n"/>
      <c r="J1608" s="70" t="str">
        <f>IF(E1608="","",IF(ISNUMBER(I1608),I1608,IFERROR(IF(ISNUMBER(INDEX(art_price,MATCH($E1608,art_ref,0))),INDEX(art_price,MATCH($E1608,art_ref,0)),""),"")))</f>
        <v/>
      </c>
      <c r="K1608" s="71" t="n"/>
      <c r="L1608" s="72" t="n"/>
      <c r="M1608" s="72" t="str">
        <f>IF(E1608="","",IF(L1608&lt;&gt;"",L1608,IFERROR(IF(ISNUMBER(INDEX(art_tva,MATCH($E1608,art_ref,0))),INDEX(art_tva,MATCH($E1608,art_ref,0)),""),"")))</f>
        <v/>
      </c>
      <c r="N1608" s="70" t="str">
        <f>IF(OR(E1608="",J1608=""),"",ROUND(N(H1608)*J1608*(1-N(K1608)),2))</f>
        <v/>
      </c>
      <c r="O1608" s="70" t="str">
        <f>IF(OR(N1608="",NOT(ISNUMBER(M1608))),"",ROUND(N1608*M1608,2))</f>
        <v/>
      </c>
      <c r="P1608" s="70" t="str">
        <f>IF(N1608="","",N1608+N(O1608))</f>
        <v/>
      </c>
      <c r="Q1608" s="64" t="n"/>
      <c r="R1608" s="73" t="str">
        <f>IF(N(Q1608)&gt;0,Q1608,IF(OR(N(B1608)=0,ISNA(MATCH($C1608,sup_code,0))),"",IF(ISNUMBER(INDEX(sup_delay,MATCH($C1608,sup_code,0))),B1608+INDEX(sup_delay,MATCH($C1608,sup_code,0)),"")))</f>
        <v/>
      </c>
      <c r="S1608" s="64" t="n"/>
      <c r="T1608" s="68" t="n"/>
      <c r="U1608" s="64" t="n"/>
      <c r="V1608" s="65" t="n"/>
      <c r="W1608" s="74" t="str">
        <f>IF(AND(A1608="",E1608=""),"",IF(V1608="Oui",0,MAX(0,ROUND(N(H1608)-N(T1608),6))))</f>
        <v/>
      </c>
      <c r="X1608" s="67" t="str">
        <f>IF(AND(A1608="",E1608=""),"",IF(V1608="Oui","Annulé",IF(AND(N(H1608)&gt;0,N(T1608)&gt;=N(H1608)),"Reçu",IF(N(S1608)=0,"Brouillon",IF(AND(ISNUMBER(R1608),R1608&lt;p_today),"En retard",IF(N(T1608)&gt;0,"Partiel","Envoyé"))))))</f>
        <v/>
      </c>
      <c r="Y1608" s="75" t="str">
        <f>IF(X1608="En retard",p_today-R1608,IF(AND(X1608="Reçu",ISNUMBER(R1608)),MAX(0,N(U1608)-R1608),""))</f>
        <v/>
      </c>
      <c r="Z1608" s="67" t="str">
        <f>IF(AND(A1608="",E1608=""),"",IF(A1608="","N° de bon manquant",IF(N(B1608)=0,"Date de commande manquante",IF(C1608="","Fournisseur manquant",IF(ISNA(MATCH($C1608,sup_code,0)),"Fournisseur inconnu",IF(E1608="","Article manquant",IF(ISNA(MATCH($E1608,art_ref,0)),"Article inconnu",IF(N(H1608)&lt;=0,"Quantité invalide",IF(J1608="","Prix manquant",IF(OR(N(K1608)&lt;0,N(K1608)&gt;=1),"Remise invalide",IF(M1608="","TVA manquante",IF(ISNA(MATCH(M1608,p_tva,0)),"Taux de TVA inconnu",IF(COUNTIFS(po_num,A1608,po_sup,"&lt;&gt;"&amp;C1608)&gt;0,"Fournisseur différent sur ce bon",IF(COUNTIFS(po_num,A1608,po_date,"&lt;&gt;"&amp;B1608)&gt;0,"Date différente sur ce bon",IF(COUNTIF(po_num,A1608)&gt;25,"Plus de 25 lignes sur ce bon",IF(R1608="","Date de livraison manquante",IF(R1608&lt;B1608,"Livraison avant la commande",IF(AND(N(T1608)&gt;0,N(S1608)=0),"Date d'envoi manquante",IF(N(T1608)&gt;N(H1608),"Reçu plus que commandé",IF(AND(N(T1608)&gt;0,N(U1608)=0),"Date de réception manquante",IF(AND(N(U1608)&gt;0,U1608&lt;B1608),"Réception avant la commande","OK")))))))))))))))))))))</f>
        <v/>
      </c>
      <c r="AA1608" s="66" t="str">
        <f>IF(AND(X1608="Reçu",ISNUMBER(R1608)),IF(N(U1608)&lt;=R1608,1,0),"")</f>
        <v/>
      </c>
      <c r="AB1608" s="76" t="str">
        <f>IF(OR(X1608="Envoyé",X1608="Partiel",X1608="En retard"),IF(ISNUMBER(R1608),R1608,100000)+ROW()/100000,"")</f>
        <v/>
      </c>
      <c r="AC1608" s="66" t="str">
        <f>IF(A1608="","",IF(COUNTIF($A$6:A1608,A1608)=1,1,""))</f>
        <v/>
      </c>
      <c r="AD1608" s="66" t="str">
        <f>IF(AC1608=1,COUNT($AC$6:AC1608),"")</f>
        <v/>
      </c>
      <c r="AE1608" s="66" t="str">
        <f>IFERROR(INDEX(po_num,MATCH(1603,po_seq,0))&amp;"","")</f>
        <v/>
      </c>
      <c r="AF1608" s="66" t="str">
        <f>IF(OR(A1608="",p_po=""),"",IF(A1608&amp;""=p_po,COUNTIF($A$6:A1608,A1608),""))</f>
        <v/>
      </c>
      <c r="AG1608" s="66" t="str">
        <f>IF(OR(AB1608="",A1608=""),"",IF(COUNTIFS($A$6:A1608,A1608,$AB$6:AB1608,"&gt;0")=1,1,""))</f>
        <v/>
      </c>
      <c r="AH1608" s="70" t="str">
        <f>IF(AB1608="","",ROUND(N(W1608)*N(J1608)*(1-N(K1608)),2))</f>
        <v/>
      </c>
      <c r="AI1608" s="70" t="str">
        <f>IF(OR(J1608="",N(T1608)&lt;=0,V1608="Oui"),"",ROUND(N(T1608)*J1608*(1-N(K1608)),2))</f>
        <v/>
      </c>
    </row>
    <row r="1609">
      <c r="A1609" s="63" t="n"/>
      <c r="B1609" s="64" t="n"/>
      <c r="C1609" s="65" t="n"/>
      <c r="D1609" s="66" t="str">
        <f>IF(C1609="","",IFERROR(INDEX(sup_name,MATCH($C1609,sup_code,0))&amp;"","Fournisseur inconnu"))</f>
        <v/>
      </c>
      <c r="E1609" s="63" t="n"/>
      <c r="F1609" s="66" t="str">
        <f>IF(E1609="","",IFERROR(INDEX(art_des,MATCH($E1609,art_ref,0))&amp;"","Article inconnu"))</f>
        <v/>
      </c>
      <c r="G1609" s="67" t="str">
        <f>IF(E1609="","",IFERROR(INDEX(art_unit,MATCH($E1609,art_ref,0))&amp;"",""))</f>
        <v/>
      </c>
      <c r="H1609" s="68" t="n"/>
      <c r="I1609" s="69" t="n"/>
      <c r="J1609" s="70" t="str">
        <f>IF(E1609="","",IF(ISNUMBER(I1609),I1609,IFERROR(IF(ISNUMBER(INDEX(art_price,MATCH($E1609,art_ref,0))),INDEX(art_price,MATCH($E1609,art_ref,0)),""),"")))</f>
        <v/>
      </c>
      <c r="K1609" s="71" t="n"/>
      <c r="L1609" s="72" t="n"/>
      <c r="M1609" s="72" t="str">
        <f>IF(E1609="","",IF(L1609&lt;&gt;"",L1609,IFERROR(IF(ISNUMBER(INDEX(art_tva,MATCH($E1609,art_ref,0))),INDEX(art_tva,MATCH($E1609,art_ref,0)),""),"")))</f>
        <v/>
      </c>
      <c r="N1609" s="70" t="str">
        <f>IF(OR(E1609="",J1609=""),"",ROUND(N(H1609)*J1609*(1-N(K1609)),2))</f>
        <v/>
      </c>
      <c r="O1609" s="70" t="str">
        <f>IF(OR(N1609="",NOT(ISNUMBER(M1609))),"",ROUND(N1609*M1609,2))</f>
        <v/>
      </c>
      <c r="P1609" s="70" t="str">
        <f>IF(N1609="","",N1609+N(O1609))</f>
        <v/>
      </c>
      <c r="Q1609" s="64" t="n"/>
      <c r="R1609" s="73" t="str">
        <f>IF(N(Q1609)&gt;0,Q1609,IF(OR(N(B1609)=0,ISNA(MATCH($C1609,sup_code,0))),"",IF(ISNUMBER(INDEX(sup_delay,MATCH($C1609,sup_code,0))),B1609+INDEX(sup_delay,MATCH($C1609,sup_code,0)),"")))</f>
        <v/>
      </c>
      <c r="S1609" s="64" t="n"/>
      <c r="T1609" s="68" t="n"/>
      <c r="U1609" s="64" t="n"/>
      <c r="V1609" s="65" t="n"/>
      <c r="W1609" s="74" t="str">
        <f>IF(AND(A1609="",E1609=""),"",IF(V1609="Oui",0,MAX(0,ROUND(N(H1609)-N(T1609),6))))</f>
        <v/>
      </c>
      <c r="X1609" s="67" t="str">
        <f>IF(AND(A1609="",E1609=""),"",IF(V1609="Oui","Annulé",IF(AND(N(H1609)&gt;0,N(T1609)&gt;=N(H1609)),"Reçu",IF(N(S1609)=0,"Brouillon",IF(AND(ISNUMBER(R1609),R1609&lt;p_today),"En retard",IF(N(T1609)&gt;0,"Partiel","Envoyé"))))))</f>
        <v/>
      </c>
      <c r="Y1609" s="75" t="str">
        <f>IF(X1609="En retard",p_today-R1609,IF(AND(X1609="Reçu",ISNUMBER(R1609)),MAX(0,N(U1609)-R1609),""))</f>
        <v/>
      </c>
      <c r="Z1609" s="67" t="str">
        <f>IF(AND(A1609="",E1609=""),"",IF(A1609="","N° de bon manquant",IF(N(B1609)=0,"Date de commande manquante",IF(C1609="","Fournisseur manquant",IF(ISNA(MATCH($C1609,sup_code,0)),"Fournisseur inconnu",IF(E1609="","Article manquant",IF(ISNA(MATCH($E1609,art_ref,0)),"Article inconnu",IF(N(H1609)&lt;=0,"Quantité invalide",IF(J1609="","Prix manquant",IF(OR(N(K1609)&lt;0,N(K1609)&gt;=1),"Remise invalide",IF(M1609="","TVA manquante",IF(ISNA(MATCH(M1609,p_tva,0)),"Taux de TVA inconnu",IF(COUNTIFS(po_num,A1609,po_sup,"&lt;&gt;"&amp;C1609)&gt;0,"Fournisseur différent sur ce bon",IF(COUNTIFS(po_num,A1609,po_date,"&lt;&gt;"&amp;B1609)&gt;0,"Date différente sur ce bon",IF(COUNTIF(po_num,A1609)&gt;25,"Plus de 25 lignes sur ce bon",IF(R1609="","Date de livraison manquante",IF(R1609&lt;B1609,"Livraison avant la commande",IF(AND(N(T1609)&gt;0,N(S1609)=0),"Date d'envoi manquante",IF(N(T1609)&gt;N(H1609),"Reçu plus que commandé",IF(AND(N(T1609)&gt;0,N(U1609)=0),"Date de réception manquante",IF(AND(N(U1609)&gt;0,U1609&lt;B1609),"Réception avant la commande","OK")))))))))))))))))))))</f>
        <v/>
      </c>
      <c r="AA1609" s="66" t="str">
        <f>IF(AND(X1609="Reçu",ISNUMBER(R1609)),IF(N(U1609)&lt;=R1609,1,0),"")</f>
        <v/>
      </c>
      <c r="AB1609" s="76" t="str">
        <f>IF(OR(X1609="Envoyé",X1609="Partiel",X1609="En retard"),IF(ISNUMBER(R1609),R1609,100000)+ROW()/100000,"")</f>
        <v/>
      </c>
      <c r="AC1609" s="66" t="str">
        <f>IF(A1609="","",IF(COUNTIF($A$6:A1609,A1609)=1,1,""))</f>
        <v/>
      </c>
      <c r="AD1609" s="66" t="str">
        <f>IF(AC1609=1,COUNT($AC$6:AC1609),"")</f>
        <v/>
      </c>
      <c r="AE1609" s="66" t="str">
        <f>IFERROR(INDEX(po_num,MATCH(1604,po_seq,0))&amp;"","")</f>
        <v/>
      </c>
      <c r="AF1609" s="66" t="str">
        <f>IF(OR(A1609="",p_po=""),"",IF(A1609&amp;""=p_po,COUNTIF($A$6:A1609,A1609),""))</f>
        <v/>
      </c>
      <c r="AG1609" s="66" t="str">
        <f>IF(OR(AB1609="",A1609=""),"",IF(COUNTIFS($A$6:A1609,A1609,$AB$6:AB1609,"&gt;0")=1,1,""))</f>
        <v/>
      </c>
      <c r="AH1609" s="70" t="str">
        <f>IF(AB1609="","",ROUND(N(W1609)*N(J1609)*(1-N(K1609)),2))</f>
        <v/>
      </c>
      <c r="AI1609" s="70" t="str">
        <f>IF(OR(J1609="",N(T1609)&lt;=0,V1609="Oui"),"",ROUND(N(T1609)*J1609*(1-N(K1609)),2))</f>
        <v/>
      </c>
    </row>
    <row r="1610">
      <c r="A1610" s="63" t="n"/>
      <c r="B1610" s="64" t="n"/>
      <c r="C1610" s="65" t="n"/>
      <c r="D1610" s="66" t="str">
        <f>IF(C1610="","",IFERROR(INDEX(sup_name,MATCH($C1610,sup_code,0))&amp;"","Fournisseur inconnu"))</f>
        <v/>
      </c>
      <c r="E1610" s="63" t="n"/>
      <c r="F1610" s="66" t="str">
        <f>IF(E1610="","",IFERROR(INDEX(art_des,MATCH($E1610,art_ref,0))&amp;"","Article inconnu"))</f>
        <v/>
      </c>
      <c r="G1610" s="67" t="str">
        <f>IF(E1610="","",IFERROR(INDEX(art_unit,MATCH($E1610,art_ref,0))&amp;"",""))</f>
        <v/>
      </c>
      <c r="H1610" s="68" t="n"/>
      <c r="I1610" s="69" t="n"/>
      <c r="J1610" s="70" t="str">
        <f>IF(E1610="","",IF(ISNUMBER(I1610),I1610,IFERROR(IF(ISNUMBER(INDEX(art_price,MATCH($E1610,art_ref,0))),INDEX(art_price,MATCH($E1610,art_ref,0)),""),"")))</f>
        <v/>
      </c>
      <c r="K1610" s="71" t="n"/>
      <c r="L1610" s="72" t="n"/>
      <c r="M1610" s="72" t="str">
        <f>IF(E1610="","",IF(L1610&lt;&gt;"",L1610,IFERROR(IF(ISNUMBER(INDEX(art_tva,MATCH($E1610,art_ref,0))),INDEX(art_tva,MATCH($E1610,art_ref,0)),""),"")))</f>
        <v/>
      </c>
      <c r="N1610" s="70" t="str">
        <f>IF(OR(E1610="",J1610=""),"",ROUND(N(H1610)*J1610*(1-N(K1610)),2))</f>
        <v/>
      </c>
      <c r="O1610" s="70" t="str">
        <f>IF(OR(N1610="",NOT(ISNUMBER(M1610))),"",ROUND(N1610*M1610,2))</f>
        <v/>
      </c>
      <c r="P1610" s="70" t="str">
        <f>IF(N1610="","",N1610+N(O1610))</f>
        <v/>
      </c>
      <c r="Q1610" s="64" t="n"/>
      <c r="R1610" s="73" t="str">
        <f>IF(N(Q1610)&gt;0,Q1610,IF(OR(N(B1610)=0,ISNA(MATCH($C1610,sup_code,0))),"",IF(ISNUMBER(INDEX(sup_delay,MATCH($C1610,sup_code,0))),B1610+INDEX(sup_delay,MATCH($C1610,sup_code,0)),"")))</f>
        <v/>
      </c>
      <c r="S1610" s="64" t="n"/>
      <c r="T1610" s="68" t="n"/>
      <c r="U1610" s="64" t="n"/>
      <c r="V1610" s="65" t="n"/>
      <c r="W1610" s="74" t="str">
        <f>IF(AND(A1610="",E1610=""),"",IF(V1610="Oui",0,MAX(0,ROUND(N(H1610)-N(T1610),6))))</f>
        <v/>
      </c>
      <c r="X1610" s="67" t="str">
        <f>IF(AND(A1610="",E1610=""),"",IF(V1610="Oui","Annulé",IF(AND(N(H1610)&gt;0,N(T1610)&gt;=N(H1610)),"Reçu",IF(N(S1610)=0,"Brouillon",IF(AND(ISNUMBER(R1610),R1610&lt;p_today),"En retard",IF(N(T1610)&gt;0,"Partiel","Envoyé"))))))</f>
        <v/>
      </c>
      <c r="Y1610" s="75" t="str">
        <f>IF(X1610="En retard",p_today-R1610,IF(AND(X1610="Reçu",ISNUMBER(R1610)),MAX(0,N(U1610)-R1610),""))</f>
        <v/>
      </c>
      <c r="Z1610" s="67" t="str">
        <f>IF(AND(A1610="",E1610=""),"",IF(A1610="","N° de bon manquant",IF(N(B1610)=0,"Date de commande manquante",IF(C1610="","Fournisseur manquant",IF(ISNA(MATCH($C1610,sup_code,0)),"Fournisseur inconnu",IF(E1610="","Article manquant",IF(ISNA(MATCH($E1610,art_ref,0)),"Article inconnu",IF(N(H1610)&lt;=0,"Quantité invalide",IF(J1610="","Prix manquant",IF(OR(N(K1610)&lt;0,N(K1610)&gt;=1),"Remise invalide",IF(M1610="","TVA manquante",IF(ISNA(MATCH(M1610,p_tva,0)),"Taux de TVA inconnu",IF(COUNTIFS(po_num,A1610,po_sup,"&lt;&gt;"&amp;C1610)&gt;0,"Fournisseur différent sur ce bon",IF(COUNTIFS(po_num,A1610,po_date,"&lt;&gt;"&amp;B1610)&gt;0,"Date différente sur ce bon",IF(COUNTIF(po_num,A1610)&gt;25,"Plus de 25 lignes sur ce bon",IF(R1610="","Date de livraison manquante",IF(R1610&lt;B1610,"Livraison avant la commande",IF(AND(N(T1610)&gt;0,N(S1610)=0),"Date d'envoi manquante",IF(N(T1610)&gt;N(H1610),"Reçu plus que commandé",IF(AND(N(T1610)&gt;0,N(U1610)=0),"Date de réception manquante",IF(AND(N(U1610)&gt;0,U1610&lt;B1610),"Réception avant la commande","OK")))))))))))))))))))))</f>
        <v/>
      </c>
      <c r="AA1610" s="66" t="str">
        <f>IF(AND(X1610="Reçu",ISNUMBER(R1610)),IF(N(U1610)&lt;=R1610,1,0),"")</f>
        <v/>
      </c>
      <c r="AB1610" s="76" t="str">
        <f>IF(OR(X1610="Envoyé",X1610="Partiel",X1610="En retard"),IF(ISNUMBER(R1610),R1610,100000)+ROW()/100000,"")</f>
        <v/>
      </c>
      <c r="AC1610" s="66" t="str">
        <f>IF(A1610="","",IF(COUNTIF($A$6:A1610,A1610)=1,1,""))</f>
        <v/>
      </c>
      <c r="AD1610" s="66" t="str">
        <f>IF(AC1610=1,COUNT($AC$6:AC1610),"")</f>
        <v/>
      </c>
      <c r="AE1610" s="66" t="str">
        <f>IFERROR(INDEX(po_num,MATCH(1605,po_seq,0))&amp;"","")</f>
        <v/>
      </c>
      <c r="AF1610" s="66" t="str">
        <f>IF(OR(A1610="",p_po=""),"",IF(A1610&amp;""=p_po,COUNTIF($A$6:A1610,A1610),""))</f>
        <v/>
      </c>
      <c r="AG1610" s="66" t="str">
        <f>IF(OR(AB1610="",A1610=""),"",IF(COUNTIFS($A$6:A1610,A1610,$AB$6:AB1610,"&gt;0")=1,1,""))</f>
        <v/>
      </c>
      <c r="AH1610" s="70" t="str">
        <f>IF(AB1610="","",ROUND(N(W1610)*N(J1610)*(1-N(K1610)),2))</f>
        <v/>
      </c>
      <c r="AI1610" s="70" t="str">
        <f>IF(OR(J1610="",N(T1610)&lt;=0,V1610="Oui"),"",ROUND(N(T1610)*J1610*(1-N(K1610)),2))</f>
        <v/>
      </c>
    </row>
    <row r="1611">
      <c r="A1611" s="63" t="n"/>
      <c r="B1611" s="64" t="n"/>
      <c r="C1611" s="65" t="n"/>
      <c r="D1611" s="66" t="str">
        <f>IF(C1611="","",IFERROR(INDEX(sup_name,MATCH($C1611,sup_code,0))&amp;"","Fournisseur inconnu"))</f>
        <v/>
      </c>
      <c r="E1611" s="63" t="n"/>
      <c r="F1611" s="66" t="str">
        <f>IF(E1611="","",IFERROR(INDEX(art_des,MATCH($E1611,art_ref,0))&amp;"","Article inconnu"))</f>
        <v/>
      </c>
      <c r="G1611" s="67" t="str">
        <f>IF(E1611="","",IFERROR(INDEX(art_unit,MATCH($E1611,art_ref,0))&amp;"",""))</f>
        <v/>
      </c>
      <c r="H1611" s="68" t="n"/>
      <c r="I1611" s="69" t="n"/>
      <c r="J1611" s="70" t="str">
        <f>IF(E1611="","",IF(ISNUMBER(I1611),I1611,IFERROR(IF(ISNUMBER(INDEX(art_price,MATCH($E1611,art_ref,0))),INDEX(art_price,MATCH($E1611,art_ref,0)),""),"")))</f>
        <v/>
      </c>
      <c r="K1611" s="71" t="n"/>
      <c r="L1611" s="72" t="n"/>
      <c r="M1611" s="72" t="str">
        <f>IF(E1611="","",IF(L1611&lt;&gt;"",L1611,IFERROR(IF(ISNUMBER(INDEX(art_tva,MATCH($E1611,art_ref,0))),INDEX(art_tva,MATCH($E1611,art_ref,0)),""),"")))</f>
        <v/>
      </c>
      <c r="N1611" s="70" t="str">
        <f>IF(OR(E1611="",J1611=""),"",ROUND(N(H1611)*J1611*(1-N(K1611)),2))</f>
        <v/>
      </c>
      <c r="O1611" s="70" t="str">
        <f>IF(OR(N1611="",NOT(ISNUMBER(M1611))),"",ROUND(N1611*M1611,2))</f>
        <v/>
      </c>
      <c r="P1611" s="70" t="str">
        <f>IF(N1611="","",N1611+N(O1611))</f>
        <v/>
      </c>
      <c r="Q1611" s="64" t="n"/>
      <c r="R1611" s="73" t="str">
        <f>IF(N(Q1611)&gt;0,Q1611,IF(OR(N(B1611)=0,ISNA(MATCH($C1611,sup_code,0))),"",IF(ISNUMBER(INDEX(sup_delay,MATCH($C1611,sup_code,0))),B1611+INDEX(sup_delay,MATCH($C1611,sup_code,0)),"")))</f>
        <v/>
      </c>
      <c r="S1611" s="64" t="n"/>
      <c r="T1611" s="68" t="n"/>
      <c r="U1611" s="64" t="n"/>
      <c r="V1611" s="65" t="n"/>
      <c r="W1611" s="74" t="str">
        <f>IF(AND(A1611="",E1611=""),"",IF(V1611="Oui",0,MAX(0,ROUND(N(H1611)-N(T1611),6))))</f>
        <v/>
      </c>
      <c r="X1611" s="67" t="str">
        <f>IF(AND(A1611="",E1611=""),"",IF(V1611="Oui","Annulé",IF(AND(N(H1611)&gt;0,N(T1611)&gt;=N(H1611)),"Reçu",IF(N(S1611)=0,"Brouillon",IF(AND(ISNUMBER(R1611),R1611&lt;p_today),"En retard",IF(N(T1611)&gt;0,"Partiel","Envoyé"))))))</f>
        <v/>
      </c>
      <c r="Y1611" s="75" t="str">
        <f>IF(X1611="En retard",p_today-R1611,IF(AND(X1611="Reçu",ISNUMBER(R1611)),MAX(0,N(U1611)-R1611),""))</f>
        <v/>
      </c>
      <c r="Z1611" s="67" t="str">
        <f>IF(AND(A1611="",E1611=""),"",IF(A1611="","N° de bon manquant",IF(N(B1611)=0,"Date de commande manquante",IF(C1611="","Fournisseur manquant",IF(ISNA(MATCH($C1611,sup_code,0)),"Fournisseur inconnu",IF(E1611="","Article manquant",IF(ISNA(MATCH($E1611,art_ref,0)),"Article inconnu",IF(N(H1611)&lt;=0,"Quantité invalide",IF(J1611="","Prix manquant",IF(OR(N(K1611)&lt;0,N(K1611)&gt;=1),"Remise invalide",IF(M1611="","TVA manquante",IF(ISNA(MATCH(M1611,p_tva,0)),"Taux de TVA inconnu",IF(COUNTIFS(po_num,A1611,po_sup,"&lt;&gt;"&amp;C1611)&gt;0,"Fournisseur différent sur ce bon",IF(COUNTIFS(po_num,A1611,po_date,"&lt;&gt;"&amp;B1611)&gt;0,"Date différente sur ce bon",IF(COUNTIF(po_num,A1611)&gt;25,"Plus de 25 lignes sur ce bon",IF(R1611="","Date de livraison manquante",IF(R1611&lt;B1611,"Livraison avant la commande",IF(AND(N(T1611)&gt;0,N(S1611)=0),"Date d'envoi manquante",IF(N(T1611)&gt;N(H1611),"Reçu plus que commandé",IF(AND(N(T1611)&gt;0,N(U1611)=0),"Date de réception manquante",IF(AND(N(U1611)&gt;0,U1611&lt;B1611),"Réception avant la commande","OK")))))))))))))))))))))</f>
        <v/>
      </c>
      <c r="AA1611" s="66" t="str">
        <f>IF(AND(X1611="Reçu",ISNUMBER(R1611)),IF(N(U1611)&lt;=R1611,1,0),"")</f>
        <v/>
      </c>
      <c r="AB1611" s="76" t="str">
        <f>IF(OR(X1611="Envoyé",X1611="Partiel",X1611="En retard"),IF(ISNUMBER(R1611),R1611,100000)+ROW()/100000,"")</f>
        <v/>
      </c>
      <c r="AC1611" s="66" t="str">
        <f>IF(A1611="","",IF(COUNTIF($A$6:A1611,A1611)=1,1,""))</f>
        <v/>
      </c>
      <c r="AD1611" s="66" t="str">
        <f>IF(AC1611=1,COUNT($AC$6:AC1611),"")</f>
        <v/>
      </c>
      <c r="AE1611" s="66" t="str">
        <f>IFERROR(INDEX(po_num,MATCH(1606,po_seq,0))&amp;"","")</f>
        <v/>
      </c>
      <c r="AF1611" s="66" t="str">
        <f>IF(OR(A1611="",p_po=""),"",IF(A1611&amp;""=p_po,COUNTIF($A$6:A1611,A1611),""))</f>
        <v/>
      </c>
      <c r="AG1611" s="66" t="str">
        <f>IF(OR(AB1611="",A1611=""),"",IF(COUNTIFS($A$6:A1611,A1611,$AB$6:AB1611,"&gt;0")=1,1,""))</f>
        <v/>
      </c>
      <c r="AH1611" s="70" t="str">
        <f>IF(AB1611="","",ROUND(N(W1611)*N(J1611)*(1-N(K1611)),2))</f>
        <v/>
      </c>
      <c r="AI1611" s="70" t="str">
        <f>IF(OR(J1611="",N(T1611)&lt;=0,V1611="Oui"),"",ROUND(N(T1611)*J1611*(1-N(K1611)),2))</f>
        <v/>
      </c>
    </row>
    <row r="1612">
      <c r="A1612" s="63" t="n"/>
      <c r="B1612" s="64" t="n"/>
      <c r="C1612" s="65" t="n"/>
      <c r="D1612" s="66" t="str">
        <f>IF(C1612="","",IFERROR(INDEX(sup_name,MATCH($C1612,sup_code,0))&amp;"","Fournisseur inconnu"))</f>
        <v/>
      </c>
      <c r="E1612" s="63" t="n"/>
      <c r="F1612" s="66" t="str">
        <f>IF(E1612="","",IFERROR(INDEX(art_des,MATCH($E1612,art_ref,0))&amp;"","Article inconnu"))</f>
        <v/>
      </c>
      <c r="G1612" s="67" t="str">
        <f>IF(E1612="","",IFERROR(INDEX(art_unit,MATCH($E1612,art_ref,0))&amp;"",""))</f>
        <v/>
      </c>
      <c r="H1612" s="68" t="n"/>
      <c r="I1612" s="69" t="n"/>
      <c r="J1612" s="70" t="str">
        <f>IF(E1612="","",IF(ISNUMBER(I1612),I1612,IFERROR(IF(ISNUMBER(INDEX(art_price,MATCH($E1612,art_ref,0))),INDEX(art_price,MATCH($E1612,art_ref,0)),""),"")))</f>
        <v/>
      </c>
      <c r="K1612" s="71" t="n"/>
      <c r="L1612" s="72" t="n"/>
      <c r="M1612" s="72" t="str">
        <f>IF(E1612="","",IF(L1612&lt;&gt;"",L1612,IFERROR(IF(ISNUMBER(INDEX(art_tva,MATCH($E1612,art_ref,0))),INDEX(art_tva,MATCH($E1612,art_ref,0)),""),"")))</f>
        <v/>
      </c>
      <c r="N1612" s="70" t="str">
        <f>IF(OR(E1612="",J1612=""),"",ROUND(N(H1612)*J1612*(1-N(K1612)),2))</f>
        <v/>
      </c>
      <c r="O1612" s="70" t="str">
        <f>IF(OR(N1612="",NOT(ISNUMBER(M1612))),"",ROUND(N1612*M1612,2))</f>
        <v/>
      </c>
      <c r="P1612" s="70" t="str">
        <f>IF(N1612="","",N1612+N(O1612))</f>
        <v/>
      </c>
      <c r="Q1612" s="64" t="n"/>
      <c r="R1612" s="73" t="str">
        <f>IF(N(Q1612)&gt;0,Q1612,IF(OR(N(B1612)=0,ISNA(MATCH($C1612,sup_code,0))),"",IF(ISNUMBER(INDEX(sup_delay,MATCH($C1612,sup_code,0))),B1612+INDEX(sup_delay,MATCH($C1612,sup_code,0)),"")))</f>
        <v/>
      </c>
      <c r="S1612" s="64" t="n"/>
      <c r="T1612" s="68" t="n"/>
      <c r="U1612" s="64" t="n"/>
      <c r="V1612" s="65" t="n"/>
      <c r="W1612" s="74" t="str">
        <f>IF(AND(A1612="",E1612=""),"",IF(V1612="Oui",0,MAX(0,ROUND(N(H1612)-N(T1612),6))))</f>
        <v/>
      </c>
      <c r="X1612" s="67" t="str">
        <f>IF(AND(A1612="",E1612=""),"",IF(V1612="Oui","Annulé",IF(AND(N(H1612)&gt;0,N(T1612)&gt;=N(H1612)),"Reçu",IF(N(S1612)=0,"Brouillon",IF(AND(ISNUMBER(R1612),R1612&lt;p_today),"En retard",IF(N(T1612)&gt;0,"Partiel","Envoyé"))))))</f>
        <v/>
      </c>
      <c r="Y1612" s="75" t="str">
        <f>IF(X1612="En retard",p_today-R1612,IF(AND(X1612="Reçu",ISNUMBER(R1612)),MAX(0,N(U1612)-R1612),""))</f>
        <v/>
      </c>
      <c r="Z1612" s="67" t="str">
        <f>IF(AND(A1612="",E1612=""),"",IF(A1612="","N° de bon manquant",IF(N(B1612)=0,"Date de commande manquante",IF(C1612="","Fournisseur manquant",IF(ISNA(MATCH($C1612,sup_code,0)),"Fournisseur inconnu",IF(E1612="","Article manquant",IF(ISNA(MATCH($E1612,art_ref,0)),"Article inconnu",IF(N(H1612)&lt;=0,"Quantité invalide",IF(J1612="","Prix manquant",IF(OR(N(K1612)&lt;0,N(K1612)&gt;=1),"Remise invalide",IF(M1612="","TVA manquante",IF(ISNA(MATCH(M1612,p_tva,0)),"Taux de TVA inconnu",IF(COUNTIFS(po_num,A1612,po_sup,"&lt;&gt;"&amp;C1612)&gt;0,"Fournisseur différent sur ce bon",IF(COUNTIFS(po_num,A1612,po_date,"&lt;&gt;"&amp;B1612)&gt;0,"Date différente sur ce bon",IF(COUNTIF(po_num,A1612)&gt;25,"Plus de 25 lignes sur ce bon",IF(R1612="","Date de livraison manquante",IF(R1612&lt;B1612,"Livraison avant la commande",IF(AND(N(T1612)&gt;0,N(S1612)=0),"Date d'envoi manquante",IF(N(T1612)&gt;N(H1612),"Reçu plus que commandé",IF(AND(N(T1612)&gt;0,N(U1612)=0),"Date de réception manquante",IF(AND(N(U1612)&gt;0,U1612&lt;B1612),"Réception avant la commande","OK")))))))))))))))))))))</f>
        <v/>
      </c>
      <c r="AA1612" s="66" t="str">
        <f>IF(AND(X1612="Reçu",ISNUMBER(R1612)),IF(N(U1612)&lt;=R1612,1,0),"")</f>
        <v/>
      </c>
      <c r="AB1612" s="76" t="str">
        <f>IF(OR(X1612="Envoyé",X1612="Partiel",X1612="En retard"),IF(ISNUMBER(R1612),R1612,100000)+ROW()/100000,"")</f>
        <v/>
      </c>
      <c r="AC1612" s="66" t="str">
        <f>IF(A1612="","",IF(COUNTIF($A$6:A1612,A1612)=1,1,""))</f>
        <v/>
      </c>
      <c r="AD1612" s="66" t="str">
        <f>IF(AC1612=1,COUNT($AC$6:AC1612),"")</f>
        <v/>
      </c>
      <c r="AE1612" s="66" t="str">
        <f>IFERROR(INDEX(po_num,MATCH(1607,po_seq,0))&amp;"","")</f>
        <v/>
      </c>
      <c r="AF1612" s="66" t="str">
        <f>IF(OR(A1612="",p_po=""),"",IF(A1612&amp;""=p_po,COUNTIF($A$6:A1612,A1612),""))</f>
        <v/>
      </c>
      <c r="AG1612" s="66" t="str">
        <f>IF(OR(AB1612="",A1612=""),"",IF(COUNTIFS($A$6:A1612,A1612,$AB$6:AB1612,"&gt;0")=1,1,""))</f>
        <v/>
      </c>
      <c r="AH1612" s="70" t="str">
        <f>IF(AB1612="","",ROUND(N(W1612)*N(J1612)*(1-N(K1612)),2))</f>
        <v/>
      </c>
      <c r="AI1612" s="70" t="str">
        <f>IF(OR(J1612="",N(T1612)&lt;=0,V1612="Oui"),"",ROUND(N(T1612)*J1612*(1-N(K1612)),2))</f>
        <v/>
      </c>
    </row>
    <row r="1613">
      <c r="A1613" s="63" t="n"/>
      <c r="B1613" s="64" t="n"/>
      <c r="C1613" s="65" t="n"/>
      <c r="D1613" s="66" t="str">
        <f>IF(C1613="","",IFERROR(INDEX(sup_name,MATCH($C1613,sup_code,0))&amp;"","Fournisseur inconnu"))</f>
        <v/>
      </c>
      <c r="E1613" s="63" t="n"/>
      <c r="F1613" s="66" t="str">
        <f>IF(E1613="","",IFERROR(INDEX(art_des,MATCH($E1613,art_ref,0))&amp;"","Article inconnu"))</f>
        <v/>
      </c>
      <c r="G1613" s="67" t="str">
        <f>IF(E1613="","",IFERROR(INDEX(art_unit,MATCH($E1613,art_ref,0))&amp;"",""))</f>
        <v/>
      </c>
      <c r="H1613" s="68" t="n"/>
      <c r="I1613" s="69" t="n"/>
      <c r="J1613" s="70" t="str">
        <f>IF(E1613="","",IF(ISNUMBER(I1613),I1613,IFERROR(IF(ISNUMBER(INDEX(art_price,MATCH($E1613,art_ref,0))),INDEX(art_price,MATCH($E1613,art_ref,0)),""),"")))</f>
        <v/>
      </c>
      <c r="K1613" s="71" t="n"/>
      <c r="L1613" s="72" t="n"/>
      <c r="M1613" s="72" t="str">
        <f>IF(E1613="","",IF(L1613&lt;&gt;"",L1613,IFERROR(IF(ISNUMBER(INDEX(art_tva,MATCH($E1613,art_ref,0))),INDEX(art_tva,MATCH($E1613,art_ref,0)),""),"")))</f>
        <v/>
      </c>
      <c r="N1613" s="70" t="str">
        <f>IF(OR(E1613="",J1613=""),"",ROUND(N(H1613)*J1613*(1-N(K1613)),2))</f>
        <v/>
      </c>
      <c r="O1613" s="70" t="str">
        <f>IF(OR(N1613="",NOT(ISNUMBER(M1613))),"",ROUND(N1613*M1613,2))</f>
        <v/>
      </c>
      <c r="P1613" s="70" t="str">
        <f>IF(N1613="","",N1613+N(O1613))</f>
        <v/>
      </c>
      <c r="Q1613" s="64" t="n"/>
      <c r="R1613" s="73" t="str">
        <f>IF(N(Q1613)&gt;0,Q1613,IF(OR(N(B1613)=0,ISNA(MATCH($C1613,sup_code,0))),"",IF(ISNUMBER(INDEX(sup_delay,MATCH($C1613,sup_code,0))),B1613+INDEX(sup_delay,MATCH($C1613,sup_code,0)),"")))</f>
        <v/>
      </c>
      <c r="S1613" s="64" t="n"/>
      <c r="T1613" s="68" t="n"/>
      <c r="U1613" s="64" t="n"/>
      <c r="V1613" s="65" t="n"/>
      <c r="W1613" s="74" t="str">
        <f>IF(AND(A1613="",E1613=""),"",IF(V1613="Oui",0,MAX(0,ROUND(N(H1613)-N(T1613),6))))</f>
        <v/>
      </c>
      <c r="X1613" s="67" t="str">
        <f>IF(AND(A1613="",E1613=""),"",IF(V1613="Oui","Annulé",IF(AND(N(H1613)&gt;0,N(T1613)&gt;=N(H1613)),"Reçu",IF(N(S1613)=0,"Brouillon",IF(AND(ISNUMBER(R1613),R1613&lt;p_today),"En retard",IF(N(T1613)&gt;0,"Partiel","Envoyé"))))))</f>
        <v/>
      </c>
      <c r="Y1613" s="75" t="str">
        <f>IF(X1613="En retard",p_today-R1613,IF(AND(X1613="Reçu",ISNUMBER(R1613)),MAX(0,N(U1613)-R1613),""))</f>
        <v/>
      </c>
      <c r="Z1613" s="67" t="str">
        <f>IF(AND(A1613="",E1613=""),"",IF(A1613="","N° de bon manquant",IF(N(B1613)=0,"Date de commande manquante",IF(C1613="","Fournisseur manquant",IF(ISNA(MATCH($C1613,sup_code,0)),"Fournisseur inconnu",IF(E1613="","Article manquant",IF(ISNA(MATCH($E1613,art_ref,0)),"Article inconnu",IF(N(H1613)&lt;=0,"Quantité invalide",IF(J1613="","Prix manquant",IF(OR(N(K1613)&lt;0,N(K1613)&gt;=1),"Remise invalide",IF(M1613="","TVA manquante",IF(ISNA(MATCH(M1613,p_tva,0)),"Taux de TVA inconnu",IF(COUNTIFS(po_num,A1613,po_sup,"&lt;&gt;"&amp;C1613)&gt;0,"Fournisseur différent sur ce bon",IF(COUNTIFS(po_num,A1613,po_date,"&lt;&gt;"&amp;B1613)&gt;0,"Date différente sur ce bon",IF(COUNTIF(po_num,A1613)&gt;25,"Plus de 25 lignes sur ce bon",IF(R1613="","Date de livraison manquante",IF(R1613&lt;B1613,"Livraison avant la commande",IF(AND(N(T1613)&gt;0,N(S1613)=0),"Date d'envoi manquante",IF(N(T1613)&gt;N(H1613),"Reçu plus que commandé",IF(AND(N(T1613)&gt;0,N(U1613)=0),"Date de réception manquante",IF(AND(N(U1613)&gt;0,U1613&lt;B1613),"Réception avant la commande","OK")))))))))))))))))))))</f>
        <v/>
      </c>
      <c r="AA1613" s="66" t="str">
        <f>IF(AND(X1613="Reçu",ISNUMBER(R1613)),IF(N(U1613)&lt;=R1613,1,0),"")</f>
        <v/>
      </c>
      <c r="AB1613" s="76" t="str">
        <f>IF(OR(X1613="Envoyé",X1613="Partiel",X1613="En retard"),IF(ISNUMBER(R1613),R1613,100000)+ROW()/100000,"")</f>
        <v/>
      </c>
      <c r="AC1613" s="66" t="str">
        <f>IF(A1613="","",IF(COUNTIF($A$6:A1613,A1613)=1,1,""))</f>
        <v/>
      </c>
      <c r="AD1613" s="66" t="str">
        <f>IF(AC1613=1,COUNT($AC$6:AC1613),"")</f>
        <v/>
      </c>
      <c r="AE1613" s="66" t="str">
        <f>IFERROR(INDEX(po_num,MATCH(1608,po_seq,0))&amp;"","")</f>
        <v/>
      </c>
      <c r="AF1613" s="66" t="str">
        <f>IF(OR(A1613="",p_po=""),"",IF(A1613&amp;""=p_po,COUNTIF($A$6:A1613,A1613),""))</f>
        <v/>
      </c>
      <c r="AG1613" s="66" t="str">
        <f>IF(OR(AB1613="",A1613=""),"",IF(COUNTIFS($A$6:A1613,A1613,$AB$6:AB1613,"&gt;0")=1,1,""))</f>
        <v/>
      </c>
      <c r="AH1613" s="70" t="str">
        <f>IF(AB1613="","",ROUND(N(W1613)*N(J1613)*(1-N(K1613)),2))</f>
        <v/>
      </c>
      <c r="AI1613" s="70" t="str">
        <f>IF(OR(J1613="",N(T1613)&lt;=0,V1613="Oui"),"",ROUND(N(T1613)*J1613*(1-N(K1613)),2))</f>
        <v/>
      </c>
    </row>
    <row r="1614">
      <c r="A1614" s="63" t="n"/>
      <c r="B1614" s="64" t="n"/>
      <c r="C1614" s="65" t="n"/>
      <c r="D1614" s="66" t="str">
        <f>IF(C1614="","",IFERROR(INDEX(sup_name,MATCH($C1614,sup_code,0))&amp;"","Fournisseur inconnu"))</f>
        <v/>
      </c>
      <c r="E1614" s="63" t="n"/>
      <c r="F1614" s="66" t="str">
        <f>IF(E1614="","",IFERROR(INDEX(art_des,MATCH($E1614,art_ref,0))&amp;"","Article inconnu"))</f>
        <v/>
      </c>
      <c r="G1614" s="67" t="str">
        <f>IF(E1614="","",IFERROR(INDEX(art_unit,MATCH($E1614,art_ref,0))&amp;"",""))</f>
        <v/>
      </c>
      <c r="H1614" s="68" t="n"/>
      <c r="I1614" s="69" t="n"/>
      <c r="J1614" s="70" t="str">
        <f>IF(E1614="","",IF(ISNUMBER(I1614),I1614,IFERROR(IF(ISNUMBER(INDEX(art_price,MATCH($E1614,art_ref,0))),INDEX(art_price,MATCH($E1614,art_ref,0)),""),"")))</f>
        <v/>
      </c>
      <c r="K1614" s="71" t="n"/>
      <c r="L1614" s="72" t="n"/>
      <c r="M1614" s="72" t="str">
        <f>IF(E1614="","",IF(L1614&lt;&gt;"",L1614,IFERROR(IF(ISNUMBER(INDEX(art_tva,MATCH($E1614,art_ref,0))),INDEX(art_tva,MATCH($E1614,art_ref,0)),""),"")))</f>
        <v/>
      </c>
      <c r="N1614" s="70" t="str">
        <f>IF(OR(E1614="",J1614=""),"",ROUND(N(H1614)*J1614*(1-N(K1614)),2))</f>
        <v/>
      </c>
      <c r="O1614" s="70" t="str">
        <f>IF(OR(N1614="",NOT(ISNUMBER(M1614))),"",ROUND(N1614*M1614,2))</f>
        <v/>
      </c>
      <c r="P1614" s="70" t="str">
        <f>IF(N1614="","",N1614+N(O1614))</f>
        <v/>
      </c>
      <c r="Q1614" s="64" t="n"/>
      <c r="R1614" s="73" t="str">
        <f>IF(N(Q1614)&gt;0,Q1614,IF(OR(N(B1614)=0,ISNA(MATCH($C1614,sup_code,0))),"",IF(ISNUMBER(INDEX(sup_delay,MATCH($C1614,sup_code,0))),B1614+INDEX(sup_delay,MATCH($C1614,sup_code,0)),"")))</f>
        <v/>
      </c>
      <c r="S1614" s="64" t="n"/>
      <c r="T1614" s="68" t="n"/>
      <c r="U1614" s="64" t="n"/>
      <c r="V1614" s="65" t="n"/>
      <c r="W1614" s="74" t="str">
        <f>IF(AND(A1614="",E1614=""),"",IF(V1614="Oui",0,MAX(0,ROUND(N(H1614)-N(T1614),6))))</f>
        <v/>
      </c>
      <c r="X1614" s="67" t="str">
        <f>IF(AND(A1614="",E1614=""),"",IF(V1614="Oui","Annulé",IF(AND(N(H1614)&gt;0,N(T1614)&gt;=N(H1614)),"Reçu",IF(N(S1614)=0,"Brouillon",IF(AND(ISNUMBER(R1614),R1614&lt;p_today),"En retard",IF(N(T1614)&gt;0,"Partiel","Envoyé"))))))</f>
        <v/>
      </c>
      <c r="Y1614" s="75" t="str">
        <f>IF(X1614="En retard",p_today-R1614,IF(AND(X1614="Reçu",ISNUMBER(R1614)),MAX(0,N(U1614)-R1614),""))</f>
        <v/>
      </c>
      <c r="Z1614" s="67" t="str">
        <f>IF(AND(A1614="",E1614=""),"",IF(A1614="","N° de bon manquant",IF(N(B1614)=0,"Date de commande manquante",IF(C1614="","Fournisseur manquant",IF(ISNA(MATCH($C1614,sup_code,0)),"Fournisseur inconnu",IF(E1614="","Article manquant",IF(ISNA(MATCH($E1614,art_ref,0)),"Article inconnu",IF(N(H1614)&lt;=0,"Quantité invalide",IF(J1614="","Prix manquant",IF(OR(N(K1614)&lt;0,N(K1614)&gt;=1),"Remise invalide",IF(M1614="","TVA manquante",IF(ISNA(MATCH(M1614,p_tva,0)),"Taux de TVA inconnu",IF(COUNTIFS(po_num,A1614,po_sup,"&lt;&gt;"&amp;C1614)&gt;0,"Fournisseur différent sur ce bon",IF(COUNTIFS(po_num,A1614,po_date,"&lt;&gt;"&amp;B1614)&gt;0,"Date différente sur ce bon",IF(COUNTIF(po_num,A1614)&gt;25,"Plus de 25 lignes sur ce bon",IF(R1614="","Date de livraison manquante",IF(R1614&lt;B1614,"Livraison avant la commande",IF(AND(N(T1614)&gt;0,N(S1614)=0),"Date d'envoi manquante",IF(N(T1614)&gt;N(H1614),"Reçu plus que commandé",IF(AND(N(T1614)&gt;0,N(U1614)=0),"Date de réception manquante",IF(AND(N(U1614)&gt;0,U1614&lt;B1614),"Réception avant la commande","OK")))))))))))))))))))))</f>
        <v/>
      </c>
      <c r="AA1614" s="66" t="str">
        <f>IF(AND(X1614="Reçu",ISNUMBER(R1614)),IF(N(U1614)&lt;=R1614,1,0),"")</f>
        <v/>
      </c>
      <c r="AB1614" s="76" t="str">
        <f>IF(OR(X1614="Envoyé",X1614="Partiel",X1614="En retard"),IF(ISNUMBER(R1614),R1614,100000)+ROW()/100000,"")</f>
        <v/>
      </c>
      <c r="AC1614" s="66" t="str">
        <f>IF(A1614="","",IF(COUNTIF($A$6:A1614,A1614)=1,1,""))</f>
        <v/>
      </c>
      <c r="AD1614" s="66" t="str">
        <f>IF(AC1614=1,COUNT($AC$6:AC1614),"")</f>
        <v/>
      </c>
      <c r="AE1614" s="66" t="str">
        <f>IFERROR(INDEX(po_num,MATCH(1609,po_seq,0))&amp;"","")</f>
        <v/>
      </c>
      <c r="AF1614" s="66" t="str">
        <f>IF(OR(A1614="",p_po=""),"",IF(A1614&amp;""=p_po,COUNTIF($A$6:A1614,A1614),""))</f>
        <v/>
      </c>
      <c r="AG1614" s="66" t="str">
        <f>IF(OR(AB1614="",A1614=""),"",IF(COUNTIFS($A$6:A1614,A1614,$AB$6:AB1614,"&gt;0")=1,1,""))</f>
        <v/>
      </c>
      <c r="AH1614" s="70" t="str">
        <f>IF(AB1614="","",ROUND(N(W1614)*N(J1614)*(1-N(K1614)),2))</f>
        <v/>
      </c>
      <c r="AI1614" s="70" t="str">
        <f>IF(OR(J1614="",N(T1614)&lt;=0,V1614="Oui"),"",ROUND(N(T1614)*J1614*(1-N(K1614)),2))</f>
        <v/>
      </c>
    </row>
    <row r="1615">
      <c r="A1615" s="63" t="n"/>
      <c r="B1615" s="64" t="n"/>
      <c r="C1615" s="65" t="n"/>
      <c r="D1615" s="66" t="str">
        <f>IF(C1615="","",IFERROR(INDEX(sup_name,MATCH($C1615,sup_code,0))&amp;"","Fournisseur inconnu"))</f>
        <v/>
      </c>
      <c r="E1615" s="63" t="n"/>
      <c r="F1615" s="66" t="str">
        <f>IF(E1615="","",IFERROR(INDEX(art_des,MATCH($E1615,art_ref,0))&amp;"","Article inconnu"))</f>
        <v/>
      </c>
      <c r="G1615" s="67" t="str">
        <f>IF(E1615="","",IFERROR(INDEX(art_unit,MATCH($E1615,art_ref,0))&amp;"",""))</f>
        <v/>
      </c>
      <c r="H1615" s="68" t="n"/>
      <c r="I1615" s="69" t="n"/>
      <c r="J1615" s="70" t="str">
        <f>IF(E1615="","",IF(ISNUMBER(I1615),I1615,IFERROR(IF(ISNUMBER(INDEX(art_price,MATCH($E1615,art_ref,0))),INDEX(art_price,MATCH($E1615,art_ref,0)),""),"")))</f>
        <v/>
      </c>
      <c r="K1615" s="71" t="n"/>
      <c r="L1615" s="72" t="n"/>
      <c r="M1615" s="72" t="str">
        <f>IF(E1615="","",IF(L1615&lt;&gt;"",L1615,IFERROR(IF(ISNUMBER(INDEX(art_tva,MATCH($E1615,art_ref,0))),INDEX(art_tva,MATCH($E1615,art_ref,0)),""),"")))</f>
        <v/>
      </c>
      <c r="N1615" s="70" t="str">
        <f>IF(OR(E1615="",J1615=""),"",ROUND(N(H1615)*J1615*(1-N(K1615)),2))</f>
        <v/>
      </c>
      <c r="O1615" s="70" t="str">
        <f>IF(OR(N1615="",NOT(ISNUMBER(M1615))),"",ROUND(N1615*M1615,2))</f>
        <v/>
      </c>
      <c r="P1615" s="70" t="str">
        <f>IF(N1615="","",N1615+N(O1615))</f>
        <v/>
      </c>
      <c r="Q1615" s="64" t="n"/>
      <c r="R1615" s="73" t="str">
        <f>IF(N(Q1615)&gt;0,Q1615,IF(OR(N(B1615)=0,ISNA(MATCH($C1615,sup_code,0))),"",IF(ISNUMBER(INDEX(sup_delay,MATCH($C1615,sup_code,0))),B1615+INDEX(sup_delay,MATCH($C1615,sup_code,0)),"")))</f>
        <v/>
      </c>
      <c r="S1615" s="64" t="n"/>
      <c r="T1615" s="68" t="n"/>
      <c r="U1615" s="64" t="n"/>
      <c r="V1615" s="65" t="n"/>
      <c r="W1615" s="74" t="str">
        <f>IF(AND(A1615="",E1615=""),"",IF(V1615="Oui",0,MAX(0,ROUND(N(H1615)-N(T1615),6))))</f>
        <v/>
      </c>
      <c r="X1615" s="67" t="str">
        <f>IF(AND(A1615="",E1615=""),"",IF(V1615="Oui","Annulé",IF(AND(N(H1615)&gt;0,N(T1615)&gt;=N(H1615)),"Reçu",IF(N(S1615)=0,"Brouillon",IF(AND(ISNUMBER(R1615),R1615&lt;p_today),"En retard",IF(N(T1615)&gt;0,"Partiel","Envoyé"))))))</f>
        <v/>
      </c>
      <c r="Y1615" s="75" t="str">
        <f>IF(X1615="En retard",p_today-R1615,IF(AND(X1615="Reçu",ISNUMBER(R1615)),MAX(0,N(U1615)-R1615),""))</f>
        <v/>
      </c>
      <c r="Z1615" s="67" t="str">
        <f>IF(AND(A1615="",E1615=""),"",IF(A1615="","N° de bon manquant",IF(N(B1615)=0,"Date de commande manquante",IF(C1615="","Fournisseur manquant",IF(ISNA(MATCH($C1615,sup_code,0)),"Fournisseur inconnu",IF(E1615="","Article manquant",IF(ISNA(MATCH($E1615,art_ref,0)),"Article inconnu",IF(N(H1615)&lt;=0,"Quantité invalide",IF(J1615="","Prix manquant",IF(OR(N(K1615)&lt;0,N(K1615)&gt;=1),"Remise invalide",IF(M1615="","TVA manquante",IF(ISNA(MATCH(M1615,p_tva,0)),"Taux de TVA inconnu",IF(COUNTIFS(po_num,A1615,po_sup,"&lt;&gt;"&amp;C1615)&gt;0,"Fournisseur différent sur ce bon",IF(COUNTIFS(po_num,A1615,po_date,"&lt;&gt;"&amp;B1615)&gt;0,"Date différente sur ce bon",IF(COUNTIF(po_num,A1615)&gt;25,"Plus de 25 lignes sur ce bon",IF(R1615="","Date de livraison manquante",IF(R1615&lt;B1615,"Livraison avant la commande",IF(AND(N(T1615)&gt;0,N(S1615)=0),"Date d'envoi manquante",IF(N(T1615)&gt;N(H1615),"Reçu plus que commandé",IF(AND(N(T1615)&gt;0,N(U1615)=0),"Date de réception manquante",IF(AND(N(U1615)&gt;0,U1615&lt;B1615),"Réception avant la commande","OK")))))))))))))))))))))</f>
        <v/>
      </c>
      <c r="AA1615" s="66" t="str">
        <f>IF(AND(X1615="Reçu",ISNUMBER(R1615)),IF(N(U1615)&lt;=R1615,1,0),"")</f>
        <v/>
      </c>
      <c r="AB1615" s="76" t="str">
        <f>IF(OR(X1615="Envoyé",X1615="Partiel",X1615="En retard"),IF(ISNUMBER(R1615),R1615,100000)+ROW()/100000,"")</f>
        <v/>
      </c>
      <c r="AC1615" s="66" t="str">
        <f>IF(A1615="","",IF(COUNTIF($A$6:A1615,A1615)=1,1,""))</f>
        <v/>
      </c>
      <c r="AD1615" s="66" t="str">
        <f>IF(AC1615=1,COUNT($AC$6:AC1615),"")</f>
        <v/>
      </c>
      <c r="AE1615" s="66" t="str">
        <f>IFERROR(INDEX(po_num,MATCH(1610,po_seq,0))&amp;"","")</f>
        <v/>
      </c>
      <c r="AF1615" s="66" t="str">
        <f>IF(OR(A1615="",p_po=""),"",IF(A1615&amp;""=p_po,COUNTIF($A$6:A1615,A1615),""))</f>
        <v/>
      </c>
      <c r="AG1615" s="66" t="str">
        <f>IF(OR(AB1615="",A1615=""),"",IF(COUNTIFS($A$6:A1615,A1615,$AB$6:AB1615,"&gt;0")=1,1,""))</f>
        <v/>
      </c>
      <c r="AH1615" s="70" t="str">
        <f>IF(AB1615="","",ROUND(N(W1615)*N(J1615)*(1-N(K1615)),2))</f>
        <v/>
      </c>
      <c r="AI1615" s="70" t="str">
        <f>IF(OR(J1615="",N(T1615)&lt;=0,V1615="Oui"),"",ROUND(N(T1615)*J1615*(1-N(K1615)),2))</f>
        <v/>
      </c>
    </row>
    <row r="1616">
      <c r="A1616" s="63" t="n"/>
      <c r="B1616" s="64" t="n"/>
      <c r="C1616" s="65" t="n"/>
      <c r="D1616" s="66" t="str">
        <f>IF(C1616="","",IFERROR(INDEX(sup_name,MATCH($C1616,sup_code,0))&amp;"","Fournisseur inconnu"))</f>
        <v/>
      </c>
      <c r="E1616" s="63" t="n"/>
      <c r="F1616" s="66" t="str">
        <f>IF(E1616="","",IFERROR(INDEX(art_des,MATCH($E1616,art_ref,0))&amp;"","Article inconnu"))</f>
        <v/>
      </c>
      <c r="G1616" s="67" t="str">
        <f>IF(E1616="","",IFERROR(INDEX(art_unit,MATCH($E1616,art_ref,0))&amp;"",""))</f>
        <v/>
      </c>
      <c r="H1616" s="68" t="n"/>
      <c r="I1616" s="69" t="n"/>
      <c r="J1616" s="70" t="str">
        <f>IF(E1616="","",IF(ISNUMBER(I1616),I1616,IFERROR(IF(ISNUMBER(INDEX(art_price,MATCH($E1616,art_ref,0))),INDEX(art_price,MATCH($E1616,art_ref,0)),""),"")))</f>
        <v/>
      </c>
      <c r="K1616" s="71" t="n"/>
      <c r="L1616" s="72" t="n"/>
      <c r="M1616" s="72" t="str">
        <f>IF(E1616="","",IF(L1616&lt;&gt;"",L1616,IFERROR(IF(ISNUMBER(INDEX(art_tva,MATCH($E1616,art_ref,0))),INDEX(art_tva,MATCH($E1616,art_ref,0)),""),"")))</f>
        <v/>
      </c>
      <c r="N1616" s="70" t="str">
        <f>IF(OR(E1616="",J1616=""),"",ROUND(N(H1616)*J1616*(1-N(K1616)),2))</f>
        <v/>
      </c>
      <c r="O1616" s="70" t="str">
        <f>IF(OR(N1616="",NOT(ISNUMBER(M1616))),"",ROUND(N1616*M1616,2))</f>
        <v/>
      </c>
      <c r="P1616" s="70" t="str">
        <f>IF(N1616="","",N1616+N(O1616))</f>
        <v/>
      </c>
      <c r="Q1616" s="64" t="n"/>
      <c r="R1616" s="73" t="str">
        <f>IF(N(Q1616)&gt;0,Q1616,IF(OR(N(B1616)=0,ISNA(MATCH($C1616,sup_code,0))),"",IF(ISNUMBER(INDEX(sup_delay,MATCH($C1616,sup_code,0))),B1616+INDEX(sup_delay,MATCH($C1616,sup_code,0)),"")))</f>
        <v/>
      </c>
      <c r="S1616" s="64" t="n"/>
      <c r="T1616" s="68" t="n"/>
      <c r="U1616" s="64" t="n"/>
      <c r="V1616" s="65" t="n"/>
      <c r="W1616" s="74" t="str">
        <f>IF(AND(A1616="",E1616=""),"",IF(V1616="Oui",0,MAX(0,ROUND(N(H1616)-N(T1616),6))))</f>
        <v/>
      </c>
      <c r="X1616" s="67" t="str">
        <f>IF(AND(A1616="",E1616=""),"",IF(V1616="Oui","Annulé",IF(AND(N(H1616)&gt;0,N(T1616)&gt;=N(H1616)),"Reçu",IF(N(S1616)=0,"Brouillon",IF(AND(ISNUMBER(R1616),R1616&lt;p_today),"En retard",IF(N(T1616)&gt;0,"Partiel","Envoyé"))))))</f>
        <v/>
      </c>
      <c r="Y1616" s="75" t="str">
        <f>IF(X1616="En retard",p_today-R1616,IF(AND(X1616="Reçu",ISNUMBER(R1616)),MAX(0,N(U1616)-R1616),""))</f>
        <v/>
      </c>
      <c r="Z1616" s="67" t="str">
        <f>IF(AND(A1616="",E1616=""),"",IF(A1616="","N° de bon manquant",IF(N(B1616)=0,"Date de commande manquante",IF(C1616="","Fournisseur manquant",IF(ISNA(MATCH($C1616,sup_code,0)),"Fournisseur inconnu",IF(E1616="","Article manquant",IF(ISNA(MATCH($E1616,art_ref,0)),"Article inconnu",IF(N(H1616)&lt;=0,"Quantité invalide",IF(J1616="","Prix manquant",IF(OR(N(K1616)&lt;0,N(K1616)&gt;=1),"Remise invalide",IF(M1616="","TVA manquante",IF(ISNA(MATCH(M1616,p_tva,0)),"Taux de TVA inconnu",IF(COUNTIFS(po_num,A1616,po_sup,"&lt;&gt;"&amp;C1616)&gt;0,"Fournisseur différent sur ce bon",IF(COUNTIFS(po_num,A1616,po_date,"&lt;&gt;"&amp;B1616)&gt;0,"Date différente sur ce bon",IF(COUNTIF(po_num,A1616)&gt;25,"Plus de 25 lignes sur ce bon",IF(R1616="","Date de livraison manquante",IF(R1616&lt;B1616,"Livraison avant la commande",IF(AND(N(T1616)&gt;0,N(S1616)=0),"Date d'envoi manquante",IF(N(T1616)&gt;N(H1616),"Reçu plus que commandé",IF(AND(N(T1616)&gt;0,N(U1616)=0),"Date de réception manquante",IF(AND(N(U1616)&gt;0,U1616&lt;B1616),"Réception avant la commande","OK")))))))))))))))))))))</f>
        <v/>
      </c>
      <c r="AA1616" s="66" t="str">
        <f>IF(AND(X1616="Reçu",ISNUMBER(R1616)),IF(N(U1616)&lt;=R1616,1,0),"")</f>
        <v/>
      </c>
      <c r="AB1616" s="76" t="str">
        <f>IF(OR(X1616="Envoyé",X1616="Partiel",X1616="En retard"),IF(ISNUMBER(R1616),R1616,100000)+ROW()/100000,"")</f>
        <v/>
      </c>
      <c r="AC1616" s="66" t="str">
        <f>IF(A1616="","",IF(COUNTIF($A$6:A1616,A1616)=1,1,""))</f>
        <v/>
      </c>
      <c r="AD1616" s="66" t="str">
        <f>IF(AC1616=1,COUNT($AC$6:AC1616),"")</f>
        <v/>
      </c>
      <c r="AE1616" s="66" t="str">
        <f>IFERROR(INDEX(po_num,MATCH(1611,po_seq,0))&amp;"","")</f>
        <v/>
      </c>
      <c r="AF1616" s="66" t="str">
        <f>IF(OR(A1616="",p_po=""),"",IF(A1616&amp;""=p_po,COUNTIF($A$6:A1616,A1616),""))</f>
        <v/>
      </c>
      <c r="AG1616" s="66" t="str">
        <f>IF(OR(AB1616="",A1616=""),"",IF(COUNTIFS($A$6:A1616,A1616,$AB$6:AB1616,"&gt;0")=1,1,""))</f>
        <v/>
      </c>
      <c r="AH1616" s="70" t="str">
        <f>IF(AB1616="","",ROUND(N(W1616)*N(J1616)*(1-N(K1616)),2))</f>
        <v/>
      </c>
      <c r="AI1616" s="70" t="str">
        <f>IF(OR(J1616="",N(T1616)&lt;=0,V1616="Oui"),"",ROUND(N(T1616)*J1616*(1-N(K1616)),2))</f>
        <v/>
      </c>
    </row>
    <row r="1617">
      <c r="A1617" s="63" t="n"/>
      <c r="B1617" s="64" t="n"/>
      <c r="C1617" s="65" t="n"/>
      <c r="D1617" s="66" t="str">
        <f>IF(C1617="","",IFERROR(INDEX(sup_name,MATCH($C1617,sup_code,0))&amp;"","Fournisseur inconnu"))</f>
        <v/>
      </c>
      <c r="E1617" s="63" t="n"/>
      <c r="F1617" s="66" t="str">
        <f>IF(E1617="","",IFERROR(INDEX(art_des,MATCH($E1617,art_ref,0))&amp;"","Article inconnu"))</f>
        <v/>
      </c>
      <c r="G1617" s="67" t="str">
        <f>IF(E1617="","",IFERROR(INDEX(art_unit,MATCH($E1617,art_ref,0))&amp;"",""))</f>
        <v/>
      </c>
      <c r="H1617" s="68" t="n"/>
      <c r="I1617" s="69" t="n"/>
      <c r="J1617" s="70" t="str">
        <f>IF(E1617="","",IF(ISNUMBER(I1617),I1617,IFERROR(IF(ISNUMBER(INDEX(art_price,MATCH($E1617,art_ref,0))),INDEX(art_price,MATCH($E1617,art_ref,0)),""),"")))</f>
        <v/>
      </c>
      <c r="K1617" s="71" t="n"/>
      <c r="L1617" s="72" t="n"/>
      <c r="M1617" s="72" t="str">
        <f>IF(E1617="","",IF(L1617&lt;&gt;"",L1617,IFERROR(IF(ISNUMBER(INDEX(art_tva,MATCH($E1617,art_ref,0))),INDEX(art_tva,MATCH($E1617,art_ref,0)),""),"")))</f>
        <v/>
      </c>
      <c r="N1617" s="70" t="str">
        <f>IF(OR(E1617="",J1617=""),"",ROUND(N(H1617)*J1617*(1-N(K1617)),2))</f>
        <v/>
      </c>
      <c r="O1617" s="70" t="str">
        <f>IF(OR(N1617="",NOT(ISNUMBER(M1617))),"",ROUND(N1617*M1617,2))</f>
        <v/>
      </c>
      <c r="P1617" s="70" t="str">
        <f>IF(N1617="","",N1617+N(O1617))</f>
        <v/>
      </c>
      <c r="Q1617" s="64" t="n"/>
      <c r="R1617" s="73" t="str">
        <f>IF(N(Q1617)&gt;0,Q1617,IF(OR(N(B1617)=0,ISNA(MATCH($C1617,sup_code,0))),"",IF(ISNUMBER(INDEX(sup_delay,MATCH($C1617,sup_code,0))),B1617+INDEX(sup_delay,MATCH($C1617,sup_code,0)),"")))</f>
        <v/>
      </c>
      <c r="S1617" s="64" t="n"/>
      <c r="T1617" s="68" t="n"/>
      <c r="U1617" s="64" t="n"/>
      <c r="V1617" s="65" t="n"/>
      <c r="W1617" s="74" t="str">
        <f>IF(AND(A1617="",E1617=""),"",IF(V1617="Oui",0,MAX(0,ROUND(N(H1617)-N(T1617),6))))</f>
        <v/>
      </c>
      <c r="X1617" s="67" t="str">
        <f>IF(AND(A1617="",E1617=""),"",IF(V1617="Oui","Annulé",IF(AND(N(H1617)&gt;0,N(T1617)&gt;=N(H1617)),"Reçu",IF(N(S1617)=0,"Brouillon",IF(AND(ISNUMBER(R1617),R1617&lt;p_today),"En retard",IF(N(T1617)&gt;0,"Partiel","Envoyé"))))))</f>
        <v/>
      </c>
      <c r="Y1617" s="75" t="str">
        <f>IF(X1617="En retard",p_today-R1617,IF(AND(X1617="Reçu",ISNUMBER(R1617)),MAX(0,N(U1617)-R1617),""))</f>
        <v/>
      </c>
      <c r="Z1617" s="67" t="str">
        <f>IF(AND(A1617="",E1617=""),"",IF(A1617="","N° de bon manquant",IF(N(B1617)=0,"Date de commande manquante",IF(C1617="","Fournisseur manquant",IF(ISNA(MATCH($C1617,sup_code,0)),"Fournisseur inconnu",IF(E1617="","Article manquant",IF(ISNA(MATCH($E1617,art_ref,0)),"Article inconnu",IF(N(H1617)&lt;=0,"Quantité invalide",IF(J1617="","Prix manquant",IF(OR(N(K1617)&lt;0,N(K1617)&gt;=1),"Remise invalide",IF(M1617="","TVA manquante",IF(ISNA(MATCH(M1617,p_tva,0)),"Taux de TVA inconnu",IF(COUNTIFS(po_num,A1617,po_sup,"&lt;&gt;"&amp;C1617)&gt;0,"Fournisseur différent sur ce bon",IF(COUNTIFS(po_num,A1617,po_date,"&lt;&gt;"&amp;B1617)&gt;0,"Date différente sur ce bon",IF(COUNTIF(po_num,A1617)&gt;25,"Plus de 25 lignes sur ce bon",IF(R1617="","Date de livraison manquante",IF(R1617&lt;B1617,"Livraison avant la commande",IF(AND(N(T1617)&gt;0,N(S1617)=0),"Date d'envoi manquante",IF(N(T1617)&gt;N(H1617),"Reçu plus que commandé",IF(AND(N(T1617)&gt;0,N(U1617)=0),"Date de réception manquante",IF(AND(N(U1617)&gt;0,U1617&lt;B1617),"Réception avant la commande","OK")))))))))))))))))))))</f>
        <v/>
      </c>
      <c r="AA1617" s="66" t="str">
        <f>IF(AND(X1617="Reçu",ISNUMBER(R1617)),IF(N(U1617)&lt;=R1617,1,0),"")</f>
        <v/>
      </c>
      <c r="AB1617" s="76" t="str">
        <f>IF(OR(X1617="Envoyé",X1617="Partiel",X1617="En retard"),IF(ISNUMBER(R1617),R1617,100000)+ROW()/100000,"")</f>
        <v/>
      </c>
      <c r="AC1617" s="66" t="str">
        <f>IF(A1617="","",IF(COUNTIF($A$6:A1617,A1617)=1,1,""))</f>
        <v/>
      </c>
      <c r="AD1617" s="66" t="str">
        <f>IF(AC1617=1,COUNT($AC$6:AC1617),"")</f>
        <v/>
      </c>
      <c r="AE1617" s="66" t="str">
        <f>IFERROR(INDEX(po_num,MATCH(1612,po_seq,0))&amp;"","")</f>
        <v/>
      </c>
      <c r="AF1617" s="66" t="str">
        <f>IF(OR(A1617="",p_po=""),"",IF(A1617&amp;""=p_po,COUNTIF($A$6:A1617,A1617),""))</f>
        <v/>
      </c>
      <c r="AG1617" s="66" t="str">
        <f>IF(OR(AB1617="",A1617=""),"",IF(COUNTIFS($A$6:A1617,A1617,$AB$6:AB1617,"&gt;0")=1,1,""))</f>
        <v/>
      </c>
      <c r="AH1617" s="70" t="str">
        <f>IF(AB1617="","",ROUND(N(W1617)*N(J1617)*(1-N(K1617)),2))</f>
        <v/>
      </c>
      <c r="AI1617" s="70" t="str">
        <f>IF(OR(J1617="",N(T1617)&lt;=0,V1617="Oui"),"",ROUND(N(T1617)*J1617*(1-N(K1617)),2))</f>
        <v/>
      </c>
    </row>
    <row r="1618">
      <c r="A1618" s="63" t="n"/>
      <c r="B1618" s="64" t="n"/>
      <c r="C1618" s="65" t="n"/>
      <c r="D1618" s="66" t="str">
        <f>IF(C1618="","",IFERROR(INDEX(sup_name,MATCH($C1618,sup_code,0))&amp;"","Fournisseur inconnu"))</f>
        <v/>
      </c>
      <c r="E1618" s="63" t="n"/>
      <c r="F1618" s="66" t="str">
        <f>IF(E1618="","",IFERROR(INDEX(art_des,MATCH($E1618,art_ref,0))&amp;"","Article inconnu"))</f>
        <v/>
      </c>
      <c r="G1618" s="67" t="str">
        <f>IF(E1618="","",IFERROR(INDEX(art_unit,MATCH($E1618,art_ref,0))&amp;"",""))</f>
        <v/>
      </c>
      <c r="H1618" s="68" t="n"/>
      <c r="I1618" s="69" t="n"/>
      <c r="J1618" s="70" t="str">
        <f>IF(E1618="","",IF(ISNUMBER(I1618),I1618,IFERROR(IF(ISNUMBER(INDEX(art_price,MATCH($E1618,art_ref,0))),INDEX(art_price,MATCH($E1618,art_ref,0)),""),"")))</f>
        <v/>
      </c>
      <c r="K1618" s="71" t="n"/>
      <c r="L1618" s="72" t="n"/>
      <c r="M1618" s="72" t="str">
        <f>IF(E1618="","",IF(L1618&lt;&gt;"",L1618,IFERROR(IF(ISNUMBER(INDEX(art_tva,MATCH($E1618,art_ref,0))),INDEX(art_tva,MATCH($E1618,art_ref,0)),""),"")))</f>
        <v/>
      </c>
      <c r="N1618" s="70" t="str">
        <f>IF(OR(E1618="",J1618=""),"",ROUND(N(H1618)*J1618*(1-N(K1618)),2))</f>
        <v/>
      </c>
      <c r="O1618" s="70" t="str">
        <f>IF(OR(N1618="",NOT(ISNUMBER(M1618))),"",ROUND(N1618*M1618,2))</f>
        <v/>
      </c>
      <c r="P1618" s="70" t="str">
        <f>IF(N1618="","",N1618+N(O1618))</f>
        <v/>
      </c>
      <c r="Q1618" s="64" t="n"/>
      <c r="R1618" s="73" t="str">
        <f>IF(N(Q1618)&gt;0,Q1618,IF(OR(N(B1618)=0,ISNA(MATCH($C1618,sup_code,0))),"",IF(ISNUMBER(INDEX(sup_delay,MATCH($C1618,sup_code,0))),B1618+INDEX(sup_delay,MATCH($C1618,sup_code,0)),"")))</f>
        <v/>
      </c>
      <c r="S1618" s="64" t="n"/>
      <c r="T1618" s="68" t="n"/>
      <c r="U1618" s="64" t="n"/>
      <c r="V1618" s="65" t="n"/>
      <c r="W1618" s="74" t="str">
        <f>IF(AND(A1618="",E1618=""),"",IF(V1618="Oui",0,MAX(0,ROUND(N(H1618)-N(T1618),6))))</f>
        <v/>
      </c>
      <c r="X1618" s="67" t="str">
        <f>IF(AND(A1618="",E1618=""),"",IF(V1618="Oui","Annulé",IF(AND(N(H1618)&gt;0,N(T1618)&gt;=N(H1618)),"Reçu",IF(N(S1618)=0,"Brouillon",IF(AND(ISNUMBER(R1618),R1618&lt;p_today),"En retard",IF(N(T1618)&gt;0,"Partiel","Envoyé"))))))</f>
        <v/>
      </c>
      <c r="Y1618" s="75" t="str">
        <f>IF(X1618="En retard",p_today-R1618,IF(AND(X1618="Reçu",ISNUMBER(R1618)),MAX(0,N(U1618)-R1618),""))</f>
        <v/>
      </c>
      <c r="Z1618" s="67" t="str">
        <f>IF(AND(A1618="",E1618=""),"",IF(A1618="","N° de bon manquant",IF(N(B1618)=0,"Date de commande manquante",IF(C1618="","Fournisseur manquant",IF(ISNA(MATCH($C1618,sup_code,0)),"Fournisseur inconnu",IF(E1618="","Article manquant",IF(ISNA(MATCH($E1618,art_ref,0)),"Article inconnu",IF(N(H1618)&lt;=0,"Quantité invalide",IF(J1618="","Prix manquant",IF(OR(N(K1618)&lt;0,N(K1618)&gt;=1),"Remise invalide",IF(M1618="","TVA manquante",IF(ISNA(MATCH(M1618,p_tva,0)),"Taux de TVA inconnu",IF(COUNTIFS(po_num,A1618,po_sup,"&lt;&gt;"&amp;C1618)&gt;0,"Fournisseur différent sur ce bon",IF(COUNTIFS(po_num,A1618,po_date,"&lt;&gt;"&amp;B1618)&gt;0,"Date différente sur ce bon",IF(COUNTIF(po_num,A1618)&gt;25,"Plus de 25 lignes sur ce bon",IF(R1618="","Date de livraison manquante",IF(R1618&lt;B1618,"Livraison avant la commande",IF(AND(N(T1618)&gt;0,N(S1618)=0),"Date d'envoi manquante",IF(N(T1618)&gt;N(H1618),"Reçu plus que commandé",IF(AND(N(T1618)&gt;0,N(U1618)=0),"Date de réception manquante",IF(AND(N(U1618)&gt;0,U1618&lt;B1618),"Réception avant la commande","OK")))))))))))))))))))))</f>
        <v/>
      </c>
      <c r="AA1618" s="66" t="str">
        <f>IF(AND(X1618="Reçu",ISNUMBER(R1618)),IF(N(U1618)&lt;=R1618,1,0),"")</f>
        <v/>
      </c>
      <c r="AB1618" s="76" t="str">
        <f>IF(OR(X1618="Envoyé",X1618="Partiel",X1618="En retard"),IF(ISNUMBER(R1618),R1618,100000)+ROW()/100000,"")</f>
        <v/>
      </c>
      <c r="AC1618" s="66" t="str">
        <f>IF(A1618="","",IF(COUNTIF($A$6:A1618,A1618)=1,1,""))</f>
        <v/>
      </c>
      <c r="AD1618" s="66" t="str">
        <f>IF(AC1618=1,COUNT($AC$6:AC1618),"")</f>
        <v/>
      </c>
      <c r="AE1618" s="66" t="str">
        <f>IFERROR(INDEX(po_num,MATCH(1613,po_seq,0))&amp;"","")</f>
        <v/>
      </c>
      <c r="AF1618" s="66" t="str">
        <f>IF(OR(A1618="",p_po=""),"",IF(A1618&amp;""=p_po,COUNTIF($A$6:A1618,A1618),""))</f>
        <v/>
      </c>
      <c r="AG1618" s="66" t="str">
        <f>IF(OR(AB1618="",A1618=""),"",IF(COUNTIFS($A$6:A1618,A1618,$AB$6:AB1618,"&gt;0")=1,1,""))</f>
        <v/>
      </c>
      <c r="AH1618" s="70" t="str">
        <f>IF(AB1618="","",ROUND(N(W1618)*N(J1618)*(1-N(K1618)),2))</f>
        <v/>
      </c>
      <c r="AI1618" s="70" t="str">
        <f>IF(OR(J1618="",N(T1618)&lt;=0,V1618="Oui"),"",ROUND(N(T1618)*J1618*(1-N(K1618)),2))</f>
        <v/>
      </c>
    </row>
    <row r="1619">
      <c r="A1619" s="63" t="n"/>
      <c r="B1619" s="64" t="n"/>
      <c r="C1619" s="65" t="n"/>
      <c r="D1619" s="66" t="str">
        <f>IF(C1619="","",IFERROR(INDEX(sup_name,MATCH($C1619,sup_code,0))&amp;"","Fournisseur inconnu"))</f>
        <v/>
      </c>
      <c r="E1619" s="63" t="n"/>
      <c r="F1619" s="66" t="str">
        <f>IF(E1619="","",IFERROR(INDEX(art_des,MATCH($E1619,art_ref,0))&amp;"","Article inconnu"))</f>
        <v/>
      </c>
      <c r="G1619" s="67" t="str">
        <f>IF(E1619="","",IFERROR(INDEX(art_unit,MATCH($E1619,art_ref,0))&amp;"",""))</f>
        <v/>
      </c>
      <c r="H1619" s="68" t="n"/>
      <c r="I1619" s="69" t="n"/>
      <c r="J1619" s="70" t="str">
        <f>IF(E1619="","",IF(ISNUMBER(I1619),I1619,IFERROR(IF(ISNUMBER(INDEX(art_price,MATCH($E1619,art_ref,0))),INDEX(art_price,MATCH($E1619,art_ref,0)),""),"")))</f>
        <v/>
      </c>
      <c r="K1619" s="71" t="n"/>
      <c r="L1619" s="72" t="n"/>
      <c r="M1619" s="72" t="str">
        <f>IF(E1619="","",IF(L1619&lt;&gt;"",L1619,IFERROR(IF(ISNUMBER(INDEX(art_tva,MATCH($E1619,art_ref,0))),INDEX(art_tva,MATCH($E1619,art_ref,0)),""),"")))</f>
        <v/>
      </c>
      <c r="N1619" s="70" t="str">
        <f>IF(OR(E1619="",J1619=""),"",ROUND(N(H1619)*J1619*(1-N(K1619)),2))</f>
        <v/>
      </c>
      <c r="O1619" s="70" t="str">
        <f>IF(OR(N1619="",NOT(ISNUMBER(M1619))),"",ROUND(N1619*M1619,2))</f>
        <v/>
      </c>
      <c r="P1619" s="70" t="str">
        <f>IF(N1619="","",N1619+N(O1619))</f>
        <v/>
      </c>
      <c r="Q1619" s="64" t="n"/>
      <c r="R1619" s="73" t="str">
        <f>IF(N(Q1619)&gt;0,Q1619,IF(OR(N(B1619)=0,ISNA(MATCH($C1619,sup_code,0))),"",IF(ISNUMBER(INDEX(sup_delay,MATCH($C1619,sup_code,0))),B1619+INDEX(sup_delay,MATCH($C1619,sup_code,0)),"")))</f>
        <v/>
      </c>
      <c r="S1619" s="64" t="n"/>
      <c r="T1619" s="68" t="n"/>
      <c r="U1619" s="64" t="n"/>
      <c r="V1619" s="65" t="n"/>
      <c r="W1619" s="74" t="str">
        <f>IF(AND(A1619="",E1619=""),"",IF(V1619="Oui",0,MAX(0,ROUND(N(H1619)-N(T1619),6))))</f>
        <v/>
      </c>
      <c r="X1619" s="67" t="str">
        <f>IF(AND(A1619="",E1619=""),"",IF(V1619="Oui","Annulé",IF(AND(N(H1619)&gt;0,N(T1619)&gt;=N(H1619)),"Reçu",IF(N(S1619)=0,"Brouillon",IF(AND(ISNUMBER(R1619),R1619&lt;p_today),"En retard",IF(N(T1619)&gt;0,"Partiel","Envoyé"))))))</f>
        <v/>
      </c>
      <c r="Y1619" s="75" t="str">
        <f>IF(X1619="En retard",p_today-R1619,IF(AND(X1619="Reçu",ISNUMBER(R1619)),MAX(0,N(U1619)-R1619),""))</f>
        <v/>
      </c>
      <c r="Z1619" s="67" t="str">
        <f>IF(AND(A1619="",E1619=""),"",IF(A1619="","N° de bon manquant",IF(N(B1619)=0,"Date de commande manquante",IF(C1619="","Fournisseur manquant",IF(ISNA(MATCH($C1619,sup_code,0)),"Fournisseur inconnu",IF(E1619="","Article manquant",IF(ISNA(MATCH($E1619,art_ref,0)),"Article inconnu",IF(N(H1619)&lt;=0,"Quantité invalide",IF(J1619="","Prix manquant",IF(OR(N(K1619)&lt;0,N(K1619)&gt;=1),"Remise invalide",IF(M1619="","TVA manquante",IF(ISNA(MATCH(M1619,p_tva,0)),"Taux de TVA inconnu",IF(COUNTIFS(po_num,A1619,po_sup,"&lt;&gt;"&amp;C1619)&gt;0,"Fournisseur différent sur ce bon",IF(COUNTIFS(po_num,A1619,po_date,"&lt;&gt;"&amp;B1619)&gt;0,"Date différente sur ce bon",IF(COUNTIF(po_num,A1619)&gt;25,"Plus de 25 lignes sur ce bon",IF(R1619="","Date de livraison manquante",IF(R1619&lt;B1619,"Livraison avant la commande",IF(AND(N(T1619)&gt;0,N(S1619)=0),"Date d'envoi manquante",IF(N(T1619)&gt;N(H1619),"Reçu plus que commandé",IF(AND(N(T1619)&gt;0,N(U1619)=0),"Date de réception manquante",IF(AND(N(U1619)&gt;0,U1619&lt;B1619),"Réception avant la commande","OK")))))))))))))))))))))</f>
        <v/>
      </c>
      <c r="AA1619" s="66" t="str">
        <f>IF(AND(X1619="Reçu",ISNUMBER(R1619)),IF(N(U1619)&lt;=R1619,1,0),"")</f>
        <v/>
      </c>
      <c r="AB1619" s="76" t="str">
        <f>IF(OR(X1619="Envoyé",X1619="Partiel",X1619="En retard"),IF(ISNUMBER(R1619),R1619,100000)+ROW()/100000,"")</f>
        <v/>
      </c>
      <c r="AC1619" s="66" t="str">
        <f>IF(A1619="","",IF(COUNTIF($A$6:A1619,A1619)=1,1,""))</f>
        <v/>
      </c>
      <c r="AD1619" s="66" t="str">
        <f>IF(AC1619=1,COUNT($AC$6:AC1619),"")</f>
        <v/>
      </c>
      <c r="AE1619" s="66" t="str">
        <f>IFERROR(INDEX(po_num,MATCH(1614,po_seq,0))&amp;"","")</f>
        <v/>
      </c>
      <c r="AF1619" s="66" t="str">
        <f>IF(OR(A1619="",p_po=""),"",IF(A1619&amp;""=p_po,COUNTIF($A$6:A1619,A1619),""))</f>
        <v/>
      </c>
      <c r="AG1619" s="66" t="str">
        <f>IF(OR(AB1619="",A1619=""),"",IF(COUNTIFS($A$6:A1619,A1619,$AB$6:AB1619,"&gt;0")=1,1,""))</f>
        <v/>
      </c>
      <c r="AH1619" s="70" t="str">
        <f>IF(AB1619="","",ROUND(N(W1619)*N(J1619)*(1-N(K1619)),2))</f>
        <v/>
      </c>
      <c r="AI1619" s="70" t="str">
        <f>IF(OR(J1619="",N(T1619)&lt;=0,V1619="Oui"),"",ROUND(N(T1619)*J1619*(1-N(K1619)),2))</f>
        <v/>
      </c>
    </row>
    <row r="1620">
      <c r="A1620" s="63" t="n"/>
      <c r="B1620" s="64" t="n"/>
      <c r="C1620" s="65" t="n"/>
      <c r="D1620" s="66" t="str">
        <f>IF(C1620="","",IFERROR(INDEX(sup_name,MATCH($C1620,sup_code,0))&amp;"","Fournisseur inconnu"))</f>
        <v/>
      </c>
      <c r="E1620" s="63" t="n"/>
      <c r="F1620" s="66" t="str">
        <f>IF(E1620="","",IFERROR(INDEX(art_des,MATCH($E1620,art_ref,0))&amp;"","Article inconnu"))</f>
        <v/>
      </c>
      <c r="G1620" s="67" t="str">
        <f>IF(E1620="","",IFERROR(INDEX(art_unit,MATCH($E1620,art_ref,0))&amp;"",""))</f>
        <v/>
      </c>
      <c r="H1620" s="68" t="n"/>
      <c r="I1620" s="69" t="n"/>
      <c r="J1620" s="70" t="str">
        <f>IF(E1620="","",IF(ISNUMBER(I1620),I1620,IFERROR(IF(ISNUMBER(INDEX(art_price,MATCH($E1620,art_ref,0))),INDEX(art_price,MATCH($E1620,art_ref,0)),""),"")))</f>
        <v/>
      </c>
      <c r="K1620" s="71" t="n"/>
      <c r="L1620" s="72" t="n"/>
      <c r="M1620" s="72" t="str">
        <f>IF(E1620="","",IF(L1620&lt;&gt;"",L1620,IFERROR(IF(ISNUMBER(INDEX(art_tva,MATCH($E1620,art_ref,0))),INDEX(art_tva,MATCH($E1620,art_ref,0)),""),"")))</f>
        <v/>
      </c>
      <c r="N1620" s="70" t="str">
        <f>IF(OR(E1620="",J1620=""),"",ROUND(N(H1620)*J1620*(1-N(K1620)),2))</f>
        <v/>
      </c>
      <c r="O1620" s="70" t="str">
        <f>IF(OR(N1620="",NOT(ISNUMBER(M1620))),"",ROUND(N1620*M1620,2))</f>
        <v/>
      </c>
      <c r="P1620" s="70" t="str">
        <f>IF(N1620="","",N1620+N(O1620))</f>
        <v/>
      </c>
      <c r="Q1620" s="64" t="n"/>
      <c r="R1620" s="73" t="str">
        <f>IF(N(Q1620)&gt;0,Q1620,IF(OR(N(B1620)=0,ISNA(MATCH($C1620,sup_code,0))),"",IF(ISNUMBER(INDEX(sup_delay,MATCH($C1620,sup_code,0))),B1620+INDEX(sup_delay,MATCH($C1620,sup_code,0)),"")))</f>
        <v/>
      </c>
      <c r="S1620" s="64" t="n"/>
      <c r="T1620" s="68" t="n"/>
      <c r="U1620" s="64" t="n"/>
      <c r="V1620" s="65" t="n"/>
      <c r="W1620" s="74" t="str">
        <f>IF(AND(A1620="",E1620=""),"",IF(V1620="Oui",0,MAX(0,ROUND(N(H1620)-N(T1620),6))))</f>
        <v/>
      </c>
      <c r="X1620" s="67" t="str">
        <f>IF(AND(A1620="",E1620=""),"",IF(V1620="Oui","Annulé",IF(AND(N(H1620)&gt;0,N(T1620)&gt;=N(H1620)),"Reçu",IF(N(S1620)=0,"Brouillon",IF(AND(ISNUMBER(R1620),R1620&lt;p_today),"En retard",IF(N(T1620)&gt;0,"Partiel","Envoyé"))))))</f>
        <v/>
      </c>
      <c r="Y1620" s="75" t="str">
        <f>IF(X1620="En retard",p_today-R1620,IF(AND(X1620="Reçu",ISNUMBER(R1620)),MAX(0,N(U1620)-R1620),""))</f>
        <v/>
      </c>
      <c r="Z1620" s="67" t="str">
        <f>IF(AND(A1620="",E1620=""),"",IF(A1620="","N° de bon manquant",IF(N(B1620)=0,"Date de commande manquante",IF(C1620="","Fournisseur manquant",IF(ISNA(MATCH($C1620,sup_code,0)),"Fournisseur inconnu",IF(E1620="","Article manquant",IF(ISNA(MATCH($E1620,art_ref,0)),"Article inconnu",IF(N(H1620)&lt;=0,"Quantité invalide",IF(J1620="","Prix manquant",IF(OR(N(K1620)&lt;0,N(K1620)&gt;=1),"Remise invalide",IF(M1620="","TVA manquante",IF(ISNA(MATCH(M1620,p_tva,0)),"Taux de TVA inconnu",IF(COUNTIFS(po_num,A1620,po_sup,"&lt;&gt;"&amp;C1620)&gt;0,"Fournisseur différent sur ce bon",IF(COUNTIFS(po_num,A1620,po_date,"&lt;&gt;"&amp;B1620)&gt;0,"Date différente sur ce bon",IF(COUNTIF(po_num,A1620)&gt;25,"Plus de 25 lignes sur ce bon",IF(R1620="","Date de livraison manquante",IF(R1620&lt;B1620,"Livraison avant la commande",IF(AND(N(T1620)&gt;0,N(S1620)=0),"Date d'envoi manquante",IF(N(T1620)&gt;N(H1620),"Reçu plus que commandé",IF(AND(N(T1620)&gt;0,N(U1620)=0),"Date de réception manquante",IF(AND(N(U1620)&gt;0,U1620&lt;B1620),"Réception avant la commande","OK")))))))))))))))))))))</f>
        <v/>
      </c>
      <c r="AA1620" s="66" t="str">
        <f>IF(AND(X1620="Reçu",ISNUMBER(R1620)),IF(N(U1620)&lt;=R1620,1,0),"")</f>
        <v/>
      </c>
      <c r="AB1620" s="76" t="str">
        <f>IF(OR(X1620="Envoyé",X1620="Partiel",X1620="En retard"),IF(ISNUMBER(R1620),R1620,100000)+ROW()/100000,"")</f>
        <v/>
      </c>
      <c r="AC1620" s="66" t="str">
        <f>IF(A1620="","",IF(COUNTIF($A$6:A1620,A1620)=1,1,""))</f>
        <v/>
      </c>
      <c r="AD1620" s="66" t="str">
        <f>IF(AC1620=1,COUNT($AC$6:AC1620),"")</f>
        <v/>
      </c>
      <c r="AE1620" s="66" t="str">
        <f>IFERROR(INDEX(po_num,MATCH(1615,po_seq,0))&amp;"","")</f>
        <v/>
      </c>
      <c r="AF1620" s="66" t="str">
        <f>IF(OR(A1620="",p_po=""),"",IF(A1620&amp;""=p_po,COUNTIF($A$6:A1620,A1620),""))</f>
        <v/>
      </c>
      <c r="AG1620" s="66" t="str">
        <f>IF(OR(AB1620="",A1620=""),"",IF(COUNTIFS($A$6:A1620,A1620,$AB$6:AB1620,"&gt;0")=1,1,""))</f>
        <v/>
      </c>
      <c r="AH1620" s="70" t="str">
        <f>IF(AB1620="","",ROUND(N(W1620)*N(J1620)*(1-N(K1620)),2))</f>
        <v/>
      </c>
      <c r="AI1620" s="70" t="str">
        <f>IF(OR(J1620="",N(T1620)&lt;=0,V1620="Oui"),"",ROUND(N(T1620)*J1620*(1-N(K1620)),2))</f>
        <v/>
      </c>
    </row>
    <row r="1621">
      <c r="A1621" s="63" t="n"/>
      <c r="B1621" s="64" t="n"/>
      <c r="C1621" s="65" t="n"/>
      <c r="D1621" s="66" t="str">
        <f>IF(C1621="","",IFERROR(INDEX(sup_name,MATCH($C1621,sup_code,0))&amp;"","Fournisseur inconnu"))</f>
        <v/>
      </c>
      <c r="E1621" s="63" t="n"/>
      <c r="F1621" s="66" t="str">
        <f>IF(E1621="","",IFERROR(INDEX(art_des,MATCH($E1621,art_ref,0))&amp;"","Article inconnu"))</f>
        <v/>
      </c>
      <c r="G1621" s="67" t="str">
        <f>IF(E1621="","",IFERROR(INDEX(art_unit,MATCH($E1621,art_ref,0))&amp;"",""))</f>
        <v/>
      </c>
      <c r="H1621" s="68" t="n"/>
      <c r="I1621" s="69" t="n"/>
      <c r="J1621" s="70" t="str">
        <f>IF(E1621="","",IF(ISNUMBER(I1621),I1621,IFERROR(IF(ISNUMBER(INDEX(art_price,MATCH($E1621,art_ref,0))),INDEX(art_price,MATCH($E1621,art_ref,0)),""),"")))</f>
        <v/>
      </c>
      <c r="K1621" s="71" t="n"/>
      <c r="L1621" s="72" t="n"/>
      <c r="M1621" s="72" t="str">
        <f>IF(E1621="","",IF(L1621&lt;&gt;"",L1621,IFERROR(IF(ISNUMBER(INDEX(art_tva,MATCH($E1621,art_ref,0))),INDEX(art_tva,MATCH($E1621,art_ref,0)),""),"")))</f>
        <v/>
      </c>
      <c r="N1621" s="70" t="str">
        <f>IF(OR(E1621="",J1621=""),"",ROUND(N(H1621)*J1621*(1-N(K1621)),2))</f>
        <v/>
      </c>
      <c r="O1621" s="70" t="str">
        <f>IF(OR(N1621="",NOT(ISNUMBER(M1621))),"",ROUND(N1621*M1621,2))</f>
        <v/>
      </c>
      <c r="P1621" s="70" t="str">
        <f>IF(N1621="","",N1621+N(O1621))</f>
        <v/>
      </c>
      <c r="Q1621" s="64" t="n"/>
      <c r="R1621" s="73" t="str">
        <f>IF(N(Q1621)&gt;0,Q1621,IF(OR(N(B1621)=0,ISNA(MATCH($C1621,sup_code,0))),"",IF(ISNUMBER(INDEX(sup_delay,MATCH($C1621,sup_code,0))),B1621+INDEX(sup_delay,MATCH($C1621,sup_code,0)),"")))</f>
        <v/>
      </c>
      <c r="S1621" s="64" t="n"/>
      <c r="T1621" s="68" t="n"/>
      <c r="U1621" s="64" t="n"/>
      <c r="V1621" s="65" t="n"/>
      <c r="W1621" s="74" t="str">
        <f>IF(AND(A1621="",E1621=""),"",IF(V1621="Oui",0,MAX(0,ROUND(N(H1621)-N(T1621),6))))</f>
        <v/>
      </c>
      <c r="X1621" s="67" t="str">
        <f>IF(AND(A1621="",E1621=""),"",IF(V1621="Oui","Annulé",IF(AND(N(H1621)&gt;0,N(T1621)&gt;=N(H1621)),"Reçu",IF(N(S1621)=0,"Brouillon",IF(AND(ISNUMBER(R1621),R1621&lt;p_today),"En retard",IF(N(T1621)&gt;0,"Partiel","Envoyé"))))))</f>
        <v/>
      </c>
      <c r="Y1621" s="75" t="str">
        <f>IF(X1621="En retard",p_today-R1621,IF(AND(X1621="Reçu",ISNUMBER(R1621)),MAX(0,N(U1621)-R1621),""))</f>
        <v/>
      </c>
      <c r="Z1621" s="67" t="str">
        <f>IF(AND(A1621="",E1621=""),"",IF(A1621="","N° de bon manquant",IF(N(B1621)=0,"Date de commande manquante",IF(C1621="","Fournisseur manquant",IF(ISNA(MATCH($C1621,sup_code,0)),"Fournisseur inconnu",IF(E1621="","Article manquant",IF(ISNA(MATCH($E1621,art_ref,0)),"Article inconnu",IF(N(H1621)&lt;=0,"Quantité invalide",IF(J1621="","Prix manquant",IF(OR(N(K1621)&lt;0,N(K1621)&gt;=1),"Remise invalide",IF(M1621="","TVA manquante",IF(ISNA(MATCH(M1621,p_tva,0)),"Taux de TVA inconnu",IF(COUNTIFS(po_num,A1621,po_sup,"&lt;&gt;"&amp;C1621)&gt;0,"Fournisseur différent sur ce bon",IF(COUNTIFS(po_num,A1621,po_date,"&lt;&gt;"&amp;B1621)&gt;0,"Date différente sur ce bon",IF(COUNTIF(po_num,A1621)&gt;25,"Plus de 25 lignes sur ce bon",IF(R1621="","Date de livraison manquante",IF(R1621&lt;B1621,"Livraison avant la commande",IF(AND(N(T1621)&gt;0,N(S1621)=0),"Date d'envoi manquante",IF(N(T1621)&gt;N(H1621),"Reçu plus que commandé",IF(AND(N(T1621)&gt;0,N(U1621)=0),"Date de réception manquante",IF(AND(N(U1621)&gt;0,U1621&lt;B1621),"Réception avant la commande","OK")))))))))))))))))))))</f>
        <v/>
      </c>
      <c r="AA1621" s="66" t="str">
        <f>IF(AND(X1621="Reçu",ISNUMBER(R1621)),IF(N(U1621)&lt;=R1621,1,0),"")</f>
        <v/>
      </c>
      <c r="AB1621" s="76" t="str">
        <f>IF(OR(X1621="Envoyé",X1621="Partiel",X1621="En retard"),IF(ISNUMBER(R1621),R1621,100000)+ROW()/100000,"")</f>
        <v/>
      </c>
      <c r="AC1621" s="66" t="str">
        <f>IF(A1621="","",IF(COUNTIF($A$6:A1621,A1621)=1,1,""))</f>
        <v/>
      </c>
      <c r="AD1621" s="66" t="str">
        <f>IF(AC1621=1,COUNT($AC$6:AC1621),"")</f>
        <v/>
      </c>
      <c r="AE1621" s="66" t="str">
        <f>IFERROR(INDEX(po_num,MATCH(1616,po_seq,0))&amp;"","")</f>
        <v/>
      </c>
      <c r="AF1621" s="66" t="str">
        <f>IF(OR(A1621="",p_po=""),"",IF(A1621&amp;""=p_po,COUNTIF($A$6:A1621,A1621),""))</f>
        <v/>
      </c>
      <c r="AG1621" s="66" t="str">
        <f>IF(OR(AB1621="",A1621=""),"",IF(COUNTIFS($A$6:A1621,A1621,$AB$6:AB1621,"&gt;0")=1,1,""))</f>
        <v/>
      </c>
      <c r="AH1621" s="70" t="str">
        <f>IF(AB1621="","",ROUND(N(W1621)*N(J1621)*(1-N(K1621)),2))</f>
        <v/>
      </c>
      <c r="AI1621" s="70" t="str">
        <f>IF(OR(J1621="",N(T1621)&lt;=0,V1621="Oui"),"",ROUND(N(T1621)*J1621*(1-N(K1621)),2))</f>
        <v/>
      </c>
    </row>
    <row r="1622">
      <c r="A1622" s="63" t="n"/>
      <c r="B1622" s="64" t="n"/>
      <c r="C1622" s="65" t="n"/>
      <c r="D1622" s="66" t="str">
        <f>IF(C1622="","",IFERROR(INDEX(sup_name,MATCH($C1622,sup_code,0))&amp;"","Fournisseur inconnu"))</f>
        <v/>
      </c>
      <c r="E1622" s="63" t="n"/>
      <c r="F1622" s="66" t="str">
        <f>IF(E1622="","",IFERROR(INDEX(art_des,MATCH($E1622,art_ref,0))&amp;"","Article inconnu"))</f>
        <v/>
      </c>
      <c r="G1622" s="67" t="str">
        <f>IF(E1622="","",IFERROR(INDEX(art_unit,MATCH($E1622,art_ref,0))&amp;"",""))</f>
        <v/>
      </c>
      <c r="H1622" s="68" t="n"/>
      <c r="I1622" s="69" t="n"/>
      <c r="J1622" s="70" t="str">
        <f>IF(E1622="","",IF(ISNUMBER(I1622),I1622,IFERROR(IF(ISNUMBER(INDEX(art_price,MATCH($E1622,art_ref,0))),INDEX(art_price,MATCH($E1622,art_ref,0)),""),"")))</f>
        <v/>
      </c>
      <c r="K1622" s="71" t="n"/>
      <c r="L1622" s="72" t="n"/>
      <c r="M1622" s="72" t="str">
        <f>IF(E1622="","",IF(L1622&lt;&gt;"",L1622,IFERROR(IF(ISNUMBER(INDEX(art_tva,MATCH($E1622,art_ref,0))),INDEX(art_tva,MATCH($E1622,art_ref,0)),""),"")))</f>
        <v/>
      </c>
      <c r="N1622" s="70" t="str">
        <f>IF(OR(E1622="",J1622=""),"",ROUND(N(H1622)*J1622*(1-N(K1622)),2))</f>
        <v/>
      </c>
      <c r="O1622" s="70" t="str">
        <f>IF(OR(N1622="",NOT(ISNUMBER(M1622))),"",ROUND(N1622*M1622,2))</f>
        <v/>
      </c>
      <c r="P1622" s="70" t="str">
        <f>IF(N1622="","",N1622+N(O1622))</f>
        <v/>
      </c>
      <c r="Q1622" s="64" t="n"/>
      <c r="R1622" s="73" t="str">
        <f>IF(N(Q1622)&gt;0,Q1622,IF(OR(N(B1622)=0,ISNA(MATCH($C1622,sup_code,0))),"",IF(ISNUMBER(INDEX(sup_delay,MATCH($C1622,sup_code,0))),B1622+INDEX(sup_delay,MATCH($C1622,sup_code,0)),"")))</f>
        <v/>
      </c>
      <c r="S1622" s="64" t="n"/>
      <c r="T1622" s="68" t="n"/>
      <c r="U1622" s="64" t="n"/>
      <c r="V1622" s="65" t="n"/>
      <c r="W1622" s="74" t="str">
        <f>IF(AND(A1622="",E1622=""),"",IF(V1622="Oui",0,MAX(0,ROUND(N(H1622)-N(T1622),6))))</f>
        <v/>
      </c>
      <c r="X1622" s="67" t="str">
        <f>IF(AND(A1622="",E1622=""),"",IF(V1622="Oui","Annulé",IF(AND(N(H1622)&gt;0,N(T1622)&gt;=N(H1622)),"Reçu",IF(N(S1622)=0,"Brouillon",IF(AND(ISNUMBER(R1622),R1622&lt;p_today),"En retard",IF(N(T1622)&gt;0,"Partiel","Envoyé"))))))</f>
        <v/>
      </c>
      <c r="Y1622" s="75" t="str">
        <f>IF(X1622="En retard",p_today-R1622,IF(AND(X1622="Reçu",ISNUMBER(R1622)),MAX(0,N(U1622)-R1622),""))</f>
        <v/>
      </c>
      <c r="Z1622" s="67" t="str">
        <f>IF(AND(A1622="",E1622=""),"",IF(A1622="","N° de bon manquant",IF(N(B1622)=0,"Date de commande manquante",IF(C1622="","Fournisseur manquant",IF(ISNA(MATCH($C1622,sup_code,0)),"Fournisseur inconnu",IF(E1622="","Article manquant",IF(ISNA(MATCH($E1622,art_ref,0)),"Article inconnu",IF(N(H1622)&lt;=0,"Quantité invalide",IF(J1622="","Prix manquant",IF(OR(N(K1622)&lt;0,N(K1622)&gt;=1),"Remise invalide",IF(M1622="","TVA manquante",IF(ISNA(MATCH(M1622,p_tva,0)),"Taux de TVA inconnu",IF(COUNTIFS(po_num,A1622,po_sup,"&lt;&gt;"&amp;C1622)&gt;0,"Fournisseur différent sur ce bon",IF(COUNTIFS(po_num,A1622,po_date,"&lt;&gt;"&amp;B1622)&gt;0,"Date différente sur ce bon",IF(COUNTIF(po_num,A1622)&gt;25,"Plus de 25 lignes sur ce bon",IF(R1622="","Date de livraison manquante",IF(R1622&lt;B1622,"Livraison avant la commande",IF(AND(N(T1622)&gt;0,N(S1622)=0),"Date d'envoi manquante",IF(N(T1622)&gt;N(H1622),"Reçu plus que commandé",IF(AND(N(T1622)&gt;0,N(U1622)=0),"Date de réception manquante",IF(AND(N(U1622)&gt;0,U1622&lt;B1622),"Réception avant la commande","OK")))))))))))))))))))))</f>
        <v/>
      </c>
      <c r="AA1622" s="66" t="str">
        <f>IF(AND(X1622="Reçu",ISNUMBER(R1622)),IF(N(U1622)&lt;=R1622,1,0),"")</f>
        <v/>
      </c>
      <c r="AB1622" s="76" t="str">
        <f>IF(OR(X1622="Envoyé",X1622="Partiel",X1622="En retard"),IF(ISNUMBER(R1622),R1622,100000)+ROW()/100000,"")</f>
        <v/>
      </c>
      <c r="AC1622" s="66" t="str">
        <f>IF(A1622="","",IF(COUNTIF($A$6:A1622,A1622)=1,1,""))</f>
        <v/>
      </c>
      <c r="AD1622" s="66" t="str">
        <f>IF(AC1622=1,COUNT($AC$6:AC1622),"")</f>
        <v/>
      </c>
      <c r="AE1622" s="66" t="str">
        <f>IFERROR(INDEX(po_num,MATCH(1617,po_seq,0))&amp;"","")</f>
        <v/>
      </c>
      <c r="AF1622" s="66" t="str">
        <f>IF(OR(A1622="",p_po=""),"",IF(A1622&amp;""=p_po,COUNTIF($A$6:A1622,A1622),""))</f>
        <v/>
      </c>
      <c r="AG1622" s="66" t="str">
        <f>IF(OR(AB1622="",A1622=""),"",IF(COUNTIFS($A$6:A1622,A1622,$AB$6:AB1622,"&gt;0")=1,1,""))</f>
        <v/>
      </c>
      <c r="AH1622" s="70" t="str">
        <f>IF(AB1622="","",ROUND(N(W1622)*N(J1622)*(1-N(K1622)),2))</f>
        <v/>
      </c>
      <c r="AI1622" s="70" t="str">
        <f>IF(OR(J1622="",N(T1622)&lt;=0,V1622="Oui"),"",ROUND(N(T1622)*J1622*(1-N(K1622)),2))</f>
        <v/>
      </c>
    </row>
    <row r="1623">
      <c r="A1623" s="63" t="n"/>
      <c r="B1623" s="64" t="n"/>
      <c r="C1623" s="65" t="n"/>
      <c r="D1623" s="66" t="str">
        <f>IF(C1623="","",IFERROR(INDEX(sup_name,MATCH($C1623,sup_code,0))&amp;"","Fournisseur inconnu"))</f>
        <v/>
      </c>
      <c r="E1623" s="63" t="n"/>
      <c r="F1623" s="66" t="str">
        <f>IF(E1623="","",IFERROR(INDEX(art_des,MATCH($E1623,art_ref,0))&amp;"","Article inconnu"))</f>
        <v/>
      </c>
      <c r="G1623" s="67" t="str">
        <f>IF(E1623="","",IFERROR(INDEX(art_unit,MATCH($E1623,art_ref,0))&amp;"",""))</f>
        <v/>
      </c>
      <c r="H1623" s="68" t="n"/>
      <c r="I1623" s="69" t="n"/>
      <c r="J1623" s="70" t="str">
        <f>IF(E1623="","",IF(ISNUMBER(I1623),I1623,IFERROR(IF(ISNUMBER(INDEX(art_price,MATCH($E1623,art_ref,0))),INDEX(art_price,MATCH($E1623,art_ref,0)),""),"")))</f>
        <v/>
      </c>
      <c r="K1623" s="71" t="n"/>
      <c r="L1623" s="72" t="n"/>
      <c r="M1623" s="72" t="str">
        <f>IF(E1623="","",IF(L1623&lt;&gt;"",L1623,IFERROR(IF(ISNUMBER(INDEX(art_tva,MATCH($E1623,art_ref,0))),INDEX(art_tva,MATCH($E1623,art_ref,0)),""),"")))</f>
        <v/>
      </c>
      <c r="N1623" s="70" t="str">
        <f>IF(OR(E1623="",J1623=""),"",ROUND(N(H1623)*J1623*(1-N(K1623)),2))</f>
        <v/>
      </c>
      <c r="O1623" s="70" t="str">
        <f>IF(OR(N1623="",NOT(ISNUMBER(M1623))),"",ROUND(N1623*M1623,2))</f>
        <v/>
      </c>
      <c r="P1623" s="70" t="str">
        <f>IF(N1623="","",N1623+N(O1623))</f>
        <v/>
      </c>
      <c r="Q1623" s="64" t="n"/>
      <c r="R1623" s="73" t="str">
        <f>IF(N(Q1623)&gt;0,Q1623,IF(OR(N(B1623)=0,ISNA(MATCH($C1623,sup_code,0))),"",IF(ISNUMBER(INDEX(sup_delay,MATCH($C1623,sup_code,0))),B1623+INDEX(sup_delay,MATCH($C1623,sup_code,0)),"")))</f>
        <v/>
      </c>
      <c r="S1623" s="64" t="n"/>
      <c r="T1623" s="68" t="n"/>
      <c r="U1623" s="64" t="n"/>
      <c r="V1623" s="65" t="n"/>
      <c r="W1623" s="74" t="str">
        <f>IF(AND(A1623="",E1623=""),"",IF(V1623="Oui",0,MAX(0,ROUND(N(H1623)-N(T1623),6))))</f>
        <v/>
      </c>
      <c r="X1623" s="67" t="str">
        <f>IF(AND(A1623="",E1623=""),"",IF(V1623="Oui","Annulé",IF(AND(N(H1623)&gt;0,N(T1623)&gt;=N(H1623)),"Reçu",IF(N(S1623)=0,"Brouillon",IF(AND(ISNUMBER(R1623),R1623&lt;p_today),"En retard",IF(N(T1623)&gt;0,"Partiel","Envoyé"))))))</f>
        <v/>
      </c>
      <c r="Y1623" s="75" t="str">
        <f>IF(X1623="En retard",p_today-R1623,IF(AND(X1623="Reçu",ISNUMBER(R1623)),MAX(0,N(U1623)-R1623),""))</f>
        <v/>
      </c>
      <c r="Z1623" s="67" t="str">
        <f>IF(AND(A1623="",E1623=""),"",IF(A1623="","N° de bon manquant",IF(N(B1623)=0,"Date de commande manquante",IF(C1623="","Fournisseur manquant",IF(ISNA(MATCH($C1623,sup_code,0)),"Fournisseur inconnu",IF(E1623="","Article manquant",IF(ISNA(MATCH($E1623,art_ref,0)),"Article inconnu",IF(N(H1623)&lt;=0,"Quantité invalide",IF(J1623="","Prix manquant",IF(OR(N(K1623)&lt;0,N(K1623)&gt;=1),"Remise invalide",IF(M1623="","TVA manquante",IF(ISNA(MATCH(M1623,p_tva,0)),"Taux de TVA inconnu",IF(COUNTIFS(po_num,A1623,po_sup,"&lt;&gt;"&amp;C1623)&gt;0,"Fournisseur différent sur ce bon",IF(COUNTIFS(po_num,A1623,po_date,"&lt;&gt;"&amp;B1623)&gt;0,"Date différente sur ce bon",IF(COUNTIF(po_num,A1623)&gt;25,"Plus de 25 lignes sur ce bon",IF(R1623="","Date de livraison manquante",IF(R1623&lt;B1623,"Livraison avant la commande",IF(AND(N(T1623)&gt;0,N(S1623)=0),"Date d'envoi manquante",IF(N(T1623)&gt;N(H1623),"Reçu plus que commandé",IF(AND(N(T1623)&gt;0,N(U1623)=0),"Date de réception manquante",IF(AND(N(U1623)&gt;0,U1623&lt;B1623),"Réception avant la commande","OK")))))))))))))))))))))</f>
        <v/>
      </c>
      <c r="AA1623" s="66" t="str">
        <f>IF(AND(X1623="Reçu",ISNUMBER(R1623)),IF(N(U1623)&lt;=R1623,1,0),"")</f>
        <v/>
      </c>
      <c r="AB1623" s="76" t="str">
        <f>IF(OR(X1623="Envoyé",X1623="Partiel",X1623="En retard"),IF(ISNUMBER(R1623),R1623,100000)+ROW()/100000,"")</f>
        <v/>
      </c>
      <c r="AC1623" s="66" t="str">
        <f>IF(A1623="","",IF(COUNTIF($A$6:A1623,A1623)=1,1,""))</f>
        <v/>
      </c>
      <c r="AD1623" s="66" t="str">
        <f>IF(AC1623=1,COUNT($AC$6:AC1623),"")</f>
        <v/>
      </c>
      <c r="AE1623" s="66" t="str">
        <f>IFERROR(INDEX(po_num,MATCH(1618,po_seq,0))&amp;"","")</f>
        <v/>
      </c>
      <c r="AF1623" s="66" t="str">
        <f>IF(OR(A1623="",p_po=""),"",IF(A1623&amp;""=p_po,COUNTIF($A$6:A1623,A1623),""))</f>
        <v/>
      </c>
      <c r="AG1623" s="66" t="str">
        <f>IF(OR(AB1623="",A1623=""),"",IF(COUNTIFS($A$6:A1623,A1623,$AB$6:AB1623,"&gt;0")=1,1,""))</f>
        <v/>
      </c>
      <c r="AH1623" s="70" t="str">
        <f>IF(AB1623="","",ROUND(N(W1623)*N(J1623)*(1-N(K1623)),2))</f>
        <v/>
      </c>
      <c r="AI1623" s="70" t="str">
        <f>IF(OR(J1623="",N(T1623)&lt;=0,V1623="Oui"),"",ROUND(N(T1623)*J1623*(1-N(K1623)),2))</f>
        <v/>
      </c>
    </row>
    <row r="1624">
      <c r="A1624" s="63" t="n"/>
      <c r="B1624" s="64" t="n"/>
      <c r="C1624" s="65" t="n"/>
      <c r="D1624" s="66" t="str">
        <f>IF(C1624="","",IFERROR(INDEX(sup_name,MATCH($C1624,sup_code,0))&amp;"","Fournisseur inconnu"))</f>
        <v/>
      </c>
      <c r="E1624" s="63" t="n"/>
      <c r="F1624" s="66" t="str">
        <f>IF(E1624="","",IFERROR(INDEX(art_des,MATCH($E1624,art_ref,0))&amp;"","Article inconnu"))</f>
        <v/>
      </c>
      <c r="G1624" s="67" t="str">
        <f>IF(E1624="","",IFERROR(INDEX(art_unit,MATCH($E1624,art_ref,0))&amp;"",""))</f>
        <v/>
      </c>
      <c r="H1624" s="68" t="n"/>
      <c r="I1624" s="69" t="n"/>
      <c r="J1624" s="70" t="str">
        <f>IF(E1624="","",IF(ISNUMBER(I1624),I1624,IFERROR(IF(ISNUMBER(INDEX(art_price,MATCH($E1624,art_ref,0))),INDEX(art_price,MATCH($E1624,art_ref,0)),""),"")))</f>
        <v/>
      </c>
      <c r="K1624" s="71" t="n"/>
      <c r="L1624" s="72" t="n"/>
      <c r="M1624" s="72" t="str">
        <f>IF(E1624="","",IF(L1624&lt;&gt;"",L1624,IFERROR(IF(ISNUMBER(INDEX(art_tva,MATCH($E1624,art_ref,0))),INDEX(art_tva,MATCH($E1624,art_ref,0)),""),"")))</f>
        <v/>
      </c>
      <c r="N1624" s="70" t="str">
        <f>IF(OR(E1624="",J1624=""),"",ROUND(N(H1624)*J1624*(1-N(K1624)),2))</f>
        <v/>
      </c>
      <c r="O1624" s="70" t="str">
        <f>IF(OR(N1624="",NOT(ISNUMBER(M1624))),"",ROUND(N1624*M1624,2))</f>
        <v/>
      </c>
      <c r="P1624" s="70" t="str">
        <f>IF(N1624="","",N1624+N(O1624))</f>
        <v/>
      </c>
      <c r="Q1624" s="64" t="n"/>
      <c r="R1624" s="73" t="str">
        <f>IF(N(Q1624)&gt;0,Q1624,IF(OR(N(B1624)=0,ISNA(MATCH($C1624,sup_code,0))),"",IF(ISNUMBER(INDEX(sup_delay,MATCH($C1624,sup_code,0))),B1624+INDEX(sup_delay,MATCH($C1624,sup_code,0)),"")))</f>
        <v/>
      </c>
      <c r="S1624" s="64" t="n"/>
      <c r="T1624" s="68" t="n"/>
      <c r="U1624" s="64" t="n"/>
      <c r="V1624" s="65" t="n"/>
      <c r="W1624" s="74" t="str">
        <f>IF(AND(A1624="",E1624=""),"",IF(V1624="Oui",0,MAX(0,ROUND(N(H1624)-N(T1624),6))))</f>
        <v/>
      </c>
      <c r="X1624" s="67" t="str">
        <f>IF(AND(A1624="",E1624=""),"",IF(V1624="Oui","Annulé",IF(AND(N(H1624)&gt;0,N(T1624)&gt;=N(H1624)),"Reçu",IF(N(S1624)=0,"Brouillon",IF(AND(ISNUMBER(R1624),R1624&lt;p_today),"En retard",IF(N(T1624)&gt;0,"Partiel","Envoyé"))))))</f>
        <v/>
      </c>
      <c r="Y1624" s="75" t="str">
        <f>IF(X1624="En retard",p_today-R1624,IF(AND(X1624="Reçu",ISNUMBER(R1624)),MAX(0,N(U1624)-R1624),""))</f>
        <v/>
      </c>
      <c r="Z1624" s="67" t="str">
        <f>IF(AND(A1624="",E1624=""),"",IF(A1624="","N° de bon manquant",IF(N(B1624)=0,"Date de commande manquante",IF(C1624="","Fournisseur manquant",IF(ISNA(MATCH($C1624,sup_code,0)),"Fournisseur inconnu",IF(E1624="","Article manquant",IF(ISNA(MATCH($E1624,art_ref,0)),"Article inconnu",IF(N(H1624)&lt;=0,"Quantité invalide",IF(J1624="","Prix manquant",IF(OR(N(K1624)&lt;0,N(K1624)&gt;=1),"Remise invalide",IF(M1624="","TVA manquante",IF(ISNA(MATCH(M1624,p_tva,0)),"Taux de TVA inconnu",IF(COUNTIFS(po_num,A1624,po_sup,"&lt;&gt;"&amp;C1624)&gt;0,"Fournisseur différent sur ce bon",IF(COUNTIFS(po_num,A1624,po_date,"&lt;&gt;"&amp;B1624)&gt;0,"Date différente sur ce bon",IF(COUNTIF(po_num,A1624)&gt;25,"Plus de 25 lignes sur ce bon",IF(R1624="","Date de livraison manquante",IF(R1624&lt;B1624,"Livraison avant la commande",IF(AND(N(T1624)&gt;0,N(S1624)=0),"Date d'envoi manquante",IF(N(T1624)&gt;N(H1624),"Reçu plus que commandé",IF(AND(N(T1624)&gt;0,N(U1624)=0),"Date de réception manquante",IF(AND(N(U1624)&gt;0,U1624&lt;B1624),"Réception avant la commande","OK")))))))))))))))))))))</f>
        <v/>
      </c>
      <c r="AA1624" s="66" t="str">
        <f>IF(AND(X1624="Reçu",ISNUMBER(R1624)),IF(N(U1624)&lt;=R1624,1,0),"")</f>
        <v/>
      </c>
      <c r="AB1624" s="76" t="str">
        <f>IF(OR(X1624="Envoyé",X1624="Partiel",X1624="En retard"),IF(ISNUMBER(R1624),R1624,100000)+ROW()/100000,"")</f>
        <v/>
      </c>
      <c r="AC1624" s="66" t="str">
        <f>IF(A1624="","",IF(COUNTIF($A$6:A1624,A1624)=1,1,""))</f>
        <v/>
      </c>
      <c r="AD1624" s="66" t="str">
        <f>IF(AC1624=1,COUNT($AC$6:AC1624),"")</f>
        <v/>
      </c>
      <c r="AE1624" s="66" t="str">
        <f>IFERROR(INDEX(po_num,MATCH(1619,po_seq,0))&amp;"","")</f>
        <v/>
      </c>
      <c r="AF1624" s="66" t="str">
        <f>IF(OR(A1624="",p_po=""),"",IF(A1624&amp;""=p_po,COUNTIF($A$6:A1624,A1624),""))</f>
        <v/>
      </c>
      <c r="AG1624" s="66" t="str">
        <f>IF(OR(AB1624="",A1624=""),"",IF(COUNTIFS($A$6:A1624,A1624,$AB$6:AB1624,"&gt;0")=1,1,""))</f>
        <v/>
      </c>
      <c r="AH1624" s="70" t="str">
        <f>IF(AB1624="","",ROUND(N(W1624)*N(J1624)*(1-N(K1624)),2))</f>
        <v/>
      </c>
      <c r="AI1624" s="70" t="str">
        <f>IF(OR(J1624="",N(T1624)&lt;=0,V1624="Oui"),"",ROUND(N(T1624)*J1624*(1-N(K1624)),2))</f>
        <v/>
      </c>
    </row>
    <row r="1625">
      <c r="A1625" s="63" t="n"/>
      <c r="B1625" s="64" t="n"/>
      <c r="C1625" s="65" t="n"/>
      <c r="D1625" s="66" t="str">
        <f>IF(C1625="","",IFERROR(INDEX(sup_name,MATCH($C1625,sup_code,0))&amp;"","Fournisseur inconnu"))</f>
        <v/>
      </c>
      <c r="E1625" s="63" t="n"/>
      <c r="F1625" s="66" t="str">
        <f>IF(E1625="","",IFERROR(INDEX(art_des,MATCH($E1625,art_ref,0))&amp;"","Article inconnu"))</f>
        <v/>
      </c>
      <c r="G1625" s="67" t="str">
        <f>IF(E1625="","",IFERROR(INDEX(art_unit,MATCH($E1625,art_ref,0))&amp;"",""))</f>
        <v/>
      </c>
      <c r="H1625" s="68" t="n"/>
      <c r="I1625" s="69" t="n"/>
      <c r="J1625" s="70" t="str">
        <f>IF(E1625="","",IF(ISNUMBER(I1625),I1625,IFERROR(IF(ISNUMBER(INDEX(art_price,MATCH($E1625,art_ref,0))),INDEX(art_price,MATCH($E1625,art_ref,0)),""),"")))</f>
        <v/>
      </c>
      <c r="K1625" s="71" t="n"/>
      <c r="L1625" s="72" t="n"/>
      <c r="M1625" s="72" t="str">
        <f>IF(E1625="","",IF(L1625&lt;&gt;"",L1625,IFERROR(IF(ISNUMBER(INDEX(art_tva,MATCH($E1625,art_ref,0))),INDEX(art_tva,MATCH($E1625,art_ref,0)),""),"")))</f>
        <v/>
      </c>
      <c r="N1625" s="70" t="str">
        <f>IF(OR(E1625="",J1625=""),"",ROUND(N(H1625)*J1625*(1-N(K1625)),2))</f>
        <v/>
      </c>
      <c r="O1625" s="70" t="str">
        <f>IF(OR(N1625="",NOT(ISNUMBER(M1625))),"",ROUND(N1625*M1625,2))</f>
        <v/>
      </c>
      <c r="P1625" s="70" t="str">
        <f>IF(N1625="","",N1625+N(O1625))</f>
        <v/>
      </c>
      <c r="Q1625" s="64" t="n"/>
      <c r="R1625" s="73" t="str">
        <f>IF(N(Q1625)&gt;0,Q1625,IF(OR(N(B1625)=0,ISNA(MATCH($C1625,sup_code,0))),"",IF(ISNUMBER(INDEX(sup_delay,MATCH($C1625,sup_code,0))),B1625+INDEX(sup_delay,MATCH($C1625,sup_code,0)),"")))</f>
        <v/>
      </c>
      <c r="S1625" s="64" t="n"/>
      <c r="T1625" s="68" t="n"/>
      <c r="U1625" s="64" t="n"/>
      <c r="V1625" s="65" t="n"/>
      <c r="W1625" s="74" t="str">
        <f>IF(AND(A1625="",E1625=""),"",IF(V1625="Oui",0,MAX(0,ROUND(N(H1625)-N(T1625),6))))</f>
        <v/>
      </c>
      <c r="X1625" s="67" t="str">
        <f>IF(AND(A1625="",E1625=""),"",IF(V1625="Oui","Annulé",IF(AND(N(H1625)&gt;0,N(T1625)&gt;=N(H1625)),"Reçu",IF(N(S1625)=0,"Brouillon",IF(AND(ISNUMBER(R1625),R1625&lt;p_today),"En retard",IF(N(T1625)&gt;0,"Partiel","Envoyé"))))))</f>
        <v/>
      </c>
      <c r="Y1625" s="75" t="str">
        <f>IF(X1625="En retard",p_today-R1625,IF(AND(X1625="Reçu",ISNUMBER(R1625)),MAX(0,N(U1625)-R1625),""))</f>
        <v/>
      </c>
      <c r="Z1625" s="67" t="str">
        <f>IF(AND(A1625="",E1625=""),"",IF(A1625="","N° de bon manquant",IF(N(B1625)=0,"Date de commande manquante",IF(C1625="","Fournisseur manquant",IF(ISNA(MATCH($C1625,sup_code,0)),"Fournisseur inconnu",IF(E1625="","Article manquant",IF(ISNA(MATCH($E1625,art_ref,0)),"Article inconnu",IF(N(H1625)&lt;=0,"Quantité invalide",IF(J1625="","Prix manquant",IF(OR(N(K1625)&lt;0,N(K1625)&gt;=1),"Remise invalide",IF(M1625="","TVA manquante",IF(ISNA(MATCH(M1625,p_tva,0)),"Taux de TVA inconnu",IF(COUNTIFS(po_num,A1625,po_sup,"&lt;&gt;"&amp;C1625)&gt;0,"Fournisseur différent sur ce bon",IF(COUNTIFS(po_num,A1625,po_date,"&lt;&gt;"&amp;B1625)&gt;0,"Date différente sur ce bon",IF(COUNTIF(po_num,A1625)&gt;25,"Plus de 25 lignes sur ce bon",IF(R1625="","Date de livraison manquante",IF(R1625&lt;B1625,"Livraison avant la commande",IF(AND(N(T1625)&gt;0,N(S1625)=0),"Date d'envoi manquante",IF(N(T1625)&gt;N(H1625),"Reçu plus que commandé",IF(AND(N(T1625)&gt;0,N(U1625)=0),"Date de réception manquante",IF(AND(N(U1625)&gt;0,U1625&lt;B1625),"Réception avant la commande","OK")))))))))))))))))))))</f>
        <v/>
      </c>
      <c r="AA1625" s="66" t="str">
        <f>IF(AND(X1625="Reçu",ISNUMBER(R1625)),IF(N(U1625)&lt;=R1625,1,0),"")</f>
        <v/>
      </c>
      <c r="AB1625" s="76" t="str">
        <f>IF(OR(X1625="Envoyé",X1625="Partiel",X1625="En retard"),IF(ISNUMBER(R1625),R1625,100000)+ROW()/100000,"")</f>
        <v/>
      </c>
      <c r="AC1625" s="66" t="str">
        <f>IF(A1625="","",IF(COUNTIF($A$6:A1625,A1625)=1,1,""))</f>
        <v/>
      </c>
      <c r="AD1625" s="66" t="str">
        <f>IF(AC1625=1,COUNT($AC$6:AC1625),"")</f>
        <v/>
      </c>
      <c r="AE1625" s="66" t="str">
        <f>IFERROR(INDEX(po_num,MATCH(1620,po_seq,0))&amp;"","")</f>
        <v/>
      </c>
      <c r="AF1625" s="66" t="str">
        <f>IF(OR(A1625="",p_po=""),"",IF(A1625&amp;""=p_po,COUNTIF($A$6:A1625,A1625),""))</f>
        <v/>
      </c>
      <c r="AG1625" s="66" t="str">
        <f>IF(OR(AB1625="",A1625=""),"",IF(COUNTIFS($A$6:A1625,A1625,$AB$6:AB1625,"&gt;0")=1,1,""))</f>
        <v/>
      </c>
      <c r="AH1625" s="70" t="str">
        <f>IF(AB1625="","",ROUND(N(W1625)*N(J1625)*(1-N(K1625)),2))</f>
        <v/>
      </c>
      <c r="AI1625" s="70" t="str">
        <f>IF(OR(J1625="",N(T1625)&lt;=0,V1625="Oui"),"",ROUND(N(T1625)*J1625*(1-N(K1625)),2))</f>
        <v/>
      </c>
    </row>
    <row r="1626">
      <c r="A1626" s="63" t="n"/>
      <c r="B1626" s="64" t="n"/>
      <c r="C1626" s="65" t="n"/>
      <c r="D1626" s="66" t="str">
        <f>IF(C1626="","",IFERROR(INDEX(sup_name,MATCH($C1626,sup_code,0))&amp;"","Fournisseur inconnu"))</f>
        <v/>
      </c>
      <c r="E1626" s="63" t="n"/>
      <c r="F1626" s="66" t="str">
        <f>IF(E1626="","",IFERROR(INDEX(art_des,MATCH($E1626,art_ref,0))&amp;"","Article inconnu"))</f>
        <v/>
      </c>
      <c r="G1626" s="67" t="str">
        <f>IF(E1626="","",IFERROR(INDEX(art_unit,MATCH($E1626,art_ref,0))&amp;"",""))</f>
        <v/>
      </c>
      <c r="H1626" s="68" t="n"/>
      <c r="I1626" s="69" t="n"/>
      <c r="J1626" s="70" t="str">
        <f>IF(E1626="","",IF(ISNUMBER(I1626),I1626,IFERROR(IF(ISNUMBER(INDEX(art_price,MATCH($E1626,art_ref,0))),INDEX(art_price,MATCH($E1626,art_ref,0)),""),"")))</f>
        <v/>
      </c>
      <c r="K1626" s="71" t="n"/>
      <c r="L1626" s="72" t="n"/>
      <c r="M1626" s="72" t="str">
        <f>IF(E1626="","",IF(L1626&lt;&gt;"",L1626,IFERROR(IF(ISNUMBER(INDEX(art_tva,MATCH($E1626,art_ref,0))),INDEX(art_tva,MATCH($E1626,art_ref,0)),""),"")))</f>
        <v/>
      </c>
      <c r="N1626" s="70" t="str">
        <f>IF(OR(E1626="",J1626=""),"",ROUND(N(H1626)*J1626*(1-N(K1626)),2))</f>
        <v/>
      </c>
      <c r="O1626" s="70" t="str">
        <f>IF(OR(N1626="",NOT(ISNUMBER(M1626))),"",ROUND(N1626*M1626,2))</f>
        <v/>
      </c>
      <c r="P1626" s="70" t="str">
        <f>IF(N1626="","",N1626+N(O1626))</f>
        <v/>
      </c>
      <c r="Q1626" s="64" t="n"/>
      <c r="R1626" s="73" t="str">
        <f>IF(N(Q1626)&gt;0,Q1626,IF(OR(N(B1626)=0,ISNA(MATCH($C1626,sup_code,0))),"",IF(ISNUMBER(INDEX(sup_delay,MATCH($C1626,sup_code,0))),B1626+INDEX(sup_delay,MATCH($C1626,sup_code,0)),"")))</f>
        <v/>
      </c>
      <c r="S1626" s="64" t="n"/>
      <c r="T1626" s="68" t="n"/>
      <c r="U1626" s="64" t="n"/>
      <c r="V1626" s="65" t="n"/>
      <c r="W1626" s="74" t="str">
        <f>IF(AND(A1626="",E1626=""),"",IF(V1626="Oui",0,MAX(0,ROUND(N(H1626)-N(T1626),6))))</f>
        <v/>
      </c>
      <c r="X1626" s="67" t="str">
        <f>IF(AND(A1626="",E1626=""),"",IF(V1626="Oui","Annulé",IF(AND(N(H1626)&gt;0,N(T1626)&gt;=N(H1626)),"Reçu",IF(N(S1626)=0,"Brouillon",IF(AND(ISNUMBER(R1626),R1626&lt;p_today),"En retard",IF(N(T1626)&gt;0,"Partiel","Envoyé"))))))</f>
        <v/>
      </c>
      <c r="Y1626" s="75" t="str">
        <f>IF(X1626="En retard",p_today-R1626,IF(AND(X1626="Reçu",ISNUMBER(R1626)),MAX(0,N(U1626)-R1626),""))</f>
        <v/>
      </c>
      <c r="Z1626" s="67" t="str">
        <f>IF(AND(A1626="",E1626=""),"",IF(A1626="","N° de bon manquant",IF(N(B1626)=0,"Date de commande manquante",IF(C1626="","Fournisseur manquant",IF(ISNA(MATCH($C1626,sup_code,0)),"Fournisseur inconnu",IF(E1626="","Article manquant",IF(ISNA(MATCH($E1626,art_ref,0)),"Article inconnu",IF(N(H1626)&lt;=0,"Quantité invalide",IF(J1626="","Prix manquant",IF(OR(N(K1626)&lt;0,N(K1626)&gt;=1),"Remise invalide",IF(M1626="","TVA manquante",IF(ISNA(MATCH(M1626,p_tva,0)),"Taux de TVA inconnu",IF(COUNTIFS(po_num,A1626,po_sup,"&lt;&gt;"&amp;C1626)&gt;0,"Fournisseur différent sur ce bon",IF(COUNTIFS(po_num,A1626,po_date,"&lt;&gt;"&amp;B1626)&gt;0,"Date différente sur ce bon",IF(COUNTIF(po_num,A1626)&gt;25,"Plus de 25 lignes sur ce bon",IF(R1626="","Date de livraison manquante",IF(R1626&lt;B1626,"Livraison avant la commande",IF(AND(N(T1626)&gt;0,N(S1626)=0),"Date d'envoi manquante",IF(N(T1626)&gt;N(H1626),"Reçu plus que commandé",IF(AND(N(T1626)&gt;0,N(U1626)=0),"Date de réception manquante",IF(AND(N(U1626)&gt;0,U1626&lt;B1626),"Réception avant la commande","OK")))))))))))))))))))))</f>
        <v/>
      </c>
      <c r="AA1626" s="66" t="str">
        <f>IF(AND(X1626="Reçu",ISNUMBER(R1626)),IF(N(U1626)&lt;=R1626,1,0),"")</f>
        <v/>
      </c>
      <c r="AB1626" s="76" t="str">
        <f>IF(OR(X1626="Envoyé",X1626="Partiel",X1626="En retard"),IF(ISNUMBER(R1626),R1626,100000)+ROW()/100000,"")</f>
        <v/>
      </c>
      <c r="AC1626" s="66" t="str">
        <f>IF(A1626="","",IF(COUNTIF($A$6:A1626,A1626)=1,1,""))</f>
        <v/>
      </c>
      <c r="AD1626" s="66" t="str">
        <f>IF(AC1626=1,COUNT($AC$6:AC1626),"")</f>
        <v/>
      </c>
      <c r="AE1626" s="66" t="str">
        <f>IFERROR(INDEX(po_num,MATCH(1621,po_seq,0))&amp;"","")</f>
        <v/>
      </c>
      <c r="AF1626" s="66" t="str">
        <f>IF(OR(A1626="",p_po=""),"",IF(A1626&amp;""=p_po,COUNTIF($A$6:A1626,A1626),""))</f>
        <v/>
      </c>
      <c r="AG1626" s="66" t="str">
        <f>IF(OR(AB1626="",A1626=""),"",IF(COUNTIFS($A$6:A1626,A1626,$AB$6:AB1626,"&gt;0")=1,1,""))</f>
        <v/>
      </c>
      <c r="AH1626" s="70" t="str">
        <f>IF(AB1626="","",ROUND(N(W1626)*N(J1626)*(1-N(K1626)),2))</f>
        <v/>
      </c>
      <c r="AI1626" s="70" t="str">
        <f>IF(OR(J1626="",N(T1626)&lt;=0,V1626="Oui"),"",ROUND(N(T1626)*J1626*(1-N(K1626)),2))</f>
        <v/>
      </c>
    </row>
    <row r="1627">
      <c r="A1627" s="63" t="n"/>
      <c r="B1627" s="64" t="n"/>
      <c r="C1627" s="65" t="n"/>
      <c r="D1627" s="66" t="str">
        <f>IF(C1627="","",IFERROR(INDEX(sup_name,MATCH($C1627,sup_code,0))&amp;"","Fournisseur inconnu"))</f>
        <v/>
      </c>
      <c r="E1627" s="63" t="n"/>
      <c r="F1627" s="66" t="str">
        <f>IF(E1627="","",IFERROR(INDEX(art_des,MATCH($E1627,art_ref,0))&amp;"","Article inconnu"))</f>
        <v/>
      </c>
      <c r="G1627" s="67" t="str">
        <f>IF(E1627="","",IFERROR(INDEX(art_unit,MATCH($E1627,art_ref,0))&amp;"",""))</f>
        <v/>
      </c>
      <c r="H1627" s="68" t="n"/>
      <c r="I1627" s="69" t="n"/>
      <c r="J1627" s="70" t="str">
        <f>IF(E1627="","",IF(ISNUMBER(I1627),I1627,IFERROR(IF(ISNUMBER(INDEX(art_price,MATCH($E1627,art_ref,0))),INDEX(art_price,MATCH($E1627,art_ref,0)),""),"")))</f>
        <v/>
      </c>
      <c r="K1627" s="71" t="n"/>
      <c r="L1627" s="72" t="n"/>
      <c r="M1627" s="72" t="str">
        <f>IF(E1627="","",IF(L1627&lt;&gt;"",L1627,IFERROR(IF(ISNUMBER(INDEX(art_tva,MATCH($E1627,art_ref,0))),INDEX(art_tva,MATCH($E1627,art_ref,0)),""),"")))</f>
        <v/>
      </c>
      <c r="N1627" s="70" t="str">
        <f>IF(OR(E1627="",J1627=""),"",ROUND(N(H1627)*J1627*(1-N(K1627)),2))</f>
        <v/>
      </c>
      <c r="O1627" s="70" t="str">
        <f>IF(OR(N1627="",NOT(ISNUMBER(M1627))),"",ROUND(N1627*M1627,2))</f>
        <v/>
      </c>
      <c r="P1627" s="70" t="str">
        <f>IF(N1627="","",N1627+N(O1627))</f>
        <v/>
      </c>
      <c r="Q1627" s="64" t="n"/>
      <c r="R1627" s="73" t="str">
        <f>IF(N(Q1627)&gt;0,Q1627,IF(OR(N(B1627)=0,ISNA(MATCH($C1627,sup_code,0))),"",IF(ISNUMBER(INDEX(sup_delay,MATCH($C1627,sup_code,0))),B1627+INDEX(sup_delay,MATCH($C1627,sup_code,0)),"")))</f>
        <v/>
      </c>
      <c r="S1627" s="64" t="n"/>
      <c r="T1627" s="68" t="n"/>
      <c r="U1627" s="64" t="n"/>
      <c r="V1627" s="65" t="n"/>
      <c r="W1627" s="74" t="str">
        <f>IF(AND(A1627="",E1627=""),"",IF(V1627="Oui",0,MAX(0,ROUND(N(H1627)-N(T1627),6))))</f>
        <v/>
      </c>
      <c r="X1627" s="67" t="str">
        <f>IF(AND(A1627="",E1627=""),"",IF(V1627="Oui","Annulé",IF(AND(N(H1627)&gt;0,N(T1627)&gt;=N(H1627)),"Reçu",IF(N(S1627)=0,"Brouillon",IF(AND(ISNUMBER(R1627),R1627&lt;p_today),"En retard",IF(N(T1627)&gt;0,"Partiel","Envoyé"))))))</f>
        <v/>
      </c>
      <c r="Y1627" s="75" t="str">
        <f>IF(X1627="En retard",p_today-R1627,IF(AND(X1627="Reçu",ISNUMBER(R1627)),MAX(0,N(U1627)-R1627),""))</f>
        <v/>
      </c>
      <c r="Z1627" s="67" t="str">
        <f>IF(AND(A1627="",E1627=""),"",IF(A1627="","N° de bon manquant",IF(N(B1627)=0,"Date de commande manquante",IF(C1627="","Fournisseur manquant",IF(ISNA(MATCH($C1627,sup_code,0)),"Fournisseur inconnu",IF(E1627="","Article manquant",IF(ISNA(MATCH($E1627,art_ref,0)),"Article inconnu",IF(N(H1627)&lt;=0,"Quantité invalide",IF(J1627="","Prix manquant",IF(OR(N(K1627)&lt;0,N(K1627)&gt;=1),"Remise invalide",IF(M1627="","TVA manquante",IF(ISNA(MATCH(M1627,p_tva,0)),"Taux de TVA inconnu",IF(COUNTIFS(po_num,A1627,po_sup,"&lt;&gt;"&amp;C1627)&gt;0,"Fournisseur différent sur ce bon",IF(COUNTIFS(po_num,A1627,po_date,"&lt;&gt;"&amp;B1627)&gt;0,"Date différente sur ce bon",IF(COUNTIF(po_num,A1627)&gt;25,"Plus de 25 lignes sur ce bon",IF(R1627="","Date de livraison manquante",IF(R1627&lt;B1627,"Livraison avant la commande",IF(AND(N(T1627)&gt;0,N(S1627)=0),"Date d'envoi manquante",IF(N(T1627)&gt;N(H1627),"Reçu plus que commandé",IF(AND(N(T1627)&gt;0,N(U1627)=0),"Date de réception manquante",IF(AND(N(U1627)&gt;0,U1627&lt;B1627),"Réception avant la commande","OK")))))))))))))))))))))</f>
        <v/>
      </c>
      <c r="AA1627" s="66" t="str">
        <f>IF(AND(X1627="Reçu",ISNUMBER(R1627)),IF(N(U1627)&lt;=R1627,1,0),"")</f>
        <v/>
      </c>
      <c r="AB1627" s="76" t="str">
        <f>IF(OR(X1627="Envoyé",X1627="Partiel",X1627="En retard"),IF(ISNUMBER(R1627),R1627,100000)+ROW()/100000,"")</f>
        <v/>
      </c>
      <c r="AC1627" s="66" t="str">
        <f>IF(A1627="","",IF(COUNTIF($A$6:A1627,A1627)=1,1,""))</f>
        <v/>
      </c>
      <c r="AD1627" s="66" t="str">
        <f>IF(AC1627=1,COUNT($AC$6:AC1627),"")</f>
        <v/>
      </c>
      <c r="AE1627" s="66" t="str">
        <f>IFERROR(INDEX(po_num,MATCH(1622,po_seq,0))&amp;"","")</f>
        <v/>
      </c>
      <c r="AF1627" s="66" t="str">
        <f>IF(OR(A1627="",p_po=""),"",IF(A1627&amp;""=p_po,COUNTIF($A$6:A1627,A1627),""))</f>
        <v/>
      </c>
      <c r="AG1627" s="66" t="str">
        <f>IF(OR(AB1627="",A1627=""),"",IF(COUNTIFS($A$6:A1627,A1627,$AB$6:AB1627,"&gt;0")=1,1,""))</f>
        <v/>
      </c>
      <c r="AH1627" s="70" t="str">
        <f>IF(AB1627="","",ROUND(N(W1627)*N(J1627)*(1-N(K1627)),2))</f>
        <v/>
      </c>
      <c r="AI1627" s="70" t="str">
        <f>IF(OR(J1627="",N(T1627)&lt;=0,V1627="Oui"),"",ROUND(N(T1627)*J1627*(1-N(K1627)),2))</f>
        <v/>
      </c>
    </row>
    <row r="1628">
      <c r="A1628" s="63" t="n"/>
      <c r="B1628" s="64" t="n"/>
      <c r="C1628" s="65" t="n"/>
      <c r="D1628" s="66" t="str">
        <f>IF(C1628="","",IFERROR(INDEX(sup_name,MATCH($C1628,sup_code,0))&amp;"","Fournisseur inconnu"))</f>
        <v/>
      </c>
      <c r="E1628" s="63" t="n"/>
      <c r="F1628" s="66" t="str">
        <f>IF(E1628="","",IFERROR(INDEX(art_des,MATCH($E1628,art_ref,0))&amp;"","Article inconnu"))</f>
        <v/>
      </c>
      <c r="G1628" s="67" t="str">
        <f>IF(E1628="","",IFERROR(INDEX(art_unit,MATCH($E1628,art_ref,0))&amp;"",""))</f>
        <v/>
      </c>
      <c r="H1628" s="68" t="n"/>
      <c r="I1628" s="69" t="n"/>
      <c r="J1628" s="70" t="str">
        <f>IF(E1628="","",IF(ISNUMBER(I1628),I1628,IFERROR(IF(ISNUMBER(INDEX(art_price,MATCH($E1628,art_ref,0))),INDEX(art_price,MATCH($E1628,art_ref,0)),""),"")))</f>
        <v/>
      </c>
      <c r="K1628" s="71" t="n"/>
      <c r="L1628" s="72" t="n"/>
      <c r="M1628" s="72" t="str">
        <f>IF(E1628="","",IF(L1628&lt;&gt;"",L1628,IFERROR(IF(ISNUMBER(INDEX(art_tva,MATCH($E1628,art_ref,0))),INDEX(art_tva,MATCH($E1628,art_ref,0)),""),"")))</f>
        <v/>
      </c>
      <c r="N1628" s="70" t="str">
        <f>IF(OR(E1628="",J1628=""),"",ROUND(N(H1628)*J1628*(1-N(K1628)),2))</f>
        <v/>
      </c>
      <c r="O1628" s="70" t="str">
        <f>IF(OR(N1628="",NOT(ISNUMBER(M1628))),"",ROUND(N1628*M1628,2))</f>
        <v/>
      </c>
      <c r="P1628" s="70" t="str">
        <f>IF(N1628="","",N1628+N(O1628))</f>
        <v/>
      </c>
      <c r="Q1628" s="64" t="n"/>
      <c r="R1628" s="73" t="str">
        <f>IF(N(Q1628)&gt;0,Q1628,IF(OR(N(B1628)=0,ISNA(MATCH($C1628,sup_code,0))),"",IF(ISNUMBER(INDEX(sup_delay,MATCH($C1628,sup_code,0))),B1628+INDEX(sup_delay,MATCH($C1628,sup_code,0)),"")))</f>
        <v/>
      </c>
      <c r="S1628" s="64" t="n"/>
      <c r="T1628" s="68" t="n"/>
      <c r="U1628" s="64" t="n"/>
      <c r="V1628" s="65" t="n"/>
      <c r="W1628" s="74" t="str">
        <f>IF(AND(A1628="",E1628=""),"",IF(V1628="Oui",0,MAX(0,ROUND(N(H1628)-N(T1628),6))))</f>
        <v/>
      </c>
      <c r="X1628" s="67" t="str">
        <f>IF(AND(A1628="",E1628=""),"",IF(V1628="Oui","Annulé",IF(AND(N(H1628)&gt;0,N(T1628)&gt;=N(H1628)),"Reçu",IF(N(S1628)=0,"Brouillon",IF(AND(ISNUMBER(R1628),R1628&lt;p_today),"En retard",IF(N(T1628)&gt;0,"Partiel","Envoyé"))))))</f>
        <v/>
      </c>
      <c r="Y1628" s="75" t="str">
        <f>IF(X1628="En retard",p_today-R1628,IF(AND(X1628="Reçu",ISNUMBER(R1628)),MAX(0,N(U1628)-R1628),""))</f>
        <v/>
      </c>
      <c r="Z1628" s="67" t="str">
        <f>IF(AND(A1628="",E1628=""),"",IF(A1628="","N° de bon manquant",IF(N(B1628)=0,"Date de commande manquante",IF(C1628="","Fournisseur manquant",IF(ISNA(MATCH($C1628,sup_code,0)),"Fournisseur inconnu",IF(E1628="","Article manquant",IF(ISNA(MATCH($E1628,art_ref,0)),"Article inconnu",IF(N(H1628)&lt;=0,"Quantité invalide",IF(J1628="","Prix manquant",IF(OR(N(K1628)&lt;0,N(K1628)&gt;=1),"Remise invalide",IF(M1628="","TVA manquante",IF(ISNA(MATCH(M1628,p_tva,0)),"Taux de TVA inconnu",IF(COUNTIFS(po_num,A1628,po_sup,"&lt;&gt;"&amp;C1628)&gt;0,"Fournisseur différent sur ce bon",IF(COUNTIFS(po_num,A1628,po_date,"&lt;&gt;"&amp;B1628)&gt;0,"Date différente sur ce bon",IF(COUNTIF(po_num,A1628)&gt;25,"Plus de 25 lignes sur ce bon",IF(R1628="","Date de livraison manquante",IF(R1628&lt;B1628,"Livraison avant la commande",IF(AND(N(T1628)&gt;0,N(S1628)=0),"Date d'envoi manquante",IF(N(T1628)&gt;N(H1628),"Reçu plus que commandé",IF(AND(N(T1628)&gt;0,N(U1628)=0),"Date de réception manquante",IF(AND(N(U1628)&gt;0,U1628&lt;B1628),"Réception avant la commande","OK")))))))))))))))))))))</f>
        <v/>
      </c>
      <c r="AA1628" s="66" t="str">
        <f>IF(AND(X1628="Reçu",ISNUMBER(R1628)),IF(N(U1628)&lt;=R1628,1,0),"")</f>
        <v/>
      </c>
      <c r="AB1628" s="76" t="str">
        <f>IF(OR(X1628="Envoyé",X1628="Partiel",X1628="En retard"),IF(ISNUMBER(R1628),R1628,100000)+ROW()/100000,"")</f>
        <v/>
      </c>
      <c r="AC1628" s="66" t="str">
        <f>IF(A1628="","",IF(COUNTIF($A$6:A1628,A1628)=1,1,""))</f>
        <v/>
      </c>
      <c r="AD1628" s="66" t="str">
        <f>IF(AC1628=1,COUNT($AC$6:AC1628),"")</f>
        <v/>
      </c>
      <c r="AE1628" s="66" t="str">
        <f>IFERROR(INDEX(po_num,MATCH(1623,po_seq,0))&amp;"","")</f>
        <v/>
      </c>
      <c r="AF1628" s="66" t="str">
        <f>IF(OR(A1628="",p_po=""),"",IF(A1628&amp;""=p_po,COUNTIF($A$6:A1628,A1628),""))</f>
        <v/>
      </c>
      <c r="AG1628" s="66" t="str">
        <f>IF(OR(AB1628="",A1628=""),"",IF(COUNTIFS($A$6:A1628,A1628,$AB$6:AB1628,"&gt;0")=1,1,""))</f>
        <v/>
      </c>
      <c r="AH1628" s="70" t="str">
        <f>IF(AB1628="","",ROUND(N(W1628)*N(J1628)*(1-N(K1628)),2))</f>
        <v/>
      </c>
      <c r="AI1628" s="70" t="str">
        <f>IF(OR(J1628="",N(T1628)&lt;=0,V1628="Oui"),"",ROUND(N(T1628)*J1628*(1-N(K1628)),2))</f>
        <v/>
      </c>
    </row>
    <row r="1629">
      <c r="A1629" s="63" t="n"/>
      <c r="B1629" s="64" t="n"/>
      <c r="C1629" s="65" t="n"/>
      <c r="D1629" s="66" t="str">
        <f>IF(C1629="","",IFERROR(INDEX(sup_name,MATCH($C1629,sup_code,0))&amp;"","Fournisseur inconnu"))</f>
        <v/>
      </c>
      <c r="E1629" s="63" t="n"/>
      <c r="F1629" s="66" t="str">
        <f>IF(E1629="","",IFERROR(INDEX(art_des,MATCH($E1629,art_ref,0))&amp;"","Article inconnu"))</f>
        <v/>
      </c>
      <c r="G1629" s="67" t="str">
        <f>IF(E1629="","",IFERROR(INDEX(art_unit,MATCH($E1629,art_ref,0))&amp;"",""))</f>
        <v/>
      </c>
      <c r="H1629" s="68" t="n"/>
      <c r="I1629" s="69" t="n"/>
      <c r="J1629" s="70" t="str">
        <f>IF(E1629="","",IF(ISNUMBER(I1629),I1629,IFERROR(IF(ISNUMBER(INDEX(art_price,MATCH($E1629,art_ref,0))),INDEX(art_price,MATCH($E1629,art_ref,0)),""),"")))</f>
        <v/>
      </c>
      <c r="K1629" s="71" t="n"/>
      <c r="L1629" s="72" t="n"/>
      <c r="M1629" s="72" t="str">
        <f>IF(E1629="","",IF(L1629&lt;&gt;"",L1629,IFERROR(IF(ISNUMBER(INDEX(art_tva,MATCH($E1629,art_ref,0))),INDEX(art_tva,MATCH($E1629,art_ref,0)),""),"")))</f>
        <v/>
      </c>
      <c r="N1629" s="70" t="str">
        <f>IF(OR(E1629="",J1629=""),"",ROUND(N(H1629)*J1629*(1-N(K1629)),2))</f>
        <v/>
      </c>
      <c r="O1629" s="70" t="str">
        <f>IF(OR(N1629="",NOT(ISNUMBER(M1629))),"",ROUND(N1629*M1629,2))</f>
        <v/>
      </c>
      <c r="P1629" s="70" t="str">
        <f>IF(N1629="","",N1629+N(O1629))</f>
        <v/>
      </c>
      <c r="Q1629" s="64" t="n"/>
      <c r="R1629" s="73" t="str">
        <f>IF(N(Q1629)&gt;0,Q1629,IF(OR(N(B1629)=0,ISNA(MATCH($C1629,sup_code,0))),"",IF(ISNUMBER(INDEX(sup_delay,MATCH($C1629,sup_code,0))),B1629+INDEX(sup_delay,MATCH($C1629,sup_code,0)),"")))</f>
        <v/>
      </c>
      <c r="S1629" s="64" t="n"/>
      <c r="T1629" s="68" t="n"/>
      <c r="U1629" s="64" t="n"/>
      <c r="V1629" s="65" t="n"/>
      <c r="W1629" s="74" t="str">
        <f>IF(AND(A1629="",E1629=""),"",IF(V1629="Oui",0,MAX(0,ROUND(N(H1629)-N(T1629),6))))</f>
        <v/>
      </c>
      <c r="X1629" s="67" t="str">
        <f>IF(AND(A1629="",E1629=""),"",IF(V1629="Oui","Annulé",IF(AND(N(H1629)&gt;0,N(T1629)&gt;=N(H1629)),"Reçu",IF(N(S1629)=0,"Brouillon",IF(AND(ISNUMBER(R1629),R1629&lt;p_today),"En retard",IF(N(T1629)&gt;0,"Partiel","Envoyé"))))))</f>
        <v/>
      </c>
      <c r="Y1629" s="75" t="str">
        <f>IF(X1629="En retard",p_today-R1629,IF(AND(X1629="Reçu",ISNUMBER(R1629)),MAX(0,N(U1629)-R1629),""))</f>
        <v/>
      </c>
      <c r="Z1629" s="67" t="str">
        <f>IF(AND(A1629="",E1629=""),"",IF(A1629="","N° de bon manquant",IF(N(B1629)=0,"Date de commande manquante",IF(C1629="","Fournisseur manquant",IF(ISNA(MATCH($C1629,sup_code,0)),"Fournisseur inconnu",IF(E1629="","Article manquant",IF(ISNA(MATCH($E1629,art_ref,0)),"Article inconnu",IF(N(H1629)&lt;=0,"Quantité invalide",IF(J1629="","Prix manquant",IF(OR(N(K1629)&lt;0,N(K1629)&gt;=1),"Remise invalide",IF(M1629="","TVA manquante",IF(ISNA(MATCH(M1629,p_tva,0)),"Taux de TVA inconnu",IF(COUNTIFS(po_num,A1629,po_sup,"&lt;&gt;"&amp;C1629)&gt;0,"Fournisseur différent sur ce bon",IF(COUNTIFS(po_num,A1629,po_date,"&lt;&gt;"&amp;B1629)&gt;0,"Date différente sur ce bon",IF(COUNTIF(po_num,A1629)&gt;25,"Plus de 25 lignes sur ce bon",IF(R1629="","Date de livraison manquante",IF(R1629&lt;B1629,"Livraison avant la commande",IF(AND(N(T1629)&gt;0,N(S1629)=0),"Date d'envoi manquante",IF(N(T1629)&gt;N(H1629),"Reçu plus que commandé",IF(AND(N(T1629)&gt;0,N(U1629)=0),"Date de réception manquante",IF(AND(N(U1629)&gt;0,U1629&lt;B1629),"Réception avant la commande","OK")))))))))))))))))))))</f>
        <v/>
      </c>
      <c r="AA1629" s="66" t="str">
        <f>IF(AND(X1629="Reçu",ISNUMBER(R1629)),IF(N(U1629)&lt;=R1629,1,0),"")</f>
        <v/>
      </c>
      <c r="AB1629" s="76" t="str">
        <f>IF(OR(X1629="Envoyé",X1629="Partiel",X1629="En retard"),IF(ISNUMBER(R1629),R1629,100000)+ROW()/100000,"")</f>
        <v/>
      </c>
      <c r="AC1629" s="66" t="str">
        <f>IF(A1629="","",IF(COUNTIF($A$6:A1629,A1629)=1,1,""))</f>
        <v/>
      </c>
      <c r="AD1629" s="66" t="str">
        <f>IF(AC1629=1,COUNT($AC$6:AC1629),"")</f>
        <v/>
      </c>
      <c r="AE1629" s="66" t="str">
        <f>IFERROR(INDEX(po_num,MATCH(1624,po_seq,0))&amp;"","")</f>
        <v/>
      </c>
      <c r="AF1629" s="66" t="str">
        <f>IF(OR(A1629="",p_po=""),"",IF(A1629&amp;""=p_po,COUNTIF($A$6:A1629,A1629),""))</f>
        <v/>
      </c>
      <c r="AG1629" s="66" t="str">
        <f>IF(OR(AB1629="",A1629=""),"",IF(COUNTIFS($A$6:A1629,A1629,$AB$6:AB1629,"&gt;0")=1,1,""))</f>
        <v/>
      </c>
      <c r="AH1629" s="70" t="str">
        <f>IF(AB1629="","",ROUND(N(W1629)*N(J1629)*(1-N(K1629)),2))</f>
        <v/>
      </c>
      <c r="AI1629" s="70" t="str">
        <f>IF(OR(J1629="",N(T1629)&lt;=0,V1629="Oui"),"",ROUND(N(T1629)*J1629*(1-N(K1629)),2))</f>
        <v/>
      </c>
    </row>
    <row r="1630">
      <c r="A1630" s="63" t="n"/>
      <c r="B1630" s="64" t="n"/>
      <c r="C1630" s="65" t="n"/>
      <c r="D1630" s="66" t="str">
        <f>IF(C1630="","",IFERROR(INDEX(sup_name,MATCH($C1630,sup_code,0))&amp;"","Fournisseur inconnu"))</f>
        <v/>
      </c>
      <c r="E1630" s="63" t="n"/>
      <c r="F1630" s="66" t="str">
        <f>IF(E1630="","",IFERROR(INDEX(art_des,MATCH($E1630,art_ref,0))&amp;"","Article inconnu"))</f>
        <v/>
      </c>
      <c r="G1630" s="67" t="str">
        <f>IF(E1630="","",IFERROR(INDEX(art_unit,MATCH($E1630,art_ref,0))&amp;"",""))</f>
        <v/>
      </c>
      <c r="H1630" s="68" t="n"/>
      <c r="I1630" s="69" t="n"/>
      <c r="J1630" s="70" t="str">
        <f>IF(E1630="","",IF(ISNUMBER(I1630),I1630,IFERROR(IF(ISNUMBER(INDEX(art_price,MATCH($E1630,art_ref,0))),INDEX(art_price,MATCH($E1630,art_ref,0)),""),"")))</f>
        <v/>
      </c>
      <c r="K1630" s="71" t="n"/>
      <c r="L1630" s="72" t="n"/>
      <c r="M1630" s="72" t="str">
        <f>IF(E1630="","",IF(L1630&lt;&gt;"",L1630,IFERROR(IF(ISNUMBER(INDEX(art_tva,MATCH($E1630,art_ref,0))),INDEX(art_tva,MATCH($E1630,art_ref,0)),""),"")))</f>
        <v/>
      </c>
      <c r="N1630" s="70" t="str">
        <f>IF(OR(E1630="",J1630=""),"",ROUND(N(H1630)*J1630*(1-N(K1630)),2))</f>
        <v/>
      </c>
      <c r="O1630" s="70" t="str">
        <f>IF(OR(N1630="",NOT(ISNUMBER(M1630))),"",ROUND(N1630*M1630,2))</f>
        <v/>
      </c>
      <c r="P1630" s="70" t="str">
        <f>IF(N1630="","",N1630+N(O1630))</f>
        <v/>
      </c>
      <c r="Q1630" s="64" t="n"/>
      <c r="R1630" s="73" t="str">
        <f>IF(N(Q1630)&gt;0,Q1630,IF(OR(N(B1630)=0,ISNA(MATCH($C1630,sup_code,0))),"",IF(ISNUMBER(INDEX(sup_delay,MATCH($C1630,sup_code,0))),B1630+INDEX(sup_delay,MATCH($C1630,sup_code,0)),"")))</f>
        <v/>
      </c>
      <c r="S1630" s="64" t="n"/>
      <c r="T1630" s="68" t="n"/>
      <c r="U1630" s="64" t="n"/>
      <c r="V1630" s="65" t="n"/>
      <c r="W1630" s="74" t="str">
        <f>IF(AND(A1630="",E1630=""),"",IF(V1630="Oui",0,MAX(0,ROUND(N(H1630)-N(T1630),6))))</f>
        <v/>
      </c>
      <c r="X1630" s="67" t="str">
        <f>IF(AND(A1630="",E1630=""),"",IF(V1630="Oui","Annulé",IF(AND(N(H1630)&gt;0,N(T1630)&gt;=N(H1630)),"Reçu",IF(N(S1630)=0,"Brouillon",IF(AND(ISNUMBER(R1630),R1630&lt;p_today),"En retard",IF(N(T1630)&gt;0,"Partiel","Envoyé"))))))</f>
        <v/>
      </c>
      <c r="Y1630" s="75" t="str">
        <f>IF(X1630="En retard",p_today-R1630,IF(AND(X1630="Reçu",ISNUMBER(R1630)),MAX(0,N(U1630)-R1630),""))</f>
        <v/>
      </c>
      <c r="Z1630" s="67" t="str">
        <f>IF(AND(A1630="",E1630=""),"",IF(A1630="","N° de bon manquant",IF(N(B1630)=0,"Date de commande manquante",IF(C1630="","Fournisseur manquant",IF(ISNA(MATCH($C1630,sup_code,0)),"Fournisseur inconnu",IF(E1630="","Article manquant",IF(ISNA(MATCH($E1630,art_ref,0)),"Article inconnu",IF(N(H1630)&lt;=0,"Quantité invalide",IF(J1630="","Prix manquant",IF(OR(N(K1630)&lt;0,N(K1630)&gt;=1),"Remise invalide",IF(M1630="","TVA manquante",IF(ISNA(MATCH(M1630,p_tva,0)),"Taux de TVA inconnu",IF(COUNTIFS(po_num,A1630,po_sup,"&lt;&gt;"&amp;C1630)&gt;0,"Fournisseur différent sur ce bon",IF(COUNTIFS(po_num,A1630,po_date,"&lt;&gt;"&amp;B1630)&gt;0,"Date différente sur ce bon",IF(COUNTIF(po_num,A1630)&gt;25,"Plus de 25 lignes sur ce bon",IF(R1630="","Date de livraison manquante",IF(R1630&lt;B1630,"Livraison avant la commande",IF(AND(N(T1630)&gt;0,N(S1630)=0),"Date d'envoi manquante",IF(N(T1630)&gt;N(H1630),"Reçu plus que commandé",IF(AND(N(T1630)&gt;0,N(U1630)=0),"Date de réception manquante",IF(AND(N(U1630)&gt;0,U1630&lt;B1630),"Réception avant la commande","OK")))))))))))))))))))))</f>
        <v/>
      </c>
      <c r="AA1630" s="66" t="str">
        <f>IF(AND(X1630="Reçu",ISNUMBER(R1630)),IF(N(U1630)&lt;=R1630,1,0),"")</f>
        <v/>
      </c>
      <c r="AB1630" s="76" t="str">
        <f>IF(OR(X1630="Envoyé",X1630="Partiel",X1630="En retard"),IF(ISNUMBER(R1630),R1630,100000)+ROW()/100000,"")</f>
        <v/>
      </c>
      <c r="AC1630" s="66" t="str">
        <f>IF(A1630="","",IF(COUNTIF($A$6:A1630,A1630)=1,1,""))</f>
        <v/>
      </c>
      <c r="AD1630" s="66" t="str">
        <f>IF(AC1630=1,COUNT($AC$6:AC1630),"")</f>
        <v/>
      </c>
      <c r="AE1630" s="66" t="str">
        <f>IFERROR(INDEX(po_num,MATCH(1625,po_seq,0))&amp;"","")</f>
        <v/>
      </c>
      <c r="AF1630" s="66" t="str">
        <f>IF(OR(A1630="",p_po=""),"",IF(A1630&amp;""=p_po,COUNTIF($A$6:A1630,A1630),""))</f>
        <v/>
      </c>
      <c r="AG1630" s="66" t="str">
        <f>IF(OR(AB1630="",A1630=""),"",IF(COUNTIFS($A$6:A1630,A1630,$AB$6:AB1630,"&gt;0")=1,1,""))</f>
        <v/>
      </c>
      <c r="AH1630" s="70" t="str">
        <f>IF(AB1630="","",ROUND(N(W1630)*N(J1630)*(1-N(K1630)),2))</f>
        <v/>
      </c>
      <c r="AI1630" s="70" t="str">
        <f>IF(OR(J1630="",N(T1630)&lt;=0,V1630="Oui"),"",ROUND(N(T1630)*J1630*(1-N(K1630)),2))</f>
        <v/>
      </c>
    </row>
    <row r="1631">
      <c r="A1631" s="63" t="n"/>
      <c r="B1631" s="64" t="n"/>
      <c r="C1631" s="65" t="n"/>
      <c r="D1631" s="66" t="str">
        <f>IF(C1631="","",IFERROR(INDEX(sup_name,MATCH($C1631,sup_code,0))&amp;"","Fournisseur inconnu"))</f>
        <v/>
      </c>
      <c r="E1631" s="63" t="n"/>
      <c r="F1631" s="66" t="str">
        <f>IF(E1631="","",IFERROR(INDEX(art_des,MATCH($E1631,art_ref,0))&amp;"","Article inconnu"))</f>
        <v/>
      </c>
      <c r="G1631" s="67" t="str">
        <f>IF(E1631="","",IFERROR(INDEX(art_unit,MATCH($E1631,art_ref,0))&amp;"",""))</f>
        <v/>
      </c>
      <c r="H1631" s="68" t="n"/>
      <c r="I1631" s="69" t="n"/>
      <c r="J1631" s="70" t="str">
        <f>IF(E1631="","",IF(ISNUMBER(I1631),I1631,IFERROR(IF(ISNUMBER(INDEX(art_price,MATCH($E1631,art_ref,0))),INDEX(art_price,MATCH($E1631,art_ref,0)),""),"")))</f>
        <v/>
      </c>
      <c r="K1631" s="71" t="n"/>
      <c r="L1631" s="72" t="n"/>
      <c r="M1631" s="72" t="str">
        <f>IF(E1631="","",IF(L1631&lt;&gt;"",L1631,IFERROR(IF(ISNUMBER(INDEX(art_tva,MATCH($E1631,art_ref,0))),INDEX(art_tva,MATCH($E1631,art_ref,0)),""),"")))</f>
        <v/>
      </c>
      <c r="N1631" s="70" t="str">
        <f>IF(OR(E1631="",J1631=""),"",ROUND(N(H1631)*J1631*(1-N(K1631)),2))</f>
        <v/>
      </c>
      <c r="O1631" s="70" t="str">
        <f>IF(OR(N1631="",NOT(ISNUMBER(M1631))),"",ROUND(N1631*M1631,2))</f>
        <v/>
      </c>
      <c r="P1631" s="70" t="str">
        <f>IF(N1631="","",N1631+N(O1631))</f>
        <v/>
      </c>
      <c r="Q1631" s="64" t="n"/>
      <c r="R1631" s="73" t="str">
        <f>IF(N(Q1631)&gt;0,Q1631,IF(OR(N(B1631)=0,ISNA(MATCH($C1631,sup_code,0))),"",IF(ISNUMBER(INDEX(sup_delay,MATCH($C1631,sup_code,0))),B1631+INDEX(sup_delay,MATCH($C1631,sup_code,0)),"")))</f>
        <v/>
      </c>
      <c r="S1631" s="64" t="n"/>
      <c r="T1631" s="68" t="n"/>
      <c r="U1631" s="64" t="n"/>
      <c r="V1631" s="65" t="n"/>
      <c r="W1631" s="74" t="str">
        <f>IF(AND(A1631="",E1631=""),"",IF(V1631="Oui",0,MAX(0,ROUND(N(H1631)-N(T1631),6))))</f>
        <v/>
      </c>
      <c r="X1631" s="67" t="str">
        <f>IF(AND(A1631="",E1631=""),"",IF(V1631="Oui","Annulé",IF(AND(N(H1631)&gt;0,N(T1631)&gt;=N(H1631)),"Reçu",IF(N(S1631)=0,"Brouillon",IF(AND(ISNUMBER(R1631),R1631&lt;p_today),"En retard",IF(N(T1631)&gt;0,"Partiel","Envoyé"))))))</f>
        <v/>
      </c>
      <c r="Y1631" s="75" t="str">
        <f>IF(X1631="En retard",p_today-R1631,IF(AND(X1631="Reçu",ISNUMBER(R1631)),MAX(0,N(U1631)-R1631),""))</f>
        <v/>
      </c>
      <c r="Z1631" s="67" t="str">
        <f>IF(AND(A1631="",E1631=""),"",IF(A1631="","N° de bon manquant",IF(N(B1631)=0,"Date de commande manquante",IF(C1631="","Fournisseur manquant",IF(ISNA(MATCH($C1631,sup_code,0)),"Fournisseur inconnu",IF(E1631="","Article manquant",IF(ISNA(MATCH($E1631,art_ref,0)),"Article inconnu",IF(N(H1631)&lt;=0,"Quantité invalide",IF(J1631="","Prix manquant",IF(OR(N(K1631)&lt;0,N(K1631)&gt;=1),"Remise invalide",IF(M1631="","TVA manquante",IF(ISNA(MATCH(M1631,p_tva,0)),"Taux de TVA inconnu",IF(COUNTIFS(po_num,A1631,po_sup,"&lt;&gt;"&amp;C1631)&gt;0,"Fournisseur différent sur ce bon",IF(COUNTIFS(po_num,A1631,po_date,"&lt;&gt;"&amp;B1631)&gt;0,"Date différente sur ce bon",IF(COUNTIF(po_num,A1631)&gt;25,"Plus de 25 lignes sur ce bon",IF(R1631="","Date de livraison manquante",IF(R1631&lt;B1631,"Livraison avant la commande",IF(AND(N(T1631)&gt;0,N(S1631)=0),"Date d'envoi manquante",IF(N(T1631)&gt;N(H1631),"Reçu plus que commandé",IF(AND(N(T1631)&gt;0,N(U1631)=0),"Date de réception manquante",IF(AND(N(U1631)&gt;0,U1631&lt;B1631),"Réception avant la commande","OK")))))))))))))))))))))</f>
        <v/>
      </c>
      <c r="AA1631" s="66" t="str">
        <f>IF(AND(X1631="Reçu",ISNUMBER(R1631)),IF(N(U1631)&lt;=R1631,1,0),"")</f>
        <v/>
      </c>
      <c r="AB1631" s="76" t="str">
        <f>IF(OR(X1631="Envoyé",X1631="Partiel",X1631="En retard"),IF(ISNUMBER(R1631),R1631,100000)+ROW()/100000,"")</f>
        <v/>
      </c>
      <c r="AC1631" s="66" t="str">
        <f>IF(A1631="","",IF(COUNTIF($A$6:A1631,A1631)=1,1,""))</f>
        <v/>
      </c>
      <c r="AD1631" s="66" t="str">
        <f>IF(AC1631=1,COUNT($AC$6:AC1631),"")</f>
        <v/>
      </c>
      <c r="AE1631" s="66" t="str">
        <f>IFERROR(INDEX(po_num,MATCH(1626,po_seq,0))&amp;"","")</f>
        <v/>
      </c>
      <c r="AF1631" s="66" t="str">
        <f>IF(OR(A1631="",p_po=""),"",IF(A1631&amp;""=p_po,COUNTIF($A$6:A1631,A1631),""))</f>
        <v/>
      </c>
      <c r="AG1631" s="66" t="str">
        <f>IF(OR(AB1631="",A1631=""),"",IF(COUNTIFS($A$6:A1631,A1631,$AB$6:AB1631,"&gt;0")=1,1,""))</f>
        <v/>
      </c>
      <c r="AH1631" s="70" t="str">
        <f>IF(AB1631="","",ROUND(N(W1631)*N(J1631)*(1-N(K1631)),2))</f>
        <v/>
      </c>
      <c r="AI1631" s="70" t="str">
        <f>IF(OR(J1631="",N(T1631)&lt;=0,V1631="Oui"),"",ROUND(N(T1631)*J1631*(1-N(K1631)),2))</f>
        <v/>
      </c>
    </row>
    <row r="1632">
      <c r="A1632" s="63" t="n"/>
      <c r="B1632" s="64" t="n"/>
      <c r="C1632" s="65" t="n"/>
      <c r="D1632" s="66" t="str">
        <f>IF(C1632="","",IFERROR(INDEX(sup_name,MATCH($C1632,sup_code,0))&amp;"","Fournisseur inconnu"))</f>
        <v/>
      </c>
      <c r="E1632" s="63" t="n"/>
      <c r="F1632" s="66" t="str">
        <f>IF(E1632="","",IFERROR(INDEX(art_des,MATCH($E1632,art_ref,0))&amp;"","Article inconnu"))</f>
        <v/>
      </c>
      <c r="G1632" s="67" t="str">
        <f>IF(E1632="","",IFERROR(INDEX(art_unit,MATCH($E1632,art_ref,0))&amp;"",""))</f>
        <v/>
      </c>
      <c r="H1632" s="68" t="n"/>
      <c r="I1632" s="69" t="n"/>
      <c r="J1632" s="70" t="str">
        <f>IF(E1632="","",IF(ISNUMBER(I1632),I1632,IFERROR(IF(ISNUMBER(INDEX(art_price,MATCH($E1632,art_ref,0))),INDEX(art_price,MATCH($E1632,art_ref,0)),""),"")))</f>
        <v/>
      </c>
      <c r="K1632" s="71" t="n"/>
      <c r="L1632" s="72" t="n"/>
      <c r="M1632" s="72" t="str">
        <f>IF(E1632="","",IF(L1632&lt;&gt;"",L1632,IFERROR(IF(ISNUMBER(INDEX(art_tva,MATCH($E1632,art_ref,0))),INDEX(art_tva,MATCH($E1632,art_ref,0)),""),"")))</f>
        <v/>
      </c>
      <c r="N1632" s="70" t="str">
        <f>IF(OR(E1632="",J1632=""),"",ROUND(N(H1632)*J1632*(1-N(K1632)),2))</f>
        <v/>
      </c>
      <c r="O1632" s="70" t="str">
        <f>IF(OR(N1632="",NOT(ISNUMBER(M1632))),"",ROUND(N1632*M1632,2))</f>
        <v/>
      </c>
      <c r="P1632" s="70" t="str">
        <f>IF(N1632="","",N1632+N(O1632))</f>
        <v/>
      </c>
      <c r="Q1632" s="64" t="n"/>
      <c r="R1632" s="73" t="str">
        <f>IF(N(Q1632)&gt;0,Q1632,IF(OR(N(B1632)=0,ISNA(MATCH($C1632,sup_code,0))),"",IF(ISNUMBER(INDEX(sup_delay,MATCH($C1632,sup_code,0))),B1632+INDEX(sup_delay,MATCH($C1632,sup_code,0)),"")))</f>
        <v/>
      </c>
      <c r="S1632" s="64" t="n"/>
      <c r="T1632" s="68" t="n"/>
      <c r="U1632" s="64" t="n"/>
      <c r="V1632" s="65" t="n"/>
      <c r="W1632" s="74" t="str">
        <f>IF(AND(A1632="",E1632=""),"",IF(V1632="Oui",0,MAX(0,ROUND(N(H1632)-N(T1632),6))))</f>
        <v/>
      </c>
      <c r="X1632" s="67" t="str">
        <f>IF(AND(A1632="",E1632=""),"",IF(V1632="Oui","Annulé",IF(AND(N(H1632)&gt;0,N(T1632)&gt;=N(H1632)),"Reçu",IF(N(S1632)=0,"Brouillon",IF(AND(ISNUMBER(R1632),R1632&lt;p_today),"En retard",IF(N(T1632)&gt;0,"Partiel","Envoyé"))))))</f>
        <v/>
      </c>
      <c r="Y1632" s="75" t="str">
        <f>IF(X1632="En retard",p_today-R1632,IF(AND(X1632="Reçu",ISNUMBER(R1632)),MAX(0,N(U1632)-R1632),""))</f>
        <v/>
      </c>
      <c r="Z1632" s="67" t="str">
        <f>IF(AND(A1632="",E1632=""),"",IF(A1632="","N° de bon manquant",IF(N(B1632)=0,"Date de commande manquante",IF(C1632="","Fournisseur manquant",IF(ISNA(MATCH($C1632,sup_code,0)),"Fournisseur inconnu",IF(E1632="","Article manquant",IF(ISNA(MATCH($E1632,art_ref,0)),"Article inconnu",IF(N(H1632)&lt;=0,"Quantité invalide",IF(J1632="","Prix manquant",IF(OR(N(K1632)&lt;0,N(K1632)&gt;=1),"Remise invalide",IF(M1632="","TVA manquante",IF(ISNA(MATCH(M1632,p_tva,0)),"Taux de TVA inconnu",IF(COUNTIFS(po_num,A1632,po_sup,"&lt;&gt;"&amp;C1632)&gt;0,"Fournisseur différent sur ce bon",IF(COUNTIFS(po_num,A1632,po_date,"&lt;&gt;"&amp;B1632)&gt;0,"Date différente sur ce bon",IF(COUNTIF(po_num,A1632)&gt;25,"Plus de 25 lignes sur ce bon",IF(R1632="","Date de livraison manquante",IF(R1632&lt;B1632,"Livraison avant la commande",IF(AND(N(T1632)&gt;0,N(S1632)=0),"Date d'envoi manquante",IF(N(T1632)&gt;N(H1632),"Reçu plus que commandé",IF(AND(N(T1632)&gt;0,N(U1632)=0),"Date de réception manquante",IF(AND(N(U1632)&gt;0,U1632&lt;B1632),"Réception avant la commande","OK")))))))))))))))))))))</f>
        <v/>
      </c>
      <c r="AA1632" s="66" t="str">
        <f>IF(AND(X1632="Reçu",ISNUMBER(R1632)),IF(N(U1632)&lt;=R1632,1,0),"")</f>
        <v/>
      </c>
      <c r="AB1632" s="76" t="str">
        <f>IF(OR(X1632="Envoyé",X1632="Partiel",X1632="En retard"),IF(ISNUMBER(R1632),R1632,100000)+ROW()/100000,"")</f>
        <v/>
      </c>
      <c r="AC1632" s="66" t="str">
        <f>IF(A1632="","",IF(COUNTIF($A$6:A1632,A1632)=1,1,""))</f>
        <v/>
      </c>
      <c r="AD1632" s="66" t="str">
        <f>IF(AC1632=1,COUNT($AC$6:AC1632),"")</f>
        <v/>
      </c>
      <c r="AE1632" s="66" t="str">
        <f>IFERROR(INDEX(po_num,MATCH(1627,po_seq,0))&amp;"","")</f>
        <v/>
      </c>
      <c r="AF1632" s="66" t="str">
        <f>IF(OR(A1632="",p_po=""),"",IF(A1632&amp;""=p_po,COUNTIF($A$6:A1632,A1632),""))</f>
        <v/>
      </c>
      <c r="AG1632" s="66" t="str">
        <f>IF(OR(AB1632="",A1632=""),"",IF(COUNTIFS($A$6:A1632,A1632,$AB$6:AB1632,"&gt;0")=1,1,""))</f>
        <v/>
      </c>
      <c r="AH1632" s="70" t="str">
        <f>IF(AB1632="","",ROUND(N(W1632)*N(J1632)*(1-N(K1632)),2))</f>
        <v/>
      </c>
      <c r="AI1632" s="70" t="str">
        <f>IF(OR(J1632="",N(T1632)&lt;=0,V1632="Oui"),"",ROUND(N(T1632)*J1632*(1-N(K1632)),2))</f>
        <v/>
      </c>
    </row>
    <row r="1633">
      <c r="A1633" s="63" t="n"/>
      <c r="B1633" s="64" t="n"/>
      <c r="C1633" s="65" t="n"/>
      <c r="D1633" s="66" t="str">
        <f>IF(C1633="","",IFERROR(INDEX(sup_name,MATCH($C1633,sup_code,0))&amp;"","Fournisseur inconnu"))</f>
        <v/>
      </c>
      <c r="E1633" s="63" t="n"/>
      <c r="F1633" s="66" t="str">
        <f>IF(E1633="","",IFERROR(INDEX(art_des,MATCH($E1633,art_ref,0))&amp;"","Article inconnu"))</f>
        <v/>
      </c>
      <c r="G1633" s="67" t="str">
        <f>IF(E1633="","",IFERROR(INDEX(art_unit,MATCH($E1633,art_ref,0))&amp;"",""))</f>
        <v/>
      </c>
      <c r="H1633" s="68" t="n"/>
      <c r="I1633" s="69" t="n"/>
      <c r="J1633" s="70" t="str">
        <f>IF(E1633="","",IF(ISNUMBER(I1633),I1633,IFERROR(IF(ISNUMBER(INDEX(art_price,MATCH($E1633,art_ref,0))),INDEX(art_price,MATCH($E1633,art_ref,0)),""),"")))</f>
        <v/>
      </c>
      <c r="K1633" s="71" t="n"/>
      <c r="L1633" s="72" t="n"/>
      <c r="M1633" s="72" t="str">
        <f>IF(E1633="","",IF(L1633&lt;&gt;"",L1633,IFERROR(IF(ISNUMBER(INDEX(art_tva,MATCH($E1633,art_ref,0))),INDEX(art_tva,MATCH($E1633,art_ref,0)),""),"")))</f>
        <v/>
      </c>
      <c r="N1633" s="70" t="str">
        <f>IF(OR(E1633="",J1633=""),"",ROUND(N(H1633)*J1633*(1-N(K1633)),2))</f>
        <v/>
      </c>
      <c r="O1633" s="70" t="str">
        <f>IF(OR(N1633="",NOT(ISNUMBER(M1633))),"",ROUND(N1633*M1633,2))</f>
        <v/>
      </c>
      <c r="P1633" s="70" t="str">
        <f>IF(N1633="","",N1633+N(O1633))</f>
        <v/>
      </c>
      <c r="Q1633" s="64" t="n"/>
      <c r="R1633" s="73" t="str">
        <f>IF(N(Q1633)&gt;0,Q1633,IF(OR(N(B1633)=0,ISNA(MATCH($C1633,sup_code,0))),"",IF(ISNUMBER(INDEX(sup_delay,MATCH($C1633,sup_code,0))),B1633+INDEX(sup_delay,MATCH($C1633,sup_code,0)),"")))</f>
        <v/>
      </c>
      <c r="S1633" s="64" t="n"/>
      <c r="T1633" s="68" t="n"/>
      <c r="U1633" s="64" t="n"/>
      <c r="V1633" s="65" t="n"/>
      <c r="W1633" s="74" t="str">
        <f>IF(AND(A1633="",E1633=""),"",IF(V1633="Oui",0,MAX(0,ROUND(N(H1633)-N(T1633),6))))</f>
        <v/>
      </c>
      <c r="X1633" s="67" t="str">
        <f>IF(AND(A1633="",E1633=""),"",IF(V1633="Oui","Annulé",IF(AND(N(H1633)&gt;0,N(T1633)&gt;=N(H1633)),"Reçu",IF(N(S1633)=0,"Brouillon",IF(AND(ISNUMBER(R1633),R1633&lt;p_today),"En retard",IF(N(T1633)&gt;0,"Partiel","Envoyé"))))))</f>
        <v/>
      </c>
      <c r="Y1633" s="75" t="str">
        <f>IF(X1633="En retard",p_today-R1633,IF(AND(X1633="Reçu",ISNUMBER(R1633)),MAX(0,N(U1633)-R1633),""))</f>
        <v/>
      </c>
      <c r="Z1633" s="67" t="str">
        <f>IF(AND(A1633="",E1633=""),"",IF(A1633="","N° de bon manquant",IF(N(B1633)=0,"Date de commande manquante",IF(C1633="","Fournisseur manquant",IF(ISNA(MATCH($C1633,sup_code,0)),"Fournisseur inconnu",IF(E1633="","Article manquant",IF(ISNA(MATCH($E1633,art_ref,0)),"Article inconnu",IF(N(H1633)&lt;=0,"Quantité invalide",IF(J1633="","Prix manquant",IF(OR(N(K1633)&lt;0,N(K1633)&gt;=1),"Remise invalide",IF(M1633="","TVA manquante",IF(ISNA(MATCH(M1633,p_tva,0)),"Taux de TVA inconnu",IF(COUNTIFS(po_num,A1633,po_sup,"&lt;&gt;"&amp;C1633)&gt;0,"Fournisseur différent sur ce bon",IF(COUNTIFS(po_num,A1633,po_date,"&lt;&gt;"&amp;B1633)&gt;0,"Date différente sur ce bon",IF(COUNTIF(po_num,A1633)&gt;25,"Plus de 25 lignes sur ce bon",IF(R1633="","Date de livraison manquante",IF(R1633&lt;B1633,"Livraison avant la commande",IF(AND(N(T1633)&gt;0,N(S1633)=0),"Date d'envoi manquante",IF(N(T1633)&gt;N(H1633),"Reçu plus que commandé",IF(AND(N(T1633)&gt;0,N(U1633)=0),"Date de réception manquante",IF(AND(N(U1633)&gt;0,U1633&lt;B1633),"Réception avant la commande","OK")))))))))))))))))))))</f>
        <v/>
      </c>
      <c r="AA1633" s="66" t="str">
        <f>IF(AND(X1633="Reçu",ISNUMBER(R1633)),IF(N(U1633)&lt;=R1633,1,0),"")</f>
        <v/>
      </c>
      <c r="AB1633" s="76" t="str">
        <f>IF(OR(X1633="Envoyé",X1633="Partiel",X1633="En retard"),IF(ISNUMBER(R1633),R1633,100000)+ROW()/100000,"")</f>
        <v/>
      </c>
      <c r="AC1633" s="66" t="str">
        <f>IF(A1633="","",IF(COUNTIF($A$6:A1633,A1633)=1,1,""))</f>
        <v/>
      </c>
      <c r="AD1633" s="66" t="str">
        <f>IF(AC1633=1,COUNT($AC$6:AC1633),"")</f>
        <v/>
      </c>
      <c r="AE1633" s="66" t="str">
        <f>IFERROR(INDEX(po_num,MATCH(1628,po_seq,0))&amp;"","")</f>
        <v/>
      </c>
      <c r="AF1633" s="66" t="str">
        <f>IF(OR(A1633="",p_po=""),"",IF(A1633&amp;""=p_po,COUNTIF($A$6:A1633,A1633),""))</f>
        <v/>
      </c>
      <c r="AG1633" s="66" t="str">
        <f>IF(OR(AB1633="",A1633=""),"",IF(COUNTIFS($A$6:A1633,A1633,$AB$6:AB1633,"&gt;0")=1,1,""))</f>
        <v/>
      </c>
      <c r="AH1633" s="70" t="str">
        <f>IF(AB1633="","",ROUND(N(W1633)*N(J1633)*(1-N(K1633)),2))</f>
        <v/>
      </c>
      <c r="AI1633" s="70" t="str">
        <f>IF(OR(J1633="",N(T1633)&lt;=0,V1633="Oui"),"",ROUND(N(T1633)*J1633*(1-N(K1633)),2))</f>
        <v/>
      </c>
    </row>
    <row r="1634">
      <c r="A1634" s="63" t="n"/>
      <c r="B1634" s="64" t="n"/>
      <c r="C1634" s="65" t="n"/>
      <c r="D1634" s="66" t="str">
        <f>IF(C1634="","",IFERROR(INDEX(sup_name,MATCH($C1634,sup_code,0))&amp;"","Fournisseur inconnu"))</f>
        <v/>
      </c>
      <c r="E1634" s="63" t="n"/>
      <c r="F1634" s="66" t="str">
        <f>IF(E1634="","",IFERROR(INDEX(art_des,MATCH($E1634,art_ref,0))&amp;"","Article inconnu"))</f>
        <v/>
      </c>
      <c r="G1634" s="67" t="str">
        <f>IF(E1634="","",IFERROR(INDEX(art_unit,MATCH($E1634,art_ref,0))&amp;"",""))</f>
        <v/>
      </c>
      <c r="H1634" s="68" t="n"/>
      <c r="I1634" s="69" t="n"/>
      <c r="J1634" s="70" t="str">
        <f>IF(E1634="","",IF(ISNUMBER(I1634),I1634,IFERROR(IF(ISNUMBER(INDEX(art_price,MATCH($E1634,art_ref,0))),INDEX(art_price,MATCH($E1634,art_ref,0)),""),"")))</f>
        <v/>
      </c>
      <c r="K1634" s="71" t="n"/>
      <c r="L1634" s="72" t="n"/>
      <c r="M1634" s="72" t="str">
        <f>IF(E1634="","",IF(L1634&lt;&gt;"",L1634,IFERROR(IF(ISNUMBER(INDEX(art_tva,MATCH($E1634,art_ref,0))),INDEX(art_tva,MATCH($E1634,art_ref,0)),""),"")))</f>
        <v/>
      </c>
      <c r="N1634" s="70" t="str">
        <f>IF(OR(E1634="",J1634=""),"",ROUND(N(H1634)*J1634*(1-N(K1634)),2))</f>
        <v/>
      </c>
      <c r="O1634" s="70" t="str">
        <f>IF(OR(N1634="",NOT(ISNUMBER(M1634))),"",ROUND(N1634*M1634,2))</f>
        <v/>
      </c>
      <c r="P1634" s="70" t="str">
        <f>IF(N1634="","",N1634+N(O1634))</f>
        <v/>
      </c>
      <c r="Q1634" s="64" t="n"/>
      <c r="R1634" s="73" t="str">
        <f>IF(N(Q1634)&gt;0,Q1634,IF(OR(N(B1634)=0,ISNA(MATCH($C1634,sup_code,0))),"",IF(ISNUMBER(INDEX(sup_delay,MATCH($C1634,sup_code,0))),B1634+INDEX(sup_delay,MATCH($C1634,sup_code,0)),"")))</f>
        <v/>
      </c>
      <c r="S1634" s="64" t="n"/>
      <c r="T1634" s="68" t="n"/>
      <c r="U1634" s="64" t="n"/>
      <c r="V1634" s="65" t="n"/>
      <c r="W1634" s="74" t="str">
        <f>IF(AND(A1634="",E1634=""),"",IF(V1634="Oui",0,MAX(0,ROUND(N(H1634)-N(T1634),6))))</f>
        <v/>
      </c>
      <c r="X1634" s="67" t="str">
        <f>IF(AND(A1634="",E1634=""),"",IF(V1634="Oui","Annulé",IF(AND(N(H1634)&gt;0,N(T1634)&gt;=N(H1634)),"Reçu",IF(N(S1634)=0,"Brouillon",IF(AND(ISNUMBER(R1634),R1634&lt;p_today),"En retard",IF(N(T1634)&gt;0,"Partiel","Envoyé"))))))</f>
        <v/>
      </c>
      <c r="Y1634" s="75" t="str">
        <f>IF(X1634="En retard",p_today-R1634,IF(AND(X1634="Reçu",ISNUMBER(R1634)),MAX(0,N(U1634)-R1634),""))</f>
        <v/>
      </c>
      <c r="Z1634" s="67" t="str">
        <f>IF(AND(A1634="",E1634=""),"",IF(A1634="","N° de bon manquant",IF(N(B1634)=0,"Date de commande manquante",IF(C1634="","Fournisseur manquant",IF(ISNA(MATCH($C1634,sup_code,0)),"Fournisseur inconnu",IF(E1634="","Article manquant",IF(ISNA(MATCH($E1634,art_ref,0)),"Article inconnu",IF(N(H1634)&lt;=0,"Quantité invalide",IF(J1634="","Prix manquant",IF(OR(N(K1634)&lt;0,N(K1634)&gt;=1),"Remise invalide",IF(M1634="","TVA manquante",IF(ISNA(MATCH(M1634,p_tva,0)),"Taux de TVA inconnu",IF(COUNTIFS(po_num,A1634,po_sup,"&lt;&gt;"&amp;C1634)&gt;0,"Fournisseur différent sur ce bon",IF(COUNTIFS(po_num,A1634,po_date,"&lt;&gt;"&amp;B1634)&gt;0,"Date différente sur ce bon",IF(COUNTIF(po_num,A1634)&gt;25,"Plus de 25 lignes sur ce bon",IF(R1634="","Date de livraison manquante",IF(R1634&lt;B1634,"Livraison avant la commande",IF(AND(N(T1634)&gt;0,N(S1634)=0),"Date d'envoi manquante",IF(N(T1634)&gt;N(H1634),"Reçu plus que commandé",IF(AND(N(T1634)&gt;0,N(U1634)=0),"Date de réception manquante",IF(AND(N(U1634)&gt;0,U1634&lt;B1634),"Réception avant la commande","OK")))))))))))))))))))))</f>
        <v/>
      </c>
      <c r="AA1634" s="66" t="str">
        <f>IF(AND(X1634="Reçu",ISNUMBER(R1634)),IF(N(U1634)&lt;=R1634,1,0),"")</f>
        <v/>
      </c>
      <c r="AB1634" s="76" t="str">
        <f>IF(OR(X1634="Envoyé",X1634="Partiel",X1634="En retard"),IF(ISNUMBER(R1634),R1634,100000)+ROW()/100000,"")</f>
        <v/>
      </c>
      <c r="AC1634" s="66" t="str">
        <f>IF(A1634="","",IF(COUNTIF($A$6:A1634,A1634)=1,1,""))</f>
        <v/>
      </c>
      <c r="AD1634" s="66" t="str">
        <f>IF(AC1634=1,COUNT($AC$6:AC1634),"")</f>
        <v/>
      </c>
      <c r="AE1634" s="66" t="str">
        <f>IFERROR(INDEX(po_num,MATCH(1629,po_seq,0))&amp;"","")</f>
        <v/>
      </c>
      <c r="AF1634" s="66" t="str">
        <f>IF(OR(A1634="",p_po=""),"",IF(A1634&amp;""=p_po,COUNTIF($A$6:A1634,A1634),""))</f>
        <v/>
      </c>
      <c r="AG1634" s="66" t="str">
        <f>IF(OR(AB1634="",A1634=""),"",IF(COUNTIFS($A$6:A1634,A1634,$AB$6:AB1634,"&gt;0")=1,1,""))</f>
        <v/>
      </c>
      <c r="AH1634" s="70" t="str">
        <f>IF(AB1634="","",ROUND(N(W1634)*N(J1634)*(1-N(K1634)),2))</f>
        <v/>
      </c>
      <c r="AI1634" s="70" t="str">
        <f>IF(OR(J1634="",N(T1634)&lt;=0,V1634="Oui"),"",ROUND(N(T1634)*J1634*(1-N(K1634)),2))</f>
        <v/>
      </c>
    </row>
    <row r="1635">
      <c r="A1635" s="63" t="n"/>
      <c r="B1635" s="64" t="n"/>
      <c r="C1635" s="65" t="n"/>
      <c r="D1635" s="66" t="str">
        <f>IF(C1635="","",IFERROR(INDEX(sup_name,MATCH($C1635,sup_code,0))&amp;"","Fournisseur inconnu"))</f>
        <v/>
      </c>
      <c r="E1635" s="63" t="n"/>
      <c r="F1635" s="66" t="str">
        <f>IF(E1635="","",IFERROR(INDEX(art_des,MATCH($E1635,art_ref,0))&amp;"","Article inconnu"))</f>
        <v/>
      </c>
      <c r="G1635" s="67" t="str">
        <f>IF(E1635="","",IFERROR(INDEX(art_unit,MATCH($E1635,art_ref,0))&amp;"",""))</f>
        <v/>
      </c>
      <c r="H1635" s="68" t="n"/>
      <c r="I1635" s="69" t="n"/>
      <c r="J1635" s="70" t="str">
        <f>IF(E1635="","",IF(ISNUMBER(I1635),I1635,IFERROR(IF(ISNUMBER(INDEX(art_price,MATCH($E1635,art_ref,0))),INDEX(art_price,MATCH($E1635,art_ref,0)),""),"")))</f>
        <v/>
      </c>
      <c r="K1635" s="71" t="n"/>
      <c r="L1635" s="72" t="n"/>
      <c r="M1635" s="72" t="str">
        <f>IF(E1635="","",IF(L1635&lt;&gt;"",L1635,IFERROR(IF(ISNUMBER(INDEX(art_tva,MATCH($E1635,art_ref,0))),INDEX(art_tva,MATCH($E1635,art_ref,0)),""),"")))</f>
        <v/>
      </c>
      <c r="N1635" s="70" t="str">
        <f>IF(OR(E1635="",J1635=""),"",ROUND(N(H1635)*J1635*(1-N(K1635)),2))</f>
        <v/>
      </c>
      <c r="O1635" s="70" t="str">
        <f>IF(OR(N1635="",NOT(ISNUMBER(M1635))),"",ROUND(N1635*M1635,2))</f>
        <v/>
      </c>
      <c r="P1635" s="70" t="str">
        <f>IF(N1635="","",N1635+N(O1635))</f>
        <v/>
      </c>
      <c r="Q1635" s="64" t="n"/>
      <c r="R1635" s="73" t="str">
        <f>IF(N(Q1635)&gt;0,Q1635,IF(OR(N(B1635)=0,ISNA(MATCH($C1635,sup_code,0))),"",IF(ISNUMBER(INDEX(sup_delay,MATCH($C1635,sup_code,0))),B1635+INDEX(sup_delay,MATCH($C1635,sup_code,0)),"")))</f>
        <v/>
      </c>
      <c r="S1635" s="64" t="n"/>
      <c r="T1635" s="68" t="n"/>
      <c r="U1635" s="64" t="n"/>
      <c r="V1635" s="65" t="n"/>
      <c r="W1635" s="74" t="str">
        <f>IF(AND(A1635="",E1635=""),"",IF(V1635="Oui",0,MAX(0,ROUND(N(H1635)-N(T1635),6))))</f>
        <v/>
      </c>
      <c r="X1635" s="67" t="str">
        <f>IF(AND(A1635="",E1635=""),"",IF(V1635="Oui","Annulé",IF(AND(N(H1635)&gt;0,N(T1635)&gt;=N(H1635)),"Reçu",IF(N(S1635)=0,"Brouillon",IF(AND(ISNUMBER(R1635),R1635&lt;p_today),"En retard",IF(N(T1635)&gt;0,"Partiel","Envoyé"))))))</f>
        <v/>
      </c>
      <c r="Y1635" s="75" t="str">
        <f>IF(X1635="En retard",p_today-R1635,IF(AND(X1635="Reçu",ISNUMBER(R1635)),MAX(0,N(U1635)-R1635),""))</f>
        <v/>
      </c>
      <c r="Z1635" s="67" t="str">
        <f>IF(AND(A1635="",E1635=""),"",IF(A1635="","N° de bon manquant",IF(N(B1635)=0,"Date de commande manquante",IF(C1635="","Fournisseur manquant",IF(ISNA(MATCH($C1635,sup_code,0)),"Fournisseur inconnu",IF(E1635="","Article manquant",IF(ISNA(MATCH($E1635,art_ref,0)),"Article inconnu",IF(N(H1635)&lt;=0,"Quantité invalide",IF(J1635="","Prix manquant",IF(OR(N(K1635)&lt;0,N(K1635)&gt;=1),"Remise invalide",IF(M1635="","TVA manquante",IF(ISNA(MATCH(M1635,p_tva,0)),"Taux de TVA inconnu",IF(COUNTIFS(po_num,A1635,po_sup,"&lt;&gt;"&amp;C1635)&gt;0,"Fournisseur différent sur ce bon",IF(COUNTIFS(po_num,A1635,po_date,"&lt;&gt;"&amp;B1635)&gt;0,"Date différente sur ce bon",IF(COUNTIF(po_num,A1635)&gt;25,"Plus de 25 lignes sur ce bon",IF(R1635="","Date de livraison manquante",IF(R1635&lt;B1635,"Livraison avant la commande",IF(AND(N(T1635)&gt;0,N(S1635)=0),"Date d'envoi manquante",IF(N(T1635)&gt;N(H1635),"Reçu plus que commandé",IF(AND(N(T1635)&gt;0,N(U1635)=0),"Date de réception manquante",IF(AND(N(U1635)&gt;0,U1635&lt;B1635),"Réception avant la commande","OK")))))))))))))))))))))</f>
        <v/>
      </c>
      <c r="AA1635" s="66" t="str">
        <f>IF(AND(X1635="Reçu",ISNUMBER(R1635)),IF(N(U1635)&lt;=R1635,1,0),"")</f>
        <v/>
      </c>
      <c r="AB1635" s="76" t="str">
        <f>IF(OR(X1635="Envoyé",X1635="Partiel",X1635="En retard"),IF(ISNUMBER(R1635),R1635,100000)+ROW()/100000,"")</f>
        <v/>
      </c>
      <c r="AC1635" s="66" t="str">
        <f>IF(A1635="","",IF(COUNTIF($A$6:A1635,A1635)=1,1,""))</f>
        <v/>
      </c>
      <c r="AD1635" s="66" t="str">
        <f>IF(AC1635=1,COUNT($AC$6:AC1635),"")</f>
        <v/>
      </c>
      <c r="AE1635" s="66" t="str">
        <f>IFERROR(INDEX(po_num,MATCH(1630,po_seq,0))&amp;"","")</f>
        <v/>
      </c>
      <c r="AF1635" s="66" t="str">
        <f>IF(OR(A1635="",p_po=""),"",IF(A1635&amp;""=p_po,COUNTIF($A$6:A1635,A1635),""))</f>
        <v/>
      </c>
      <c r="AG1635" s="66" t="str">
        <f>IF(OR(AB1635="",A1635=""),"",IF(COUNTIFS($A$6:A1635,A1635,$AB$6:AB1635,"&gt;0")=1,1,""))</f>
        <v/>
      </c>
      <c r="AH1635" s="70" t="str">
        <f>IF(AB1635="","",ROUND(N(W1635)*N(J1635)*(1-N(K1635)),2))</f>
        <v/>
      </c>
      <c r="AI1635" s="70" t="str">
        <f>IF(OR(J1635="",N(T1635)&lt;=0,V1635="Oui"),"",ROUND(N(T1635)*J1635*(1-N(K1635)),2))</f>
        <v/>
      </c>
    </row>
    <row r="1636">
      <c r="A1636" s="63" t="n"/>
      <c r="B1636" s="64" t="n"/>
      <c r="C1636" s="65" t="n"/>
      <c r="D1636" s="66" t="str">
        <f>IF(C1636="","",IFERROR(INDEX(sup_name,MATCH($C1636,sup_code,0))&amp;"","Fournisseur inconnu"))</f>
        <v/>
      </c>
      <c r="E1636" s="63" t="n"/>
      <c r="F1636" s="66" t="str">
        <f>IF(E1636="","",IFERROR(INDEX(art_des,MATCH($E1636,art_ref,0))&amp;"","Article inconnu"))</f>
        <v/>
      </c>
      <c r="G1636" s="67" t="str">
        <f>IF(E1636="","",IFERROR(INDEX(art_unit,MATCH($E1636,art_ref,0))&amp;"",""))</f>
        <v/>
      </c>
      <c r="H1636" s="68" t="n"/>
      <c r="I1636" s="69" t="n"/>
      <c r="J1636" s="70" t="str">
        <f>IF(E1636="","",IF(ISNUMBER(I1636),I1636,IFERROR(IF(ISNUMBER(INDEX(art_price,MATCH($E1636,art_ref,0))),INDEX(art_price,MATCH($E1636,art_ref,0)),""),"")))</f>
        <v/>
      </c>
      <c r="K1636" s="71" t="n"/>
      <c r="L1636" s="72" t="n"/>
      <c r="M1636" s="72" t="str">
        <f>IF(E1636="","",IF(L1636&lt;&gt;"",L1636,IFERROR(IF(ISNUMBER(INDEX(art_tva,MATCH($E1636,art_ref,0))),INDEX(art_tva,MATCH($E1636,art_ref,0)),""),"")))</f>
        <v/>
      </c>
      <c r="N1636" s="70" t="str">
        <f>IF(OR(E1636="",J1636=""),"",ROUND(N(H1636)*J1636*(1-N(K1636)),2))</f>
        <v/>
      </c>
      <c r="O1636" s="70" t="str">
        <f>IF(OR(N1636="",NOT(ISNUMBER(M1636))),"",ROUND(N1636*M1636,2))</f>
        <v/>
      </c>
      <c r="P1636" s="70" t="str">
        <f>IF(N1636="","",N1636+N(O1636))</f>
        <v/>
      </c>
      <c r="Q1636" s="64" t="n"/>
      <c r="R1636" s="73" t="str">
        <f>IF(N(Q1636)&gt;0,Q1636,IF(OR(N(B1636)=0,ISNA(MATCH($C1636,sup_code,0))),"",IF(ISNUMBER(INDEX(sup_delay,MATCH($C1636,sup_code,0))),B1636+INDEX(sup_delay,MATCH($C1636,sup_code,0)),"")))</f>
        <v/>
      </c>
      <c r="S1636" s="64" t="n"/>
      <c r="T1636" s="68" t="n"/>
      <c r="U1636" s="64" t="n"/>
      <c r="V1636" s="65" t="n"/>
      <c r="W1636" s="74" t="str">
        <f>IF(AND(A1636="",E1636=""),"",IF(V1636="Oui",0,MAX(0,ROUND(N(H1636)-N(T1636),6))))</f>
        <v/>
      </c>
      <c r="X1636" s="67" t="str">
        <f>IF(AND(A1636="",E1636=""),"",IF(V1636="Oui","Annulé",IF(AND(N(H1636)&gt;0,N(T1636)&gt;=N(H1636)),"Reçu",IF(N(S1636)=0,"Brouillon",IF(AND(ISNUMBER(R1636),R1636&lt;p_today),"En retard",IF(N(T1636)&gt;0,"Partiel","Envoyé"))))))</f>
        <v/>
      </c>
      <c r="Y1636" s="75" t="str">
        <f>IF(X1636="En retard",p_today-R1636,IF(AND(X1636="Reçu",ISNUMBER(R1636)),MAX(0,N(U1636)-R1636),""))</f>
        <v/>
      </c>
      <c r="Z1636" s="67" t="str">
        <f>IF(AND(A1636="",E1636=""),"",IF(A1636="","N° de bon manquant",IF(N(B1636)=0,"Date de commande manquante",IF(C1636="","Fournisseur manquant",IF(ISNA(MATCH($C1636,sup_code,0)),"Fournisseur inconnu",IF(E1636="","Article manquant",IF(ISNA(MATCH($E1636,art_ref,0)),"Article inconnu",IF(N(H1636)&lt;=0,"Quantité invalide",IF(J1636="","Prix manquant",IF(OR(N(K1636)&lt;0,N(K1636)&gt;=1),"Remise invalide",IF(M1636="","TVA manquante",IF(ISNA(MATCH(M1636,p_tva,0)),"Taux de TVA inconnu",IF(COUNTIFS(po_num,A1636,po_sup,"&lt;&gt;"&amp;C1636)&gt;0,"Fournisseur différent sur ce bon",IF(COUNTIFS(po_num,A1636,po_date,"&lt;&gt;"&amp;B1636)&gt;0,"Date différente sur ce bon",IF(COUNTIF(po_num,A1636)&gt;25,"Plus de 25 lignes sur ce bon",IF(R1636="","Date de livraison manquante",IF(R1636&lt;B1636,"Livraison avant la commande",IF(AND(N(T1636)&gt;0,N(S1636)=0),"Date d'envoi manquante",IF(N(T1636)&gt;N(H1636),"Reçu plus que commandé",IF(AND(N(T1636)&gt;0,N(U1636)=0),"Date de réception manquante",IF(AND(N(U1636)&gt;0,U1636&lt;B1636),"Réception avant la commande","OK")))))))))))))))))))))</f>
        <v/>
      </c>
      <c r="AA1636" s="66" t="str">
        <f>IF(AND(X1636="Reçu",ISNUMBER(R1636)),IF(N(U1636)&lt;=R1636,1,0),"")</f>
        <v/>
      </c>
      <c r="AB1636" s="76" t="str">
        <f>IF(OR(X1636="Envoyé",X1636="Partiel",X1636="En retard"),IF(ISNUMBER(R1636),R1636,100000)+ROW()/100000,"")</f>
        <v/>
      </c>
      <c r="AC1636" s="66" t="str">
        <f>IF(A1636="","",IF(COUNTIF($A$6:A1636,A1636)=1,1,""))</f>
        <v/>
      </c>
      <c r="AD1636" s="66" t="str">
        <f>IF(AC1636=1,COUNT($AC$6:AC1636),"")</f>
        <v/>
      </c>
      <c r="AE1636" s="66" t="str">
        <f>IFERROR(INDEX(po_num,MATCH(1631,po_seq,0))&amp;"","")</f>
        <v/>
      </c>
      <c r="AF1636" s="66" t="str">
        <f>IF(OR(A1636="",p_po=""),"",IF(A1636&amp;""=p_po,COUNTIF($A$6:A1636,A1636),""))</f>
        <v/>
      </c>
      <c r="AG1636" s="66" t="str">
        <f>IF(OR(AB1636="",A1636=""),"",IF(COUNTIFS($A$6:A1636,A1636,$AB$6:AB1636,"&gt;0")=1,1,""))</f>
        <v/>
      </c>
      <c r="AH1636" s="70" t="str">
        <f>IF(AB1636="","",ROUND(N(W1636)*N(J1636)*(1-N(K1636)),2))</f>
        <v/>
      </c>
      <c r="AI1636" s="70" t="str">
        <f>IF(OR(J1636="",N(T1636)&lt;=0,V1636="Oui"),"",ROUND(N(T1636)*J1636*(1-N(K1636)),2))</f>
        <v/>
      </c>
    </row>
    <row r="1637">
      <c r="A1637" s="63" t="n"/>
      <c r="B1637" s="64" t="n"/>
      <c r="C1637" s="65" t="n"/>
      <c r="D1637" s="66" t="str">
        <f>IF(C1637="","",IFERROR(INDEX(sup_name,MATCH($C1637,sup_code,0))&amp;"","Fournisseur inconnu"))</f>
        <v/>
      </c>
      <c r="E1637" s="63" t="n"/>
      <c r="F1637" s="66" t="str">
        <f>IF(E1637="","",IFERROR(INDEX(art_des,MATCH($E1637,art_ref,0))&amp;"","Article inconnu"))</f>
        <v/>
      </c>
      <c r="G1637" s="67" t="str">
        <f>IF(E1637="","",IFERROR(INDEX(art_unit,MATCH($E1637,art_ref,0))&amp;"",""))</f>
        <v/>
      </c>
      <c r="H1637" s="68" t="n"/>
      <c r="I1637" s="69" t="n"/>
      <c r="J1637" s="70" t="str">
        <f>IF(E1637="","",IF(ISNUMBER(I1637),I1637,IFERROR(IF(ISNUMBER(INDEX(art_price,MATCH($E1637,art_ref,0))),INDEX(art_price,MATCH($E1637,art_ref,0)),""),"")))</f>
        <v/>
      </c>
      <c r="K1637" s="71" t="n"/>
      <c r="L1637" s="72" t="n"/>
      <c r="M1637" s="72" t="str">
        <f>IF(E1637="","",IF(L1637&lt;&gt;"",L1637,IFERROR(IF(ISNUMBER(INDEX(art_tva,MATCH($E1637,art_ref,0))),INDEX(art_tva,MATCH($E1637,art_ref,0)),""),"")))</f>
        <v/>
      </c>
      <c r="N1637" s="70" t="str">
        <f>IF(OR(E1637="",J1637=""),"",ROUND(N(H1637)*J1637*(1-N(K1637)),2))</f>
        <v/>
      </c>
      <c r="O1637" s="70" t="str">
        <f>IF(OR(N1637="",NOT(ISNUMBER(M1637))),"",ROUND(N1637*M1637,2))</f>
        <v/>
      </c>
      <c r="P1637" s="70" t="str">
        <f>IF(N1637="","",N1637+N(O1637))</f>
        <v/>
      </c>
      <c r="Q1637" s="64" t="n"/>
      <c r="R1637" s="73" t="str">
        <f>IF(N(Q1637)&gt;0,Q1637,IF(OR(N(B1637)=0,ISNA(MATCH($C1637,sup_code,0))),"",IF(ISNUMBER(INDEX(sup_delay,MATCH($C1637,sup_code,0))),B1637+INDEX(sup_delay,MATCH($C1637,sup_code,0)),"")))</f>
        <v/>
      </c>
      <c r="S1637" s="64" t="n"/>
      <c r="T1637" s="68" t="n"/>
      <c r="U1637" s="64" t="n"/>
      <c r="V1637" s="65" t="n"/>
      <c r="W1637" s="74" t="str">
        <f>IF(AND(A1637="",E1637=""),"",IF(V1637="Oui",0,MAX(0,ROUND(N(H1637)-N(T1637),6))))</f>
        <v/>
      </c>
      <c r="X1637" s="67" t="str">
        <f>IF(AND(A1637="",E1637=""),"",IF(V1637="Oui","Annulé",IF(AND(N(H1637)&gt;0,N(T1637)&gt;=N(H1637)),"Reçu",IF(N(S1637)=0,"Brouillon",IF(AND(ISNUMBER(R1637),R1637&lt;p_today),"En retard",IF(N(T1637)&gt;0,"Partiel","Envoyé"))))))</f>
        <v/>
      </c>
      <c r="Y1637" s="75" t="str">
        <f>IF(X1637="En retard",p_today-R1637,IF(AND(X1637="Reçu",ISNUMBER(R1637)),MAX(0,N(U1637)-R1637),""))</f>
        <v/>
      </c>
      <c r="Z1637" s="67" t="str">
        <f>IF(AND(A1637="",E1637=""),"",IF(A1637="","N° de bon manquant",IF(N(B1637)=0,"Date de commande manquante",IF(C1637="","Fournisseur manquant",IF(ISNA(MATCH($C1637,sup_code,0)),"Fournisseur inconnu",IF(E1637="","Article manquant",IF(ISNA(MATCH($E1637,art_ref,0)),"Article inconnu",IF(N(H1637)&lt;=0,"Quantité invalide",IF(J1637="","Prix manquant",IF(OR(N(K1637)&lt;0,N(K1637)&gt;=1),"Remise invalide",IF(M1637="","TVA manquante",IF(ISNA(MATCH(M1637,p_tva,0)),"Taux de TVA inconnu",IF(COUNTIFS(po_num,A1637,po_sup,"&lt;&gt;"&amp;C1637)&gt;0,"Fournisseur différent sur ce bon",IF(COUNTIFS(po_num,A1637,po_date,"&lt;&gt;"&amp;B1637)&gt;0,"Date différente sur ce bon",IF(COUNTIF(po_num,A1637)&gt;25,"Plus de 25 lignes sur ce bon",IF(R1637="","Date de livraison manquante",IF(R1637&lt;B1637,"Livraison avant la commande",IF(AND(N(T1637)&gt;0,N(S1637)=0),"Date d'envoi manquante",IF(N(T1637)&gt;N(H1637),"Reçu plus que commandé",IF(AND(N(T1637)&gt;0,N(U1637)=0),"Date de réception manquante",IF(AND(N(U1637)&gt;0,U1637&lt;B1637),"Réception avant la commande","OK")))))))))))))))))))))</f>
        <v/>
      </c>
      <c r="AA1637" s="66" t="str">
        <f>IF(AND(X1637="Reçu",ISNUMBER(R1637)),IF(N(U1637)&lt;=R1637,1,0),"")</f>
        <v/>
      </c>
      <c r="AB1637" s="76" t="str">
        <f>IF(OR(X1637="Envoyé",X1637="Partiel",X1637="En retard"),IF(ISNUMBER(R1637),R1637,100000)+ROW()/100000,"")</f>
        <v/>
      </c>
      <c r="AC1637" s="66" t="str">
        <f>IF(A1637="","",IF(COUNTIF($A$6:A1637,A1637)=1,1,""))</f>
        <v/>
      </c>
      <c r="AD1637" s="66" t="str">
        <f>IF(AC1637=1,COUNT($AC$6:AC1637),"")</f>
        <v/>
      </c>
      <c r="AE1637" s="66" t="str">
        <f>IFERROR(INDEX(po_num,MATCH(1632,po_seq,0))&amp;"","")</f>
        <v/>
      </c>
      <c r="AF1637" s="66" t="str">
        <f>IF(OR(A1637="",p_po=""),"",IF(A1637&amp;""=p_po,COUNTIF($A$6:A1637,A1637),""))</f>
        <v/>
      </c>
      <c r="AG1637" s="66" t="str">
        <f>IF(OR(AB1637="",A1637=""),"",IF(COUNTIFS($A$6:A1637,A1637,$AB$6:AB1637,"&gt;0")=1,1,""))</f>
        <v/>
      </c>
      <c r="AH1637" s="70" t="str">
        <f>IF(AB1637="","",ROUND(N(W1637)*N(J1637)*(1-N(K1637)),2))</f>
        <v/>
      </c>
      <c r="AI1637" s="70" t="str">
        <f>IF(OR(J1637="",N(T1637)&lt;=0,V1637="Oui"),"",ROUND(N(T1637)*J1637*(1-N(K1637)),2))</f>
        <v/>
      </c>
    </row>
    <row r="1638">
      <c r="A1638" s="63" t="n"/>
      <c r="B1638" s="64" t="n"/>
      <c r="C1638" s="65" t="n"/>
      <c r="D1638" s="66" t="str">
        <f>IF(C1638="","",IFERROR(INDEX(sup_name,MATCH($C1638,sup_code,0))&amp;"","Fournisseur inconnu"))</f>
        <v/>
      </c>
      <c r="E1638" s="63" t="n"/>
      <c r="F1638" s="66" t="str">
        <f>IF(E1638="","",IFERROR(INDEX(art_des,MATCH($E1638,art_ref,0))&amp;"","Article inconnu"))</f>
        <v/>
      </c>
      <c r="G1638" s="67" t="str">
        <f>IF(E1638="","",IFERROR(INDEX(art_unit,MATCH($E1638,art_ref,0))&amp;"",""))</f>
        <v/>
      </c>
      <c r="H1638" s="68" t="n"/>
      <c r="I1638" s="69" t="n"/>
      <c r="J1638" s="70" t="str">
        <f>IF(E1638="","",IF(ISNUMBER(I1638),I1638,IFERROR(IF(ISNUMBER(INDEX(art_price,MATCH($E1638,art_ref,0))),INDEX(art_price,MATCH($E1638,art_ref,0)),""),"")))</f>
        <v/>
      </c>
      <c r="K1638" s="71" t="n"/>
      <c r="L1638" s="72" t="n"/>
      <c r="M1638" s="72" t="str">
        <f>IF(E1638="","",IF(L1638&lt;&gt;"",L1638,IFERROR(IF(ISNUMBER(INDEX(art_tva,MATCH($E1638,art_ref,0))),INDEX(art_tva,MATCH($E1638,art_ref,0)),""),"")))</f>
        <v/>
      </c>
      <c r="N1638" s="70" t="str">
        <f>IF(OR(E1638="",J1638=""),"",ROUND(N(H1638)*J1638*(1-N(K1638)),2))</f>
        <v/>
      </c>
      <c r="O1638" s="70" t="str">
        <f>IF(OR(N1638="",NOT(ISNUMBER(M1638))),"",ROUND(N1638*M1638,2))</f>
        <v/>
      </c>
      <c r="P1638" s="70" t="str">
        <f>IF(N1638="","",N1638+N(O1638))</f>
        <v/>
      </c>
      <c r="Q1638" s="64" t="n"/>
      <c r="R1638" s="73" t="str">
        <f>IF(N(Q1638)&gt;0,Q1638,IF(OR(N(B1638)=0,ISNA(MATCH($C1638,sup_code,0))),"",IF(ISNUMBER(INDEX(sup_delay,MATCH($C1638,sup_code,0))),B1638+INDEX(sup_delay,MATCH($C1638,sup_code,0)),"")))</f>
        <v/>
      </c>
      <c r="S1638" s="64" t="n"/>
      <c r="T1638" s="68" t="n"/>
      <c r="U1638" s="64" t="n"/>
      <c r="V1638" s="65" t="n"/>
      <c r="W1638" s="74" t="str">
        <f>IF(AND(A1638="",E1638=""),"",IF(V1638="Oui",0,MAX(0,ROUND(N(H1638)-N(T1638),6))))</f>
        <v/>
      </c>
      <c r="X1638" s="67" t="str">
        <f>IF(AND(A1638="",E1638=""),"",IF(V1638="Oui","Annulé",IF(AND(N(H1638)&gt;0,N(T1638)&gt;=N(H1638)),"Reçu",IF(N(S1638)=0,"Brouillon",IF(AND(ISNUMBER(R1638),R1638&lt;p_today),"En retard",IF(N(T1638)&gt;0,"Partiel","Envoyé"))))))</f>
        <v/>
      </c>
      <c r="Y1638" s="75" t="str">
        <f>IF(X1638="En retard",p_today-R1638,IF(AND(X1638="Reçu",ISNUMBER(R1638)),MAX(0,N(U1638)-R1638),""))</f>
        <v/>
      </c>
      <c r="Z1638" s="67" t="str">
        <f>IF(AND(A1638="",E1638=""),"",IF(A1638="","N° de bon manquant",IF(N(B1638)=0,"Date de commande manquante",IF(C1638="","Fournisseur manquant",IF(ISNA(MATCH($C1638,sup_code,0)),"Fournisseur inconnu",IF(E1638="","Article manquant",IF(ISNA(MATCH($E1638,art_ref,0)),"Article inconnu",IF(N(H1638)&lt;=0,"Quantité invalide",IF(J1638="","Prix manquant",IF(OR(N(K1638)&lt;0,N(K1638)&gt;=1),"Remise invalide",IF(M1638="","TVA manquante",IF(ISNA(MATCH(M1638,p_tva,0)),"Taux de TVA inconnu",IF(COUNTIFS(po_num,A1638,po_sup,"&lt;&gt;"&amp;C1638)&gt;0,"Fournisseur différent sur ce bon",IF(COUNTIFS(po_num,A1638,po_date,"&lt;&gt;"&amp;B1638)&gt;0,"Date différente sur ce bon",IF(COUNTIF(po_num,A1638)&gt;25,"Plus de 25 lignes sur ce bon",IF(R1638="","Date de livraison manquante",IF(R1638&lt;B1638,"Livraison avant la commande",IF(AND(N(T1638)&gt;0,N(S1638)=0),"Date d'envoi manquante",IF(N(T1638)&gt;N(H1638),"Reçu plus que commandé",IF(AND(N(T1638)&gt;0,N(U1638)=0),"Date de réception manquante",IF(AND(N(U1638)&gt;0,U1638&lt;B1638),"Réception avant la commande","OK")))))))))))))))))))))</f>
        <v/>
      </c>
      <c r="AA1638" s="66" t="str">
        <f>IF(AND(X1638="Reçu",ISNUMBER(R1638)),IF(N(U1638)&lt;=R1638,1,0),"")</f>
        <v/>
      </c>
      <c r="AB1638" s="76" t="str">
        <f>IF(OR(X1638="Envoyé",X1638="Partiel",X1638="En retard"),IF(ISNUMBER(R1638),R1638,100000)+ROW()/100000,"")</f>
        <v/>
      </c>
      <c r="AC1638" s="66" t="str">
        <f>IF(A1638="","",IF(COUNTIF($A$6:A1638,A1638)=1,1,""))</f>
        <v/>
      </c>
      <c r="AD1638" s="66" t="str">
        <f>IF(AC1638=1,COUNT($AC$6:AC1638),"")</f>
        <v/>
      </c>
      <c r="AE1638" s="66" t="str">
        <f>IFERROR(INDEX(po_num,MATCH(1633,po_seq,0))&amp;"","")</f>
        <v/>
      </c>
      <c r="AF1638" s="66" t="str">
        <f>IF(OR(A1638="",p_po=""),"",IF(A1638&amp;""=p_po,COUNTIF($A$6:A1638,A1638),""))</f>
        <v/>
      </c>
      <c r="AG1638" s="66" t="str">
        <f>IF(OR(AB1638="",A1638=""),"",IF(COUNTIFS($A$6:A1638,A1638,$AB$6:AB1638,"&gt;0")=1,1,""))</f>
        <v/>
      </c>
      <c r="AH1638" s="70" t="str">
        <f>IF(AB1638="","",ROUND(N(W1638)*N(J1638)*(1-N(K1638)),2))</f>
        <v/>
      </c>
      <c r="AI1638" s="70" t="str">
        <f>IF(OR(J1638="",N(T1638)&lt;=0,V1638="Oui"),"",ROUND(N(T1638)*J1638*(1-N(K1638)),2))</f>
        <v/>
      </c>
    </row>
    <row r="1639">
      <c r="A1639" s="63" t="n"/>
      <c r="B1639" s="64" t="n"/>
      <c r="C1639" s="65" t="n"/>
      <c r="D1639" s="66" t="str">
        <f>IF(C1639="","",IFERROR(INDEX(sup_name,MATCH($C1639,sup_code,0))&amp;"","Fournisseur inconnu"))</f>
        <v/>
      </c>
      <c r="E1639" s="63" t="n"/>
      <c r="F1639" s="66" t="str">
        <f>IF(E1639="","",IFERROR(INDEX(art_des,MATCH($E1639,art_ref,0))&amp;"","Article inconnu"))</f>
        <v/>
      </c>
      <c r="G1639" s="67" t="str">
        <f>IF(E1639="","",IFERROR(INDEX(art_unit,MATCH($E1639,art_ref,0))&amp;"",""))</f>
        <v/>
      </c>
      <c r="H1639" s="68" t="n"/>
      <c r="I1639" s="69" t="n"/>
      <c r="J1639" s="70" t="str">
        <f>IF(E1639="","",IF(ISNUMBER(I1639),I1639,IFERROR(IF(ISNUMBER(INDEX(art_price,MATCH($E1639,art_ref,0))),INDEX(art_price,MATCH($E1639,art_ref,0)),""),"")))</f>
        <v/>
      </c>
      <c r="K1639" s="71" t="n"/>
      <c r="L1639" s="72" t="n"/>
      <c r="M1639" s="72" t="str">
        <f>IF(E1639="","",IF(L1639&lt;&gt;"",L1639,IFERROR(IF(ISNUMBER(INDEX(art_tva,MATCH($E1639,art_ref,0))),INDEX(art_tva,MATCH($E1639,art_ref,0)),""),"")))</f>
        <v/>
      </c>
      <c r="N1639" s="70" t="str">
        <f>IF(OR(E1639="",J1639=""),"",ROUND(N(H1639)*J1639*(1-N(K1639)),2))</f>
        <v/>
      </c>
      <c r="O1639" s="70" t="str">
        <f>IF(OR(N1639="",NOT(ISNUMBER(M1639))),"",ROUND(N1639*M1639,2))</f>
        <v/>
      </c>
      <c r="P1639" s="70" t="str">
        <f>IF(N1639="","",N1639+N(O1639))</f>
        <v/>
      </c>
      <c r="Q1639" s="64" t="n"/>
      <c r="R1639" s="73" t="str">
        <f>IF(N(Q1639)&gt;0,Q1639,IF(OR(N(B1639)=0,ISNA(MATCH($C1639,sup_code,0))),"",IF(ISNUMBER(INDEX(sup_delay,MATCH($C1639,sup_code,0))),B1639+INDEX(sup_delay,MATCH($C1639,sup_code,0)),"")))</f>
        <v/>
      </c>
      <c r="S1639" s="64" t="n"/>
      <c r="T1639" s="68" t="n"/>
      <c r="U1639" s="64" t="n"/>
      <c r="V1639" s="65" t="n"/>
      <c r="W1639" s="74" t="str">
        <f>IF(AND(A1639="",E1639=""),"",IF(V1639="Oui",0,MAX(0,ROUND(N(H1639)-N(T1639),6))))</f>
        <v/>
      </c>
      <c r="X1639" s="67" t="str">
        <f>IF(AND(A1639="",E1639=""),"",IF(V1639="Oui","Annulé",IF(AND(N(H1639)&gt;0,N(T1639)&gt;=N(H1639)),"Reçu",IF(N(S1639)=0,"Brouillon",IF(AND(ISNUMBER(R1639),R1639&lt;p_today),"En retard",IF(N(T1639)&gt;0,"Partiel","Envoyé"))))))</f>
        <v/>
      </c>
      <c r="Y1639" s="75" t="str">
        <f>IF(X1639="En retard",p_today-R1639,IF(AND(X1639="Reçu",ISNUMBER(R1639)),MAX(0,N(U1639)-R1639),""))</f>
        <v/>
      </c>
      <c r="Z1639" s="67" t="str">
        <f>IF(AND(A1639="",E1639=""),"",IF(A1639="","N° de bon manquant",IF(N(B1639)=0,"Date de commande manquante",IF(C1639="","Fournisseur manquant",IF(ISNA(MATCH($C1639,sup_code,0)),"Fournisseur inconnu",IF(E1639="","Article manquant",IF(ISNA(MATCH($E1639,art_ref,0)),"Article inconnu",IF(N(H1639)&lt;=0,"Quantité invalide",IF(J1639="","Prix manquant",IF(OR(N(K1639)&lt;0,N(K1639)&gt;=1),"Remise invalide",IF(M1639="","TVA manquante",IF(ISNA(MATCH(M1639,p_tva,0)),"Taux de TVA inconnu",IF(COUNTIFS(po_num,A1639,po_sup,"&lt;&gt;"&amp;C1639)&gt;0,"Fournisseur différent sur ce bon",IF(COUNTIFS(po_num,A1639,po_date,"&lt;&gt;"&amp;B1639)&gt;0,"Date différente sur ce bon",IF(COUNTIF(po_num,A1639)&gt;25,"Plus de 25 lignes sur ce bon",IF(R1639="","Date de livraison manquante",IF(R1639&lt;B1639,"Livraison avant la commande",IF(AND(N(T1639)&gt;0,N(S1639)=0),"Date d'envoi manquante",IF(N(T1639)&gt;N(H1639),"Reçu plus que commandé",IF(AND(N(T1639)&gt;0,N(U1639)=0),"Date de réception manquante",IF(AND(N(U1639)&gt;0,U1639&lt;B1639),"Réception avant la commande","OK")))))))))))))))))))))</f>
        <v/>
      </c>
      <c r="AA1639" s="66" t="str">
        <f>IF(AND(X1639="Reçu",ISNUMBER(R1639)),IF(N(U1639)&lt;=R1639,1,0),"")</f>
        <v/>
      </c>
      <c r="AB1639" s="76" t="str">
        <f>IF(OR(X1639="Envoyé",X1639="Partiel",X1639="En retard"),IF(ISNUMBER(R1639),R1639,100000)+ROW()/100000,"")</f>
        <v/>
      </c>
      <c r="AC1639" s="66" t="str">
        <f>IF(A1639="","",IF(COUNTIF($A$6:A1639,A1639)=1,1,""))</f>
        <v/>
      </c>
      <c r="AD1639" s="66" t="str">
        <f>IF(AC1639=1,COUNT($AC$6:AC1639),"")</f>
        <v/>
      </c>
      <c r="AE1639" s="66" t="str">
        <f>IFERROR(INDEX(po_num,MATCH(1634,po_seq,0))&amp;"","")</f>
        <v/>
      </c>
      <c r="AF1639" s="66" t="str">
        <f>IF(OR(A1639="",p_po=""),"",IF(A1639&amp;""=p_po,COUNTIF($A$6:A1639,A1639),""))</f>
        <v/>
      </c>
      <c r="AG1639" s="66" t="str">
        <f>IF(OR(AB1639="",A1639=""),"",IF(COUNTIFS($A$6:A1639,A1639,$AB$6:AB1639,"&gt;0")=1,1,""))</f>
        <v/>
      </c>
      <c r="AH1639" s="70" t="str">
        <f>IF(AB1639="","",ROUND(N(W1639)*N(J1639)*(1-N(K1639)),2))</f>
        <v/>
      </c>
      <c r="AI1639" s="70" t="str">
        <f>IF(OR(J1639="",N(T1639)&lt;=0,V1639="Oui"),"",ROUND(N(T1639)*J1639*(1-N(K1639)),2))</f>
        <v/>
      </c>
    </row>
    <row r="1640">
      <c r="A1640" s="63" t="n"/>
      <c r="B1640" s="64" t="n"/>
      <c r="C1640" s="65" t="n"/>
      <c r="D1640" s="66" t="str">
        <f>IF(C1640="","",IFERROR(INDEX(sup_name,MATCH($C1640,sup_code,0))&amp;"","Fournisseur inconnu"))</f>
        <v/>
      </c>
      <c r="E1640" s="63" t="n"/>
      <c r="F1640" s="66" t="str">
        <f>IF(E1640="","",IFERROR(INDEX(art_des,MATCH($E1640,art_ref,0))&amp;"","Article inconnu"))</f>
        <v/>
      </c>
      <c r="G1640" s="67" t="str">
        <f>IF(E1640="","",IFERROR(INDEX(art_unit,MATCH($E1640,art_ref,0))&amp;"",""))</f>
        <v/>
      </c>
      <c r="H1640" s="68" t="n"/>
      <c r="I1640" s="69" t="n"/>
      <c r="J1640" s="70" t="str">
        <f>IF(E1640="","",IF(ISNUMBER(I1640),I1640,IFERROR(IF(ISNUMBER(INDEX(art_price,MATCH($E1640,art_ref,0))),INDEX(art_price,MATCH($E1640,art_ref,0)),""),"")))</f>
        <v/>
      </c>
      <c r="K1640" s="71" t="n"/>
      <c r="L1640" s="72" t="n"/>
      <c r="M1640" s="72" t="str">
        <f>IF(E1640="","",IF(L1640&lt;&gt;"",L1640,IFERROR(IF(ISNUMBER(INDEX(art_tva,MATCH($E1640,art_ref,0))),INDEX(art_tva,MATCH($E1640,art_ref,0)),""),"")))</f>
        <v/>
      </c>
      <c r="N1640" s="70" t="str">
        <f>IF(OR(E1640="",J1640=""),"",ROUND(N(H1640)*J1640*(1-N(K1640)),2))</f>
        <v/>
      </c>
      <c r="O1640" s="70" t="str">
        <f>IF(OR(N1640="",NOT(ISNUMBER(M1640))),"",ROUND(N1640*M1640,2))</f>
        <v/>
      </c>
      <c r="P1640" s="70" t="str">
        <f>IF(N1640="","",N1640+N(O1640))</f>
        <v/>
      </c>
      <c r="Q1640" s="64" t="n"/>
      <c r="R1640" s="73" t="str">
        <f>IF(N(Q1640)&gt;0,Q1640,IF(OR(N(B1640)=0,ISNA(MATCH($C1640,sup_code,0))),"",IF(ISNUMBER(INDEX(sup_delay,MATCH($C1640,sup_code,0))),B1640+INDEX(sup_delay,MATCH($C1640,sup_code,0)),"")))</f>
        <v/>
      </c>
      <c r="S1640" s="64" t="n"/>
      <c r="T1640" s="68" t="n"/>
      <c r="U1640" s="64" t="n"/>
      <c r="V1640" s="65" t="n"/>
      <c r="W1640" s="74" t="str">
        <f>IF(AND(A1640="",E1640=""),"",IF(V1640="Oui",0,MAX(0,ROUND(N(H1640)-N(T1640),6))))</f>
        <v/>
      </c>
      <c r="X1640" s="67" t="str">
        <f>IF(AND(A1640="",E1640=""),"",IF(V1640="Oui","Annulé",IF(AND(N(H1640)&gt;0,N(T1640)&gt;=N(H1640)),"Reçu",IF(N(S1640)=0,"Brouillon",IF(AND(ISNUMBER(R1640),R1640&lt;p_today),"En retard",IF(N(T1640)&gt;0,"Partiel","Envoyé"))))))</f>
        <v/>
      </c>
      <c r="Y1640" s="75" t="str">
        <f>IF(X1640="En retard",p_today-R1640,IF(AND(X1640="Reçu",ISNUMBER(R1640)),MAX(0,N(U1640)-R1640),""))</f>
        <v/>
      </c>
      <c r="Z1640" s="67" t="str">
        <f>IF(AND(A1640="",E1640=""),"",IF(A1640="","N° de bon manquant",IF(N(B1640)=0,"Date de commande manquante",IF(C1640="","Fournisseur manquant",IF(ISNA(MATCH($C1640,sup_code,0)),"Fournisseur inconnu",IF(E1640="","Article manquant",IF(ISNA(MATCH($E1640,art_ref,0)),"Article inconnu",IF(N(H1640)&lt;=0,"Quantité invalide",IF(J1640="","Prix manquant",IF(OR(N(K1640)&lt;0,N(K1640)&gt;=1),"Remise invalide",IF(M1640="","TVA manquante",IF(ISNA(MATCH(M1640,p_tva,0)),"Taux de TVA inconnu",IF(COUNTIFS(po_num,A1640,po_sup,"&lt;&gt;"&amp;C1640)&gt;0,"Fournisseur différent sur ce bon",IF(COUNTIFS(po_num,A1640,po_date,"&lt;&gt;"&amp;B1640)&gt;0,"Date différente sur ce bon",IF(COUNTIF(po_num,A1640)&gt;25,"Plus de 25 lignes sur ce bon",IF(R1640="","Date de livraison manquante",IF(R1640&lt;B1640,"Livraison avant la commande",IF(AND(N(T1640)&gt;0,N(S1640)=0),"Date d'envoi manquante",IF(N(T1640)&gt;N(H1640),"Reçu plus que commandé",IF(AND(N(T1640)&gt;0,N(U1640)=0),"Date de réception manquante",IF(AND(N(U1640)&gt;0,U1640&lt;B1640),"Réception avant la commande","OK")))))))))))))))))))))</f>
        <v/>
      </c>
      <c r="AA1640" s="66" t="str">
        <f>IF(AND(X1640="Reçu",ISNUMBER(R1640)),IF(N(U1640)&lt;=R1640,1,0),"")</f>
        <v/>
      </c>
      <c r="AB1640" s="76" t="str">
        <f>IF(OR(X1640="Envoyé",X1640="Partiel",X1640="En retard"),IF(ISNUMBER(R1640),R1640,100000)+ROW()/100000,"")</f>
        <v/>
      </c>
      <c r="AC1640" s="66" t="str">
        <f>IF(A1640="","",IF(COUNTIF($A$6:A1640,A1640)=1,1,""))</f>
        <v/>
      </c>
      <c r="AD1640" s="66" t="str">
        <f>IF(AC1640=1,COUNT($AC$6:AC1640),"")</f>
        <v/>
      </c>
      <c r="AE1640" s="66" t="str">
        <f>IFERROR(INDEX(po_num,MATCH(1635,po_seq,0))&amp;"","")</f>
        <v/>
      </c>
      <c r="AF1640" s="66" t="str">
        <f>IF(OR(A1640="",p_po=""),"",IF(A1640&amp;""=p_po,COUNTIF($A$6:A1640,A1640),""))</f>
        <v/>
      </c>
      <c r="AG1640" s="66" t="str">
        <f>IF(OR(AB1640="",A1640=""),"",IF(COUNTIFS($A$6:A1640,A1640,$AB$6:AB1640,"&gt;0")=1,1,""))</f>
        <v/>
      </c>
      <c r="AH1640" s="70" t="str">
        <f>IF(AB1640="","",ROUND(N(W1640)*N(J1640)*(1-N(K1640)),2))</f>
        <v/>
      </c>
      <c r="AI1640" s="70" t="str">
        <f>IF(OR(J1640="",N(T1640)&lt;=0,V1640="Oui"),"",ROUND(N(T1640)*J1640*(1-N(K1640)),2))</f>
        <v/>
      </c>
    </row>
    <row r="1641">
      <c r="A1641" s="63" t="n"/>
      <c r="B1641" s="64" t="n"/>
      <c r="C1641" s="65" t="n"/>
      <c r="D1641" s="66" t="str">
        <f>IF(C1641="","",IFERROR(INDEX(sup_name,MATCH($C1641,sup_code,0))&amp;"","Fournisseur inconnu"))</f>
        <v/>
      </c>
      <c r="E1641" s="63" t="n"/>
      <c r="F1641" s="66" t="str">
        <f>IF(E1641="","",IFERROR(INDEX(art_des,MATCH($E1641,art_ref,0))&amp;"","Article inconnu"))</f>
        <v/>
      </c>
      <c r="G1641" s="67" t="str">
        <f>IF(E1641="","",IFERROR(INDEX(art_unit,MATCH($E1641,art_ref,0))&amp;"",""))</f>
        <v/>
      </c>
      <c r="H1641" s="68" t="n"/>
      <c r="I1641" s="69" t="n"/>
      <c r="J1641" s="70" t="str">
        <f>IF(E1641="","",IF(ISNUMBER(I1641),I1641,IFERROR(IF(ISNUMBER(INDEX(art_price,MATCH($E1641,art_ref,0))),INDEX(art_price,MATCH($E1641,art_ref,0)),""),"")))</f>
        <v/>
      </c>
      <c r="K1641" s="71" t="n"/>
      <c r="L1641" s="72" t="n"/>
      <c r="M1641" s="72" t="str">
        <f>IF(E1641="","",IF(L1641&lt;&gt;"",L1641,IFERROR(IF(ISNUMBER(INDEX(art_tva,MATCH($E1641,art_ref,0))),INDEX(art_tva,MATCH($E1641,art_ref,0)),""),"")))</f>
        <v/>
      </c>
      <c r="N1641" s="70" t="str">
        <f>IF(OR(E1641="",J1641=""),"",ROUND(N(H1641)*J1641*(1-N(K1641)),2))</f>
        <v/>
      </c>
      <c r="O1641" s="70" t="str">
        <f>IF(OR(N1641="",NOT(ISNUMBER(M1641))),"",ROUND(N1641*M1641,2))</f>
        <v/>
      </c>
      <c r="P1641" s="70" t="str">
        <f>IF(N1641="","",N1641+N(O1641))</f>
        <v/>
      </c>
      <c r="Q1641" s="64" t="n"/>
      <c r="R1641" s="73" t="str">
        <f>IF(N(Q1641)&gt;0,Q1641,IF(OR(N(B1641)=0,ISNA(MATCH($C1641,sup_code,0))),"",IF(ISNUMBER(INDEX(sup_delay,MATCH($C1641,sup_code,0))),B1641+INDEX(sup_delay,MATCH($C1641,sup_code,0)),"")))</f>
        <v/>
      </c>
      <c r="S1641" s="64" t="n"/>
      <c r="T1641" s="68" t="n"/>
      <c r="U1641" s="64" t="n"/>
      <c r="V1641" s="65" t="n"/>
      <c r="W1641" s="74" t="str">
        <f>IF(AND(A1641="",E1641=""),"",IF(V1641="Oui",0,MAX(0,ROUND(N(H1641)-N(T1641),6))))</f>
        <v/>
      </c>
      <c r="X1641" s="67" t="str">
        <f>IF(AND(A1641="",E1641=""),"",IF(V1641="Oui","Annulé",IF(AND(N(H1641)&gt;0,N(T1641)&gt;=N(H1641)),"Reçu",IF(N(S1641)=0,"Brouillon",IF(AND(ISNUMBER(R1641),R1641&lt;p_today),"En retard",IF(N(T1641)&gt;0,"Partiel","Envoyé"))))))</f>
        <v/>
      </c>
      <c r="Y1641" s="75" t="str">
        <f>IF(X1641="En retard",p_today-R1641,IF(AND(X1641="Reçu",ISNUMBER(R1641)),MAX(0,N(U1641)-R1641),""))</f>
        <v/>
      </c>
      <c r="Z1641" s="67" t="str">
        <f>IF(AND(A1641="",E1641=""),"",IF(A1641="","N° de bon manquant",IF(N(B1641)=0,"Date de commande manquante",IF(C1641="","Fournisseur manquant",IF(ISNA(MATCH($C1641,sup_code,0)),"Fournisseur inconnu",IF(E1641="","Article manquant",IF(ISNA(MATCH($E1641,art_ref,0)),"Article inconnu",IF(N(H1641)&lt;=0,"Quantité invalide",IF(J1641="","Prix manquant",IF(OR(N(K1641)&lt;0,N(K1641)&gt;=1),"Remise invalide",IF(M1641="","TVA manquante",IF(ISNA(MATCH(M1641,p_tva,0)),"Taux de TVA inconnu",IF(COUNTIFS(po_num,A1641,po_sup,"&lt;&gt;"&amp;C1641)&gt;0,"Fournisseur différent sur ce bon",IF(COUNTIFS(po_num,A1641,po_date,"&lt;&gt;"&amp;B1641)&gt;0,"Date différente sur ce bon",IF(COUNTIF(po_num,A1641)&gt;25,"Plus de 25 lignes sur ce bon",IF(R1641="","Date de livraison manquante",IF(R1641&lt;B1641,"Livraison avant la commande",IF(AND(N(T1641)&gt;0,N(S1641)=0),"Date d'envoi manquante",IF(N(T1641)&gt;N(H1641),"Reçu plus que commandé",IF(AND(N(T1641)&gt;0,N(U1641)=0),"Date de réception manquante",IF(AND(N(U1641)&gt;0,U1641&lt;B1641),"Réception avant la commande","OK")))))))))))))))))))))</f>
        <v/>
      </c>
      <c r="AA1641" s="66" t="str">
        <f>IF(AND(X1641="Reçu",ISNUMBER(R1641)),IF(N(U1641)&lt;=R1641,1,0),"")</f>
        <v/>
      </c>
      <c r="AB1641" s="76" t="str">
        <f>IF(OR(X1641="Envoyé",X1641="Partiel",X1641="En retard"),IF(ISNUMBER(R1641),R1641,100000)+ROW()/100000,"")</f>
        <v/>
      </c>
      <c r="AC1641" s="66" t="str">
        <f>IF(A1641="","",IF(COUNTIF($A$6:A1641,A1641)=1,1,""))</f>
        <v/>
      </c>
      <c r="AD1641" s="66" t="str">
        <f>IF(AC1641=1,COUNT($AC$6:AC1641),"")</f>
        <v/>
      </c>
      <c r="AE1641" s="66" t="str">
        <f>IFERROR(INDEX(po_num,MATCH(1636,po_seq,0))&amp;"","")</f>
        <v/>
      </c>
      <c r="AF1641" s="66" t="str">
        <f>IF(OR(A1641="",p_po=""),"",IF(A1641&amp;""=p_po,COUNTIF($A$6:A1641,A1641),""))</f>
        <v/>
      </c>
      <c r="AG1641" s="66" t="str">
        <f>IF(OR(AB1641="",A1641=""),"",IF(COUNTIFS($A$6:A1641,A1641,$AB$6:AB1641,"&gt;0")=1,1,""))</f>
        <v/>
      </c>
      <c r="AH1641" s="70" t="str">
        <f>IF(AB1641="","",ROUND(N(W1641)*N(J1641)*(1-N(K1641)),2))</f>
        <v/>
      </c>
      <c r="AI1641" s="70" t="str">
        <f>IF(OR(J1641="",N(T1641)&lt;=0,V1641="Oui"),"",ROUND(N(T1641)*J1641*(1-N(K1641)),2))</f>
        <v/>
      </c>
    </row>
    <row r="1642">
      <c r="A1642" s="63" t="n"/>
      <c r="B1642" s="64" t="n"/>
      <c r="C1642" s="65" t="n"/>
      <c r="D1642" s="66" t="str">
        <f>IF(C1642="","",IFERROR(INDEX(sup_name,MATCH($C1642,sup_code,0))&amp;"","Fournisseur inconnu"))</f>
        <v/>
      </c>
      <c r="E1642" s="63" t="n"/>
      <c r="F1642" s="66" t="str">
        <f>IF(E1642="","",IFERROR(INDEX(art_des,MATCH($E1642,art_ref,0))&amp;"","Article inconnu"))</f>
        <v/>
      </c>
      <c r="G1642" s="67" t="str">
        <f>IF(E1642="","",IFERROR(INDEX(art_unit,MATCH($E1642,art_ref,0))&amp;"",""))</f>
        <v/>
      </c>
      <c r="H1642" s="68" t="n"/>
      <c r="I1642" s="69" t="n"/>
      <c r="J1642" s="70" t="str">
        <f>IF(E1642="","",IF(ISNUMBER(I1642),I1642,IFERROR(IF(ISNUMBER(INDEX(art_price,MATCH($E1642,art_ref,0))),INDEX(art_price,MATCH($E1642,art_ref,0)),""),"")))</f>
        <v/>
      </c>
      <c r="K1642" s="71" t="n"/>
      <c r="L1642" s="72" t="n"/>
      <c r="M1642" s="72" t="str">
        <f>IF(E1642="","",IF(L1642&lt;&gt;"",L1642,IFERROR(IF(ISNUMBER(INDEX(art_tva,MATCH($E1642,art_ref,0))),INDEX(art_tva,MATCH($E1642,art_ref,0)),""),"")))</f>
        <v/>
      </c>
      <c r="N1642" s="70" t="str">
        <f>IF(OR(E1642="",J1642=""),"",ROUND(N(H1642)*J1642*(1-N(K1642)),2))</f>
        <v/>
      </c>
      <c r="O1642" s="70" t="str">
        <f>IF(OR(N1642="",NOT(ISNUMBER(M1642))),"",ROUND(N1642*M1642,2))</f>
        <v/>
      </c>
      <c r="P1642" s="70" t="str">
        <f>IF(N1642="","",N1642+N(O1642))</f>
        <v/>
      </c>
      <c r="Q1642" s="64" t="n"/>
      <c r="R1642" s="73" t="str">
        <f>IF(N(Q1642)&gt;0,Q1642,IF(OR(N(B1642)=0,ISNA(MATCH($C1642,sup_code,0))),"",IF(ISNUMBER(INDEX(sup_delay,MATCH($C1642,sup_code,0))),B1642+INDEX(sup_delay,MATCH($C1642,sup_code,0)),"")))</f>
        <v/>
      </c>
      <c r="S1642" s="64" t="n"/>
      <c r="T1642" s="68" t="n"/>
      <c r="U1642" s="64" t="n"/>
      <c r="V1642" s="65" t="n"/>
      <c r="W1642" s="74" t="str">
        <f>IF(AND(A1642="",E1642=""),"",IF(V1642="Oui",0,MAX(0,ROUND(N(H1642)-N(T1642),6))))</f>
        <v/>
      </c>
      <c r="X1642" s="67" t="str">
        <f>IF(AND(A1642="",E1642=""),"",IF(V1642="Oui","Annulé",IF(AND(N(H1642)&gt;0,N(T1642)&gt;=N(H1642)),"Reçu",IF(N(S1642)=0,"Brouillon",IF(AND(ISNUMBER(R1642),R1642&lt;p_today),"En retard",IF(N(T1642)&gt;0,"Partiel","Envoyé"))))))</f>
        <v/>
      </c>
      <c r="Y1642" s="75" t="str">
        <f>IF(X1642="En retard",p_today-R1642,IF(AND(X1642="Reçu",ISNUMBER(R1642)),MAX(0,N(U1642)-R1642),""))</f>
        <v/>
      </c>
      <c r="Z1642" s="67" t="str">
        <f>IF(AND(A1642="",E1642=""),"",IF(A1642="","N° de bon manquant",IF(N(B1642)=0,"Date de commande manquante",IF(C1642="","Fournisseur manquant",IF(ISNA(MATCH($C1642,sup_code,0)),"Fournisseur inconnu",IF(E1642="","Article manquant",IF(ISNA(MATCH($E1642,art_ref,0)),"Article inconnu",IF(N(H1642)&lt;=0,"Quantité invalide",IF(J1642="","Prix manquant",IF(OR(N(K1642)&lt;0,N(K1642)&gt;=1),"Remise invalide",IF(M1642="","TVA manquante",IF(ISNA(MATCH(M1642,p_tva,0)),"Taux de TVA inconnu",IF(COUNTIFS(po_num,A1642,po_sup,"&lt;&gt;"&amp;C1642)&gt;0,"Fournisseur différent sur ce bon",IF(COUNTIFS(po_num,A1642,po_date,"&lt;&gt;"&amp;B1642)&gt;0,"Date différente sur ce bon",IF(COUNTIF(po_num,A1642)&gt;25,"Plus de 25 lignes sur ce bon",IF(R1642="","Date de livraison manquante",IF(R1642&lt;B1642,"Livraison avant la commande",IF(AND(N(T1642)&gt;0,N(S1642)=0),"Date d'envoi manquante",IF(N(T1642)&gt;N(H1642),"Reçu plus que commandé",IF(AND(N(T1642)&gt;0,N(U1642)=0),"Date de réception manquante",IF(AND(N(U1642)&gt;0,U1642&lt;B1642),"Réception avant la commande","OK")))))))))))))))))))))</f>
        <v/>
      </c>
      <c r="AA1642" s="66" t="str">
        <f>IF(AND(X1642="Reçu",ISNUMBER(R1642)),IF(N(U1642)&lt;=R1642,1,0),"")</f>
        <v/>
      </c>
      <c r="AB1642" s="76" t="str">
        <f>IF(OR(X1642="Envoyé",X1642="Partiel",X1642="En retard"),IF(ISNUMBER(R1642),R1642,100000)+ROW()/100000,"")</f>
        <v/>
      </c>
      <c r="AC1642" s="66" t="str">
        <f>IF(A1642="","",IF(COUNTIF($A$6:A1642,A1642)=1,1,""))</f>
        <v/>
      </c>
      <c r="AD1642" s="66" t="str">
        <f>IF(AC1642=1,COUNT($AC$6:AC1642),"")</f>
        <v/>
      </c>
      <c r="AE1642" s="66" t="str">
        <f>IFERROR(INDEX(po_num,MATCH(1637,po_seq,0))&amp;"","")</f>
        <v/>
      </c>
      <c r="AF1642" s="66" t="str">
        <f>IF(OR(A1642="",p_po=""),"",IF(A1642&amp;""=p_po,COUNTIF($A$6:A1642,A1642),""))</f>
        <v/>
      </c>
      <c r="AG1642" s="66" t="str">
        <f>IF(OR(AB1642="",A1642=""),"",IF(COUNTIFS($A$6:A1642,A1642,$AB$6:AB1642,"&gt;0")=1,1,""))</f>
        <v/>
      </c>
      <c r="AH1642" s="70" t="str">
        <f>IF(AB1642="","",ROUND(N(W1642)*N(J1642)*(1-N(K1642)),2))</f>
        <v/>
      </c>
      <c r="AI1642" s="70" t="str">
        <f>IF(OR(J1642="",N(T1642)&lt;=0,V1642="Oui"),"",ROUND(N(T1642)*J1642*(1-N(K1642)),2))</f>
        <v/>
      </c>
    </row>
    <row r="1643">
      <c r="A1643" s="63" t="n"/>
      <c r="B1643" s="64" t="n"/>
      <c r="C1643" s="65" t="n"/>
      <c r="D1643" s="66" t="str">
        <f>IF(C1643="","",IFERROR(INDEX(sup_name,MATCH($C1643,sup_code,0))&amp;"","Fournisseur inconnu"))</f>
        <v/>
      </c>
      <c r="E1643" s="63" t="n"/>
      <c r="F1643" s="66" t="str">
        <f>IF(E1643="","",IFERROR(INDEX(art_des,MATCH($E1643,art_ref,0))&amp;"","Article inconnu"))</f>
        <v/>
      </c>
      <c r="G1643" s="67" t="str">
        <f>IF(E1643="","",IFERROR(INDEX(art_unit,MATCH($E1643,art_ref,0))&amp;"",""))</f>
        <v/>
      </c>
      <c r="H1643" s="68" t="n"/>
      <c r="I1643" s="69" t="n"/>
      <c r="J1643" s="70" t="str">
        <f>IF(E1643="","",IF(ISNUMBER(I1643),I1643,IFERROR(IF(ISNUMBER(INDEX(art_price,MATCH($E1643,art_ref,0))),INDEX(art_price,MATCH($E1643,art_ref,0)),""),"")))</f>
        <v/>
      </c>
      <c r="K1643" s="71" t="n"/>
      <c r="L1643" s="72" t="n"/>
      <c r="M1643" s="72" t="str">
        <f>IF(E1643="","",IF(L1643&lt;&gt;"",L1643,IFERROR(IF(ISNUMBER(INDEX(art_tva,MATCH($E1643,art_ref,0))),INDEX(art_tva,MATCH($E1643,art_ref,0)),""),"")))</f>
        <v/>
      </c>
      <c r="N1643" s="70" t="str">
        <f>IF(OR(E1643="",J1643=""),"",ROUND(N(H1643)*J1643*(1-N(K1643)),2))</f>
        <v/>
      </c>
      <c r="O1643" s="70" t="str">
        <f>IF(OR(N1643="",NOT(ISNUMBER(M1643))),"",ROUND(N1643*M1643,2))</f>
        <v/>
      </c>
      <c r="P1643" s="70" t="str">
        <f>IF(N1643="","",N1643+N(O1643))</f>
        <v/>
      </c>
      <c r="Q1643" s="64" t="n"/>
      <c r="R1643" s="73" t="str">
        <f>IF(N(Q1643)&gt;0,Q1643,IF(OR(N(B1643)=0,ISNA(MATCH($C1643,sup_code,0))),"",IF(ISNUMBER(INDEX(sup_delay,MATCH($C1643,sup_code,0))),B1643+INDEX(sup_delay,MATCH($C1643,sup_code,0)),"")))</f>
        <v/>
      </c>
      <c r="S1643" s="64" t="n"/>
      <c r="T1643" s="68" t="n"/>
      <c r="U1643" s="64" t="n"/>
      <c r="V1643" s="65" t="n"/>
      <c r="W1643" s="74" t="str">
        <f>IF(AND(A1643="",E1643=""),"",IF(V1643="Oui",0,MAX(0,ROUND(N(H1643)-N(T1643),6))))</f>
        <v/>
      </c>
      <c r="X1643" s="67" t="str">
        <f>IF(AND(A1643="",E1643=""),"",IF(V1643="Oui","Annulé",IF(AND(N(H1643)&gt;0,N(T1643)&gt;=N(H1643)),"Reçu",IF(N(S1643)=0,"Brouillon",IF(AND(ISNUMBER(R1643),R1643&lt;p_today),"En retard",IF(N(T1643)&gt;0,"Partiel","Envoyé"))))))</f>
        <v/>
      </c>
      <c r="Y1643" s="75" t="str">
        <f>IF(X1643="En retard",p_today-R1643,IF(AND(X1643="Reçu",ISNUMBER(R1643)),MAX(0,N(U1643)-R1643),""))</f>
        <v/>
      </c>
      <c r="Z1643" s="67" t="str">
        <f>IF(AND(A1643="",E1643=""),"",IF(A1643="","N° de bon manquant",IF(N(B1643)=0,"Date de commande manquante",IF(C1643="","Fournisseur manquant",IF(ISNA(MATCH($C1643,sup_code,0)),"Fournisseur inconnu",IF(E1643="","Article manquant",IF(ISNA(MATCH($E1643,art_ref,0)),"Article inconnu",IF(N(H1643)&lt;=0,"Quantité invalide",IF(J1643="","Prix manquant",IF(OR(N(K1643)&lt;0,N(K1643)&gt;=1),"Remise invalide",IF(M1643="","TVA manquante",IF(ISNA(MATCH(M1643,p_tva,0)),"Taux de TVA inconnu",IF(COUNTIFS(po_num,A1643,po_sup,"&lt;&gt;"&amp;C1643)&gt;0,"Fournisseur différent sur ce bon",IF(COUNTIFS(po_num,A1643,po_date,"&lt;&gt;"&amp;B1643)&gt;0,"Date différente sur ce bon",IF(COUNTIF(po_num,A1643)&gt;25,"Plus de 25 lignes sur ce bon",IF(R1643="","Date de livraison manquante",IF(R1643&lt;B1643,"Livraison avant la commande",IF(AND(N(T1643)&gt;0,N(S1643)=0),"Date d'envoi manquante",IF(N(T1643)&gt;N(H1643),"Reçu plus que commandé",IF(AND(N(T1643)&gt;0,N(U1643)=0),"Date de réception manquante",IF(AND(N(U1643)&gt;0,U1643&lt;B1643),"Réception avant la commande","OK")))))))))))))))))))))</f>
        <v/>
      </c>
      <c r="AA1643" s="66" t="str">
        <f>IF(AND(X1643="Reçu",ISNUMBER(R1643)),IF(N(U1643)&lt;=R1643,1,0),"")</f>
        <v/>
      </c>
      <c r="AB1643" s="76" t="str">
        <f>IF(OR(X1643="Envoyé",X1643="Partiel",X1643="En retard"),IF(ISNUMBER(R1643),R1643,100000)+ROW()/100000,"")</f>
        <v/>
      </c>
      <c r="AC1643" s="66" t="str">
        <f>IF(A1643="","",IF(COUNTIF($A$6:A1643,A1643)=1,1,""))</f>
        <v/>
      </c>
      <c r="AD1643" s="66" t="str">
        <f>IF(AC1643=1,COUNT($AC$6:AC1643),"")</f>
        <v/>
      </c>
      <c r="AE1643" s="66" t="str">
        <f>IFERROR(INDEX(po_num,MATCH(1638,po_seq,0))&amp;"","")</f>
        <v/>
      </c>
      <c r="AF1643" s="66" t="str">
        <f>IF(OR(A1643="",p_po=""),"",IF(A1643&amp;""=p_po,COUNTIF($A$6:A1643,A1643),""))</f>
        <v/>
      </c>
      <c r="AG1643" s="66" t="str">
        <f>IF(OR(AB1643="",A1643=""),"",IF(COUNTIFS($A$6:A1643,A1643,$AB$6:AB1643,"&gt;0")=1,1,""))</f>
        <v/>
      </c>
      <c r="AH1643" s="70" t="str">
        <f>IF(AB1643="","",ROUND(N(W1643)*N(J1643)*(1-N(K1643)),2))</f>
        <v/>
      </c>
      <c r="AI1643" s="70" t="str">
        <f>IF(OR(J1643="",N(T1643)&lt;=0,V1643="Oui"),"",ROUND(N(T1643)*J1643*(1-N(K1643)),2))</f>
        <v/>
      </c>
    </row>
    <row r="1644">
      <c r="A1644" s="63" t="n"/>
      <c r="B1644" s="64" t="n"/>
      <c r="C1644" s="65" t="n"/>
      <c r="D1644" s="66" t="str">
        <f>IF(C1644="","",IFERROR(INDEX(sup_name,MATCH($C1644,sup_code,0))&amp;"","Fournisseur inconnu"))</f>
        <v/>
      </c>
      <c r="E1644" s="63" t="n"/>
      <c r="F1644" s="66" t="str">
        <f>IF(E1644="","",IFERROR(INDEX(art_des,MATCH($E1644,art_ref,0))&amp;"","Article inconnu"))</f>
        <v/>
      </c>
      <c r="G1644" s="67" t="str">
        <f>IF(E1644="","",IFERROR(INDEX(art_unit,MATCH($E1644,art_ref,0))&amp;"",""))</f>
        <v/>
      </c>
      <c r="H1644" s="68" t="n"/>
      <c r="I1644" s="69" t="n"/>
      <c r="J1644" s="70" t="str">
        <f>IF(E1644="","",IF(ISNUMBER(I1644),I1644,IFERROR(IF(ISNUMBER(INDEX(art_price,MATCH($E1644,art_ref,0))),INDEX(art_price,MATCH($E1644,art_ref,0)),""),"")))</f>
        <v/>
      </c>
      <c r="K1644" s="71" t="n"/>
      <c r="L1644" s="72" t="n"/>
      <c r="M1644" s="72" t="str">
        <f>IF(E1644="","",IF(L1644&lt;&gt;"",L1644,IFERROR(IF(ISNUMBER(INDEX(art_tva,MATCH($E1644,art_ref,0))),INDEX(art_tva,MATCH($E1644,art_ref,0)),""),"")))</f>
        <v/>
      </c>
      <c r="N1644" s="70" t="str">
        <f>IF(OR(E1644="",J1644=""),"",ROUND(N(H1644)*J1644*(1-N(K1644)),2))</f>
        <v/>
      </c>
      <c r="O1644" s="70" t="str">
        <f>IF(OR(N1644="",NOT(ISNUMBER(M1644))),"",ROUND(N1644*M1644,2))</f>
        <v/>
      </c>
      <c r="P1644" s="70" t="str">
        <f>IF(N1644="","",N1644+N(O1644))</f>
        <v/>
      </c>
      <c r="Q1644" s="64" t="n"/>
      <c r="R1644" s="73" t="str">
        <f>IF(N(Q1644)&gt;0,Q1644,IF(OR(N(B1644)=0,ISNA(MATCH($C1644,sup_code,0))),"",IF(ISNUMBER(INDEX(sup_delay,MATCH($C1644,sup_code,0))),B1644+INDEX(sup_delay,MATCH($C1644,sup_code,0)),"")))</f>
        <v/>
      </c>
      <c r="S1644" s="64" t="n"/>
      <c r="T1644" s="68" t="n"/>
      <c r="U1644" s="64" t="n"/>
      <c r="V1644" s="65" t="n"/>
      <c r="W1644" s="74" t="str">
        <f>IF(AND(A1644="",E1644=""),"",IF(V1644="Oui",0,MAX(0,ROUND(N(H1644)-N(T1644),6))))</f>
        <v/>
      </c>
      <c r="X1644" s="67" t="str">
        <f>IF(AND(A1644="",E1644=""),"",IF(V1644="Oui","Annulé",IF(AND(N(H1644)&gt;0,N(T1644)&gt;=N(H1644)),"Reçu",IF(N(S1644)=0,"Brouillon",IF(AND(ISNUMBER(R1644),R1644&lt;p_today),"En retard",IF(N(T1644)&gt;0,"Partiel","Envoyé"))))))</f>
        <v/>
      </c>
      <c r="Y1644" s="75" t="str">
        <f>IF(X1644="En retard",p_today-R1644,IF(AND(X1644="Reçu",ISNUMBER(R1644)),MAX(0,N(U1644)-R1644),""))</f>
        <v/>
      </c>
      <c r="Z1644" s="67" t="str">
        <f>IF(AND(A1644="",E1644=""),"",IF(A1644="","N° de bon manquant",IF(N(B1644)=0,"Date de commande manquante",IF(C1644="","Fournisseur manquant",IF(ISNA(MATCH($C1644,sup_code,0)),"Fournisseur inconnu",IF(E1644="","Article manquant",IF(ISNA(MATCH($E1644,art_ref,0)),"Article inconnu",IF(N(H1644)&lt;=0,"Quantité invalide",IF(J1644="","Prix manquant",IF(OR(N(K1644)&lt;0,N(K1644)&gt;=1),"Remise invalide",IF(M1644="","TVA manquante",IF(ISNA(MATCH(M1644,p_tva,0)),"Taux de TVA inconnu",IF(COUNTIFS(po_num,A1644,po_sup,"&lt;&gt;"&amp;C1644)&gt;0,"Fournisseur différent sur ce bon",IF(COUNTIFS(po_num,A1644,po_date,"&lt;&gt;"&amp;B1644)&gt;0,"Date différente sur ce bon",IF(COUNTIF(po_num,A1644)&gt;25,"Plus de 25 lignes sur ce bon",IF(R1644="","Date de livraison manquante",IF(R1644&lt;B1644,"Livraison avant la commande",IF(AND(N(T1644)&gt;0,N(S1644)=0),"Date d'envoi manquante",IF(N(T1644)&gt;N(H1644),"Reçu plus que commandé",IF(AND(N(T1644)&gt;0,N(U1644)=0),"Date de réception manquante",IF(AND(N(U1644)&gt;0,U1644&lt;B1644),"Réception avant la commande","OK")))))))))))))))))))))</f>
        <v/>
      </c>
      <c r="AA1644" s="66" t="str">
        <f>IF(AND(X1644="Reçu",ISNUMBER(R1644)),IF(N(U1644)&lt;=R1644,1,0),"")</f>
        <v/>
      </c>
      <c r="AB1644" s="76" t="str">
        <f>IF(OR(X1644="Envoyé",X1644="Partiel",X1644="En retard"),IF(ISNUMBER(R1644),R1644,100000)+ROW()/100000,"")</f>
        <v/>
      </c>
      <c r="AC1644" s="66" t="str">
        <f>IF(A1644="","",IF(COUNTIF($A$6:A1644,A1644)=1,1,""))</f>
        <v/>
      </c>
      <c r="AD1644" s="66" t="str">
        <f>IF(AC1644=1,COUNT($AC$6:AC1644),"")</f>
        <v/>
      </c>
      <c r="AE1644" s="66" t="str">
        <f>IFERROR(INDEX(po_num,MATCH(1639,po_seq,0))&amp;"","")</f>
        <v/>
      </c>
      <c r="AF1644" s="66" t="str">
        <f>IF(OR(A1644="",p_po=""),"",IF(A1644&amp;""=p_po,COUNTIF($A$6:A1644,A1644),""))</f>
        <v/>
      </c>
      <c r="AG1644" s="66" t="str">
        <f>IF(OR(AB1644="",A1644=""),"",IF(COUNTIFS($A$6:A1644,A1644,$AB$6:AB1644,"&gt;0")=1,1,""))</f>
        <v/>
      </c>
      <c r="AH1644" s="70" t="str">
        <f>IF(AB1644="","",ROUND(N(W1644)*N(J1644)*(1-N(K1644)),2))</f>
        <v/>
      </c>
      <c r="AI1644" s="70" t="str">
        <f>IF(OR(J1644="",N(T1644)&lt;=0,V1644="Oui"),"",ROUND(N(T1644)*J1644*(1-N(K1644)),2))</f>
        <v/>
      </c>
    </row>
    <row r="1645">
      <c r="A1645" s="63" t="n"/>
      <c r="B1645" s="64" t="n"/>
      <c r="C1645" s="65" t="n"/>
      <c r="D1645" s="66" t="str">
        <f>IF(C1645="","",IFERROR(INDEX(sup_name,MATCH($C1645,sup_code,0))&amp;"","Fournisseur inconnu"))</f>
        <v/>
      </c>
      <c r="E1645" s="63" t="n"/>
      <c r="F1645" s="66" t="str">
        <f>IF(E1645="","",IFERROR(INDEX(art_des,MATCH($E1645,art_ref,0))&amp;"","Article inconnu"))</f>
        <v/>
      </c>
      <c r="G1645" s="67" t="str">
        <f>IF(E1645="","",IFERROR(INDEX(art_unit,MATCH($E1645,art_ref,0))&amp;"",""))</f>
        <v/>
      </c>
      <c r="H1645" s="68" t="n"/>
      <c r="I1645" s="69" t="n"/>
      <c r="J1645" s="70" t="str">
        <f>IF(E1645="","",IF(ISNUMBER(I1645),I1645,IFERROR(IF(ISNUMBER(INDEX(art_price,MATCH($E1645,art_ref,0))),INDEX(art_price,MATCH($E1645,art_ref,0)),""),"")))</f>
        <v/>
      </c>
      <c r="K1645" s="71" t="n"/>
      <c r="L1645" s="72" t="n"/>
      <c r="M1645" s="72" t="str">
        <f>IF(E1645="","",IF(L1645&lt;&gt;"",L1645,IFERROR(IF(ISNUMBER(INDEX(art_tva,MATCH($E1645,art_ref,0))),INDEX(art_tva,MATCH($E1645,art_ref,0)),""),"")))</f>
        <v/>
      </c>
      <c r="N1645" s="70" t="str">
        <f>IF(OR(E1645="",J1645=""),"",ROUND(N(H1645)*J1645*(1-N(K1645)),2))</f>
        <v/>
      </c>
      <c r="O1645" s="70" t="str">
        <f>IF(OR(N1645="",NOT(ISNUMBER(M1645))),"",ROUND(N1645*M1645,2))</f>
        <v/>
      </c>
      <c r="P1645" s="70" t="str">
        <f>IF(N1645="","",N1645+N(O1645))</f>
        <v/>
      </c>
      <c r="Q1645" s="64" t="n"/>
      <c r="R1645" s="73" t="str">
        <f>IF(N(Q1645)&gt;0,Q1645,IF(OR(N(B1645)=0,ISNA(MATCH($C1645,sup_code,0))),"",IF(ISNUMBER(INDEX(sup_delay,MATCH($C1645,sup_code,0))),B1645+INDEX(sup_delay,MATCH($C1645,sup_code,0)),"")))</f>
        <v/>
      </c>
      <c r="S1645" s="64" t="n"/>
      <c r="T1645" s="68" t="n"/>
      <c r="U1645" s="64" t="n"/>
      <c r="V1645" s="65" t="n"/>
      <c r="W1645" s="74" t="str">
        <f>IF(AND(A1645="",E1645=""),"",IF(V1645="Oui",0,MAX(0,ROUND(N(H1645)-N(T1645),6))))</f>
        <v/>
      </c>
      <c r="X1645" s="67" t="str">
        <f>IF(AND(A1645="",E1645=""),"",IF(V1645="Oui","Annulé",IF(AND(N(H1645)&gt;0,N(T1645)&gt;=N(H1645)),"Reçu",IF(N(S1645)=0,"Brouillon",IF(AND(ISNUMBER(R1645),R1645&lt;p_today),"En retard",IF(N(T1645)&gt;0,"Partiel","Envoyé"))))))</f>
        <v/>
      </c>
      <c r="Y1645" s="75" t="str">
        <f>IF(X1645="En retard",p_today-R1645,IF(AND(X1645="Reçu",ISNUMBER(R1645)),MAX(0,N(U1645)-R1645),""))</f>
        <v/>
      </c>
      <c r="Z1645" s="67" t="str">
        <f>IF(AND(A1645="",E1645=""),"",IF(A1645="","N° de bon manquant",IF(N(B1645)=0,"Date de commande manquante",IF(C1645="","Fournisseur manquant",IF(ISNA(MATCH($C1645,sup_code,0)),"Fournisseur inconnu",IF(E1645="","Article manquant",IF(ISNA(MATCH($E1645,art_ref,0)),"Article inconnu",IF(N(H1645)&lt;=0,"Quantité invalide",IF(J1645="","Prix manquant",IF(OR(N(K1645)&lt;0,N(K1645)&gt;=1),"Remise invalide",IF(M1645="","TVA manquante",IF(ISNA(MATCH(M1645,p_tva,0)),"Taux de TVA inconnu",IF(COUNTIFS(po_num,A1645,po_sup,"&lt;&gt;"&amp;C1645)&gt;0,"Fournisseur différent sur ce bon",IF(COUNTIFS(po_num,A1645,po_date,"&lt;&gt;"&amp;B1645)&gt;0,"Date différente sur ce bon",IF(COUNTIF(po_num,A1645)&gt;25,"Plus de 25 lignes sur ce bon",IF(R1645="","Date de livraison manquante",IF(R1645&lt;B1645,"Livraison avant la commande",IF(AND(N(T1645)&gt;0,N(S1645)=0),"Date d'envoi manquante",IF(N(T1645)&gt;N(H1645),"Reçu plus que commandé",IF(AND(N(T1645)&gt;0,N(U1645)=0),"Date de réception manquante",IF(AND(N(U1645)&gt;0,U1645&lt;B1645),"Réception avant la commande","OK")))))))))))))))))))))</f>
        <v/>
      </c>
      <c r="AA1645" s="66" t="str">
        <f>IF(AND(X1645="Reçu",ISNUMBER(R1645)),IF(N(U1645)&lt;=R1645,1,0),"")</f>
        <v/>
      </c>
      <c r="AB1645" s="76" t="str">
        <f>IF(OR(X1645="Envoyé",X1645="Partiel",X1645="En retard"),IF(ISNUMBER(R1645),R1645,100000)+ROW()/100000,"")</f>
        <v/>
      </c>
      <c r="AC1645" s="66" t="str">
        <f>IF(A1645="","",IF(COUNTIF($A$6:A1645,A1645)=1,1,""))</f>
        <v/>
      </c>
      <c r="AD1645" s="66" t="str">
        <f>IF(AC1645=1,COUNT($AC$6:AC1645),"")</f>
        <v/>
      </c>
      <c r="AE1645" s="66" t="str">
        <f>IFERROR(INDEX(po_num,MATCH(1640,po_seq,0))&amp;"","")</f>
        <v/>
      </c>
      <c r="AF1645" s="66" t="str">
        <f>IF(OR(A1645="",p_po=""),"",IF(A1645&amp;""=p_po,COUNTIF($A$6:A1645,A1645),""))</f>
        <v/>
      </c>
      <c r="AG1645" s="66" t="str">
        <f>IF(OR(AB1645="",A1645=""),"",IF(COUNTIFS($A$6:A1645,A1645,$AB$6:AB1645,"&gt;0")=1,1,""))</f>
        <v/>
      </c>
      <c r="AH1645" s="70" t="str">
        <f>IF(AB1645="","",ROUND(N(W1645)*N(J1645)*(1-N(K1645)),2))</f>
        <v/>
      </c>
      <c r="AI1645" s="70" t="str">
        <f>IF(OR(J1645="",N(T1645)&lt;=0,V1645="Oui"),"",ROUND(N(T1645)*J1645*(1-N(K1645)),2))</f>
        <v/>
      </c>
    </row>
    <row r="1646">
      <c r="A1646" s="63" t="n"/>
      <c r="B1646" s="64" t="n"/>
      <c r="C1646" s="65" t="n"/>
      <c r="D1646" s="66" t="str">
        <f>IF(C1646="","",IFERROR(INDEX(sup_name,MATCH($C1646,sup_code,0))&amp;"","Fournisseur inconnu"))</f>
        <v/>
      </c>
      <c r="E1646" s="63" t="n"/>
      <c r="F1646" s="66" t="str">
        <f>IF(E1646="","",IFERROR(INDEX(art_des,MATCH($E1646,art_ref,0))&amp;"","Article inconnu"))</f>
        <v/>
      </c>
      <c r="G1646" s="67" t="str">
        <f>IF(E1646="","",IFERROR(INDEX(art_unit,MATCH($E1646,art_ref,0))&amp;"",""))</f>
        <v/>
      </c>
      <c r="H1646" s="68" t="n"/>
      <c r="I1646" s="69" t="n"/>
      <c r="J1646" s="70" t="str">
        <f>IF(E1646="","",IF(ISNUMBER(I1646),I1646,IFERROR(IF(ISNUMBER(INDEX(art_price,MATCH($E1646,art_ref,0))),INDEX(art_price,MATCH($E1646,art_ref,0)),""),"")))</f>
        <v/>
      </c>
      <c r="K1646" s="71" t="n"/>
      <c r="L1646" s="72" t="n"/>
      <c r="M1646" s="72" t="str">
        <f>IF(E1646="","",IF(L1646&lt;&gt;"",L1646,IFERROR(IF(ISNUMBER(INDEX(art_tva,MATCH($E1646,art_ref,0))),INDEX(art_tva,MATCH($E1646,art_ref,0)),""),"")))</f>
        <v/>
      </c>
      <c r="N1646" s="70" t="str">
        <f>IF(OR(E1646="",J1646=""),"",ROUND(N(H1646)*J1646*(1-N(K1646)),2))</f>
        <v/>
      </c>
      <c r="O1646" s="70" t="str">
        <f>IF(OR(N1646="",NOT(ISNUMBER(M1646))),"",ROUND(N1646*M1646,2))</f>
        <v/>
      </c>
      <c r="P1646" s="70" t="str">
        <f>IF(N1646="","",N1646+N(O1646))</f>
        <v/>
      </c>
      <c r="Q1646" s="64" t="n"/>
      <c r="R1646" s="73" t="str">
        <f>IF(N(Q1646)&gt;0,Q1646,IF(OR(N(B1646)=0,ISNA(MATCH($C1646,sup_code,0))),"",IF(ISNUMBER(INDEX(sup_delay,MATCH($C1646,sup_code,0))),B1646+INDEX(sup_delay,MATCH($C1646,sup_code,0)),"")))</f>
        <v/>
      </c>
      <c r="S1646" s="64" t="n"/>
      <c r="T1646" s="68" t="n"/>
      <c r="U1646" s="64" t="n"/>
      <c r="V1646" s="65" t="n"/>
      <c r="W1646" s="74" t="str">
        <f>IF(AND(A1646="",E1646=""),"",IF(V1646="Oui",0,MAX(0,ROUND(N(H1646)-N(T1646),6))))</f>
        <v/>
      </c>
      <c r="X1646" s="67" t="str">
        <f>IF(AND(A1646="",E1646=""),"",IF(V1646="Oui","Annulé",IF(AND(N(H1646)&gt;0,N(T1646)&gt;=N(H1646)),"Reçu",IF(N(S1646)=0,"Brouillon",IF(AND(ISNUMBER(R1646),R1646&lt;p_today),"En retard",IF(N(T1646)&gt;0,"Partiel","Envoyé"))))))</f>
        <v/>
      </c>
      <c r="Y1646" s="75" t="str">
        <f>IF(X1646="En retard",p_today-R1646,IF(AND(X1646="Reçu",ISNUMBER(R1646)),MAX(0,N(U1646)-R1646),""))</f>
        <v/>
      </c>
      <c r="Z1646" s="67" t="str">
        <f>IF(AND(A1646="",E1646=""),"",IF(A1646="","N° de bon manquant",IF(N(B1646)=0,"Date de commande manquante",IF(C1646="","Fournisseur manquant",IF(ISNA(MATCH($C1646,sup_code,0)),"Fournisseur inconnu",IF(E1646="","Article manquant",IF(ISNA(MATCH($E1646,art_ref,0)),"Article inconnu",IF(N(H1646)&lt;=0,"Quantité invalide",IF(J1646="","Prix manquant",IF(OR(N(K1646)&lt;0,N(K1646)&gt;=1),"Remise invalide",IF(M1646="","TVA manquante",IF(ISNA(MATCH(M1646,p_tva,0)),"Taux de TVA inconnu",IF(COUNTIFS(po_num,A1646,po_sup,"&lt;&gt;"&amp;C1646)&gt;0,"Fournisseur différent sur ce bon",IF(COUNTIFS(po_num,A1646,po_date,"&lt;&gt;"&amp;B1646)&gt;0,"Date différente sur ce bon",IF(COUNTIF(po_num,A1646)&gt;25,"Plus de 25 lignes sur ce bon",IF(R1646="","Date de livraison manquante",IF(R1646&lt;B1646,"Livraison avant la commande",IF(AND(N(T1646)&gt;0,N(S1646)=0),"Date d'envoi manquante",IF(N(T1646)&gt;N(H1646),"Reçu plus que commandé",IF(AND(N(T1646)&gt;0,N(U1646)=0),"Date de réception manquante",IF(AND(N(U1646)&gt;0,U1646&lt;B1646),"Réception avant la commande","OK")))))))))))))))))))))</f>
        <v/>
      </c>
      <c r="AA1646" s="66" t="str">
        <f>IF(AND(X1646="Reçu",ISNUMBER(R1646)),IF(N(U1646)&lt;=R1646,1,0),"")</f>
        <v/>
      </c>
      <c r="AB1646" s="76" t="str">
        <f>IF(OR(X1646="Envoyé",X1646="Partiel",X1646="En retard"),IF(ISNUMBER(R1646),R1646,100000)+ROW()/100000,"")</f>
        <v/>
      </c>
      <c r="AC1646" s="66" t="str">
        <f>IF(A1646="","",IF(COUNTIF($A$6:A1646,A1646)=1,1,""))</f>
        <v/>
      </c>
      <c r="AD1646" s="66" t="str">
        <f>IF(AC1646=1,COUNT($AC$6:AC1646),"")</f>
        <v/>
      </c>
      <c r="AE1646" s="66" t="str">
        <f>IFERROR(INDEX(po_num,MATCH(1641,po_seq,0))&amp;"","")</f>
        <v/>
      </c>
      <c r="AF1646" s="66" t="str">
        <f>IF(OR(A1646="",p_po=""),"",IF(A1646&amp;""=p_po,COUNTIF($A$6:A1646,A1646),""))</f>
        <v/>
      </c>
      <c r="AG1646" s="66" t="str">
        <f>IF(OR(AB1646="",A1646=""),"",IF(COUNTIFS($A$6:A1646,A1646,$AB$6:AB1646,"&gt;0")=1,1,""))</f>
        <v/>
      </c>
      <c r="AH1646" s="70" t="str">
        <f>IF(AB1646="","",ROUND(N(W1646)*N(J1646)*(1-N(K1646)),2))</f>
        <v/>
      </c>
      <c r="AI1646" s="70" t="str">
        <f>IF(OR(J1646="",N(T1646)&lt;=0,V1646="Oui"),"",ROUND(N(T1646)*J1646*(1-N(K1646)),2))</f>
        <v/>
      </c>
    </row>
    <row r="1647">
      <c r="A1647" s="63" t="n"/>
      <c r="B1647" s="64" t="n"/>
      <c r="C1647" s="65" t="n"/>
      <c r="D1647" s="66" t="str">
        <f>IF(C1647="","",IFERROR(INDEX(sup_name,MATCH($C1647,sup_code,0))&amp;"","Fournisseur inconnu"))</f>
        <v/>
      </c>
      <c r="E1647" s="63" t="n"/>
      <c r="F1647" s="66" t="str">
        <f>IF(E1647="","",IFERROR(INDEX(art_des,MATCH($E1647,art_ref,0))&amp;"","Article inconnu"))</f>
        <v/>
      </c>
      <c r="G1647" s="67" t="str">
        <f>IF(E1647="","",IFERROR(INDEX(art_unit,MATCH($E1647,art_ref,0))&amp;"",""))</f>
        <v/>
      </c>
      <c r="H1647" s="68" t="n"/>
      <c r="I1647" s="69" t="n"/>
      <c r="J1647" s="70" t="str">
        <f>IF(E1647="","",IF(ISNUMBER(I1647),I1647,IFERROR(IF(ISNUMBER(INDEX(art_price,MATCH($E1647,art_ref,0))),INDEX(art_price,MATCH($E1647,art_ref,0)),""),"")))</f>
        <v/>
      </c>
      <c r="K1647" s="71" t="n"/>
      <c r="L1647" s="72" t="n"/>
      <c r="M1647" s="72" t="str">
        <f>IF(E1647="","",IF(L1647&lt;&gt;"",L1647,IFERROR(IF(ISNUMBER(INDEX(art_tva,MATCH($E1647,art_ref,0))),INDEX(art_tva,MATCH($E1647,art_ref,0)),""),"")))</f>
        <v/>
      </c>
      <c r="N1647" s="70" t="str">
        <f>IF(OR(E1647="",J1647=""),"",ROUND(N(H1647)*J1647*(1-N(K1647)),2))</f>
        <v/>
      </c>
      <c r="O1647" s="70" t="str">
        <f>IF(OR(N1647="",NOT(ISNUMBER(M1647))),"",ROUND(N1647*M1647,2))</f>
        <v/>
      </c>
      <c r="P1647" s="70" t="str">
        <f>IF(N1647="","",N1647+N(O1647))</f>
        <v/>
      </c>
      <c r="Q1647" s="64" t="n"/>
      <c r="R1647" s="73" t="str">
        <f>IF(N(Q1647)&gt;0,Q1647,IF(OR(N(B1647)=0,ISNA(MATCH($C1647,sup_code,0))),"",IF(ISNUMBER(INDEX(sup_delay,MATCH($C1647,sup_code,0))),B1647+INDEX(sup_delay,MATCH($C1647,sup_code,0)),"")))</f>
        <v/>
      </c>
      <c r="S1647" s="64" t="n"/>
      <c r="T1647" s="68" t="n"/>
      <c r="U1647" s="64" t="n"/>
      <c r="V1647" s="65" t="n"/>
      <c r="W1647" s="74" t="str">
        <f>IF(AND(A1647="",E1647=""),"",IF(V1647="Oui",0,MAX(0,ROUND(N(H1647)-N(T1647),6))))</f>
        <v/>
      </c>
      <c r="X1647" s="67" t="str">
        <f>IF(AND(A1647="",E1647=""),"",IF(V1647="Oui","Annulé",IF(AND(N(H1647)&gt;0,N(T1647)&gt;=N(H1647)),"Reçu",IF(N(S1647)=0,"Brouillon",IF(AND(ISNUMBER(R1647),R1647&lt;p_today),"En retard",IF(N(T1647)&gt;0,"Partiel","Envoyé"))))))</f>
        <v/>
      </c>
      <c r="Y1647" s="75" t="str">
        <f>IF(X1647="En retard",p_today-R1647,IF(AND(X1647="Reçu",ISNUMBER(R1647)),MAX(0,N(U1647)-R1647),""))</f>
        <v/>
      </c>
      <c r="Z1647" s="67" t="str">
        <f>IF(AND(A1647="",E1647=""),"",IF(A1647="","N° de bon manquant",IF(N(B1647)=0,"Date de commande manquante",IF(C1647="","Fournisseur manquant",IF(ISNA(MATCH($C1647,sup_code,0)),"Fournisseur inconnu",IF(E1647="","Article manquant",IF(ISNA(MATCH($E1647,art_ref,0)),"Article inconnu",IF(N(H1647)&lt;=0,"Quantité invalide",IF(J1647="","Prix manquant",IF(OR(N(K1647)&lt;0,N(K1647)&gt;=1),"Remise invalide",IF(M1647="","TVA manquante",IF(ISNA(MATCH(M1647,p_tva,0)),"Taux de TVA inconnu",IF(COUNTIFS(po_num,A1647,po_sup,"&lt;&gt;"&amp;C1647)&gt;0,"Fournisseur différent sur ce bon",IF(COUNTIFS(po_num,A1647,po_date,"&lt;&gt;"&amp;B1647)&gt;0,"Date différente sur ce bon",IF(COUNTIF(po_num,A1647)&gt;25,"Plus de 25 lignes sur ce bon",IF(R1647="","Date de livraison manquante",IF(R1647&lt;B1647,"Livraison avant la commande",IF(AND(N(T1647)&gt;0,N(S1647)=0),"Date d'envoi manquante",IF(N(T1647)&gt;N(H1647),"Reçu plus que commandé",IF(AND(N(T1647)&gt;0,N(U1647)=0),"Date de réception manquante",IF(AND(N(U1647)&gt;0,U1647&lt;B1647),"Réception avant la commande","OK")))))))))))))))))))))</f>
        <v/>
      </c>
      <c r="AA1647" s="66" t="str">
        <f>IF(AND(X1647="Reçu",ISNUMBER(R1647)),IF(N(U1647)&lt;=R1647,1,0),"")</f>
        <v/>
      </c>
      <c r="AB1647" s="76" t="str">
        <f>IF(OR(X1647="Envoyé",X1647="Partiel",X1647="En retard"),IF(ISNUMBER(R1647),R1647,100000)+ROW()/100000,"")</f>
        <v/>
      </c>
      <c r="AC1647" s="66" t="str">
        <f>IF(A1647="","",IF(COUNTIF($A$6:A1647,A1647)=1,1,""))</f>
        <v/>
      </c>
      <c r="AD1647" s="66" t="str">
        <f>IF(AC1647=1,COUNT($AC$6:AC1647),"")</f>
        <v/>
      </c>
      <c r="AE1647" s="66" t="str">
        <f>IFERROR(INDEX(po_num,MATCH(1642,po_seq,0))&amp;"","")</f>
        <v/>
      </c>
      <c r="AF1647" s="66" t="str">
        <f>IF(OR(A1647="",p_po=""),"",IF(A1647&amp;""=p_po,COUNTIF($A$6:A1647,A1647),""))</f>
        <v/>
      </c>
      <c r="AG1647" s="66" t="str">
        <f>IF(OR(AB1647="",A1647=""),"",IF(COUNTIFS($A$6:A1647,A1647,$AB$6:AB1647,"&gt;0")=1,1,""))</f>
        <v/>
      </c>
      <c r="AH1647" s="70" t="str">
        <f>IF(AB1647="","",ROUND(N(W1647)*N(J1647)*(1-N(K1647)),2))</f>
        <v/>
      </c>
      <c r="AI1647" s="70" t="str">
        <f>IF(OR(J1647="",N(T1647)&lt;=0,V1647="Oui"),"",ROUND(N(T1647)*J1647*(1-N(K1647)),2))</f>
        <v/>
      </c>
    </row>
    <row r="1648">
      <c r="A1648" s="63" t="n"/>
      <c r="B1648" s="64" t="n"/>
      <c r="C1648" s="65" t="n"/>
      <c r="D1648" s="66" t="str">
        <f>IF(C1648="","",IFERROR(INDEX(sup_name,MATCH($C1648,sup_code,0))&amp;"","Fournisseur inconnu"))</f>
        <v/>
      </c>
      <c r="E1648" s="63" t="n"/>
      <c r="F1648" s="66" t="str">
        <f>IF(E1648="","",IFERROR(INDEX(art_des,MATCH($E1648,art_ref,0))&amp;"","Article inconnu"))</f>
        <v/>
      </c>
      <c r="G1648" s="67" t="str">
        <f>IF(E1648="","",IFERROR(INDEX(art_unit,MATCH($E1648,art_ref,0))&amp;"",""))</f>
        <v/>
      </c>
      <c r="H1648" s="68" t="n"/>
      <c r="I1648" s="69" t="n"/>
      <c r="J1648" s="70" t="str">
        <f>IF(E1648="","",IF(ISNUMBER(I1648),I1648,IFERROR(IF(ISNUMBER(INDEX(art_price,MATCH($E1648,art_ref,0))),INDEX(art_price,MATCH($E1648,art_ref,0)),""),"")))</f>
        <v/>
      </c>
      <c r="K1648" s="71" t="n"/>
      <c r="L1648" s="72" t="n"/>
      <c r="M1648" s="72" t="str">
        <f>IF(E1648="","",IF(L1648&lt;&gt;"",L1648,IFERROR(IF(ISNUMBER(INDEX(art_tva,MATCH($E1648,art_ref,0))),INDEX(art_tva,MATCH($E1648,art_ref,0)),""),"")))</f>
        <v/>
      </c>
      <c r="N1648" s="70" t="str">
        <f>IF(OR(E1648="",J1648=""),"",ROUND(N(H1648)*J1648*(1-N(K1648)),2))</f>
        <v/>
      </c>
      <c r="O1648" s="70" t="str">
        <f>IF(OR(N1648="",NOT(ISNUMBER(M1648))),"",ROUND(N1648*M1648,2))</f>
        <v/>
      </c>
      <c r="P1648" s="70" t="str">
        <f>IF(N1648="","",N1648+N(O1648))</f>
        <v/>
      </c>
      <c r="Q1648" s="64" t="n"/>
      <c r="R1648" s="73" t="str">
        <f>IF(N(Q1648)&gt;0,Q1648,IF(OR(N(B1648)=0,ISNA(MATCH($C1648,sup_code,0))),"",IF(ISNUMBER(INDEX(sup_delay,MATCH($C1648,sup_code,0))),B1648+INDEX(sup_delay,MATCH($C1648,sup_code,0)),"")))</f>
        <v/>
      </c>
      <c r="S1648" s="64" t="n"/>
      <c r="T1648" s="68" t="n"/>
      <c r="U1648" s="64" t="n"/>
      <c r="V1648" s="65" t="n"/>
      <c r="W1648" s="74" t="str">
        <f>IF(AND(A1648="",E1648=""),"",IF(V1648="Oui",0,MAX(0,ROUND(N(H1648)-N(T1648),6))))</f>
        <v/>
      </c>
      <c r="X1648" s="67" t="str">
        <f>IF(AND(A1648="",E1648=""),"",IF(V1648="Oui","Annulé",IF(AND(N(H1648)&gt;0,N(T1648)&gt;=N(H1648)),"Reçu",IF(N(S1648)=0,"Brouillon",IF(AND(ISNUMBER(R1648),R1648&lt;p_today),"En retard",IF(N(T1648)&gt;0,"Partiel","Envoyé"))))))</f>
        <v/>
      </c>
      <c r="Y1648" s="75" t="str">
        <f>IF(X1648="En retard",p_today-R1648,IF(AND(X1648="Reçu",ISNUMBER(R1648)),MAX(0,N(U1648)-R1648),""))</f>
        <v/>
      </c>
      <c r="Z1648" s="67" t="str">
        <f>IF(AND(A1648="",E1648=""),"",IF(A1648="","N° de bon manquant",IF(N(B1648)=0,"Date de commande manquante",IF(C1648="","Fournisseur manquant",IF(ISNA(MATCH($C1648,sup_code,0)),"Fournisseur inconnu",IF(E1648="","Article manquant",IF(ISNA(MATCH($E1648,art_ref,0)),"Article inconnu",IF(N(H1648)&lt;=0,"Quantité invalide",IF(J1648="","Prix manquant",IF(OR(N(K1648)&lt;0,N(K1648)&gt;=1),"Remise invalide",IF(M1648="","TVA manquante",IF(ISNA(MATCH(M1648,p_tva,0)),"Taux de TVA inconnu",IF(COUNTIFS(po_num,A1648,po_sup,"&lt;&gt;"&amp;C1648)&gt;0,"Fournisseur différent sur ce bon",IF(COUNTIFS(po_num,A1648,po_date,"&lt;&gt;"&amp;B1648)&gt;0,"Date différente sur ce bon",IF(COUNTIF(po_num,A1648)&gt;25,"Plus de 25 lignes sur ce bon",IF(R1648="","Date de livraison manquante",IF(R1648&lt;B1648,"Livraison avant la commande",IF(AND(N(T1648)&gt;0,N(S1648)=0),"Date d'envoi manquante",IF(N(T1648)&gt;N(H1648),"Reçu plus que commandé",IF(AND(N(T1648)&gt;0,N(U1648)=0),"Date de réception manquante",IF(AND(N(U1648)&gt;0,U1648&lt;B1648),"Réception avant la commande","OK")))))))))))))))))))))</f>
        <v/>
      </c>
      <c r="AA1648" s="66" t="str">
        <f>IF(AND(X1648="Reçu",ISNUMBER(R1648)),IF(N(U1648)&lt;=R1648,1,0),"")</f>
        <v/>
      </c>
      <c r="AB1648" s="76" t="str">
        <f>IF(OR(X1648="Envoyé",X1648="Partiel",X1648="En retard"),IF(ISNUMBER(R1648),R1648,100000)+ROW()/100000,"")</f>
        <v/>
      </c>
      <c r="AC1648" s="66" t="str">
        <f>IF(A1648="","",IF(COUNTIF($A$6:A1648,A1648)=1,1,""))</f>
        <v/>
      </c>
      <c r="AD1648" s="66" t="str">
        <f>IF(AC1648=1,COUNT($AC$6:AC1648),"")</f>
        <v/>
      </c>
      <c r="AE1648" s="66" t="str">
        <f>IFERROR(INDEX(po_num,MATCH(1643,po_seq,0))&amp;"","")</f>
        <v/>
      </c>
      <c r="AF1648" s="66" t="str">
        <f>IF(OR(A1648="",p_po=""),"",IF(A1648&amp;""=p_po,COUNTIF($A$6:A1648,A1648),""))</f>
        <v/>
      </c>
      <c r="AG1648" s="66" t="str">
        <f>IF(OR(AB1648="",A1648=""),"",IF(COUNTIFS($A$6:A1648,A1648,$AB$6:AB1648,"&gt;0")=1,1,""))</f>
        <v/>
      </c>
      <c r="AH1648" s="70" t="str">
        <f>IF(AB1648="","",ROUND(N(W1648)*N(J1648)*(1-N(K1648)),2))</f>
        <v/>
      </c>
      <c r="AI1648" s="70" t="str">
        <f>IF(OR(J1648="",N(T1648)&lt;=0,V1648="Oui"),"",ROUND(N(T1648)*J1648*(1-N(K1648)),2))</f>
        <v/>
      </c>
    </row>
    <row r="1649">
      <c r="A1649" s="63" t="n"/>
      <c r="B1649" s="64" t="n"/>
      <c r="C1649" s="65" t="n"/>
      <c r="D1649" s="66" t="str">
        <f>IF(C1649="","",IFERROR(INDEX(sup_name,MATCH($C1649,sup_code,0))&amp;"","Fournisseur inconnu"))</f>
        <v/>
      </c>
      <c r="E1649" s="63" t="n"/>
      <c r="F1649" s="66" t="str">
        <f>IF(E1649="","",IFERROR(INDEX(art_des,MATCH($E1649,art_ref,0))&amp;"","Article inconnu"))</f>
        <v/>
      </c>
      <c r="G1649" s="67" t="str">
        <f>IF(E1649="","",IFERROR(INDEX(art_unit,MATCH($E1649,art_ref,0))&amp;"",""))</f>
        <v/>
      </c>
      <c r="H1649" s="68" t="n"/>
      <c r="I1649" s="69" t="n"/>
      <c r="J1649" s="70" t="str">
        <f>IF(E1649="","",IF(ISNUMBER(I1649),I1649,IFERROR(IF(ISNUMBER(INDEX(art_price,MATCH($E1649,art_ref,0))),INDEX(art_price,MATCH($E1649,art_ref,0)),""),"")))</f>
        <v/>
      </c>
      <c r="K1649" s="71" t="n"/>
      <c r="L1649" s="72" t="n"/>
      <c r="M1649" s="72" t="str">
        <f>IF(E1649="","",IF(L1649&lt;&gt;"",L1649,IFERROR(IF(ISNUMBER(INDEX(art_tva,MATCH($E1649,art_ref,0))),INDEX(art_tva,MATCH($E1649,art_ref,0)),""),"")))</f>
        <v/>
      </c>
      <c r="N1649" s="70" t="str">
        <f>IF(OR(E1649="",J1649=""),"",ROUND(N(H1649)*J1649*(1-N(K1649)),2))</f>
        <v/>
      </c>
      <c r="O1649" s="70" t="str">
        <f>IF(OR(N1649="",NOT(ISNUMBER(M1649))),"",ROUND(N1649*M1649,2))</f>
        <v/>
      </c>
      <c r="P1649" s="70" t="str">
        <f>IF(N1649="","",N1649+N(O1649))</f>
        <v/>
      </c>
      <c r="Q1649" s="64" t="n"/>
      <c r="R1649" s="73" t="str">
        <f>IF(N(Q1649)&gt;0,Q1649,IF(OR(N(B1649)=0,ISNA(MATCH($C1649,sup_code,0))),"",IF(ISNUMBER(INDEX(sup_delay,MATCH($C1649,sup_code,0))),B1649+INDEX(sup_delay,MATCH($C1649,sup_code,0)),"")))</f>
        <v/>
      </c>
      <c r="S1649" s="64" t="n"/>
      <c r="T1649" s="68" t="n"/>
      <c r="U1649" s="64" t="n"/>
      <c r="V1649" s="65" t="n"/>
      <c r="W1649" s="74" t="str">
        <f>IF(AND(A1649="",E1649=""),"",IF(V1649="Oui",0,MAX(0,ROUND(N(H1649)-N(T1649),6))))</f>
        <v/>
      </c>
      <c r="X1649" s="67" t="str">
        <f>IF(AND(A1649="",E1649=""),"",IF(V1649="Oui","Annulé",IF(AND(N(H1649)&gt;0,N(T1649)&gt;=N(H1649)),"Reçu",IF(N(S1649)=0,"Brouillon",IF(AND(ISNUMBER(R1649),R1649&lt;p_today),"En retard",IF(N(T1649)&gt;0,"Partiel","Envoyé"))))))</f>
        <v/>
      </c>
      <c r="Y1649" s="75" t="str">
        <f>IF(X1649="En retard",p_today-R1649,IF(AND(X1649="Reçu",ISNUMBER(R1649)),MAX(0,N(U1649)-R1649),""))</f>
        <v/>
      </c>
      <c r="Z1649" s="67" t="str">
        <f>IF(AND(A1649="",E1649=""),"",IF(A1649="","N° de bon manquant",IF(N(B1649)=0,"Date de commande manquante",IF(C1649="","Fournisseur manquant",IF(ISNA(MATCH($C1649,sup_code,0)),"Fournisseur inconnu",IF(E1649="","Article manquant",IF(ISNA(MATCH($E1649,art_ref,0)),"Article inconnu",IF(N(H1649)&lt;=0,"Quantité invalide",IF(J1649="","Prix manquant",IF(OR(N(K1649)&lt;0,N(K1649)&gt;=1),"Remise invalide",IF(M1649="","TVA manquante",IF(ISNA(MATCH(M1649,p_tva,0)),"Taux de TVA inconnu",IF(COUNTIFS(po_num,A1649,po_sup,"&lt;&gt;"&amp;C1649)&gt;0,"Fournisseur différent sur ce bon",IF(COUNTIFS(po_num,A1649,po_date,"&lt;&gt;"&amp;B1649)&gt;0,"Date différente sur ce bon",IF(COUNTIF(po_num,A1649)&gt;25,"Plus de 25 lignes sur ce bon",IF(R1649="","Date de livraison manquante",IF(R1649&lt;B1649,"Livraison avant la commande",IF(AND(N(T1649)&gt;0,N(S1649)=0),"Date d'envoi manquante",IF(N(T1649)&gt;N(H1649),"Reçu plus que commandé",IF(AND(N(T1649)&gt;0,N(U1649)=0),"Date de réception manquante",IF(AND(N(U1649)&gt;0,U1649&lt;B1649),"Réception avant la commande","OK")))))))))))))))))))))</f>
        <v/>
      </c>
      <c r="AA1649" s="66" t="str">
        <f>IF(AND(X1649="Reçu",ISNUMBER(R1649)),IF(N(U1649)&lt;=R1649,1,0),"")</f>
        <v/>
      </c>
      <c r="AB1649" s="76" t="str">
        <f>IF(OR(X1649="Envoyé",X1649="Partiel",X1649="En retard"),IF(ISNUMBER(R1649),R1649,100000)+ROW()/100000,"")</f>
        <v/>
      </c>
      <c r="AC1649" s="66" t="str">
        <f>IF(A1649="","",IF(COUNTIF($A$6:A1649,A1649)=1,1,""))</f>
        <v/>
      </c>
      <c r="AD1649" s="66" t="str">
        <f>IF(AC1649=1,COUNT($AC$6:AC1649),"")</f>
        <v/>
      </c>
      <c r="AE1649" s="66" t="str">
        <f>IFERROR(INDEX(po_num,MATCH(1644,po_seq,0))&amp;"","")</f>
        <v/>
      </c>
      <c r="AF1649" s="66" t="str">
        <f>IF(OR(A1649="",p_po=""),"",IF(A1649&amp;""=p_po,COUNTIF($A$6:A1649,A1649),""))</f>
        <v/>
      </c>
      <c r="AG1649" s="66" t="str">
        <f>IF(OR(AB1649="",A1649=""),"",IF(COUNTIFS($A$6:A1649,A1649,$AB$6:AB1649,"&gt;0")=1,1,""))</f>
        <v/>
      </c>
      <c r="AH1649" s="70" t="str">
        <f>IF(AB1649="","",ROUND(N(W1649)*N(J1649)*(1-N(K1649)),2))</f>
        <v/>
      </c>
      <c r="AI1649" s="70" t="str">
        <f>IF(OR(J1649="",N(T1649)&lt;=0,V1649="Oui"),"",ROUND(N(T1649)*J1649*(1-N(K1649)),2))</f>
        <v/>
      </c>
    </row>
    <row r="1650">
      <c r="A1650" s="63" t="n"/>
      <c r="B1650" s="64" t="n"/>
      <c r="C1650" s="65" t="n"/>
      <c r="D1650" s="66" t="str">
        <f>IF(C1650="","",IFERROR(INDEX(sup_name,MATCH($C1650,sup_code,0))&amp;"","Fournisseur inconnu"))</f>
        <v/>
      </c>
      <c r="E1650" s="63" t="n"/>
      <c r="F1650" s="66" t="str">
        <f>IF(E1650="","",IFERROR(INDEX(art_des,MATCH($E1650,art_ref,0))&amp;"","Article inconnu"))</f>
        <v/>
      </c>
      <c r="G1650" s="67" t="str">
        <f>IF(E1650="","",IFERROR(INDEX(art_unit,MATCH($E1650,art_ref,0))&amp;"",""))</f>
        <v/>
      </c>
      <c r="H1650" s="68" t="n"/>
      <c r="I1650" s="69" t="n"/>
      <c r="J1650" s="70" t="str">
        <f>IF(E1650="","",IF(ISNUMBER(I1650),I1650,IFERROR(IF(ISNUMBER(INDEX(art_price,MATCH($E1650,art_ref,0))),INDEX(art_price,MATCH($E1650,art_ref,0)),""),"")))</f>
        <v/>
      </c>
      <c r="K1650" s="71" t="n"/>
      <c r="L1650" s="72" t="n"/>
      <c r="M1650" s="72" t="str">
        <f>IF(E1650="","",IF(L1650&lt;&gt;"",L1650,IFERROR(IF(ISNUMBER(INDEX(art_tva,MATCH($E1650,art_ref,0))),INDEX(art_tva,MATCH($E1650,art_ref,0)),""),"")))</f>
        <v/>
      </c>
      <c r="N1650" s="70" t="str">
        <f>IF(OR(E1650="",J1650=""),"",ROUND(N(H1650)*J1650*(1-N(K1650)),2))</f>
        <v/>
      </c>
      <c r="O1650" s="70" t="str">
        <f>IF(OR(N1650="",NOT(ISNUMBER(M1650))),"",ROUND(N1650*M1650,2))</f>
        <v/>
      </c>
      <c r="P1650" s="70" t="str">
        <f>IF(N1650="","",N1650+N(O1650))</f>
        <v/>
      </c>
      <c r="Q1650" s="64" t="n"/>
      <c r="R1650" s="73" t="str">
        <f>IF(N(Q1650)&gt;0,Q1650,IF(OR(N(B1650)=0,ISNA(MATCH($C1650,sup_code,0))),"",IF(ISNUMBER(INDEX(sup_delay,MATCH($C1650,sup_code,0))),B1650+INDEX(sup_delay,MATCH($C1650,sup_code,0)),"")))</f>
        <v/>
      </c>
      <c r="S1650" s="64" t="n"/>
      <c r="T1650" s="68" t="n"/>
      <c r="U1650" s="64" t="n"/>
      <c r="V1650" s="65" t="n"/>
      <c r="W1650" s="74" t="str">
        <f>IF(AND(A1650="",E1650=""),"",IF(V1650="Oui",0,MAX(0,ROUND(N(H1650)-N(T1650),6))))</f>
        <v/>
      </c>
      <c r="X1650" s="67" t="str">
        <f>IF(AND(A1650="",E1650=""),"",IF(V1650="Oui","Annulé",IF(AND(N(H1650)&gt;0,N(T1650)&gt;=N(H1650)),"Reçu",IF(N(S1650)=0,"Brouillon",IF(AND(ISNUMBER(R1650),R1650&lt;p_today),"En retard",IF(N(T1650)&gt;0,"Partiel","Envoyé"))))))</f>
        <v/>
      </c>
      <c r="Y1650" s="75" t="str">
        <f>IF(X1650="En retard",p_today-R1650,IF(AND(X1650="Reçu",ISNUMBER(R1650)),MAX(0,N(U1650)-R1650),""))</f>
        <v/>
      </c>
      <c r="Z1650" s="67" t="str">
        <f>IF(AND(A1650="",E1650=""),"",IF(A1650="","N° de bon manquant",IF(N(B1650)=0,"Date de commande manquante",IF(C1650="","Fournisseur manquant",IF(ISNA(MATCH($C1650,sup_code,0)),"Fournisseur inconnu",IF(E1650="","Article manquant",IF(ISNA(MATCH($E1650,art_ref,0)),"Article inconnu",IF(N(H1650)&lt;=0,"Quantité invalide",IF(J1650="","Prix manquant",IF(OR(N(K1650)&lt;0,N(K1650)&gt;=1),"Remise invalide",IF(M1650="","TVA manquante",IF(ISNA(MATCH(M1650,p_tva,0)),"Taux de TVA inconnu",IF(COUNTIFS(po_num,A1650,po_sup,"&lt;&gt;"&amp;C1650)&gt;0,"Fournisseur différent sur ce bon",IF(COUNTIFS(po_num,A1650,po_date,"&lt;&gt;"&amp;B1650)&gt;0,"Date différente sur ce bon",IF(COUNTIF(po_num,A1650)&gt;25,"Plus de 25 lignes sur ce bon",IF(R1650="","Date de livraison manquante",IF(R1650&lt;B1650,"Livraison avant la commande",IF(AND(N(T1650)&gt;0,N(S1650)=0),"Date d'envoi manquante",IF(N(T1650)&gt;N(H1650),"Reçu plus que commandé",IF(AND(N(T1650)&gt;0,N(U1650)=0),"Date de réception manquante",IF(AND(N(U1650)&gt;0,U1650&lt;B1650),"Réception avant la commande","OK")))))))))))))))))))))</f>
        <v/>
      </c>
      <c r="AA1650" s="66" t="str">
        <f>IF(AND(X1650="Reçu",ISNUMBER(R1650)),IF(N(U1650)&lt;=R1650,1,0),"")</f>
        <v/>
      </c>
      <c r="AB1650" s="76" t="str">
        <f>IF(OR(X1650="Envoyé",X1650="Partiel",X1650="En retard"),IF(ISNUMBER(R1650),R1650,100000)+ROW()/100000,"")</f>
        <v/>
      </c>
      <c r="AC1650" s="66" t="str">
        <f>IF(A1650="","",IF(COUNTIF($A$6:A1650,A1650)=1,1,""))</f>
        <v/>
      </c>
      <c r="AD1650" s="66" t="str">
        <f>IF(AC1650=1,COUNT($AC$6:AC1650),"")</f>
        <v/>
      </c>
      <c r="AE1650" s="66" t="str">
        <f>IFERROR(INDEX(po_num,MATCH(1645,po_seq,0))&amp;"","")</f>
        <v/>
      </c>
      <c r="AF1650" s="66" t="str">
        <f>IF(OR(A1650="",p_po=""),"",IF(A1650&amp;""=p_po,COUNTIF($A$6:A1650,A1650),""))</f>
        <v/>
      </c>
      <c r="AG1650" s="66" t="str">
        <f>IF(OR(AB1650="",A1650=""),"",IF(COUNTIFS($A$6:A1650,A1650,$AB$6:AB1650,"&gt;0")=1,1,""))</f>
        <v/>
      </c>
      <c r="AH1650" s="70" t="str">
        <f>IF(AB1650="","",ROUND(N(W1650)*N(J1650)*(1-N(K1650)),2))</f>
        <v/>
      </c>
      <c r="AI1650" s="70" t="str">
        <f>IF(OR(J1650="",N(T1650)&lt;=0,V1650="Oui"),"",ROUND(N(T1650)*J1650*(1-N(K1650)),2))</f>
        <v/>
      </c>
    </row>
    <row r="1651">
      <c r="A1651" s="63" t="n"/>
      <c r="B1651" s="64" t="n"/>
      <c r="C1651" s="65" t="n"/>
      <c r="D1651" s="66" t="str">
        <f>IF(C1651="","",IFERROR(INDEX(sup_name,MATCH($C1651,sup_code,0))&amp;"","Fournisseur inconnu"))</f>
        <v/>
      </c>
      <c r="E1651" s="63" t="n"/>
      <c r="F1651" s="66" t="str">
        <f>IF(E1651="","",IFERROR(INDEX(art_des,MATCH($E1651,art_ref,0))&amp;"","Article inconnu"))</f>
        <v/>
      </c>
      <c r="G1651" s="67" t="str">
        <f>IF(E1651="","",IFERROR(INDEX(art_unit,MATCH($E1651,art_ref,0))&amp;"",""))</f>
        <v/>
      </c>
      <c r="H1651" s="68" t="n"/>
      <c r="I1651" s="69" t="n"/>
      <c r="J1651" s="70" t="str">
        <f>IF(E1651="","",IF(ISNUMBER(I1651),I1651,IFERROR(IF(ISNUMBER(INDEX(art_price,MATCH($E1651,art_ref,0))),INDEX(art_price,MATCH($E1651,art_ref,0)),""),"")))</f>
        <v/>
      </c>
      <c r="K1651" s="71" t="n"/>
      <c r="L1651" s="72" t="n"/>
      <c r="M1651" s="72" t="str">
        <f>IF(E1651="","",IF(L1651&lt;&gt;"",L1651,IFERROR(IF(ISNUMBER(INDEX(art_tva,MATCH($E1651,art_ref,0))),INDEX(art_tva,MATCH($E1651,art_ref,0)),""),"")))</f>
        <v/>
      </c>
      <c r="N1651" s="70" t="str">
        <f>IF(OR(E1651="",J1651=""),"",ROUND(N(H1651)*J1651*(1-N(K1651)),2))</f>
        <v/>
      </c>
      <c r="O1651" s="70" t="str">
        <f>IF(OR(N1651="",NOT(ISNUMBER(M1651))),"",ROUND(N1651*M1651,2))</f>
        <v/>
      </c>
      <c r="P1651" s="70" t="str">
        <f>IF(N1651="","",N1651+N(O1651))</f>
        <v/>
      </c>
      <c r="Q1651" s="64" t="n"/>
      <c r="R1651" s="73" t="str">
        <f>IF(N(Q1651)&gt;0,Q1651,IF(OR(N(B1651)=0,ISNA(MATCH($C1651,sup_code,0))),"",IF(ISNUMBER(INDEX(sup_delay,MATCH($C1651,sup_code,0))),B1651+INDEX(sup_delay,MATCH($C1651,sup_code,0)),"")))</f>
        <v/>
      </c>
      <c r="S1651" s="64" t="n"/>
      <c r="T1651" s="68" t="n"/>
      <c r="U1651" s="64" t="n"/>
      <c r="V1651" s="65" t="n"/>
      <c r="W1651" s="74" t="str">
        <f>IF(AND(A1651="",E1651=""),"",IF(V1651="Oui",0,MAX(0,ROUND(N(H1651)-N(T1651),6))))</f>
        <v/>
      </c>
      <c r="X1651" s="67" t="str">
        <f>IF(AND(A1651="",E1651=""),"",IF(V1651="Oui","Annulé",IF(AND(N(H1651)&gt;0,N(T1651)&gt;=N(H1651)),"Reçu",IF(N(S1651)=0,"Brouillon",IF(AND(ISNUMBER(R1651),R1651&lt;p_today),"En retard",IF(N(T1651)&gt;0,"Partiel","Envoyé"))))))</f>
        <v/>
      </c>
      <c r="Y1651" s="75" t="str">
        <f>IF(X1651="En retard",p_today-R1651,IF(AND(X1651="Reçu",ISNUMBER(R1651)),MAX(0,N(U1651)-R1651),""))</f>
        <v/>
      </c>
      <c r="Z1651" s="67" t="str">
        <f>IF(AND(A1651="",E1651=""),"",IF(A1651="","N° de bon manquant",IF(N(B1651)=0,"Date de commande manquante",IF(C1651="","Fournisseur manquant",IF(ISNA(MATCH($C1651,sup_code,0)),"Fournisseur inconnu",IF(E1651="","Article manquant",IF(ISNA(MATCH($E1651,art_ref,0)),"Article inconnu",IF(N(H1651)&lt;=0,"Quantité invalide",IF(J1651="","Prix manquant",IF(OR(N(K1651)&lt;0,N(K1651)&gt;=1),"Remise invalide",IF(M1651="","TVA manquante",IF(ISNA(MATCH(M1651,p_tva,0)),"Taux de TVA inconnu",IF(COUNTIFS(po_num,A1651,po_sup,"&lt;&gt;"&amp;C1651)&gt;0,"Fournisseur différent sur ce bon",IF(COUNTIFS(po_num,A1651,po_date,"&lt;&gt;"&amp;B1651)&gt;0,"Date différente sur ce bon",IF(COUNTIF(po_num,A1651)&gt;25,"Plus de 25 lignes sur ce bon",IF(R1651="","Date de livraison manquante",IF(R1651&lt;B1651,"Livraison avant la commande",IF(AND(N(T1651)&gt;0,N(S1651)=0),"Date d'envoi manquante",IF(N(T1651)&gt;N(H1651),"Reçu plus que commandé",IF(AND(N(T1651)&gt;0,N(U1651)=0),"Date de réception manquante",IF(AND(N(U1651)&gt;0,U1651&lt;B1651),"Réception avant la commande","OK")))))))))))))))))))))</f>
        <v/>
      </c>
      <c r="AA1651" s="66" t="str">
        <f>IF(AND(X1651="Reçu",ISNUMBER(R1651)),IF(N(U1651)&lt;=R1651,1,0),"")</f>
        <v/>
      </c>
      <c r="AB1651" s="76" t="str">
        <f>IF(OR(X1651="Envoyé",X1651="Partiel",X1651="En retard"),IF(ISNUMBER(R1651),R1651,100000)+ROW()/100000,"")</f>
        <v/>
      </c>
      <c r="AC1651" s="66" t="str">
        <f>IF(A1651="","",IF(COUNTIF($A$6:A1651,A1651)=1,1,""))</f>
        <v/>
      </c>
      <c r="AD1651" s="66" t="str">
        <f>IF(AC1651=1,COUNT($AC$6:AC1651),"")</f>
        <v/>
      </c>
      <c r="AE1651" s="66" t="str">
        <f>IFERROR(INDEX(po_num,MATCH(1646,po_seq,0))&amp;"","")</f>
        <v/>
      </c>
      <c r="AF1651" s="66" t="str">
        <f>IF(OR(A1651="",p_po=""),"",IF(A1651&amp;""=p_po,COUNTIF($A$6:A1651,A1651),""))</f>
        <v/>
      </c>
      <c r="AG1651" s="66" t="str">
        <f>IF(OR(AB1651="",A1651=""),"",IF(COUNTIFS($A$6:A1651,A1651,$AB$6:AB1651,"&gt;0")=1,1,""))</f>
        <v/>
      </c>
      <c r="AH1651" s="70" t="str">
        <f>IF(AB1651="","",ROUND(N(W1651)*N(J1651)*(1-N(K1651)),2))</f>
        <v/>
      </c>
      <c r="AI1651" s="70" t="str">
        <f>IF(OR(J1651="",N(T1651)&lt;=0,V1651="Oui"),"",ROUND(N(T1651)*J1651*(1-N(K1651)),2))</f>
        <v/>
      </c>
    </row>
    <row r="1652">
      <c r="A1652" s="63" t="n"/>
      <c r="B1652" s="64" t="n"/>
      <c r="C1652" s="65" t="n"/>
      <c r="D1652" s="66" t="str">
        <f>IF(C1652="","",IFERROR(INDEX(sup_name,MATCH($C1652,sup_code,0))&amp;"","Fournisseur inconnu"))</f>
        <v/>
      </c>
      <c r="E1652" s="63" t="n"/>
      <c r="F1652" s="66" t="str">
        <f>IF(E1652="","",IFERROR(INDEX(art_des,MATCH($E1652,art_ref,0))&amp;"","Article inconnu"))</f>
        <v/>
      </c>
      <c r="G1652" s="67" t="str">
        <f>IF(E1652="","",IFERROR(INDEX(art_unit,MATCH($E1652,art_ref,0))&amp;"",""))</f>
        <v/>
      </c>
      <c r="H1652" s="68" t="n"/>
      <c r="I1652" s="69" t="n"/>
      <c r="J1652" s="70" t="str">
        <f>IF(E1652="","",IF(ISNUMBER(I1652),I1652,IFERROR(IF(ISNUMBER(INDEX(art_price,MATCH($E1652,art_ref,0))),INDEX(art_price,MATCH($E1652,art_ref,0)),""),"")))</f>
        <v/>
      </c>
      <c r="K1652" s="71" t="n"/>
      <c r="L1652" s="72" t="n"/>
      <c r="M1652" s="72" t="str">
        <f>IF(E1652="","",IF(L1652&lt;&gt;"",L1652,IFERROR(IF(ISNUMBER(INDEX(art_tva,MATCH($E1652,art_ref,0))),INDEX(art_tva,MATCH($E1652,art_ref,0)),""),"")))</f>
        <v/>
      </c>
      <c r="N1652" s="70" t="str">
        <f>IF(OR(E1652="",J1652=""),"",ROUND(N(H1652)*J1652*(1-N(K1652)),2))</f>
        <v/>
      </c>
      <c r="O1652" s="70" t="str">
        <f>IF(OR(N1652="",NOT(ISNUMBER(M1652))),"",ROUND(N1652*M1652,2))</f>
        <v/>
      </c>
      <c r="P1652" s="70" t="str">
        <f>IF(N1652="","",N1652+N(O1652))</f>
        <v/>
      </c>
      <c r="Q1652" s="64" t="n"/>
      <c r="R1652" s="73" t="str">
        <f>IF(N(Q1652)&gt;0,Q1652,IF(OR(N(B1652)=0,ISNA(MATCH($C1652,sup_code,0))),"",IF(ISNUMBER(INDEX(sup_delay,MATCH($C1652,sup_code,0))),B1652+INDEX(sup_delay,MATCH($C1652,sup_code,0)),"")))</f>
        <v/>
      </c>
      <c r="S1652" s="64" t="n"/>
      <c r="T1652" s="68" t="n"/>
      <c r="U1652" s="64" t="n"/>
      <c r="V1652" s="65" t="n"/>
      <c r="W1652" s="74" t="str">
        <f>IF(AND(A1652="",E1652=""),"",IF(V1652="Oui",0,MAX(0,ROUND(N(H1652)-N(T1652),6))))</f>
        <v/>
      </c>
      <c r="X1652" s="67" t="str">
        <f>IF(AND(A1652="",E1652=""),"",IF(V1652="Oui","Annulé",IF(AND(N(H1652)&gt;0,N(T1652)&gt;=N(H1652)),"Reçu",IF(N(S1652)=0,"Brouillon",IF(AND(ISNUMBER(R1652),R1652&lt;p_today),"En retard",IF(N(T1652)&gt;0,"Partiel","Envoyé"))))))</f>
        <v/>
      </c>
      <c r="Y1652" s="75" t="str">
        <f>IF(X1652="En retard",p_today-R1652,IF(AND(X1652="Reçu",ISNUMBER(R1652)),MAX(0,N(U1652)-R1652),""))</f>
        <v/>
      </c>
      <c r="Z1652" s="67" t="str">
        <f>IF(AND(A1652="",E1652=""),"",IF(A1652="","N° de bon manquant",IF(N(B1652)=0,"Date de commande manquante",IF(C1652="","Fournisseur manquant",IF(ISNA(MATCH($C1652,sup_code,0)),"Fournisseur inconnu",IF(E1652="","Article manquant",IF(ISNA(MATCH($E1652,art_ref,0)),"Article inconnu",IF(N(H1652)&lt;=0,"Quantité invalide",IF(J1652="","Prix manquant",IF(OR(N(K1652)&lt;0,N(K1652)&gt;=1),"Remise invalide",IF(M1652="","TVA manquante",IF(ISNA(MATCH(M1652,p_tva,0)),"Taux de TVA inconnu",IF(COUNTIFS(po_num,A1652,po_sup,"&lt;&gt;"&amp;C1652)&gt;0,"Fournisseur différent sur ce bon",IF(COUNTIFS(po_num,A1652,po_date,"&lt;&gt;"&amp;B1652)&gt;0,"Date différente sur ce bon",IF(COUNTIF(po_num,A1652)&gt;25,"Plus de 25 lignes sur ce bon",IF(R1652="","Date de livraison manquante",IF(R1652&lt;B1652,"Livraison avant la commande",IF(AND(N(T1652)&gt;0,N(S1652)=0),"Date d'envoi manquante",IF(N(T1652)&gt;N(H1652),"Reçu plus que commandé",IF(AND(N(T1652)&gt;0,N(U1652)=0),"Date de réception manquante",IF(AND(N(U1652)&gt;0,U1652&lt;B1652),"Réception avant la commande","OK")))))))))))))))))))))</f>
        <v/>
      </c>
      <c r="AA1652" s="66" t="str">
        <f>IF(AND(X1652="Reçu",ISNUMBER(R1652)),IF(N(U1652)&lt;=R1652,1,0),"")</f>
        <v/>
      </c>
      <c r="AB1652" s="76" t="str">
        <f>IF(OR(X1652="Envoyé",X1652="Partiel",X1652="En retard"),IF(ISNUMBER(R1652),R1652,100000)+ROW()/100000,"")</f>
        <v/>
      </c>
      <c r="AC1652" s="66" t="str">
        <f>IF(A1652="","",IF(COUNTIF($A$6:A1652,A1652)=1,1,""))</f>
        <v/>
      </c>
      <c r="AD1652" s="66" t="str">
        <f>IF(AC1652=1,COUNT($AC$6:AC1652),"")</f>
        <v/>
      </c>
      <c r="AE1652" s="66" t="str">
        <f>IFERROR(INDEX(po_num,MATCH(1647,po_seq,0))&amp;"","")</f>
        <v/>
      </c>
      <c r="AF1652" s="66" t="str">
        <f>IF(OR(A1652="",p_po=""),"",IF(A1652&amp;""=p_po,COUNTIF($A$6:A1652,A1652),""))</f>
        <v/>
      </c>
      <c r="AG1652" s="66" t="str">
        <f>IF(OR(AB1652="",A1652=""),"",IF(COUNTIFS($A$6:A1652,A1652,$AB$6:AB1652,"&gt;0")=1,1,""))</f>
        <v/>
      </c>
      <c r="AH1652" s="70" t="str">
        <f>IF(AB1652="","",ROUND(N(W1652)*N(J1652)*(1-N(K1652)),2))</f>
        <v/>
      </c>
      <c r="AI1652" s="70" t="str">
        <f>IF(OR(J1652="",N(T1652)&lt;=0,V1652="Oui"),"",ROUND(N(T1652)*J1652*(1-N(K1652)),2))</f>
        <v/>
      </c>
    </row>
    <row r="1653">
      <c r="A1653" s="63" t="n"/>
      <c r="B1653" s="64" t="n"/>
      <c r="C1653" s="65" t="n"/>
      <c r="D1653" s="66" t="str">
        <f>IF(C1653="","",IFERROR(INDEX(sup_name,MATCH($C1653,sup_code,0))&amp;"","Fournisseur inconnu"))</f>
        <v/>
      </c>
      <c r="E1653" s="63" t="n"/>
      <c r="F1653" s="66" t="str">
        <f>IF(E1653="","",IFERROR(INDEX(art_des,MATCH($E1653,art_ref,0))&amp;"","Article inconnu"))</f>
        <v/>
      </c>
      <c r="G1653" s="67" t="str">
        <f>IF(E1653="","",IFERROR(INDEX(art_unit,MATCH($E1653,art_ref,0))&amp;"",""))</f>
        <v/>
      </c>
      <c r="H1653" s="68" t="n"/>
      <c r="I1653" s="69" t="n"/>
      <c r="J1653" s="70" t="str">
        <f>IF(E1653="","",IF(ISNUMBER(I1653),I1653,IFERROR(IF(ISNUMBER(INDEX(art_price,MATCH($E1653,art_ref,0))),INDEX(art_price,MATCH($E1653,art_ref,0)),""),"")))</f>
        <v/>
      </c>
      <c r="K1653" s="71" t="n"/>
      <c r="L1653" s="72" t="n"/>
      <c r="M1653" s="72" t="str">
        <f>IF(E1653="","",IF(L1653&lt;&gt;"",L1653,IFERROR(IF(ISNUMBER(INDEX(art_tva,MATCH($E1653,art_ref,0))),INDEX(art_tva,MATCH($E1653,art_ref,0)),""),"")))</f>
        <v/>
      </c>
      <c r="N1653" s="70" t="str">
        <f>IF(OR(E1653="",J1653=""),"",ROUND(N(H1653)*J1653*(1-N(K1653)),2))</f>
        <v/>
      </c>
      <c r="O1653" s="70" t="str">
        <f>IF(OR(N1653="",NOT(ISNUMBER(M1653))),"",ROUND(N1653*M1653,2))</f>
        <v/>
      </c>
      <c r="P1653" s="70" t="str">
        <f>IF(N1653="","",N1653+N(O1653))</f>
        <v/>
      </c>
      <c r="Q1653" s="64" t="n"/>
      <c r="R1653" s="73" t="str">
        <f>IF(N(Q1653)&gt;0,Q1653,IF(OR(N(B1653)=0,ISNA(MATCH($C1653,sup_code,0))),"",IF(ISNUMBER(INDEX(sup_delay,MATCH($C1653,sup_code,0))),B1653+INDEX(sup_delay,MATCH($C1653,sup_code,0)),"")))</f>
        <v/>
      </c>
      <c r="S1653" s="64" t="n"/>
      <c r="T1653" s="68" t="n"/>
      <c r="U1653" s="64" t="n"/>
      <c r="V1653" s="65" t="n"/>
      <c r="W1653" s="74" t="str">
        <f>IF(AND(A1653="",E1653=""),"",IF(V1653="Oui",0,MAX(0,ROUND(N(H1653)-N(T1653),6))))</f>
        <v/>
      </c>
      <c r="X1653" s="67" t="str">
        <f>IF(AND(A1653="",E1653=""),"",IF(V1653="Oui","Annulé",IF(AND(N(H1653)&gt;0,N(T1653)&gt;=N(H1653)),"Reçu",IF(N(S1653)=0,"Brouillon",IF(AND(ISNUMBER(R1653),R1653&lt;p_today),"En retard",IF(N(T1653)&gt;0,"Partiel","Envoyé"))))))</f>
        <v/>
      </c>
      <c r="Y1653" s="75" t="str">
        <f>IF(X1653="En retard",p_today-R1653,IF(AND(X1653="Reçu",ISNUMBER(R1653)),MAX(0,N(U1653)-R1653),""))</f>
        <v/>
      </c>
      <c r="Z1653" s="67" t="str">
        <f>IF(AND(A1653="",E1653=""),"",IF(A1653="","N° de bon manquant",IF(N(B1653)=0,"Date de commande manquante",IF(C1653="","Fournisseur manquant",IF(ISNA(MATCH($C1653,sup_code,0)),"Fournisseur inconnu",IF(E1653="","Article manquant",IF(ISNA(MATCH($E1653,art_ref,0)),"Article inconnu",IF(N(H1653)&lt;=0,"Quantité invalide",IF(J1653="","Prix manquant",IF(OR(N(K1653)&lt;0,N(K1653)&gt;=1),"Remise invalide",IF(M1653="","TVA manquante",IF(ISNA(MATCH(M1653,p_tva,0)),"Taux de TVA inconnu",IF(COUNTIFS(po_num,A1653,po_sup,"&lt;&gt;"&amp;C1653)&gt;0,"Fournisseur différent sur ce bon",IF(COUNTIFS(po_num,A1653,po_date,"&lt;&gt;"&amp;B1653)&gt;0,"Date différente sur ce bon",IF(COUNTIF(po_num,A1653)&gt;25,"Plus de 25 lignes sur ce bon",IF(R1653="","Date de livraison manquante",IF(R1653&lt;B1653,"Livraison avant la commande",IF(AND(N(T1653)&gt;0,N(S1653)=0),"Date d'envoi manquante",IF(N(T1653)&gt;N(H1653),"Reçu plus que commandé",IF(AND(N(T1653)&gt;0,N(U1653)=0),"Date de réception manquante",IF(AND(N(U1653)&gt;0,U1653&lt;B1653),"Réception avant la commande","OK")))))))))))))))))))))</f>
        <v/>
      </c>
      <c r="AA1653" s="66" t="str">
        <f>IF(AND(X1653="Reçu",ISNUMBER(R1653)),IF(N(U1653)&lt;=R1653,1,0),"")</f>
        <v/>
      </c>
      <c r="AB1653" s="76" t="str">
        <f>IF(OR(X1653="Envoyé",X1653="Partiel",X1653="En retard"),IF(ISNUMBER(R1653),R1653,100000)+ROW()/100000,"")</f>
        <v/>
      </c>
      <c r="AC1653" s="66" t="str">
        <f>IF(A1653="","",IF(COUNTIF($A$6:A1653,A1653)=1,1,""))</f>
        <v/>
      </c>
      <c r="AD1653" s="66" t="str">
        <f>IF(AC1653=1,COUNT($AC$6:AC1653),"")</f>
        <v/>
      </c>
      <c r="AE1653" s="66" t="str">
        <f>IFERROR(INDEX(po_num,MATCH(1648,po_seq,0))&amp;"","")</f>
        <v/>
      </c>
      <c r="AF1653" s="66" t="str">
        <f>IF(OR(A1653="",p_po=""),"",IF(A1653&amp;""=p_po,COUNTIF($A$6:A1653,A1653),""))</f>
        <v/>
      </c>
      <c r="AG1653" s="66" t="str">
        <f>IF(OR(AB1653="",A1653=""),"",IF(COUNTIFS($A$6:A1653,A1653,$AB$6:AB1653,"&gt;0")=1,1,""))</f>
        <v/>
      </c>
      <c r="AH1653" s="70" t="str">
        <f>IF(AB1653="","",ROUND(N(W1653)*N(J1653)*(1-N(K1653)),2))</f>
        <v/>
      </c>
      <c r="AI1653" s="70" t="str">
        <f>IF(OR(J1653="",N(T1653)&lt;=0,V1653="Oui"),"",ROUND(N(T1653)*J1653*(1-N(K1653)),2))</f>
        <v/>
      </c>
    </row>
    <row r="1654">
      <c r="A1654" s="63" t="n"/>
      <c r="B1654" s="64" t="n"/>
      <c r="C1654" s="65" t="n"/>
      <c r="D1654" s="66" t="str">
        <f>IF(C1654="","",IFERROR(INDEX(sup_name,MATCH($C1654,sup_code,0))&amp;"","Fournisseur inconnu"))</f>
        <v/>
      </c>
      <c r="E1654" s="63" t="n"/>
      <c r="F1654" s="66" t="str">
        <f>IF(E1654="","",IFERROR(INDEX(art_des,MATCH($E1654,art_ref,0))&amp;"","Article inconnu"))</f>
        <v/>
      </c>
      <c r="G1654" s="67" t="str">
        <f>IF(E1654="","",IFERROR(INDEX(art_unit,MATCH($E1654,art_ref,0))&amp;"",""))</f>
        <v/>
      </c>
      <c r="H1654" s="68" t="n"/>
      <c r="I1654" s="69" t="n"/>
      <c r="J1654" s="70" t="str">
        <f>IF(E1654="","",IF(ISNUMBER(I1654),I1654,IFERROR(IF(ISNUMBER(INDEX(art_price,MATCH($E1654,art_ref,0))),INDEX(art_price,MATCH($E1654,art_ref,0)),""),"")))</f>
        <v/>
      </c>
      <c r="K1654" s="71" t="n"/>
      <c r="L1654" s="72" t="n"/>
      <c r="M1654" s="72" t="str">
        <f>IF(E1654="","",IF(L1654&lt;&gt;"",L1654,IFERROR(IF(ISNUMBER(INDEX(art_tva,MATCH($E1654,art_ref,0))),INDEX(art_tva,MATCH($E1654,art_ref,0)),""),"")))</f>
        <v/>
      </c>
      <c r="N1654" s="70" t="str">
        <f>IF(OR(E1654="",J1654=""),"",ROUND(N(H1654)*J1654*(1-N(K1654)),2))</f>
        <v/>
      </c>
      <c r="O1654" s="70" t="str">
        <f>IF(OR(N1654="",NOT(ISNUMBER(M1654))),"",ROUND(N1654*M1654,2))</f>
        <v/>
      </c>
      <c r="P1654" s="70" t="str">
        <f>IF(N1654="","",N1654+N(O1654))</f>
        <v/>
      </c>
      <c r="Q1654" s="64" t="n"/>
      <c r="R1654" s="73" t="str">
        <f>IF(N(Q1654)&gt;0,Q1654,IF(OR(N(B1654)=0,ISNA(MATCH($C1654,sup_code,0))),"",IF(ISNUMBER(INDEX(sup_delay,MATCH($C1654,sup_code,0))),B1654+INDEX(sup_delay,MATCH($C1654,sup_code,0)),"")))</f>
        <v/>
      </c>
      <c r="S1654" s="64" t="n"/>
      <c r="T1654" s="68" t="n"/>
      <c r="U1654" s="64" t="n"/>
      <c r="V1654" s="65" t="n"/>
      <c r="W1654" s="74" t="str">
        <f>IF(AND(A1654="",E1654=""),"",IF(V1654="Oui",0,MAX(0,ROUND(N(H1654)-N(T1654),6))))</f>
        <v/>
      </c>
      <c r="X1654" s="67" t="str">
        <f>IF(AND(A1654="",E1654=""),"",IF(V1654="Oui","Annulé",IF(AND(N(H1654)&gt;0,N(T1654)&gt;=N(H1654)),"Reçu",IF(N(S1654)=0,"Brouillon",IF(AND(ISNUMBER(R1654),R1654&lt;p_today),"En retard",IF(N(T1654)&gt;0,"Partiel","Envoyé"))))))</f>
        <v/>
      </c>
      <c r="Y1654" s="75" t="str">
        <f>IF(X1654="En retard",p_today-R1654,IF(AND(X1654="Reçu",ISNUMBER(R1654)),MAX(0,N(U1654)-R1654),""))</f>
        <v/>
      </c>
      <c r="Z1654" s="67" t="str">
        <f>IF(AND(A1654="",E1654=""),"",IF(A1654="","N° de bon manquant",IF(N(B1654)=0,"Date de commande manquante",IF(C1654="","Fournisseur manquant",IF(ISNA(MATCH($C1654,sup_code,0)),"Fournisseur inconnu",IF(E1654="","Article manquant",IF(ISNA(MATCH($E1654,art_ref,0)),"Article inconnu",IF(N(H1654)&lt;=0,"Quantité invalide",IF(J1654="","Prix manquant",IF(OR(N(K1654)&lt;0,N(K1654)&gt;=1),"Remise invalide",IF(M1654="","TVA manquante",IF(ISNA(MATCH(M1654,p_tva,0)),"Taux de TVA inconnu",IF(COUNTIFS(po_num,A1654,po_sup,"&lt;&gt;"&amp;C1654)&gt;0,"Fournisseur différent sur ce bon",IF(COUNTIFS(po_num,A1654,po_date,"&lt;&gt;"&amp;B1654)&gt;0,"Date différente sur ce bon",IF(COUNTIF(po_num,A1654)&gt;25,"Plus de 25 lignes sur ce bon",IF(R1654="","Date de livraison manquante",IF(R1654&lt;B1654,"Livraison avant la commande",IF(AND(N(T1654)&gt;0,N(S1654)=0),"Date d'envoi manquante",IF(N(T1654)&gt;N(H1654),"Reçu plus que commandé",IF(AND(N(T1654)&gt;0,N(U1654)=0),"Date de réception manquante",IF(AND(N(U1654)&gt;0,U1654&lt;B1654),"Réception avant la commande","OK")))))))))))))))))))))</f>
        <v/>
      </c>
      <c r="AA1654" s="66" t="str">
        <f>IF(AND(X1654="Reçu",ISNUMBER(R1654)),IF(N(U1654)&lt;=R1654,1,0),"")</f>
        <v/>
      </c>
      <c r="AB1654" s="76" t="str">
        <f>IF(OR(X1654="Envoyé",X1654="Partiel",X1654="En retard"),IF(ISNUMBER(R1654),R1654,100000)+ROW()/100000,"")</f>
        <v/>
      </c>
      <c r="AC1654" s="66" t="str">
        <f>IF(A1654="","",IF(COUNTIF($A$6:A1654,A1654)=1,1,""))</f>
        <v/>
      </c>
      <c r="AD1654" s="66" t="str">
        <f>IF(AC1654=1,COUNT($AC$6:AC1654),"")</f>
        <v/>
      </c>
      <c r="AE1654" s="66" t="str">
        <f>IFERROR(INDEX(po_num,MATCH(1649,po_seq,0))&amp;"","")</f>
        <v/>
      </c>
      <c r="AF1654" s="66" t="str">
        <f>IF(OR(A1654="",p_po=""),"",IF(A1654&amp;""=p_po,COUNTIF($A$6:A1654,A1654),""))</f>
        <v/>
      </c>
      <c r="AG1654" s="66" t="str">
        <f>IF(OR(AB1654="",A1654=""),"",IF(COUNTIFS($A$6:A1654,A1654,$AB$6:AB1654,"&gt;0")=1,1,""))</f>
        <v/>
      </c>
      <c r="AH1654" s="70" t="str">
        <f>IF(AB1654="","",ROUND(N(W1654)*N(J1654)*(1-N(K1654)),2))</f>
        <v/>
      </c>
      <c r="AI1654" s="70" t="str">
        <f>IF(OR(J1654="",N(T1654)&lt;=0,V1654="Oui"),"",ROUND(N(T1654)*J1654*(1-N(K1654)),2))</f>
        <v/>
      </c>
    </row>
    <row r="1655">
      <c r="A1655" s="63" t="n"/>
      <c r="B1655" s="64" t="n"/>
      <c r="C1655" s="65" t="n"/>
      <c r="D1655" s="66" t="str">
        <f>IF(C1655="","",IFERROR(INDEX(sup_name,MATCH($C1655,sup_code,0))&amp;"","Fournisseur inconnu"))</f>
        <v/>
      </c>
      <c r="E1655" s="63" t="n"/>
      <c r="F1655" s="66" t="str">
        <f>IF(E1655="","",IFERROR(INDEX(art_des,MATCH($E1655,art_ref,0))&amp;"","Article inconnu"))</f>
        <v/>
      </c>
      <c r="G1655" s="67" t="str">
        <f>IF(E1655="","",IFERROR(INDEX(art_unit,MATCH($E1655,art_ref,0))&amp;"",""))</f>
        <v/>
      </c>
      <c r="H1655" s="68" t="n"/>
      <c r="I1655" s="69" t="n"/>
      <c r="J1655" s="70" t="str">
        <f>IF(E1655="","",IF(ISNUMBER(I1655),I1655,IFERROR(IF(ISNUMBER(INDEX(art_price,MATCH($E1655,art_ref,0))),INDEX(art_price,MATCH($E1655,art_ref,0)),""),"")))</f>
        <v/>
      </c>
      <c r="K1655" s="71" t="n"/>
      <c r="L1655" s="72" t="n"/>
      <c r="M1655" s="72" t="str">
        <f>IF(E1655="","",IF(L1655&lt;&gt;"",L1655,IFERROR(IF(ISNUMBER(INDEX(art_tva,MATCH($E1655,art_ref,0))),INDEX(art_tva,MATCH($E1655,art_ref,0)),""),"")))</f>
        <v/>
      </c>
      <c r="N1655" s="70" t="str">
        <f>IF(OR(E1655="",J1655=""),"",ROUND(N(H1655)*J1655*(1-N(K1655)),2))</f>
        <v/>
      </c>
      <c r="O1655" s="70" t="str">
        <f>IF(OR(N1655="",NOT(ISNUMBER(M1655))),"",ROUND(N1655*M1655,2))</f>
        <v/>
      </c>
      <c r="P1655" s="70" t="str">
        <f>IF(N1655="","",N1655+N(O1655))</f>
        <v/>
      </c>
      <c r="Q1655" s="64" t="n"/>
      <c r="R1655" s="73" t="str">
        <f>IF(N(Q1655)&gt;0,Q1655,IF(OR(N(B1655)=0,ISNA(MATCH($C1655,sup_code,0))),"",IF(ISNUMBER(INDEX(sup_delay,MATCH($C1655,sup_code,0))),B1655+INDEX(sup_delay,MATCH($C1655,sup_code,0)),"")))</f>
        <v/>
      </c>
      <c r="S1655" s="64" t="n"/>
      <c r="T1655" s="68" t="n"/>
      <c r="U1655" s="64" t="n"/>
      <c r="V1655" s="65" t="n"/>
      <c r="W1655" s="74" t="str">
        <f>IF(AND(A1655="",E1655=""),"",IF(V1655="Oui",0,MAX(0,ROUND(N(H1655)-N(T1655),6))))</f>
        <v/>
      </c>
      <c r="X1655" s="67" t="str">
        <f>IF(AND(A1655="",E1655=""),"",IF(V1655="Oui","Annulé",IF(AND(N(H1655)&gt;0,N(T1655)&gt;=N(H1655)),"Reçu",IF(N(S1655)=0,"Brouillon",IF(AND(ISNUMBER(R1655),R1655&lt;p_today),"En retard",IF(N(T1655)&gt;0,"Partiel","Envoyé"))))))</f>
        <v/>
      </c>
      <c r="Y1655" s="75" t="str">
        <f>IF(X1655="En retard",p_today-R1655,IF(AND(X1655="Reçu",ISNUMBER(R1655)),MAX(0,N(U1655)-R1655),""))</f>
        <v/>
      </c>
      <c r="Z1655" s="67" t="str">
        <f>IF(AND(A1655="",E1655=""),"",IF(A1655="","N° de bon manquant",IF(N(B1655)=0,"Date de commande manquante",IF(C1655="","Fournisseur manquant",IF(ISNA(MATCH($C1655,sup_code,0)),"Fournisseur inconnu",IF(E1655="","Article manquant",IF(ISNA(MATCH($E1655,art_ref,0)),"Article inconnu",IF(N(H1655)&lt;=0,"Quantité invalide",IF(J1655="","Prix manquant",IF(OR(N(K1655)&lt;0,N(K1655)&gt;=1),"Remise invalide",IF(M1655="","TVA manquante",IF(ISNA(MATCH(M1655,p_tva,0)),"Taux de TVA inconnu",IF(COUNTIFS(po_num,A1655,po_sup,"&lt;&gt;"&amp;C1655)&gt;0,"Fournisseur différent sur ce bon",IF(COUNTIFS(po_num,A1655,po_date,"&lt;&gt;"&amp;B1655)&gt;0,"Date différente sur ce bon",IF(COUNTIF(po_num,A1655)&gt;25,"Plus de 25 lignes sur ce bon",IF(R1655="","Date de livraison manquante",IF(R1655&lt;B1655,"Livraison avant la commande",IF(AND(N(T1655)&gt;0,N(S1655)=0),"Date d'envoi manquante",IF(N(T1655)&gt;N(H1655),"Reçu plus que commandé",IF(AND(N(T1655)&gt;0,N(U1655)=0),"Date de réception manquante",IF(AND(N(U1655)&gt;0,U1655&lt;B1655),"Réception avant la commande","OK")))))))))))))))))))))</f>
        <v/>
      </c>
      <c r="AA1655" s="66" t="str">
        <f>IF(AND(X1655="Reçu",ISNUMBER(R1655)),IF(N(U1655)&lt;=R1655,1,0),"")</f>
        <v/>
      </c>
      <c r="AB1655" s="76" t="str">
        <f>IF(OR(X1655="Envoyé",X1655="Partiel",X1655="En retard"),IF(ISNUMBER(R1655),R1655,100000)+ROW()/100000,"")</f>
        <v/>
      </c>
      <c r="AC1655" s="66" t="str">
        <f>IF(A1655="","",IF(COUNTIF($A$6:A1655,A1655)=1,1,""))</f>
        <v/>
      </c>
      <c r="AD1655" s="66" t="str">
        <f>IF(AC1655=1,COUNT($AC$6:AC1655),"")</f>
        <v/>
      </c>
      <c r="AE1655" s="66" t="str">
        <f>IFERROR(INDEX(po_num,MATCH(1650,po_seq,0))&amp;"","")</f>
        <v/>
      </c>
      <c r="AF1655" s="66" t="str">
        <f>IF(OR(A1655="",p_po=""),"",IF(A1655&amp;""=p_po,COUNTIF($A$6:A1655,A1655),""))</f>
        <v/>
      </c>
      <c r="AG1655" s="66" t="str">
        <f>IF(OR(AB1655="",A1655=""),"",IF(COUNTIFS($A$6:A1655,A1655,$AB$6:AB1655,"&gt;0")=1,1,""))</f>
        <v/>
      </c>
      <c r="AH1655" s="70" t="str">
        <f>IF(AB1655="","",ROUND(N(W1655)*N(J1655)*(1-N(K1655)),2))</f>
        <v/>
      </c>
      <c r="AI1655" s="70" t="str">
        <f>IF(OR(J1655="",N(T1655)&lt;=0,V1655="Oui"),"",ROUND(N(T1655)*J1655*(1-N(K1655)),2))</f>
        <v/>
      </c>
    </row>
    <row r="1656">
      <c r="A1656" s="63" t="n"/>
      <c r="B1656" s="64" t="n"/>
      <c r="C1656" s="65" t="n"/>
      <c r="D1656" s="66" t="str">
        <f>IF(C1656="","",IFERROR(INDEX(sup_name,MATCH($C1656,sup_code,0))&amp;"","Fournisseur inconnu"))</f>
        <v/>
      </c>
      <c r="E1656" s="63" t="n"/>
      <c r="F1656" s="66" t="str">
        <f>IF(E1656="","",IFERROR(INDEX(art_des,MATCH($E1656,art_ref,0))&amp;"","Article inconnu"))</f>
        <v/>
      </c>
      <c r="G1656" s="67" t="str">
        <f>IF(E1656="","",IFERROR(INDEX(art_unit,MATCH($E1656,art_ref,0))&amp;"",""))</f>
        <v/>
      </c>
      <c r="H1656" s="68" t="n"/>
      <c r="I1656" s="69" t="n"/>
      <c r="J1656" s="70" t="str">
        <f>IF(E1656="","",IF(ISNUMBER(I1656),I1656,IFERROR(IF(ISNUMBER(INDEX(art_price,MATCH($E1656,art_ref,0))),INDEX(art_price,MATCH($E1656,art_ref,0)),""),"")))</f>
        <v/>
      </c>
      <c r="K1656" s="71" t="n"/>
      <c r="L1656" s="72" t="n"/>
      <c r="M1656" s="72" t="str">
        <f>IF(E1656="","",IF(L1656&lt;&gt;"",L1656,IFERROR(IF(ISNUMBER(INDEX(art_tva,MATCH($E1656,art_ref,0))),INDEX(art_tva,MATCH($E1656,art_ref,0)),""),"")))</f>
        <v/>
      </c>
      <c r="N1656" s="70" t="str">
        <f>IF(OR(E1656="",J1656=""),"",ROUND(N(H1656)*J1656*(1-N(K1656)),2))</f>
        <v/>
      </c>
      <c r="O1656" s="70" t="str">
        <f>IF(OR(N1656="",NOT(ISNUMBER(M1656))),"",ROUND(N1656*M1656,2))</f>
        <v/>
      </c>
      <c r="P1656" s="70" t="str">
        <f>IF(N1656="","",N1656+N(O1656))</f>
        <v/>
      </c>
      <c r="Q1656" s="64" t="n"/>
      <c r="R1656" s="73" t="str">
        <f>IF(N(Q1656)&gt;0,Q1656,IF(OR(N(B1656)=0,ISNA(MATCH($C1656,sup_code,0))),"",IF(ISNUMBER(INDEX(sup_delay,MATCH($C1656,sup_code,0))),B1656+INDEX(sup_delay,MATCH($C1656,sup_code,0)),"")))</f>
        <v/>
      </c>
      <c r="S1656" s="64" t="n"/>
      <c r="T1656" s="68" t="n"/>
      <c r="U1656" s="64" t="n"/>
      <c r="V1656" s="65" t="n"/>
      <c r="W1656" s="74" t="str">
        <f>IF(AND(A1656="",E1656=""),"",IF(V1656="Oui",0,MAX(0,ROUND(N(H1656)-N(T1656),6))))</f>
        <v/>
      </c>
      <c r="X1656" s="67" t="str">
        <f>IF(AND(A1656="",E1656=""),"",IF(V1656="Oui","Annulé",IF(AND(N(H1656)&gt;0,N(T1656)&gt;=N(H1656)),"Reçu",IF(N(S1656)=0,"Brouillon",IF(AND(ISNUMBER(R1656),R1656&lt;p_today),"En retard",IF(N(T1656)&gt;0,"Partiel","Envoyé"))))))</f>
        <v/>
      </c>
      <c r="Y1656" s="75" t="str">
        <f>IF(X1656="En retard",p_today-R1656,IF(AND(X1656="Reçu",ISNUMBER(R1656)),MAX(0,N(U1656)-R1656),""))</f>
        <v/>
      </c>
      <c r="Z1656" s="67" t="str">
        <f>IF(AND(A1656="",E1656=""),"",IF(A1656="","N° de bon manquant",IF(N(B1656)=0,"Date de commande manquante",IF(C1656="","Fournisseur manquant",IF(ISNA(MATCH($C1656,sup_code,0)),"Fournisseur inconnu",IF(E1656="","Article manquant",IF(ISNA(MATCH($E1656,art_ref,0)),"Article inconnu",IF(N(H1656)&lt;=0,"Quantité invalide",IF(J1656="","Prix manquant",IF(OR(N(K1656)&lt;0,N(K1656)&gt;=1),"Remise invalide",IF(M1656="","TVA manquante",IF(ISNA(MATCH(M1656,p_tva,0)),"Taux de TVA inconnu",IF(COUNTIFS(po_num,A1656,po_sup,"&lt;&gt;"&amp;C1656)&gt;0,"Fournisseur différent sur ce bon",IF(COUNTIFS(po_num,A1656,po_date,"&lt;&gt;"&amp;B1656)&gt;0,"Date différente sur ce bon",IF(COUNTIF(po_num,A1656)&gt;25,"Plus de 25 lignes sur ce bon",IF(R1656="","Date de livraison manquante",IF(R1656&lt;B1656,"Livraison avant la commande",IF(AND(N(T1656)&gt;0,N(S1656)=0),"Date d'envoi manquante",IF(N(T1656)&gt;N(H1656),"Reçu plus que commandé",IF(AND(N(T1656)&gt;0,N(U1656)=0),"Date de réception manquante",IF(AND(N(U1656)&gt;0,U1656&lt;B1656),"Réception avant la commande","OK")))))))))))))))))))))</f>
        <v/>
      </c>
      <c r="AA1656" s="66" t="str">
        <f>IF(AND(X1656="Reçu",ISNUMBER(R1656)),IF(N(U1656)&lt;=R1656,1,0),"")</f>
        <v/>
      </c>
      <c r="AB1656" s="76" t="str">
        <f>IF(OR(X1656="Envoyé",X1656="Partiel",X1656="En retard"),IF(ISNUMBER(R1656),R1656,100000)+ROW()/100000,"")</f>
        <v/>
      </c>
      <c r="AC1656" s="66" t="str">
        <f>IF(A1656="","",IF(COUNTIF($A$6:A1656,A1656)=1,1,""))</f>
        <v/>
      </c>
      <c r="AD1656" s="66" t="str">
        <f>IF(AC1656=1,COUNT($AC$6:AC1656),"")</f>
        <v/>
      </c>
      <c r="AE1656" s="66" t="str">
        <f>IFERROR(INDEX(po_num,MATCH(1651,po_seq,0))&amp;"","")</f>
        <v/>
      </c>
      <c r="AF1656" s="66" t="str">
        <f>IF(OR(A1656="",p_po=""),"",IF(A1656&amp;""=p_po,COUNTIF($A$6:A1656,A1656),""))</f>
        <v/>
      </c>
      <c r="AG1656" s="66" t="str">
        <f>IF(OR(AB1656="",A1656=""),"",IF(COUNTIFS($A$6:A1656,A1656,$AB$6:AB1656,"&gt;0")=1,1,""))</f>
        <v/>
      </c>
      <c r="AH1656" s="70" t="str">
        <f>IF(AB1656="","",ROUND(N(W1656)*N(J1656)*(1-N(K1656)),2))</f>
        <v/>
      </c>
      <c r="AI1656" s="70" t="str">
        <f>IF(OR(J1656="",N(T1656)&lt;=0,V1656="Oui"),"",ROUND(N(T1656)*J1656*(1-N(K1656)),2))</f>
        <v/>
      </c>
    </row>
    <row r="1657">
      <c r="A1657" s="63" t="n"/>
      <c r="B1657" s="64" t="n"/>
      <c r="C1657" s="65" t="n"/>
      <c r="D1657" s="66" t="str">
        <f>IF(C1657="","",IFERROR(INDEX(sup_name,MATCH($C1657,sup_code,0))&amp;"","Fournisseur inconnu"))</f>
        <v/>
      </c>
      <c r="E1657" s="63" t="n"/>
      <c r="F1657" s="66" t="str">
        <f>IF(E1657="","",IFERROR(INDEX(art_des,MATCH($E1657,art_ref,0))&amp;"","Article inconnu"))</f>
        <v/>
      </c>
      <c r="G1657" s="67" t="str">
        <f>IF(E1657="","",IFERROR(INDEX(art_unit,MATCH($E1657,art_ref,0))&amp;"",""))</f>
        <v/>
      </c>
      <c r="H1657" s="68" t="n"/>
      <c r="I1657" s="69" t="n"/>
      <c r="J1657" s="70" t="str">
        <f>IF(E1657="","",IF(ISNUMBER(I1657),I1657,IFERROR(IF(ISNUMBER(INDEX(art_price,MATCH($E1657,art_ref,0))),INDEX(art_price,MATCH($E1657,art_ref,0)),""),"")))</f>
        <v/>
      </c>
      <c r="K1657" s="71" t="n"/>
      <c r="L1657" s="72" t="n"/>
      <c r="M1657" s="72" t="str">
        <f>IF(E1657="","",IF(L1657&lt;&gt;"",L1657,IFERROR(IF(ISNUMBER(INDEX(art_tva,MATCH($E1657,art_ref,0))),INDEX(art_tva,MATCH($E1657,art_ref,0)),""),"")))</f>
        <v/>
      </c>
      <c r="N1657" s="70" t="str">
        <f>IF(OR(E1657="",J1657=""),"",ROUND(N(H1657)*J1657*(1-N(K1657)),2))</f>
        <v/>
      </c>
      <c r="O1657" s="70" t="str">
        <f>IF(OR(N1657="",NOT(ISNUMBER(M1657))),"",ROUND(N1657*M1657,2))</f>
        <v/>
      </c>
      <c r="P1657" s="70" t="str">
        <f>IF(N1657="","",N1657+N(O1657))</f>
        <v/>
      </c>
      <c r="Q1657" s="64" t="n"/>
      <c r="R1657" s="73" t="str">
        <f>IF(N(Q1657)&gt;0,Q1657,IF(OR(N(B1657)=0,ISNA(MATCH($C1657,sup_code,0))),"",IF(ISNUMBER(INDEX(sup_delay,MATCH($C1657,sup_code,0))),B1657+INDEX(sup_delay,MATCH($C1657,sup_code,0)),"")))</f>
        <v/>
      </c>
      <c r="S1657" s="64" t="n"/>
      <c r="T1657" s="68" t="n"/>
      <c r="U1657" s="64" t="n"/>
      <c r="V1657" s="65" t="n"/>
      <c r="W1657" s="74" t="str">
        <f>IF(AND(A1657="",E1657=""),"",IF(V1657="Oui",0,MAX(0,ROUND(N(H1657)-N(T1657),6))))</f>
        <v/>
      </c>
      <c r="X1657" s="67" t="str">
        <f>IF(AND(A1657="",E1657=""),"",IF(V1657="Oui","Annulé",IF(AND(N(H1657)&gt;0,N(T1657)&gt;=N(H1657)),"Reçu",IF(N(S1657)=0,"Brouillon",IF(AND(ISNUMBER(R1657),R1657&lt;p_today),"En retard",IF(N(T1657)&gt;0,"Partiel","Envoyé"))))))</f>
        <v/>
      </c>
      <c r="Y1657" s="75" t="str">
        <f>IF(X1657="En retard",p_today-R1657,IF(AND(X1657="Reçu",ISNUMBER(R1657)),MAX(0,N(U1657)-R1657),""))</f>
        <v/>
      </c>
      <c r="Z1657" s="67" t="str">
        <f>IF(AND(A1657="",E1657=""),"",IF(A1657="","N° de bon manquant",IF(N(B1657)=0,"Date de commande manquante",IF(C1657="","Fournisseur manquant",IF(ISNA(MATCH($C1657,sup_code,0)),"Fournisseur inconnu",IF(E1657="","Article manquant",IF(ISNA(MATCH($E1657,art_ref,0)),"Article inconnu",IF(N(H1657)&lt;=0,"Quantité invalide",IF(J1657="","Prix manquant",IF(OR(N(K1657)&lt;0,N(K1657)&gt;=1),"Remise invalide",IF(M1657="","TVA manquante",IF(ISNA(MATCH(M1657,p_tva,0)),"Taux de TVA inconnu",IF(COUNTIFS(po_num,A1657,po_sup,"&lt;&gt;"&amp;C1657)&gt;0,"Fournisseur différent sur ce bon",IF(COUNTIFS(po_num,A1657,po_date,"&lt;&gt;"&amp;B1657)&gt;0,"Date différente sur ce bon",IF(COUNTIF(po_num,A1657)&gt;25,"Plus de 25 lignes sur ce bon",IF(R1657="","Date de livraison manquante",IF(R1657&lt;B1657,"Livraison avant la commande",IF(AND(N(T1657)&gt;0,N(S1657)=0),"Date d'envoi manquante",IF(N(T1657)&gt;N(H1657),"Reçu plus que commandé",IF(AND(N(T1657)&gt;0,N(U1657)=0),"Date de réception manquante",IF(AND(N(U1657)&gt;0,U1657&lt;B1657),"Réception avant la commande","OK")))))))))))))))))))))</f>
        <v/>
      </c>
      <c r="AA1657" s="66" t="str">
        <f>IF(AND(X1657="Reçu",ISNUMBER(R1657)),IF(N(U1657)&lt;=R1657,1,0),"")</f>
        <v/>
      </c>
      <c r="AB1657" s="76" t="str">
        <f>IF(OR(X1657="Envoyé",X1657="Partiel",X1657="En retard"),IF(ISNUMBER(R1657),R1657,100000)+ROW()/100000,"")</f>
        <v/>
      </c>
      <c r="AC1657" s="66" t="str">
        <f>IF(A1657="","",IF(COUNTIF($A$6:A1657,A1657)=1,1,""))</f>
        <v/>
      </c>
      <c r="AD1657" s="66" t="str">
        <f>IF(AC1657=1,COUNT($AC$6:AC1657),"")</f>
        <v/>
      </c>
      <c r="AE1657" s="66" t="str">
        <f>IFERROR(INDEX(po_num,MATCH(1652,po_seq,0))&amp;"","")</f>
        <v/>
      </c>
      <c r="AF1657" s="66" t="str">
        <f>IF(OR(A1657="",p_po=""),"",IF(A1657&amp;""=p_po,COUNTIF($A$6:A1657,A1657),""))</f>
        <v/>
      </c>
      <c r="AG1657" s="66" t="str">
        <f>IF(OR(AB1657="",A1657=""),"",IF(COUNTIFS($A$6:A1657,A1657,$AB$6:AB1657,"&gt;0")=1,1,""))</f>
        <v/>
      </c>
      <c r="AH1657" s="70" t="str">
        <f>IF(AB1657="","",ROUND(N(W1657)*N(J1657)*(1-N(K1657)),2))</f>
        <v/>
      </c>
      <c r="AI1657" s="70" t="str">
        <f>IF(OR(J1657="",N(T1657)&lt;=0,V1657="Oui"),"",ROUND(N(T1657)*J1657*(1-N(K1657)),2))</f>
        <v/>
      </c>
    </row>
    <row r="1658">
      <c r="A1658" s="63" t="n"/>
      <c r="B1658" s="64" t="n"/>
      <c r="C1658" s="65" t="n"/>
      <c r="D1658" s="66" t="str">
        <f>IF(C1658="","",IFERROR(INDEX(sup_name,MATCH($C1658,sup_code,0))&amp;"","Fournisseur inconnu"))</f>
        <v/>
      </c>
      <c r="E1658" s="63" t="n"/>
      <c r="F1658" s="66" t="str">
        <f>IF(E1658="","",IFERROR(INDEX(art_des,MATCH($E1658,art_ref,0))&amp;"","Article inconnu"))</f>
        <v/>
      </c>
      <c r="G1658" s="67" t="str">
        <f>IF(E1658="","",IFERROR(INDEX(art_unit,MATCH($E1658,art_ref,0))&amp;"",""))</f>
        <v/>
      </c>
      <c r="H1658" s="68" t="n"/>
      <c r="I1658" s="69" t="n"/>
      <c r="J1658" s="70" t="str">
        <f>IF(E1658="","",IF(ISNUMBER(I1658),I1658,IFERROR(IF(ISNUMBER(INDEX(art_price,MATCH($E1658,art_ref,0))),INDEX(art_price,MATCH($E1658,art_ref,0)),""),"")))</f>
        <v/>
      </c>
      <c r="K1658" s="71" t="n"/>
      <c r="L1658" s="72" t="n"/>
      <c r="M1658" s="72" t="str">
        <f>IF(E1658="","",IF(L1658&lt;&gt;"",L1658,IFERROR(IF(ISNUMBER(INDEX(art_tva,MATCH($E1658,art_ref,0))),INDEX(art_tva,MATCH($E1658,art_ref,0)),""),"")))</f>
        <v/>
      </c>
      <c r="N1658" s="70" t="str">
        <f>IF(OR(E1658="",J1658=""),"",ROUND(N(H1658)*J1658*(1-N(K1658)),2))</f>
        <v/>
      </c>
      <c r="O1658" s="70" t="str">
        <f>IF(OR(N1658="",NOT(ISNUMBER(M1658))),"",ROUND(N1658*M1658,2))</f>
        <v/>
      </c>
      <c r="P1658" s="70" t="str">
        <f>IF(N1658="","",N1658+N(O1658))</f>
        <v/>
      </c>
      <c r="Q1658" s="64" t="n"/>
      <c r="R1658" s="73" t="str">
        <f>IF(N(Q1658)&gt;0,Q1658,IF(OR(N(B1658)=0,ISNA(MATCH($C1658,sup_code,0))),"",IF(ISNUMBER(INDEX(sup_delay,MATCH($C1658,sup_code,0))),B1658+INDEX(sup_delay,MATCH($C1658,sup_code,0)),"")))</f>
        <v/>
      </c>
      <c r="S1658" s="64" t="n"/>
      <c r="T1658" s="68" t="n"/>
      <c r="U1658" s="64" t="n"/>
      <c r="V1658" s="65" t="n"/>
      <c r="W1658" s="74" t="str">
        <f>IF(AND(A1658="",E1658=""),"",IF(V1658="Oui",0,MAX(0,ROUND(N(H1658)-N(T1658),6))))</f>
        <v/>
      </c>
      <c r="X1658" s="67" t="str">
        <f>IF(AND(A1658="",E1658=""),"",IF(V1658="Oui","Annulé",IF(AND(N(H1658)&gt;0,N(T1658)&gt;=N(H1658)),"Reçu",IF(N(S1658)=0,"Brouillon",IF(AND(ISNUMBER(R1658),R1658&lt;p_today),"En retard",IF(N(T1658)&gt;0,"Partiel","Envoyé"))))))</f>
        <v/>
      </c>
      <c r="Y1658" s="75" t="str">
        <f>IF(X1658="En retard",p_today-R1658,IF(AND(X1658="Reçu",ISNUMBER(R1658)),MAX(0,N(U1658)-R1658),""))</f>
        <v/>
      </c>
      <c r="Z1658" s="67" t="str">
        <f>IF(AND(A1658="",E1658=""),"",IF(A1658="","N° de bon manquant",IF(N(B1658)=0,"Date de commande manquante",IF(C1658="","Fournisseur manquant",IF(ISNA(MATCH($C1658,sup_code,0)),"Fournisseur inconnu",IF(E1658="","Article manquant",IF(ISNA(MATCH($E1658,art_ref,0)),"Article inconnu",IF(N(H1658)&lt;=0,"Quantité invalide",IF(J1658="","Prix manquant",IF(OR(N(K1658)&lt;0,N(K1658)&gt;=1),"Remise invalide",IF(M1658="","TVA manquante",IF(ISNA(MATCH(M1658,p_tva,0)),"Taux de TVA inconnu",IF(COUNTIFS(po_num,A1658,po_sup,"&lt;&gt;"&amp;C1658)&gt;0,"Fournisseur différent sur ce bon",IF(COUNTIFS(po_num,A1658,po_date,"&lt;&gt;"&amp;B1658)&gt;0,"Date différente sur ce bon",IF(COUNTIF(po_num,A1658)&gt;25,"Plus de 25 lignes sur ce bon",IF(R1658="","Date de livraison manquante",IF(R1658&lt;B1658,"Livraison avant la commande",IF(AND(N(T1658)&gt;0,N(S1658)=0),"Date d'envoi manquante",IF(N(T1658)&gt;N(H1658),"Reçu plus que commandé",IF(AND(N(T1658)&gt;0,N(U1658)=0),"Date de réception manquante",IF(AND(N(U1658)&gt;0,U1658&lt;B1658),"Réception avant la commande","OK")))))))))))))))))))))</f>
        <v/>
      </c>
      <c r="AA1658" s="66" t="str">
        <f>IF(AND(X1658="Reçu",ISNUMBER(R1658)),IF(N(U1658)&lt;=R1658,1,0),"")</f>
        <v/>
      </c>
      <c r="AB1658" s="76" t="str">
        <f>IF(OR(X1658="Envoyé",X1658="Partiel",X1658="En retard"),IF(ISNUMBER(R1658),R1658,100000)+ROW()/100000,"")</f>
        <v/>
      </c>
      <c r="AC1658" s="66" t="str">
        <f>IF(A1658="","",IF(COUNTIF($A$6:A1658,A1658)=1,1,""))</f>
        <v/>
      </c>
      <c r="AD1658" s="66" t="str">
        <f>IF(AC1658=1,COUNT($AC$6:AC1658),"")</f>
        <v/>
      </c>
      <c r="AE1658" s="66" t="str">
        <f>IFERROR(INDEX(po_num,MATCH(1653,po_seq,0))&amp;"","")</f>
        <v/>
      </c>
      <c r="AF1658" s="66" t="str">
        <f>IF(OR(A1658="",p_po=""),"",IF(A1658&amp;""=p_po,COUNTIF($A$6:A1658,A1658),""))</f>
        <v/>
      </c>
      <c r="AG1658" s="66" t="str">
        <f>IF(OR(AB1658="",A1658=""),"",IF(COUNTIFS($A$6:A1658,A1658,$AB$6:AB1658,"&gt;0")=1,1,""))</f>
        <v/>
      </c>
      <c r="AH1658" s="70" t="str">
        <f>IF(AB1658="","",ROUND(N(W1658)*N(J1658)*(1-N(K1658)),2))</f>
        <v/>
      </c>
      <c r="AI1658" s="70" t="str">
        <f>IF(OR(J1658="",N(T1658)&lt;=0,V1658="Oui"),"",ROUND(N(T1658)*J1658*(1-N(K1658)),2))</f>
        <v/>
      </c>
    </row>
    <row r="1659">
      <c r="A1659" s="63" t="n"/>
      <c r="B1659" s="64" t="n"/>
      <c r="C1659" s="65" t="n"/>
      <c r="D1659" s="66" t="str">
        <f>IF(C1659="","",IFERROR(INDEX(sup_name,MATCH($C1659,sup_code,0))&amp;"","Fournisseur inconnu"))</f>
        <v/>
      </c>
      <c r="E1659" s="63" t="n"/>
      <c r="F1659" s="66" t="str">
        <f>IF(E1659="","",IFERROR(INDEX(art_des,MATCH($E1659,art_ref,0))&amp;"","Article inconnu"))</f>
        <v/>
      </c>
      <c r="G1659" s="67" t="str">
        <f>IF(E1659="","",IFERROR(INDEX(art_unit,MATCH($E1659,art_ref,0))&amp;"",""))</f>
        <v/>
      </c>
      <c r="H1659" s="68" t="n"/>
      <c r="I1659" s="69" t="n"/>
      <c r="J1659" s="70" t="str">
        <f>IF(E1659="","",IF(ISNUMBER(I1659),I1659,IFERROR(IF(ISNUMBER(INDEX(art_price,MATCH($E1659,art_ref,0))),INDEX(art_price,MATCH($E1659,art_ref,0)),""),"")))</f>
        <v/>
      </c>
      <c r="K1659" s="71" t="n"/>
      <c r="L1659" s="72" t="n"/>
      <c r="M1659" s="72" t="str">
        <f>IF(E1659="","",IF(L1659&lt;&gt;"",L1659,IFERROR(IF(ISNUMBER(INDEX(art_tva,MATCH($E1659,art_ref,0))),INDEX(art_tva,MATCH($E1659,art_ref,0)),""),"")))</f>
        <v/>
      </c>
      <c r="N1659" s="70" t="str">
        <f>IF(OR(E1659="",J1659=""),"",ROUND(N(H1659)*J1659*(1-N(K1659)),2))</f>
        <v/>
      </c>
      <c r="O1659" s="70" t="str">
        <f>IF(OR(N1659="",NOT(ISNUMBER(M1659))),"",ROUND(N1659*M1659,2))</f>
        <v/>
      </c>
      <c r="P1659" s="70" t="str">
        <f>IF(N1659="","",N1659+N(O1659))</f>
        <v/>
      </c>
      <c r="Q1659" s="64" t="n"/>
      <c r="R1659" s="73" t="str">
        <f>IF(N(Q1659)&gt;0,Q1659,IF(OR(N(B1659)=0,ISNA(MATCH($C1659,sup_code,0))),"",IF(ISNUMBER(INDEX(sup_delay,MATCH($C1659,sup_code,0))),B1659+INDEX(sup_delay,MATCH($C1659,sup_code,0)),"")))</f>
        <v/>
      </c>
      <c r="S1659" s="64" t="n"/>
      <c r="T1659" s="68" t="n"/>
      <c r="U1659" s="64" t="n"/>
      <c r="V1659" s="65" t="n"/>
      <c r="W1659" s="74" t="str">
        <f>IF(AND(A1659="",E1659=""),"",IF(V1659="Oui",0,MAX(0,ROUND(N(H1659)-N(T1659),6))))</f>
        <v/>
      </c>
      <c r="X1659" s="67" t="str">
        <f>IF(AND(A1659="",E1659=""),"",IF(V1659="Oui","Annulé",IF(AND(N(H1659)&gt;0,N(T1659)&gt;=N(H1659)),"Reçu",IF(N(S1659)=0,"Brouillon",IF(AND(ISNUMBER(R1659),R1659&lt;p_today),"En retard",IF(N(T1659)&gt;0,"Partiel","Envoyé"))))))</f>
        <v/>
      </c>
      <c r="Y1659" s="75" t="str">
        <f>IF(X1659="En retard",p_today-R1659,IF(AND(X1659="Reçu",ISNUMBER(R1659)),MAX(0,N(U1659)-R1659),""))</f>
        <v/>
      </c>
      <c r="Z1659" s="67" t="str">
        <f>IF(AND(A1659="",E1659=""),"",IF(A1659="","N° de bon manquant",IF(N(B1659)=0,"Date de commande manquante",IF(C1659="","Fournisseur manquant",IF(ISNA(MATCH($C1659,sup_code,0)),"Fournisseur inconnu",IF(E1659="","Article manquant",IF(ISNA(MATCH($E1659,art_ref,0)),"Article inconnu",IF(N(H1659)&lt;=0,"Quantité invalide",IF(J1659="","Prix manquant",IF(OR(N(K1659)&lt;0,N(K1659)&gt;=1),"Remise invalide",IF(M1659="","TVA manquante",IF(ISNA(MATCH(M1659,p_tva,0)),"Taux de TVA inconnu",IF(COUNTIFS(po_num,A1659,po_sup,"&lt;&gt;"&amp;C1659)&gt;0,"Fournisseur différent sur ce bon",IF(COUNTIFS(po_num,A1659,po_date,"&lt;&gt;"&amp;B1659)&gt;0,"Date différente sur ce bon",IF(COUNTIF(po_num,A1659)&gt;25,"Plus de 25 lignes sur ce bon",IF(R1659="","Date de livraison manquante",IF(R1659&lt;B1659,"Livraison avant la commande",IF(AND(N(T1659)&gt;0,N(S1659)=0),"Date d'envoi manquante",IF(N(T1659)&gt;N(H1659),"Reçu plus que commandé",IF(AND(N(T1659)&gt;0,N(U1659)=0),"Date de réception manquante",IF(AND(N(U1659)&gt;0,U1659&lt;B1659),"Réception avant la commande","OK")))))))))))))))))))))</f>
        <v/>
      </c>
      <c r="AA1659" s="66" t="str">
        <f>IF(AND(X1659="Reçu",ISNUMBER(R1659)),IF(N(U1659)&lt;=R1659,1,0),"")</f>
        <v/>
      </c>
      <c r="AB1659" s="76" t="str">
        <f>IF(OR(X1659="Envoyé",X1659="Partiel",X1659="En retard"),IF(ISNUMBER(R1659),R1659,100000)+ROW()/100000,"")</f>
        <v/>
      </c>
      <c r="AC1659" s="66" t="str">
        <f>IF(A1659="","",IF(COUNTIF($A$6:A1659,A1659)=1,1,""))</f>
        <v/>
      </c>
      <c r="AD1659" s="66" t="str">
        <f>IF(AC1659=1,COUNT($AC$6:AC1659),"")</f>
        <v/>
      </c>
      <c r="AE1659" s="66" t="str">
        <f>IFERROR(INDEX(po_num,MATCH(1654,po_seq,0))&amp;"","")</f>
        <v/>
      </c>
      <c r="AF1659" s="66" t="str">
        <f>IF(OR(A1659="",p_po=""),"",IF(A1659&amp;""=p_po,COUNTIF($A$6:A1659,A1659),""))</f>
        <v/>
      </c>
      <c r="AG1659" s="66" t="str">
        <f>IF(OR(AB1659="",A1659=""),"",IF(COUNTIFS($A$6:A1659,A1659,$AB$6:AB1659,"&gt;0")=1,1,""))</f>
        <v/>
      </c>
      <c r="AH1659" s="70" t="str">
        <f>IF(AB1659="","",ROUND(N(W1659)*N(J1659)*(1-N(K1659)),2))</f>
        <v/>
      </c>
      <c r="AI1659" s="70" t="str">
        <f>IF(OR(J1659="",N(T1659)&lt;=0,V1659="Oui"),"",ROUND(N(T1659)*J1659*(1-N(K1659)),2))</f>
        <v/>
      </c>
    </row>
    <row r="1660">
      <c r="A1660" s="63" t="n"/>
      <c r="B1660" s="64" t="n"/>
      <c r="C1660" s="65" t="n"/>
      <c r="D1660" s="66" t="str">
        <f>IF(C1660="","",IFERROR(INDEX(sup_name,MATCH($C1660,sup_code,0))&amp;"","Fournisseur inconnu"))</f>
        <v/>
      </c>
      <c r="E1660" s="63" t="n"/>
      <c r="F1660" s="66" t="str">
        <f>IF(E1660="","",IFERROR(INDEX(art_des,MATCH($E1660,art_ref,0))&amp;"","Article inconnu"))</f>
        <v/>
      </c>
      <c r="G1660" s="67" t="str">
        <f>IF(E1660="","",IFERROR(INDEX(art_unit,MATCH($E1660,art_ref,0))&amp;"",""))</f>
        <v/>
      </c>
      <c r="H1660" s="68" t="n"/>
      <c r="I1660" s="69" t="n"/>
      <c r="J1660" s="70" t="str">
        <f>IF(E1660="","",IF(ISNUMBER(I1660),I1660,IFERROR(IF(ISNUMBER(INDEX(art_price,MATCH($E1660,art_ref,0))),INDEX(art_price,MATCH($E1660,art_ref,0)),""),"")))</f>
        <v/>
      </c>
      <c r="K1660" s="71" t="n"/>
      <c r="L1660" s="72" t="n"/>
      <c r="M1660" s="72" t="str">
        <f>IF(E1660="","",IF(L1660&lt;&gt;"",L1660,IFERROR(IF(ISNUMBER(INDEX(art_tva,MATCH($E1660,art_ref,0))),INDEX(art_tva,MATCH($E1660,art_ref,0)),""),"")))</f>
        <v/>
      </c>
      <c r="N1660" s="70" t="str">
        <f>IF(OR(E1660="",J1660=""),"",ROUND(N(H1660)*J1660*(1-N(K1660)),2))</f>
        <v/>
      </c>
      <c r="O1660" s="70" t="str">
        <f>IF(OR(N1660="",NOT(ISNUMBER(M1660))),"",ROUND(N1660*M1660,2))</f>
        <v/>
      </c>
      <c r="P1660" s="70" t="str">
        <f>IF(N1660="","",N1660+N(O1660))</f>
        <v/>
      </c>
      <c r="Q1660" s="64" t="n"/>
      <c r="R1660" s="73" t="str">
        <f>IF(N(Q1660)&gt;0,Q1660,IF(OR(N(B1660)=0,ISNA(MATCH($C1660,sup_code,0))),"",IF(ISNUMBER(INDEX(sup_delay,MATCH($C1660,sup_code,0))),B1660+INDEX(sup_delay,MATCH($C1660,sup_code,0)),"")))</f>
        <v/>
      </c>
      <c r="S1660" s="64" t="n"/>
      <c r="T1660" s="68" t="n"/>
      <c r="U1660" s="64" t="n"/>
      <c r="V1660" s="65" t="n"/>
      <c r="W1660" s="74" t="str">
        <f>IF(AND(A1660="",E1660=""),"",IF(V1660="Oui",0,MAX(0,ROUND(N(H1660)-N(T1660),6))))</f>
        <v/>
      </c>
      <c r="X1660" s="67" t="str">
        <f>IF(AND(A1660="",E1660=""),"",IF(V1660="Oui","Annulé",IF(AND(N(H1660)&gt;0,N(T1660)&gt;=N(H1660)),"Reçu",IF(N(S1660)=0,"Brouillon",IF(AND(ISNUMBER(R1660),R1660&lt;p_today),"En retard",IF(N(T1660)&gt;0,"Partiel","Envoyé"))))))</f>
        <v/>
      </c>
      <c r="Y1660" s="75" t="str">
        <f>IF(X1660="En retard",p_today-R1660,IF(AND(X1660="Reçu",ISNUMBER(R1660)),MAX(0,N(U1660)-R1660),""))</f>
        <v/>
      </c>
      <c r="Z1660" s="67" t="str">
        <f>IF(AND(A1660="",E1660=""),"",IF(A1660="","N° de bon manquant",IF(N(B1660)=0,"Date de commande manquante",IF(C1660="","Fournisseur manquant",IF(ISNA(MATCH($C1660,sup_code,0)),"Fournisseur inconnu",IF(E1660="","Article manquant",IF(ISNA(MATCH($E1660,art_ref,0)),"Article inconnu",IF(N(H1660)&lt;=0,"Quantité invalide",IF(J1660="","Prix manquant",IF(OR(N(K1660)&lt;0,N(K1660)&gt;=1),"Remise invalide",IF(M1660="","TVA manquante",IF(ISNA(MATCH(M1660,p_tva,0)),"Taux de TVA inconnu",IF(COUNTIFS(po_num,A1660,po_sup,"&lt;&gt;"&amp;C1660)&gt;0,"Fournisseur différent sur ce bon",IF(COUNTIFS(po_num,A1660,po_date,"&lt;&gt;"&amp;B1660)&gt;0,"Date différente sur ce bon",IF(COUNTIF(po_num,A1660)&gt;25,"Plus de 25 lignes sur ce bon",IF(R1660="","Date de livraison manquante",IF(R1660&lt;B1660,"Livraison avant la commande",IF(AND(N(T1660)&gt;0,N(S1660)=0),"Date d'envoi manquante",IF(N(T1660)&gt;N(H1660),"Reçu plus que commandé",IF(AND(N(T1660)&gt;0,N(U1660)=0),"Date de réception manquante",IF(AND(N(U1660)&gt;0,U1660&lt;B1660),"Réception avant la commande","OK")))))))))))))))))))))</f>
        <v/>
      </c>
      <c r="AA1660" s="66" t="str">
        <f>IF(AND(X1660="Reçu",ISNUMBER(R1660)),IF(N(U1660)&lt;=R1660,1,0),"")</f>
        <v/>
      </c>
      <c r="AB1660" s="76" t="str">
        <f>IF(OR(X1660="Envoyé",X1660="Partiel",X1660="En retard"),IF(ISNUMBER(R1660),R1660,100000)+ROW()/100000,"")</f>
        <v/>
      </c>
      <c r="AC1660" s="66" t="str">
        <f>IF(A1660="","",IF(COUNTIF($A$6:A1660,A1660)=1,1,""))</f>
        <v/>
      </c>
      <c r="AD1660" s="66" t="str">
        <f>IF(AC1660=1,COUNT($AC$6:AC1660),"")</f>
        <v/>
      </c>
      <c r="AE1660" s="66" t="str">
        <f>IFERROR(INDEX(po_num,MATCH(1655,po_seq,0))&amp;"","")</f>
        <v/>
      </c>
      <c r="AF1660" s="66" t="str">
        <f>IF(OR(A1660="",p_po=""),"",IF(A1660&amp;""=p_po,COUNTIF($A$6:A1660,A1660),""))</f>
        <v/>
      </c>
      <c r="AG1660" s="66" t="str">
        <f>IF(OR(AB1660="",A1660=""),"",IF(COUNTIFS($A$6:A1660,A1660,$AB$6:AB1660,"&gt;0")=1,1,""))</f>
        <v/>
      </c>
      <c r="AH1660" s="70" t="str">
        <f>IF(AB1660="","",ROUND(N(W1660)*N(J1660)*(1-N(K1660)),2))</f>
        <v/>
      </c>
      <c r="AI1660" s="70" t="str">
        <f>IF(OR(J1660="",N(T1660)&lt;=0,V1660="Oui"),"",ROUND(N(T1660)*J1660*(1-N(K1660)),2))</f>
        <v/>
      </c>
    </row>
    <row r="1661">
      <c r="A1661" s="63" t="n"/>
      <c r="B1661" s="64" t="n"/>
      <c r="C1661" s="65" t="n"/>
      <c r="D1661" s="66" t="str">
        <f>IF(C1661="","",IFERROR(INDEX(sup_name,MATCH($C1661,sup_code,0))&amp;"","Fournisseur inconnu"))</f>
        <v/>
      </c>
      <c r="E1661" s="63" t="n"/>
      <c r="F1661" s="66" t="str">
        <f>IF(E1661="","",IFERROR(INDEX(art_des,MATCH($E1661,art_ref,0))&amp;"","Article inconnu"))</f>
        <v/>
      </c>
      <c r="G1661" s="67" t="str">
        <f>IF(E1661="","",IFERROR(INDEX(art_unit,MATCH($E1661,art_ref,0))&amp;"",""))</f>
        <v/>
      </c>
      <c r="H1661" s="68" t="n"/>
      <c r="I1661" s="69" t="n"/>
      <c r="J1661" s="70" t="str">
        <f>IF(E1661="","",IF(ISNUMBER(I1661),I1661,IFERROR(IF(ISNUMBER(INDEX(art_price,MATCH($E1661,art_ref,0))),INDEX(art_price,MATCH($E1661,art_ref,0)),""),"")))</f>
        <v/>
      </c>
      <c r="K1661" s="71" t="n"/>
      <c r="L1661" s="72" t="n"/>
      <c r="M1661" s="72" t="str">
        <f>IF(E1661="","",IF(L1661&lt;&gt;"",L1661,IFERROR(IF(ISNUMBER(INDEX(art_tva,MATCH($E1661,art_ref,0))),INDEX(art_tva,MATCH($E1661,art_ref,0)),""),"")))</f>
        <v/>
      </c>
      <c r="N1661" s="70" t="str">
        <f>IF(OR(E1661="",J1661=""),"",ROUND(N(H1661)*J1661*(1-N(K1661)),2))</f>
        <v/>
      </c>
      <c r="O1661" s="70" t="str">
        <f>IF(OR(N1661="",NOT(ISNUMBER(M1661))),"",ROUND(N1661*M1661,2))</f>
        <v/>
      </c>
      <c r="P1661" s="70" t="str">
        <f>IF(N1661="","",N1661+N(O1661))</f>
        <v/>
      </c>
      <c r="Q1661" s="64" t="n"/>
      <c r="R1661" s="73" t="str">
        <f>IF(N(Q1661)&gt;0,Q1661,IF(OR(N(B1661)=0,ISNA(MATCH($C1661,sup_code,0))),"",IF(ISNUMBER(INDEX(sup_delay,MATCH($C1661,sup_code,0))),B1661+INDEX(sup_delay,MATCH($C1661,sup_code,0)),"")))</f>
        <v/>
      </c>
      <c r="S1661" s="64" t="n"/>
      <c r="T1661" s="68" t="n"/>
      <c r="U1661" s="64" t="n"/>
      <c r="V1661" s="65" t="n"/>
      <c r="W1661" s="74" t="str">
        <f>IF(AND(A1661="",E1661=""),"",IF(V1661="Oui",0,MAX(0,ROUND(N(H1661)-N(T1661),6))))</f>
        <v/>
      </c>
      <c r="X1661" s="67" t="str">
        <f>IF(AND(A1661="",E1661=""),"",IF(V1661="Oui","Annulé",IF(AND(N(H1661)&gt;0,N(T1661)&gt;=N(H1661)),"Reçu",IF(N(S1661)=0,"Brouillon",IF(AND(ISNUMBER(R1661),R1661&lt;p_today),"En retard",IF(N(T1661)&gt;0,"Partiel","Envoyé"))))))</f>
        <v/>
      </c>
      <c r="Y1661" s="75" t="str">
        <f>IF(X1661="En retard",p_today-R1661,IF(AND(X1661="Reçu",ISNUMBER(R1661)),MAX(0,N(U1661)-R1661),""))</f>
        <v/>
      </c>
      <c r="Z1661" s="67" t="str">
        <f>IF(AND(A1661="",E1661=""),"",IF(A1661="","N° de bon manquant",IF(N(B1661)=0,"Date de commande manquante",IF(C1661="","Fournisseur manquant",IF(ISNA(MATCH($C1661,sup_code,0)),"Fournisseur inconnu",IF(E1661="","Article manquant",IF(ISNA(MATCH($E1661,art_ref,0)),"Article inconnu",IF(N(H1661)&lt;=0,"Quantité invalide",IF(J1661="","Prix manquant",IF(OR(N(K1661)&lt;0,N(K1661)&gt;=1),"Remise invalide",IF(M1661="","TVA manquante",IF(ISNA(MATCH(M1661,p_tva,0)),"Taux de TVA inconnu",IF(COUNTIFS(po_num,A1661,po_sup,"&lt;&gt;"&amp;C1661)&gt;0,"Fournisseur différent sur ce bon",IF(COUNTIFS(po_num,A1661,po_date,"&lt;&gt;"&amp;B1661)&gt;0,"Date différente sur ce bon",IF(COUNTIF(po_num,A1661)&gt;25,"Plus de 25 lignes sur ce bon",IF(R1661="","Date de livraison manquante",IF(R1661&lt;B1661,"Livraison avant la commande",IF(AND(N(T1661)&gt;0,N(S1661)=0),"Date d'envoi manquante",IF(N(T1661)&gt;N(H1661),"Reçu plus que commandé",IF(AND(N(T1661)&gt;0,N(U1661)=0),"Date de réception manquante",IF(AND(N(U1661)&gt;0,U1661&lt;B1661),"Réception avant la commande","OK")))))))))))))))))))))</f>
        <v/>
      </c>
      <c r="AA1661" s="66" t="str">
        <f>IF(AND(X1661="Reçu",ISNUMBER(R1661)),IF(N(U1661)&lt;=R1661,1,0),"")</f>
        <v/>
      </c>
      <c r="AB1661" s="76" t="str">
        <f>IF(OR(X1661="Envoyé",X1661="Partiel",X1661="En retard"),IF(ISNUMBER(R1661),R1661,100000)+ROW()/100000,"")</f>
        <v/>
      </c>
      <c r="AC1661" s="66" t="str">
        <f>IF(A1661="","",IF(COUNTIF($A$6:A1661,A1661)=1,1,""))</f>
        <v/>
      </c>
      <c r="AD1661" s="66" t="str">
        <f>IF(AC1661=1,COUNT($AC$6:AC1661),"")</f>
        <v/>
      </c>
      <c r="AE1661" s="66" t="str">
        <f>IFERROR(INDEX(po_num,MATCH(1656,po_seq,0))&amp;"","")</f>
        <v/>
      </c>
      <c r="AF1661" s="66" t="str">
        <f>IF(OR(A1661="",p_po=""),"",IF(A1661&amp;""=p_po,COUNTIF($A$6:A1661,A1661),""))</f>
        <v/>
      </c>
      <c r="AG1661" s="66" t="str">
        <f>IF(OR(AB1661="",A1661=""),"",IF(COUNTIFS($A$6:A1661,A1661,$AB$6:AB1661,"&gt;0")=1,1,""))</f>
        <v/>
      </c>
      <c r="AH1661" s="70" t="str">
        <f>IF(AB1661="","",ROUND(N(W1661)*N(J1661)*(1-N(K1661)),2))</f>
        <v/>
      </c>
      <c r="AI1661" s="70" t="str">
        <f>IF(OR(J1661="",N(T1661)&lt;=0,V1661="Oui"),"",ROUND(N(T1661)*J1661*(1-N(K1661)),2))</f>
        <v/>
      </c>
    </row>
    <row r="1662">
      <c r="A1662" s="63" t="n"/>
      <c r="B1662" s="64" t="n"/>
      <c r="C1662" s="65" t="n"/>
      <c r="D1662" s="66" t="str">
        <f>IF(C1662="","",IFERROR(INDEX(sup_name,MATCH($C1662,sup_code,0))&amp;"","Fournisseur inconnu"))</f>
        <v/>
      </c>
      <c r="E1662" s="63" t="n"/>
      <c r="F1662" s="66" t="str">
        <f>IF(E1662="","",IFERROR(INDEX(art_des,MATCH($E1662,art_ref,0))&amp;"","Article inconnu"))</f>
        <v/>
      </c>
      <c r="G1662" s="67" t="str">
        <f>IF(E1662="","",IFERROR(INDEX(art_unit,MATCH($E1662,art_ref,0))&amp;"",""))</f>
        <v/>
      </c>
      <c r="H1662" s="68" t="n"/>
      <c r="I1662" s="69" t="n"/>
      <c r="J1662" s="70" t="str">
        <f>IF(E1662="","",IF(ISNUMBER(I1662),I1662,IFERROR(IF(ISNUMBER(INDEX(art_price,MATCH($E1662,art_ref,0))),INDEX(art_price,MATCH($E1662,art_ref,0)),""),"")))</f>
        <v/>
      </c>
      <c r="K1662" s="71" t="n"/>
      <c r="L1662" s="72" t="n"/>
      <c r="M1662" s="72" t="str">
        <f>IF(E1662="","",IF(L1662&lt;&gt;"",L1662,IFERROR(IF(ISNUMBER(INDEX(art_tva,MATCH($E1662,art_ref,0))),INDEX(art_tva,MATCH($E1662,art_ref,0)),""),"")))</f>
        <v/>
      </c>
      <c r="N1662" s="70" t="str">
        <f>IF(OR(E1662="",J1662=""),"",ROUND(N(H1662)*J1662*(1-N(K1662)),2))</f>
        <v/>
      </c>
      <c r="O1662" s="70" t="str">
        <f>IF(OR(N1662="",NOT(ISNUMBER(M1662))),"",ROUND(N1662*M1662,2))</f>
        <v/>
      </c>
      <c r="P1662" s="70" t="str">
        <f>IF(N1662="","",N1662+N(O1662))</f>
        <v/>
      </c>
      <c r="Q1662" s="64" t="n"/>
      <c r="R1662" s="73" t="str">
        <f>IF(N(Q1662)&gt;0,Q1662,IF(OR(N(B1662)=0,ISNA(MATCH($C1662,sup_code,0))),"",IF(ISNUMBER(INDEX(sup_delay,MATCH($C1662,sup_code,0))),B1662+INDEX(sup_delay,MATCH($C1662,sup_code,0)),"")))</f>
        <v/>
      </c>
      <c r="S1662" s="64" t="n"/>
      <c r="T1662" s="68" t="n"/>
      <c r="U1662" s="64" t="n"/>
      <c r="V1662" s="65" t="n"/>
      <c r="W1662" s="74" t="str">
        <f>IF(AND(A1662="",E1662=""),"",IF(V1662="Oui",0,MAX(0,ROUND(N(H1662)-N(T1662),6))))</f>
        <v/>
      </c>
      <c r="X1662" s="67" t="str">
        <f>IF(AND(A1662="",E1662=""),"",IF(V1662="Oui","Annulé",IF(AND(N(H1662)&gt;0,N(T1662)&gt;=N(H1662)),"Reçu",IF(N(S1662)=0,"Brouillon",IF(AND(ISNUMBER(R1662),R1662&lt;p_today),"En retard",IF(N(T1662)&gt;0,"Partiel","Envoyé"))))))</f>
        <v/>
      </c>
      <c r="Y1662" s="75" t="str">
        <f>IF(X1662="En retard",p_today-R1662,IF(AND(X1662="Reçu",ISNUMBER(R1662)),MAX(0,N(U1662)-R1662),""))</f>
        <v/>
      </c>
      <c r="Z1662" s="67" t="str">
        <f>IF(AND(A1662="",E1662=""),"",IF(A1662="","N° de bon manquant",IF(N(B1662)=0,"Date de commande manquante",IF(C1662="","Fournisseur manquant",IF(ISNA(MATCH($C1662,sup_code,0)),"Fournisseur inconnu",IF(E1662="","Article manquant",IF(ISNA(MATCH($E1662,art_ref,0)),"Article inconnu",IF(N(H1662)&lt;=0,"Quantité invalide",IF(J1662="","Prix manquant",IF(OR(N(K1662)&lt;0,N(K1662)&gt;=1),"Remise invalide",IF(M1662="","TVA manquante",IF(ISNA(MATCH(M1662,p_tva,0)),"Taux de TVA inconnu",IF(COUNTIFS(po_num,A1662,po_sup,"&lt;&gt;"&amp;C1662)&gt;0,"Fournisseur différent sur ce bon",IF(COUNTIFS(po_num,A1662,po_date,"&lt;&gt;"&amp;B1662)&gt;0,"Date différente sur ce bon",IF(COUNTIF(po_num,A1662)&gt;25,"Plus de 25 lignes sur ce bon",IF(R1662="","Date de livraison manquante",IF(R1662&lt;B1662,"Livraison avant la commande",IF(AND(N(T1662)&gt;0,N(S1662)=0),"Date d'envoi manquante",IF(N(T1662)&gt;N(H1662),"Reçu plus que commandé",IF(AND(N(T1662)&gt;0,N(U1662)=0),"Date de réception manquante",IF(AND(N(U1662)&gt;0,U1662&lt;B1662),"Réception avant la commande","OK")))))))))))))))))))))</f>
        <v/>
      </c>
      <c r="AA1662" s="66" t="str">
        <f>IF(AND(X1662="Reçu",ISNUMBER(R1662)),IF(N(U1662)&lt;=R1662,1,0),"")</f>
        <v/>
      </c>
      <c r="AB1662" s="76" t="str">
        <f>IF(OR(X1662="Envoyé",X1662="Partiel",X1662="En retard"),IF(ISNUMBER(R1662),R1662,100000)+ROW()/100000,"")</f>
        <v/>
      </c>
      <c r="AC1662" s="66" t="str">
        <f>IF(A1662="","",IF(COUNTIF($A$6:A1662,A1662)=1,1,""))</f>
        <v/>
      </c>
      <c r="AD1662" s="66" t="str">
        <f>IF(AC1662=1,COUNT($AC$6:AC1662),"")</f>
        <v/>
      </c>
      <c r="AE1662" s="66" t="str">
        <f>IFERROR(INDEX(po_num,MATCH(1657,po_seq,0))&amp;"","")</f>
        <v/>
      </c>
      <c r="AF1662" s="66" t="str">
        <f>IF(OR(A1662="",p_po=""),"",IF(A1662&amp;""=p_po,COUNTIF($A$6:A1662,A1662),""))</f>
        <v/>
      </c>
      <c r="AG1662" s="66" t="str">
        <f>IF(OR(AB1662="",A1662=""),"",IF(COUNTIFS($A$6:A1662,A1662,$AB$6:AB1662,"&gt;0")=1,1,""))</f>
        <v/>
      </c>
      <c r="AH1662" s="70" t="str">
        <f>IF(AB1662="","",ROUND(N(W1662)*N(J1662)*(1-N(K1662)),2))</f>
        <v/>
      </c>
      <c r="AI1662" s="70" t="str">
        <f>IF(OR(J1662="",N(T1662)&lt;=0,V1662="Oui"),"",ROUND(N(T1662)*J1662*(1-N(K1662)),2))</f>
        <v/>
      </c>
    </row>
    <row r="1663">
      <c r="A1663" s="63" t="n"/>
      <c r="B1663" s="64" t="n"/>
      <c r="C1663" s="65" t="n"/>
      <c r="D1663" s="66" t="str">
        <f>IF(C1663="","",IFERROR(INDEX(sup_name,MATCH($C1663,sup_code,0))&amp;"","Fournisseur inconnu"))</f>
        <v/>
      </c>
      <c r="E1663" s="63" t="n"/>
      <c r="F1663" s="66" t="str">
        <f>IF(E1663="","",IFERROR(INDEX(art_des,MATCH($E1663,art_ref,0))&amp;"","Article inconnu"))</f>
        <v/>
      </c>
      <c r="G1663" s="67" t="str">
        <f>IF(E1663="","",IFERROR(INDEX(art_unit,MATCH($E1663,art_ref,0))&amp;"",""))</f>
        <v/>
      </c>
      <c r="H1663" s="68" t="n"/>
      <c r="I1663" s="69" t="n"/>
      <c r="J1663" s="70" t="str">
        <f>IF(E1663="","",IF(ISNUMBER(I1663),I1663,IFERROR(IF(ISNUMBER(INDEX(art_price,MATCH($E1663,art_ref,0))),INDEX(art_price,MATCH($E1663,art_ref,0)),""),"")))</f>
        <v/>
      </c>
      <c r="K1663" s="71" t="n"/>
      <c r="L1663" s="72" t="n"/>
      <c r="M1663" s="72" t="str">
        <f>IF(E1663="","",IF(L1663&lt;&gt;"",L1663,IFERROR(IF(ISNUMBER(INDEX(art_tva,MATCH($E1663,art_ref,0))),INDEX(art_tva,MATCH($E1663,art_ref,0)),""),"")))</f>
        <v/>
      </c>
      <c r="N1663" s="70" t="str">
        <f>IF(OR(E1663="",J1663=""),"",ROUND(N(H1663)*J1663*(1-N(K1663)),2))</f>
        <v/>
      </c>
      <c r="O1663" s="70" t="str">
        <f>IF(OR(N1663="",NOT(ISNUMBER(M1663))),"",ROUND(N1663*M1663,2))</f>
        <v/>
      </c>
      <c r="P1663" s="70" t="str">
        <f>IF(N1663="","",N1663+N(O1663))</f>
        <v/>
      </c>
      <c r="Q1663" s="64" t="n"/>
      <c r="R1663" s="73" t="str">
        <f>IF(N(Q1663)&gt;0,Q1663,IF(OR(N(B1663)=0,ISNA(MATCH($C1663,sup_code,0))),"",IF(ISNUMBER(INDEX(sup_delay,MATCH($C1663,sup_code,0))),B1663+INDEX(sup_delay,MATCH($C1663,sup_code,0)),"")))</f>
        <v/>
      </c>
      <c r="S1663" s="64" t="n"/>
      <c r="T1663" s="68" t="n"/>
      <c r="U1663" s="64" t="n"/>
      <c r="V1663" s="65" t="n"/>
      <c r="W1663" s="74" t="str">
        <f>IF(AND(A1663="",E1663=""),"",IF(V1663="Oui",0,MAX(0,ROUND(N(H1663)-N(T1663),6))))</f>
        <v/>
      </c>
      <c r="X1663" s="67" t="str">
        <f>IF(AND(A1663="",E1663=""),"",IF(V1663="Oui","Annulé",IF(AND(N(H1663)&gt;0,N(T1663)&gt;=N(H1663)),"Reçu",IF(N(S1663)=0,"Brouillon",IF(AND(ISNUMBER(R1663),R1663&lt;p_today),"En retard",IF(N(T1663)&gt;0,"Partiel","Envoyé"))))))</f>
        <v/>
      </c>
      <c r="Y1663" s="75" t="str">
        <f>IF(X1663="En retard",p_today-R1663,IF(AND(X1663="Reçu",ISNUMBER(R1663)),MAX(0,N(U1663)-R1663),""))</f>
        <v/>
      </c>
      <c r="Z1663" s="67" t="str">
        <f>IF(AND(A1663="",E1663=""),"",IF(A1663="","N° de bon manquant",IF(N(B1663)=0,"Date de commande manquante",IF(C1663="","Fournisseur manquant",IF(ISNA(MATCH($C1663,sup_code,0)),"Fournisseur inconnu",IF(E1663="","Article manquant",IF(ISNA(MATCH($E1663,art_ref,0)),"Article inconnu",IF(N(H1663)&lt;=0,"Quantité invalide",IF(J1663="","Prix manquant",IF(OR(N(K1663)&lt;0,N(K1663)&gt;=1),"Remise invalide",IF(M1663="","TVA manquante",IF(ISNA(MATCH(M1663,p_tva,0)),"Taux de TVA inconnu",IF(COUNTIFS(po_num,A1663,po_sup,"&lt;&gt;"&amp;C1663)&gt;0,"Fournisseur différent sur ce bon",IF(COUNTIFS(po_num,A1663,po_date,"&lt;&gt;"&amp;B1663)&gt;0,"Date différente sur ce bon",IF(COUNTIF(po_num,A1663)&gt;25,"Plus de 25 lignes sur ce bon",IF(R1663="","Date de livraison manquante",IF(R1663&lt;B1663,"Livraison avant la commande",IF(AND(N(T1663)&gt;0,N(S1663)=0),"Date d'envoi manquante",IF(N(T1663)&gt;N(H1663),"Reçu plus que commandé",IF(AND(N(T1663)&gt;0,N(U1663)=0),"Date de réception manquante",IF(AND(N(U1663)&gt;0,U1663&lt;B1663),"Réception avant la commande","OK")))))))))))))))))))))</f>
        <v/>
      </c>
      <c r="AA1663" s="66" t="str">
        <f>IF(AND(X1663="Reçu",ISNUMBER(R1663)),IF(N(U1663)&lt;=R1663,1,0),"")</f>
        <v/>
      </c>
      <c r="AB1663" s="76" t="str">
        <f>IF(OR(X1663="Envoyé",X1663="Partiel",X1663="En retard"),IF(ISNUMBER(R1663),R1663,100000)+ROW()/100000,"")</f>
        <v/>
      </c>
      <c r="AC1663" s="66" t="str">
        <f>IF(A1663="","",IF(COUNTIF($A$6:A1663,A1663)=1,1,""))</f>
        <v/>
      </c>
      <c r="AD1663" s="66" t="str">
        <f>IF(AC1663=1,COUNT($AC$6:AC1663),"")</f>
        <v/>
      </c>
      <c r="AE1663" s="66" t="str">
        <f>IFERROR(INDEX(po_num,MATCH(1658,po_seq,0))&amp;"","")</f>
        <v/>
      </c>
      <c r="AF1663" s="66" t="str">
        <f>IF(OR(A1663="",p_po=""),"",IF(A1663&amp;""=p_po,COUNTIF($A$6:A1663,A1663),""))</f>
        <v/>
      </c>
      <c r="AG1663" s="66" t="str">
        <f>IF(OR(AB1663="",A1663=""),"",IF(COUNTIFS($A$6:A1663,A1663,$AB$6:AB1663,"&gt;0")=1,1,""))</f>
        <v/>
      </c>
      <c r="AH1663" s="70" t="str">
        <f>IF(AB1663="","",ROUND(N(W1663)*N(J1663)*(1-N(K1663)),2))</f>
        <v/>
      </c>
      <c r="AI1663" s="70" t="str">
        <f>IF(OR(J1663="",N(T1663)&lt;=0,V1663="Oui"),"",ROUND(N(T1663)*J1663*(1-N(K1663)),2))</f>
        <v/>
      </c>
    </row>
    <row r="1664">
      <c r="A1664" s="63" t="n"/>
      <c r="B1664" s="64" t="n"/>
      <c r="C1664" s="65" t="n"/>
      <c r="D1664" s="66" t="str">
        <f>IF(C1664="","",IFERROR(INDEX(sup_name,MATCH($C1664,sup_code,0))&amp;"","Fournisseur inconnu"))</f>
        <v/>
      </c>
      <c r="E1664" s="63" t="n"/>
      <c r="F1664" s="66" t="str">
        <f>IF(E1664="","",IFERROR(INDEX(art_des,MATCH($E1664,art_ref,0))&amp;"","Article inconnu"))</f>
        <v/>
      </c>
      <c r="G1664" s="67" t="str">
        <f>IF(E1664="","",IFERROR(INDEX(art_unit,MATCH($E1664,art_ref,0))&amp;"",""))</f>
        <v/>
      </c>
      <c r="H1664" s="68" t="n"/>
      <c r="I1664" s="69" t="n"/>
      <c r="J1664" s="70" t="str">
        <f>IF(E1664="","",IF(ISNUMBER(I1664),I1664,IFERROR(IF(ISNUMBER(INDEX(art_price,MATCH($E1664,art_ref,0))),INDEX(art_price,MATCH($E1664,art_ref,0)),""),"")))</f>
        <v/>
      </c>
      <c r="K1664" s="71" t="n"/>
      <c r="L1664" s="72" t="n"/>
      <c r="M1664" s="72" t="str">
        <f>IF(E1664="","",IF(L1664&lt;&gt;"",L1664,IFERROR(IF(ISNUMBER(INDEX(art_tva,MATCH($E1664,art_ref,0))),INDEX(art_tva,MATCH($E1664,art_ref,0)),""),"")))</f>
        <v/>
      </c>
      <c r="N1664" s="70" t="str">
        <f>IF(OR(E1664="",J1664=""),"",ROUND(N(H1664)*J1664*(1-N(K1664)),2))</f>
        <v/>
      </c>
      <c r="O1664" s="70" t="str">
        <f>IF(OR(N1664="",NOT(ISNUMBER(M1664))),"",ROUND(N1664*M1664,2))</f>
        <v/>
      </c>
      <c r="P1664" s="70" t="str">
        <f>IF(N1664="","",N1664+N(O1664))</f>
        <v/>
      </c>
      <c r="Q1664" s="64" t="n"/>
      <c r="R1664" s="73" t="str">
        <f>IF(N(Q1664)&gt;0,Q1664,IF(OR(N(B1664)=0,ISNA(MATCH($C1664,sup_code,0))),"",IF(ISNUMBER(INDEX(sup_delay,MATCH($C1664,sup_code,0))),B1664+INDEX(sup_delay,MATCH($C1664,sup_code,0)),"")))</f>
        <v/>
      </c>
      <c r="S1664" s="64" t="n"/>
      <c r="T1664" s="68" t="n"/>
      <c r="U1664" s="64" t="n"/>
      <c r="V1664" s="65" t="n"/>
      <c r="W1664" s="74" t="str">
        <f>IF(AND(A1664="",E1664=""),"",IF(V1664="Oui",0,MAX(0,ROUND(N(H1664)-N(T1664),6))))</f>
        <v/>
      </c>
      <c r="X1664" s="67" t="str">
        <f>IF(AND(A1664="",E1664=""),"",IF(V1664="Oui","Annulé",IF(AND(N(H1664)&gt;0,N(T1664)&gt;=N(H1664)),"Reçu",IF(N(S1664)=0,"Brouillon",IF(AND(ISNUMBER(R1664),R1664&lt;p_today),"En retard",IF(N(T1664)&gt;0,"Partiel","Envoyé"))))))</f>
        <v/>
      </c>
      <c r="Y1664" s="75" t="str">
        <f>IF(X1664="En retard",p_today-R1664,IF(AND(X1664="Reçu",ISNUMBER(R1664)),MAX(0,N(U1664)-R1664),""))</f>
        <v/>
      </c>
      <c r="Z1664" s="67" t="str">
        <f>IF(AND(A1664="",E1664=""),"",IF(A1664="","N° de bon manquant",IF(N(B1664)=0,"Date de commande manquante",IF(C1664="","Fournisseur manquant",IF(ISNA(MATCH($C1664,sup_code,0)),"Fournisseur inconnu",IF(E1664="","Article manquant",IF(ISNA(MATCH($E1664,art_ref,0)),"Article inconnu",IF(N(H1664)&lt;=0,"Quantité invalide",IF(J1664="","Prix manquant",IF(OR(N(K1664)&lt;0,N(K1664)&gt;=1),"Remise invalide",IF(M1664="","TVA manquante",IF(ISNA(MATCH(M1664,p_tva,0)),"Taux de TVA inconnu",IF(COUNTIFS(po_num,A1664,po_sup,"&lt;&gt;"&amp;C1664)&gt;0,"Fournisseur différent sur ce bon",IF(COUNTIFS(po_num,A1664,po_date,"&lt;&gt;"&amp;B1664)&gt;0,"Date différente sur ce bon",IF(COUNTIF(po_num,A1664)&gt;25,"Plus de 25 lignes sur ce bon",IF(R1664="","Date de livraison manquante",IF(R1664&lt;B1664,"Livraison avant la commande",IF(AND(N(T1664)&gt;0,N(S1664)=0),"Date d'envoi manquante",IF(N(T1664)&gt;N(H1664),"Reçu plus que commandé",IF(AND(N(T1664)&gt;0,N(U1664)=0),"Date de réception manquante",IF(AND(N(U1664)&gt;0,U1664&lt;B1664),"Réception avant la commande","OK")))))))))))))))))))))</f>
        <v/>
      </c>
      <c r="AA1664" s="66" t="str">
        <f>IF(AND(X1664="Reçu",ISNUMBER(R1664)),IF(N(U1664)&lt;=R1664,1,0),"")</f>
        <v/>
      </c>
      <c r="AB1664" s="76" t="str">
        <f>IF(OR(X1664="Envoyé",X1664="Partiel",X1664="En retard"),IF(ISNUMBER(R1664),R1664,100000)+ROW()/100000,"")</f>
        <v/>
      </c>
      <c r="AC1664" s="66" t="str">
        <f>IF(A1664="","",IF(COUNTIF($A$6:A1664,A1664)=1,1,""))</f>
        <v/>
      </c>
      <c r="AD1664" s="66" t="str">
        <f>IF(AC1664=1,COUNT($AC$6:AC1664),"")</f>
        <v/>
      </c>
      <c r="AE1664" s="66" t="str">
        <f>IFERROR(INDEX(po_num,MATCH(1659,po_seq,0))&amp;"","")</f>
        <v/>
      </c>
      <c r="AF1664" s="66" t="str">
        <f>IF(OR(A1664="",p_po=""),"",IF(A1664&amp;""=p_po,COUNTIF($A$6:A1664,A1664),""))</f>
        <v/>
      </c>
      <c r="AG1664" s="66" t="str">
        <f>IF(OR(AB1664="",A1664=""),"",IF(COUNTIFS($A$6:A1664,A1664,$AB$6:AB1664,"&gt;0")=1,1,""))</f>
        <v/>
      </c>
      <c r="AH1664" s="70" t="str">
        <f>IF(AB1664="","",ROUND(N(W1664)*N(J1664)*(1-N(K1664)),2))</f>
        <v/>
      </c>
      <c r="AI1664" s="70" t="str">
        <f>IF(OR(J1664="",N(T1664)&lt;=0,V1664="Oui"),"",ROUND(N(T1664)*J1664*(1-N(K1664)),2))</f>
        <v/>
      </c>
    </row>
    <row r="1665">
      <c r="A1665" s="63" t="n"/>
      <c r="B1665" s="64" t="n"/>
      <c r="C1665" s="65" t="n"/>
      <c r="D1665" s="66" t="str">
        <f>IF(C1665="","",IFERROR(INDEX(sup_name,MATCH($C1665,sup_code,0))&amp;"","Fournisseur inconnu"))</f>
        <v/>
      </c>
      <c r="E1665" s="63" t="n"/>
      <c r="F1665" s="66" t="str">
        <f>IF(E1665="","",IFERROR(INDEX(art_des,MATCH($E1665,art_ref,0))&amp;"","Article inconnu"))</f>
        <v/>
      </c>
      <c r="G1665" s="67" t="str">
        <f>IF(E1665="","",IFERROR(INDEX(art_unit,MATCH($E1665,art_ref,0))&amp;"",""))</f>
        <v/>
      </c>
      <c r="H1665" s="68" t="n"/>
      <c r="I1665" s="69" t="n"/>
      <c r="J1665" s="70" t="str">
        <f>IF(E1665="","",IF(ISNUMBER(I1665),I1665,IFERROR(IF(ISNUMBER(INDEX(art_price,MATCH($E1665,art_ref,0))),INDEX(art_price,MATCH($E1665,art_ref,0)),""),"")))</f>
        <v/>
      </c>
      <c r="K1665" s="71" t="n"/>
      <c r="L1665" s="72" t="n"/>
      <c r="M1665" s="72" t="str">
        <f>IF(E1665="","",IF(L1665&lt;&gt;"",L1665,IFERROR(IF(ISNUMBER(INDEX(art_tva,MATCH($E1665,art_ref,0))),INDEX(art_tva,MATCH($E1665,art_ref,0)),""),"")))</f>
        <v/>
      </c>
      <c r="N1665" s="70" t="str">
        <f>IF(OR(E1665="",J1665=""),"",ROUND(N(H1665)*J1665*(1-N(K1665)),2))</f>
        <v/>
      </c>
      <c r="O1665" s="70" t="str">
        <f>IF(OR(N1665="",NOT(ISNUMBER(M1665))),"",ROUND(N1665*M1665,2))</f>
        <v/>
      </c>
      <c r="P1665" s="70" t="str">
        <f>IF(N1665="","",N1665+N(O1665))</f>
        <v/>
      </c>
      <c r="Q1665" s="64" t="n"/>
      <c r="R1665" s="73" t="str">
        <f>IF(N(Q1665)&gt;0,Q1665,IF(OR(N(B1665)=0,ISNA(MATCH($C1665,sup_code,0))),"",IF(ISNUMBER(INDEX(sup_delay,MATCH($C1665,sup_code,0))),B1665+INDEX(sup_delay,MATCH($C1665,sup_code,0)),"")))</f>
        <v/>
      </c>
      <c r="S1665" s="64" t="n"/>
      <c r="T1665" s="68" t="n"/>
      <c r="U1665" s="64" t="n"/>
      <c r="V1665" s="65" t="n"/>
      <c r="W1665" s="74" t="str">
        <f>IF(AND(A1665="",E1665=""),"",IF(V1665="Oui",0,MAX(0,ROUND(N(H1665)-N(T1665),6))))</f>
        <v/>
      </c>
      <c r="X1665" s="67" t="str">
        <f>IF(AND(A1665="",E1665=""),"",IF(V1665="Oui","Annulé",IF(AND(N(H1665)&gt;0,N(T1665)&gt;=N(H1665)),"Reçu",IF(N(S1665)=0,"Brouillon",IF(AND(ISNUMBER(R1665),R1665&lt;p_today),"En retard",IF(N(T1665)&gt;0,"Partiel","Envoyé"))))))</f>
        <v/>
      </c>
      <c r="Y1665" s="75" t="str">
        <f>IF(X1665="En retard",p_today-R1665,IF(AND(X1665="Reçu",ISNUMBER(R1665)),MAX(0,N(U1665)-R1665),""))</f>
        <v/>
      </c>
      <c r="Z1665" s="67" t="str">
        <f>IF(AND(A1665="",E1665=""),"",IF(A1665="","N° de bon manquant",IF(N(B1665)=0,"Date de commande manquante",IF(C1665="","Fournisseur manquant",IF(ISNA(MATCH($C1665,sup_code,0)),"Fournisseur inconnu",IF(E1665="","Article manquant",IF(ISNA(MATCH($E1665,art_ref,0)),"Article inconnu",IF(N(H1665)&lt;=0,"Quantité invalide",IF(J1665="","Prix manquant",IF(OR(N(K1665)&lt;0,N(K1665)&gt;=1),"Remise invalide",IF(M1665="","TVA manquante",IF(ISNA(MATCH(M1665,p_tva,0)),"Taux de TVA inconnu",IF(COUNTIFS(po_num,A1665,po_sup,"&lt;&gt;"&amp;C1665)&gt;0,"Fournisseur différent sur ce bon",IF(COUNTIFS(po_num,A1665,po_date,"&lt;&gt;"&amp;B1665)&gt;0,"Date différente sur ce bon",IF(COUNTIF(po_num,A1665)&gt;25,"Plus de 25 lignes sur ce bon",IF(R1665="","Date de livraison manquante",IF(R1665&lt;B1665,"Livraison avant la commande",IF(AND(N(T1665)&gt;0,N(S1665)=0),"Date d'envoi manquante",IF(N(T1665)&gt;N(H1665),"Reçu plus que commandé",IF(AND(N(T1665)&gt;0,N(U1665)=0),"Date de réception manquante",IF(AND(N(U1665)&gt;0,U1665&lt;B1665),"Réception avant la commande","OK")))))))))))))))))))))</f>
        <v/>
      </c>
      <c r="AA1665" s="66" t="str">
        <f>IF(AND(X1665="Reçu",ISNUMBER(R1665)),IF(N(U1665)&lt;=R1665,1,0),"")</f>
        <v/>
      </c>
      <c r="AB1665" s="76" t="str">
        <f>IF(OR(X1665="Envoyé",X1665="Partiel",X1665="En retard"),IF(ISNUMBER(R1665),R1665,100000)+ROW()/100000,"")</f>
        <v/>
      </c>
      <c r="AC1665" s="66" t="str">
        <f>IF(A1665="","",IF(COUNTIF($A$6:A1665,A1665)=1,1,""))</f>
        <v/>
      </c>
      <c r="AD1665" s="66" t="str">
        <f>IF(AC1665=1,COUNT($AC$6:AC1665),"")</f>
        <v/>
      </c>
      <c r="AE1665" s="66" t="str">
        <f>IFERROR(INDEX(po_num,MATCH(1660,po_seq,0))&amp;"","")</f>
        <v/>
      </c>
      <c r="AF1665" s="66" t="str">
        <f>IF(OR(A1665="",p_po=""),"",IF(A1665&amp;""=p_po,COUNTIF($A$6:A1665,A1665),""))</f>
        <v/>
      </c>
      <c r="AG1665" s="66" t="str">
        <f>IF(OR(AB1665="",A1665=""),"",IF(COUNTIFS($A$6:A1665,A1665,$AB$6:AB1665,"&gt;0")=1,1,""))</f>
        <v/>
      </c>
      <c r="AH1665" s="70" t="str">
        <f>IF(AB1665="","",ROUND(N(W1665)*N(J1665)*(1-N(K1665)),2))</f>
        <v/>
      </c>
      <c r="AI1665" s="70" t="str">
        <f>IF(OR(J1665="",N(T1665)&lt;=0,V1665="Oui"),"",ROUND(N(T1665)*J1665*(1-N(K1665)),2))</f>
        <v/>
      </c>
    </row>
    <row r="1666">
      <c r="A1666" s="63" t="n"/>
      <c r="B1666" s="64" t="n"/>
      <c r="C1666" s="65" t="n"/>
      <c r="D1666" s="66" t="str">
        <f>IF(C1666="","",IFERROR(INDEX(sup_name,MATCH($C1666,sup_code,0))&amp;"","Fournisseur inconnu"))</f>
        <v/>
      </c>
      <c r="E1666" s="63" t="n"/>
      <c r="F1666" s="66" t="str">
        <f>IF(E1666="","",IFERROR(INDEX(art_des,MATCH($E1666,art_ref,0))&amp;"","Article inconnu"))</f>
        <v/>
      </c>
      <c r="G1666" s="67" t="str">
        <f>IF(E1666="","",IFERROR(INDEX(art_unit,MATCH($E1666,art_ref,0))&amp;"",""))</f>
        <v/>
      </c>
      <c r="H1666" s="68" t="n"/>
      <c r="I1666" s="69" t="n"/>
      <c r="J1666" s="70" t="str">
        <f>IF(E1666="","",IF(ISNUMBER(I1666),I1666,IFERROR(IF(ISNUMBER(INDEX(art_price,MATCH($E1666,art_ref,0))),INDEX(art_price,MATCH($E1666,art_ref,0)),""),"")))</f>
        <v/>
      </c>
      <c r="K1666" s="71" t="n"/>
      <c r="L1666" s="72" t="n"/>
      <c r="M1666" s="72" t="str">
        <f>IF(E1666="","",IF(L1666&lt;&gt;"",L1666,IFERROR(IF(ISNUMBER(INDEX(art_tva,MATCH($E1666,art_ref,0))),INDEX(art_tva,MATCH($E1666,art_ref,0)),""),"")))</f>
        <v/>
      </c>
      <c r="N1666" s="70" t="str">
        <f>IF(OR(E1666="",J1666=""),"",ROUND(N(H1666)*J1666*(1-N(K1666)),2))</f>
        <v/>
      </c>
      <c r="O1666" s="70" t="str">
        <f>IF(OR(N1666="",NOT(ISNUMBER(M1666))),"",ROUND(N1666*M1666,2))</f>
        <v/>
      </c>
      <c r="P1666" s="70" t="str">
        <f>IF(N1666="","",N1666+N(O1666))</f>
        <v/>
      </c>
      <c r="Q1666" s="64" t="n"/>
      <c r="R1666" s="73" t="str">
        <f>IF(N(Q1666)&gt;0,Q1666,IF(OR(N(B1666)=0,ISNA(MATCH($C1666,sup_code,0))),"",IF(ISNUMBER(INDEX(sup_delay,MATCH($C1666,sup_code,0))),B1666+INDEX(sup_delay,MATCH($C1666,sup_code,0)),"")))</f>
        <v/>
      </c>
      <c r="S1666" s="64" t="n"/>
      <c r="T1666" s="68" t="n"/>
      <c r="U1666" s="64" t="n"/>
      <c r="V1666" s="65" t="n"/>
      <c r="W1666" s="74" t="str">
        <f>IF(AND(A1666="",E1666=""),"",IF(V1666="Oui",0,MAX(0,ROUND(N(H1666)-N(T1666),6))))</f>
        <v/>
      </c>
      <c r="X1666" s="67" t="str">
        <f>IF(AND(A1666="",E1666=""),"",IF(V1666="Oui","Annulé",IF(AND(N(H1666)&gt;0,N(T1666)&gt;=N(H1666)),"Reçu",IF(N(S1666)=0,"Brouillon",IF(AND(ISNUMBER(R1666),R1666&lt;p_today),"En retard",IF(N(T1666)&gt;0,"Partiel","Envoyé"))))))</f>
        <v/>
      </c>
      <c r="Y1666" s="75" t="str">
        <f>IF(X1666="En retard",p_today-R1666,IF(AND(X1666="Reçu",ISNUMBER(R1666)),MAX(0,N(U1666)-R1666),""))</f>
        <v/>
      </c>
      <c r="Z1666" s="67" t="str">
        <f>IF(AND(A1666="",E1666=""),"",IF(A1666="","N° de bon manquant",IF(N(B1666)=0,"Date de commande manquante",IF(C1666="","Fournisseur manquant",IF(ISNA(MATCH($C1666,sup_code,0)),"Fournisseur inconnu",IF(E1666="","Article manquant",IF(ISNA(MATCH($E1666,art_ref,0)),"Article inconnu",IF(N(H1666)&lt;=0,"Quantité invalide",IF(J1666="","Prix manquant",IF(OR(N(K1666)&lt;0,N(K1666)&gt;=1),"Remise invalide",IF(M1666="","TVA manquante",IF(ISNA(MATCH(M1666,p_tva,0)),"Taux de TVA inconnu",IF(COUNTIFS(po_num,A1666,po_sup,"&lt;&gt;"&amp;C1666)&gt;0,"Fournisseur différent sur ce bon",IF(COUNTIFS(po_num,A1666,po_date,"&lt;&gt;"&amp;B1666)&gt;0,"Date différente sur ce bon",IF(COUNTIF(po_num,A1666)&gt;25,"Plus de 25 lignes sur ce bon",IF(R1666="","Date de livraison manquante",IF(R1666&lt;B1666,"Livraison avant la commande",IF(AND(N(T1666)&gt;0,N(S1666)=0),"Date d'envoi manquante",IF(N(T1666)&gt;N(H1666),"Reçu plus que commandé",IF(AND(N(T1666)&gt;0,N(U1666)=0),"Date de réception manquante",IF(AND(N(U1666)&gt;0,U1666&lt;B1666),"Réception avant la commande","OK")))))))))))))))))))))</f>
        <v/>
      </c>
      <c r="AA1666" s="66" t="str">
        <f>IF(AND(X1666="Reçu",ISNUMBER(R1666)),IF(N(U1666)&lt;=R1666,1,0),"")</f>
        <v/>
      </c>
      <c r="AB1666" s="76" t="str">
        <f>IF(OR(X1666="Envoyé",X1666="Partiel",X1666="En retard"),IF(ISNUMBER(R1666),R1666,100000)+ROW()/100000,"")</f>
        <v/>
      </c>
      <c r="AC1666" s="66" t="str">
        <f>IF(A1666="","",IF(COUNTIF($A$6:A1666,A1666)=1,1,""))</f>
        <v/>
      </c>
      <c r="AD1666" s="66" t="str">
        <f>IF(AC1666=1,COUNT($AC$6:AC1666),"")</f>
        <v/>
      </c>
      <c r="AE1666" s="66" t="str">
        <f>IFERROR(INDEX(po_num,MATCH(1661,po_seq,0))&amp;"","")</f>
        <v/>
      </c>
      <c r="AF1666" s="66" t="str">
        <f>IF(OR(A1666="",p_po=""),"",IF(A1666&amp;""=p_po,COUNTIF($A$6:A1666,A1666),""))</f>
        <v/>
      </c>
      <c r="AG1666" s="66" t="str">
        <f>IF(OR(AB1666="",A1666=""),"",IF(COUNTIFS($A$6:A1666,A1666,$AB$6:AB1666,"&gt;0")=1,1,""))</f>
        <v/>
      </c>
      <c r="AH1666" s="70" t="str">
        <f>IF(AB1666="","",ROUND(N(W1666)*N(J1666)*(1-N(K1666)),2))</f>
        <v/>
      </c>
      <c r="AI1666" s="70" t="str">
        <f>IF(OR(J1666="",N(T1666)&lt;=0,V1666="Oui"),"",ROUND(N(T1666)*J1666*(1-N(K1666)),2))</f>
        <v/>
      </c>
    </row>
    <row r="1667">
      <c r="A1667" s="63" t="n"/>
      <c r="B1667" s="64" t="n"/>
      <c r="C1667" s="65" t="n"/>
      <c r="D1667" s="66" t="str">
        <f>IF(C1667="","",IFERROR(INDEX(sup_name,MATCH($C1667,sup_code,0))&amp;"","Fournisseur inconnu"))</f>
        <v/>
      </c>
      <c r="E1667" s="63" t="n"/>
      <c r="F1667" s="66" t="str">
        <f>IF(E1667="","",IFERROR(INDEX(art_des,MATCH($E1667,art_ref,0))&amp;"","Article inconnu"))</f>
        <v/>
      </c>
      <c r="G1667" s="67" t="str">
        <f>IF(E1667="","",IFERROR(INDEX(art_unit,MATCH($E1667,art_ref,0))&amp;"",""))</f>
        <v/>
      </c>
      <c r="H1667" s="68" t="n"/>
      <c r="I1667" s="69" t="n"/>
      <c r="J1667" s="70" t="str">
        <f>IF(E1667="","",IF(ISNUMBER(I1667),I1667,IFERROR(IF(ISNUMBER(INDEX(art_price,MATCH($E1667,art_ref,0))),INDEX(art_price,MATCH($E1667,art_ref,0)),""),"")))</f>
        <v/>
      </c>
      <c r="K1667" s="71" t="n"/>
      <c r="L1667" s="72" t="n"/>
      <c r="M1667" s="72" t="str">
        <f>IF(E1667="","",IF(L1667&lt;&gt;"",L1667,IFERROR(IF(ISNUMBER(INDEX(art_tva,MATCH($E1667,art_ref,0))),INDEX(art_tva,MATCH($E1667,art_ref,0)),""),"")))</f>
        <v/>
      </c>
      <c r="N1667" s="70" t="str">
        <f>IF(OR(E1667="",J1667=""),"",ROUND(N(H1667)*J1667*(1-N(K1667)),2))</f>
        <v/>
      </c>
      <c r="O1667" s="70" t="str">
        <f>IF(OR(N1667="",NOT(ISNUMBER(M1667))),"",ROUND(N1667*M1667,2))</f>
        <v/>
      </c>
      <c r="P1667" s="70" t="str">
        <f>IF(N1667="","",N1667+N(O1667))</f>
        <v/>
      </c>
      <c r="Q1667" s="64" t="n"/>
      <c r="R1667" s="73" t="str">
        <f>IF(N(Q1667)&gt;0,Q1667,IF(OR(N(B1667)=0,ISNA(MATCH($C1667,sup_code,0))),"",IF(ISNUMBER(INDEX(sup_delay,MATCH($C1667,sup_code,0))),B1667+INDEX(sup_delay,MATCH($C1667,sup_code,0)),"")))</f>
        <v/>
      </c>
      <c r="S1667" s="64" t="n"/>
      <c r="T1667" s="68" t="n"/>
      <c r="U1667" s="64" t="n"/>
      <c r="V1667" s="65" t="n"/>
      <c r="W1667" s="74" t="str">
        <f>IF(AND(A1667="",E1667=""),"",IF(V1667="Oui",0,MAX(0,ROUND(N(H1667)-N(T1667),6))))</f>
        <v/>
      </c>
      <c r="X1667" s="67" t="str">
        <f>IF(AND(A1667="",E1667=""),"",IF(V1667="Oui","Annulé",IF(AND(N(H1667)&gt;0,N(T1667)&gt;=N(H1667)),"Reçu",IF(N(S1667)=0,"Brouillon",IF(AND(ISNUMBER(R1667),R1667&lt;p_today),"En retard",IF(N(T1667)&gt;0,"Partiel","Envoyé"))))))</f>
        <v/>
      </c>
      <c r="Y1667" s="75" t="str">
        <f>IF(X1667="En retard",p_today-R1667,IF(AND(X1667="Reçu",ISNUMBER(R1667)),MAX(0,N(U1667)-R1667),""))</f>
        <v/>
      </c>
      <c r="Z1667" s="67" t="str">
        <f>IF(AND(A1667="",E1667=""),"",IF(A1667="","N° de bon manquant",IF(N(B1667)=0,"Date de commande manquante",IF(C1667="","Fournisseur manquant",IF(ISNA(MATCH($C1667,sup_code,0)),"Fournisseur inconnu",IF(E1667="","Article manquant",IF(ISNA(MATCH($E1667,art_ref,0)),"Article inconnu",IF(N(H1667)&lt;=0,"Quantité invalide",IF(J1667="","Prix manquant",IF(OR(N(K1667)&lt;0,N(K1667)&gt;=1),"Remise invalide",IF(M1667="","TVA manquante",IF(ISNA(MATCH(M1667,p_tva,0)),"Taux de TVA inconnu",IF(COUNTIFS(po_num,A1667,po_sup,"&lt;&gt;"&amp;C1667)&gt;0,"Fournisseur différent sur ce bon",IF(COUNTIFS(po_num,A1667,po_date,"&lt;&gt;"&amp;B1667)&gt;0,"Date différente sur ce bon",IF(COUNTIF(po_num,A1667)&gt;25,"Plus de 25 lignes sur ce bon",IF(R1667="","Date de livraison manquante",IF(R1667&lt;B1667,"Livraison avant la commande",IF(AND(N(T1667)&gt;0,N(S1667)=0),"Date d'envoi manquante",IF(N(T1667)&gt;N(H1667),"Reçu plus que commandé",IF(AND(N(T1667)&gt;0,N(U1667)=0),"Date de réception manquante",IF(AND(N(U1667)&gt;0,U1667&lt;B1667),"Réception avant la commande","OK")))))))))))))))))))))</f>
        <v/>
      </c>
      <c r="AA1667" s="66" t="str">
        <f>IF(AND(X1667="Reçu",ISNUMBER(R1667)),IF(N(U1667)&lt;=R1667,1,0),"")</f>
        <v/>
      </c>
      <c r="AB1667" s="76" t="str">
        <f>IF(OR(X1667="Envoyé",X1667="Partiel",X1667="En retard"),IF(ISNUMBER(R1667),R1667,100000)+ROW()/100000,"")</f>
        <v/>
      </c>
      <c r="AC1667" s="66" t="str">
        <f>IF(A1667="","",IF(COUNTIF($A$6:A1667,A1667)=1,1,""))</f>
        <v/>
      </c>
      <c r="AD1667" s="66" t="str">
        <f>IF(AC1667=1,COUNT($AC$6:AC1667),"")</f>
        <v/>
      </c>
      <c r="AE1667" s="66" t="str">
        <f>IFERROR(INDEX(po_num,MATCH(1662,po_seq,0))&amp;"","")</f>
        <v/>
      </c>
      <c r="AF1667" s="66" t="str">
        <f>IF(OR(A1667="",p_po=""),"",IF(A1667&amp;""=p_po,COUNTIF($A$6:A1667,A1667),""))</f>
        <v/>
      </c>
      <c r="AG1667" s="66" t="str">
        <f>IF(OR(AB1667="",A1667=""),"",IF(COUNTIFS($A$6:A1667,A1667,$AB$6:AB1667,"&gt;0")=1,1,""))</f>
        <v/>
      </c>
      <c r="AH1667" s="70" t="str">
        <f>IF(AB1667="","",ROUND(N(W1667)*N(J1667)*(1-N(K1667)),2))</f>
        <v/>
      </c>
      <c r="AI1667" s="70" t="str">
        <f>IF(OR(J1667="",N(T1667)&lt;=0,V1667="Oui"),"",ROUND(N(T1667)*J1667*(1-N(K1667)),2))</f>
        <v/>
      </c>
    </row>
    <row r="1668">
      <c r="A1668" s="63" t="n"/>
      <c r="B1668" s="64" t="n"/>
      <c r="C1668" s="65" t="n"/>
      <c r="D1668" s="66" t="str">
        <f>IF(C1668="","",IFERROR(INDEX(sup_name,MATCH($C1668,sup_code,0))&amp;"","Fournisseur inconnu"))</f>
        <v/>
      </c>
      <c r="E1668" s="63" t="n"/>
      <c r="F1668" s="66" t="str">
        <f>IF(E1668="","",IFERROR(INDEX(art_des,MATCH($E1668,art_ref,0))&amp;"","Article inconnu"))</f>
        <v/>
      </c>
      <c r="G1668" s="67" t="str">
        <f>IF(E1668="","",IFERROR(INDEX(art_unit,MATCH($E1668,art_ref,0))&amp;"",""))</f>
        <v/>
      </c>
      <c r="H1668" s="68" t="n"/>
      <c r="I1668" s="69" t="n"/>
      <c r="J1668" s="70" t="str">
        <f>IF(E1668="","",IF(ISNUMBER(I1668),I1668,IFERROR(IF(ISNUMBER(INDEX(art_price,MATCH($E1668,art_ref,0))),INDEX(art_price,MATCH($E1668,art_ref,0)),""),"")))</f>
        <v/>
      </c>
      <c r="K1668" s="71" t="n"/>
      <c r="L1668" s="72" t="n"/>
      <c r="M1668" s="72" t="str">
        <f>IF(E1668="","",IF(L1668&lt;&gt;"",L1668,IFERROR(IF(ISNUMBER(INDEX(art_tva,MATCH($E1668,art_ref,0))),INDEX(art_tva,MATCH($E1668,art_ref,0)),""),"")))</f>
        <v/>
      </c>
      <c r="N1668" s="70" t="str">
        <f>IF(OR(E1668="",J1668=""),"",ROUND(N(H1668)*J1668*(1-N(K1668)),2))</f>
        <v/>
      </c>
      <c r="O1668" s="70" t="str">
        <f>IF(OR(N1668="",NOT(ISNUMBER(M1668))),"",ROUND(N1668*M1668,2))</f>
        <v/>
      </c>
      <c r="P1668" s="70" t="str">
        <f>IF(N1668="","",N1668+N(O1668))</f>
        <v/>
      </c>
      <c r="Q1668" s="64" t="n"/>
      <c r="R1668" s="73" t="str">
        <f>IF(N(Q1668)&gt;0,Q1668,IF(OR(N(B1668)=0,ISNA(MATCH($C1668,sup_code,0))),"",IF(ISNUMBER(INDEX(sup_delay,MATCH($C1668,sup_code,0))),B1668+INDEX(sup_delay,MATCH($C1668,sup_code,0)),"")))</f>
        <v/>
      </c>
      <c r="S1668" s="64" t="n"/>
      <c r="T1668" s="68" t="n"/>
      <c r="U1668" s="64" t="n"/>
      <c r="V1668" s="65" t="n"/>
      <c r="W1668" s="74" t="str">
        <f>IF(AND(A1668="",E1668=""),"",IF(V1668="Oui",0,MAX(0,ROUND(N(H1668)-N(T1668),6))))</f>
        <v/>
      </c>
      <c r="X1668" s="67" t="str">
        <f>IF(AND(A1668="",E1668=""),"",IF(V1668="Oui","Annulé",IF(AND(N(H1668)&gt;0,N(T1668)&gt;=N(H1668)),"Reçu",IF(N(S1668)=0,"Brouillon",IF(AND(ISNUMBER(R1668),R1668&lt;p_today),"En retard",IF(N(T1668)&gt;0,"Partiel","Envoyé"))))))</f>
        <v/>
      </c>
      <c r="Y1668" s="75" t="str">
        <f>IF(X1668="En retard",p_today-R1668,IF(AND(X1668="Reçu",ISNUMBER(R1668)),MAX(0,N(U1668)-R1668),""))</f>
        <v/>
      </c>
      <c r="Z1668" s="67" t="str">
        <f>IF(AND(A1668="",E1668=""),"",IF(A1668="","N° de bon manquant",IF(N(B1668)=0,"Date de commande manquante",IF(C1668="","Fournisseur manquant",IF(ISNA(MATCH($C1668,sup_code,0)),"Fournisseur inconnu",IF(E1668="","Article manquant",IF(ISNA(MATCH($E1668,art_ref,0)),"Article inconnu",IF(N(H1668)&lt;=0,"Quantité invalide",IF(J1668="","Prix manquant",IF(OR(N(K1668)&lt;0,N(K1668)&gt;=1),"Remise invalide",IF(M1668="","TVA manquante",IF(ISNA(MATCH(M1668,p_tva,0)),"Taux de TVA inconnu",IF(COUNTIFS(po_num,A1668,po_sup,"&lt;&gt;"&amp;C1668)&gt;0,"Fournisseur différent sur ce bon",IF(COUNTIFS(po_num,A1668,po_date,"&lt;&gt;"&amp;B1668)&gt;0,"Date différente sur ce bon",IF(COUNTIF(po_num,A1668)&gt;25,"Plus de 25 lignes sur ce bon",IF(R1668="","Date de livraison manquante",IF(R1668&lt;B1668,"Livraison avant la commande",IF(AND(N(T1668)&gt;0,N(S1668)=0),"Date d'envoi manquante",IF(N(T1668)&gt;N(H1668),"Reçu plus que commandé",IF(AND(N(T1668)&gt;0,N(U1668)=0),"Date de réception manquante",IF(AND(N(U1668)&gt;0,U1668&lt;B1668),"Réception avant la commande","OK")))))))))))))))))))))</f>
        <v/>
      </c>
      <c r="AA1668" s="66" t="str">
        <f>IF(AND(X1668="Reçu",ISNUMBER(R1668)),IF(N(U1668)&lt;=R1668,1,0),"")</f>
        <v/>
      </c>
      <c r="AB1668" s="76" t="str">
        <f>IF(OR(X1668="Envoyé",X1668="Partiel",X1668="En retard"),IF(ISNUMBER(R1668),R1668,100000)+ROW()/100000,"")</f>
        <v/>
      </c>
      <c r="AC1668" s="66" t="str">
        <f>IF(A1668="","",IF(COUNTIF($A$6:A1668,A1668)=1,1,""))</f>
        <v/>
      </c>
      <c r="AD1668" s="66" t="str">
        <f>IF(AC1668=1,COUNT($AC$6:AC1668),"")</f>
        <v/>
      </c>
      <c r="AE1668" s="66" t="str">
        <f>IFERROR(INDEX(po_num,MATCH(1663,po_seq,0))&amp;"","")</f>
        <v/>
      </c>
      <c r="AF1668" s="66" t="str">
        <f>IF(OR(A1668="",p_po=""),"",IF(A1668&amp;""=p_po,COUNTIF($A$6:A1668,A1668),""))</f>
        <v/>
      </c>
      <c r="AG1668" s="66" t="str">
        <f>IF(OR(AB1668="",A1668=""),"",IF(COUNTIFS($A$6:A1668,A1668,$AB$6:AB1668,"&gt;0")=1,1,""))</f>
        <v/>
      </c>
      <c r="AH1668" s="70" t="str">
        <f>IF(AB1668="","",ROUND(N(W1668)*N(J1668)*(1-N(K1668)),2))</f>
        <v/>
      </c>
      <c r="AI1668" s="70" t="str">
        <f>IF(OR(J1668="",N(T1668)&lt;=0,V1668="Oui"),"",ROUND(N(T1668)*J1668*(1-N(K1668)),2))</f>
        <v/>
      </c>
    </row>
    <row r="1669">
      <c r="A1669" s="63" t="n"/>
      <c r="B1669" s="64" t="n"/>
      <c r="C1669" s="65" t="n"/>
      <c r="D1669" s="66" t="str">
        <f>IF(C1669="","",IFERROR(INDEX(sup_name,MATCH($C1669,sup_code,0))&amp;"","Fournisseur inconnu"))</f>
        <v/>
      </c>
      <c r="E1669" s="63" t="n"/>
      <c r="F1669" s="66" t="str">
        <f>IF(E1669="","",IFERROR(INDEX(art_des,MATCH($E1669,art_ref,0))&amp;"","Article inconnu"))</f>
        <v/>
      </c>
      <c r="G1669" s="67" t="str">
        <f>IF(E1669="","",IFERROR(INDEX(art_unit,MATCH($E1669,art_ref,0))&amp;"",""))</f>
        <v/>
      </c>
      <c r="H1669" s="68" t="n"/>
      <c r="I1669" s="69" t="n"/>
      <c r="J1669" s="70" t="str">
        <f>IF(E1669="","",IF(ISNUMBER(I1669),I1669,IFERROR(IF(ISNUMBER(INDEX(art_price,MATCH($E1669,art_ref,0))),INDEX(art_price,MATCH($E1669,art_ref,0)),""),"")))</f>
        <v/>
      </c>
      <c r="K1669" s="71" t="n"/>
      <c r="L1669" s="72" t="n"/>
      <c r="M1669" s="72" t="str">
        <f>IF(E1669="","",IF(L1669&lt;&gt;"",L1669,IFERROR(IF(ISNUMBER(INDEX(art_tva,MATCH($E1669,art_ref,0))),INDEX(art_tva,MATCH($E1669,art_ref,0)),""),"")))</f>
        <v/>
      </c>
      <c r="N1669" s="70" t="str">
        <f>IF(OR(E1669="",J1669=""),"",ROUND(N(H1669)*J1669*(1-N(K1669)),2))</f>
        <v/>
      </c>
      <c r="O1669" s="70" t="str">
        <f>IF(OR(N1669="",NOT(ISNUMBER(M1669))),"",ROUND(N1669*M1669,2))</f>
        <v/>
      </c>
      <c r="P1669" s="70" t="str">
        <f>IF(N1669="","",N1669+N(O1669))</f>
        <v/>
      </c>
      <c r="Q1669" s="64" t="n"/>
      <c r="R1669" s="73" t="str">
        <f>IF(N(Q1669)&gt;0,Q1669,IF(OR(N(B1669)=0,ISNA(MATCH($C1669,sup_code,0))),"",IF(ISNUMBER(INDEX(sup_delay,MATCH($C1669,sup_code,0))),B1669+INDEX(sup_delay,MATCH($C1669,sup_code,0)),"")))</f>
        <v/>
      </c>
      <c r="S1669" s="64" t="n"/>
      <c r="T1669" s="68" t="n"/>
      <c r="U1669" s="64" t="n"/>
      <c r="V1669" s="65" t="n"/>
      <c r="W1669" s="74" t="str">
        <f>IF(AND(A1669="",E1669=""),"",IF(V1669="Oui",0,MAX(0,ROUND(N(H1669)-N(T1669),6))))</f>
        <v/>
      </c>
      <c r="X1669" s="67" t="str">
        <f>IF(AND(A1669="",E1669=""),"",IF(V1669="Oui","Annulé",IF(AND(N(H1669)&gt;0,N(T1669)&gt;=N(H1669)),"Reçu",IF(N(S1669)=0,"Brouillon",IF(AND(ISNUMBER(R1669),R1669&lt;p_today),"En retard",IF(N(T1669)&gt;0,"Partiel","Envoyé"))))))</f>
        <v/>
      </c>
      <c r="Y1669" s="75" t="str">
        <f>IF(X1669="En retard",p_today-R1669,IF(AND(X1669="Reçu",ISNUMBER(R1669)),MAX(0,N(U1669)-R1669),""))</f>
        <v/>
      </c>
      <c r="Z1669" s="67" t="str">
        <f>IF(AND(A1669="",E1669=""),"",IF(A1669="","N° de bon manquant",IF(N(B1669)=0,"Date de commande manquante",IF(C1669="","Fournisseur manquant",IF(ISNA(MATCH($C1669,sup_code,0)),"Fournisseur inconnu",IF(E1669="","Article manquant",IF(ISNA(MATCH($E1669,art_ref,0)),"Article inconnu",IF(N(H1669)&lt;=0,"Quantité invalide",IF(J1669="","Prix manquant",IF(OR(N(K1669)&lt;0,N(K1669)&gt;=1),"Remise invalide",IF(M1669="","TVA manquante",IF(ISNA(MATCH(M1669,p_tva,0)),"Taux de TVA inconnu",IF(COUNTIFS(po_num,A1669,po_sup,"&lt;&gt;"&amp;C1669)&gt;0,"Fournisseur différent sur ce bon",IF(COUNTIFS(po_num,A1669,po_date,"&lt;&gt;"&amp;B1669)&gt;0,"Date différente sur ce bon",IF(COUNTIF(po_num,A1669)&gt;25,"Plus de 25 lignes sur ce bon",IF(R1669="","Date de livraison manquante",IF(R1669&lt;B1669,"Livraison avant la commande",IF(AND(N(T1669)&gt;0,N(S1669)=0),"Date d'envoi manquante",IF(N(T1669)&gt;N(H1669),"Reçu plus que commandé",IF(AND(N(T1669)&gt;0,N(U1669)=0),"Date de réception manquante",IF(AND(N(U1669)&gt;0,U1669&lt;B1669),"Réception avant la commande","OK")))))))))))))))))))))</f>
        <v/>
      </c>
      <c r="AA1669" s="66" t="str">
        <f>IF(AND(X1669="Reçu",ISNUMBER(R1669)),IF(N(U1669)&lt;=R1669,1,0),"")</f>
        <v/>
      </c>
      <c r="AB1669" s="76" t="str">
        <f>IF(OR(X1669="Envoyé",X1669="Partiel",X1669="En retard"),IF(ISNUMBER(R1669),R1669,100000)+ROW()/100000,"")</f>
        <v/>
      </c>
      <c r="AC1669" s="66" t="str">
        <f>IF(A1669="","",IF(COUNTIF($A$6:A1669,A1669)=1,1,""))</f>
        <v/>
      </c>
      <c r="AD1669" s="66" t="str">
        <f>IF(AC1669=1,COUNT($AC$6:AC1669),"")</f>
        <v/>
      </c>
      <c r="AE1669" s="66" t="str">
        <f>IFERROR(INDEX(po_num,MATCH(1664,po_seq,0))&amp;"","")</f>
        <v/>
      </c>
      <c r="AF1669" s="66" t="str">
        <f>IF(OR(A1669="",p_po=""),"",IF(A1669&amp;""=p_po,COUNTIF($A$6:A1669,A1669),""))</f>
        <v/>
      </c>
      <c r="AG1669" s="66" t="str">
        <f>IF(OR(AB1669="",A1669=""),"",IF(COUNTIFS($A$6:A1669,A1669,$AB$6:AB1669,"&gt;0")=1,1,""))</f>
        <v/>
      </c>
      <c r="AH1669" s="70" t="str">
        <f>IF(AB1669="","",ROUND(N(W1669)*N(J1669)*(1-N(K1669)),2))</f>
        <v/>
      </c>
      <c r="AI1669" s="70" t="str">
        <f>IF(OR(J1669="",N(T1669)&lt;=0,V1669="Oui"),"",ROUND(N(T1669)*J1669*(1-N(K1669)),2))</f>
        <v/>
      </c>
    </row>
    <row r="1670">
      <c r="A1670" s="63" t="n"/>
      <c r="B1670" s="64" t="n"/>
      <c r="C1670" s="65" t="n"/>
      <c r="D1670" s="66" t="str">
        <f>IF(C1670="","",IFERROR(INDEX(sup_name,MATCH($C1670,sup_code,0))&amp;"","Fournisseur inconnu"))</f>
        <v/>
      </c>
      <c r="E1670" s="63" t="n"/>
      <c r="F1670" s="66" t="str">
        <f>IF(E1670="","",IFERROR(INDEX(art_des,MATCH($E1670,art_ref,0))&amp;"","Article inconnu"))</f>
        <v/>
      </c>
      <c r="G1670" s="67" t="str">
        <f>IF(E1670="","",IFERROR(INDEX(art_unit,MATCH($E1670,art_ref,0))&amp;"",""))</f>
        <v/>
      </c>
      <c r="H1670" s="68" t="n"/>
      <c r="I1670" s="69" t="n"/>
      <c r="J1670" s="70" t="str">
        <f>IF(E1670="","",IF(ISNUMBER(I1670),I1670,IFERROR(IF(ISNUMBER(INDEX(art_price,MATCH($E1670,art_ref,0))),INDEX(art_price,MATCH($E1670,art_ref,0)),""),"")))</f>
        <v/>
      </c>
      <c r="K1670" s="71" t="n"/>
      <c r="L1670" s="72" t="n"/>
      <c r="M1670" s="72" t="str">
        <f>IF(E1670="","",IF(L1670&lt;&gt;"",L1670,IFERROR(IF(ISNUMBER(INDEX(art_tva,MATCH($E1670,art_ref,0))),INDEX(art_tva,MATCH($E1670,art_ref,0)),""),"")))</f>
        <v/>
      </c>
      <c r="N1670" s="70" t="str">
        <f>IF(OR(E1670="",J1670=""),"",ROUND(N(H1670)*J1670*(1-N(K1670)),2))</f>
        <v/>
      </c>
      <c r="O1670" s="70" t="str">
        <f>IF(OR(N1670="",NOT(ISNUMBER(M1670))),"",ROUND(N1670*M1670,2))</f>
        <v/>
      </c>
      <c r="P1670" s="70" t="str">
        <f>IF(N1670="","",N1670+N(O1670))</f>
        <v/>
      </c>
      <c r="Q1670" s="64" t="n"/>
      <c r="R1670" s="73" t="str">
        <f>IF(N(Q1670)&gt;0,Q1670,IF(OR(N(B1670)=0,ISNA(MATCH($C1670,sup_code,0))),"",IF(ISNUMBER(INDEX(sup_delay,MATCH($C1670,sup_code,0))),B1670+INDEX(sup_delay,MATCH($C1670,sup_code,0)),"")))</f>
        <v/>
      </c>
      <c r="S1670" s="64" t="n"/>
      <c r="T1670" s="68" t="n"/>
      <c r="U1670" s="64" t="n"/>
      <c r="V1670" s="65" t="n"/>
      <c r="W1670" s="74" t="str">
        <f>IF(AND(A1670="",E1670=""),"",IF(V1670="Oui",0,MAX(0,ROUND(N(H1670)-N(T1670),6))))</f>
        <v/>
      </c>
      <c r="X1670" s="67" t="str">
        <f>IF(AND(A1670="",E1670=""),"",IF(V1670="Oui","Annulé",IF(AND(N(H1670)&gt;0,N(T1670)&gt;=N(H1670)),"Reçu",IF(N(S1670)=0,"Brouillon",IF(AND(ISNUMBER(R1670),R1670&lt;p_today),"En retard",IF(N(T1670)&gt;0,"Partiel","Envoyé"))))))</f>
        <v/>
      </c>
      <c r="Y1670" s="75" t="str">
        <f>IF(X1670="En retard",p_today-R1670,IF(AND(X1670="Reçu",ISNUMBER(R1670)),MAX(0,N(U1670)-R1670),""))</f>
        <v/>
      </c>
      <c r="Z1670" s="67" t="str">
        <f>IF(AND(A1670="",E1670=""),"",IF(A1670="","N° de bon manquant",IF(N(B1670)=0,"Date de commande manquante",IF(C1670="","Fournisseur manquant",IF(ISNA(MATCH($C1670,sup_code,0)),"Fournisseur inconnu",IF(E1670="","Article manquant",IF(ISNA(MATCH($E1670,art_ref,0)),"Article inconnu",IF(N(H1670)&lt;=0,"Quantité invalide",IF(J1670="","Prix manquant",IF(OR(N(K1670)&lt;0,N(K1670)&gt;=1),"Remise invalide",IF(M1670="","TVA manquante",IF(ISNA(MATCH(M1670,p_tva,0)),"Taux de TVA inconnu",IF(COUNTIFS(po_num,A1670,po_sup,"&lt;&gt;"&amp;C1670)&gt;0,"Fournisseur différent sur ce bon",IF(COUNTIFS(po_num,A1670,po_date,"&lt;&gt;"&amp;B1670)&gt;0,"Date différente sur ce bon",IF(COUNTIF(po_num,A1670)&gt;25,"Plus de 25 lignes sur ce bon",IF(R1670="","Date de livraison manquante",IF(R1670&lt;B1670,"Livraison avant la commande",IF(AND(N(T1670)&gt;0,N(S1670)=0),"Date d'envoi manquante",IF(N(T1670)&gt;N(H1670),"Reçu plus que commandé",IF(AND(N(T1670)&gt;0,N(U1670)=0),"Date de réception manquante",IF(AND(N(U1670)&gt;0,U1670&lt;B1670),"Réception avant la commande","OK")))))))))))))))))))))</f>
        <v/>
      </c>
      <c r="AA1670" s="66" t="str">
        <f>IF(AND(X1670="Reçu",ISNUMBER(R1670)),IF(N(U1670)&lt;=R1670,1,0),"")</f>
        <v/>
      </c>
      <c r="AB1670" s="76" t="str">
        <f>IF(OR(X1670="Envoyé",X1670="Partiel",X1670="En retard"),IF(ISNUMBER(R1670),R1670,100000)+ROW()/100000,"")</f>
        <v/>
      </c>
      <c r="AC1670" s="66" t="str">
        <f>IF(A1670="","",IF(COUNTIF($A$6:A1670,A1670)=1,1,""))</f>
        <v/>
      </c>
      <c r="AD1670" s="66" t="str">
        <f>IF(AC1670=1,COUNT($AC$6:AC1670),"")</f>
        <v/>
      </c>
      <c r="AE1670" s="66" t="str">
        <f>IFERROR(INDEX(po_num,MATCH(1665,po_seq,0))&amp;"","")</f>
        <v/>
      </c>
      <c r="AF1670" s="66" t="str">
        <f>IF(OR(A1670="",p_po=""),"",IF(A1670&amp;""=p_po,COUNTIF($A$6:A1670,A1670),""))</f>
        <v/>
      </c>
      <c r="AG1670" s="66" t="str">
        <f>IF(OR(AB1670="",A1670=""),"",IF(COUNTIFS($A$6:A1670,A1670,$AB$6:AB1670,"&gt;0")=1,1,""))</f>
        <v/>
      </c>
      <c r="AH1670" s="70" t="str">
        <f>IF(AB1670="","",ROUND(N(W1670)*N(J1670)*(1-N(K1670)),2))</f>
        <v/>
      </c>
      <c r="AI1670" s="70" t="str">
        <f>IF(OR(J1670="",N(T1670)&lt;=0,V1670="Oui"),"",ROUND(N(T1670)*J1670*(1-N(K1670)),2))</f>
        <v/>
      </c>
    </row>
    <row r="1671">
      <c r="A1671" s="63" t="n"/>
      <c r="B1671" s="64" t="n"/>
      <c r="C1671" s="65" t="n"/>
      <c r="D1671" s="66" t="str">
        <f>IF(C1671="","",IFERROR(INDEX(sup_name,MATCH($C1671,sup_code,0))&amp;"","Fournisseur inconnu"))</f>
        <v/>
      </c>
      <c r="E1671" s="63" t="n"/>
      <c r="F1671" s="66" t="str">
        <f>IF(E1671="","",IFERROR(INDEX(art_des,MATCH($E1671,art_ref,0))&amp;"","Article inconnu"))</f>
        <v/>
      </c>
      <c r="G1671" s="67" t="str">
        <f>IF(E1671="","",IFERROR(INDEX(art_unit,MATCH($E1671,art_ref,0))&amp;"",""))</f>
        <v/>
      </c>
      <c r="H1671" s="68" t="n"/>
      <c r="I1671" s="69" t="n"/>
      <c r="J1671" s="70" t="str">
        <f>IF(E1671="","",IF(ISNUMBER(I1671),I1671,IFERROR(IF(ISNUMBER(INDEX(art_price,MATCH($E1671,art_ref,0))),INDEX(art_price,MATCH($E1671,art_ref,0)),""),"")))</f>
        <v/>
      </c>
      <c r="K1671" s="71" t="n"/>
      <c r="L1671" s="72" t="n"/>
      <c r="M1671" s="72" t="str">
        <f>IF(E1671="","",IF(L1671&lt;&gt;"",L1671,IFERROR(IF(ISNUMBER(INDEX(art_tva,MATCH($E1671,art_ref,0))),INDEX(art_tva,MATCH($E1671,art_ref,0)),""),"")))</f>
        <v/>
      </c>
      <c r="N1671" s="70" t="str">
        <f>IF(OR(E1671="",J1671=""),"",ROUND(N(H1671)*J1671*(1-N(K1671)),2))</f>
        <v/>
      </c>
      <c r="O1671" s="70" t="str">
        <f>IF(OR(N1671="",NOT(ISNUMBER(M1671))),"",ROUND(N1671*M1671,2))</f>
        <v/>
      </c>
      <c r="P1671" s="70" t="str">
        <f>IF(N1671="","",N1671+N(O1671))</f>
        <v/>
      </c>
      <c r="Q1671" s="64" t="n"/>
      <c r="R1671" s="73" t="str">
        <f>IF(N(Q1671)&gt;0,Q1671,IF(OR(N(B1671)=0,ISNA(MATCH($C1671,sup_code,0))),"",IF(ISNUMBER(INDEX(sup_delay,MATCH($C1671,sup_code,0))),B1671+INDEX(sup_delay,MATCH($C1671,sup_code,0)),"")))</f>
        <v/>
      </c>
      <c r="S1671" s="64" t="n"/>
      <c r="T1671" s="68" t="n"/>
      <c r="U1671" s="64" t="n"/>
      <c r="V1671" s="65" t="n"/>
      <c r="W1671" s="74" t="str">
        <f>IF(AND(A1671="",E1671=""),"",IF(V1671="Oui",0,MAX(0,ROUND(N(H1671)-N(T1671),6))))</f>
        <v/>
      </c>
      <c r="X1671" s="67" t="str">
        <f>IF(AND(A1671="",E1671=""),"",IF(V1671="Oui","Annulé",IF(AND(N(H1671)&gt;0,N(T1671)&gt;=N(H1671)),"Reçu",IF(N(S1671)=0,"Brouillon",IF(AND(ISNUMBER(R1671),R1671&lt;p_today),"En retard",IF(N(T1671)&gt;0,"Partiel","Envoyé"))))))</f>
        <v/>
      </c>
      <c r="Y1671" s="75" t="str">
        <f>IF(X1671="En retard",p_today-R1671,IF(AND(X1671="Reçu",ISNUMBER(R1671)),MAX(0,N(U1671)-R1671),""))</f>
        <v/>
      </c>
      <c r="Z1671" s="67" t="str">
        <f>IF(AND(A1671="",E1671=""),"",IF(A1671="","N° de bon manquant",IF(N(B1671)=0,"Date de commande manquante",IF(C1671="","Fournisseur manquant",IF(ISNA(MATCH($C1671,sup_code,0)),"Fournisseur inconnu",IF(E1671="","Article manquant",IF(ISNA(MATCH($E1671,art_ref,0)),"Article inconnu",IF(N(H1671)&lt;=0,"Quantité invalide",IF(J1671="","Prix manquant",IF(OR(N(K1671)&lt;0,N(K1671)&gt;=1),"Remise invalide",IF(M1671="","TVA manquante",IF(ISNA(MATCH(M1671,p_tva,0)),"Taux de TVA inconnu",IF(COUNTIFS(po_num,A1671,po_sup,"&lt;&gt;"&amp;C1671)&gt;0,"Fournisseur différent sur ce bon",IF(COUNTIFS(po_num,A1671,po_date,"&lt;&gt;"&amp;B1671)&gt;0,"Date différente sur ce bon",IF(COUNTIF(po_num,A1671)&gt;25,"Plus de 25 lignes sur ce bon",IF(R1671="","Date de livraison manquante",IF(R1671&lt;B1671,"Livraison avant la commande",IF(AND(N(T1671)&gt;0,N(S1671)=0),"Date d'envoi manquante",IF(N(T1671)&gt;N(H1671),"Reçu plus que commandé",IF(AND(N(T1671)&gt;0,N(U1671)=0),"Date de réception manquante",IF(AND(N(U1671)&gt;0,U1671&lt;B1671),"Réception avant la commande","OK")))))))))))))))))))))</f>
        <v/>
      </c>
      <c r="AA1671" s="66" t="str">
        <f>IF(AND(X1671="Reçu",ISNUMBER(R1671)),IF(N(U1671)&lt;=R1671,1,0),"")</f>
        <v/>
      </c>
      <c r="AB1671" s="76" t="str">
        <f>IF(OR(X1671="Envoyé",X1671="Partiel",X1671="En retard"),IF(ISNUMBER(R1671),R1671,100000)+ROW()/100000,"")</f>
        <v/>
      </c>
      <c r="AC1671" s="66" t="str">
        <f>IF(A1671="","",IF(COUNTIF($A$6:A1671,A1671)=1,1,""))</f>
        <v/>
      </c>
      <c r="AD1671" s="66" t="str">
        <f>IF(AC1671=1,COUNT($AC$6:AC1671),"")</f>
        <v/>
      </c>
      <c r="AE1671" s="66" t="str">
        <f>IFERROR(INDEX(po_num,MATCH(1666,po_seq,0))&amp;"","")</f>
        <v/>
      </c>
      <c r="AF1671" s="66" t="str">
        <f>IF(OR(A1671="",p_po=""),"",IF(A1671&amp;""=p_po,COUNTIF($A$6:A1671,A1671),""))</f>
        <v/>
      </c>
      <c r="AG1671" s="66" t="str">
        <f>IF(OR(AB1671="",A1671=""),"",IF(COUNTIFS($A$6:A1671,A1671,$AB$6:AB1671,"&gt;0")=1,1,""))</f>
        <v/>
      </c>
      <c r="AH1671" s="70" t="str">
        <f>IF(AB1671="","",ROUND(N(W1671)*N(J1671)*(1-N(K1671)),2))</f>
        <v/>
      </c>
      <c r="AI1671" s="70" t="str">
        <f>IF(OR(J1671="",N(T1671)&lt;=0,V1671="Oui"),"",ROUND(N(T1671)*J1671*(1-N(K1671)),2))</f>
        <v/>
      </c>
    </row>
    <row r="1672">
      <c r="A1672" s="63" t="n"/>
      <c r="B1672" s="64" t="n"/>
      <c r="C1672" s="65" t="n"/>
      <c r="D1672" s="66" t="str">
        <f>IF(C1672="","",IFERROR(INDEX(sup_name,MATCH($C1672,sup_code,0))&amp;"","Fournisseur inconnu"))</f>
        <v/>
      </c>
      <c r="E1672" s="63" t="n"/>
      <c r="F1672" s="66" t="str">
        <f>IF(E1672="","",IFERROR(INDEX(art_des,MATCH($E1672,art_ref,0))&amp;"","Article inconnu"))</f>
        <v/>
      </c>
      <c r="G1672" s="67" t="str">
        <f>IF(E1672="","",IFERROR(INDEX(art_unit,MATCH($E1672,art_ref,0))&amp;"",""))</f>
        <v/>
      </c>
      <c r="H1672" s="68" t="n"/>
      <c r="I1672" s="69" t="n"/>
      <c r="J1672" s="70" t="str">
        <f>IF(E1672="","",IF(ISNUMBER(I1672),I1672,IFERROR(IF(ISNUMBER(INDEX(art_price,MATCH($E1672,art_ref,0))),INDEX(art_price,MATCH($E1672,art_ref,0)),""),"")))</f>
        <v/>
      </c>
      <c r="K1672" s="71" t="n"/>
      <c r="L1672" s="72" t="n"/>
      <c r="M1672" s="72" t="str">
        <f>IF(E1672="","",IF(L1672&lt;&gt;"",L1672,IFERROR(IF(ISNUMBER(INDEX(art_tva,MATCH($E1672,art_ref,0))),INDEX(art_tva,MATCH($E1672,art_ref,0)),""),"")))</f>
        <v/>
      </c>
      <c r="N1672" s="70" t="str">
        <f>IF(OR(E1672="",J1672=""),"",ROUND(N(H1672)*J1672*(1-N(K1672)),2))</f>
        <v/>
      </c>
      <c r="O1672" s="70" t="str">
        <f>IF(OR(N1672="",NOT(ISNUMBER(M1672))),"",ROUND(N1672*M1672,2))</f>
        <v/>
      </c>
      <c r="P1672" s="70" t="str">
        <f>IF(N1672="","",N1672+N(O1672))</f>
        <v/>
      </c>
      <c r="Q1672" s="64" t="n"/>
      <c r="R1672" s="73" t="str">
        <f>IF(N(Q1672)&gt;0,Q1672,IF(OR(N(B1672)=0,ISNA(MATCH($C1672,sup_code,0))),"",IF(ISNUMBER(INDEX(sup_delay,MATCH($C1672,sup_code,0))),B1672+INDEX(sup_delay,MATCH($C1672,sup_code,0)),"")))</f>
        <v/>
      </c>
      <c r="S1672" s="64" t="n"/>
      <c r="T1672" s="68" t="n"/>
      <c r="U1672" s="64" t="n"/>
      <c r="V1672" s="65" t="n"/>
      <c r="W1672" s="74" t="str">
        <f>IF(AND(A1672="",E1672=""),"",IF(V1672="Oui",0,MAX(0,ROUND(N(H1672)-N(T1672),6))))</f>
        <v/>
      </c>
      <c r="X1672" s="67" t="str">
        <f>IF(AND(A1672="",E1672=""),"",IF(V1672="Oui","Annulé",IF(AND(N(H1672)&gt;0,N(T1672)&gt;=N(H1672)),"Reçu",IF(N(S1672)=0,"Brouillon",IF(AND(ISNUMBER(R1672),R1672&lt;p_today),"En retard",IF(N(T1672)&gt;0,"Partiel","Envoyé"))))))</f>
        <v/>
      </c>
      <c r="Y1672" s="75" t="str">
        <f>IF(X1672="En retard",p_today-R1672,IF(AND(X1672="Reçu",ISNUMBER(R1672)),MAX(0,N(U1672)-R1672),""))</f>
        <v/>
      </c>
      <c r="Z1672" s="67" t="str">
        <f>IF(AND(A1672="",E1672=""),"",IF(A1672="","N° de bon manquant",IF(N(B1672)=0,"Date de commande manquante",IF(C1672="","Fournisseur manquant",IF(ISNA(MATCH($C1672,sup_code,0)),"Fournisseur inconnu",IF(E1672="","Article manquant",IF(ISNA(MATCH($E1672,art_ref,0)),"Article inconnu",IF(N(H1672)&lt;=0,"Quantité invalide",IF(J1672="","Prix manquant",IF(OR(N(K1672)&lt;0,N(K1672)&gt;=1),"Remise invalide",IF(M1672="","TVA manquante",IF(ISNA(MATCH(M1672,p_tva,0)),"Taux de TVA inconnu",IF(COUNTIFS(po_num,A1672,po_sup,"&lt;&gt;"&amp;C1672)&gt;0,"Fournisseur différent sur ce bon",IF(COUNTIFS(po_num,A1672,po_date,"&lt;&gt;"&amp;B1672)&gt;0,"Date différente sur ce bon",IF(COUNTIF(po_num,A1672)&gt;25,"Plus de 25 lignes sur ce bon",IF(R1672="","Date de livraison manquante",IF(R1672&lt;B1672,"Livraison avant la commande",IF(AND(N(T1672)&gt;0,N(S1672)=0),"Date d'envoi manquante",IF(N(T1672)&gt;N(H1672),"Reçu plus que commandé",IF(AND(N(T1672)&gt;0,N(U1672)=0),"Date de réception manquante",IF(AND(N(U1672)&gt;0,U1672&lt;B1672),"Réception avant la commande","OK")))))))))))))))))))))</f>
        <v/>
      </c>
      <c r="AA1672" s="66" t="str">
        <f>IF(AND(X1672="Reçu",ISNUMBER(R1672)),IF(N(U1672)&lt;=R1672,1,0),"")</f>
        <v/>
      </c>
      <c r="AB1672" s="76" t="str">
        <f>IF(OR(X1672="Envoyé",X1672="Partiel",X1672="En retard"),IF(ISNUMBER(R1672),R1672,100000)+ROW()/100000,"")</f>
        <v/>
      </c>
      <c r="AC1672" s="66" t="str">
        <f>IF(A1672="","",IF(COUNTIF($A$6:A1672,A1672)=1,1,""))</f>
        <v/>
      </c>
      <c r="AD1672" s="66" t="str">
        <f>IF(AC1672=1,COUNT($AC$6:AC1672),"")</f>
        <v/>
      </c>
      <c r="AE1672" s="66" t="str">
        <f>IFERROR(INDEX(po_num,MATCH(1667,po_seq,0))&amp;"","")</f>
        <v/>
      </c>
      <c r="AF1672" s="66" t="str">
        <f>IF(OR(A1672="",p_po=""),"",IF(A1672&amp;""=p_po,COUNTIF($A$6:A1672,A1672),""))</f>
        <v/>
      </c>
      <c r="AG1672" s="66" t="str">
        <f>IF(OR(AB1672="",A1672=""),"",IF(COUNTIFS($A$6:A1672,A1672,$AB$6:AB1672,"&gt;0")=1,1,""))</f>
        <v/>
      </c>
      <c r="AH1672" s="70" t="str">
        <f>IF(AB1672="","",ROUND(N(W1672)*N(J1672)*(1-N(K1672)),2))</f>
        <v/>
      </c>
      <c r="AI1672" s="70" t="str">
        <f>IF(OR(J1672="",N(T1672)&lt;=0,V1672="Oui"),"",ROUND(N(T1672)*J1672*(1-N(K1672)),2))</f>
        <v/>
      </c>
    </row>
    <row r="1673">
      <c r="A1673" s="63" t="n"/>
      <c r="B1673" s="64" t="n"/>
      <c r="C1673" s="65" t="n"/>
      <c r="D1673" s="66" t="str">
        <f>IF(C1673="","",IFERROR(INDEX(sup_name,MATCH($C1673,sup_code,0))&amp;"","Fournisseur inconnu"))</f>
        <v/>
      </c>
      <c r="E1673" s="63" t="n"/>
      <c r="F1673" s="66" t="str">
        <f>IF(E1673="","",IFERROR(INDEX(art_des,MATCH($E1673,art_ref,0))&amp;"","Article inconnu"))</f>
        <v/>
      </c>
      <c r="G1673" s="67" t="str">
        <f>IF(E1673="","",IFERROR(INDEX(art_unit,MATCH($E1673,art_ref,0))&amp;"",""))</f>
        <v/>
      </c>
      <c r="H1673" s="68" t="n"/>
      <c r="I1673" s="69" t="n"/>
      <c r="J1673" s="70" t="str">
        <f>IF(E1673="","",IF(ISNUMBER(I1673),I1673,IFERROR(IF(ISNUMBER(INDEX(art_price,MATCH($E1673,art_ref,0))),INDEX(art_price,MATCH($E1673,art_ref,0)),""),"")))</f>
        <v/>
      </c>
      <c r="K1673" s="71" t="n"/>
      <c r="L1673" s="72" t="n"/>
      <c r="M1673" s="72" t="str">
        <f>IF(E1673="","",IF(L1673&lt;&gt;"",L1673,IFERROR(IF(ISNUMBER(INDEX(art_tva,MATCH($E1673,art_ref,0))),INDEX(art_tva,MATCH($E1673,art_ref,0)),""),"")))</f>
        <v/>
      </c>
      <c r="N1673" s="70" t="str">
        <f>IF(OR(E1673="",J1673=""),"",ROUND(N(H1673)*J1673*(1-N(K1673)),2))</f>
        <v/>
      </c>
      <c r="O1673" s="70" t="str">
        <f>IF(OR(N1673="",NOT(ISNUMBER(M1673))),"",ROUND(N1673*M1673,2))</f>
        <v/>
      </c>
      <c r="P1673" s="70" t="str">
        <f>IF(N1673="","",N1673+N(O1673))</f>
        <v/>
      </c>
      <c r="Q1673" s="64" t="n"/>
      <c r="R1673" s="73" t="str">
        <f>IF(N(Q1673)&gt;0,Q1673,IF(OR(N(B1673)=0,ISNA(MATCH($C1673,sup_code,0))),"",IF(ISNUMBER(INDEX(sup_delay,MATCH($C1673,sup_code,0))),B1673+INDEX(sup_delay,MATCH($C1673,sup_code,0)),"")))</f>
        <v/>
      </c>
      <c r="S1673" s="64" t="n"/>
      <c r="T1673" s="68" t="n"/>
      <c r="U1673" s="64" t="n"/>
      <c r="V1673" s="65" t="n"/>
      <c r="W1673" s="74" t="str">
        <f>IF(AND(A1673="",E1673=""),"",IF(V1673="Oui",0,MAX(0,ROUND(N(H1673)-N(T1673),6))))</f>
        <v/>
      </c>
      <c r="X1673" s="67" t="str">
        <f>IF(AND(A1673="",E1673=""),"",IF(V1673="Oui","Annulé",IF(AND(N(H1673)&gt;0,N(T1673)&gt;=N(H1673)),"Reçu",IF(N(S1673)=0,"Brouillon",IF(AND(ISNUMBER(R1673),R1673&lt;p_today),"En retard",IF(N(T1673)&gt;0,"Partiel","Envoyé"))))))</f>
        <v/>
      </c>
      <c r="Y1673" s="75" t="str">
        <f>IF(X1673="En retard",p_today-R1673,IF(AND(X1673="Reçu",ISNUMBER(R1673)),MAX(0,N(U1673)-R1673),""))</f>
        <v/>
      </c>
      <c r="Z1673" s="67" t="str">
        <f>IF(AND(A1673="",E1673=""),"",IF(A1673="","N° de bon manquant",IF(N(B1673)=0,"Date de commande manquante",IF(C1673="","Fournisseur manquant",IF(ISNA(MATCH($C1673,sup_code,0)),"Fournisseur inconnu",IF(E1673="","Article manquant",IF(ISNA(MATCH($E1673,art_ref,0)),"Article inconnu",IF(N(H1673)&lt;=0,"Quantité invalide",IF(J1673="","Prix manquant",IF(OR(N(K1673)&lt;0,N(K1673)&gt;=1),"Remise invalide",IF(M1673="","TVA manquante",IF(ISNA(MATCH(M1673,p_tva,0)),"Taux de TVA inconnu",IF(COUNTIFS(po_num,A1673,po_sup,"&lt;&gt;"&amp;C1673)&gt;0,"Fournisseur différent sur ce bon",IF(COUNTIFS(po_num,A1673,po_date,"&lt;&gt;"&amp;B1673)&gt;0,"Date différente sur ce bon",IF(COUNTIF(po_num,A1673)&gt;25,"Plus de 25 lignes sur ce bon",IF(R1673="","Date de livraison manquante",IF(R1673&lt;B1673,"Livraison avant la commande",IF(AND(N(T1673)&gt;0,N(S1673)=0),"Date d'envoi manquante",IF(N(T1673)&gt;N(H1673),"Reçu plus que commandé",IF(AND(N(T1673)&gt;0,N(U1673)=0),"Date de réception manquante",IF(AND(N(U1673)&gt;0,U1673&lt;B1673),"Réception avant la commande","OK")))))))))))))))))))))</f>
        <v/>
      </c>
      <c r="AA1673" s="66" t="str">
        <f>IF(AND(X1673="Reçu",ISNUMBER(R1673)),IF(N(U1673)&lt;=R1673,1,0),"")</f>
        <v/>
      </c>
      <c r="AB1673" s="76" t="str">
        <f>IF(OR(X1673="Envoyé",X1673="Partiel",X1673="En retard"),IF(ISNUMBER(R1673),R1673,100000)+ROW()/100000,"")</f>
        <v/>
      </c>
      <c r="AC1673" s="66" t="str">
        <f>IF(A1673="","",IF(COUNTIF($A$6:A1673,A1673)=1,1,""))</f>
        <v/>
      </c>
      <c r="AD1673" s="66" t="str">
        <f>IF(AC1673=1,COUNT($AC$6:AC1673),"")</f>
        <v/>
      </c>
      <c r="AE1673" s="66" t="str">
        <f>IFERROR(INDEX(po_num,MATCH(1668,po_seq,0))&amp;"","")</f>
        <v/>
      </c>
      <c r="AF1673" s="66" t="str">
        <f>IF(OR(A1673="",p_po=""),"",IF(A1673&amp;""=p_po,COUNTIF($A$6:A1673,A1673),""))</f>
        <v/>
      </c>
      <c r="AG1673" s="66" t="str">
        <f>IF(OR(AB1673="",A1673=""),"",IF(COUNTIFS($A$6:A1673,A1673,$AB$6:AB1673,"&gt;0")=1,1,""))</f>
        <v/>
      </c>
      <c r="AH1673" s="70" t="str">
        <f>IF(AB1673="","",ROUND(N(W1673)*N(J1673)*(1-N(K1673)),2))</f>
        <v/>
      </c>
      <c r="AI1673" s="70" t="str">
        <f>IF(OR(J1673="",N(T1673)&lt;=0,V1673="Oui"),"",ROUND(N(T1673)*J1673*(1-N(K1673)),2))</f>
        <v/>
      </c>
    </row>
    <row r="1674">
      <c r="A1674" s="63" t="n"/>
      <c r="B1674" s="64" t="n"/>
      <c r="C1674" s="65" t="n"/>
      <c r="D1674" s="66" t="str">
        <f>IF(C1674="","",IFERROR(INDEX(sup_name,MATCH($C1674,sup_code,0))&amp;"","Fournisseur inconnu"))</f>
        <v/>
      </c>
      <c r="E1674" s="63" t="n"/>
      <c r="F1674" s="66" t="str">
        <f>IF(E1674="","",IFERROR(INDEX(art_des,MATCH($E1674,art_ref,0))&amp;"","Article inconnu"))</f>
        <v/>
      </c>
      <c r="G1674" s="67" t="str">
        <f>IF(E1674="","",IFERROR(INDEX(art_unit,MATCH($E1674,art_ref,0))&amp;"",""))</f>
        <v/>
      </c>
      <c r="H1674" s="68" t="n"/>
      <c r="I1674" s="69" t="n"/>
      <c r="J1674" s="70" t="str">
        <f>IF(E1674="","",IF(ISNUMBER(I1674),I1674,IFERROR(IF(ISNUMBER(INDEX(art_price,MATCH($E1674,art_ref,0))),INDEX(art_price,MATCH($E1674,art_ref,0)),""),"")))</f>
        <v/>
      </c>
      <c r="K1674" s="71" t="n"/>
      <c r="L1674" s="72" t="n"/>
      <c r="M1674" s="72" t="str">
        <f>IF(E1674="","",IF(L1674&lt;&gt;"",L1674,IFERROR(IF(ISNUMBER(INDEX(art_tva,MATCH($E1674,art_ref,0))),INDEX(art_tva,MATCH($E1674,art_ref,0)),""),"")))</f>
        <v/>
      </c>
      <c r="N1674" s="70" t="str">
        <f>IF(OR(E1674="",J1674=""),"",ROUND(N(H1674)*J1674*(1-N(K1674)),2))</f>
        <v/>
      </c>
      <c r="O1674" s="70" t="str">
        <f>IF(OR(N1674="",NOT(ISNUMBER(M1674))),"",ROUND(N1674*M1674,2))</f>
        <v/>
      </c>
      <c r="P1674" s="70" t="str">
        <f>IF(N1674="","",N1674+N(O1674))</f>
        <v/>
      </c>
      <c r="Q1674" s="64" t="n"/>
      <c r="R1674" s="73" t="str">
        <f>IF(N(Q1674)&gt;0,Q1674,IF(OR(N(B1674)=0,ISNA(MATCH($C1674,sup_code,0))),"",IF(ISNUMBER(INDEX(sup_delay,MATCH($C1674,sup_code,0))),B1674+INDEX(sup_delay,MATCH($C1674,sup_code,0)),"")))</f>
        <v/>
      </c>
      <c r="S1674" s="64" t="n"/>
      <c r="T1674" s="68" t="n"/>
      <c r="U1674" s="64" t="n"/>
      <c r="V1674" s="65" t="n"/>
      <c r="W1674" s="74" t="str">
        <f>IF(AND(A1674="",E1674=""),"",IF(V1674="Oui",0,MAX(0,ROUND(N(H1674)-N(T1674),6))))</f>
        <v/>
      </c>
      <c r="X1674" s="67" t="str">
        <f>IF(AND(A1674="",E1674=""),"",IF(V1674="Oui","Annulé",IF(AND(N(H1674)&gt;0,N(T1674)&gt;=N(H1674)),"Reçu",IF(N(S1674)=0,"Brouillon",IF(AND(ISNUMBER(R1674),R1674&lt;p_today),"En retard",IF(N(T1674)&gt;0,"Partiel","Envoyé"))))))</f>
        <v/>
      </c>
      <c r="Y1674" s="75" t="str">
        <f>IF(X1674="En retard",p_today-R1674,IF(AND(X1674="Reçu",ISNUMBER(R1674)),MAX(0,N(U1674)-R1674),""))</f>
        <v/>
      </c>
      <c r="Z1674" s="67" t="str">
        <f>IF(AND(A1674="",E1674=""),"",IF(A1674="","N° de bon manquant",IF(N(B1674)=0,"Date de commande manquante",IF(C1674="","Fournisseur manquant",IF(ISNA(MATCH($C1674,sup_code,0)),"Fournisseur inconnu",IF(E1674="","Article manquant",IF(ISNA(MATCH($E1674,art_ref,0)),"Article inconnu",IF(N(H1674)&lt;=0,"Quantité invalide",IF(J1674="","Prix manquant",IF(OR(N(K1674)&lt;0,N(K1674)&gt;=1),"Remise invalide",IF(M1674="","TVA manquante",IF(ISNA(MATCH(M1674,p_tva,0)),"Taux de TVA inconnu",IF(COUNTIFS(po_num,A1674,po_sup,"&lt;&gt;"&amp;C1674)&gt;0,"Fournisseur différent sur ce bon",IF(COUNTIFS(po_num,A1674,po_date,"&lt;&gt;"&amp;B1674)&gt;0,"Date différente sur ce bon",IF(COUNTIF(po_num,A1674)&gt;25,"Plus de 25 lignes sur ce bon",IF(R1674="","Date de livraison manquante",IF(R1674&lt;B1674,"Livraison avant la commande",IF(AND(N(T1674)&gt;0,N(S1674)=0),"Date d'envoi manquante",IF(N(T1674)&gt;N(H1674),"Reçu plus que commandé",IF(AND(N(T1674)&gt;0,N(U1674)=0),"Date de réception manquante",IF(AND(N(U1674)&gt;0,U1674&lt;B1674),"Réception avant la commande","OK")))))))))))))))))))))</f>
        <v/>
      </c>
      <c r="AA1674" s="66" t="str">
        <f>IF(AND(X1674="Reçu",ISNUMBER(R1674)),IF(N(U1674)&lt;=R1674,1,0),"")</f>
        <v/>
      </c>
      <c r="AB1674" s="76" t="str">
        <f>IF(OR(X1674="Envoyé",X1674="Partiel",X1674="En retard"),IF(ISNUMBER(R1674),R1674,100000)+ROW()/100000,"")</f>
        <v/>
      </c>
      <c r="AC1674" s="66" t="str">
        <f>IF(A1674="","",IF(COUNTIF($A$6:A1674,A1674)=1,1,""))</f>
        <v/>
      </c>
      <c r="AD1674" s="66" t="str">
        <f>IF(AC1674=1,COUNT($AC$6:AC1674),"")</f>
        <v/>
      </c>
      <c r="AE1674" s="66" t="str">
        <f>IFERROR(INDEX(po_num,MATCH(1669,po_seq,0))&amp;"","")</f>
        <v/>
      </c>
      <c r="AF1674" s="66" t="str">
        <f>IF(OR(A1674="",p_po=""),"",IF(A1674&amp;""=p_po,COUNTIF($A$6:A1674,A1674),""))</f>
        <v/>
      </c>
      <c r="AG1674" s="66" t="str">
        <f>IF(OR(AB1674="",A1674=""),"",IF(COUNTIFS($A$6:A1674,A1674,$AB$6:AB1674,"&gt;0")=1,1,""))</f>
        <v/>
      </c>
      <c r="AH1674" s="70" t="str">
        <f>IF(AB1674="","",ROUND(N(W1674)*N(J1674)*(1-N(K1674)),2))</f>
        <v/>
      </c>
      <c r="AI1674" s="70" t="str">
        <f>IF(OR(J1674="",N(T1674)&lt;=0,V1674="Oui"),"",ROUND(N(T1674)*J1674*(1-N(K1674)),2))</f>
        <v/>
      </c>
    </row>
    <row r="1675">
      <c r="A1675" s="63" t="n"/>
      <c r="B1675" s="64" t="n"/>
      <c r="C1675" s="65" t="n"/>
      <c r="D1675" s="66" t="str">
        <f>IF(C1675="","",IFERROR(INDEX(sup_name,MATCH($C1675,sup_code,0))&amp;"","Fournisseur inconnu"))</f>
        <v/>
      </c>
      <c r="E1675" s="63" t="n"/>
      <c r="F1675" s="66" t="str">
        <f>IF(E1675="","",IFERROR(INDEX(art_des,MATCH($E1675,art_ref,0))&amp;"","Article inconnu"))</f>
        <v/>
      </c>
      <c r="G1675" s="67" t="str">
        <f>IF(E1675="","",IFERROR(INDEX(art_unit,MATCH($E1675,art_ref,0))&amp;"",""))</f>
        <v/>
      </c>
      <c r="H1675" s="68" t="n"/>
      <c r="I1675" s="69" t="n"/>
      <c r="J1675" s="70" t="str">
        <f>IF(E1675="","",IF(ISNUMBER(I1675),I1675,IFERROR(IF(ISNUMBER(INDEX(art_price,MATCH($E1675,art_ref,0))),INDEX(art_price,MATCH($E1675,art_ref,0)),""),"")))</f>
        <v/>
      </c>
      <c r="K1675" s="71" t="n"/>
      <c r="L1675" s="72" t="n"/>
      <c r="M1675" s="72" t="str">
        <f>IF(E1675="","",IF(L1675&lt;&gt;"",L1675,IFERROR(IF(ISNUMBER(INDEX(art_tva,MATCH($E1675,art_ref,0))),INDEX(art_tva,MATCH($E1675,art_ref,0)),""),"")))</f>
        <v/>
      </c>
      <c r="N1675" s="70" t="str">
        <f>IF(OR(E1675="",J1675=""),"",ROUND(N(H1675)*J1675*(1-N(K1675)),2))</f>
        <v/>
      </c>
      <c r="O1675" s="70" t="str">
        <f>IF(OR(N1675="",NOT(ISNUMBER(M1675))),"",ROUND(N1675*M1675,2))</f>
        <v/>
      </c>
      <c r="P1675" s="70" t="str">
        <f>IF(N1675="","",N1675+N(O1675))</f>
        <v/>
      </c>
      <c r="Q1675" s="64" t="n"/>
      <c r="R1675" s="73" t="str">
        <f>IF(N(Q1675)&gt;0,Q1675,IF(OR(N(B1675)=0,ISNA(MATCH($C1675,sup_code,0))),"",IF(ISNUMBER(INDEX(sup_delay,MATCH($C1675,sup_code,0))),B1675+INDEX(sup_delay,MATCH($C1675,sup_code,0)),"")))</f>
        <v/>
      </c>
      <c r="S1675" s="64" t="n"/>
      <c r="T1675" s="68" t="n"/>
      <c r="U1675" s="64" t="n"/>
      <c r="V1675" s="65" t="n"/>
      <c r="W1675" s="74" t="str">
        <f>IF(AND(A1675="",E1675=""),"",IF(V1675="Oui",0,MAX(0,ROUND(N(H1675)-N(T1675),6))))</f>
        <v/>
      </c>
      <c r="X1675" s="67" t="str">
        <f>IF(AND(A1675="",E1675=""),"",IF(V1675="Oui","Annulé",IF(AND(N(H1675)&gt;0,N(T1675)&gt;=N(H1675)),"Reçu",IF(N(S1675)=0,"Brouillon",IF(AND(ISNUMBER(R1675),R1675&lt;p_today),"En retard",IF(N(T1675)&gt;0,"Partiel","Envoyé"))))))</f>
        <v/>
      </c>
      <c r="Y1675" s="75" t="str">
        <f>IF(X1675="En retard",p_today-R1675,IF(AND(X1675="Reçu",ISNUMBER(R1675)),MAX(0,N(U1675)-R1675),""))</f>
        <v/>
      </c>
      <c r="Z1675" s="67" t="str">
        <f>IF(AND(A1675="",E1675=""),"",IF(A1675="","N° de bon manquant",IF(N(B1675)=0,"Date de commande manquante",IF(C1675="","Fournisseur manquant",IF(ISNA(MATCH($C1675,sup_code,0)),"Fournisseur inconnu",IF(E1675="","Article manquant",IF(ISNA(MATCH($E1675,art_ref,0)),"Article inconnu",IF(N(H1675)&lt;=0,"Quantité invalide",IF(J1675="","Prix manquant",IF(OR(N(K1675)&lt;0,N(K1675)&gt;=1),"Remise invalide",IF(M1675="","TVA manquante",IF(ISNA(MATCH(M1675,p_tva,0)),"Taux de TVA inconnu",IF(COUNTIFS(po_num,A1675,po_sup,"&lt;&gt;"&amp;C1675)&gt;0,"Fournisseur différent sur ce bon",IF(COUNTIFS(po_num,A1675,po_date,"&lt;&gt;"&amp;B1675)&gt;0,"Date différente sur ce bon",IF(COUNTIF(po_num,A1675)&gt;25,"Plus de 25 lignes sur ce bon",IF(R1675="","Date de livraison manquante",IF(R1675&lt;B1675,"Livraison avant la commande",IF(AND(N(T1675)&gt;0,N(S1675)=0),"Date d'envoi manquante",IF(N(T1675)&gt;N(H1675),"Reçu plus que commandé",IF(AND(N(T1675)&gt;0,N(U1675)=0),"Date de réception manquante",IF(AND(N(U1675)&gt;0,U1675&lt;B1675),"Réception avant la commande","OK")))))))))))))))))))))</f>
        <v/>
      </c>
      <c r="AA1675" s="66" t="str">
        <f>IF(AND(X1675="Reçu",ISNUMBER(R1675)),IF(N(U1675)&lt;=R1675,1,0),"")</f>
        <v/>
      </c>
      <c r="AB1675" s="76" t="str">
        <f>IF(OR(X1675="Envoyé",X1675="Partiel",X1675="En retard"),IF(ISNUMBER(R1675),R1675,100000)+ROW()/100000,"")</f>
        <v/>
      </c>
      <c r="AC1675" s="66" t="str">
        <f>IF(A1675="","",IF(COUNTIF($A$6:A1675,A1675)=1,1,""))</f>
        <v/>
      </c>
      <c r="AD1675" s="66" t="str">
        <f>IF(AC1675=1,COUNT($AC$6:AC1675),"")</f>
        <v/>
      </c>
      <c r="AE1675" s="66" t="str">
        <f>IFERROR(INDEX(po_num,MATCH(1670,po_seq,0))&amp;"","")</f>
        <v/>
      </c>
      <c r="AF1675" s="66" t="str">
        <f>IF(OR(A1675="",p_po=""),"",IF(A1675&amp;""=p_po,COUNTIF($A$6:A1675,A1675),""))</f>
        <v/>
      </c>
      <c r="AG1675" s="66" t="str">
        <f>IF(OR(AB1675="",A1675=""),"",IF(COUNTIFS($A$6:A1675,A1675,$AB$6:AB1675,"&gt;0")=1,1,""))</f>
        <v/>
      </c>
      <c r="AH1675" s="70" t="str">
        <f>IF(AB1675="","",ROUND(N(W1675)*N(J1675)*(1-N(K1675)),2))</f>
        <v/>
      </c>
      <c r="AI1675" s="70" t="str">
        <f>IF(OR(J1675="",N(T1675)&lt;=0,V1675="Oui"),"",ROUND(N(T1675)*J1675*(1-N(K1675)),2))</f>
        <v/>
      </c>
    </row>
    <row r="1676">
      <c r="A1676" s="63" t="n"/>
      <c r="B1676" s="64" t="n"/>
      <c r="C1676" s="65" t="n"/>
      <c r="D1676" s="66" t="str">
        <f>IF(C1676="","",IFERROR(INDEX(sup_name,MATCH($C1676,sup_code,0))&amp;"","Fournisseur inconnu"))</f>
        <v/>
      </c>
      <c r="E1676" s="63" t="n"/>
      <c r="F1676" s="66" t="str">
        <f>IF(E1676="","",IFERROR(INDEX(art_des,MATCH($E1676,art_ref,0))&amp;"","Article inconnu"))</f>
        <v/>
      </c>
      <c r="G1676" s="67" t="str">
        <f>IF(E1676="","",IFERROR(INDEX(art_unit,MATCH($E1676,art_ref,0))&amp;"",""))</f>
        <v/>
      </c>
      <c r="H1676" s="68" t="n"/>
      <c r="I1676" s="69" t="n"/>
      <c r="J1676" s="70" t="str">
        <f>IF(E1676="","",IF(ISNUMBER(I1676),I1676,IFERROR(IF(ISNUMBER(INDEX(art_price,MATCH($E1676,art_ref,0))),INDEX(art_price,MATCH($E1676,art_ref,0)),""),"")))</f>
        <v/>
      </c>
      <c r="K1676" s="71" t="n"/>
      <c r="L1676" s="72" t="n"/>
      <c r="M1676" s="72" t="str">
        <f>IF(E1676="","",IF(L1676&lt;&gt;"",L1676,IFERROR(IF(ISNUMBER(INDEX(art_tva,MATCH($E1676,art_ref,0))),INDEX(art_tva,MATCH($E1676,art_ref,0)),""),"")))</f>
        <v/>
      </c>
      <c r="N1676" s="70" t="str">
        <f>IF(OR(E1676="",J1676=""),"",ROUND(N(H1676)*J1676*(1-N(K1676)),2))</f>
        <v/>
      </c>
      <c r="O1676" s="70" t="str">
        <f>IF(OR(N1676="",NOT(ISNUMBER(M1676))),"",ROUND(N1676*M1676,2))</f>
        <v/>
      </c>
      <c r="P1676" s="70" t="str">
        <f>IF(N1676="","",N1676+N(O1676))</f>
        <v/>
      </c>
      <c r="Q1676" s="64" t="n"/>
      <c r="R1676" s="73" t="str">
        <f>IF(N(Q1676)&gt;0,Q1676,IF(OR(N(B1676)=0,ISNA(MATCH($C1676,sup_code,0))),"",IF(ISNUMBER(INDEX(sup_delay,MATCH($C1676,sup_code,0))),B1676+INDEX(sup_delay,MATCH($C1676,sup_code,0)),"")))</f>
        <v/>
      </c>
      <c r="S1676" s="64" t="n"/>
      <c r="T1676" s="68" t="n"/>
      <c r="U1676" s="64" t="n"/>
      <c r="V1676" s="65" t="n"/>
      <c r="W1676" s="74" t="str">
        <f>IF(AND(A1676="",E1676=""),"",IF(V1676="Oui",0,MAX(0,ROUND(N(H1676)-N(T1676),6))))</f>
        <v/>
      </c>
      <c r="X1676" s="67" t="str">
        <f>IF(AND(A1676="",E1676=""),"",IF(V1676="Oui","Annulé",IF(AND(N(H1676)&gt;0,N(T1676)&gt;=N(H1676)),"Reçu",IF(N(S1676)=0,"Brouillon",IF(AND(ISNUMBER(R1676),R1676&lt;p_today),"En retard",IF(N(T1676)&gt;0,"Partiel","Envoyé"))))))</f>
        <v/>
      </c>
      <c r="Y1676" s="75" t="str">
        <f>IF(X1676="En retard",p_today-R1676,IF(AND(X1676="Reçu",ISNUMBER(R1676)),MAX(0,N(U1676)-R1676),""))</f>
        <v/>
      </c>
      <c r="Z1676" s="67" t="str">
        <f>IF(AND(A1676="",E1676=""),"",IF(A1676="","N° de bon manquant",IF(N(B1676)=0,"Date de commande manquante",IF(C1676="","Fournisseur manquant",IF(ISNA(MATCH($C1676,sup_code,0)),"Fournisseur inconnu",IF(E1676="","Article manquant",IF(ISNA(MATCH($E1676,art_ref,0)),"Article inconnu",IF(N(H1676)&lt;=0,"Quantité invalide",IF(J1676="","Prix manquant",IF(OR(N(K1676)&lt;0,N(K1676)&gt;=1),"Remise invalide",IF(M1676="","TVA manquante",IF(ISNA(MATCH(M1676,p_tva,0)),"Taux de TVA inconnu",IF(COUNTIFS(po_num,A1676,po_sup,"&lt;&gt;"&amp;C1676)&gt;0,"Fournisseur différent sur ce bon",IF(COUNTIFS(po_num,A1676,po_date,"&lt;&gt;"&amp;B1676)&gt;0,"Date différente sur ce bon",IF(COUNTIF(po_num,A1676)&gt;25,"Plus de 25 lignes sur ce bon",IF(R1676="","Date de livraison manquante",IF(R1676&lt;B1676,"Livraison avant la commande",IF(AND(N(T1676)&gt;0,N(S1676)=0),"Date d'envoi manquante",IF(N(T1676)&gt;N(H1676),"Reçu plus que commandé",IF(AND(N(T1676)&gt;0,N(U1676)=0),"Date de réception manquante",IF(AND(N(U1676)&gt;0,U1676&lt;B1676),"Réception avant la commande","OK")))))))))))))))))))))</f>
        <v/>
      </c>
      <c r="AA1676" s="66" t="str">
        <f>IF(AND(X1676="Reçu",ISNUMBER(R1676)),IF(N(U1676)&lt;=R1676,1,0),"")</f>
        <v/>
      </c>
      <c r="AB1676" s="76" t="str">
        <f>IF(OR(X1676="Envoyé",X1676="Partiel",X1676="En retard"),IF(ISNUMBER(R1676),R1676,100000)+ROW()/100000,"")</f>
        <v/>
      </c>
      <c r="AC1676" s="66" t="str">
        <f>IF(A1676="","",IF(COUNTIF($A$6:A1676,A1676)=1,1,""))</f>
        <v/>
      </c>
      <c r="AD1676" s="66" t="str">
        <f>IF(AC1676=1,COUNT($AC$6:AC1676),"")</f>
        <v/>
      </c>
      <c r="AE1676" s="66" t="str">
        <f>IFERROR(INDEX(po_num,MATCH(1671,po_seq,0))&amp;"","")</f>
        <v/>
      </c>
      <c r="AF1676" s="66" t="str">
        <f>IF(OR(A1676="",p_po=""),"",IF(A1676&amp;""=p_po,COUNTIF($A$6:A1676,A1676),""))</f>
        <v/>
      </c>
      <c r="AG1676" s="66" t="str">
        <f>IF(OR(AB1676="",A1676=""),"",IF(COUNTIFS($A$6:A1676,A1676,$AB$6:AB1676,"&gt;0")=1,1,""))</f>
        <v/>
      </c>
      <c r="AH1676" s="70" t="str">
        <f>IF(AB1676="","",ROUND(N(W1676)*N(J1676)*(1-N(K1676)),2))</f>
        <v/>
      </c>
      <c r="AI1676" s="70" t="str">
        <f>IF(OR(J1676="",N(T1676)&lt;=0,V1676="Oui"),"",ROUND(N(T1676)*J1676*(1-N(K1676)),2))</f>
        <v/>
      </c>
    </row>
    <row r="1677">
      <c r="A1677" s="63" t="n"/>
      <c r="B1677" s="64" t="n"/>
      <c r="C1677" s="65" t="n"/>
      <c r="D1677" s="66" t="str">
        <f>IF(C1677="","",IFERROR(INDEX(sup_name,MATCH($C1677,sup_code,0))&amp;"","Fournisseur inconnu"))</f>
        <v/>
      </c>
      <c r="E1677" s="63" t="n"/>
      <c r="F1677" s="66" t="str">
        <f>IF(E1677="","",IFERROR(INDEX(art_des,MATCH($E1677,art_ref,0))&amp;"","Article inconnu"))</f>
        <v/>
      </c>
      <c r="G1677" s="67" t="str">
        <f>IF(E1677="","",IFERROR(INDEX(art_unit,MATCH($E1677,art_ref,0))&amp;"",""))</f>
        <v/>
      </c>
      <c r="H1677" s="68" t="n"/>
      <c r="I1677" s="69" t="n"/>
      <c r="J1677" s="70" t="str">
        <f>IF(E1677="","",IF(ISNUMBER(I1677),I1677,IFERROR(IF(ISNUMBER(INDEX(art_price,MATCH($E1677,art_ref,0))),INDEX(art_price,MATCH($E1677,art_ref,0)),""),"")))</f>
        <v/>
      </c>
      <c r="K1677" s="71" t="n"/>
      <c r="L1677" s="72" t="n"/>
      <c r="M1677" s="72" t="str">
        <f>IF(E1677="","",IF(L1677&lt;&gt;"",L1677,IFERROR(IF(ISNUMBER(INDEX(art_tva,MATCH($E1677,art_ref,0))),INDEX(art_tva,MATCH($E1677,art_ref,0)),""),"")))</f>
        <v/>
      </c>
      <c r="N1677" s="70" t="str">
        <f>IF(OR(E1677="",J1677=""),"",ROUND(N(H1677)*J1677*(1-N(K1677)),2))</f>
        <v/>
      </c>
      <c r="O1677" s="70" t="str">
        <f>IF(OR(N1677="",NOT(ISNUMBER(M1677))),"",ROUND(N1677*M1677,2))</f>
        <v/>
      </c>
      <c r="P1677" s="70" t="str">
        <f>IF(N1677="","",N1677+N(O1677))</f>
        <v/>
      </c>
      <c r="Q1677" s="64" t="n"/>
      <c r="R1677" s="73" t="str">
        <f>IF(N(Q1677)&gt;0,Q1677,IF(OR(N(B1677)=0,ISNA(MATCH($C1677,sup_code,0))),"",IF(ISNUMBER(INDEX(sup_delay,MATCH($C1677,sup_code,0))),B1677+INDEX(sup_delay,MATCH($C1677,sup_code,0)),"")))</f>
        <v/>
      </c>
      <c r="S1677" s="64" t="n"/>
      <c r="T1677" s="68" t="n"/>
      <c r="U1677" s="64" t="n"/>
      <c r="V1677" s="65" t="n"/>
      <c r="W1677" s="74" t="str">
        <f>IF(AND(A1677="",E1677=""),"",IF(V1677="Oui",0,MAX(0,ROUND(N(H1677)-N(T1677),6))))</f>
        <v/>
      </c>
      <c r="X1677" s="67" t="str">
        <f>IF(AND(A1677="",E1677=""),"",IF(V1677="Oui","Annulé",IF(AND(N(H1677)&gt;0,N(T1677)&gt;=N(H1677)),"Reçu",IF(N(S1677)=0,"Brouillon",IF(AND(ISNUMBER(R1677),R1677&lt;p_today),"En retard",IF(N(T1677)&gt;0,"Partiel","Envoyé"))))))</f>
        <v/>
      </c>
      <c r="Y1677" s="75" t="str">
        <f>IF(X1677="En retard",p_today-R1677,IF(AND(X1677="Reçu",ISNUMBER(R1677)),MAX(0,N(U1677)-R1677),""))</f>
        <v/>
      </c>
      <c r="Z1677" s="67" t="str">
        <f>IF(AND(A1677="",E1677=""),"",IF(A1677="","N° de bon manquant",IF(N(B1677)=0,"Date de commande manquante",IF(C1677="","Fournisseur manquant",IF(ISNA(MATCH($C1677,sup_code,0)),"Fournisseur inconnu",IF(E1677="","Article manquant",IF(ISNA(MATCH($E1677,art_ref,0)),"Article inconnu",IF(N(H1677)&lt;=0,"Quantité invalide",IF(J1677="","Prix manquant",IF(OR(N(K1677)&lt;0,N(K1677)&gt;=1),"Remise invalide",IF(M1677="","TVA manquante",IF(ISNA(MATCH(M1677,p_tva,0)),"Taux de TVA inconnu",IF(COUNTIFS(po_num,A1677,po_sup,"&lt;&gt;"&amp;C1677)&gt;0,"Fournisseur différent sur ce bon",IF(COUNTIFS(po_num,A1677,po_date,"&lt;&gt;"&amp;B1677)&gt;0,"Date différente sur ce bon",IF(COUNTIF(po_num,A1677)&gt;25,"Plus de 25 lignes sur ce bon",IF(R1677="","Date de livraison manquante",IF(R1677&lt;B1677,"Livraison avant la commande",IF(AND(N(T1677)&gt;0,N(S1677)=0),"Date d'envoi manquante",IF(N(T1677)&gt;N(H1677),"Reçu plus que commandé",IF(AND(N(T1677)&gt;0,N(U1677)=0),"Date de réception manquante",IF(AND(N(U1677)&gt;0,U1677&lt;B1677),"Réception avant la commande","OK")))))))))))))))))))))</f>
        <v/>
      </c>
      <c r="AA1677" s="66" t="str">
        <f>IF(AND(X1677="Reçu",ISNUMBER(R1677)),IF(N(U1677)&lt;=R1677,1,0),"")</f>
        <v/>
      </c>
      <c r="AB1677" s="76" t="str">
        <f>IF(OR(X1677="Envoyé",X1677="Partiel",X1677="En retard"),IF(ISNUMBER(R1677),R1677,100000)+ROW()/100000,"")</f>
        <v/>
      </c>
      <c r="AC1677" s="66" t="str">
        <f>IF(A1677="","",IF(COUNTIF($A$6:A1677,A1677)=1,1,""))</f>
        <v/>
      </c>
      <c r="AD1677" s="66" t="str">
        <f>IF(AC1677=1,COUNT($AC$6:AC1677),"")</f>
        <v/>
      </c>
      <c r="AE1677" s="66" t="str">
        <f>IFERROR(INDEX(po_num,MATCH(1672,po_seq,0))&amp;"","")</f>
        <v/>
      </c>
      <c r="AF1677" s="66" t="str">
        <f>IF(OR(A1677="",p_po=""),"",IF(A1677&amp;""=p_po,COUNTIF($A$6:A1677,A1677),""))</f>
        <v/>
      </c>
      <c r="AG1677" s="66" t="str">
        <f>IF(OR(AB1677="",A1677=""),"",IF(COUNTIFS($A$6:A1677,A1677,$AB$6:AB1677,"&gt;0")=1,1,""))</f>
        <v/>
      </c>
      <c r="AH1677" s="70" t="str">
        <f>IF(AB1677="","",ROUND(N(W1677)*N(J1677)*(1-N(K1677)),2))</f>
        <v/>
      </c>
      <c r="AI1677" s="70" t="str">
        <f>IF(OR(J1677="",N(T1677)&lt;=0,V1677="Oui"),"",ROUND(N(T1677)*J1677*(1-N(K1677)),2))</f>
        <v/>
      </c>
    </row>
    <row r="1678">
      <c r="A1678" s="63" t="n"/>
      <c r="B1678" s="64" t="n"/>
      <c r="C1678" s="65" t="n"/>
      <c r="D1678" s="66" t="str">
        <f>IF(C1678="","",IFERROR(INDEX(sup_name,MATCH($C1678,sup_code,0))&amp;"","Fournisseur inconnu"))</f>
        <v/>
      </c>
      <c r="E1678" s="63" t="n"/>
      <c r="F1678" s="66" t="str">
        <f>IF(E1678="","",IFERROR(INDEX(art_des,MATCH($E1678,art_ref,0))&amp;"","Article inconnu"))</f>
        <v/>
      </c>
      <c r="G1678" s="67" t="str">
        <f>IF(E1678="","",IFERROR(INDEX(art_unit,MATCH($E1678,art_ref,0))&amp;"",""))</f>
        <v/>
      </c>
      <c r="H1678" s="68" t="n"/>
      <c r="I1678" s="69" t="n"/>
      <c r="J1678" s="70" t="str">
        <f>IF(E1678="","",IF(ISNUMBER(I1678),I1678,IFERROR(IF(ISNUMBER(INDEX(art_price,MATCH($E1678,art_ref,0))),INDEX(art_price,MATCH($E1678,art_ref,0)),""),"")))</f>
        <v/>
      </c>
      <c r="K1678" s="71" t="n"/>
      <c r="L1678" s="72" t="n"/>
      <c r="M1678" s="72" t="str">
        <f>IF(E1678="","",IF(L1678&lt;&gt;"",L1678,IFERROR(IF(ISNUMBER(INDEX(art_tva,MATCH($E1678,art_ref,0))),INDEX(art_tva,MATCH($E1678,art_ref,0)),""),"")))</f>
        <v/>
      </c>
      <c r="N1678" s="70" t="str">
        <f>IF(OR(E1678="",J1678=""),"",ROUND(N(H1678)*J1678*(1-N(K1678)),2))</f>
        <v/>
      </c>
      <c r="O1678" s="70" t="str">
        <f>IF(OR(N1678="",NOT(ISNUMBER(M1678))),"",ROUND(N1678*M1678,2))</f>
        <v/>
      </c>
      <c r="P1678" s="70" t="str">
        <f>IF(N1678="","",N1678+N(O1678))</f>
        <v/>
      </c>
      <c r="Q1678" s="64" t="n"/>
      <c r="R1678" s="73" t="str">
        <f>IF(N(Q1678)&gt;0,Q1678,IF(OR(N(B1678)=0,ISNA(MATCH($C1678,sup_code,0))),"",IF(ISNUMBER(INDEX(sup_delay,MATCH($C1678,sup_code,0))),B1678+INDEX(sup_delay,MATCH($C1678,sup_code,0)),"")))</f>
        <v/>
      </c>
      <c r="S1678" s="64" t="n"/>
      <c r="T1678" s="68" t="n"/>
      <c r="U1678" s="64" t="n"/>
      <c r="V1678" s="65" t="n"/>
      <c r="W1678" s="74" t="str">
        <f>IF(AND(A1678="",E1678=""),"",IF(V1678="Oui",0,MAX(0,ROUND(N(H1678)-N(T1678),6))))</f>
        <v/>
      </c>
      <c r="X1678" s="67" t="str">
        <f>IF(AND(A1678="",E1678=""),"",IF(V1678="Oui","Annulé",IF(AND(N(H1678)&gt;0,N(T1678)&gt;=N(H1678)),"Reçu",IF(N(S1678)=0,"Brouillon",IF(AND(ISNUMBER(R1678),R1678&lt;p_today),"En retard",IF(N(T1678)&gt;0,"Partiel","Envoyé"))))))</f>
        <v/>
      </c>
      <c r="Y1678" s="75" t="str">
        <f>IF(X1678="En retard",p_today-R1678,IF(AND(X1678="Reçu",ISNUMBER(R1678)),MAX(0,N(U1678)-R1678),""))</f>
        <v/>
      </c>
      <c r="Z1678" s="67" t="str">
        <f>IF(AND(A1678="",E1678=""),"",IF(A1678="","N° de bon manquant",IF(N(B1678)=0,"Date de commande manquante",IF(C1678="","Fournisseur manquant",IF(ISNA(MATCH($C1678,sup_code,0)),"Fournisseur inconnu",IF(E1678="","Article manquant",IF(ISNA(MATCH($E1678,art_ref,0)),"Article inconnu",IF(N(H1678)&lt;=0,"Quantité invalide",IF(J1678="","Prix manquant",IF(OR(N(K1678)&lt;0,N(K1678)&gt;=1),"Remise invalide",IF(M1678="","TVA manquante",IF(ISNA(MATCH(M1678,p_tva,0)),"Taux de TVA inconnu",IF(COUNTIFS(po_num,A1678,po_sup,"&lt;&gt;"&amp;C1678)&gt;0,"Fournisseur différent sur ce bon",IF(COUNTIFS(po_num,A1678,po_date,"&lt;&gt;"&amp;B1678)&gt;0,"Date différente sur ce bon",IF(COUNTIF(po_num,A1678)&gt;25,"Plus de 25 lignes sur ce bon",IF(R1678="","Date de livraison manquante",IF(R1678&lt;B1678,"Livraison avant la commande",IF(AND(N(T1678)&gt;0,N(S1678)=0),"Date d'envoi manquante",IF(N(T1678)&gt;N(H1678),"Reçu plus que commandé",IF(AND(N(T1678)&gt;0,N(U1678)=0),"Date de réception manquante",IF(AND(N(U1678)&gt;0,U1678&lt;B1678),"Réception avant la commande","OK")))))))))))))))))))))</f>
        <v/>
      </c>
      <c r="AA1678" s="66" t="str">
        <f>IF(AND(X1678="Reçu",ISNUMBER(R1678)),IF(N(U1678)&lt;=R1678,1,0),"")</f>
        <v/>
      </c>
      <c r="AB1678" s="76" t="str">
        <f>IF(OR(X1678="Envoyé",X1678="Partiel",X1678="En retard"),IF(ISNUMBER(R1678),R1678,100000)+ROW()/100000,"")</f>
        <v/>
      </c>
      <c r="AC1678" s="66" t="str">
        <f>IF(A1678="","",IF(COUNTIF($A$6:A1678,A1678)=1,1,""))</f>
        <v/>
      </c>
      <c r="AD1678" s="66" t="str">
        <f>IF(AC1678=1,COUNT($AC$6:AC1678),"")</f>
        <v/>
      </c>
      <c r="AE1678" s="66" t="str">
        <f>IFERROR(INDEX(po_num,MATCH(1673,po_seq,0))&amp;"","")</f>
        <v/>
      </c>
      <c r="AF1678" s="66" t="str">
        <f>IF(OR(A1678="",p_po=""),"",IF(A1678&amp;""=p_po,COUNTIF($A$6:A1678,A1678),""))</f>
        <v/>
      </c>
      <c r="AG1678" s="66" t="str">
        <f>IF(OR(AB1678="",A1678=""),"",IF(COUNTIFS($A$6:A1678,A1678,$AB$6:AB1678,"&gt;0")=1,1,""))</f>
        <v/>
      </c>
      <c r="AH1678" s="70" t="str">
        <f>IF(AB1678="","",ROUND(N(W1678)*N(J1678)*(1-N(K1678)),2))</f>
        <v/>
      </c>
      <c r="AI1678" s="70" t="str">
        <f>IF(OR(J1678="",N(T1678)&lt;=0,V1678="Oui"),"",ROUND(N(T1678)*J1678*(1-N(K1678)),2))</f>
        <v/>
      </c>
    </row>
    <row r="1679">
      <c r="A1679" s="63" t="n"/>
      <c r="B1679" s="64" t="n"/>
      <c r="C1679" s="65" t="n"/>
      <c r="D1679" s="66" t="str">
        <f>IF(C1679="","",IFERROR(INDEX(sup_name,MATCH($C1679,sup_code,0))&amp;"","Fournisseur inconnu"))</f>
        <v/>
      </c>
      <c r="E1679" s="63" t="n"/>
      <c r="F1679" s="66" t="str">
        <f>IF(E1679="","",IFERROR(INDEX(art_des,MATCH($E1679,art_ref,0))&amp;"","Article inconnu"))</f>
        <v/>
      </c>
      <c r="G1679" s="67" t="str">
        <f>IF(E1679="","",IFERROR(INDEX(art_unit,MATCH($E1679,art_ref,0))&amp;"",""))</f>
        <v/>
      </c>
      <c r="H1679" s="68" t="n"/>
      <c r="I1679" s="69" t="n"/>
      <c r="J1679" s="70" t="str">
        <f>IF(E1679="","",IF(ISNUMBER(I1679),I1679,IFERROR(IF(ISNUMBER(INDEX(art_price,MATCH($E1679,art_ref,0))),INDEX(art_price,MATCH($E1679,art_ref,0)),""),"")))</f>
        <v/>
      </c>
      <c r="K1679" s="71" t="n"/>
      <c r="L1679" s="72" t="n"/>
      <c r="M1679" s="72" t="str">
        <f>IF(E1679="","",IF(L1679&lt;&gt;"",L1679,IFERROR(IF(ISNUMBER(INDEX(art_tva,MATCH($E1679,art_ref,0))),INDEX(art_tva,MATCH($E1679,art_ref,0)),""),"")))</f>
        <v/>
      </c>
      <c r="N1679" s="70" t="str">
        <f>IF(OR(E1679="",J1679=""),"",ROUND(N(H1679)*J1679*(1-N(K1679)),2))</f>
        <v/>
      </c>
      <c r="O1679" s="70" t="str">
        <f>IF(OR(N1679="",NOT(ISNUMBER(M1679))),"",ROUND(N1679*M1679,2))</f>
        <v/>
      </c>
      <c r="P1679" s="70" t="str">
        <f>IF(N1679="","",N1679+N(O1679))</f>
        <v/>
      </c>
      <c r="Q1679" s="64" t="n"/>
      <c r="R1679" s="73" t="str">
        <f>IF(N(Q1679)&gt;0,Q1679,IF(OR(N(B1679)=0,ISNA(MATCH($C1679,sup_code,0))),"",IF(ISNUMBER(INDEX(sup_delay,MATCH($C1679,sup_code,0))),B1679+INDEX(sup_delay,MATCH($C1679,sup_code,0)),"")))</f>
        <v/>
      </c>
      <c r="S1679" s="64" t="n"/>
      <c r="T1679" s="68" t="n"/>
      <c r="U1679" s="64" t="n"/>
      <c r="V1679" s="65" t="n"/>
      <c r="W1679" s="74" t="str">
        <f>IF(AND(A1679="",E1679=""),"",IF(V1679="Oui",0,MAX(0,ROUND(N(H1679)-N(T1679),6))))</f>
        <v/>
      </c>
      <c r="X1679" s="67" t="str">
        <f>IF(AND(A1679="",E1679=""),"",IF(V1679="Oui","Annulé",IF(AND(N(H1679)&gt;0,N(T1679)&gt;=N(H1679)),"Reçu",IF(N(S1679)=0,"Brouillon",IF(AND(ISNUMBER(R1679),R1679&lt;p_today),"En retard",IF(N(T1679)&gt;0,"Partiel","Envoyé"))))))</f>
        <v/>
      </c>
      <c r="Y1679" s="75" t="str">
        <f>IF(X1679="En retard",p_today-R1679,IF(AND(X1679="Reçu",ISNUMBER(R1679)),MAX(0,N(U1679)-R1679),""))</f>
        <v/>
      </c>
      <c r="Z1679" s="67" t="str">
        <f>IF(AND(A1679="",E1679=""),"",IF(A1679="","N° de bon manquant",IF(N(B1679)=0,"Date de commande manquante",IF(C1679="","Fournisseur manquant",IF(ISNA(MATCH($C1679,sup_code,0)),"Fournisseur inconnu",IF(E1679="","Article manquant",IF(ISNA(MATCH($E1679,art_ref,0)),"Article inconnu",IF(N(H1679)&lt;=0,"Quantité invalide",IF(J1679="","Prix manquant",IF(OR(N(K1679)&lt;0,N(K1679)&gt;=1),"Remise invalide",IF(M1679="","TVA manquante",IF(ISNA(MATCH(M1679,p_tva,0)),"Taux de TVA inconnu",IF(COUNTIFS(po_num,A1679,po_sup,"&lt;&gt;"&amp;C1679)&gt;0,"Fournisseur différent sur ce bon",IF(COUNTIFS(po_num,A1679,po_date,"&lt;&gt;"&amp;B1679)&gt;0,"Date différente sur ce bon",IF(COUNTIF(po_num,A1679)&gt;25,"Plus de 25 lignes sur ce bon",IF(R1679="","Date de livraison manquante",IF(R1679&lt;B1679,"Livraison avant la commande",IF(AND(N(T1679)&gt;0,N(S1679)=0),"Date d'envoi manquante",IF(N(T1679)&gt;N(H1679),"Reçu plus que commandé",IF(AND(N(T1679)&gt;0,N(U1679)=0),"Date de réception manquante",IF(AND(N(U1679)&gt;0,U1679&lt;B1679),"Réception avant la commande","OK")))))))))))))))))))))</f>
        <v/>
      </c>
      <c r="AA1679" s="66" t="str">
        <f>IF(AND(X1679="Reçu",ISNUMBER(R1679)),IF(N(U1679)&lt;=R1679,1,0),"")</f>
        <v/>
      </c>
      <c r="AB1679" s="76" t="str">
        <f>IF(OR(X1679="Envoyé",X1679="Partiel",X1679="En retard"),IF(ISNUMBER(R1679),R1679,100000)+ROW()/100000,"")</f>
        <v/>
      </c>
      <c r="AC1679" s="66" t="str">
        <f>IF(A1679="","",IF(COUNTIF($A$6:A1679,A1679)=1,1,""))</f>
        <v/>
      </c>
      <c r="AD1679" s="66" t="str">
        <f>IF(AC1679=1,COUNT($AC$6:AC1679),"")</f>
        <v/>
      </c>
      <c r="AE1679" s="66" t="str">
        <f>IFERROR(INDEX(po_num,MATCH(1674,po_seq,0))&amp;"","")</f>
        <v/>
      </c>
      <c r="AF1679" s="66" t="str">
        <f>IF(OR(A1679="",p_po=""),"",IF(A1679&amp;""=p_po,COUNTIF($A$6:A1679,A1679),""))</f>
        <v/>
      </c>
      <c r="AG1679" s="66" t="str">
        <f>IF(OR(AB1679="",A1679=""),"",IF(COUNTIFS($A$6:A1679,A1679,$AB$6:AB1679,"&gt;0")=1,1,""))</f>
        <v/>
      </c>
      <c r="AH1679" s="70" t="str">
        <f>IF(AB1679="","",ROUND(N(W1679)*N(J1679)*(1-N(K1679)),2))</f>
        <v/>
      </c>
      <c r="AI1679" s="70" t="str">
        <f>IF(OR(J1679="",N(T1679)&lt;=0,V1679="Oui"),"",ROUND(N(T1679)*J1679*(1-N(K1679)),2))</f>
        <v/>
      </c>
    </row>
    <row r="1680">
      <c r="A1680" s="63" t="n"/>
      <c r="B1680" s="64" t="n"/>
      <c r="C1680" s="65" t="n"/>
      <c r="D1680" s="66" t="str">
        <f>IF(C1680="","",IFERROR(INDEX(sup_name,MATCH($C1680,sup_code,0))&amp;"","Fournisseur inconnu"))</f>
        <v/>
      </c>
      <c r="E1680" s="63" t="n"/>
      <c r="F1680" s="66" t="str">
        <f>IF(E1680="","",IFERROR(INDEX(art_des,MATCH($E1680,art_ref,0))&amp;"","Article inconnu"))</f>
        <v/>
      </c>
      <c r="G1680" s="67" t="str">
        <f>IF(E1680="","",IFERROR(INDEX(art_unit,MATCH($E1680,art_ref,0))&amp;"",""))</f>
        <v/>
      </c>
      <c r="H1680" s="68" t="n"/>
      <c r="I1680" s="69" t="n"/>
      <c r="J1680" s="70" t="str">
        <f>IF(E1680="","",IF(ISNUMBER(I1680),I1680,IFERROR(IF(ISNUMBER(INDEX(art_price,MATCH($E1680,art_ref,0))),INDEX(art_price,MATCH($E1680,art_ref,0)),""),"")))</f>
        <v/>
      </c>
      <c r="K1680" s="71" t="n"/>
      <c r="L1680" s="72" t="n"/>
      <c r="M1680" s="72" t="str">
        <f>IF(E1680="","",IF(L1680&lt;&gt;"",L1680,IFERROR(IF(ISNUMBER(INDEX(art_tva,MATCH($E1680,art_ref,0))),INDEX(art_tva,MATCH($E1680,art_ref,0)),""),"")))</f>
        <v/>
      </c>
      <c r="N1680" s="70" t="str">
        <f>IF(OR(E1680="",J1680=""),"",ROUND(N(H1680)*J1680*(1-N(K1680)),2))</f>
        <v/>
      </c>
      <c r="O1680" s="70" t="str">
        <f>IF(OR(N1680="",NOT(ISNUMBER(M1680))),"",ROUND(N1680*M1680,2))</f>
        <v/>
      </c>
      <c r="P1680" s="70" t="str">
        <f>IF(N1680="","",N1680+N(O1680))</f>
        <v/>
      </c>
      <c r="Q1680" s="64" t="n"/>
      <c r="R1680" s="73" t="str">
        <f>IF(N(Q1680)&gt;0,Q1680,IF(OR(N(B1680)=0,ISNA(MATCH($C1680,sup_code,0))),"",IF(ISNUMBER(INDEX(sup_delay,MATCH($C1680,sup_code,0))),B1680+INDEX(sup_delay,MATCH($C1680,sup_code,0)),"")))</f>
        <v/>
      </c>
      <c r="S1680" s="64" t="n"/>
      <c r="T1680" s="68" t="n"/>
      <c r="U1680" s="64" t="n"/>
      <c r="V1680" s="65" t="n"/>
      <c r="W1680" s="74" t="str">
        <f>IF(AND(A1680="",E1680=""),"",IF(V1680="Oui",0,MAX(0,ROUND(N(H1680)-N(T1680),6))))</f>
        <v/>
      </c>
      <c r="X1680" s="67" t="str">
        <f>IF(AND(A1680="",E1680=""),"",IF(V1680="Oui","Annulé",IF(AND(N(H1680)&gt;0,N(T1680)&gt;=N(H1680)),"Reçu",IF(N(S1680)=0,"Brouillon",IF(AND(ISNUMBER(R1680),R1680&lt;p_today),"En retard",IF(N(T1680)&gt;0,"Partiel","Envoyé"))))))</f>
        <v/>
      </c>
      <c r="Y1680" s="75" t="str">
        <f>IF(X1680="En retard",p_today-R1680,IF(AND(X1680="Reçu",ISNUMBER(R1680)),MAX(0,N(U1680)-R1680),""))</f>
        <v/>
      </c>
      <c r="Z1680" s="67" t="str">
        <f>IF(AND(A1680="",E1680=""),"",IF(A1680="","N° de bon manquant",IF(N(B1680)=0,"Date de commande manquante",IF(C1680="","Fournisseur manquant",IF(ISNA(MATCH($C1680,sup_code,0)),"Fournisseur inconnu",IF(E1680="","Article manquant",IF(ISNA(MATCH($E1680,art_ref,0)),"Article inconnu",IF(N(H1680)&lt;=0,"Quantité invalide",IF(J1680="","Prix manquant",IF(OR(N(K1680)&lt;0,N(K1680)&gt;=1),"Remise invalide",IF(M1680="","TVA manquante",IF(ISNA(MATCH(M1680,p_tva,0)),"Taux de TVA inconnu",IF(COUNTIFS(po_num,A1680,po_sup,"&lt;&gt;"&amp;C1680)&gt;0,"Fournisseur différent sur ce bon",IF(COUNTIFS(po_num,A1680,po_date,"&lt;&gt;"&amp;B1680)&gt;0,"Date différente sur ce bon",IF(COUNTIF(po_num,A1680)&gt;25,"Plus de 25 lignes sur ce bon",IF(R1680="","Date de livraison manquante",IF(R1680&lt;B1680,"Livraison avant la commande",IF(AND(N(T1680)&gt;0,N(S1680)=0),"Date d'envoi manquante",IF(N(T1680)&gt;N(H1680),"Reçu plus que commandé",IF(AND(N(T1680)&gt;0,N(U1680)=0),"Date de réception manquante",IF(AND(N(U1680)&gt;0,U1680&lt;B1680),"Réception avant la commande","OK")))))))))))))))))))))</f>
        <v/>
      </c>
      <c r="AA1680" s="66" t="str">
        <f>IF(AND(X1680="Reçu",ISNUMBER(R1680)),IF(N(U1680)&lt;=R1680,1,0),"")</f>
        <v/>
      </c>
      <c r="AB1680" s="76" t="str">
        <f>IF(OR(X1680="Envoyé",X1680="Partiel",X1680="En retard"),IF(ISNUMBER(R1680),R1680,100000)+ROW()/100000,"")</f>
        <v/>
      </c>
      <c r="AC1680" s="66" t="str">
        <f>IF(A1680="","",IF(COUNTIF($A$6:A1680,A1680)=1,1,""))</f>
        <v/>
      </c>
      <c r="AD1680" s="66" t="str">
        <f>IF(AC1680=1,COUNT($AC$6:AC1680),"")</f>
        <v/>
      </c>
      <c r="AE1680" s="66" t="str">
        <f>IFERROR(INDEX(po_num,MATCH(1675,po_seq,0))&amp;"","")</f>
        <v/>
      </c>
      <c r="AF1680" s="66" t="str">
        <f>IF(OR(A1680="",p_po=""),"",IF(A1680&amp;""=p_po,COUNTIF($A$6:A1680,A1680),""))</f>
        <v/>
      </c>
      <c r="AG1680" s="66" t="str">
        <f>IF(OR(AB1680="",A1680=""),"",IF(COUNTIFS($A$6:A1680,A1680,$AB$6:AB1680,"&gt;0")=1,1,""))</f>
        <v/>
      </c>
      <c r="AH1680" s="70" t="str">
        <f>IF(AB1680="","",ROUND(N(W1680)*N(J1680)*(1-N(K1680)),2))</f>
        <v/>
      </c>
      <c r="AI1680" s="70" t="str">
        <f>IF(OR(J1680="",N(T1680)&lt;=0,V1680="Oui"),"",ROUND(N(T1680)*J1680*(1-N(K1680)),2))</f>
        <v/>
      </c>
    </row>
    <row r="1681">
      <c r="A1681" s="63" t="n"/>
      <c r="B1681" s="64" t="n"/>
      <c r="C1681" s="65" t="n"/>
      <c r="D1681" s="66" t="str">
        <f>IF(C1681="","",IFERROR(INDEX(sup_name,MATCH($C1681,sup_code,0))&amp;"","Fournisseur inconnu"))</f>
        <v/>
      </c>
      <c r="E1681" s="63" t="n"/>
      <c r="F1681" s="66" t="str">
        <f>IF(E1681="","",IFERROR(INDEX(art_des,MATCH($E1681,art_ref,0))&amp;"","Article inconnu"))</f>
        <v/>
      </c>
      <c r="G1681" s="67" t="str">
        <f>IF(E1681="","",IFERROR(INDEX(art_unit,MATCH($E1681,art_ref,0))&amp;"",""))</f>
        <v/>
      </c>
      <c r="H1681" s="68" t="n"/>
      <c r="I1681" s="69" t="n"/>
      <c r="J1681" s="70" t="str">
        <f>IF(E1681="","",IF(ISNUMBER(I1681),I1681,IFERROR(IF(ISNUMBER(INDEX(art_price,MATCH($E1681,art_ref,0))),INDEX(art_price,MATCH($E1681,art_ref,0)),""),"")))</f>
        <v/>
      </c>
      <c r="K1681" s="71" t="n"/>
      <c r="L1681" s="72" t="n"/>
      <c r="M1681" s="72" t="str">
        <f>IF(E1681="","",IF(L1681&lt;&gt;"",L1681,IFERROR(IF(ISNUMBER(INDEX(art_tva,MATCH($E1681,art_ref,0))),INDEX(art_tva,MATCH($E1681,art_ref,0)),""),"")))</f>
        <v/>
      </c>
      <c r="N1681" s="70" t="str">
        <f>IF(OR(E1681="",J1681=""),"",ROUND(N(H1681)*J1681*(1-N(K1681)),2))</f>
        <v/>
      </c>
      <c r="O1681" s="70" t="str">
        <f>IF(OR(N1681="",NOT(ISNUMBER(M1681))),"",ROUND(N1681*M1681,2))</f>
        <v/>
      </c>
      <c r="P1681" s="70" t="str">
        <f>IF(N1681="","",N1681+N(O1681))</f>
        <v/>
      </c>
      <c r="Q1681" s="64" t="n"/>
      <c r="R1681" s="73" t="str">
        <f>IF(N(Q1681)&gt;0,Q1681,IF(OR(N(B1681)=0,ISNA(MATCH($C1681,sup_code,0))),"",IF(ISNUMBER(INDEX(sup_delay,MATCH($C1681,sup_code,0))),B1681+INDEX(sup_delay,MATCH($C1681,sup_code,0)),"")))</f>
        <v/>
      </c>
      <c r="S1681" s="64" t="n"/>
      <c r="T1681" s="68" t="n"/>
      <c r="U1681" s="64" t="n"/>
      <c r="V1681" s="65" t="n"/>
      <c r="W1681" s="74" t="str">
        <f>IF(AND(A1681="",E1681=""),"",IF(V1681="Oui",0,MAX(0,ROUND(N(H1681)-N(T1681),6))))</f>
        <v/>
      </c>
      <c r="X1681" s="67" t="str">
        <f>IF(AND(A1681="",E1681=""),"",IF(V1681="Oui","Annulé",IF(AND(N(H1681)&gt;0,N(T1681)&gt;=N(H1681)),"Reçu",IF(N(S1681)=0,"Brouillon",IF(AND(ISNUMBER(R1681),R1681&lt;p_today),"En retard",IF(N(T1681)&gt;0,"Partiel","Envoyé"))))))</f>
        <v/>
      </c>
      <c r="Y1681" s="75" t="str">
        <f>IF(X1681="En retard",p_today-R1681,IF(AND(X1681="Reçu",ISNUMBER(R1681)),MAX(0,N(U1681)-R1681),""))</f>
        <v/>
      </c>
      <c r="Z1681" s="67" t="str">
        <f>IF(AND(A1681="",E1681=""),"",IF(A1681="","N° de bon manquant",IF(N(B1681)=0,"Date de commande manquante",IF(C1681="","Fournisseur manquant",IF(ISNA(MATCH($C1681,sup_code,0)),"Fournisseur inconnu",IF(E1681="","Article manquant",IF(ISNA(MATCH($E1681,art_ref,0)),"Article inconnu",IF(N(H1681)&lt;=0,"Quantité invalide",IF(J1681="","Prix manquant",IF(OR(N(K1681)&lt;0,N(K1681)&gt;=1),"Remise invalide",IF(M1681="","TVA manquante",IF(ISNA(MATCH(M1681,p_tva,0)),"Taux de TVA inconnu",IF(COUNTIFS(po_num,A1681,po_sup,"&lt;&gt;"&amp;C1681)&gt;0,"Fournisseur différent sur ce bon",IF(COUNTIFS(po_num,A1681,po_date,"&lt;&gt;"&amp;B1681)&gt;0,"Date différente sur ce bon",IF(COUNTIF(po_num,A1681)&gt;25,"Plus de 25 lignes sur ce bon",IF(R1681="","Date de livraison manquante",IF(R1681&lt;B1681,"Livraison avant la commande",IF(AND(N(T1681)&gt;0,N(S1681)=0),"Date d'envoi manquante",IF(N(T1681)&gt;N(H1681),"Reçu plus que commandé",IF(AND(N(T1681)&gt;0,N(U1681)=0),"Date de réception manquante",IF(AND(N(U1681)&gt;0,U1681&lt;B1681),"Réception avant la commande","OK")))))))))))))))))))))</f>
        <v/>
      </c>
      <c r="AA1681" s="66" t="str">
        <f>IF(AND(X1681="Reçu",ISNUMBER(R1681)),IF(N(U1681)&lt;=R1681,1,0),"")</f>
        <v/>
      </c>
      <c r="AB1681" s="76" t="str">
        <f>IF(OR(X1681="Envoyé",X1681="Partiel",X1681="En retard"),IF(ISNUMBER(R1681),R1681,100000)+ROW()/100000,"")</f>
        <v/>
      </c>
      <c r="AC1681" s="66" t="str">
        <f>IF(A1681="","",IF(COUNTIF($A$6:A1681,A1681)=1,1,""))</f>
        <v/>
      </c>
      <c r="AD1681" s="66" t="str">
        <f>IF(AC1681=1,COUNT($AC$6:AC1681),"")</f>
        <v/>
      </c>
      <c r="AE1681" s="66" t="str">
        <f>IFERROR(INDEX(po_num,MATCH(1676,po_seq,0))&amp;"","")</f>
        <v/>
      </c>
      <c r="AF1681" s="66" t="str">
        <f>IF(OR(A1681="",p_po=""),"",IF(A1681&amp;""=p_po,COUNTIF($A$6:A1681,A1681),""))</f>
        <v/>
      </c>
      <c r="AG1681" s="66" t="str">
        <f>IF(OR(AB1681="",A1681=""),"",IF(COUNTIFS($A$6:A1681,A1681,$AB$6:AB1681,"&gt;0")=1,1,""))</f>
        <v/>
      </c>
      <c r="AH1681" s="70" t="str">
        <f>IF(AB1681="","",ROUND(N(W1681)*N(J1681)*(1-N(K1681)),2))</f>
        <v/>
      </c>
      <c r="AI1681" s="70" t="str">
        <f>IF(OR(J1681="",N(T1681)&lt;=0,V1681="Oui"),"",ROUND(N(T1681)*J1681*(1-N(K1681)),2))</f>
        <v/>
      </c>
    </row>
    <row r="1682">
      <c r="A1682" s="63" t="n"/>
      <c r="B1682" s="64" t="n"/>
      <c r="C1682" s="65" t="n"/>
      <c r="D1682" s="66" t="str">
        <f>IF(C1682="","",IFERROR(INDEX(sup_name,MATCH($C1682,sup_code,0))&amp;"","Fournisseur inconnu"))</f>
        <v/>
      </c>
      <c r="E1682" s="63" t="n"/>
      <c r="F1682" s="66" t="str">
        <f>IF(E1682="","",IFERROR(INDEX(art_des,MATCH($E1682,art_ref,0))&amp;"","Article inconnu"))</f>
        <v/>
      </c>
      <c r="G1682" s="67" t="str">
        <f>IF(E1682="","",IFERROR(INDEX(art_unit,MATCH($E1682,art_ref,0))&amp;"",""))</f>
        <v/>
      </c>
      <c r="H1682" s="68" t="n"/>
      <c r="I1682" s="69" t="n"/>
      <c r="J1682" s="70" t="str">
        <f>IF(E1682="","",IF(ISNUMBER(I1682),I1682,IFERROR(IF(ISNUMBER(INDEX(art_price,MATCH($E1682,art_ref,0))),INDEX(art_price,MATCH($E1682,art_ref,0)),""),"")))</f>
        <v/>
      </c>
      <c r="K1682" s="71" t="n"/>
      <c r="L1682" s="72" t="n"/>
      <c r="M1682" s="72" t="str">
        <f>IF(E1682="","",IF(L1682&lt;&gt;"",L1682,IFERROR(IF(ISNUMBER(INDEX(art_tva,MATCH($E1682,art_ref,0))),INDEX(art_tva,MATCH($E1682,art_ref,0)),""),"")))</f>
        <v/>
      </c>
      <c r="N1682" s="70" t="str">
        <f>IF(OR(E1682="",J1682=""),"",ROUND(N(H1682)*J1682*(1-N(K1682)),2))</f>
        <v/>
      </c>
      <c r="O1682" s="70" t="str">
        <f>IF(OR(N1682="",NOT(ISNUMBER(M1682))),"",ROUND(N1682*M1682,2))</f>
        <v/>
      </c>
      <c r="P1682" s="70" t="str">
        <f>IF(N1682="","",N1682+N(O1682))</f>
        <v/>
      </c>
      <c r="Q1682" s="64" t="n"/>
      <c r="R1682" s="73" t="str">
        <f>IF(N(Q1682)&gt;0,Q1682,IF(OR(N(B1682)=0,ISNA(MATCH($C1682,sup_code,0))),"",IF(ISNUMBER(INDEX(sup_delay,MATCH($C1682,sup_code,0))),B1682+INDEX(sup_delay,MATCH($C1682,sup_code,0)),"")))</f>
        <v/>
      </c>
      <c r="S1682" s="64" t="n"/>
      <c r="T1682" s="68" t="n"/>
      <c r="U1682" s="64" t="n"/>
      <c r="V1682" s="65" t="n"/>
      <c r="W1682" s="74" t="str">
        <f>IF(AND(A1682="",E1682=""),"",IF(V1682="Oui",0,MAX(0,ROUND(N(H1682)-N(T1682),6))))</f>
        <v/>
      </c>
      <c r="X1682" s="67" t="str">
        <f>IF(AND(A1682="",E1682=""),"",IF(V1682="Oui","Annulé",IF(AND(N(H1682)&gt;0,N(T1682)&gt;=N(H1682)),"Reçu",IF(N(S1682)=0,"Brouillon",IF(AND(ISNUMBER(R1682),R1682&lt;p_today),"En retard",IF(N(T1682)&gt;0,"Partiel","Envoyé"))))))</f>
        <v/>
      </c>
      <c r="Y1682" s="75" t="str">
        <f>IF(X1682="En retard",p_today-R1682,IF(AND(X1682="Reçu",ISNUMBER(R1682)),MAX(0,N(U1682)-R1682),""))</f>
        <v/>
      </c>
      <c r="Z1682" s="67" t="str">
        <f>IF(AND(A1682="",E1682=""),"",IF(A1682="","N° de bon manquant",IF(N(B1682)=0,"Date de commande manquante",IF(C1682="","Fournisseur manquant",IF(ISNA(MATCH($C1682,sup_code,0)),"Fournisseur inconnu",IF(E1682="","Article manquant",IF(ISNA(MATCH($E1682,art_ref,0)),"Article inconnu",IF(N(H1682)&lt;=0,"Quantité invalide",IF(J1682="","Prix manquant",IF(OR(N(K1682)&lt;0,N(K1682)&gt;=1),"Remise invalide",IF(M1682="","TVA manquante",IF(ISNA(MATCH(M1682,p_tva,0)),"Taux de TVA inconnu",IF(COUNTIFS(po_num,A1682,po_sup,"&lt;&gt;"&amp;C1682)&gt;0,"Fournisseur différent sur ce bon",IF(COUNTIFS(po_num,A1682,po_date,"&lt;&gt;"&amp;B1682)&gt;0,"Date différente sur ce bon",IF(COUNTIF(po_num,A1682)&gt;25,"Plus de 25 lignes sur ce bon",IF(R1682="","Date de livraison manquante",IF(R1682&lt;B1682,"Livraison avant la commande",IF(AND(N(T1682)&gt;0,N(S1682)=0),"Date d'envoi manquante",IF(N(T1682)&gt;N(H1682),"Reçu plus que commandé",IF(AND(N(T1682)&gt;0,N(U1682)=0),"Date de réception manquante",IF(AND(N(U1682)&gt;0,U1682&lt;B1682),"Réception avant la commande","OK")))))))))))))))))))))</f>
        <v/>
      </c>
      <c r="AA1682" s="66" t="str">
        <f>IF(AND(X1682="Reçu",ISNUMBER(R1682)),IF(N(U1682)&lt;=R1682,1,0),"")</f>
        <v/>
      </c>
      <c r="AB1682" s="76" t="str">
        <f>IF(OR(X1682="Envoyé",X1682="Partiel",X1682="En retard"),IF(ISNUMBER(R1682),R1682,100000)+ROW()/100000,"")</f>
        <v/>
      </c>
      <c r="AC1682" s="66" t="str">
        <f>IF(A1682="","",IF(COUNTIF($A$6:A1682,A1682)=1,1,""))</f>
        <v/>
      </c>
      <c r="AD1682" s="66" t="str">
        <f>IF(AC1682=1,COUNT($AC$6:AC1682),"")</f>
        <v/>
      </c>
      <c r="AE1682" s="66" t="str">
        <f>IFERROR(INDEX(po_num,MATCH(1677,po_seq,0))&amp;"","")</f>
        <v/>
      </c>
      <c r="AF1682" s="66" t="str">
        <f>IF(OR(A1682="",p_po=""),"",IF(A1682&amp;""=p_po,COUNTIF($A$6:A1682,A1682),""))</f>
        <v/>
      </c>
      <c r="AG1682" s="66" t="str">
        <f>IF(OR(AB1682="",A1682=""),"",IF(COUNTIFS($A$6:A1682,A1682,$AB$6:AB1682,"&gt;0")=1,1,""))</f>
        <v/>
      </c>
      <c r="AH1682" s="70" t="str">
        <f>IF(AB1682="","",ROUND(N(W1682)*N(J1682)*(1-N(K1682)),2))</f>
        <v/>
      </c>
      <c r="AI1682" s="70" t="str">
        <f>IF(OR(J1682="",N(T1682)&lt;=0,V1682="Oui"),"",ROUND(N(T1682)*J1682*(1-N(K1682)),2))</f>
        <v/>
      </c>
    </row>
    <row r="1683">
      <c r="A1683" s="63" t="n"/>
      <c r="B1683" s="64" t="n"/>
      <c r="C1683" s="65" t="n"/>
      <c r="D1683" s="66" t="str">
        <f>IF(C1683="","",IFERROR(INDEX(sup_name,MATCH($C1683,sup_code,0))&amp;"","Fournisseur inconnu"))</f>
        <v/>
      </c>
      <c r="E1683" s="63" t="n"/>
      <c r="F1683" s="66" t="str">
        <f>IF(E1683="","",IFERROR(INDEX(art_des,MATCH($E1683,art_ref,0))&amp;"","Article inconnu"))</f>
        <v/>
      </c>
      <c r="G1683" s="67" t="str">
        <f>IF(E1683="","",IFERROR(INDEX(art_unit,MATCH($E1683,art_ref,0))&amp;"",""))</f>
        <v/>
      </c>
      <c r="H1683" s="68" t="n"/>
      <c r="I1683" s="69" t="n"/>
      <c r="J1683" s="70" t="str">
        <f>IF(E1683="","",IF(ISNUMBER(I1683),I1683,IFERROR(IF(ISNUMBER(INDEX(art_price,MATCH($E1683,art_ref,0))),INDEX(art_price,MATCH($E1683,art_ref,0)),""),"")))</f>
        <v/>
      </c>
      <c r="K1683" s="71" t="n"/>
      <c r="L1683" s="72" t="n"/>
      <c r="M1683" s="72" t="str">
        <f>IF(E1683="","",IF(L1683&lt;&gt;"",L1683,IFERROR(IF(ISNUMBER(INDEX(art_tva,MATCH($E1683,art_ref,0))),INDEX(art_tva,MATCH($E1683,art_ref,0)),""),"")))</f>
        <v/>
      </c>
      <c r="N1683" s="70" t="str">
        <f>IF(OR(E1683="",J1683=""),"",ROUND(N(H1683)*J1683*(1-N(K1683)),2))</f>
        <v/>
      </c>
      <c r="O1683" s="70" t="str">
        <f>IF(OR(N1683="",NOT(ISNUMBER(M1683))),"",ROUND(N1683*M1683,2))</f>
        <v/>
      </c>
      <c r="P1683" s="70" t="str">
        <f>IF(N1683="","",N1683+N(O1683))</f>
        <v/>
      </c>
      <c r="Q1683" s="64" t="n"/>
      <c r="R1683" s="73" t="str">
        <f>IF(N(Q1683)&gt;0,Q1683,IF(OR(N(B1683)=0,ISNA(MATCH($C1683,sup_code,0))),"",IF(ISNUMBER(INDEX(sup_delay,MATCH($C1683,sup_code,0))),B1683+INDEX(sup_delay,MATCH($C1683,sup_code,0)),"")))</f>
        <v/>
      </c>
      <c r="S1683" s="64" t="n"/>
      <c r="T1683" s="68" t="n"/>
      <c r="U1683" s="64" t="n"/>
      <c r="V1683" s="65" t="n"/>
      <c r="W1683" s="74" t="str">
        <f>IF(AND(A1683="",E1683=""),"",IF(V1683="Oui",0,MAX(0,ROUND(N(H1683)-N(T1683),6))))</f>
        <v/>
      </c>
      <c r="X1683" s="67" t="str">
        <f>IF(AND(A1683="",E1683=""),"",IF(V1683="Oui","Annulé",IF(AND(N(H1683)&gt;0,N(T1683)&gt;=N(H1683)),"Reçu",IF(N(S1683)=0,"Brouillon",IF(AND(ISNUMBER(R1683),R1683&lt;p_today),"En retard",IF(N(T1683)&gt;0,"Partiel","Envoyé"))))))</f>
        <v/>
      </c>
      <c r="Y1683" s="75" t="str">
        <f>IF(X1683="En retard",p_today-R1683,IF(AND(X1683="Reçu",ISNUMBER(R1683)),MAX(0,N(U1683)-R1683),""))</f>
        <v/>
      </c>
      <c r="Z1683" s="67" t="str">
        <f>IF(AND(A1683="",E1683=""),"",IF(A1683="","N° de bon manquant",IF(N(B1683)=0,"Date de commande manquante",IF(C1683="","Fournisseur manquant",IF(ISNA(MATCH($C1683,sup_code,0)),"Fournisseur inconnu",IF(E1683="","Article manquant",IF(ISNA(MATCH($E1683,art_ref,0)),"Article inconnu",IF(N(H1683)&lt;=0,"Quantité invalide",IF(J1683="","Prix manquant",IF(OR(N(K1683)&lt;0,N(K1683)&gt;=1),"Remise invalide",IF(M1683="","TVA manquante",IF(ISNA(MATCH(M1683,p_tva,0)),"Taux de TVA inconnu",IF(COUNTIFS(po_num,A1683,po_sup,"&lt;&gt;"&amp;C1683)&gt;0,"Fournisseur différent sur ce bon",IF(COUNTIFS(po_num,A1683,po_date,"&lt;&gt;"&amp;B1683)&gt;0,"Date différente sur ce bon",IF(COUNTIF(po_num,A1683)&gt;25,"Plus de 25 lignes sur ce bon",IF(R1683="","Date de livraison manquante",IF(R1683&lt;B1683,"Livraison avant la commande",IF(AND(N(T1683)&gt;0,N(S1683)=0),"Date d'envoi manquante",IF(N(T1683)&gt;N(H1683),"Reçu plus que commandé",IF(AND(N(T1683)&gt;0,N(U1683)=0),"Date de réception manquante",IF(AND(N(U1683)&gt;0,U1683&lt;B1683),"Réception avant la commande","OK")))))))))))))))))))))</f>
        <v/>
      </c>
      <c r="AA1683" s="66" t="str">
        <f>IF(AND(X1683="Reçu",ISNUMBER(R1683)),IF(N(U1683)&lt;=R1683,1,0),"")</f>
        <v/>
      </c>
      <c r="AB1683" s="76" t="str">
        <f>IF(OR(X1683="Envoyé",X1683="Partiel",X1683="En retard"),IF(ISNUMBER(R1683),R1683,100000)+ROW()/100000,"")</f>
        <v/>
      </c>
      <c r="AC1683" s="66" t="str">
        <f>IF(A1683="","",IF(COUNTIF($A$6:A1683,A1683)=1,1,""))</f>
        <v/>
      </c>
      <c r="AD1683" s="66" t="str">
        <f>IF(AC1683=1,COUNT($AC$6:AC1683),"")</f>
        <v/>
      </c>
      <c r="AE1683" s="66" t="str">
        <f>IFERROR(INDEX(po_num,MATCH(1678,po_seq,0))&amp;"","")</f>
        <v/>
      </c>
      <c r="AF1683" s="66" t="str">
        <f>IF(OR(A1683="",p_po=""),"",IF(A1683&amp;""=p_po,COUNTIF($A$6:A1683,A1683),""))</f>
        <v/>
      </c>
      <c r="AG1683" s="66" t="str">
        <f>IF(OR(AB1683="",A1683=""),"",IF(COUNTIFS($A$6:A1683,A1683,$AB$6:AB1683,"&gt;0")=1,1,""))</f>
        <v/>
      </c>
      <c r="AH1683" s="70" t="str">
        <f>IF(AB1683="","",ROUND(N(W1683)*N(J1683)*(1-N(K1683)),2))</f>
        <v/>
      </c>
      <c r="AI1683" s="70" t="str">
        <f>IF(OR(J1683="",N(T1683)&lt;=0,V1683="Oui"),"",ROUND(N(T1683)*J1683*(1-N(K1683)),2))</f>
        <v/>
      </c>
    </row>
    <row r="1684">
      <c r="A1684" s="63" t="n"/>
      <c r="B1684" s="64" t="n"/>
      <c r="C1684" s="65" t="n"/>
      <c r="D1684" s="66" t="str">
        <f>IF(C1684="","",IFERROR(INDEX(sup_name,MATCH($C1684,sup_code,0))&amp;"","Fournisseur inconnu"))</f>
        <v/>
      </c>
      <c r="E1684" s="63" t="n"/>
      <c r="F1684" s="66" t="str">
        <f>IF(E1684="","",IFERROR(INDEX(art_des,MATCH($E1684,art_ref,0))&amp;"","Article inconnu"))</f>
        <v/>
      </c>
      <c r="G1684" s="67" t="str">
        <f>IF(E1684="","",IFERROR(INDEX(art_unit,MATCH($E1684,art_ref,0))&amp;"",""))</f>
        <v/>
      </c>
      <c r="H1684" s="68" t="n"/>
      <c r="I1684" s="69" t="n"/>
      <c r="J1684" s="70" t="str">
        <f>IF(E1684="","",IF(ISNUMBER(I1684),I1684,IFERROR(IF(ISNUMBER(INDEX(art_price,MATCH($E1684,art_ref,0))),INDEX(art_price,MATCH($E1684,art_ref,0)),""),"")))</f>
        <v/>
      </c>
      <c r="K1684" s="71" t="n"/>
      <c r="L1684" s="72" t="n"/>
      <c r="M1684" s="72" t="str">
        <f>IF(E1684="","",IF(L1684&lt;&gt;"",L1684,IFERROR(IF(ISNUMBER(INDEX(art_tva,MATCH($E1684,art_ref,0))),INDEX(art_tva,MATCH($E1684,art_ref,0)),""),"")))</f>
        <v/>
      </c>
      <c r="N1684" s="70" t="str">
        <f>IF(OR(E1684="",J1684=""),"",ROUND(N(H1684)*J1684*(1-N(K1684)),2))</f>
        <v/>
      </c>
      <c r="O1684" s="70" t="str">
        <f>IF(OR(N1684="",NOT(ISNUMBER(M1684))),"",ROUND(N1684*M1684,2))</f>
        <v/>
      </c>
      <c r="P1684" s="70" t="str">
        <f>IF(N1684="","",N1684+N(O1684))</f>
        <v/>
      </c>
      <c r="Q1684" s="64" t="n"/>
      <c r="R1684" s="73" t="str">
        <f>IF(N(Q1684)&gt;0,Q1684,IF(OR(N(B1684)=0,ISNA(MATCH($C1684,sup_code,0))),"",IF(ISNUMBER(INDEX(sup_delay,MATCH($C1684,sup_code,0))),B1684+INDEX(sup_delay,MATCH($C1684,sup_code,0)),"")))</f>
        <v/>
      </c>
      <c r="S1684" s="64" t="n"/>
      <c r="T1684" s="68" t="n"/>
      <c r="U1684" s="64" t="n"/>
      <c r="V1684" s="65" t="n"/>
      <c r="W1684" s="74" t="str">
        <f>IF(AND(A1684="",E1684=""),"",IF(V1684="Oui",0,MAX(0,ROUND(N(H1684)-N(T1684),6))))</f>
        <v/>
      </c>
      <c r="X1684" s="67" t="str">
        <f>IF(AND(A1684="",E1684=""),"",IF(V1684="Oui","Annulé",IF(AND(N(H1684)&gt;0,N(T1684)&gt;=N(H1684)),"Reçu",IF(N(S1684)=0,"Brouillon",IF(AND(ISNUMBER(R1684),R1684&lt;p_today),"En retard",IF(N(T1684)&gt;0,"Partiel","Envoyé"))))))</f>
        <v/>
      </c>
      <c r="Y1684" s="75" t="str">
        <f>IF(X1684="En retard",p_today-R1684,IF(AND(X1684="Reçu",ISNUMBER(R1684)),MAX(0,N(U1684)-R1684),""))</f>
        <v/>
      </c>
      <c r="Z1684" s="67" t="str">
        <f>IF(AND(A1684="",E1684=""),"",IF(A1684="","N° de bon manquant",IF(N(B1684)=0,"Date de commande manquante",IF(C1684="","Fournisseur manquant",IF(ISNA(MATCH($C1684,sup_code,0)),"Fournisseur inconnu",IF(E1684="","Article manquant",IF(ISNA(MATCH($E1684,art_ref,0)),"Article inconnu",IF(N(H1684)&lt;=0,"Quantité invalide",IF(J1684="","Prix manquant",IF(OR(N(K1684)&lt;0,N(K1684)&gt;=1),"Remise invalide",IF(M1684="","TVA manquante",IF(ISNA(MATCH(M1684,p_tva,0)),"Taux de TVA inconnu",IF(COUNTIFS(po_num,A1684,po_sup,"&lt;&gt;"&amp;C1684)&gt;0,"Fournisseur différent sur ce bon",IF(COUNTIFS(po_num,A1684,po_date,"&lt;&gt;"&amp;B1684)&gt;0,"Date différente sur ce bon",IF(COUNTIF(po_num,A1684)&gt;25,"Plus de 25 lignes sur ce bon",IF(R1684="","Date de livraison manquante",IF(R1684&lt;B1684,"Livraison avant la commande",IF(AND(N(T1684)&gt;0,N(S1684)=0),"Date d'envoi manquante",IF(N(T1684)&gt;N(H1684),"Reçu plus que commandé",IF(AND(N(T1684)&gt;0,N(U1684)=0),"Date de réception manquante",IF(AND(N(U1684)&gt;0,U1684&lt;B1684),"Réception avant la commande","OK")))))))))))))))))))))</f>
        <v/>
      </c>
      <c r="AA1684" s="66" t="str">
        <f>IF(AND(X1684="Reçu",ISNUMBER(R1684)),IF(N(U1684)&lt;=R1684,1,0),"")</f>
        <v/>
      </c>
      <c r="AB1684" s="76" t="str">
        <f>IF(OR(X1684="Envoyé",X1684="Partiel",X1684="En retard"),IF(ISNUMBER(R1684),R1684,100000)+ROW()/100000,"")</f>
        <v/>
      </c>
      <c r="AC1684" s="66" t="str">
        <f>IF(A1684="","",IF(COUNTIF($A$6:A1684,A1684)=1,1,""))</f>
        <v/>
      </c>
      <c r="AD1684" s="66" t="str">
        <f>IF(AC1684=1,COUNT($AC$6:AC1684),"")</f>
        <v/>
      </c>
      <c r="AE1684" s="66" t="str">
        <f>IFERROR(INDEX(po_num,MATCH(1679,po_seq,0))&amp;"","")</f>
        <v/>
      </c>
      <c r="AF1684" s="66" t="str">
        <f>IF(OR(A1684="",p_po=""),"",IF(A1684&amp;""=p_po,COUNTIF($A$6:A1684,A1684),""))</f>
        <v/>
      </c>
      <c r="AG1684" s="66" t="str">
        <f>IF(OR(AB1684="",A1684=""),"",IF(COUNTIFS($A$6:A1684,A1684,$AB$6:AB1684,"&gt;0")=1,1,""))</f>
        <v/>
      </c>
      <c r="AH1684" s="70" t="str">
        <f>IF(AB1684="","",ROUND(N(W1684)*N(J1684)*(1-N(K1684)),2))</f>
        <v/>
      </c>
      <c r="AI1684" s="70" t="str">
        <f>IF(OR(J1684="",N(T1684)&lt;=0,V1684="Oui"),"",ROUND(N(T1684)*J1684*(1-N(K1684)),2))</f>
        <v/>
      </c>
    </row>
    <row r="1685">
      <c r="A1685" s="63" t="n"/>
      <c r="B1685" s="64" t="n"/>
      <c r="C1685" s="65" t="n"/>
      <c r="D1685" s="66" t="str">
        <f>IF(C1685="","",IFERROR(INDEX(sup_name,MATCH($C1685,sup_code,0))&amp;"","Fournisseur inconnu"))</f>
        <v/>
      </c>
      <c r="E1685" s="63" t="n"/>
      <c r="F1685" s="66" t="str">
        <f>IF(E1685="","",IFERROR(INDEX(art_des,MATCH($E1685,art_ref,0))&amp;"","Article inconnu"))</f>
        <v/>
      </c>
      <c r="G1685" s="67" t="str">
        <f>IF(E1685="","",IFERROR(INDEX(art_unit,MATCH($E1685,art_ref,0))&amp;"",""))</f>
        <v/>
      </c>
      <c r="H1685" s="68" t="n"/>
      <c r="I1685" s="69" t="n"/>
      <c r="J1685" s="70" t="str">
        <f>IF(E1685="","",IF(ISNUMBER(I1685),I1685,IFERROR(IF(ISNUMBER(INDEX(art_price,MATCH($E1685,art_ref,0))),INDEX(art_price,MATCH($E1685,art_ref,0)),""),"")))</f>
        <v/>
      </c>
      <c r="K1685" s="71" t="n"/>
      <c r="L1685" s="72" t="n"/>
      <c r="M1685" s="72" t="str">
        <f>IF(E1685="","",IF(L1685&lt;&gt;"",L1685,IFERROR(IF(ISNUMBER(INDEX(art_tva,MATCH($E1685,art_ref,0))),INDEX(art_tva,MATCH($E1685,art_ref,0)),""),"")))</f>
        <v/>
      </c>
      <c r="N1685" s="70" t="str">
        <f>IF(OR(E1685="",J1685=""),"",ROUND(N(H1685)*J1685*(1-N(K1685)),2))</f>
        <v/>
      </c>
      <c r="O1685" s="70" t="str">
        <f>IF(OR(N1685="",NOT(ISNUMBER(M1685))),"",ROUND(N1685*M1685,2))</f>
        <v/>
      </c>
      <c r="P1685" s="70" t="str">
        <f>IF(N1685="","",N1685+N(O1685))</f>
        <v/>
      </c>
      <c r="Q1685" s="64" t="n"/>
      <c r="R1685" s="73" t="str">
        <f>IF(N(Q1685)&gt;0,Q1685,IF(OR(N(B1685)=0,ISNA(MATCH($C1685,sup_code,0))),"",IF(ISNUMBER(INDEX(sup_delay,MATCH($C1685,sup_code,0))),B1685+INDEX(sup_delay,MATCH($C1685,sup_code,0)),"")))</f>
        <v/>
      </c>
      <c r="S1685" s="64" t="n"/>
      <c r="T1685" s="68" t="n"/>
      <c r="U1685" s="64" t="n"/>
      <c r="V1685" s="65" t="n"/>
      <c r="W1685" s="74" t="str">
        <f>IF(AND(A1685="",E1685=""),"",IF(V1685="Oui",0,MAX(0,ROUND(N(H1685)-N(T1685),6))))</f>
        <v/>
      </c>
      <c r="X1685" s="67" t="str">
        <f>IF(AND(A1685="",E1685=""),"",IF(V1685="Oui","Annulé",IF(AND(N(H1685)&gt;0,N(T1685)&gt;=N(H1685)),"Reçu",IF(N(S1685)=0,"Brouillon",IF(AND(ISNUMBER(R1685),R1685&lt;p_today),"En retard",IF(N(T1685)&gt;0,"Partiel","Envoyé"))))))</f>
        <v/>
      </c>
      <c r="Y1685" s="75" t="str">
        <f>IF(X1685="En retard",p_today-R1685,IF(AND(X1685="Reçu",ISNUMBER(R1685)),MAX(0,N(U1685)-R1685),""))</f>
        <v/>
      </c>
      <c r="Z1685" s="67" t="str">
        <f>IF(AND(A1685="",E1685=""),"",IF(A1685="","N° de bon manquant",IF(N(B1685)=0,"Date de commande manquante",IF(C1685="","Fournisseur manquant",IF(ISNA(MATCH($C1685,sup_code,0)),"Fournisseur inconnu",IF(E1685="","Article manquant",IF(ISNA(MATCH($E1685,art_ref,0)),"Article inconnu",IF(N(H1685)&lt;=0,"Quantité invalide",IF(J1685="","Prix manquant",IF(OR(N(K1685)&lt;0,N(K1685)&gt;=1),"Remise invalide",IF(M1685="","TVA manquante",IF(ISNA(MATCH(M1685,p_tva,0)),"Taux de TVA inconnu",IF(COUNTIFS(po_num,A1685,po_sup,"&lt;&gt;"&amp;C1685)&gt;0,"Fournisseur différent sur ce bon",IF(COUNTIFS(po_num,A1685,po_date,"&lt;&gt;"&amp;B1685)&gt;0,"Date différente sur ce bon",IF(COUNTIF(po_num,A1685)&gt;25,"Plus de 25 lignes sur ce bon",IF(R1685="","Date de livraison manquante",IF(R1685&lt;B1685,"Livraison avant la commande",IF(AND(N(T1685)&gt;0,N(S1685)=0),"Date d'envoi manquante",IF(N(T1685)&gt;N(H1685),"Reçu plus que commandé",IF(AND(N(T1685)&gt;0,N(U1685)=0),"Date de réception manquante",IF(AND(N(U1685)&gt;0,U1685&lt;B1685),"Réception avant la commande","OK")))))))))))))))))))))</f>
        <v/>
      </c>
      <c r="AA1685" s="66" t="str">
        <f>IF(AND(X1685="Reçu",ISNUMBER(R1685)),IF(N(U1685)&lt;=R1685,1,0),"")</f>
        <v/>
      </c>
      <c r="AB1685" s="76" t="str">
        <f>IF(OR(X1685="Envoyé",X1685="Partiel",X1685="En retard"),IF(ISNUMBER(R1685),R1685,100000)+ROW()/100000,"")</f>
        <v/>
      </c>
      <c r="AC1685" s="66" t="str">
        <f>IF(A1685="","",IF(COUNTIF($A$6:A1685,A1685)=1,1,""))</f>
        <v/>
      </c>
      <c r="AD1685" s="66" t="str">
        <f>IF(AC1685=1,COUNT($AC$6:AC1685),"")</f>
        <v/>
      </c>
      <c r="AE1685" s="66" t="str">
        <f>IFERROR(INDEX(po_num,MATCH(1680,po_seq,0))&amp;"","")</f>
        <v/>
      </c>
      <c r="AF1685" s="66" t="str">
        <f>IF(OR(A1685="",p_po=""),"",IF(A1685&amp;""=p_po,COUNTIF($A$6:A1685,A1685),""))</f>
        <v/>
      </c>
      <c r="AG1685" s="66" t="str">
        <f>IF(OR(AB1685="",A1685=""),"",IF(COUNTIFS($A$6:A1685,A1685,$AB$6:AB1685,"&gt;0")=1,1,""))</f>
        <v/>
      </c>
      <c r="AH1685" s="70" t="str">
        <f>IF(AB1685="","",ROUND(N(W1685)*N(J1685)*(1-N(K1685)),2))</f>
        <v/>
      </c>
      <c r="AI1685" s="70" t="str">
        <f>IF(OR(J1685="",N(T1685)&lt;=0,V1685="Oui"),"",ROUND(N(T1685)*J1685*(1-N(K1685)),2))</f>
        <v/>
      </c>
    </row>
    <row r="1686">
      <c r="A1686" s="63" t="n"/>
      <c r="B1686" s="64" t="n"/>
      <c r="C1686" s="65" t="n"/>
      <c r="D1686" s="66" t="str">
        <f>IF(C1686="","",IFERROR(INDEX(sup_name,MATCH($C1686,sup_code,0))&amp;"","Fournisseur inconnu"))</f>
        <v/>
      </c>
      <c r="E1686" s="63" t="n"/>
      <c r="F1686" s="66" t="str">
        <f>IF(E1686="","",IFERROR(INDEX(art_des,MATCH($E1686,art_ref,0))&amp;"","Article inconnu"))</f>
        <v/>
      </c>
      <c r="G1686" s="67" t="str">
        <f>IF(E1686="","",IFERROR(INDEX(art_unit,MATCH($E1686,art_ref,0))&amp;"",""))</f>
        <v/>
      </c>
      <c r="H1686" s="68" t="n"/>
      <c r="I1686" s="69" t="n"/>
      <c r="J1686" s="70" t="str">
        <f>IF(E1686="","",IF(ISNUMBER(I1686),I1686,IFERROR(IF(ISNUMBER(INDEX(art_price,MATCH($E1686,art_ref,0))),INDEX(art_price,MATCH($E1686,art_ref,0)),""),"")))</f>
        <v/>
      </c>
      <c r="K1686" s="71" t="n"/>
      <c r="L1686" s="72" t="n"/>
      <c r="M1686" s="72" t="str">
        <f>IF(E1686="","",IF(L1686&lt;&gt;"",L1686,IFERROR(IF(ISNUMBER(INDEX(art_tva,MATCH($E1686,art_ref,0))),INDEX(art_tva,MATCH($E1686,art_ref,0)),""),"")))</f>
        <v/>
      </c>
      <c r="N1686" s="70" t="str">
        <f>IF(OR(E1686="",J1686=""),"",ROUND(N(H1686)*J1686*(1-N(K1686)),2))</f>
        <v/>
      </c>
      <c r="O1686" s="70" t="str">
        <f>IF(OR(N1686="",NOT(ISNUMBER(M1686))),"",ROUND(N1686*M1686,2))</f>
        <v/>
      </c>
      <c r="P1686" s="70" t="str">
        <f>IF(N1686="","",N1686+N(O1686))</f>
        <v/>
      </c>
      <c r="Q1686" s="64" t="n"/>
      <c r="R1686" s="73" t="str">
        <f>IF(N(Q1686)&gt;0,Q1686,IF(OR(N(B1686)=0,ISNA(MATCH($C1686,sup_code,0))),"",IF(ISNUMBER(INDEX(sup_delay,MATCH($C1686,sup_code,0))),B1686+INDEX(sup_delay,MATCH($C1686,sup_code,0)),"")))</f>
        <v/>
      </c>
      <c r="S1686" s="64" t="n"/>
      <c r="T1686" s="68" t="n"/>
      <c r="U1686" s="64" t="n"/>
      <c r="V1686" s="65" t="n"/>
      <c r="W1686" s="74" t="str">
        <f>IF(AND(A1686="",E1686=""),"",IF(V1686="Oui",0,MAX(0,ROUND(N(H1686)-N(T1686),6))))</f>
        <v/>
      </c>
      <c r="X1686" s="67" t="str">
        <f>IF(AND(A1686="",E1686=""),"",IF(V1686="Oui","Annulé",IF(AND(N(H1686)&gt;0,N(T1686)&gt;=N(H1686)),"Reçu",IF(N(S1686)=0,"Brouillon",IF(AND(ISNUMBER(R1686),R1686&lt;p_today),"En retard",IF(N(T1686)&gt;0,"Partiel","Envoyé"))))))</f>
        <v/>
      </c>
      <c r="Y1686" s="75" t="str">
        <f>IF(X1686="En retard",p_today-R1686,IF(AND(X1686="Reçu",ISNUMBER(R1686)),MAX(0,N(U1686)-R1686),""))</f>
        <v/>
      </c>
      <c r="Z1686" s="67" t="str">
        <f>IF(AND(A1686="",E1686=""),"",IF(A1686="","N° de bon manquant",IF(N(B1686)=0,"Date de commande manquante",IF(C1686="","Fournisseur manquant",IF(ISNA(MATCH($C1686,sup_code,0)),"Fournisseur inconnu",IF(E1686="","Article manquant",IF(ISNA(MATCH($E1686,art_ref,0)),"Article inconnu",IF(N(H1686)&lt;=0,"Quantité invalide",IF(J1686="","Prix manquant",IF(OR(N(K1686)&lt;0,N(K1686)&gt;=1),"Remise invalide",IF(M1686="","TVA manquante",IF(ISNA(MATCH(M1686,p_tva,0)),"Taux de TVA inconnu",IF(COUNTIFS(po_num,A1686,po_sup,"&lt;&gt;"&amp;C1686)&gt;0,"Fournisseur différent sur ce bon",IF(COUNTIFS(po_num,A1686,po_date,"&lt;&gt;"&amp;B1686)&gt;0,"Date différente sur ce bon",IF(COUNTIF(po_num,A1686)&gt;25,"Plus de 25 lignes sur ce bon",IF(R1686="","Date de livraison manquante",IF(R1686&lt;B1686,"Livraison avant la commande",IF(AND(N(T1686)&gt;0,N(S1686)=0),"Date d'envoi manquante",IF(N(T1686)&gt;N(H1686),"Reçu plus que commandé",IF(AND(N(T1686)&gt;0,N(U1686)=0),"Date de réception manquante",IF(AND(N(U1686)&gt;0,U1686&lt;B1686),"Réception avant la commande","OK")))))))))))))))))))))</f>
        <v/>
      </c>
      <c r="AA1686" s="66" t="str">
        <f>IF(AND(X1686="Reçu",ISNUMBER(R1686)),IF(N(U1686)&lt;=R1686,1,0),"")</f>
        <v/>
      </c>
      <c r="AB1686" s="76" t="str">
        <f>IF(OR(X1686="Envoyé",X1686="Partiel",X1686="En retard"),IF(ISNUMBER(R1686),R1686,100000)+ROW()/100000,"")</f>
        <v/>
      </c>
      <c r="AC1686" s="66" t="str">
        <f>IF(A1686="","",IF(COUNTIF($A$6:A1686,A1686)=1,1,""))</f>
        <v/>
      </c>
      <c r="AD1686" s="66" t="str">
        <f>IF(AC1686=1,COUNT($AC$6:AC1686),"")</f>
        <v/>
      </c>
      <c r="AE1686" s="66" t="str">
        <f>IFERROR(INDEX(po_num,MATCH(1681,po_seq,0))&amp;"","")</f>
        <v/>
      </c>
      <c r="AF1686" s="66" t="str">
        <f>IF(OR(A1686="",p_po=""),"",IF(A1686&amp;""=p_po,COUNTIF($A$6:A1686,A1686),""))</f>
        <v/>
      </c>
      <c r="AG1686" s="66" t="str">
        <f>IF(OR(AB1686="",A1686=""),"",IF(COUNTIFS($A$6:A1686,A1686,$AB$6:AB1686,"&gt;0")=1,1,""))</f>
        <v/>
      </c>
      <c r="AH1686" s="70" t="str">
        <f>IF(AB1686="","",ROUND(N(W1686)*N(J1686)*(1-N(K1686)),2))</f>
        <v/>
      </c>
      <c r="AI1686" s="70" t="str">
        <f>IF(OR(J1686="",N(T1686)&lt;=0,V1686="Oui"),"",ROUND(N(T1686)*J1686*(1-N(K1686)),2))</f>
        <v/>
      </c>
    </row>
    <row r="1687">
      <c r="A1687" s="63" t="n"/>
      <c r="B1687" s="64" t="n"/>
      <c r="C1687" s="65" t="n"/>
      <c r="D1687" s="66" t="str">
        <f>IF(C1687="","",IFERROR(INDEX(sup_name,MATCH($C1687,sup_code,0))&amp;"","Fournisseur inconnu"))</f>
        <v/>
      </c>
      <c r="E1687" s="63" t="n"/>
      <c r="F1687" s="66" t="str">
        <f>IF(E1687="","",IFERROR(INDEX(art_des,MATCH($E1687,art_ref,0))&amp;"","Article inconnu"))</f>
        <v/>
      </c>
      <c r="G1687" s="67" t="str">
        <f>IF(E1687="","",IFERROR(INDEX(art_unit,MATCH($E1687,art_ref,0))&amp;"",""))</f>
        <v/>
      </c>
      <c r="H1687" s="68" t="n"/>
      <c r="I1687" s="69" t="n"/>
      <c r="J1687" s="70" t="str">
        <f>IF(E1687="","",IF(ISNUMBER(I1687),I1687,IFERROR(IF(ISNUMBER(INDEX(art_price,MATCH($E1687,art_ref,0))),INDEX(art_price,MATCH($E1687,art_ref,0)),""),"")))</f>
        <v/>
      </c>
      <c r="K1687" s="71" t="n"/>
      <c r="L1687" s="72" t="n"/>
      <c r="M1687" s="72" t="str">
        <f>IF(E1687="","",IF(L1687&lt;&gt;"",L1687,IFERROR(IF(ISNUMBER(INDEX(art_tva,MATCH($E1687,art_ref,0))),INDEX(art_tva,MATCH($E1687,art_ref,0)),""),"")))</f>
        <v/>
      </c>
      <c r="N1687" s="70" t="str">
        <f>IF(OR(E1687="",J1687=""),"",ROUND(N(H1687)*J1687*(1-N(K1687)),2))</f>
        <v/>
      </c>
      <c r="O1687" s="70" t="str">
        <f>IF(OR(N1687="",NOT(ISNUMBER(M1687))),"",ROUND(N1687*M1687,2))</f>
        <v/>
      </c>
      <c r="P1687" s="70" t="str">
        <f>IF(N1687="","",N1687+N(O1687))</f>
        <v/>
      </c>
      <c r="Q1687" s="64" t="n"/>
      <c r="R1687" s="73" t="str">
        <f>IF(N(Q1687)&gt;0,Q1687,IF(OR(N(B1687)=0,ISNA(MATCH($C1687,sup_code,0))),"",IF(ISNUMBER(INDEX(sup_delay,MATCH($C1687,sup_code,0))),B1687+INDEX(sup_delay,MATCH($C1687,sup_code,0)),"")))</f>
        <v/>
      </c>
      <c r="S1687" s="64" t="n"/>
      <c r="T1687" s="68" t="n"/>
      <c r="U1687" s="64" t="n"/>
      <c r="V1687" s="65" t="n"/>
      <c r="W1687" s="74" t="str">
        <f>IF(AND(A1687="",E1687=""),"",IF(V1687="Oui",0,MAX(0,ROUND(N(H1687)-N(T1687),6))))</f>
        <v/>
      </c>
      <c r="X1687" s="67" t="str">
        <f>IF(AND(A1687="",E1687=""),"",IF(V1687="Oui","Annulé",IF(AND(N(H1687)&gt;0,N(T1687)&gt;=N(H1687)),"Reçu",IF(N(S1687)=0,"Brouillon",IF(AND(ISNUMBER(R1687),R1687&lt;p_today),"En retard",IF(N(T1687)&gt;0,"Partiel","Envoyé"))))))</f>
        <v/>
      </c>
      <c r="Y1687" s="75" t="str">
        <f>IF(X1687="En retard",p_today-R1687,IF(AND(X1687="Reçu",ISNUMBER(R1687)),MAX(0,N(U1687)-R1687),""))</f>
        <v/>
      </c>
      <c r="Z1687" s="67" t="str">
        <f>IF(AND(A1687="",E1687=""),"",IF(A1687="","N° de bon manquant",IF(N(B1687)=0,"Date de commande manquante",IF(C1687="","Fournisseur manquant",IF(ISNA(MATCH($C1687,sup_code,0)),"Fournisseur inconnu",IF(E1687="","Article manquant",IF(ISNA(MATCH($E1687,art_ref,0)),"Article inconnu",IF(N(H1687)&lt;=0,"Quantité invalide",IF(J1687="","Prix manquant",IF(OR(N(K1687)&lt;0,N(K1687)&gt;=1),"Remise invalide",IF(M1687="","TVA manquante",IF(ISNA(MATCH(M1687,p_tva,0)),"Taux de TVA inconnu",IF(COUNTIFS(po_num,A1687,po_sup,"&lt;&gt;"&amp;C1687)&gt;0,"Fournisseur différent sur ce bon",IF(COUNTIFS(po_num,A1687,po_date,"&lt;&gt;"&amp;B1687)&gt;0,"Date différente sur ce bon",IF(COUNTIF(po_num,A1687)&gt;25,"Plus de 25 lignes sur ce bon",IF(R1687="","Date de livraison manquante",IF(R1687&lt;B1687,"Livraison avant la commande",IF(AND(N(T1687)&gt;0,N(S1687)=0),"Date d'envoi manquante",IF(N(T1687)&gt;N(H1687),"Reçu plus que commandé",IF(AND(N(T1687)&gt;0,N(U1687)=0),"Date de réception manquante",IF(AND(N(U1687)&gt;0,U1687&lt;B1687),"Réception avant la commande","OK")))))))))))))))))))))</f>
        <v/>
      </c>
      <c r="AA1687" s="66" t="str">
        <f>IF(AND(X1687="Reçu",ISNUMBER(R1687)),IF(N(U1687)&lt;=R1687,1,0),"")</f>
        <v/>
      </c>
      <c r="AB1687" s="76" t="str">
        <f>IF(OR(X1687="Envoyé",X1687="Partiel",X1687="En retard"),IF(ISNUMBER(R1687),R1687,100000)+ROW()/100000,"")</f>
        <v/>
      </c>
      <c r="AC1687" s="66" t="str">
        <f>IF(A1687="","",IF(COUNTIF($A$6:A1687,A1687)=1,1,""))</f>
        <v/>
      </c>
      <c r="AD1687" s="66" t="str">
        <f>IF(AC1687=1,COUNT($AC$6:AC1687),"")</f>
        <v/>
      </c>
      <c r="AE1687" s="66" t="str">
        <f>IFERROR(INDEX(po_num,MATCH(1682,po_seq,0))&amp;"","")</f>
        <v/>
      </c>
      <c r="AF1687" s="66" t="str">
        <f>IF(OR(A1687="",p_po=""),"",IF(A1687&amp;""=p_po,COUNTIF($A$6:A1687,A1687),""))</f>
        <v/>
      </c>
      <c r="AG1687" s="66" t="str">
        <f>IF(OR(AB1687="",A1687=""),"",IF(COUNTIFS($A$6:A1687,A1687,$AB$6:AB1687,"&gt;0")=1,1,""))</f>
        <v/>
      </c>
      <c r="AH1687" s="70" t="str">
        <f>IF(AB1687="","",ROUND(N(W1687)*N(J1687)*(1-N(K1687)),2))</f>
        <v/>
      </c>
      <c r="AI1687" s="70" t="str">
        <f>IF(OR(J1687="",N(T1687)&lt;=0,V1687="Oui"),"",ROUND(N(T1687)*J1687*(1-N(K1687)),2))</f>
        <v/>
      </c>
    </row>
    <row r="1688">
      <c r="A1688" s="63" t="n"/>
      <c r="B1688" s="64" t="n"/>
      <c r="C1688" s="65" t="n"/>
      <c r="D1688" s="66" t="str">
        <f>IF(C1688="","",IFERROR(INDEX(sup_name,MATCH($C1688,sup_code,0))&amp;"","Fournisseur inconnu"))</f>
        <v/>
      </c>
      <c r="E1688" s="63" t="n"/>
      <c r="F1688" s="66" t="str">
        <f>IF(E1688="","",IFERROR(INDEX(art_des,MATCH($E1688,art_ref,0))&amp;"","Article inconnu"))</f>
        <v/>
      </c>
      <c r="G1688" s="67" t="str">
        <f>IF(E1688="","",IFERROR(INDEX(art_unit,MATCH($E1688,art_ref,0))&amp;"",""))</f>
        <v/>
      </c>
      <c r="H1688" s="68" t="n"/>
      <c r="I1688" s="69" t="n"/>
      <c r="J1688" s="70" t="str">
        <f>IF(E1688="","",IF(ISNUMBER(I1688),I1688,IFERROR(IF(ISNUMBER(INDEX(art_price,MATCH($E1688,art_ref,0))),INDEX(art_price,MATCH($E1688,art_ref,0)),""),"")))</f>
        <v/>
      </c>
      <c r="K1688" s="71" t="n"/>
      <c r="L1688" s="72" t="n"/>
      <c r="M1688" s="72" t="str">
        <f>IF(E1688="","",IF(L1688&lt;&gt;"",L1688,IFERROR(IF(ISNUMBER(INDEX(art_tva,MATCH($E1688,art_ref,0))),INDEX(art_tva,MATCH($E1688,art_ref,0)),""),"")))</f>
        <v/>
      </c>
      <c r="N1688" s="70" t="str">
        <f>IF(OR(E1688="",J1688=""),"",ROUND(N(H1688)*J1688*(1-N(K1688)),2))</f>
        <v/>
      </c>
      <c r="O1688" s="70" t="str">
        <f>IF(OR(N1688="",NOT(ISNUMBER(M1688))),"",ROUND(N1688*M1688,2))</f>
        <v/>
      </c>
      <c r="P1688" s="70" t="str">
        <f>IF(N1688="","",N1688+N(O1688))</f>
        <v/>
      </c>
      <c r="Q1688" s="64" t="n"/>
      <c r="R1688" s="73" t="str">
        <f>IF(N(Q1688)&gt;0,Q1688,IF(OR(N(B1688)=0,ISNA(MATCH($C1688,sup_code,0))),"",IF(ISNUMBER(INDEX(sup_delay,MATCH($C1688,sup_code,0))),B1688+INDEX(sup_delay,MATCH($C1688,sup_code,0)),"")))</f>
        <v/>
      </c>
      <c r="S1688" s="64" t="n"/>
      <c r="T1688" s="68" t="n"/>
      <c r="U1688" s="64" t="n"/>
      <c r="V1688" s="65" t="n"/>
      <c r="W1688" s="74" t="str">
        <f>IF(AND(A1688="",E1688=""),"",IF(V1688="Oui",0,MAX(0,ROUND(N(H1688)-N(T1688),6))))</f>
        <v/>
      </c>
      <c r="X1688" s="67" t="str">
        <f>IF(AND(A1688="",E1688=""),"",IF(V1688="Oui","Annulé",IF(AND(N(H1688)&gt;0,N(T1688)&gt;=N(H1688)),"Reçu",IF(N(S1688)=0,"Brouillon",IF(AND(ISNUMBER(R1688),R1688&lt;p_today),"En retard",IF(N(T1688)&gt;0,"Partiel","Envoyé"))))))</f>
        <v/>
      </c>
      <c r="Y1688" s="75" t="str">
        <f>IF(X1688="En retard",p_today-R1688,IF(AND(X1688="Reçu",ISNUMBER(R1688)),MAX(0,N(U1688)-R1688),""))</f>
        <v/>
      </c>
      <c r="Z1688" s="67" t="str">
        <f>IF(AND(A1688="",E1688=""),"",IF(A1688="","N° de bon manquant",IF(N(B1688)=0,"Date de commande manquante",IF(C1688="","Fournisseur manquant",IF(ISNA(MATCH($C1688,sup_code,0)),"Fournisseur inconnu",IF(E1688="","Article manquant",IF(ISNA(MATCH($E1688,art_ref,0)),"Article inconnu",IF(N(H1688)&lt;=0,"Quantité invalide",IF(J1688="","Prix manquant",IF(OR(N(K1688)&lt;0,N(K1688)&gt;=1),"Remise invalide",IF(M1688="","TVA manquante",IF(ISNA(MATCH(M1688,p_tva,0)),"Taux de TVA inconnu",IF(COUNTIFS(po_num,A1688,po_sup,"&lt;&gt;"&amp;C1688)&gt;0,"Fournisseur différent sur ce bon",IF(COUNTIFS(po_num,A1688,po_date,"&lt;&gt;"&amp;B1688)&gt;0,"Date différente sur ce bon",IF(COUNTIF(po_num,A1688)&gt;25,"Plus de 25 lignes sur ce bon",IF(R1688="","Date de livraison manquante",IF(R1688&lt;B1688,"Livraison avant la commande",IF(AND(N(T1688)&gt;0,N(S1688)=0),"Date d'envoi manquante",IF(N(T1688)&gt;N(H1688),"Reçu plus que commandé",IF(AND(N(T1688)&gt;0,N(U1688)=0),"Date de réception manquante",IF(AND(N(U1688)&gt;0,U1688&lt;B1688),"Réception avant la commande","OK")))))))))))))))))))))</f>
        <v/>
      </c>
      <c r="AA1688" s="66" t="str">
        <f>IF(AND(X1688="Reçu",ISNUMBER(R1688)),IF(N(U1688)&lt;=R1688,1,0),"")</f>
        <v/>
      </c>
      <c r="AB1688" s="76" t="str">
        <f>IF(OR(X1688="Envoyé",X1688="Partiel",X1688="En retard"),IF(ISNUMBER(R1688),R1688,100000)+ROW()/100000,"")</f>
        <v/>
      </c>
      <c r="AC1688" s="66" t="str">
        <f>IF(A1688="","",IF(COUNTIF($A$6:A1688,A1688)=1,1,""))</f>
        <v/>
      </c>
      <c r="AD1688" s="66" t="str">
        <f>IF(AC1688=1,COUNT($AC$6:AC1688),"")</f>
        <v/>
      </c>
      <c r="AE1688" s="66" t="str">
        <f>IFERROR(INDEX(po_num,MATCH(1683,po_seq,0))&amp;"","")</f>
        <v/>
      </c>
      <c r="AF1688" s="66" t="str">
        <f>IF(OR(A1688="",p_po=""),"",IF(A1688&amp;""=p_po,COUNTIF($A$6:A1688,A1688),""))</f>
        <v/>
      </c>
      <c r="AG1688" s="66" t="str">
        <f>IF(OR(AB1688="",A1688=""),"",IF(COUNTIFS($A$6:A1688,A1688,$AB$6:AB1688,"&gt;0")=1,1,""))</f>
        <v/>
      </c>
      <c r="AH1688" s="70" t="str">
        <f>IF(AB1688="","",ROUND(N(W1688)*N(J1688)*(1-N(K1688)),2))</f>
        <v/>
      </c>
      <c r="AI1688" s="70" t="str">
        <f>IF(OR(J1688="",N(T1688)&lt;=0,V1688="Oui"),"",ROUND(N(T1688)*J1688*(1-N(K1688)),2))</f>
        <v/>
      </c>
    </row>
    <row r="1689">
      <c r="A1689" s="63" t="n"/>
      <c r="B1689" s="64" t="n"/>
      <c r="C1689" s="65" t="n"/>
      <c r="D1689" s="66" t="str">
        <f>IF(C1689="","",IFERROR(INDEX(sup_name,MATCH($C1689,sup_code,0))&amp;"","Fournisseur inconnu"))</f>
        <v/>
      </c>
      <c r="E1689" s="63" t="n"/>
      <c r="F1689" s="66" t="str">
        <f>IF(E1689="","",IFERROR(INDEX(art_des,MATCH($E1689,art_ref,0))&amp;"","Article inconnu"))</f>
        <v/>
      </c>
      <c r="G1689" s="67" t="str">
        <f>IF(E1689="","",IFERROR(INDEX(art_unit,MATCH($E1689,art_ref,0))&amp;"",""))</f>
        <v/>
      </c>
      <c r="H1689" s="68" t="n"/>
      <c r="I1689" s="69" t="n"/>
      <c r="J1689" s="70" t="str">
        <f>IF(E1689="","",IF(ISNUMBER(I1689),I1689,IFERROR(IF(ISNUMBER(INDEX(art_price,MATCH($E1689,art_ref,0))),INDEX(art_price,MATCH($E1689,art_ref,0)),""),"")))</f>
        <v/>
      </c>
      <c r="K1689" s="71" t="n"/>
      <c r="L1689" s="72" t="n"/>
      <c r="M1689" s="72" t="str">
        <f>IF(E1689="","",IF(L1689&lt;&gt;"",L1689,IFERROR(IF(ISNUMBER(INDEX(art_tva,MATCH($E1689,art_ref,0))),INDEX(art_tva,MATCH($E1689,art_ref,0)),""),"")))</f>
        <v/>
      </c>
      <c r="N1689" s="70" t="str">
        <f>IF(OR(E1689="",J1689=""),"",ROUND(N(H1689)*J1689*(1-N(K1689)),2))</f>
        <v/>
      </c>
      <c r="O1689" s="70" t="str">
        <f>IF(OR(N1689="",NOT(ISNUMBER(M1689))),"",ROUND(N1689*M1689,2))</f>
        <v/>
      </c>
      <c r="P1689" s="70" t="str">
        <f>IF(N1689="","",N1689+N(O1689))</f>
        <v/>
      </c>
      <c r="Q1689" s="64" t="n"/>
      <c r="R1689" s="73" t="str">
        <f>IF(N(Q1689)&gt;0,Q1689,IF(OR(N(B1689)=0,ISNA(MATCH($C1689,sup_code,0))),"",IF(ISNUMBER(INDEX(sup_delay,MATCH($C1689,sup_code,0))),B1689+INDEX(sup_delay,MATCH($C1689,sup_code,0)),"")))</f>
        <v/>
      </c>
      <c r="S1689" s="64" t="n"/>
      <c r="T1689" s="68" t="n"/>
      <c r="U1689" s="64" t="n"/>
      <c r="V1689" s="65" t="n"/>
      <c r="W1689" s="74" t="str">
        <f>IF(AND(A1689="",E1689=""),"",IF(V1689="Oui",0,MAX(0,ROUND(N(H1689)-N(T1689),6))))</f>
        <v/>
      </c>
      <c r="X1689" s="67" t="str">
        <f>IF(AND(A1689="",E1689=""),"",IF(V1689="Oui","Annulé",IF(AND(N(H1689)&gt;0,N(T1689)&gt;=N(H1689)),"Reçu",IF(N(S1689)=0,"Brouillon",IF(AND(ISNUMBER(R1689),R1689&lt;p_today),"En retard",IF(N(T1689)&gt;0,"Partiel","Envoyé"))))))</f>
        <v/>
      </c>
      <c r="Y1689" s="75" t="str">
        <f>IF(X1689="En retard",p_today-R1689,IF(AND(X1689="Reçu",ISNUMBER(R1689)),MAX(0,N(U1689)-R1689),""))</f>
        <v/>
      </c>
      <c r="Z1689" s="67" t="str">
        <f>IF(AND(A1689="",E1689=""),"",IF(A1689="","N° de bon manquant",IF(N(B1689)=0,"Date de commande manquante",IF(C1689="","Fournisseur manquant",IF(ISNA(MATCH($C1689,sup_code,0)),"Fournisseur inconnu",IF(E1689="","Article manquant",IF(ISNA(MATCH($E1689,art_ref,0)),"Article inconnu",IF(N(H1689)&lt;=0,"Quantité invalide",IF(J1689="","Prix manquant",IF(OR(N(K1689)&lt;0,N(K1689)&gt;=1),"Remise invalide",IF(M1689="","TVA manquante",IF(ISNA(MATCH(M1689,p_tva,0)),"Taux de TVA inconnu",IF(COUNTIFS(po_num,A1689,po_sup,"&lt;&gt;"&amp;C1689)&gt;0,"Fournisseur différent sur ce bon",IF(COUNTIFS(po_num,A1689,po_date,"&lt;&gt;"&amp;B1689)&gt;0,"Date différente sur ce bon",IF(COUNTIF(po_num,A1689)&gt;25,"Plus de 25 lignes sur ce bon",IF(R1689="","Date de livraison manquante",IF(R1689&lt;B1689,"Livraison avant la commande",IF(AND(N(T1689)&gt;0,N(S1689)=0),"Date d'envoi manquante",IF(N(T1689)&gt;N(H1689),"Reçu plus que commandé",IF(AND(N(T1689)&gt;0,N(U1689)=0),"Date de réception manquante",IF(AND(N(U1689)&gt;0,U1689&lt;B1689),"Réception avant la commande","OK")))))))))))))))))))))</f>
        <v/>
      </c>
      <c r="AA1689" s="66" t="str">
        <f>IF(AND(X1689="Reçu",ISNUMBER(R1689)),IF(N(U1689)&lt;=R1689,1,0),"")</f>
        <v/>
      </c>
      <c r="AB1689" s="76" t="str">
        <f>IF(OR(X1689="Envoyé",X1689="Partiel",X1689="En retard"),IF(ISNUMBER(R1689),R1689,100000)+ROW()/100000,"")</f>
        <v/>
      </c>
      <c r="AC1689" s="66" t="str">
        <f>IF(A1689="","",IF(COUNTIF($A$6:A1689,A1689)=1,1,""))</f>
        <v/>
      </c>
      <c r="AD1689" s="66" t="str">
        <f>IF(AC1689=1,COUNT($AC$6:AC1689),"")</f>
        <v/>
      </c>
      <c r="AE1689" s="66" t="str">
        <f>IFERROR(INDEX(po_num,MATCH(1684,po_seq,0))&amp;"","")</f>
        <v/>
      </c>
      <c r="AF1689" s="66" t="str">
        <f>IF(OR(A1689="",p_po=""),"",IF(A1689&amp;""=p_po,COUNTIF($A$6:A1689,A1689),""))</f>
        <v/>
      </c>
      <c r="AG1689" s="66" t="str">
        <f>IF(OR(AB1689="",A1689=""),"",IF(COUNTIFS($A$6:A1689,A1689,$AB$6:AB1689,"&gt;0")=1,1,""))</f>
        <v/>
      </c>
      <c r="AH1689" s="70" t="str">
        <f>IF(AB1689="","",ROUND(N(W1689)*N(J1689)*(1-N(K1689)),2))</f>
        <v/>
      </c>
      <c r="AI1689" s="70" t="str">
        <f>IF(OR(J1689="",N(T1689)&lt;=0,V1689="Oui"),"",ROUND(N(T1689)*J1689*(1-N(K1689)),2))</f>
        <v/>
      </c>
    </row>
    <row r="1690">
      <c r="A1690" s="63" t="n"/>
      <c r="B1690" s="64" t="n"/>
      <c r="C1690" s="65" t="n"/>
      <c r="D1690" s="66" t="str">
        <f>IF(C1690="","",IFERROR(INDEX(sup_name,MATCH($C1690,sup_code,0))&amp;"","Fournisseur inconnu"))</f>
        <v/>
      </c>
      <c r="E1690" s="63" t="n"/>
      <c r="F1690" s="66" t="str">
        <f>IF(E1690="","",IFERROR(INDEX(art_des,MATCH($E1690,art_ref,0))&amp;"","Article inconnu"))</f>
        <v/>
      </c>
      <c r="G1690" s="67" t="str">
        <f>IF(E1690="","",IFERROR(INDEX(art_unit,MATCH($E1690,art_ref,0))&amp;"",""))</f>
        <v/>
      </c>
      <c r="H1690" s="68" t="n"/>
      <c r="I1690" s="69" t="n"/>
      <c r="J1690" s="70" t="str">
        <f>IF(E1690="","",IF(ISNUMBER(I1690),I1690,IFERROR(IF(ISNUMBER(INDEX(art_price,MATCH($E1690,art_ref,0))),INDEX(art_price,MATCH($E1690,art_ref,0)),""),"")))</f>
        <v/>
      </c>
      <c r="K1690" s="71" t="n"/>
      <c r="L1690" s="72" t="n"/>
      <c r="M1690" s="72" t="str">
        <f>IF(E1690="","",IF(L1690&lt;&gt;"",L1690,IFERROR(IF(ISNUMBER(INDEX(art_tva,MATCH($E1690,art_ref,0))),INDEX(art_tva,MATCH($E1690,art_ref,0)),""),"")))</f>
        <v/>
      </c>
      <c r="N1690" s="70" t="str">
        <f>IF(OR(E1690="",J1690=""),"",ROUND(N(H1690)*J1690*(1-N(K1690)),2))</f>
        <v/>
      </c>
      <c r="O1690" s="70" t="str">
        <f>IF(OR(N1690="",NOT(ISNUMBER(M1690))),"",ROUND(N1690*M1690,2))</f>
        <v/>
      </c>
      <c r="P1690" s="70" t="str">
        <f>IF(N1690="","",N1690+N(O1690))</f>
        <v/>
      </c>
      <c r="Q1690" s="64" t="n"/>
      <c r="R1690" s="73" t="str">
        <f>IF(N(Q1690)&gt;0,Q1690,IF(OR(N(B1690)=0,ISNA(MATCH($C1690,sup_code,0))),"",IF(ISNUMBER(INDEX(sup_delay,MATCH($C1690,sup_code,0))),B1690+INDEX(sup_delay,MATCH($C1690,sup_code,0)),"")))</f>
        <v/>
      </c>
      <c r="S1690" s="64" t="n"/>
      <c r="T1690" s="68" t="n"/>
      <c r="U1690" s="64" t="n"/>
      <c r="V1690" s="65" t="n"/>
      <c r="W1690" s="74" t="str">
        <f>IF(AND(A1690="",E1690=""),"",IF(V1690="Oui",0,MAX(0,ROUND(N(H1690)-N(T1690),6))))</f>
        <v/>
      </c>
      <c r="X1690" s="67" t="str">
        <f>IF(AND(A1690="",E1690=""),"",IF(V1690="Oui","Annulé",IF(AND(N(H1690)&gt;0,N(T1690)&gt;=N(H1690)),"Reçu",IF(N(S1690)=0,"Brouillon",IF(AND(ISNUMBER(R1690),R1690&lt;p_today),"En retard",IF(N(T1690)&gt;0,"Partiel","Envoyé"))))))</f>
        <v/>
      </c>
      <c r="Y1690" s="75" t="str">
        <f>IF(X1690="En retard",p_today-R1690,IF(AND(X1690="Reçu",ISNUMBER(R1690)),MAX(0,N(U1690)-R1690),""))</f>
        <v/>
      </c>
      <c r="Z1690" s="67" t="str">
        <f>IF(AND(A1690="",E1690=""),"",IF(A1690="","N° de bon manquant",IF(N(B1690)=0,"Date de commande manquante",IF(C1690="","Fournisseur manquant",IF(ISNA(MATCH($C1690,sup_code,0)),"Fournisseur inconnu",IF(E1690="","Article manquant",IF(ISNA(MATCH($E1690,art_ref,0)),"Article inconnu",IF(N(H1690)&lt;=0,"Quantité invalide",IF(J1690="","Prix manquant",IF(OR(N(K1690)&lt;0,N(K1690)&gt;=1),"Remise invalide",IF(M1690="","TVA manquante",IF(ISNA(MATCH(M1690,p_tva,0)),"Taux de TVA inconnu",IF(COUNTIFS(po_num,A1690,po_sup,"&lt;&gt;"&amp;C1690)&gt;0,"Fournisseur différent sur ce bon",IF(COUNTIFS(po_num,A1690,po_date,"&lt;&gt;"&amp;B1690)&gt;0,"Date différente sur ce bon",IF(COUNTIF(po_num,A1690)&gt;25,"Plus de 25 lignes sur ce bon",IF(R1690="","Date de livraison manquante",IF(R1690&lt;B1690,"Livraison avant la commande",IF(AND(N(T1690)&gt;0,N(S1690)=0),"Date d'envoi manquante",IF(N(T1690)&gt;N(H1690),"Reçu plus que commandé",IF(AND(N(T1690)&gt;0,N(U1690)=0),"Date de réception manquante",IF(AND(N(U1690)&gt;0,U1690&lt;B1690),"Réception avant la commande","OK")))))))))))))))))))))</f>
        <v/>
      </c>
      <c r="AA1690" s="66" t="str">
        <f>IF(AND(X1690="Reçu",ISNUMBER(R1690)),IF(N(U1690)&lt;=R1690,1,0),"")</f>
        <v/>
      </c>
      <c r="AB1690" s="76" t="str">
        <f>IF(OR(X1690="Envoyé",X1690="Partiel",X1690="En retard"),IF(ISNUMBER(R1690),R1690,100000)+ROW()/100000,"")</f>
        <v/>
      </c>
      <c r="AC1690" s="66" t="str">
        <f>IF(A1690="","",IF(COUNTIF($A$6:A1690,A1690)=1,1,""))</f>
        <v/>
      </c>
      <c r="AD1690" s="66" t="str">
        <f>IF(AC1690=1,COUNT($AC$6:AC1690),"")</f>
        <v/>
      </c>
      <c r="AE1690" s="66" t="str">
        <f>IFERROR(INDEX(po_num,MATCH(1685,po_seq,0))&amp;"","")</f>
        <v/>
      </c>
      <c r="AF1690" s="66" t="str">
        <f>IF(OR(A1690="",p_po=""),"",IF(A1690&amp;""=p_po,COUNTIF($A$6:A1690,A1690),""))</f>
        <v/>
      </c>
      <c r="AG1690" s="66" t="str">
        <f>IF(OR(AB1690="",A1690=""),"",IF(COUNTIFS($A$6:A1690,A1690,$AB$6:AB1690,"&gt;0")=1,1,""))</f>
        <v/>
      </c>
      <c r="AH1690" s="70" t="str">
        <f>IF(AB1690="","",ROUND(N(W1690)*N(J1690)*(1-N(K1690)),2))</f>
        <v/>
      </c>
      <c r="AI1690" s="70" t="str">
        <f>IF(OR(J1690="",N(T1690)&lt;=0,V1690="Oui"),"",ROUND(N(T1690)*J1690*(1-N(K1690)),2))</f>
        <v/>
      </c>
    </row>
    <row r="1691">
      <c r="A1691" s="63" t="n"/>
      <c r="B1691" s="64" t="n"/>
      <c r="C1691" s="65" t="n"/>
      <c r="D1691" s="66" t="str">
        <f>IF(C1691="","",IFERROR(INDEX(sup_name,MATCH($C1691,sup_code,0))&amp;"","Fournisseur inconnu"))</f>
        <v/>
      </c>
      <c r="E1691" s="63" t="n"/>
      <c r="F1691" s="66" t="str">
        <f>IF(E1691="","",IFERROR(INDEX(art_des,MATCH($E1691,art_ref,0))&amp;"","Article inconnu"))</f>
        <v/>
      </c>
      <c r="G1691" s="67" t="str">
        <f>IF(E1691="","",IFERROR(INDEX(art_unit,MATCH($E1691,art_ref,0))&amp;"",""))</f>
        <v/>
      </c>
      <c r="H1691" s="68" t="n"/>
      <c r="I1691" s="69" t="n"/>
      <c r="J1691" s="70" t="str">
        <f>IF(E1691="","",IF(ISNUMBER(I1691),I1691,IFERROR(IF(ISNUMBER(INDEX(art_price,MATCH($E1691,art_ref,0))),INDEX(art_price,MATCH($E1691,art_ref,0)),""),"")))</f>
        <v/>
      </c>
      <c r="K1691" s="71" t="n"/>
      <c r="L1691" s="72" t="n"/>
      <c r="M1691" s="72" t="str">
        <f>IF(E1691="","",IF(L1691&lt;&gt;"",L1691,IFERROR(IF(ISNUMBER(INDEX(art_tva,MATCH($E1691,art_ref,0))),INDEX(art_tva,MATCH($E1691,art_ref,0)),""),"")))</f>
        <v/>
      </c>
      <c r="N1691" s="70" t="str">
        <f>IF(OR(E1691="",J1691=""),"",ROUND(N(H1691)*J1691*(1-N(K1691)),2))</f>
        <v/>
      </c>
      <c r="O1691" s="70" t="str">
        <f>IF(OR(N1691="",NOT(ISNUMBER(M1691))),"",ROUND(N1691*M1691,2))</f>
        <v/>
      </c>
      <c r="P1691" s="70" t="str">
        <f>IF(N1691="","",N1691+N(O1691))</f>
        <v/>
      </c>
      <c r="Q1691" s="64" t="n"/>
      <c r="R1691" s="73" t="str">
        <f>IF(N(Q1691)&gt;0,Q1691,IF(OR(N(B1691)=0,ISNA(MATCH($C1691,sup_code,0))),"",IF(ISNUMBER(INDEX(sup_delay,MATCH($C1691,sup_code,0))),B1691+INDEX(sup_delay,MATCH($C1691,sup_code,0)),"")))</f>
        <v/>
      </c>
      <c r="S1691" s="64" t="n"/>
      <c r="T1691" s="68" t="n"/>
      <c r="U1691" s="64" t="n"/>
      <c r="V1691" s="65" t="n"/>
      <c r="W1691" s="74" t="str">
        <f>IF(AND(A1691="",E1691=""),"",IF(V1691="Oui",0,MAX(0,ROUND(N(H1691)-N(T1691),6))))</f>
        <v/>
      </c>
      <c r="X1691" s="67" t="str">
        <f>IF(AND(A1691="",E1691=""),"",IF(V1691="Oui","Annulé",IF(AND(N(H1691)&gt;0,N(T1691)&gt;=N(H1691)),"Reçu",IF(N(S1691)=0,"Brouillon",IF(AND(ISNUMBER(R1691),R1691&lt;p_today),"En retard",IF(N(T1691)&gt;0,"Partiel","Envoyé"))))))</f>
        <v/>
      </c>
      <c r="Y1691" s="75" t="str">
        <f>IF(X1691="En retard",p_today-R1691,IF(AND(X1691="Reçu",ISNUMBER(R1691)),MAX(0,N(U1691)-R1691),""))</f>
        <v/>
      </c>
      <c r="Z1691" s="67" t="str">
        <f>IF(AND(A1691="",E1691=""),"",IF(A1691="","N° de bon manquant",IF(N(B1691)=0,"Date de commande manquante",IF(C1691="","Fournisseur manquant",IF(ISNA(MATCH($C1691,sup_code,0)),"Fournisseur inconnu",IF(E1691="","Article manquant",IF(ISNA(MATCH($E1691,art_ref,0)),"Article inconnu",IF(N(H1691)&lt;=0,"Quantité invalide",IF(J1691="","Prix manquant",IF(OR(N(K1691)&lt;0,N(K1691)&gt;=1),"Remise invalide",IF(M1691="","TVA manquante",IF(ISNA(MATCH(M1691,p_tva,0)),"Taux de TVA inconnu",IF(COUNTIFS(po_num,A1691,po_sup,"&lt;&gt;"&amp;C1691)&gt;0,"Fournisseur différent sur ce bon",IF(COUNTIFS(po_num,A1691,po_date,"&lt;&gt;"&amp;B1691)&gt;0,"Date différente sur ce bon",IF(COUNTIF(po_num,A1691)&gt;25,"Plus de 25 lignes sur ce bon",IF(R1691="","Date de livraison manquante",IF(R1691&lt;B1691,"Livraison avant la commande",IF(AND(N(T1691)&gt;0,N(S1691)=0),"Date d'envoi manquante",IF(N(T1691)&gt;N(H1691),"Reçu plus que commandé",IF(AND(N(T1691)&gt;0,N(U1691)=0),"Date de réception manquante",IF(AND(N(U1691)&gt;0,U1691&lt;B1691),"Réception avant la commande","OK")))))))))))))))))))))</f>
        <v/>
      </c>
      <c r="AA1691" s="66" t="str">
        <f>IF(AND(X1691="Reçu",ISNUMBER(R1691)),IF(N(U1691)&lt;=R1691,1,0),"")</f>
        <v/>
      </c>
      <c r="AB1691" s="76" t="str">
        <f>IF(OR(X1691="Envoyé",X1691="Partiel",X1691="En retard"),IF(ISNUMBER(R1691),R1691,100000)+ROW()/100000,"")</f>
        <v/>
      </c>
      <c r="AC1691" s="66" t="str">
        <f>IF(A1691="","",IF(COUNTIF($A$6:A1691,A1691)=1,1,""))</f>
        <v/>
      </c>
      <c r="AD1691" s="66" t="str">
        <f>IF(AC1691=1,COUNT($AC$6:AC1691),"")</f>
        <v/>
      </c>
      <c r="AE1691" s="66" t="str">
        <f>IFERROR(INDEX(po_num,MATCH(1686,po_seq,0))&amp;"","")</f>
        <v/>
      </c>
      <c r="AF1691" s="66" t="str">
        <f>IF(OR(A1691="",p_po=""),"",IF(A1691&amp;""=p_po,COUNTIF($A$6:A1691,A1691),""))</f>
        <v/>
      </c>
      <c r="AG1691" s="66" t="str">
        <f>IF(OR(AB1691="",A1691=""),"",IF(COUNTIFS($A$6:A1691,A1691,$AB$6:AB1691,"&gt;0")=1,1,""))</f>
        <v/>
      </c>
      <c r="AH1691" s="70" t="str">
        <f>IF(AB1691="","",ROUND(N(W1691)*N(J1691)*(1-N(K1691)),2))</f>
        <v/>
      </c>
      <c r="AI1691" s="70" t="str">
        <f>IF(OR(J1691="",N(T1691)&lt;=0,V1691="Oui"),"",ROUND(N(T1691)*J1691*(1-N(K1691)),2))</f>
        <v/>
      </c>
    </row>
    <row r="1692">
      <c r="A1692" s="63" t="n"/>
      <c r="B1692" s="64" t="n"/>
      <c r="C1692" s="65" t="n"/>
      <c r="D1692" s="66" t="str">
        <f>IF(C1692="","",IFERROR(INDEX(sup_name,MATCH($C1692,sup_code,0))&amp;"","Fournisseur inconnu"))</f>
        <v/>
      </c>
      <c r="E1692" s="63" t="n"/>
      <c r="F1692" s="66" t="str">
        <f>IF(E1692="","",IFERROR(INDEX(art_des,MATCH($E1692,art_ref,0))&amp;"","Article inconnu"))</f>
        <v/>
      </c>
      <c r="G1692" s="67" t="str">
        <f>IF(E1692="","",IFERROR(INDEX(art_unit,MATCH($E1692,art_ref,0))&amp;"",""))</f>
        <v/>
      </c>
      <c r="H1692" s="68" t="n"/>
      <c r="I1692" s="69" t="n"/>
      <c r="J1692" s="70" t="str">
        <f>IF(E1692="","",IF(ISNUMBER(I1692),I1692,IFERROR(IF(ISNUMBER(INDEX(art_price,MATCH($E1692,art_ref,0))),INDEX(art_price,MATCH($E1692,art_ref,0)),""),"")))</f>
        <v/>
      </c>
      <c r="K1692" s="71" t="n"/>
      <c r="L1692" s="72" t="n"/>
      <c r="M1692" s="72" t="str">
        <f>IF(E1692="","",IF(L1692&lt;&gt;"",L1692,IFERROR(IF(ISNUMBER(INDEX(art_tva,MATCH($E1692,art_ref,0))),INDEX(art_tva,MATCH($E1692,art_ref,0)),""),"")))</f>
        <v/>
      </c>
      <c r="N1692" s="70" t="str">
        <f>IF(OR(E1692="",J1692=""),"",ROUND(N(H1692)*J1692*(1-N(K1692)),2))</f>
        <v/>
      </c>
      <c r="O1692" s="70" t="str">
        <f>IF(OR(N1692="",NOT(ISNUMBER(M1692))),"",ROUND(N1692*M1692,2))</f>
        <v/>
      </c>
      <c r="P1692" s="70" t="str">
        <f>IF(N1692="","",N1692+N(O1692))</f>
        <v/>
      </c>
      <c r="Q1692" s="64" t="n"/>
      <c r="R1692" s="73" t="str">
        <f>IF(N(Q1692)&gt;0,Q1692,IF(OR(N(B1692)=0,ISNA(MATCH($C1692,sup_code,0))),"",IF(ISNUMBER(INDEX(sup_delay,MATCH($C1692,sup_code,0))),B1692+INDEX(sup_delay,MATCH($C1692,sup_code,0)),"")))</f>
        <v/>
      </c>
      <c r="S1692" s="64" t="n"/>
      <c r="T1692" s="68" t="n"/>
      <c r="U1692" s="64" t="n"/>
      <c r="V1692" s="65" t="n"/>
      <c r="W1692" s="74" t="str">
        <f>IF(AND(A1692="",E1692=""),"",IF(V1692="Oui",0,MAX(0,ROUND(N(H1692)-N(T1692),6))))</f>
        <v/>
      </c>
      <c r="X1692" s="67" t="str">
        <f>IF(AND(A1692="",E1692=""),"",IF(V1692="Oui","Annulé",IF(AND(N(H1692)&gt;0,N(T1692)&gt;=N(H1692)),"Reçu",IF(N(S1692)=0,"Brouillon",IF(AND(ISNUMBER(R1692),R1692&lt;p_today),"En retard",IF(N(T1692)&gt;0,"Partiel","Envoyé"))))))</f>
        <v/>
      </c>
      <c r="Y1692" s="75" t="str">
        <f>IF(X1692="En retard",p_today-R1692,IF(AND(X1692="Reçu",ISNUMBER(R1692)),MAX(0,N(U1692)-R1692),""))</f>
        <v/>
      </c>
      <c r="Z1692" s="67" t="str">
        <f>IF(AND(A1692="",E1692=""),"",IF(A1692="","N° de bon manquant",IF(N(B1692)=0,"Date de commande manquante",IF(C1692="","Fournisseur manquant",IF(ISNA(MATCH($C1692,sup_code,0)),"Fournisseur inconnu",IF(E1692="","Article manquant",IF(ISNA(MATCH($E1692,art_ref,0)),"Article inconnu",IF(N(H1692)&lt;=0,"Quantité invalide",IF(J1692="","Prix manquant",IF(OR(N(K1692)&lt;0,N(K1692)&gt;=1),"Remise invalide",IF(M1692="","TVA manquante",IF(ISNA(MATCH(M1692,p_tva,0)),"Taux de TVA inconnu",IF(COUNTIFS(po_num,A1692,po_sup,"&lt;&gt;"&amp;C1692)&gt;0,"Fournisseur différent sur ce bon",IF(COUNTIFS(po_num,A1692,po_date,"&lt;&gt;"&amp;B1692)&gt;0,"Date différente sur ce bon",IF(COUNTIF(po_num,A1692)&gt;25,"Plus de 25 lignes sur ce bon",IF(R1692="","Date de livraison manquante",IF(R1692&lt;B1692,"Livraison avant la commande",IF(AND(N(T1692)&gt;0,N(S1692)=0),"Date d'envoi manquante",IF(N(T1692)&gt;N(H1692),"Reçu plus que commandé",IF(AND(N(T1692)&gt;0,N(U1692)=0),"Date de réception manquante",IF(AND(N(U1692)&gt;0,U1692&lt;B1692),"Réception avant la commande","OK")))))))))))))))))))))</f>
        <v/>
      </c>
      <c r="AA1692" s="66" t="str">
        <f>IF(AND(X1692="Reçu",ISNUMBER(R1692)),IF(N(U1692)&lt;=R1692,1,0),"")</f>
        <v/>
      </c>
      <c r="AB1692" s="76" t="str">
        <f>IF(OR(X1692="Envoyé",X1692="Partiel",X1692="En retard"),IF(ISNUMBER(R1692),R1692,100000)+ROW()/100000,"")</f>
        <v/>
      </c>
      <c r="AC1692" s="66" t="str">
        <f>IF(A1692="","",IF(COUNTIF($A$6:A1692,A1692)=1,1,""))</f>
        <v/>
      </c>
      <c r="AD1692" s="66" t="str">
        <f>IF(AC1692=1,COUNT($AC$6:AC1692),"")</f>
        <v/>
      </c>
      <c r="AE1692" s="66" t="str">
        <f>IFERROR(INDEX(po_num,MATCH(1687,po_seq,0))&amp;"","")</f>
        <v/>
      </c>
      <c r="AF1692" s="66" t="str">
        <f>IF(OR(A1692="",p_po=""),"",IF(A1692&amp;""=p_po,COUNTIF($A$6:A1692,A1692),""))</f>
        <v/>
      </c>
      <c r="AG1692" s="66" t="str">
        <f>IF(OR(AB1692="",A1692=""),"",IF(COUNTIFS($A$6:A1692,A1692,$AB$6:AB1692,"&gt;0")=1,1,""))</f>
        <v/>
      </c>
      <c r="AH1692" s="70" t="str">
        <f>IF(AB1692="","",ROUND(N(W1692)*N(J1692)*(1-N(K1692)),2))</f>
        <v/>
      </c>
      <c r="AI1692" s="70" t="str">
        <f>IF(OR(J1692="",N(T1692)&lt;=0,V1692="Oui"),"",ROUND(N(T1692)*J1692*(1-N(K1692)),2))</f>
        <v/>
      </c>
    </row>
    <row r="1693">
      <c r="A1693" s="63" t="n"/>
      <c r="B1693" s="64" t="n"/>
      <c r="C1693" s="65" t="n"/>
      <c r="D1693" s="66" t="str">
        <f>IF(C1693="","",IFERROR(INDEX(sup_name,MATCH($C1693,sup_code,0))&amp;"","Fournisseur inconnu"))</f>
        <v/>
      </c>
      <c r="E1693" s="63" t="n"/>
      <c r="F1693" s="66" t="str">
        <f>IF(E1693="","",IFERROR(INDEX(art_des,MATCH($E1693,art_ref,0))&amp;"","Article inconnu"))</f>
        <v/>
      </c>
      <c r="G1693" s="67" t="str">
        <f>IF(E1693="","",IFERROR(INDEX(art_unit,MATCH($E1693,art_ref,0))&amp;"",""))</f>
        <v/>
      </c>
      <c r="H1693" s="68" t="n"/>
      <c r="I1693" s="69" t="n"/>
      <c r="J1693" s="70" t="str">
        <f>IF(E1693="","",IF(ISNUMBER(I1693),I1693,IFERROR(IF(ISNUMBER(INDEX(art_price,MATCH($E1693,art_ref,0))),INDEX(art_price,MATCH($E1693,art_ref,0)),""),"")))</f>
        <v/>
      </c>
      <c r="K1693" s="71" t="n"/>
      <c r="L1693" s="72" t="n"/>
      <c r="M1693" s="72" t="str">
        <f>IF(E1693="","",IF(L1693&lt;&gt;"",L1693,IFERROR(IF(ISNUMBER(INDEX(art_tva,MATCH($E1693,art_ref,0))),INDEX(art_tva,MATCH($E1693,art_ref,0)),""),"")))</f>
        <v/>
      </c>
      <c r="N1693" s="70" t="str">
        <f>IF(OR(E1693="",J1693=""),"",ROUND(N(H1693)*J1693*(1-N(K1693)),2))</f>
        <v/>
      </c>
      <c r="O1693" s="70" t="str">
        <f>IF(OR(N1693="",NOT(ISNUMBER(M1693))),"",ROUND(N1693*M1693,2))</f>
        <v/>
      </c>
      <c r="P1693" s="70" t="str">
        <f>IF(N1693="","",N1693+N(O1693))</f>
        <v/>
      </c>
      <c r="Q1693" s="64" t="n"/>
      <c r="R1693" s="73" t="str">
        <f>IF(N(Q1693)&gt;0,Q1693,IF(OR(N(B1693)=0,ISNA(MATCH($C1693,sup_code,0))),"",IF(ISNUMBER(INDEX(sup_delay,MATCH($C1693,sup_code,0))),B1693+INDEX(sup_delay,MATCH($C1693,sup_code,0)),"")))</f>
        <v/>
      </c>
      <c r="S1693" s="64" t="n"/>
      <c r="T1693" s="68" t="n"/>
      <c r="U1693" s="64" t="n"/>
      <c r="V1693" s="65" t="n"/>
      <c r="W1693" s="74" t="str">
        <f>IF(AND(A1693="",E1693=""),"",IF(V1693="Oui",0,MAX(0,ROUND(N(H1693)-N(T1693),6))))</f>
        <v/>
      </c>
      <c r="X1693" s="67" t="str">
        <f>IF(AND(A1693="",E1693=""),"",IF(V1693="Oui","Annulé",IF(AND(N(H1693)&gt;0,N(T1693)&gt;=N(H1693)),"Reçu",IF(N(S1693)=0,"Brouillon",IF(AND(ISNUMBER(R1693),R1693&lt;p_today),"En retard",IF(N(T1693)&gt;0,"Partiel","Envoyé"))))))</f>
        <v/>
      </c>
      <c r="Y1693" s="75" t="str">
        <f>IF(X1693="En retard",p_today-R1693,IF(AND(X1693="Reçu",ISNUMBER(R1693)),MAX(0,N(U1693)-R1693),""))</f>
        <v/>
      </c>
      <c r="Z1693" s="67" t="str">
        <f>IF(AND(A1693="",E1693=""),"",IF(A1693="","N° de bon manquant",IF(N(B1693)=0,"Date de commande manquante",IF(C1693="","Fournisseur manquant",IF(ISNA(MATCH($C1693,sup_code,0)),"Fournisseur inconnu",IF(E1693="","Article manquant",IF(ISNA(MATCH($E1693,art_ref,0)),"Article inconnu",IF(N(H1693)&lt;=0,"Quantité invalide",IF(J1693="","Prix manquant",IF(OR(N(K1693)&lt;0,N(K1693)&gt;=1),"Remise invalide",IF(M1693="","TVA manquante",IF(ISNA(MATCH(M1693,p_tva,0)),"Taux de TVA inconnu",IF(COUNTIFS(po_num,A1693,po_sup,"&lt;&gt;"&amp;C1693)&gt;0,"Fournisseur différent sur ce bon",IF(COUNTIFS(po_num,A1693,po_date,"&lt;&gt;"&amp;B1693)&gt;0,"Date différente sur ce bon",IF(COUNTIF(po_num,A1693)&gt;25,"Plus de 25 lignes sur ce bon",IF(R1693="","Date de livraison manquante",IF(R1693&lt;B1693,"Livraison avant la commande",IF(AND(N(T1693)&gt;0,N(S1693)=0),"Date d'envoi manquante",IF(N(T1693)&gt;N(H1693),"Reçu plus que commandé",IF(AND(N(T1693)&gt;0,N(U1693)=0),"Date de réception manquante",IF(AND(N(U1693)&gt;0,U1693&lt;B1693),"Réception avant la commande","OK")))))))))))))))))))))</f>
        <v/>
      </c>
      <c r="AA1693" s="66" t="str">
        <f>IF(AND(X1693="Reçu",ISNUMBER(R1693)),IF(N(U1693)&lt;=R1693,1,0),"")</f>
        <v/>
      </c>
      <c r="AB1693" s="76" t="str">
        <f>IF(OR(X1693="Envoyé",X1693="Partiel",X1693="En retard"),IF(ISNUMBER(R1693),R1693,100000)+ROW()/100000,"")</f>
        <v/>
      </c>
      <c r="AC1693" s="66" t="str">
        <f>IF(A1693="","",IF(COUNTIF($A$6:A1693,A1693)=1,1,""))</f>
        <v/>
      </c>
      <c r="AD1693" s="66" t="str">
        <f>IF(AC1693=1,COUNT($AC$6:AC1693),"")</f>
        <v/>
      </c>
      <c r="AE1693" s="66" t="str">
        <f>IFERROR(INDEX(po_num,MATCH(1688,po_seq,0))&amp;"","")</f>
        <v/>
      </c>
      <c r="AF1693" s="66" t="str">
        <f>IF(OR(A1693="",p_po=""),"",IF(A1693&amp;""=p_po,COUNTIF($A$6:A1693,A1693),""))</f>
        <v/>
      </c>
      <c r="AG1693" s="66" t="str">
        <f>IF(OR(AB1693="",A1693=""),"",IF(COUNTIFS($A$6:A1693,A1693,$AB$6:AB1693,"&gt;0")=1,1,""))</f>
        <v/>
      </c>
      <c r="AH1693" s="70" t="str">
        <f>IF(AB1693="","",ROUND(N(W1693)*N(J1693)*(1-N(K1693)),2))</f>
        <v/>
      </c>
      <c r="AI1693" s="70" t="str">
        <f>IF(OR(J1693="",N(T1693)&lt;=0,V1693="Oui"),"",ROUND(N(T1693)*J1693*(1-N(K1693)),2))</f>
        <v/>
      </c>
    </row>
    <row r="1694">
      <c r="A1694" s="63" t="n"/>
      <c r="B1694" s="64" t="n"/>
      <c r="C1694" s="65" t="n"/>
      <c r="D1694" s="66" t="str">
        <f>IF(C1694="","",IFERROR(INDEX(sup_name,MATCH($C1694,sup_code,0))&amp;"","Fournisseur inconnu"))</f>
        <v/>
      </c>
      <c r="E1694" s="63" t="n"/>
      <c r="F1694" s="66" t="str">
        <f>IF(E1694="","",IFERROR(INDEX(art_des,MATCH($E1694,art_ref,0))&amp;"","Article inconnu"))</f>
        <v/>
      </c>
      <c r="G1694" s="67" t="str">
        <f>IF(E1694="","",IFERROR(INDEX(art_unit,MATCH($E1694,art_ref,0))&amp;"",""))</f>
        <v/>
      </c>
      <c r="H1694" s="68" t="n"/>
      <c r="I1694" s="69" t="n"/>
      <c r="J1694" s="70" t="str">
        <f>IF(E1694="","",IF(ISNUMBER(I1694),I1694,IFERROR(IF(ISNUMBER(INDEX(art_price,MATCH($E1694,art_ref,0))),INDEX(art_price,MATCH($E1694,art_ref,0)),""),"")))</f>
        <v/>
      </c>
      <c r="K1694" s="71" t="n"/>
      <c r="L1694" s="72" t="n"/>
      <c r="M1694" s="72" t="str">
        <f>IF(E1694="","",IF(L1694&lt;&gt;"",L1694,IFERROR(IF(ISNUMBER(INDEX(art_tva,MATCH($E1694,art_ref,0))),INDEX(art_tva,MATCH($E1694,art_ref,0)),""),"")))</f>
        <v/>
      </c>
      <c r="N1694" s="70" t="str">
        <f>IF(OR(E1694="",J1694=""),"",ROUND(N(H1694)*J1694*(1-N(K1694)),2))</f>
        <v/>
      </c>
      <c r="O1694" s="70" t="str">
        <f>IF(OR(N1694="",NOT(ISNUMBER(M1694))),"",ROUND(N1694*M1694,2))</f>
        <v/>
      </c>
      <c r="P1694" s="70" t="str">
        <f>IF(N1694="","",N1694+N(O1694))</f>
        <v/>
      </c>
      <c r="Q1694" s="64" t="n"/>
      <c r="R1694" s="73" t="str">
        <f>IF(N(Q1694)&gt;0,Q1694,IF(OR(N(B1694)=0,ISNA(MATCH($C1694,sup_code,0))),"",IF(ISNUMBER(INDEX(sup_delay,MATCH($C1694,sup_code,0))),B1694+INDEX(sup_delay,MATCH($C1694,sup_code,0)),"")))</f>
        <v/>
      </c>
      <c r="S1694" s="64" t="n"/>
      <c r="T1694" s="68" t="n"/>
      <c r="U1694" s="64" t="n"/>
      <c r="V1694" s="65" t="n"/>
      <c r="W1694" s="74" t="str">
        <f>IF(AND(A1694="",E1694=""),"",IF(V1694="Oui",0,MAX(0,ROUND(N(H1694)-N(T1694),6))))</f>
        <v/>
      </c>
      <c r="X1694" s="67" t="str">
        <f>IF(AND(A1694="",E1694=""),"",IF(V1694="Oui","Annulé",IF(AND(N(H1694)&gt;0,N(T1694)&gt;=N(H1694)),"Reçu",IF(N(S1694)=0,"Brouillon",IF(AND(ISNUMBER(R1694),R1694&lt;p_today),"En retard",IF(N(T1694)&gt;0,"Partiel","Envoyé"))))))</f>
        <v/>
      </c>
      <c r="Y1694" s="75" t="str">
        <f>IF(X1694="En retard",p_today-R1694,IF(AND(X1694="Reçu",ISNUMBER(R1694)),MAX(0,N(U1694)-R1694),""))</f>
        <v/>
      </c>
      <c r="Z1694" s="67" t="str">
        <f>IF(AND(A1694="",E1694=""),"",IF(A1694="","N° de bon manquant",IF(N(B1694)=0,"Date de commande manquante",IF(C1694="","Fournisseur manquant",IF(ISNA(MATCH($C1694,sup_code,0)),"Fournisseur inconnu",IF(E1694="","Article manquant",IF(ISNA(MATCH($E1694,art_ref,0)),"Article inconnu",IF(N(H1694)&lt;=0,"Quantité invalide",IF(J1694="","Prix manquant",IF(OR(N(K1694)&lt;0,N(K1694)&gt;=1),"Remise invalide",IF(M1694="","TVA manquante",IF(ISNA(MATCH(M1694,p_tva,0)),"Taux de TVA inconnu",IF(COUNTIFS(po_num,A1694,po_sup,"&lt;&gt;"&amp;C1694)&gt;0,"Fournisseur différent sur ce bon",IF(COUNTIFS(po_num,A1694,po_date,"&lt;&gt;"&amp;B1694)&gt;0,"Date différente sur ce bon",IF(COUNTIF(po_num,A1694)&gt;25,"Plus de 25 lignes sur ce bon",IF(R1694="","Date de livraison manquante",IF(R1694&lt;B1694,"Livraison avant la commande",IF(AND(N(T1694)&gt;0,N(S1694)=0),"Date d'envoi manquante",IF(N(T1694)&gt;N(H1694),"Reçu plus que commandé",IF(AND(N(T1694)&gt;0,N(U1694)=0),"Date de réception manquante",IF(AND(N(U1694)&gt;0,U1694&lt;B1694),"Réception avant la commande","OK")))))))))))))))))))))</f>
        <v/>
      </c>
      <c r="AA1694" s="66" t="str">
        <f>IF(AND(X1694="Reçu",ISNUMBER(R1694)),IF(N(U1694)&lt;=R1694,1,0),"")</f>
        <v/>
      </c>
      <c r="AB1694" s="76" t="str">
        <f>IF(OR(X1694="Envoyé",X1694="Partiel",X1694="En retard"),IF(ISNUMBER(R1694),R1694,100000)+ROW()/100000,"")</f>
        <v/>
      </c>
      <c r="AC1694" s="66" t="str">
        <f>IF(A1694="","",IF(COUNTIF($A$6:A1694,A1694)=1,1,""))</f>
        <v/>
      </c>
      <c r="AD1694" s="66" t="str">
        <f>IF(AC1694=1,COUNT($AC$6:AC1694),"")</f>
        <v/>
      </c>
      <c r="AE1694" s="66" t="str">
        <f>IFERROR(INDEX(po_num,MATCH(1689,po_seq,0))&amp;"","")</f>
        <v/>
      </c>
      <c r="AF1694" s="66" t="str">
        <f>IF(OR(A1694="",p_po=""),"",IF(A1694&amp;""=p_po,COUNTIF($A$6:A1694,A1694),""))</f>
        <v/>
      </c>
      <c r="AG1694" s="66" t="str">
        <f>IF(OR(AB1694="",A1694=""),"",IF(COUNTIFS($A$6:A1694,A1694,$AB$6:AB1694,"&gt;0")=1,1,""))</f>
        <v/>
      </c>
      <c r="AH1694" s="70" t="str">
        <f>IF(AB1694="","",ROUND(N(W1694)*N(J1694)*(1-N(K1694)),2))</f>
        <v/>
      </c>
      <c r="AI1694" s="70" t="str">
        <f>IF(OR(J1694="",N(T1694)&lt;=0,V1694="Oui"),"",ROUND(N(T1694)*J1694*(1-N(K1694)),2))</f>
        <v/>
      </c>
    </row>
    <row r="1695">
      <c r="A1695" s="63" t="n"/>
      <c r="B1695" s="64" t="n"/>
      <c r="C1695" s="65" t="n"/>
      <c r="D1695" s="66" t="str">
        <f>IF(C1695="","",IFERROR(INDEX(sup_name,MATCH($C1695,sup_code,0))&amp;"","Fournisseur inconnu"))</f>
        <v/>
      </c>
      <c r="E1695" s="63" t="n"/>
      <c r="F1695" s="66" t="str">
        <f>IF(E1695="","",IFERROR(INDEX(art_des,MATCH($E1695,art_ref,0))&amp;"","Article inconnu"))</f>
        <v/>
      </c>
      <c r="G1695" s="67" t="str">
        <f>IF(E1695="","",IFERROR(INDEX(art_unit,MATCH($E1695,art_ref,0))&amp;"",""))</f>
        <v/>
      </c>
      <c r="H1695" s="68" t="n"/>
      <c r="I1695" s="69" t="n"/>
      <c r="J1695" s="70" t="str">
        <f>IF(E1695="","",IF(ISNUMBER(I1695),I1695,IFERROR(IF(ISNUMBER(INDEX(art_price,MATCH($E1695,art_ref,0))),INDEX(art_price,MATCH($E1695,art_ref,0)),""),"")))</f>
        <v/>
      </c>
      <c r="K1695" s="71" t="n"/>
      <c r="L1695" s="72" t="n"/>
      <c r="M1695" s="72" t="str">
        <f>IF(E1695="","",IF(L1695&lt;&gt;"",L1695,IFERROR(IF(ISNUMBER(INDEX(art_tva,MATCH($E1695,art_ref,0))),INDEX(art_tva,MATCH($E1695,art_ref,0)),""),"")))</f>
        <v/>
      </c>
      <c r="N1695" s="70" t="str">
        <f>IF(OR(E1695="",J1695=""),"",ROUND(N(H1695)*J1695*(1-N(K1695)),2))</f>
        <v/>
      </c>
      <c r="O1695" s="70" t="str">
        <f>IF(OR(N1695="",NOT(ISNUMBER(M1695))),"",ROUND(N1695*M1695,2))</f>
        <v/>
      </c>
      <c r="P1695" s="70" t="str">
        <f>IF(N1695="","",N1695+N(O1695))</f>
        <v/>
      </c>
      <c r="Q1695" s="64" t="n"/>
      <c r="R1695" s="73" t="str">
        <f>IF(N(Q1695)&gt;0,Q1695,IF(OR(N(B1695)=0,ISNA(MATCH($C1695,sup_code,0))),"",IF(ISNUMBER(INDEX(sup_delay,MATCH($C1695,sup_code,0))),B1695+INDEX(sup_delay,MATCH($C1695,sup_code,0)),"")))</f>
        <v/>
      </c>
      <c r="S1695" s="64" t="n"/>
      <c r="T1695" s="68" t="n"/>
      <c r="U1695" s="64" t="n"/>
      <c r="V1695" s="65" t="n"/>
      <c r="W1695" s="74" t="str">
        <f>IF(AND(A1695="",E1695=""),"",IF(V1695="Oui",0,MAX(0,ROUND(N(H1695)-N(T1695),6))))</f>
        <v/>
      </c>
      <c r="X1695" s="67" t="str">
        <f>IF(AND(A1695="",E1695=""),"",IF(V1695="Oui","Annulé",IF(AND(N(H1695)&gt;0,N(T1695)&gt;=N(H1695)),"Reçu",IF(N(S1695)=0,"Brouillon",IF(AND(ISNUMBER(R1695),R1695&lt;p_today),"En retard",IF(N(T1695)&gt;0,"Partiel","Envoyé"))))))</f>
        <v/>
      </c>
      <c r="Y1695" s="75" t="str">
        <f>IF(X1695="En retard",p_today-R1695,IF(AND(X1695="Reçu",ISNUMBER(R1695)),MAX(0,N(U1695)-R1695),""))</f>
        <v/>
      </c>
      <c r="Z1695" s="67" t="str">
        <f>IF(AND(A1695="",E1695=""),"",IF(A1695="","N° de bon manquant",IF(N(B1695)=0,"Date de commande manquante",IF(C1695="","Fournisseur manquant",IF(ISNA(MATCH($C1695,sup_code,0)),"Fournisseur inconnu",IF(E1695="","Article manquant",IF(ISNA(MATCH($E1695,art_ref,0)),"Article inconnu",IF(N(H1695)&lt;=0,"Quantité invalide",IF(J1695="","Prix manquant",IF(OR(N(K1695)&lt;0,N(K1695)&gt;=1),"Remise invalide",IF(M1695="","TVA manquante",IF(ISNA(MATCH(M1695,p_tva,0)),"Taux de TVA inconnu",IF(COUNTIFS(po_num,A1695,po_sup,"&lt;&gt;"&amp;C1695)&gt;0,"Fournisseur différent sur ce bon",IF(COUNTIFS(po_num,A1695,po_date,"&lt;&gt;"&amp;B1695)&gt;0,"Date différente sur ce bon",IF(COUNTIF(po_num,A1695)&gt;25,"Plus de 25 lignes sur ce bon",IF(R1695="","Date de livraison manquante",IF(R1695&lt;B1695,"Livraison avant la commande",IF(AND(N(T1695)&gt;0,N(S1695)=0),"Date d'envoi manquante",IF(N(T1695)&gt;N(H1695),"Reçu plus que commandé",IF(AND(N(T1695)&gt;0,N(U1695)=0),"Date de réception manquante",IF(AND(N(U1695)&gt;0,U1695&lt;B1695),"Réception avant la commande","OK")))))))))))))))))))))</f>
        <v/>
      </c>
      <c r="AA1695" s="66" t="str">
        <f>IF(AND(X1695="Reçu",ISNUMBER(R1695)),IF(N(U1695)&lt;=R1695,1,0),"")</f>
        <v/>
      </c>
      <c r="AB1695" s="76" t="str">
        <f>IF(OR(X1695="Envoyé",X1695="Partiel",X1695="En retard"),IF(ISNUMBER(R1695),R1695,100000)+ROW()/100000,"")</f>
        <v/>
      </c>
      <c r="AC1695" s="66" t="str">
        <f>IF(A1695="","",IF(COUNTIF($A$6:A1695,A1695)=1,1,""))</f>
        <v/>
      </c>
      <c r="AD1695" s="66" t="str">
        <f>IF(AC1695=1,COUNT($AC$6:AC1695),"")</f>
        <v/>
      </c>
      <c r="AE1695" s="66" t="str">
        <f>IFERROR(INDEX(po_num,MATCH(1690,po_seq,0))&amp;"","")</f>
        <v/>
      </c>
      <c r="AF1695" s="66" t="str">
        <f>IF(OR(A1695="",p_po=""),"",IF(A1695&amp;""=p_po,COUNTIF($A$6:A1695,A1695),""))</f>
        <v/>
      </c>
      <c r="AG1695" s="66" t="str">
        <f>IF(OR(AB1695="",A1695=""),"",IF(COUNTIFS($A$6:A1695,A1695,$AB$6:AB1695,"&gt;0")=1,1,""))</f>
        <v/>
      </c>
      <c r="AH1695" s="70" t="str">
        <f>IF(AB1695="","",ROUND(N(W1695)*N(J1695)*(1-N(K1695)),2))</f>
        <v/>
      </c>
      <c r="AI1695" s="70" t="str">
        <f>IF(OR(J1695="",N(T1695)&lt;=0,V1695="Oui"),"",ROUND(N(T1695)*J1695*(1-N(K1695)),2))</f>
        <v/>
      </c>
    </row>
    <row r="1696">
      <c r="A1696" s="63" t="n"/>
      <c r="B1696" s="64" t="n"/>
      <c r="C1696" s="65" t="n"/>
      <c r="D1696" s="66" t="str">
        <f>IF(C1696="","",IFERROR(INDEX(sup_name,MATCH($C1696,sup_code,0))&amp;"","Fournisseur inconnu"))</f>
        <v/>
      </c>
      <c r="E1696" s="63" t="n"/>
      <c r="F1696" s="66" t="str">
        <f>IF(E1696="","",IFERROR(INDEX(art_des,MATCH($E1696,art_ref,0))&amp;"","Article inconnu"))</f>
        <v/>
      </c>
      <c r="G1696" s="67" t="str">
        <f>IF(E1696="","",IFERROR(INDEX(art_unit,MATCH($E1696,art_ref,0))&amp;"",""))</f>
        <v/>
      </c>
      <c r="H1696" s="68" t="n"/>
      <c r="I1696" s="69" t="n"/>
      <c r="J1696" s="70" t="str">
        <f>IF(E1696="","",IF(ISNUMBER(I1696),I1696,IFERROR(IF(ISNUMBER(INDEX(art_price,MATCH($E1696,art_ref,0))),INDEX(art_price,MATCH($E1696,art_ref,0)),""),"")))</f>
        <v/>
      </c>
      <c r="K1696" s="71" t="n"/>
      <c r="L1696" s="72" t="n"/>
      <c r="M1696" s="72" t="str">
        <f>IF(E1696="","",IF(L1696&lt;&gt;"",L1696,IFERROR(IF(ISNUMBER(INDEX(art_tva,MATCH($E1696,art_ref,0))),INDEX(art_tva,MATCH($E1696,art_ref,0)),""),"")))</f>
        <v/>
      </c>
      <c r="N1696" s="70" t="str">
        <f>IF(OR(E1696="",J1696=""),"",ROUND(N(H1696)*J1696*(1-N(K1696)),2))</f>
        <v/>
      </c>
      <c r="O1696" s="70" t="str">
        <f>IF(OR(N1696="",NOT(ISNUMBER(M1696))),"",ROUND(N1696*M1696,2))</f>
        <v/>
      </c>
      <c r="P1696" s="70" t="str">
        <f>IF(N1696="","",N1696+N(O1696))</f>
        <v/>
      </c>
      <c r="Q1696" s="64" t="n"/>
      <c r="R1696" s="73" t="str">
        <f>IF(N(Q1696)&gt;0,Q1696,IF(OR(N(B1696)=0,ISNA(MATCH($C1696,sup_code,0))),"",IF(ISNUMBER(INDEX(sup_delay,MATCH($C1696,sup_code,0))),B1696+INDEX(sup_delay,MATCH($C1696,sup_code,0)),"")))</f>
        <v/>
      </c>
      <c r="S1696" s="64" t="n"/>
      <c r="T1696" s="68" t="n"/>
      <c r="U1696" s="64" t="n"/>
      <c r="V1696" s="65" t="n"/>
      <c r="W1696" s="74" t="str">
        <f>IF(AND(A1696="",E1696=""),"",IF(V1696="Oui",0,MAX(0,ROUND(N(H1696)-N(T1696),6))))</f>
        <v/>
      </c>
      <c r="X1696" s="67" t="str">
        <f>IF(AND(A1696="",E1696=""),"",IF(V1696="Oui","Annulé",IF(AND(N(H1696)&gt;0,N(T1696)&gt;=N(H1696)),"Reçu",IF(N(S1696)=0,"Brouillon",IF(AND(ISNUMBER(R1696),R1696&lt;p_today),"En retard",IF(N(T1696)&gt;0,"Partiel","Envoyé"))))))</f>
        <v/>
      </c>
      <c r="Y1696" s="75" t="str">
        <f>IF(X1696="En retard",p_today-R1696,IF(AND(X1696="Reçu",ISNUMBER(R1696)),MAX(0,N(U1696)-R1696),""))</f>
        <v/>
      </c>
      <c r="Z1696" s="67" t="str">
        <f>IF(AND(A1696="",E1696=""),"",IF(A1696="","N° de bon manquant",IF(N(B1696)=0,"Date de commande manquante",IF(C1696="","Fournisseur manquant",IF(ISNA(MATCH($C1696,sup_code,0)),"Fournisseur inconnu",IF(E1696="","Article manquant",IF(ISNA(MATCH($E1696,art_ref,0)),"Article inconnu",IF(N(H1696)&lt;=0,"Quantité invalide",IF(J1696="","Prix manquant",IF(OR(N(K1696)&lt;0,N(K1696)&gt;=1),"Remise invalide",IF(M1696="","TVA manquante",IF(ISNA(MATCH(M1696,p_tva,0)),"Taux de TVA inconnu",IF(COUNTIFS(po_num,A1696,po_sup,"&lt;&gt;"&amp;C1696)&gt;0,"Fournisseur différent sur ce bon",IF(COUNTIFS(po_num,A1696,po_date,"&lt;&gt;"&amp;B1696)&gt;0,"Date différente sur ce bon",IF(COUNTIF(po_num,A1696)&gt;25,"Plus de 25 lignes sur ce bon",IF(R1696="","Date de livraison manquante",IF(R1696&lt;B1696,"Livraison avant la commande",IF(AND(N(T1696)&gt;0,N(S1696)=0),"Date d'envoi manquante",IF(N(T1696)&gt;N(H1696),"Reçu plus que commandé",IF(AND(N(T1696)&gt;0,N(U1696)=0),"Date de réception manquante",IF(AND(N(U1696)&gt;0,U1696&lt;B1696),"Réception avant la commande","OK")))))))))))))))))))))</f>
        <v/>
      </c>
      <c r="AA1696" s="66" t="str">
        <f>IF(AND(X1696="Reçu",ISNUMBER(R1696)),IF(N(U1696)&lt;=R1696,1,0),"")</f>
        <v/>
      </c>
      <c r="AB1696" s="76" t="str">
        <f>IF(OR(X1696="Envoyé",X1696="Partiel",X1696="En retard"),IF(ISNUMBER(R1696),R1696,100000)+ROW()/100000,"")</f>
        <v/>
      </c>
      <c r="AC1696" s="66" t="str">
        <f>IF(A1696="","",IF(COUNTIF($A$6:A1696,A1696)=1,1,""))</f>
        <v/>
      </c>
      <c r="AD1696" s="66" t="str">
        <f>IF(AC1696=1,COUNT($AC$6:AC1696),"")</f>
        <v/>
      </c>
      <c r="AE1696" s="66" t="str">
        <f>IFERROR(INDEX(po_num,MATCH(1691,po_seq,0))&amp;"","")</f>
        <v/>
      </c>
      <c r="AF1696" s="66" t="str">
        <f>IF(OR(A1696="",p_po=""),"",IF(A1696&amp;""=p_po,COUNTIF($A$6:A1696,A1696),""))</f>
        <v/>
      </c>
      <c r="AG1696" s="66" t="str">
        <f>IF(OR(AB1696="",A1696=""),"",IF(COUNTIFS($A$6:A1696,A1696,$AB$6:AB1696,"&gt;0")=1,1,""))</f>
        <v/>
      </c>
      <c r="AH1696" s="70" t="str">
        <f>IF(AB1696="","",ROUND(N(W1696)*N(J1696)*(1-N(K1696)),2))</f>
        <v/>
      </c>
      <c r="AI1696" s="70" t="str">
        <f>IF(OR(J1696="",N(T1696)&lt;=0,V1696="Oui"),"",ROUND(N(T1696)*J1696*(1-N(K1696)),2))</f>
        <v/>
      </c>
    </row>
    <row r="1697">
      <c r="A1697" s="63" t="n"/>
      <c r="B1697" s="64" t="n"/>
      <c r="C1697" s="65" t="n"/>
      <c r="D1697" s="66" t="str">
        <f>IF(C1697="","",IFERROR(INDEX(sup_name,MATCH($C1697,sup_code,0))&amp;"","Fournisseur inconnu"))</f>
        <v/>
      </c>
      <c r="E1697" s="63" t="n"/>
      <c r="F1697" s="66" t="str">
        <f>IF(E1697="","",IFERROR(INDEX(art_des,MATCH($E1697,art_ref,0))&amp;"","Article inconnu"))</f>
        <v/>
      </c>
      <c r="G1697" s="67" t="str">
        <f>IF(E1697="","",IFERROR(INDEX(art_unit,MATCH($E1697,art_ref,0))&amp;"",""))</f>
        <v/>
      </c>
      <c r="H1697" s="68" t="n"/>
      <c r="I1697" s="69" t="n"/>
      <c r="J1697" s="70" t="str">
        <f>IF(E1697="","",IF(ISNUMBER(I1697),I1697,IFERROR(IF(ISNUMBER(INDEX(art_price,MATCH($E1697,art_ref,0))),INDEX(art_price,MATCH($E1697,art_ref,0)),""),"")))</f>
        <v/>
      </c>
      <c r="K1697" s="71" t="n"/>
      <c r="L1697" s="72" t="n"/>
      <c r="M1697" s="72" t="str">
        <f>IF(E1697="","",IF(L1697&lt;&gt;"",L1697,IFERROR(IF(ISNUMBER(INDEX(art_tva,MATCH($E1697,art_ref,0))),INDEX(art_tva,MATCH($E1697,art_ref,0)),""),"")))</f>
        <v/>
      </c>
      <c r="N1697" s="70" t="str">
        <f>IF(OR(E1697="",J1697=""),"",ROUND(N(H1697)*J1697*(1-N(K1697)),2))</f>
        <v/>
      </c>
      <c r="O1697" s="70" t="str">
        <f>IF(OR(N1697="",NOT(ISNUMBER(M1697))),"",ROUND(N1697*M1697,2))</f>
        <v/>
      </c>
      <c r="P1697" s="70" t="str">
        <f>IF(N1697="","",N1697+N(O1697))</f>
        <v/>
      </c>
      <c r="Q1697" s="64" t="n"/>
      <c r="R1697" s="73" t="str">
        <f>IF(N(Q1697)&gt;0,Q1697,IF(OR(N(B1697)=0,ISNA(MATCH($C1697,sup_code,0))),"",IF(ISNUMBER(INDEX(sup_delay,MATCH($C1697,sup_code,0))),B1697+INDEX(sup_delay,MATCH($C1697,sup_code,0)),"")))</f>
        <v/>
      </c>
      <c r="S1697" s="64" t="n"/>
      <c r="T1697" s="68" t="n"/>
      <c r="U1697" s="64" t="n"/>
      <c r="V1697" s="65" t="n"/>
      <c r="W1697" s="74" t="str">
        <f>IF(AND(A1697="",E1697=""),"",IF(V1697="Oui",0,MAX(0,ROUND(N(H1697)-N(T1697),6))))</f>
        <v/>
      </c>
      <c r="X1697" s="67" t="str">
        <f>IF(AND(A1697="",E1697=""),"",IF(V1697="Oui","Annulé",IF(AND(N(H1697)&gt;0,N(T1697)&gt;=N(H1697)),"Reçu",IF(N(S1697)=0,"Brouillon",IF(AND(ISNUMBER(R1697),R1697&lt;p_today),"En retard",IF(N(T1697)&gt;0,"Partiel","Envoyé"))))))</f>
        <v/>
      </c>
      <c r="Y1697" s="75" t="str">
        <f>IF(X1697="En retard",p_today-R1697,IF(AND(X1697="Reçu",ISNUMBER(R1697)),MAX(0,N(U1697)-R1697),""))</f>
        <v/>
      </c>
      <c r="Z1697" s="67" t="str">
        <f>IF(AND(A1697="",E1697=""),"",IF(A1697="","N° de bon manquant",IF(N(B1697)=0,"Date de commande manquante",IF(C1697="","Fournisseur manquant",IF(ISNA(MATCH($C1697,sup_code,0)),"Fournisseur inconnu",IF(E1697="","Article manquant",IF(ISNA(MATCH($E1697,art_ref,0)),"Article inconnu",IF(N(H1697)&lt;=0,"Quantité invalide",IF(J1697="","Prix manquant",IF(OR(N(K1697)&lt;0,N(K1697)&gt;=1),"Remise invalide",IF(M1697="","TVA manquante",IF(ISNA(MATCH(M1697,p_tva,0)),"Taux de TVA inconnu",IF(COUNTIFS(po_num,A1697,po_sup,"&lt;&gt;"&amp;C1697)&gt;0,"Fournisseur différent sur ce bon",IF(COUNTIFS(po_num,A1697,po_date,"&lt;&gt;"&amp;B1697)&gt;0,"Date différente sur ce bon",IF(COUNTIF(po_num,A1697)&gt;25,"Plus de 25 lignes sur ce bon",IF(R1697="","Date de livraison manquante",IF(R1697&lt;B1697,"Livraison avant la commande",IF(AND(N(T1697)&gt;0,N(S1697)=0),"Date d'envoi manquante",IF(N(T1697)&gt;N(H1697),"Reçu plus que commandé",IF(AND(N(T1697)&gt;0,N(U1697)=0),"Date de réception manquante",IF(AND(N(U1697)&gt;0,U1697&lt;B1697),"Réception avant la commande","OK")))))))))))))))))))))</f>
        <v/>
      </c>
      <c r="AA1697" s="66" t="str">
        <f>IF(AND(X1697="Reçu",ISNUMBER(R1697)),IF(N(U1697)&lt;=R1697,1,0),"")</f>
        <v/>
      </c>
      <c r="AB1697" s="76" t="str">
        <f>IF(OR(X1697="Envoyé",X1697="Partiel",X1697="En retard"),IF(ISNUMBER(R1697),R1697,100000)+ROW()/100000,"")</f>
        <v/>
      </c>
      <c r="AC1697" s="66" t="str">
        <f>IF(A1697="","",IF(COUNTIF($A$6:A1697,A1697)=1,1,""))</f>
        <v/>
      </c>
      <c r="AD1697" s="66" t="str">
        <f>IF(AC1697=1,COUNT($AC$6:AC1697),"")</f>
        <v/>
      </c>
      <c r="AE1697" s="66" t="str">
        <f>IFERROR(INDEX(po_num,MATCH(1692,po_seq,0))&amp;"","")</f>
        <v/>
      </c>
      <c r="AF1697" s="66" t="str">
        <f>IF(OR(A1697="",p_po=""),"",IF(A1697&amp;""=p_po,COUNTIF($A$6:A1697,A1697),""))</f>
        <v/>
      </c>
      <c r="AG1697" s="66" t="str">
        <f>IF(OR(AB1697="",A1697=""),"",IF(COUNTIFS($A$6:A1697,A1697,$AB$6:AB1697,"&gt;0")=1,1,""))</f>
        <v/>
      </c>
      <c r="AH1697" s="70" t="str">
        <f>IF(AB1697="","",ROUND(N(W1697)*N(J1697)*(1-N(K1697)),2))</f>
        <v/>
      </c>
      <c r="AI1697" s="70" t="str">
        <f>IF(OR(J1697="",N(T1697)&lt;=0,V1697="Oui"),"",ROUND(N(T1697)*J1697*(1-N(K1697)),2))</f>
        <v/>
      </c>
    </row>
    <row r="1698">
      <c r="A1698" s="63" t="n"/>
      <c r="B1698" s="64" t="n"/>
      <c r="C1698" s="65" t="n"/>
      <c r="D1698" s="66" t="str">
        <f>IF(C1698="","",IFERROR(INDEX(sup_name,MATCH($C1698,sup_code,0))&amp;"","Fournisseur inconnu"))</f>
        <v/>
      </c>
      <c r="E1698" s="63" t="n"/>
      <c r="F1698" s="66" t="str">
        <f>IF(E1698="","",IFERROR(INDEX(art_des,MATCH($E1698,art_ref,0))&amp;"","Article inconnu"))</f>
        <v/>
      </c>
      <c r="G1698" s="67" t="str">
        <f>IF(E1698="","",IFERROR(INDEX(art_unit,MATCH($E1698,art_ref,0))&amp;"",""))</f>
        <v/>
      </c>
      <c r="H1698" s="68" t="n"/>
      <c r="I1698" s="69" t="n"/>
      <c r="J1698" s="70" t="str">
        <f>IF(E1698="","",IF(ISNUMBER(I1698),I1698,IFERROR(IF(ISNUMBER(INDEX(art_price,MATCH($E1698,art_ref,0))),INDEX(art_price,MATCH($E1698,art_ref,0)),""),"")))</f>
        <v/>
      </c>
      <c r="K1698" s="71" t="n"/>
      <c r="L1698" s="72" t="n"/>
      <c r="M1698" s="72" t="str">
        <f>IF(E1698="","",IF(L1698&lt;&gt;"",L1698,IFERROR(IF(ISNUMBER(INDEX(art_tva,MATCH($E1698,art_ref,0))),INDEX(art_tva,MATCH($E1698,art_ref,0)),""),"")))</f>
        <v/>
      </c>
      <c r="N1698" s="70" t="str">
        <f>IF(OR(E1698="",J1698=""),"",ROUND(N(H1698)*J1698*(1-N(K1698)),2))</f>
        <v/>
      </c>
      <c r="O1698" s="70" t="str">
        <f>IF(OR(N1698="",NOT(ISNUMBER(M1698))),"",ROUND(N1698*M1698,2))</f>
        <v/>
      </c>
      <c r="P1698" s="70" t="str">
        <f>IF(N1698="","",N1698+N(O1698))</f>
        <v/>
      </c>
      <c r="Q1698" s="64" t="n"/>
      <c r="R1698" s="73" t="str">
        <f>IF(N(Q1698)&gt;0,Q1698,IF(OR(N(B1698)=0,ISNA(MATCH($C1698,sup_code,0))),"",IF(ISNUMBER(INDEX(sup_delay,MATCH($C1698,sup_code,0))),B1698+INDEX(sup_delay,MATCH($C1698,sup_code,0)),"")))</f>
        <v/>
      </c>
      <c r="S1698" s="64" t="n"/>
      <c r="T1698" s="68" t="n"/>
      <c r="U1698" s="64" t="n"/>
      <c r="V1698" s="65" t="n"/>
      <c r="W1698" s="74" t="str">
        <f>IF(AND(A1698="",E1698=""),"",IF(V1698="Oui",0,MAX(0,ROUND(N(H1698)-N(T1698),6))))</f>
        <v/>
      </c>
      <c r="X1698" s="67" t="str">
        <f>IF(AND(A1698="",E1698=""),"",IF(V1698="Oui","Annulé",IF(AND(N(H1698)&gt;0,N(T1698)&gt;=N(H1698)),"Reçu",IF(N(S1698)=0,"Brouillon",IF(AND(ISNUMBER(R1698),R1698&lt;p_today),"En retard",IF(N(T1698)&gt;0,"Partiel","Envoyé"))))))</f>
        <v/>
      </c>
      <c r="Y1698" s="75" t="str">
        <f>IF(X1698="En retard",p_today-R1698,IF(AND(X1698="Reçu",ISNUMBER(R1698)),MAX(0,N(U1698)-R1698),""))</f>
        <v/>
      </c>
      <c r="Z1698" s="67" t="str">
        <f>IF(AND(A1698="",E1698=""),"",IF(A1698="","N° de bon manquant",IF(N(B1698)=0,"Date de commande manquante",IF(C1698="","Fournisseur manquant",IF(ISNA(MATCH($C1698,sup_code,0)),"Fournisseur inconnu",IF(E1698="","Article manquant",IF(ISNA(MATCH($E1698,art_ref,0)),"Article inconnu",IF(N(H1698)&lt;=0,"Quantité invalide",IF(J1698="","Prix manquant",IF(OR(N(K1698)&lt;0,N(K1698)&gt;=1),"Remise invalide",IF(M1698="","TVA manquante",IF(ISNA(MATCH(M1698,p_tva,0)),"Taux de TVA inconnu",IF(COUNTIFS(po_num,A1698,po_sup,"&lt;&gt;"&amp;C1698)&gt;0,"Fournisseur différent sur ce bon",IF(COUNTIFS(po_num,A1698,po_date,"&lt;&gt;"&amp;B1698)&gt;0,"Date différente sur ce bon",IF(COUNTIF(po_num,A1698)&gt;25,"Plus de 25 lignes sur ce bon",IF(R1698="","Date de livraison manquante",IF(R1698&lt;B1698,"Livraison avant la commande",IF(AND(N(T1698)&gt;0,N(S1698)=0),"Date d'envoi manquante",IF(N(T1698)&gt;N(H1698),"Reçu plus que commandé",IF(AND(N(T1698)&gt;0,N(U1698)=0),"Date de réception manquante",IF(AND(N(U1698)&gt;0,U1698&lt;B1698),"Réception avant la commande","OK")))))))))))))))))))))</f>
        <v/>
      </c>
      <c r="AA1698" s="66" t="str">
        <f>IF(AND(X1698="Reçu",ISNUMBER(R1698)),IF(N(U1698)&lt;=R1698,1,0),"")</f>
        <v/>
      </c>
      <c r="AB1698" s="76" t="str">
        <f>IF(OR(X1698="Envoyé",X1698="Partiel",X1698="En retard"),IF(ISNUMBER(R1698),R1698,100000)+ROW()/100000,"")</f>
        <v/>
      </c>
      <c r="AC1698" s="66" t="str">
        <f>IF(A1698="","",IF(COUNTIF($A$6:A1698,A1698)=1,1,""))</f>
        <v/>
      </c>
      <c r="AD1698" s="66" t="str">
        <f>IF(AC1698=1,COUNT($AC$6:AC1698),"")</f>
        <v/>
      </c>
      <c r="AE1698" s="66" t="str">
        <f>IFERROR(INDEX(po_num,MATCH(1693,po_seq,0))&amp;"","")</f>
        <v/>
      </c>
      <c r="AF1698" s="66" t="str">
        <f>IF(OR(A1698="",p_po=""),"",IF(A1698&amp;""=p_po,COUNTIF($A$6:A1698,A1698),""))</f>
        <v/>
      </c>
      <c r="AG1698" s="66" t="str">
        <f>IF(OR(AB1698="",A1698=""),"",IF(COUNTIFS($A$6:A1698,A1698,$AB$6:AB1698,"&gt;0")=1,1,""))</f>
        <v/>
      </c>
      <c r="AH1698" s="70" t="str">
        <f>IF(AB1698="","",ROUND(N(W1698)*N(J1698)*(1-N(K1698)),2))</f>
        <v/>
      </c>
      <c r="AI1698" s="70" t="str">
        <f>IF(OR(J1698="",N(T1698)&lt;=0,V1698="Oui"),"",ROUND(N(T1698)*J1698*(1-N(K1698)),2))</f>
        <v/>
      </c>
    </row>
    <row r="1699">
      <c r="A1699" s="63" t="n"/>
      <c r="B1699" s="64" t="n"/>
      <c r="C1699" s="65" t="n"/>
      <c r="D1699" s="66" t="str">
        <f>IF(C1699="","",IFERROR(INDEX(sup_name,MATCH($C1699,sup_code,0))&amp;"","Fournisseur inconnu"))</f>
        <v/>
      </c>
      <c r="E1699" s="63" t="n"/>
      <c r="F1699" s="66" t="str">
        <f>IF(E1699="","",IFERROR(INDEX(art_des,MATCH($E1699,art_ref,0))&amp;"","Article inconnu"))</f>
        <v/>
      </c>
      <c r="G1699" s="67" t="str">
        <f>IF(E1699="","",IFERROR(INDEX(art_unit,MATCH($E1699,art_ref,0))&amp;"",""))</f>
        <v/>
      </c>
      <c r="H1699" s="68" t="n"/>
      <c r="I1699" s="69" t="n"/>
      <c r="J1699" s="70" t="str">
        <f>IF(E1699="","",IF(ISNUMBER(I1699),I1699,IFERROR(IF(ISNUMBER(INDEX(art_price,MATCH($E1699,art_ref,0))),INDEX(art_price,MATCH($E1699,art_ref,0)),""),"")))</f>
        <v/>
      </c>
      <c r="K1699" s="71" t="n"/>
      <c r="L1699" s="72" t="n"/>
      <c r="M1699" s="72" t="str">
        <f>IF(E1699="","",IF(L1699&lt;&gt;"",L1699,IFERROR(IF(ISNUMBER(INDEX(art_tva,MATCH($E1699,art_ref,0))),INDEX(art_tva,MATCH($E1699,art_ref,0)),""),"")))</f>
        <v/>
      </c>
      <c r="N1699" s="70" t="str">
        <f>IF(OR(E1699="",J1699=""),"",ROUND(N(H1699)*J1699*(1-N(K1699)),2))</f>
        <v/>
      </c>
      <c r="O1699" s="70" t="str">
        <f>IF(OR(N1699="",NOT(ISNUMBER(M1699))),"",ROUND(N1699*M1699,2))</f>
        <v/>
      </c>
      <c r="P1699" s="70" t="str">
        <f>IF(N1699="","",N1699+N(O1699))</f>
        <v/>
      </c>
      <c r="Q1699" s="64" t="n"/>
      <c r="R1699" s="73" t="str">
        <f>IF(N(Q1699)&gt;0,Q1699,IF(OR(N(B1699)=0,ISNA(MATCH($C1699,sup_code,0))),"",IF(ISNUMBER(INDEX(sup_delay,MATCH($C1699,sup_code,0))),B1699+INDEX(sup_delay,MATCH($C1699,sup_code,0)),"")))</f>
        <v/>
      </c>
      <c r="S1699" s="64" t="n"/>
      <c r="T1699" s="68" t="n"/>
      <c r="U1699" s="64" t="n"/>
      <c r="V1699" s="65" t="n"/>
      <c r="W1699" s="74" t="str">
        <f>IF(AND(A1699="",E1699=""),"",IF(V1699="Oui",0,MAX(0,ROUND(N(H1699)-N(T1699),6))))</f>
        <v/>
      </c>
      <c r="X1699" s="67" t="str">
        <f>IF(AND(A1699="",E1699=""),"",IF(V1699="Oui","Annulé",IF(AND(N(H1699)&gt;0,N(T1699)&gt;=N(H1699)),"Reçu",IF(N(S1699)=0,"Brouillon",IF(AND(ISNUMBER(R1699),R1699&lt;p_today),"En retard",IF(N(T1699)&gt;0,"Partiel","Envoyé"))))))</f>
        <v/>
      </c>
      <c r="Y1699" s="75" t="str">
        <f>IF(X1699="En retard",p_today-R1699,IF(AND(X1699="Reçu",ISNUMBER(R1699)),MAX(0,N(U1699)-R1699),""))</f>
        <v/>
      </c>
      <c r="Z1699" s="67" t="str">
        <f>IF(AND(A1699="",E1699=""),"",IF(A1699="","N° de bon manquant",IF(N(B1699)=0,"Date de commande manquante",IF(C1699="","Fournisseur manquant",IF(ISNA(MATCH($C1699,sup_code,0)),"Fournisseur inconnu",IF(E1699="","Article manquant",IF(ISNA(MATCH($E1699,art_ref,0)),"Article inconnu",IF(N(H1699)&lt;=0,"Quantité invalide",IF(J1699="","Prix manquant",IF(OR(N(K1699)&lt;0,N(K1699)&gt;=1),"Remise invalide",IF(M1699="","TVA manquante",IF(ISNA(MATCH(M1699,p_tva,0)),"Taux de TVA inconnu",IF(COUNTIFS(po_num,A1699,po_sup,"&lt;&gt;"&amp;C1699)&gt;0,"Fournisseur différent sur ce bon",IF(COUNTIFS(po_num,A1699,po_date,"&lt;&gt;"&amp;B1699)&gt;0,"Date différente sur ce bon",IF(COUNTIF(po_num,A1699)&gt;25,"Plus de 25 lignes sur ce bon",IF(R1699="","Date de livraison manquante",IF(R1699&lt;B1699,"Livraison avant la commande",IF(AND(N(T1699)&gt;0,N(S1699)=0),"Date d'envoi manquante",IF(N(T1699)&gt;N(H1699),"Reçu plus que commandé",IF(AND(N(T1699)&gt;0,N(U1699)=0),"Date de réception manquante",IF(AND(N(U1699)&gt;0,U1699&lt;B1699),"Réception avant la commande","OK")))))))))))))))))))))</f>
        <v/>
      </c>
      <c r="AA1699" s="66" t="str">
        <f>IF(AND(X1699="Reçu",ISNUMBER(R1699)),IF(N(U1699)&lt;=R1699,1,0),"")</f>
        <v/>
      </c>
      <c r="AB1699" s="76" t="str">
        <f>IF(OR(X1699="Envoyé",X1699="Partiel",X1699="En retard"),IF(ISNUMBER(R1699),R1699,100000)+ROW()/100000,"")</f>
        <v/>
      </c>
      <c r="AC1699" s="66" t="str">
        <f>IF(A1699="","",IF(COUNTIF($A$6:A1699,A1699)=1,1,""))</f>
        <v/>
      </c>
      <c r="AD1699" s="66" t="str">
        <f>IF(AC1699=1,COUNT($AC$6:AC1699),"")</f>
        <v/>
      </c>
      <c r="AE1699" s="66" t="str">
        <f>IFERROR(INDEX(po_num,MATCH(1694,po_seq,0))&amp;"","")</f>
        <v/>
      </c>
      <c r="AF1699" s="66" t="str">
        <f>IF(OR(A1699="",p_po=""),"",IF(A1699&amp;""=p_po,COUNTIF($A$6:A1699,A1699),""))</f>
        <v/>
      </c>
      <c r="AG1699" s="66" t="str">
        <f>IF(OR(AB1699="",A1699=""),"",IF(COUNTIFS($A$6:A1699,A1699,$AB$6:AB1699,"&gt;0")=1,1,""))</f>
        <v/>
      </c>
      <c r="AH1699" s="70" t="str">
        <f>IF(AB1699="","",ROUND(N(W1699)*N(J1699)*(1-N(K1699)),2))</f>
        <v/>
      </c>
      <c r="AI1699" s="70" t="str">
        <f>IF(OR(J1699="",N(T1699)&lt;=0,V1699="Oui"),"",ROUND(N(T1699)*J1699*(1-N(K1699)),2))</f>
        <v/>
      </c>
    </row>
    <row r="1700">
      <c r="A1700" s="63" t="n"/>
      <c r="B1700" s="64" t="n"/>
      <c r="C1700" s="65" t="n"/>
      <c r="D1700" s="66" t="str">
        <f>IF(C1700="","",IFERROR(INDEX(sup_name,MATCH($C1700,sup_code,0))&amp;"","Fournisseur inconnu"))</f>
        <v/>
      </c>
      <c r="E1700" s="63" t="n"/>
      <c r="F1700" s="66" t="str">
        <f>IF(E1700="","",IFERROR(INDEX(art_des,MATCH($E1700,art_ref,0))&amp;"","Article inconnu"))</f>
        <v/>
      </c>
      <c r="G1700" s="67" t="str">
        <f>IF(E1700="","",IFERROR(INDEX(art_unit,MATCH($E1700,art_ref,0))&amp;"",""))</f>
        <v/>
      </c>
      <c r="H1700" s="68" t="n"/>
      <c r="I1700" s="69" t="n"/>
      <c r="J1700" s="70" t="str">
        <f>IF(E1700="","",IF(ISNUMBER(I1700),I1700,IFERROR(IF(ISNUMBER(INDEX(art_price,MATCH($E1700,art_ref,0))),INDEX(art_price,MATCH($E1700,art_ref,0)),""),"")))</f>
        <v/>
      </c>
      <c r="K1700" s="71" t="n"/>
      <c r="L1700" s="72" t="n"/>
      <c r="M1700" s="72" t="str">
        <f>IF(E1700="","",IF(L1700&lt;&gt;"",L1700,IFERROR(IF(ISNUMBER(INDEX(art_tva,MATCH($E1700,art_ref,0))),INDEX(art_tva,MATCH($E1700,art_ref,0)),""),"")))</f>
        <v/>
      </c>
      <c r="N1700" s="70" t="str">
        <f>IF(OR(E1700="",J1700=""),"",ROUND(N(H1700)*J1700*(1-N(K1700)),2))</f>
        <v/>
      </c>
      <c r="O1700" s="70" t="str">
        <f>IF(OR(N1700="",NOT(ISNUMBER(M1700))),"",ROUND(N1700*M1700,2))</f>
        <v/>
      </c>
      <c r="P1700" s="70" t="str">
        <f>IF(N1700="","",N1700+N(O1700))</f>
        <v/>
      </c>
      <c r="Q1700" s="64" t="n"/>
      <c r="R1700" s="73" t="str">
        <f>IF(N(Q1700)&gt;0,Q1700,IF(OR(N(B1700)=0,ISNA(MATCH($C1700,sup_code,0))),"",IF(ISNUMBER(INDEX(sup_delay,MATCH($C1700,sup_code,0))),B1700+INDEX(sup_delay,MATCH($C1700,sup_code,0)),"")))</f>
        <v/>
      </c>
      <c r="S1700" s="64" t="n"/>
      <c r="T1700" s="68" t="n"/>
      <c r="U1700" s="64" t="n"/>
      <c r="V1700" s="65" t="n"/>
      <c r="W1700" s="74" t="str">
        <f>IF(AND(A1700="",E1700=""),"",IF(V1700="Oui",0,MAX(0,ROUND(N(H1700)-N(T1700),6))))</f>
        <v/>
      </c>
      <c r="X1700" s="67" t="str">
        <f>IF(AND(A1700="",E1700=""),"",IF(V1700="Oui","Annulé",IF(AND(N(H1700)&gt;0,N(T1700)&gt;=N(H1700)),"Reçu",IF(N(S1700)=0,"Brouillon",IF(AND(ISNUMBER(R1700),R1700&lt;p_today),"En retard",IF(N(T1700)&gt;0,"Partiel","Envoyé"))))))</f>
        <v/>
      </c>
      <c r="Y1700" s="75" t="str">
        <f>IF(X1700="En retard",p_today-R1700,IF(AND(X1700="Reçu",ISNUMBER(R1700)),MAX(0,N(U1700)-R1700),""))</f>
        <v/>
      </c>
      <c r="Z1700" s="67" t="str">
        <f>IF(AND(A1700="",E1700=""),"",IF(A1700="","N° de bon manquant",IF(N(B1700)=0,"Date de commande manquante",IF(C1700="","Fournisseur manquant",IF(ISNA(MATCH($C1700,sup_code,0)),"Fournisseur inconnu",IF(E1700="","Article manquant",IF(ISNA(MATCH($E1700,art_ref,0)),"Article inconnu",IF(N(H1700)&lt;=0,"Quantité invalide",IF(J1700="","Prix manquant",IF(OR(N(K1700)&lt;0,N(K1700)&gt;=1),"Remise invalide",IF(M1700="","TVA manquante",IF(ISNA(MATCH(M1700,p_tva,0)),"Taux de TVA inconnu",IF(COUNTIFS(po_num,A1700,po_sup,"&lt;&gt;"&amp;C1700)&gt;0,"Fournisseur différent sur ce bon",IF(COUNTIFS(po_num,A1700,po_date,"&lt;&gt;"&amp;B1700)&gt;0,"Date différente sur ce bon",IF(COUNTIF(po_num,A1700)&gt;25,"Plus de 25 lignes sur ce bon",IF(R1700="","Date de livraison manquante",IF(R1700&lt;B1700,"Livraison avant la commande",IF(AND(N(T1700)&gt;0,N(S1700)=0),"Date d'envoi manquante",IF(N(T1700)&gt;N(H1700),"Reçu plus que commandé",IF(AND(N(T1700)&gt;0,N(U1700)=0),"Date de réception manquante",IF(AND(N(U1700)&gt;0,U1700&lt;B1700),"Réception avant la commande","OK")))))))))))))))))))))</f>
        <v/>
      </c>
      <c r="AA1700" s="66" t="str">
        <f>IF(AND(X1700="Reçu",ISNUMBER(R1700)),IF(N(U1700)&lt;=R1700,1,0),"")</f>
        <v/>
      </c>
      <c r="AB1700" s="76" t="str">
        <f>IF(OR(X1700="Envoyé",X1700="Partiel",X1700="En retard"),IF(ISNUMBER(R1700),R1700,100000)+ROW()/100000,"")</f>
        <v/>
      </c>
      <c r="AC1700" s="66" t="str">
        <f>IF(A1700="","",IF(COUNTIF($A$6:A1700,A1700)=1,1,""))</f>
        <v/>
      </c>
      <c r="AD1700" s="66" t="str">
        <f>IF(AC1700=1,COUNT($AC$6:AC1700),"")</f>
        <v/>
      </c>
      <c r="AE1700" s="66" t="str">
        <f>IFERROR(INDEX(po_num,MATCH(1695,po_seq,0))&amp;"","")</f>
        <v/>
      </c>
      <c r="AF1700" s="66" t="str">
        <f>IF(OR(A1700="",p_po=""),"",IF(A1700&amp;""=p_po,COUNTIF($A$6:A1700,A1700),""))</f>
        <v/>
      </c>
      <c r="AG1700" s="66" t="str">
        <f>IF(OR(AB1700="",A1700=""),"",IF(COUNTIFS($A$6:A1700,A1700,$AB$6:AB1700,"&gt;0")=1,1,""))</f>
        <v/>
      </c>
      <c r="AH1700" s="70" t="str">
        <f>IF(AB1700="","",ROUND(N(W1700)*N(J1700)*(1-N(K1700)),2))</f>
        <v/>
      </c>
      <c r="AI1700" s="70" t="str">
        <f>IF(OR(J1700="",N(T1700)&lt;=0,V1700="Oui"),"",ROUND(N(T1700)*J1700*(1-N(K1700)),2))</f>
        <v/>
      </c>
    </row>
    <row r="1701">
      <c r="A1701" s="63" t="n"/>
      <c r="B1701" s="64" t="n"/>
      <c r="C1701" s="65" t="n"/>
      <c r="D1701" s="66" t="str">
        <f>IF(C1701="","",IFERROR(INDEX(sup_name,MATCH($C1701,sup_code,0))&amp;"","Fournisseur inconnu"))</f>
        <v/>
      </c>
      <c r="E1701" s="63" t="n"/>
      <c r="F1701" s="66" t="str">
        <f>IF(E1701="","",IFERROR(INDEX(art_des,MATCH($E1701,art_ref,0))&amp;"","Article inconnu"))</f>
        <v/>
      </c>
      <c r="G1701" s="67" t="str">
        <f>IF(E1701="","",IFERROR(INDEX(art_unit,MATCH($E1701,art_ref,0))&amp;"",""))</f>
        <v/>
      </c>
      <c r="H1701" s="68" t="n"/>
      <c r="I1701" s="69" t="n"/>
      <c r="J1701" s="70" t="str">
        <f>IF(E1701="","",IF(ISNUMBER(I1701),I1701,IFERROR(IF(ISNUMBER(INDEX(art_price,MATCH($E1701,art_ref,0))),INDEX(art_price,MATCH($E1701,art_ref,0)),""),"")))</f>
        <v/>
      </c>
      <c r="K1701" s="71" t="n"/>
      <c r="L1701" s="72" t="n"/>
      <c r="M1701" s="72" t="str">
        <f>IF(E1701="","",IF(L1701&lt;&gt;"",L1701,IFERROR(IF(ISNUMBER(INDEX(art_tva,MATCH($E1701,art_ref,0))),INDEX(art_tva,MATCH($E1701,art_ref,0)),""),"")))</f>
        <v/>
      </c>
      <c r="N1701" s="70" t="str">
        <f>IF(OR(E1701="",J1701=""),"",ROUND(N(H1701)*J1701*(1-N(K1701)),2))</f>
        <v/>
      </c>
      <c r="O1701" s="70" t="str">
        <f>IF(OR(N1701="",NOT(ISNUMBER(M1701))),"",ROUND(N1701*M1701,2))</f>
        <v/>
      </c>
      <c r="P1701" s="70" t="str">
        <f>IF(N1701="","",N1701+N(O1701))</f>
        <v/>
      </c>
      <c r="Q1701" s="64" t="n"/>
      <c r="R1701" s="73" t="str">
        <f>IF(N(Q1701)&gt;0,Q1701,IF(OR(N(B1701)=0,ISNA(MATCH($C1701,sup_code,0))),"",IF(ISNUMBER(INDEX(sup_delay,MATCH($C1701,sup_code,0))),B1701+INDEX(sup_delay,MATCH($C1701,sup_code,0)),"")))</f>
        <v/>
      </c>
      <c r="S1701" s="64" t="n"/>
      <c r="T1701" s="68" t="n"/>
      <c r="U1701" s="64" t="n"/>
      <c r="V1701" s="65" t="n"/>
      <c r="W1701" s="74" t="str">
        <f>IF(AND(A1701="",E1701=""),"",IF(V1701="Oui",0,MAX(0,ROUND(N(H1701)-N(T1701),6))))</f>
        <v/>
      </c>
      <c r="X1701" s="67" t="str">
        <f>IF(AND(A1701="",E1701=""),"",IF(V1701="Oui","Annulé",IF(AND(N(H1701)&gt;0,N(T1701)&gt;=N(H1701)),"Reçu",IF(N(S1701)=0,"Brouillon",IF(AND(ISNUMBER(R1701),R1701&lt;p_today),"En retard",IF(N(T1701)&gt;0,"Partiel","Envoyé"))))))</f>
        <v/>
      </c>
      <c r="Y1701" s="75" t="str">
        <f>IF(X1701="En retard",p_today-R1701,IF(AND(X1701="Reçu",ISNUMBER(R1701)),MAX(0,N(U1701)-R1701),""))</f>
        <v/>
      </c>
      <c r="Z1701" s="67" t="str">
        <f>IF(AND(A1701="",E1701=""),"",IF(A1701="","N° de bon manquant",IF(N(B1701)=0,"Date de commande manquante",IF(C1701="","Fournisseur manquant",IF(ISNA(MATCH($C1701,sup_code,0)),"Fournisseur inconnu",IF(E1701="","Article manquant",IF(ISNA(MATCH($E1701,art_ref,0)),"Article inconnu",IF(N(H1701)&lt;=0,"Quantité invalide",IF(J1701="","Prix manquant",IF(OR(N(K1701)&lt;0,N(K1701)&gt;=1),"Remise invalide",IF(M1701="","TVA manquante",IF(ISNA(MATCH(M1701,p_tva,0)),"Taux de TVA inconnu",IF(COUNTIFS(po_num,A1701,po_sup,"&lt;&gt;"&amp;C1701)&gt;0,"Fournisseur différent sur ce bon",IF(COUNTIFS(po_num,A1701,po_date,"&lt;&gt;"&amp;B1701)&gt;0,"Date différente sur ce bon",IF(COUNTIF(po_num,A1701)&gt;25,"Plus de 25 lignes sur ce bon",IF(R1701="","Date de livraison manquante",IF(R1701&lt;B1701,"Livraison avant la commande",IF(AND(N(T1701)&gt;0,N(S1701)=0),"Date d'envoi manquante",IF(N(T1701)&gt;N(H1701),"Reçu plus que commandé",IF(AND(N(T1701)&gt;0,N(U1701)=0),"Date de réception manquante",IF(AND(N(U1701)&gt;0,U1701&lt;B1701),"Réception avant la commande","OK")))))))))))))))))))))</f>
        <v/>
      </c>
      <c r="AA1701" s="66" t="str">
        <f>IF(AND(X1701="Reçu",ISNUMBER(R1701)),IF(N(U1701)&lt;=R1701,1,0),"")</f>
        <v/>
      </c>
      <c r="AB1701" s="76" t="str">
        <f>IF(OR(X1701="Envoyé",X1701="Partiel",X1701="En retard"),IF(ISNUMBER(R1701),R1701,100000)+ROW()/100000,"")</f>
        <v/>
      </c>
      <c r="AC1701" s="66" t="str">
        <f>IF(A1701="","",IF(COUNTIF($A$6:A1701,A1701)=1,1,""))</f>
        <v/>
      </c>
      <c r="AD1701" s="66" t="str">
        <f>IF(AC1701=1,COUNT($AC$6:AC1701),"")</f>
        <v/>
      </c>
      <c r="AE1701" s="66" t="str">
        <f>IFERROR(INDEX(po_num,MATCH(1696,po_seq,0))&amp;"","")</f>
        <v/>
      </c>
      <c r="AF1701" s="66" t="str">
        <f>IF(OR(A1701="",p_po=""),"",IF(A1701&amp;""=p_po,COUNTIF($A$6:A1701,A1701),""))</f>
        <v/>
      </c>
      <c r="AG1701" s="66" t="str">
        <f>IF(OR(AB1701="",A1701=""),"",IF(COUNTIFS($A$6:A1701,A1701,$AB$6:AB1701,"&gt;0")=1,1,""))</f>
        <v/>
      </c>
      <c r="AH1701" s="70" t="str">
        <f>IF(AB1701="","",ROUND(N(W1701)*N(J1701)*(1-N(K1701)),2))</f>
        <v/>
      </c>
      <c r="AI1701" s="70" t="str">
        <f>IF(OR(J1701="",N(T1701)&lt;=0,V1701="Oui"),"",ROUND(N(T1701)*J1701*(1-N(K1701)),2))</f>
        <v/>
      </c>
    </row>
    <row r="1702">
      <c r="A1702" s="63" t="n"/>
      <c r="B1702" s="64" t="n"/>
      <c r="C1702" s="65" t="n"/>
      <c r="D1702" s="66" t="str">
        <f>IF(C1702="","",IFERROR(INDEX(sup_name,MATCH($C1702,sup_code,0))&amp;"","Fournisseur inconnu"))</f>
        <v/>
      </c>
      <c r="E1702" s="63" t="n"/>
      <c r="F1702" s="66" t="str">
        <f>IF(E1702="","",IFERROR(INDEX(art_des,MATCH($E1702,art_ref,0))&amp;"","Article inconnu"))</f>
        <v/>
      </c>
      <c r="G1702" s="67" t="str">
        <f>IF(E1702="","",IFERROR(INDEX(art_unit,MATCH($E1702,art_ref,0))&amp;"",""))</f>
        <v/>
      </c>
      <c r="H1702" s="68" t="n"/>
      <c r="I1702" s="69" t="n"/>
      <c r="J1702" s="70" t="str">
        <f>IF(E1702="","",IF(ISNUMBER(I1702),I1702,IFERROR(IF(ISNUMBER(INDEX(art_price,MATCH($E1702,art_ref,0))),INDEX(art_price,MATCH($E1702,art_ref,0)),""),"")))</f>
        <v/>
      </c>
      <c r="K1702" s="71" t="n"/>
      <c r="L1702" s="72" t="n"/>
      <c r="M1702" s="72" t="str">
        <f>IF(E1702="","",IF(L1702&lt;&gt;"",L1702,IFERROR(IF(ISNUMBER(INDEX(art_tva,MATCH($E1702,art_ref,0))),INDEX(art_tva,MATCH($E1702,art_ref,0)),""),"")))</f>
        <v/>
      </c>
      <c r="N1702" s="70" t="str">
        <f>IF(OR(E1702="",J1702=""),"",ROUND(N(H1702)*J1702*(1-N(K1702)),2))</f>
        <v/>
      </c>
      <c r="O1702" s="70" t="str">
        <f>IF(OR(N1702="",NOT(ISNUMBER(M1702))),"",ROUND(N1702*M1702,2))</f>
        <v/>
      </c>
      <c r="P1702" s="70" t="str">
        <f>IF(N1702="","",N1702+N(O1702))</f>
        <v/>
      </c>
      <c r="Q1702" s="64" t="n"/>
      <c r="R1702" s="73" t="str">
        <f>IF(N(Q1702)&gt;0,Q1702,IF(OR(N(B1702)=0,ISNA(MATCH($C1702,sup_code,0))),"",IF(ISNUMBER(INDEX(sup_delay,MATCH($C1702,sup_code,0))),B1702+INDEX(sup_delay,MATCH($C1702,sup_code,0)),"")))</f>
        <v/>
      </c>
      <c r="S1702" s="64" t="n"/>
      <c r="T1702" s="68" t="n"/>
      <c r="U1702" s="64" t="n"/>
      <c r="V1702" s="65" t="n"/>
      <c r="W1702" s="74" t="str">
        <f>IF(AND(A1702="",E1702=""),"",IF(V1702="Oui",0,MAX(0,ROUND(N(H1702)-N(T1702),6))))</f>
        <v/>
      </c>
      <c r="X1702" s="67" t="str">
        <f>IF(AND(A1702="",E1702=""),"",IF(V1702="Oui","Annulé",IF(AND(N(H1702)&gt;0,N(T1702)&gt;=N(H1702)),"Reçu",IF(N(S1702)=0,"Brouillon",IF(AND(ISNUMBER(R1702),R1702&lt;p_today),"En retard",IF(N(T1702)&gt;0,"Partiel","Envoyé"))))))</f>
        <v/>
      </c>
      <c r="Y1702" s="75" t="str">
        <f>IF(X1702="En retard",p_today-R1702,IF(AND(X1702="Reçu",ISNUMBER(R1702)),MAX(0,N(U1702)-R1702),""))</f>
        <v/>
      </c>
      <c r="Z1702" s="67" t="str">
        <f>IF(AND(A1702="",E1702=""),"",IF(A1702="","N° de bon manquant",IF(N(B1702)=0,"Date de commande manquante",IF(C1702="","Fournisseur manquant",IF(ISNA(MATCH($C1702,sup_code,0)),"Fournisseur inconnu",IF(E1702="","Article manquant",IF(ISNA(MATCH($E1702,art_ref,0)),"Article inconnu",IF(N(H1702)&lt;=0,"Quantité invalide",IF(J1702="","Prix manquant",IF(OR(N(K1702)&lt;0,N(K1702)&gt;=1),"Remise invalide",IF(M1702="","TVA manquante",IF(ISNA(MATCH(M1702,p_tva,0)),"Taux de TVA inconnu",IF(COUNTIFS(po_num,A1702,po_sup,"&lt;&gt;"&amp;C1702)&gt;0,"Fournisseur différent sur ce bon",IF(COUNTIFS(po_num,A1702,po_date,"&lt;&gt;"&amp;B1702)&gt;0,"Date différente sur ce bon",IF(COUNTIF(po_num,A1702)&gt;25,"Plus de 25 lignes sur ce bon",IF(R1702="","Date de livraison manquante",IF(R1702&lt;B1702,"Livraison avant la commande",IF(AND(N(T1702)&gt;0,N(S1702)=0),"Date d'envoi manquante",IF(N(T1702)&gt;N(H1702),"Reçu plus que commandé",IF(AND(N(T1702)&gt;0,N(U1702)=0),"Date de réception manquante",IF(AND(N(U1702)&gt;0,U1702&lt;B1702),"Réception avant la commande","OK")))))))))))))))))))))</f>
        <v/>
      </c>
      <c r="AA1702" s="66" t="str">
        <f>IF(AND(X1702="Reçu",ISNUMBER(R1702)),IF(N(U1702)&lt;=R1702,1,0),"")</f>
        <v/>
      </c>
      <c r="AB1702" s="76" t="str">
        <f>IF(OR(X1702="Envoyé",X1702="Partiel",X1702="En retard"),IF(ISNUMBER(R1702),R1702,100000)+ROW()/100000,"")</f>
        <v/>
      </c>
      <c r="AC1702" s="66" t="str">
        <f>IF(A1702="","",IF(COUNTIF($A$6:A1702,A1702)=1,1,""))</f>
        <v/>
      </c>
      <c r="AD1702" s="66" t="str">
        <f>IF(AC1702=1,COUNT($AC$6:AC1702),"")</f>
        <v/>
      </c>
      <c r="AE1702" s="66" t="str">
        <f>IFERROR(INDEX(po_num,MATCH(1697,po_seq,0))&amp;"","")</f>
        <v/>
      </c>
      <c r="AF1702" s="66" t="str">
        <f>IF(OR(A1702="",p_po=""),"",IF(A1702&amp;""=p_po,COUNTIF($A$6:A1702,A1702),""))</f>
        <v/>
      </c>
      <c r="AG1702" s="66" t="str">
        <f>IF(OR(AB1702="",A1702=""),"",IF(COUNTIFS($A$6:A1702,A1702,$AB$6:AB1702,"&gt;0")=1,1,""))</f>
        <v/>
      </c>
      <c r="AH1702" s="70" t="str">
        <f>IF(AB1702="","",ROUND(N(W1702)*N(J1702)*(1-N(K1702)),2))</f>
        <v/>
      </c>
      <c r="AI1702" s="70" t="str">
        <f>IF(OR(J1702="",N(T1702)&lt;=0,V1702="Oui"),"",ROUND(N(T1702)*J1702*(1-N(K1702)),2))</f>
        <v/>
      </c>
    </row>
    <row r="1703">
      <c r="A1703" s="63" t="n"/>
      <c r="B1703" s="64" t="n"/>
      <c r="C1703" s="65" t="n"/>
      <c r="D1703" s="66" t="str">
        <f>IF(C1703="","",IFERROR(INDEX(sup_name,MATCH($C1703,sup_code,0))&amp;"","Fournisseur inconnu"))</f>
        <v/>
      </c>
      <c r="E1703" s="63" t="n"/>
      <c r="F1703" s="66" t="str">
        <f>IF(E1703="","",IFERROR(INDEX(art_des,MATCH($E1703,art_ref,0))&amp;"","Article inconnu"))</f>
        <v/>
      </c>
      <c r="G1703" s="67" t="str">
        <f>IF(E1703="","",IFERROR(INDEX(art_unit,MATCH($E1703,art_ref,0))&amp;"",""))</f>
        <v/>
      </c>
      <c r="H1703" s="68" t="n"/>
      <c r="I1703" s="69" t="n"/>
      <c r="J1703" s="70" t="str">
        <f>IF(E1703="","",IF(ISNUMBER(I1703),I1703,IFERROR(IF(ISNUMBER(INDEX(art_price,MATCH($E1703,art_ref,0))),INDEX(art_price,MATCH($E1703,art_ref,0)),""),"")))</f>
        <v/>
      </c>
      <c r="K1703" s="71" t="n"/>
      <c r="L1703" s="72" t="n"/>
      <c r="M1703" s="72" t="str">
        <f>IF(E1703="","",IF(L1703&lt;&gt;"",L1703,IFERROR(IF(ISNUMBER(INDEX(art_tva,MATCH($E1703,art_ref,0))),INDEX(art_tva,MATCH($E1703,art_ref,0)),""),"")))</f>
        <v/>
      </c>
      <c r="N1703" s="70" t="str">
        <f>IF(OR(E1703="",J1703=""),"",ROUND(N(H1703)*J1703*(1-N(K1703)),2))</f>
        <v/>
      </c>
      <c r="O1703" s="70" t="str">
        <f>IF(OR(N1703="",NOT(ISNUMBER(M1703))),"",ROUND(N1703*M1703,2))</f>
        <v/>
      </c>
      <c r="P1703" s="70" t="str">
        <f>IF(N1703="","",N1703+N(O1703))</f>
        <v/>
      </c>
      <c r="Q1703" s="64" t="n"/>
      <c r="R1703" s="73" t="str">
        <f>IF(N(Q1703)&gt;0,Q1703,IF(OR(N(B1703)=0,ISNA(MATCH($C1703,sup_code,0))),"",IF(ISNUMBER(INDEX(sup_delay,MATCH($C1703,sup_code,0))),B1703+INDEX(sup_delay,MATCH($C1703,sup_code,0)),"")))</f>
        <v/>
      </c>
      <c r="S1703" s="64" t="n"/>
      <c r="T1703" s="68" t="n"/>
      <c r="U1703" s="64" t="n"/>
      <c r="V1703" s="65" t="n"/>
      <c r="W1703" s="74" t="str">
        <f>IF(AND(A1703="",E1703=""),"",IF(V1703="Oui",0,MAX(0,ROUND(N(H1703)-N(T1703),6))))</f>
        <v/>
      </c>
      <c r="X1703" s="67" t="str">
        <f>IF(AND(A1703="",E1703=""),"",IF(V1703="Oui","Annulé",IF(AND(N(H1703)&gt;0,N(T1703)&gt;=N(H1703)),"Reçu",IF(N(S1703)=0,"Brouillon",IF(AND(ISNUMBER(R1703),R1703&lt;p_today),"En retard",IF(N(T1703)&gt;0,"Partiel","Envoyé"))))))</f>
        <v/>
      </c>
      <c r="Y1703" s="75" t="str">
        <f>IF(X1703="En retard",p_today-R1703,IF(AND(X1703="Reçu",ISNUMBER(R1703)),MAX(0,N(U1703)-R1703),""))</f>
        <v/>
      </c>
      <c r="Z1703" s="67" t="str">
        <f>IF(AND(A1703="",E1703=""),"",IF(A1703="","N° de bon manquant",IF(N(B1703)=0,"Date de commande manquante",IF(C1703="","Fournisseur manquant",IF(ISNA(MATCH($C1703,sup_code,0)),"Fournisseur inconnu",IF(E1703="","Article manquant",IF(ISNA(MATCH($E1703,art_ref,0)),"Article inconnu",IF(N(H1703)&lt;=0,"Quantité invalide",IF(J1703="","Prix manquant",IF(OR(N(K1703)&lt;0,N(K1703)&gt;=1),"Remise invalide",IF(M1703="","TVA manquante",IF(ISNA(MATCH(M1703,p_tva,0)),"Taux de TVA inconnu",IF(COUNTIFS(po_num,A1703,po_sup,"&lt;&gt;"&amp;C1703)&gt;0,"Fournisseur différent sur ce bon",IF(COUNTIFS(po_num,A1703,po_date,"&lt;&gt;"&amp;B1703)&gt;0,"Date différente sur ce bon",IF(COUNTIF(po_num,A1703)&gt;25,"Plus de 25 lignes sur ce bon",IF(R1703="","Date de livraison manquante",IF(R1703&lt;B1703,"Livraison avant la commande",IF(AND(N(T1703)&gt;0,N(S1703)=0),"Date d'envoi manquante",IF(N(T1703)&gt;N(H1703),"Reçu plus que commandé",IF(AND(N(T1703)&gt;0,N(U1703)=0),"Date de réception manquante",IF(AND(N(U1703)&gt;0,U1703&lt;B1703),"Réception avant la commande","OK")))))))))))))))))))))</f>
        <v/>
      </c>
      <c r="AA1703" s="66" t="str">
        <f>IF(AND(X1703="Reçu",ISNUMBER(R1703)),IF(N(U1703)&lt;=R1703,1,0),"")</f>
        <v/>
      </c>
      <c r="AB1703" s="76" t="str">
        <f>IF(OR(X1703="Envoyé",X1703="Partiel",X1703="En retard"),IF(ISNUMBER(R1703),R1703,100000)+ROW()/100000,"")</f>
        <v/>
      </c>
      <c r="AC1703" s="66" t="str">
        <f>IF(A1703="","",IF(COUNTIF($A$6:A1703,A1703)=1,1,""))</f>
        <v/>
      </c>
      <c r="AD1703" s="66" t="str">
        <f>IF(AC1703=1,COUNT($AC$6:AC1703),"")</f>
        <v/>
      </c>
      <c r="AE1703" s="66" t="str">
        <f>IFERROR(INDEX(po_num,MATCH(1698,po_seq,0))&amp;"","")</f>
        <v/>
      </c>
      <c r="AF1703" s="66" t="str">
        <f>IF(OR(A1703="",p_po=""),"",IF(A1703&amp;""=p_po,COUNTIF($A$6:A1703,A1703),""))</f>
        <v/>
      </c>
      <c r="AG1703" s="66" t="str">
        <f>IF(OR(AB1703="",A1703=""),"",IF(COUNTIFS($A$6:A1703,A1703,$AB$6:AB1703,"&gt;0")=1,1,""))</f>
        <v/>
      </c>
      <c r="AH1703" s="70" t="str">
        <f>IF(AB1703="","",ROUND(N(W1703)*N(J1703)*(1-N(K1703)),2))</f>
        <v/>
      </c>
      <c r="AI1703" s="70" t="str">
        <f>IF(OR(J1703="",N(T1703)&lt;=0,V1703="Oui"),"",ROUND(N(T1703)*J1703*(1-N(K1703)),2))</f>
        <v/>
      </c>
    </row>
    <row r="1704">
      <c r="A1704" s="63" t="n"/>
      <c r="B1704" s="64" t="n"/>
      <c r="C1704" s="65" t="n"/>
      <c r="D1704" s="66" t="str">
        <f>IF(C1704="","",IFERROR(INDEX(sup_name,MATCH($C1704,sup_code,0))&amp;"","Fournisseur inconnu"))</f>
        <v/>
      </c>
      <c r="E1704" s="63" t="n"/>
      <c r="F1704" s="66" t="str">
        <f>IF(E1704="","",IFERROR(INDEX(art_des,MATCH($E1704,art_ref,0))&amp;"","Article inconnu"))</f>
        <v/>
      </c>
      <c r="G1704" s="67" t="str">
        <f>IF(E1704="","",IFERROR(INDEX(art_unit,MATCH($E1704,art_ref,0))&amp;"",""))</f>
        <v/>
      </c>
      <c r="H1704" s="68" t="n"/>
      <c r="I1704" s="69" t="n"/>
      <c r="J1704" s="70" t="str">
        <f>IF(E1704="","",IF(ISNUMBER(I1704),I1704,IFERROR(IF(ISNUMBER(INDEX(art_price,MATCH($E1704,art_ref,0))),INDEX(art_price,MATCH($E1704,art_ref,0)),""),"")))</f>
        <v/>
      </c>
      <c r="K1704" s="71" t="n"/>
      <c r="L1704" s="72" t="n"/>
      <c r="M1704" s="72" t="str">
        <f>IF(E1704="","",IF(L1704&lt;&gt;"",L1704,IFERROR(IF(ISNUMBER(INDEX(art_tva,MATCH($E1704,art_ref,0))),INDEX(art_tva,MATCH($E1704,art_ref,0)),""),"")))</f>
        <v/>
      </c>
      <c r="N1704" s="70" t="str">
        <f>IF(OR(E1704="",J1704=""),"",ROUND(N(H1704)*J1704*(1-N(K1704)),2))</f>
        <v/>
      </c>
      <c r="O1704" s="70" t="str">
        <f>IF(OR(N1704="",NOT(ISNUMBER(M1704))),"",ROUND(N1704*M1704,2))</f>
        <v/>
      </c>
      <c r="P1704" s="70" t="str">
        <f>IF(N1704="","",N1704+N(O1704))</f>
        <v/>
      </c>
      <c r="Q1704" s="64" t="n"/>
      <c r="R1704" s="73" t="str">
        <f>IF(N(Q1704)&gt;0,Q1704,IF(OR(N(B1704)=0,ISNA(MATCH($C1704,sup_code,0))),"",IF(ISNUMBER(INDEX(sup_delay,MATCH($C1704,sup_code,0))),B1704+INDEX(sup_delay,MATCH($C1704,sup_code,0)),"")))</f>
        <v/>
      </c>
      <c r="S1704" s="64" t="n"/>
      <c r="T1704" s="68" t="n"/>
      <c r="U1704" s="64" t="n"/>
      <c r="V1704" s="65" t="n"/>
      <c r="W1704" s="74" t="str">
        <f>IF(AND(A1704="",E1704=""),"",IF(V1704="Oui",0,MAX(0,ROUND(N(H1704)-N(T1704),6))))</f>
        <v/>
      </c>
      <c r="X1704" s="67" t="str">
        <f>IF(AND(A1704="",E1704=""),"",IF(V1704="Oui","Annulé",IF(AND(N(H1704)&gt;0,N(T1704)&gt;=N(H1704)),"Reçu",IF(N(S1704)=0,"Brouillon",IF(AND(ISNUMBER(R1704),R1704&lt;p_today),"En retard",IF(N(T1704)&gt;0,"Partiel","Envoyé"))))))</f>
        <v/>
      </c>
      <c r="Y1704" s="75" t="str">
        <f>IF(X1704="En retard",p_today-R1704,IF(AND(X1704="Reçu",ISNUMBER(R1704)),MAX(0,N(U1704)-R1704),""))</f>
        <v/>
      </c>
      <c r="Z1704" s="67" t="str">
        <f>IF(AND(A1704="",E1704=""),"",IF(A1704="","N° de bon manquant",IF(N(B1704)=0,"Date de commande manquante",IF(C1704="","Fournisseur manquant",IF(ISNA(MATCH($C1704,sup_code,0)),"Fournisseur inconnu",IF(E1704="","Article manquant",IF(ISNA(MATCH($E1704,art_ref,0)),"Article inconnu",IF(N(H1704)&lt;=0,"Quantité invalide",IF(J1704="","Prix manquant",IF(OR(N(K1704)&lt;0,N(K1704)&gt;=1),"Remise invalide",IF(M1704="","TVA manquante",IF(ISNA(MATCH(M1704,p_tva,0)),"Taux de TVA inconnu",IF(COUNTIFS(po_num,A1704,po_sup,"&lt;&gt;"&amp;C1704)&gt;0,"Fournisseur différent sur ce bon",IF(COUNTIFS(po_num,A1704,po_date,"&lt;&gt;"&amp;B1704)&gt;0,"Date différente sur ce bon",IF(COUNTIF(po_num,A1704)&gt;25,"Plus de 25 lignes sur ce bon",IF(R1704="","Date de livraison manquante",IF(R1704&lt;B1704,"Livraison avant la commande",IF(AND(N(T1704)&gt;0,N(S1704)=0),"Date d'envoi manquante",IF(N(T1704)&gt;N(H1704),"Reçu plus que commandé",IF(AND(N(T1704)&gt;0,N(U1704)=0),"Date de réception manquante",IF(AND(N(U1704)&gt;0,U1704&lt;B1704),"Réception avant la commande","OK")))))))))))))))))))))</f>
        <v/>
      </c>
      <c r="AA1704" s="66" t="str">
        <f>IF(AND(X1704="Reçu",ISNUMBER(R1704)),IF(N(U1704)&lt;=R1704,1,0),"")</f>
        <v/>
      </c>
      <c r="AB1704" s="76" t="str">
        <f>IF(OR(X1704="Envoyé",X1704="Partiel",X1704="En retard"),IF(ISNUMBER(R1704),R1704,100000)+ROW()/100000,"")</f>
        <v/>
      </c>
      <c r="AC1704" s="66" t="str">
        <f>IF(A1704="","",IF(COUNTIF($A$6:A1704,A1704)=1,1,""))</f>
        <v/>
      </c>
      <c r="AD1704" s="66" t="str">
        <f>IF(AC1704=1,COUNT($AC$6:AC1704),"")</f>
        <v/>
      </c>
      <c r="AE1704" s="66" t="str">
        <f>IFERROR(INDEX(po_num,MATCH(1699,po_seq,0))&amp;"","")</f>
        <v/>
      </c>
      <c r="AF1704" s="66" t="str">
        <f>IF(OR(A1704="",p_po=""),"",IF(A1704&amp;""=p_po,COUNTIF($A$6:A1704,A1704),""))</f>
        <v/>
      </c>
      <c r="AG1704" s="66" t="str">
        <f>IF(OR(AB1704="",A1704=""),"",IF(COUNTIFS($A$6:A1704,A1704,$AB$6:AB1704,"&gt;0")=1,1,""))</f>
        <v/>
      </c>
      <c r="AH1704" s="70" t="str">
        <f>IF(AB1704="","",ROUND(N(W1704)*N(J1704)*(1-N(K1704)),2))</f>
        <v/>
      </c>
      <c r="AI1704" s="70" t="str">
        <f>IF(OR(J1704="",N(T1704)&lt;=0,V1704="Oui"),"",ROUND(N(T1704)*J1704*(1-N(K1704)),2))</f>
        <v/>
      </c>
    </row>
    <row r="1705">
      <c r="A1705" s="63" t="n"/>
      <c r="B1705" s="64" t="n"/>
      <c r="C1705" s="65" t="n"/>
      <c r="D1705" s="66" t="str">
        <f>IF(C1705="","",IFERROR(INDEX(sup_name,MATCH($C1705,sup_code,0))&amp;"","Fournisseur inconnu"))</f>
        <v/>
      </c>
      <c r="E1705" s="63" t="n"/>
      <c r="F1705" s="66" t="str">
        <f>IF(E1705="","",IFERROR(INDEX(art_des,MATCH($E1705,art_ref,0))&amp;"","Article inconnu"))</f>
        <v/>
      </c>
      <c r="G1705" s="67" t="str">
        <f>IF(E1705="","",IFERROR(INDEX(art_unit,MATCH($E1705,art_ref,0))&amp;"",""))</f>
        <v/>
      </c>
      <c r="H1705" s="68" t="n"/>
      <c r="I1705" s="69" t="n"/>
      <c r="J1705" s="70" t="str">
        <f>IF(E1705="","",IF(ISNUMBER(I1705),I1705,IFERROR(IF(ISNUMBER(INDEX(art_price,MATCH($E1705,art_ref,0))),INDEX(art_price,MATCH($E1705,art_ref,0)),""),"")))</f>
        <v/>
      </c>
      <c r="K1705" s="71" t="n"/>
      <c r="L1705" s="72" t="n"/>
      <c r="M1705" s="72" t="str">
        <f>IF(E1705="","",IF(L1705&lt;&gt;"",L1705,IFERROR(IF(ISNUMBER(INDEX(art_tva,MATCH($E1705,art_ref,0))),INDEX(art_tva,MATCH($E1705,art_ref,0)),""),"")))</f>
        <v/>
      </c>
      <c r="N1705" s="70" t="str">
        <f>IF(OR(E1705="",J1705=""),"",ROUND(N(H1705)*J1705*(1-N(K1705)),2))</f>
        <v/>
      </c>
      <c r="O1705" s="70" t="str">
        <f>IF(OR(N1705="",NOT(ISNUMBER(M1705))),"",ROUND(N1705*M1705,2))</f>
        <v/>
      </c>
      <c r="P1705" s="70" t="str">
        <f>IF(N1705="","",N1705+N(O1705))</f>
        <v/>
      </c>
      <c r="Q1705" s="64" t="n"/>
      <c r="R1705" s="73" t="str">
        <f>IF(N(Q1705)&gt;0,Q1705,IF(OR(N(B1705)=0,ISNA(MATCH($C1705,sup_code,0))),"",IF(ISNUMBER(INDEX(sup_delay,MATCH($C1705,sup_code,0))),B1705+INDEX(sup_delay,MATCH($C1705,sup_code,0)),"")))</f>
        <v/>
      </c>
      <c r="S1705" s="64" t="n"/>
      <c r="T1705" s="68" t="n"/>
      <c r="U1705" s="64" t="n"/>
      <c r="V1705" s="65" t="n"/>
      <c r="W1705" s="74" t="str">
        <f>IF(AND(A1705="",E1705=""),"",IF(V1705="Oui",0,MAX(0,ROUND(N(H1705)-N(T1705),6))))</f>
        <v/>
      </c>
      <c r="X1705" s="67" t="str">
        <f>IF(AND(A1705="",E1705=""),"",IF(V1705="Oui","Annulé",IF(AND(N(H1705)&gt;0,N(T1705)&gt;=N(H1705)),"Reçu",IF(N(S1705)=0,"Brouillon",IF(AND(ISNUMBER(R1705),R1705&lt;p_today),"En retard",IF(N(T1705)&gt;0,"Partiel","Envoyé"))))))</f>
        <v/>
      </c>
      <c r="Y1705" s="75" t="str">
        <f>IF(X1705="En retard",p_today-R1705,IF(AND(X1705="Reçu",ISNUMBER(R1705)),MAX(0,N(U1705)-R1705),""))</f>
        <v/>
      </c>
      <c r="Z1705" s="67" t="str">
        <f>IF(AND(A1705="",E1705=""),"",IF(A1705="","N° de bon manquant",IF(N(B1705)=0,"Date de commande manquante",IF(C1705="","Fournisseur manquant",IF(ISNA(MATCH($C1705,sup_code,0)),"Fournisseur inconnu",IF(E1705="","Article manquant",IF(ISNA(MATCH($E1705,art_ref,0)),"Article inconnu",IF(N(H1705)&lt;=0,"Quantité invalide",IF(J1705="","Prix manquant",IF(OR(N(K1705)&lt;0,N(K1705)&gt;=1),"Remise invalide",IF(M1705="","TVA manquante",IF(ISNA(MATCH(M1705,p_tva,0)),"Taux de TVA inconnu",IF(COUNTIFS(po_num,A1705,po_sup,"&lt;&gt;"&amp;C1705)&gt;0,"Fournisseur différent sur ce bon",IF(COUNTIFS(po_num,A1705,po_date,"&lt;&gt;"&amp;B1705)&gt;0,"Date différente sur ce bon",IF(COUNTIF(po_num,A1705)&gt;25,"Plus de 25 lignes sur ce bon",IF(R1705="","Date de livraison manquante",IF(R1705&lt;B1705,"Livraison avant la commande",IF(AND(N(T1705)&gt;0,N(S1705)=0),"Date d'envoi manquante",IF(N(T1705)&gt;N(H1705),"Reçu plus que commandé",IF(AND(N(T1705)&gt;0,N(U1705)=0),"Date de réception manquante",IF(AND(N(U1705)&gt;0,U1705&lt;B1705),"Réception avant la commande","OK")))))))))))))))))))))</f>
        <v/>
      </c>
      <c r="AA1705" s="66" t="str">
        <f>IF(AND(X1705="Reçu",ISNUMBER(R1705)),IF(N(U1705)&lt;=R1705,1,0),"")</f>
        <v/>
      </c>
      <c r="AB1705" s="76" t="str">
        <f>IF(OR(X1705="Envoyé",X1705="Partiel",X1705="En retard"),IF(ISNUMBER(R1705),R1705,100000)+ROW()/100000,"")</f>
        <v/>
      </c>
      <c r="AC1705" s="66" t="str">
        <f>IF(A1705="","",IF(COUNTIF($A$6:A1705,A1705)=1,1,""))</f>
        <v/>
      </c>
      <c r="AD1705" s="66" t="str">
        <f>IF(AC1705=1,COUNT($AC$6:AC1705),"")</f>
        <v/>
      </c>
      <c r="AE1705" s="66" t="str">
        <f>IFERROR(INDEX(po_num,MATCH(1700,po_seq,0))&amp;"","")</f>
        <v/>
      </c>
      <c r="AF1705" s="66" t="str">
        <f>IF(OR(A1705="",p_po=""),"",IF(A1705&amp;""=p_po,COUNTIF($A$6:A1705,A1705),""))</f>
        <v/>
      </c>
      <c r="AG1705" s="66" t="str">
        <f>IF(OR(AB1705="",A1705=""),"",IF(COUNTIFS($A$6:A1705,A1705,$AB$6:AB1705,"&gt;0")=1,1,""))</f>
        <v/>
      </c>
      <c r="AH1705" s="70" t="str">
        <f>IF(AB1705="","",ROUND(N(W1705)*N(J1705)*(1-N(K1705)),2))</f>
        <v/>
      </c>
      <c r="AI1705" s="70" t="str">
        <f>IF(OR(J1705="",N(T1705)&lt;=0,V1705="Oui"),"",ROUND(N(T1705)*J1705*(1-N(K1705)),2))</f>
        <v/>
      </c>
    </row>
    <row r="1706">
      <c r="A1706" s="63" t="n"/>
      <c r="B1706" s="64" t="n"/>
      <c r="C1706" s="65" t="n"/>
      <c r="D1706" s="66" t="str">
        <f>IF(C1706="","",IFERROR(INDEX(sup_name,MATCH($C1706,sup_code,0))&amp;"","Fournisseur inconnu"))</f>
        <v/>
      </c>
      <c r="E1706" s="63" t="n"/>
      <c r="F1706" s="66" t="str">
        <f>IF(E1706="","",IFERROR(INDEX(art_des,MATCH($E1706,art_ref,0))&amp;"","Article inconnu"))</f>
        <v/>
      </c>
      <c r="G1706" s="67" t="str">
        <f>IF(E1706="","",IFERROR(INDEX(art_unit,MATCH($E1706,art_ref,0))&amp;"",""))</f>
        <v/>
      </c>
      <c r="H1706" s="68" t="n"/>
      <c r="I1706" s="69" t="n"/>
      <c r="J1706" s="70" t="str">
        <f>IF(E1706="","",IF(ISNUMBER(I1706),I1706,IFERROR(IF(ISNUMBER(INDEX(art_price,MATCH($E1706,art_ref,0))),INDEX(art_price,MATCH($E1706,art_ref,0)),""),"")))</f>
        <v/>
      </c>
      <c r="K1706" s="71" t="n"/>
      <c r="L1706" s="72" t="n"/>
      <c r="M1706" s="72" t="str">
        <f>IF(E1706="","",IF(L1706&lt;&gt;"",L1706,IFERROR(IF(ISNUMBER(INDEX(art_tva,MATCH($E1706,art_ref,0))),INDEX(art_tva,MATCH($E1706,art_ref,0)),""),"")))</f>
        <v/>
      </c>
      <c r="N1706" s="70" t="str">
        <f>IF(OR(E1706="",J1706=""),"",ROUND(N(H1706)*J1706*(1-N(K1706)),2))</f>
        <v/>
      </c>
      <c r="O1706" s="70" t="str">
        <f>IF(OR(N1706="",NOT(ISNUMBER(M1706))),"",ROUND(N1706*M1706,2))</f>
        <v/>
      </c>
      <c r="P1706" s="70" t="str">
        <f>IF(N1706="","",N1706+N(O1706))</f>
        <v/>
      </c>
      <c r="Q1706" s="64" t="n"/>
      <c r="R1706" s="73" t="str">
        <f>IF(N(Q1706)&gt;0,Q1706,IF(OR(N(B1706)=0,ISNA(MATCH($C1706,sup_code,0))),"",IF(ISNUMBER(INDEX(sup_delay,MATCH($C1706,sup_code,0))),B1706+INDEX(sup_delay,MATCH($C1706,sup_code,0)),"")))</f>
        <v/>
      </c>
      <c r="S1706" s="64" t="n"/>
      <c r="T1706" s="68" t="n"/>
      <c r="U1706" s="64" t="n"/>
      <c r="V1706" s="65" t="n"/>
      <c r="W1706" s="74" t="str">
        <f>IF(AND(A1706="",E1706=""),"",IF(V1706="Oui",0,MAX(0,ROUND(N(H1706)-N(T1706),6))))</f>
        <v/>
      </c>
      <c r="X1706" s="67" t="str">
        <f>IF(AND(A1706="",E1706=""),"",IF(V1706="Oui","Annulé",IF(AND(N(H1706)&gt;0,N(T1706)&gt;=N(H1706)),"Reçu",IF(N(S1706)=0,"Brouillon",IF(AND(ISNUMBER(R1706),R1706&lt;p_today),"En retard",IF(N(T1706)&gt;0,"Partiel","Envoyé"))))))</f>
        <v/>
      </c>
      <c r="Y1706" s="75" t="str">
        <f>IF(X1706="En retard",p_today-R1706,IF(AND(X1706="Reçu",ISNUMBER(R1706)),MAX(0,N(U1706)-R1706),""))</f>
        <v/>
      </c>
      <c r="Z1706" s="67" t="str">
        <f>IF(AND(A1706="",E1706=""),"",IF(A1706="","N° de bon manquant",IF(N(B1706)=0,"Date de commande manquante",IF(C1706="","Fournisseur manquant",IF(ISNA(MATCH($C1706,sup_code,0)),"Fournisseur inconnu",IF(E1706="","Article manquant",IF(ISNA(MATCH($E1706,art_ref,0)),"Article inconnu",IF(N(H1706)&lt;=0,"Quantité invalide",IF(J1706="","Prix manquant",IF(OR(N(K1706)&lt;0,N(K1706)&gt;=1),"Remise invalide",IF(M1706="","TVA manquante",IF(ISNA(MATCH(M1706,p_tva,0)),"Taux de TVA inconnu",IF(COUNTIFS(po_num,A1706,po_sup,"&lt;&gt;"&amp;C1706)&gt;0,"Fournisseur différent sur ce bon",IF(COUNTIFS(po_num,A1706,po_date,"&lt;&gt;"&amp;B1706)&gt;0,"Date différente sur ce bon",IF(COUNTIF(po_num,A1706)&gt;25,"Plus de 25 lignes sur ce bon",IF(R1706="","Date de livraison manquante",IF(R1706&lt;B1706,"Livraison avant la commande",IF(AND(N(T1706)&gt;0,N(S1706)=0),"Date d'envoi manquante",IF(N(T1706)&gt;N(H1706),"Reçu plus que commandé",IF(AND(N(T1706)&gt;0,N(U1706)=0),"Date de réception manquante",IF(AND(N(U1706)&gt;0,U1706&lt;B1706),"Réception avant la commande","OK")))))))))))))))))))))</f>
        <v/>
      </c>
      <c r="AA1706" s="66" t="str">
        <f>IF(AND(X1706="Reçu",ISNUMBER(R1706)),IF(N(U1706)&lt;=R1706,1,0),"")</f>
        <v/>
      </c>
      <c r="AB1706" s="76" t="str">
        <f>IF(OR(X1706="Envoyé",X1706="Partiel",X1706="En retard"),IF(ISNUMBER(R1706),R1706,100000)+ROW()/100000,"")</f>
        <v/>
      </c>
      <c r="AC1706" s="66" t="str">
        <f>IF(A1706="","",IF(COUNTIF($A$6:A1706,A1706)=1,1,""))</f>
        <v/>
      </c>
      <c r="AD1706" s="66" t="str">
        <f>IF(AC1706=1,COUNT($AC$6:AC1706),"")</f>
        <v/>
      </c>
      <c r="AE1706" s="66" t="str">
        <f>IFERROR(INDEX(po_num,MATCH(1701,po_seq,0))&amp;"","")</f>
        <v/>
      </c>
      <c r="AF1706" s="66" t="str">
        <f>IF(OR(A1706="",p_po=""),"",IF(A1706&amp;""=p_po,COUNTIF($A$6:A1706,A1706),""))</f>
        <v/>
      </c>
      <c r="AG1706" s="66" t="str">
        <f>IF(OR(AB1706="",A1706=""),"",IF(COUNTIFS($A$6:A1706,A1706,$AB$6:AB1706,"&gt;0")=1,1,""))</f>
        <v/>
      </c>
      <c r="AH1706" s="70" t="str">
        <f>IF(AB1706="","",ROUND(N(W1706)*N(J1706)*(1-N(K1706)),2))</f>
        <v/>
      </c>
      <c r="AI1706" s="70" t="str">
        <f>IF(OR(J1706="",N(T1706)&lt;=0,V1706="Oui"),"",ROUND(N(T1706)*J1706*(1-N(K1706)),2))</f>
        <v/>
      </c>
    </row>
    <row r="1707">
      <c r="A1707" s="63" t="n"/>
      <c r="B1707" s="64" t="n"/>
      <c r="C1707" s="65" t="n"/>
      <c r="D1707" s="66" t="str">
        <f>IF(C1707="","",IFERROR(INDEX(sup_name,MATCH($C1707,sup_code,0))&amp;"","Fournisseur inconnu"))</f>
        <v/>
      </c>
      <c r="E1707" s="63" t="n"/>
      <c r="F1707" s="66" t="str">
        <f>IF(E1707="","",IFERROR(INDEX(art_des,MATCH($E1707,art_ref,0))&amp;"","Article inconnu"))</f>
        <v/>
      </c>
      <c r="G1707" s="67" t="str">
        <f>IF(E1707="","",IFERROR(INDEX(art_unit,MATCH($E1707,art_ref,0))&amp;"",""))</f>
        <v/>
      </c>
      <c r="H1707" s="68" t="n"/>
      <c r="I1707" s="69" t="n"/>
      <c r="J1707" s="70" t="str">
        <f>IF(E1707="","",IF(ISNUMBER(I1707),I1707,IFERROR(IF(ISNUMBER(INDEX(art_price,MATCH($E1707,art_ref,0))),INDEX(art_price,MATCH($E1707,art_ref,0)),""),"")))</f>
        <v/>
      </c>
      <c r="K1707" s="71" t="n"/>
      <c r="L1707" s="72" t="n"/>
      <c r="M1707" s="72" t="str">
        <f>IF(E1707="","",IF(L1707&lt;&gt;"",L1707,IFERROR(IF(ISNUMBER(INDEX(art_tva,MATCH($E1707,art_ref,0))),INDEX(art_tva,MATCH($E1707,art_ref,0)),""),"")))</f>
        <v/>
      </c>
      <c r="N1707" s="70" t="str">
        <f>IF(OR(E1707="",J1707=""),"",ROUND(N(H1707)*J1707*(1-N(K1707)),2))</f>
        <v/>
      </c>
      <c r="O1707" s="70" t="str">
        <f>IF(OR(N1707="",NOT(ISNUMBER(M1707))),"",ROUND(N1707*M1707,2))</f>
        <v/>
      </c>
      <c r="P1707" s="70" t="str">
        <f>IF(N1707="","",N1707+N(O1707))</f>
        <v/>
      </c>
      <c r="Q1707" s="64" t="n"/>
      <c r="R1707" s="73" t="str">
        <f>IF(N(Q1707)&gt;0,Q1707,IF(OR(N(B1707)=0,ISNA(MATCH($C1707,sup_code,0))),"",IF(ISNUMBER(INDEX(sup_delay,MATCH($C1707,sup_code,0))),B1707+INDEX(sup_delay,MATCH($C1707,sup_code,0)),"")))</f>
        <v/>
      </c>
      <c r="S1707" s="64" t="n"/>
      <c r="T1707" s="68" t="n"/>
      <c r="U1707" s="64" t="n"/>
      <c r="V1707" s="65" t="n"/>
      <c r="W1707" s="74" t="str">
        <f>IF(AND(A1707="",E1707=""),"",IF(V1707="Oui",0,MAX(0,ROUND(N(H1707)-N(T1707),6))))</f>
        <v/>
      </c>
      <c r="X1707" s="67" t="str">
        <f>IF(AND(A1707="",E1707=""),"",IF(V1707="Oui","Annulé",IF(AND(N(H1707)&gt;0,N(T1707)&gt;=N(H1707)),"Reçu",IF(N(S1707)=0,"Brouillon",IF(AND(ISNUMBER(R1707),R1707&lt;p_today),"En retard",IF(N(T1707)&gt;0,"Partiel","Envoyé"))))))</f>
        <v/>
      </c>
      <c r="Y1707" s="75" t="str">
        <f>IF(X1707="En retard",p_today-R1707,IF(AND(X1707="Reçu",ISNUMBER(R1707)),MAX(0,N(U1707)-R1707),""))</f>
        <v/>
      </c>
      <c r="Z1707" s="67" t="str">
        <f>IF(AND(A1707="",E1707=""),"",IF(A1707="","N° de bon manquant",IF(N(B1707)=0,"Date de commande manquante",IF(C1707="","Fournisseur manquant",IF(ISNA(MATCH($C1707,sup_code,0)),"Fournisseur inconnu",IF(E1707="","Article manquant",IF(ISNA(MATCH($E1707,art_ref,0)),"Article inconnu",IF(N(H1707)&lt;=0,"Quantité invalide",IF(J1707="","Prix manquant",IF(OR(N(K1707)&lt;0,N(K1707)&gt;=1),"Remise invalide",IF(M1707="","TVA manquante",IF(ISNA(MATCH(M1707,p_tva,0)),"Taux de TVA inconnu",IF(COUNTIFS(po_num,A1707,po_sup,"&lt;&gt;"&amp;C1707)&gt;0,"Fournisseur différent sur ce bon",IF(COUNTIFS(po_num,A1707,po_date,"&lt;&gt;"&amp;B1707)&gt;0,"Date différente sur ce bon",IF(COUNTIF(po_num,A1707)&gt;25,"Plus de 25 lignes sur ce bon",IF(R1707="","Date de livraison manquante",IF(R1707&lt;B1707,"Livraison avant la commande",IF(AND(N(T1707)&gt;0,N(S1707)=0),"Date d'envoi manquante",IF(N(T1707)&gt;N(H1707),"Reçu plus que commandé",IF(AND(N(T1707)&gt;0,N(U1707)=0),"Date de réception manquante",IF(AND(N(U1707)&gt;0,U1707&lt;B1707),"Réception avant la commande","OK")))))))))))))))))))))</f>
        <v/>
      </c>
      <c r="AA1707" s="66" t="str">
        <f>IF(AND(X1707="Reçu",ISNUMBER(R1707)),IF(N(U1707)&lt;=R1707,1,0),"")</f>
        <v/>
      </c>
      <c r="AB1707" s="76" t="str">
        <f>IF(OR(X1707="Envoyé",X1707="Partiel",X1707="En retard"),IF(ISNUMBER(R1707),R1707,100000)+ROW()/100000,"")</f>
        <v/>
      </c>
      <c r="AC1707" s="66" t="str">
        <f>IF(A1707="","",IF(COUNTIF($A$6:A1707,A1707)=1,1,""))</f>
        <v/>
      </c>
      <c r="AD1707" s="66" t="str">
        <f>IF(AC1707=1,COUNT($AC$6:AC1707),"")</f>
        <v/>
      </c>
      <c r="AE1707" s="66" t="str">
        <f>IFERROR(INDEX(po_num,MATCH(1702,po_seq,0))&amp;"","")</f>
        <v/>
      </c>
      <c r="AF1707" s="66" t="str">
        <f>IF(OR(A1707="",p_po=""),"",IF(A1707&amp;""=p_po,COUNTIF($A$6:A1707,A1707),""))</f>
        <v/>
      </c>
      <c r="AG1707" s="66" t="str">
        <f>IF(OR(AB1707="",A1707=""),"",IF(COUNTIFS($A$6:A1707,A1707,$AB$6:AB1707,"&gt;0")=1,1,""))</f>
        <v/>
      </c>
      <c r="AH1707" s="70" t="str">
        <f>IF(AB1707="","",ROUND(N(W1707)*N(J1707)*(1-N(K1707)),2))</f>
        <v/>
      </c>
      <c r="AI1707" s="70" t="str">
        <f>IF(OR(J1707="",N(T1707)&lt;=0,V1707="Oui"),"",ROUND(N(T1707)*J1707*(1-N(K1707)),2))</f>
        <v/>
      </c>
    </row>
    <row r="1708">
      <c r="A1708" s="63" t="n"/>
      <c r="B1708" s="64" t="n"/>
      <c r="C1708" s="65" t="n"/>
      <c r="D1708" s="66" t="str">
        <f>IF(C1708="","",IFERROR(INDEX(sup_name,MATCH($C1708,sup_code,0))&amp;"","Fournisseur inconnu"))</f>
        <v/>
      </c>
      <c r="E1708" s="63" t="n"/>
      <c r="F1708" s="66" t="str">
        <f>IF(E1708="","",IFERROR(INDEX(art_des,MATCH($E1708,art_ref,0))&amp;"","Article inconnu"))</f>
        <v/>
      </c>
      <c r="G1708" s="67" t="str">
        <f>IF(E1708="","",IFERROR(INDEX(art_unit,MATCH($E1708,art_ref,0))&amp;"",""))</f>
        <v/>
      </c>
      <c r="H1708" s="68" t="n"/>
      <c r="I1708" s="69" t="n"/>
      <c r="J1708" s="70" t="str">
        <f>IF(E1708="","",IF(ISNUMBER(I1708),I1708,IFERROR(IF(ISNUMBER(INDEX(art_price,MATCH($E1708,art_ref,0))),INDEX(art_price,MATCH($E1708,art_ref,0)),""),"")))</f>
        <v/>
      </c>
      <c r="K1708" s="71" t="n"/>
      <c r="L1708" s="72" t="n"/>
      <c r="M1708" s="72" t="str">
        <f>IF(E1708="","",IF(L1708&lt;&gt;"",L1708,IFERROR(IF(ISNUMBER(INDEX(art_tva,MATCH($E1708,art_ref,0))),INDEX(art_tva,MATCH($E1708,art_ref,0)),""),"")))</f>
        <v/>
      </c>
      <c r="N1708" s="70" t="str">
        <f>IF(OR(E1708="",J1708=""),"",ROUND(N(H1708)*J1708*(1-N(K1708)),2))</f>
        <v/>
      </c>
      <c r="O1708" s="70" t="str">
        <f>IF(OR(N1708="",NOT(ISNUMBER(M1708))),"",ROUND(N1708*M1708,2))</f>
        <v/>
      </c>
      <c r="P1708" s="70" t="str">
        <f>IF(N1708="","",N1708+N(O1708))</f>
        <v/>
      </c>
      <c r="Q1708" s="64" t="n"/>
      <c r="R1708" s="73" t="str">
        <f>IF(N(Q1708)&gt;0,Q1708,IF(OR(N(B1708)=0,ISNA(MATCH($C1708,sup_code,0))),"",IF(ISNUMBER(INDEX(sup_delay,MATCH($C1708,sup_code,0))),B1708+INDEX(sup_delay,MATCH($C1708,sup_code,0)),"")))</f>
        <v/>
      </c>
      <c r="S1708" s="64" t="n"/>
      <c r="T1708" s="68" t="n"/>
      <c r="U1708" s="64" t="n"/>
      <c r="V1708" s="65" t="n"/>
      <c r="W1708" s="74" t="str">
        <f>IF(AND(A1708="",E1708=""),"",IF(V1708="Oui",0,MAX(0,ROUND(N(H1708)-N(T1708),6))))</f>
        <v/>
      </c>
      <c r="X1708" s="67" t="str">
        <f>IF(AND(A1708="",E1708=""),"",IF(V1708="Oui","Annulé",IF(AND(N(H1708)&gt;0,N(T1708)&gt;=N(H1708)),"Reçu",IF(N(S1708)=0,"Brouillon",IF(AND(ISNUMBER(R1708),R1708&lt;p_today),"En retard",IF(N(T1708)&gt;0,"Partiel","Envoyé"))))))</f>
        <v/>
      </c>
      <c r="Y1708" s="75" t="str">
        <f>IF(X1708="En retard",p_today-R1708,IF(AND(X1708="Reçu",ISNUMBER(R1708)),MAX(0,N(U1708)-R1708),""))</f>
        <v/>
      </c>
      <c r="Z1708" s="67" t="str">
        <f>IF(AND(A1708="",E1708=""),"",IF(A1708="","N° de bon manquant",IF(N(B1708)=0,"Date de commande manquante",IF(C1708="","Fournisseur manquant",IF(ISNA(MATCH($C1708,sup_code,0)),"Fournisseur inconnu",IF(E1708="","Article manquant",IF(ISNA(MATCH($E1708,art_ref,0)),"Article inconnu",IF(N(H1708)&lt;=0,"Quantité invalide",IF(J1708="","Prix manquant",IF(OR(N(K1708)&lt;0,N(K1708)&gt;=1),"Remise invalide",IF(M1708="","TVA manquante",IF(ISNA(MATCH(M1708,p_tva,0)),"Taux de TVA inconnu",IF(COUNTIFS(po_num,A1708,po_sup,"&lt;&gt;"&amp;C1708)&gt;0,"Fournisseur différent sur ce bon",IF(COUNTIFS(po_num,A1708,po_date,"&lt;&gt;"&amp;B1708)&gt;0,"Date différente sur ce bon",IF(COUNTIF(po_num,A1708)&gt;25,"Plus de 25 lignes sur ce bon",IF(R1708="","Date de livraison manquante",IF(R1708&lt;B1708,"Livraison avant la commande",IF(AND(N(T1708)&gt;0,N(S1708)=0),"Date d'envoi manquante",IF(N(T1708)&gt;N(H1708),"Reçu plus que commandé",IF(AND(N(T1708)&gt;0,N(U1708)=0),"Date de réception manquante",IF(AND(N(U1708)&gt;0,U1708&lt;B1708),"Réception avant la commande","OK")))))))))))))))))))))</f>
        <v/>
      </c>
      <c r="AA1708" s="66" t="str">
        <f>IF(AND(X1708="Reçu",ISNUMBER(R1708)),IF(N(U1708)&lt;=R1708,1,0),"")</f>
        <v/>
      </c>
      <c r="AB1708" s="76" t="str">
        <f>IF(OR(X1708="Envoyé",X1708="Partiel",X1708="En retard"),IF(ISNUMBER(R1708),R1708,100000)+ROW()/100000,"")</f>
        <v/>
      </c>
      <c r="AC1708" s="66" t="str">
        <f>IF(A1708="","",IF(COUNTIF($A$6:A1708,A1708)=1,1,""))</f>
        <v/>
      </c>
      <c r="AD1708" s="66" t="str">
        <f>IF(AC1708=1,COUNT($AC$6:AC1708),"")</f>
        <v/>
      </c>
      <c r="AE1708" s="66" t="str">
        <f>IFERROR(INDEX(po_num,MATCH(1703,po_seq,0))&amp;"","")</f>
        <v/>
      </c>
      <c r="AF1708" s="66" t="str">
        <f>IF(OR(A1708="",p_po=""),"",IF(A1708&amp;""=p_po,COUNTIF($A$6:A1708,A1708),""))</f>
        <v/>
      </c>
      <c r="AG1708" s="66" t="str">
        <f>IF(OR(AB1708="",A1708=""),"",IF(COUNTIFS($A$6:A1708,A1708,$AB$6:AB1708,"&gt;0")=1,1,""))</f>
        <v/>
      </c>
      <c r="AH1708" s="70" t="str">
        <f>IF(AB1708="","",ROUND(N(W1708)*N(J1708)*(1-N(K1708)),2))</f>
        <v/>
      </c>
      <c r="AI1708" s="70" t="str">
        <f>IF(OR(J1708="",N(T1708)&lt;=0,V1708="Oui"),"",ROUND(N(T1708)*J1708*(1-N(K1708)),2))</f>
        <v/>
      </c>
    </row>
    <row r="1709">
      <c r="A1709" s="63" t="n"/>
      <c r="B1709" s="64" t="n"/>
      <c r="C1709" s="65" t="n"/>
      <c r="D1709" s="66" t="str">
        <f>IF(C1709="","",IFERROR(INDEX(sup_name,MATCH($C1709,sup_code,0))&amp;"","Fournisseur inconnu"))</f>
        <v/>
      </c>
      <c r="E1709" s="63" t="n"/>
      <c r="F1709" s="66" t="str">
        <f>IF(E1709="","",IFERROR(INDEX(art_des,MATCH($E1709,art_ref,0))&amp;"","Article inconnu"))</f>
        <v/>
      </c>
      <c r="G1709" s="67" t="str">
        <f>IF(E1709="","",IFERROR(INDEX(art_unit,MATCH($E1709,art_ref,0))&amp;"",""))</f>
        <v/>
      </c>
      <c r="H1709" s="68" t="n"/>
      <c r="I1709" s="69" t="n"/>
      <c r="J1709" s="70" t="str">
        <f>IF(E1709="","",IF(ISNUMBER(I1709),I1709,IFERROR(IF(ISNUMBER(INDEX(art_price,MATCH($E1709,art_ref,0))),INDEX(art_price,MATCH($E1709,art_ref,0)),""),"")))</f>
        <v/>
      </c>
      <c r="K1709" s="71" t="n"/>
      <c r="L1709" s="72" t="n"/>
      <c r="M1709" s="72" t="str">
        <f>IF(E1709="","",IF(L1709&lt;&gt;"",L1709,IFERROR(IF(ISNUMBER(INDEX(art_tva,MATCH($E1709,art_ref,0))),INDEX(art_tva,MATCH($E1709,art_ref,0)),""),"")))</f>
        <v/>
      </c>
      <c r="N1709" s="70" t="str">
        <f>IF(OR(E1709="",J1709=""),"",ROUND(N(H1709)*J1709*(1-N(K1709)),2))</f>
        <v/>
      </c>
      <c r="O1709" s="70" t="str">
        <f>IF(OR(N1709="",NOT(ISNUMBER(M1709))),"",ROUND(N1709*M1709,2))</f>
        <v/>
      </c>
      <c r="P1709" s="70" t="str">
        <f>IF(N1709="","",N1709+N(O1709))</f>
        <v/>
      </c>
      <c r="Q1709" s="64" t="n"/>
      <c r="R1709" s="73" t="str">
        <f>IF(N(Q1709)&gt;0,Q1709,IF(OR(N(B1709)=0,ISNA(MATCH($C1709,sup_code,0))),"",IF(ISNUMBER(INDEX(sup_delay,MATCH($C1709,sup_code,0))),B1709+INDEX(sup_delay,MATCH($C1709,sup_code,0)),"")))</f>
        <v/>
      </c>
      <c r="S1709" s="64" t="n"/>
      <c r="T1709" s="68" t="n"/>
      <c r="U1709" s="64" t="n"/>
      <c r="V1709" s="65" t="n"/>
      <c r="W1709" s="74" t="str">
        <f>IF(AND(A1709="",E1709=""),"",IF(V1709="Oui",0,MAX(0,ROUND(N(H1709)-N(T1709),6))))</f>
        <v/>
      </c>
      <c r="X1709" s="67" t="str">
        <f>IF(AND(A1709="",E1709=""),"",IF(V1709="Oui","Annulé",IF(AND(N(H1709)&gt;0,N(T1709)&gt;=N(H1709)),"Reçu",IF(N(S1709)=0,"Brouillon",IF(AND(ISNUMBER(R1709),R1709&lt;p_today),"En retard",IF(N(T1709)&gt;0,"Partiel","Envoyé"))))))</f>
        <v/>
      </c>
      <c r="Y1709" s="75" t="str">
        <f>IF(X1709="En retard",p_today-R1709,IF(AND(X1709="Reçu",ISNUMBER(R1709)),MAX(0,N(U1709)-R1709),""))</f>
        <v/>
      </c>
      <c r="Z1709" s="67" t="str">
        <f>IF(AND(A1709="",E1709=""),"",IF(A1709="","N° de bon manquant",IF(N(B1709)=0,"Date de commande manquante",IF(C1709="","Fournisseur manquant",IF(ISNA(MATCH($C1709,sup_code,0)),"Fournisseur inconnu",IF(E1709="","Article manquant",IF(ISNA(MATCH($E1709,art_ref,0)),"Article inconnu",IF(N(H1709)&lt;=0,"Quantité invalide",IF(J1709="","Prix manquant",IF(OR(N(K1709)&lt;0,N(K1709)&gt;=1),"Remise invalide",IF(M1709="","TVA manquante",IF(ISNA(MATCH(M1709,p_tva,0)),"Taux de TVA inconnu",IF(COUNTIFS(po_num,A1709,po_sup,"&lt;&gt;"&amp;C1709)&gt;0,"Fournisseur différent sur ce bon",IF(COUNTIFS(po_num,A1709,po_date,"&lt;&gt;"&amp;B1709)&gt;0,"Date différente sur ce bon",IF(COUNTIF(po_num,A1709)&gt;25,"Plus de 25 lignes sur ce bon",IF(R1709="","Date de livraison manquante",IF(R1709&lt;B1709,"Livraison avant la commande",IF(AND(N(T1709)&gt;0,N(S1709)=0),"Date d'envoi manquante",IF(N(T1709)&gt;N(H1709),"Reçu plus que commandé",IF(AND(N(T1709)&gt;0,N(U1709)=0),"Date de réception manquante",IF(AND(N(U1709)&gt;0,U1709&lt;B1709),"Réception avant la commande","OK")))))))))))))))))))))</f>
        <v/>
      </c>
      <c r="AA1709" s="66" t="str">
        <f>IF(AND(X1709="Reçu",ISNUMBER(R1709)),IF(N(U1709)&lt;=R1709,1,0),"")</f>
        <v/>
      </c>
      <c r="AB1709" s="76" t="str">
        <f>IF(OR(X1709="Envoyé",X1709="Partiel",X1709="En retard"),IF(ISNUMBER(R1709),R1709,100000)+ROW()/100000,"")</f>
        <v/>
      </c>
      <c r="AC1709" s="66" t="str">
        <f>IF(A1709="","",IF(COUNTIF($A$6:A1709,A1709)=1,1,""))</f>
        <v/>
      </c>
      <c r="AD1709" s="66" t="str">
        <f>IF(AC1709=1,COUNT($AC$6:AC1709),"")</f>
        <v/>
      </c>
      <c r="AE1709" s="66" t="str">
        <f>IFERROR(INDEX(po_num,MATCH(1704,po_seq,0))&amp;"","")</f>
        <v/>
      </c>
      <c r="AF1709" s="66" t="str">
        <f>IF(OR(A1709="",p_po=""),"",IF(A1709&amp;""=p_po,COUNTIF($A$6:A1709,A1709),""))</f>
        <v/>
      </c>
      <c r="AG1709" s="66" t="str">
        <f>IF(OR(AB1709="",A1709=""),"",IF(COUNTIFS($A$6:A1709,A1709,$AB$6:AB1709,"&gt;0")=1,1,""))</f>
        <v/>
      </c>
      <c r="AH1709" s="70" t="str">
        <f>IF(AB1709="","",ROUND(N(W1709)*N(J1709)*(1-N(K1709)),2))</f>
        <v/>
      </c>
      <c r="AI1709" s="70" t="str">
        <f>IF(OR(J1709="",N(T1709)&lt;=0,V1709="Oui"),"",ROUND(N(T1709)*J1709*(1-N(K1709)),2))</f>
        <v/>
      </c>
    </row>
    <row r="1710">
      <c r="A1710" s="63" t="n"/>
      <c r="B1710" s="64" t="n"/>
      <c r="C1710" s="65" t="n"/>
      <c r="D1710" s="66" t="str">
        <f>IF(C1710="","",IFERROR(INDEX(sup_name,MATCH($C1710,sup_code,0))&amp;"","Fournisseur inconnu"))</f>
        <v/>
      </c>
      <c r="E1710" s="63" t="n"/>
      <c r="F1710" s="66" t="str">
        <f>IF(E1710="","",IFERROR(INDEX(art_des,MATCH($E1710,art_ref,0))&amp;"","Article inconnu"))</f>
        <v/>
      </c>
      <c r="G1710" s="67" t="str">
        <f>IF(E1710="","",IFERROR(INDEX(art_unit,MATCH($E1710,art_ref,0))&amp;"",""))</f>
        <v/>
      </c>
      <c r="H1710" s="68" t="n"/>
      <c r="I1710" s="69" t="n"/>
      <c r="J1710" s="70" t="str">
        <f>IF(E1710="","",IF(ISNUMBER(I1710),I1710,IFERROR(IF(ISNUMBER(INDEX(art_price,MATCH($E1710,art_ref,0))),INDEX(art_price,MATCH($E1710,art_ref,0)),""),"")))</f>
        <v/>
      </c>
      <c r="K1710" s="71" t="n"/>
      <c r="L1710" s="72" t="n"/>
      <c r="M1710" s="72" t="str">
        <f>IF(E1710="","",IF(L1710&lt;&gt;"",L1710,IFERROR(IF(ISNUMBER(INDEX(art_tva,MATCH($E1710,art_ref,0))),INDEX(art_tva,MATCH($E1710,art_ref,0)),""),"")))</f>
        <v/>
      </c>
      <c r="N1710" s="70" t="str">
        <f>IF(OR(E1710="",J1710=""),"",ROUND(N(H1710)*J1710*(1-N(K1710)),2))</f>
        <v/>
      </c>
      <c r="O1710" s="70" t="str">
        <f>IF(OR(N1710="",NOT(ISNUMBER(M1710))),"",ROUND(N1710*M1710,2))</f>
        <v/>
      </c>
      <c r="P1710" s="70" t="str">
        <f>IF(N1710="","",N1710+N(O1710))</f>
        <v/>
      </c>
      <c r="Q1710" s="64" t="n"/>
      <c r="R1710" s="73" t="str">
        <f>IF(N(Q1710)&gt;0,Q1710,IF(OR(N(B1710)=0,ISNA(MATCH($C1710,sup_code,0))),"",IF(ISNUMBER(INDEX(sup_delay,MATCH($C1710,sup_code,0))),B1710+INDEX(sup_delay,MATCH($C1710,sup_code,0)),"")))</f>
        <v/>
      </c>
      <c r="S1710" s="64" t="n"/>
      <c r="T1710" s="68" t="n"/>
      <c r="U1710" s="64" t="n"/>
      <c r="V1710" s="65" t="n"/>
      <c r="W1710" s="74" t="str">
        <f>IF(AND(A1710="",E1710=""),"",IF(V1710="Oui",0,MAX(0,ROUND(N(H1710)-N(T1710),6))))</f>
        <v/>
      </c>
      <c r="X1710" s="67" t="str">
        <f>IF(AND(A1710="",E1710=""),"",IF(V1710="Oui","Annulé",IF(AND(N(H1710)&gt;0,N(T1710)&gt;=N(H1710)),"Reçu",IF(N(S1710)=0,"Brouillon",IF(AND(ISNUMBER(R1710),R1710&lt;p_today),"En retard",IF(N(T1710)&gt;0,"Partiel","Envoyé"))))))</f>
        <v/>
      </c>
      <c r="Y1710" s="75" t="str">
        <f>IF(X1710="En retard",p_today-R1710,IF(AND(X1710="Reçu",ISNUMBER(R1710)),MAX(0,N(U1710)-R1710),""))</f>
        <v/>
      </c>
      <c r="Z1710" s="67" t="str">
        <f>IF(AND(A1710="",E1710=""),"",IF(A1710="","N° de bon manquant",IF(N(B1710)=0,"Date de commande manquante",IF(C1710="","Fournisseur manquant",IF(ISNA(MATCH($C1710,sup_code,0)),"Fournisseur inconnu",IF(E1710="","Article manquant",IF(ISNA(MATCH($E1710,art_ref,0)),"Article inconnu",IF(N(H1710)&lt;=0,"Quantité invalide",IF(J1710="","Prix manquant",IF(OR(N(K1710)&lt;0,N(K1710)&gt;=1),"Remise invalide",IF(M1710="","TVA manquante",IF(ISNA(MATCH(M1710,p_tva,0)),"Taux de TVA inconnu",IF(COUNTIFS(po_num,A1710,po_sup,"&lt;&gt;"&amp;C1710)&gt;0,"Fournisseur différent sur ce bon",IF(COUNTIFS(po_num,A1710,po_date,"&lt;&gt;"&amp;B1710)&gt;0,"Date différente sur ce bon",IF(COUNTIF(po_num,A1710)&gt;25,"Plus de 25 lignes sur ce bon",IF(R1710="","Date de livraison manquante",IF(R1710&lt;B1710,"Livraison avant la commande",IF(AND(N(T1710)&gt;0,N(S1710)=0),"Date d'envoi manquante",IF(N(T1710)&gt;N(H1710),"Reçu plus que commandé",IF(AND(N(T1710)&gt;0,N(U1710)=0),"Date de réception manquante",IF(AND(N(U1710)&gt;0,U1710&lt;B1710),"Réception avant la commande","OK")))))))))))))))))))))</f>
        <v/>
      </c>
      <c r="AA1710" s="66" t="str">
        <f>IF(AND(X1710="Reçu",ISNUMBER(R1710)),IF(N(U1710)&lt;=R1710,1,0),"")</f>
        <v/>
      </c>
      <c r="AB1710" s="76" t="str">
        <f>IF(OR(X1710="Envoyé",X1710="Partiel",X1710="En retard"),IF(ISNUMBER(R1710),R1710,100000)+ROW()/100000,"")</f>
        <v/>
      </c>
      <c r="AC1710" s="66" t="str">
        <f>IF(A1710="","",IF(COUNTIF($A$6:A1710,A1710)=1,1,""))</f>
        <v/>
      </c>
      <c r="AD1710" s="66" t="str">
        <f>IF(AC1710=1,COUNT($AC$6:AC1710),"")</f>
        <v/>
      </c>
      <c r="AE1710" s="66" t="str">
        <f>IFERROR(INDEX(po_num,MATCH(1705,po_seq,0))&amp;"","")</f>
        <v/>
      </c>
      <c r="AF1710" s="66" t="str">
        <f>IF(OR(A1710="",p_po=""),"",IF(A1710&amp;""=p_po,COUNTIF($A$6:A1710,A1710),""))</f>
        <v/>
      </c>
      <c r="AG1710" s="66" t="str">
        <f>IF(OR(AB1710="",A1710=""),"",IF(COUNTIFS($A$6:A1710,A1710,$AB$6:AB1710,"&gt;0")=1,1,""))</f>
        <v/>
      </c>
      <c r="AH1710" s="70" t="str">
        <f>IF(AB1710="","",ROUND(N(W1710)*N(J1710)*(1-N(K1710)),2))</f>
        <v/>
      </c>
      <c r="AI1710" s="70" t="str">
        <f>IF(OR(J1710="",N(T1710)&lt;=0,V1710="Oui"),"",ROUND(N(T1710)*J1710*(1-N(K1710)),2))</f>
        <v/>
      </c>
    </row>
    <row r="1711">
      <c r="A1711" s="63" t="n"/>
      <c r="B1711" s="64" t="n"/>
      <c r="C1711" s="65" t="n"/>
      <c r="D1711" s="66" t="str">
        <f>IF(C1711="","",IFERROR(INDEX(sup_name,MATCH($C1711,sup_code,0))&amp;"","Fournisseur inconnu"))</f>
        <v/>
      </c>
      <c r="E1711" s="63" t="n"/>
      <c r="F1711" s="66" t="str">
        <f>IF(E1711="","",IFERROR(INDEX(art_des,MATCH($E1711,art_ref,0))&amp;"","Article inconnu"))</f>
        <v/>
      </c>
      <c r="G1711" s="67" t="str">
        <f>IF(E1711="","",IFERROR(INDEX(art_unit,MATCH($E1711,art_ref,0))&amp;"",""))</f>
        <v/>
      </c>
      <c r="H1711" s="68" t="n"/>
      <c r="I1711" s="69" t="n"/>
      <c r="J1711" s="70" t="str">
        <f>IF(E1711="","",IF(ISNUMBER(I1711),I1711,IFERROR(IF(ISNUMBER(INDEX(art_price,MATCH($E1711,art_ref,0))),INDEX(art_price,MATCH($E1711,art_ref,0)),""),"")))</f>
        <v/>
      </c>
      <c r="K1711" s="71" t="n"/>
      <c r="L1711" s="72" t="n"/>
      <c r="M1711" s="72" t="str">
        <f>IF(E1711="","",IF(L1711&lt;&gt;"",L1711,IFERROR(IF(ISNUMBER(INDEX(art_tva,MATCH($E1711,art_ref,0))),INDEX(art_tva,MATCH($E1711,art_ref,0)),""),"")))</f>
        <v/>
      </c>
      <c r="N1711" s="70" t="str">
        <f>IF(OR(E1711="",J1711=""),"",ROUND(N(H1711)*J1711*(1-N(K1711)),2))</f>
        <v/>
      </c>
      <c r="O1711" s="70" t="str">
        <f>IF(OR(N1711="",NOT(ISNUMBER(M1711))),"",ROUND(N1711*M1711,2))</f>
        <v/>
      </c>
      <c r="P1711" s="70" t="str">
        <f>IF(N1711="","",N1711+N(O1711))</f>
        <v/>
      </c>
      <c r="Q1711" s="64" t="n"/>
      <c r="R1711" s="73" t="str">
        <f>IF(N(Q1711)&gt;0,Q1711,IF(OR(N(B1711)=0,ISNA(MATCH($C1711,sup_code,0))),"",IF(ISNUMBER(INDEX(sup_delay,MATCH($C1711,sup_code,0))),B1711+INDEX(sup_delay,MATCH($C1711,sup_code,0)),"")))</f>
        <v/>
      </c>
      <c r="S1711" s="64" t="n"/>
      <c r="T1711" s="68" t="n"/>
      <c r="U1711" s="64" t="n"/>
      <c r="V1711" s="65" t="n"/>
      <c r="W1711" s="74" t="str">
        <f>IF(AND(A1711="",E1711=""),"",IF(V1711="Oui",0,MAX(0,ROUND(N(H1711)-N(T1711),6))))</f>
        <v/>
      </c>
      <c r="X1711" s="67" t="str">
        <f>IF(AND(A1711="",E1711=""),"",IF(V1711="Oui","Annulé",IF(AND(N(H1711)&gt;0,N(T1711)&gt;=N(H1711)),"Reçu",IF(N(S1711)=0,"Brouillon",IF(AND(ISNUMBER(R1711),R1711&lt;p_today),"En retard",IF(N(T1711)&gt;0,"Partiel","Envoyé"))))))</f>
        <v/>
      </c>
      <c r="Y1711" s="75" t="str">
        <f>IF(X1711="En retard",p_today-R1711,IF(AND(X1711="Reçu",ISNUMBER(R1711)),MAX(0,N(U1711)-R1711),""))</f>
        <v/>
      </c>
      <c r="Z1711" s="67" t="str">
        <f>IF(AND(A1711="",E1711=""),"",IF(A1711="","N° de bon manquant",IF(N(B1711)=0,"Date de commande manquante",IF(C1711="","Fournisseur manquant",IF(ISNA(MATCH($C1711,sup_code,0)),"Fournisseur inconnu",IF(E1711="","Article manquant",IF(ISNA(MATCH($E1711,art_ref,0)),"Article inconnu",IF(N(H1711)&lt;=0,"Quantité invalide",IF(J1711="","Prix manquant",IF(OR(N(K1711)&lt;0,N(K1711)&gt;=1),"Remise invalide",IF(M1711="","TVA manquante",IF(ISNA(MATCH(M1711,p_tva,0)),"Taux de TVA inconnu",IF(COUNTIFS(po_num,A1711,po_sup,"&lt;&gt;"&amp;C1711)&gt;0,"Fournisseur différent sur ce bon",IF(COUNTIFS(po_num,A1711,po_date,"&lt;&gt;"&amp;B1711)&gt;0,"Date différente sur ce bon",IF(COUNTIF(po_num,A1711)&gt;25,"Plus de 25 lignes sur ce bon",IF(R1711="","Date de livraison manquante",IF(R1711&lt;B1711,"Livraison avant la commande",IF(AND(N(T1711)&gt;0,N(S1711)=0),"Date d'envoi manquante",IF(N(T1711)&gt;N(H1711),"Reçu plus que commandé",IF(AND(N(T1711)&gt;0,N(U1711)=0),"Date de réception manquante",IF(AND(N(U1711)&gt;0,U1711&lt;B1711),"Réception avant la commande","OK")))))))))))))))))))))</f>
        <v/>
      </c>
      <c r="AA1711" s="66" t="str">
        <f>IF(AND(X1711="Reçu",ISNUMBER(R1711)),IF(N(U1711)&lt;=R1711,1,0),"")</f>
        <v/>
      </c>
      <c r="AB1711" s="76" t="str">
        <f>IF(OR(X1711="Envoyé",X1711="Partiel",X1711="En retard"),IF(ISNUMBER(R1711),R1711,100000)+ROW()/100000,"")</f>
        <v/>
      </c>
      <c r="AC1711" s="66" t="str">
        <f>IF(A1711="","",IF(COUNTIF($A$6:A1711,A1711)=1,1,""))</f>
        <v/>
      </c>
      <c r="AD1711" s="66" t="str">
        <f>IF(AC1711=1,COUNT($AC$6:AC1711),"")</f>
        <v/>
      </c>
      <c r="AE1711" s="66" t="str">
        <f>IFERROR(INDEX(po_num,MATCH(1706,po_seq,0))&amp;"","")</f>
        <v/>
      </c>
      <c r="AF1711" s="66" t="str">
        <f>IF(OR(A1711="",p_po=""),"",IF(A1711&amp;""=p_po,COUNTIF($A$6:A1711,A1711),""))</f>
        <v/>
      </c>
      <c r="AG1711" s="66" t="str">
        <f>IF(OR(AB1711="",A1711=""),"",IF(COUNTIFS($A$6:A1711,A1711,$AB$6:AB1711,"&gt;0")=1,1,""))</f>
        <v/>
      </c>
      <c r="AH1711" s="70" t="str">
        <f>IF(AB1711="","",ROUND(N(W1711)*N(J1711)*(1-N(K1711)),2))</f>
        <v/>
      </c>
      <c r="AI1711" s="70" t="str">
        <f>IF(OR(J1711="",N(T1711)&lt;=0,V1711="Oui"),"",ROUND(N(T1711)*J1711*(1-N(K1711)),2))</f>
        <v/>
      </c>
    </row>
    <row r="1712">
      <c r="A1712" s="63" t="n"/>
      <c r="B1712" s="64" t="n"/>
      <c r="C1712" s="65" t="n"/>
      <c r="D1712" s="66" t="str">
        <f>IF(C1712="","",IFERROR(INDEX(sup_name,MATCH($C1712,sup_code,0))&amp;"","Fournisseur inconnu"))</f>
        <v/>
      </c>
      <c r="E1712" s="63" t="n"/>
      <c r="F1712" s="66" t="str">
        <f>IF(E1712="","",IFERROR(INDEX(art_des,MATCH($E1712,art_ref,0))&amp;"","Article inconnu"))</f>
        <v/>
      </c>
      <c r="G1712" s="67" t="str">
        <f>IF(E1712="","",IFERROR(INDEX(art_unit,MATCH($E1712,art_ref,0))&amp;"",""))</f>
        <v/>
      </c>
      <c r="H1712" s="68" t="n"/>
      <c r="I1712" s="69" t="n"/>
      <c r="J1712" s="70" t="str">
        <f>IF(E1712="","",IF(ISNUMBER(I1712),I1712,IFERROR(IF(ISNUMBER(INDEX(art_price,MATCH($E1712,art_ref,0))),INDEX(art_price,MATCH($E1712,art_ref,0)),""),"")))</f>
        <v/>
      </c>
      <c r="K1712" s="71" t="n"/>
      <c r="L1712" s="72" t="n"/>
      <c r="M1712" s="72" t="str">
        <f>IF(E1712="","",IF(L1712&lt;&gt;"",L1712,IFERROR(IF(ISNUMBER(INDEX(art_tva,MATCH($E1712,art_ref,0))),INDEX(art_tva,MATCH($E1712,art_ref,0)),""),"")))</f>
        <v/>
      </c>
      <c r="N1712" s="70" t="str">
        <f>IF(OR(E1712="",J1712=""),"",ROUND(N(H1712)*J1712*(1-N(K1712)),2))</f>
        <v/>
      </c>
      <c r="O1712" s="70" t="str">
        <f>IF(OR(N1712="",NOT(ISNUMBER(M1712))),"",ROUND(N1712*M1712,2))</f>
        <v/>
      </c>
      <c r="P1712" s="70" t="str">
        <f>IF(N1712="","",N1712+N(O1712))</f>
        <v/>
      </c>
      <c r="Q1712" s="64" t="n"/>
      <c r="R1712" s="73" t="str">
        <f>IF(N(Q1712)&gt;0,Q1712,IF(OR(N(B1712)=0,ISNA(MATCH($C1712,sup_code,0))),"",IF(ISNUMBER(INDEX(sup_delay,MATCH($C1712,sup_code,0))),B1712+INDEX(sup_delay,MATCH($C1712,sup_code,0)),"")))</f>
        <v/>
      </c>
      <c r="S1712" s="64" t="n"/>
      <c r="T1712" s="68" t="n"/>
      <c r="U1712" s="64" t="n"/>
      <c r="V1712" s="65" t="n"/>
      <c r="W1712" s="74" t="str">
        <f>IF(AND(A1712="",E1712=""),"",IF(V1712="Oui",0,MAX(0,ROUND(N(H1712)-N(T1712),6))))</f>
        <v/>
      </c>
      <c r="X1712" s="67" t="str">
        <f>IF(AND(A1712="",E1712=""),"",IF(V1712="Oui","Annulé",IF(AND(N(H1712)&gt;0,N(T1712)&gt;=N(H1712)),"Reçu",IF(N(S1712)=0,"Brouillon",IF(AND(ISNUMBER(R1712),R1712&lt;p_today),"En retard",IF(N(T1712)&gt;0,"Partiel","Envoyé"))))))</f>
        <v/>
      </c>
      <c r="Y1712" s="75" t="str">
        <f>IF(X1712="En retard",p_today-R1712,IF(AND(X1712="Reçu",ISNUMBER(R1712)),MAX(0,N(U1712)-R1712),""))</f>
        <v/>
      </c>
      <c r="Z1712" s="67" t="str">
        <f>IF(AND(A1712="",E1712=""),"",IF(A1712="","N° de bon manquant",IF(N(B1712)=0,"Date de commande manquante",IF(C1712="","Fournisseur manquant",IF(ISNA(MATCH($C1712,sup_code,0)),"Fournisseur inconnu",IF(E1712="","Article manquant",IF(ISNA(MATCH($E1712,art_ref,0)),"Article inconnu",IF(N(H1712)&lt;=0,"Quantité invalide",IF(J1712="","Prix manquant",IF(OR(N(K1712)&lt;0,N(K1712)&gt;=1),"Remise invalide",IF(M1712="","TVA manquante",IF(ISNA(MATCH(M1712,p_tva,0)),"Taux de TVA inconnu",IF(COUNTIFS(po_num,A1712,po_sup,"&lt;&gt;"&amp;C1712)&gt;0,"Fournisseur différent sur ce bon",IF(COUNTIFS(po_num,A1712,po_date,"&lt;&gt;"&amp;B1712)&gt;0,"Date différente sur ce bon",IF(COUNTIF(po_num,A1712)&gt;25,"Plus de 25 lignes sur ce bon",IF(R1712="","Date de livraison manquante",IF(R1712&lt;B1712,"Livraison avant la commande",IF(AND(N(T1712)&gt;0,N(S1712)=0),"Date d'envoi manquante",IF(N(T1712)&gt;N(H1712),"Reçu plus que commandé",IF(AND(N(T1712)&gt;0,N(U1712)=0),"Date de réception manquante",IF(AND(N(U1712)&gt;0,U1712&lt;B1712),"Réception avant la commande","OK")))))))))))))))))))))</f>
        <v/>
      </c>
      <c r="AA1712" s="66" t="str">
        <f>IF(AND(X1712="Reçu",ISNUMBER(R1712)),IF(N(U1712)&lt;=R1712,1,0),"")</f>
        <v/>
      </c>
      <c r="AB1712" s="76" t="str">
        <f>IF(OR(X1712="Envoyé",X1712="Partiel",X1712="En retard"),IF(ISNUMBER(R1712),R1712,100000)+ROW()/100000,"")</f>
        <v/>
      </c>
      <c r="AC1712" s="66" t="str">
        <f>IF(A1712="","",IF(COUNTIF($A$6:A1712,A1712)=1,1,""))</f>
        <v/>
      </c>
      <c r="AD1712" s="66" t="str">
        <f>IF(AC1712=1,COUNT($AC$6:AC1712),"")</f>
        <v/>
      </c>
      <c r="AE1712" s="66" t="str">
        <f>IFERROR(INDEX(po_num,MATCH(1707,po_seq,0))&amp;"","")</f>
        <v/>
      </c>
      <c r="AF1712" s="66" t="str">
        <f>IF(OR(A1712="",p_po=""),"",IF(A1712&amp;""=p_po,COUNTIF($A$6:A1712,A1712),""))</f>
        <v/>
      </c>
      <c r="AG1712" s="66" t="str">
        <f>IF(OR(AB1712="",A1712=""),"",IF(COUNTIFS($A$6:A1712,A1712,$AB$6:AB1712,"&gt;0")=1,1,""))</f>
        <v/>
      </c>
      <c r="AH1712" s="70" t="str">
        <f>IF(AB1712="","",ROUND(N(W1712)*N(J1712)*(1-N(K1712)),2))</f>
        <v/>
      </c>
      <c r="AI1712" s="70" t="str">
        <f>IF(OR(J1712="",N(T1712)&lt;=0,V1712="Oui"),"",ROUND(N(T1712)*J1712*(1-N(K1712)),2))</f>
        <v/>
      </c>
    </row>
    <row r="1713">
      <c r="A1713" s="63" t="n"/>
      <c r="B1713" s="64" t="n"/>
      <c r="C1713" s="65" t="n"/>
      <c r="D1713" s="66" t="str">
        <f>IF(C1713="","",IFERROR(INDEX(sup_name,MATCH($C1713,sup_code,0))&amp;"","Fournisseur inconnu"))</f>
        <v/>
      </c>
      <c r="E1713" s="63" t="n"/>
      <c r="F1713" s="66" t="str">
        <f>IF(E1713="","",IFERROR(INDEX(art_des,MATCH($E1713,art_ref,0))&amp;"","Article inconnu"))</f>
        <v/>
      </c>
      <c r="G1713" s="67" t="str">
        <f>IF(E1713="","",IFERROR(INDEX(art_unit,MATCH($E1713,art_ref,0))&amp;"",""))</f>
        <v/>
      </c>
      <c r="H1713" s="68" t="n"/>
      <c r="I1713" s="69" t="n"/>
      <c r="J1713" s="70" t="str">
        <f>IF(E1713="","",IF(ISNUMBER(I1713),I1713,IFERROR(IF(ISNUMBER(INDEX(art_price,MATCH($E1713,art_ref,0))),INDEX(art_price,MATCH($E1713,art_ref,0)),""),"")))</f>
        <v/>
      </c>
      <c r="K1713" s="71" t="n"/>
      <c r="L1713" s="72" t="n"/>
      <c r="M1713" s="72" t="str">
        <f>IF(E1713="","",IF(L1713&lt;&gt;"",L1713,IFERROR(IF(ISNUMBER(INDEX(art_tva,MATCH($E1713,art_ref,0))),INDEX(art_tva,MATCH($E1713,art_ref,0)),""),"")))</f>
        <v/>
      </c>
      <c r="N1713" s="70" t="str">
        <f>IF(OR(E1713="",J1713=""),"",ROUND(N(H1713)*J1713*(1-N(K1713)),2))</f>
        <v/>
      </c>
      <c r="O1713" s="70" t="str">
        <f>IF(OR(N1713="",NOT(ISNUMBER(M1713))),"",ROUND(N1713*M1713,2))</f>
        <v/>
      </c>
      <c r="P1713" s="70" t="str">
        <f>IF(N1713="","",N1713+N(O1713))</f>
        <v/>
      </c>
      <c r="Q1713" s="64" t="n"/>
      <c r="R1713" s="73" t="str">
        <f>IF(N(Q1713)&gt;0,Q1713,IF(OR(N(B1713)=0,ISNA(MATCH($C1713,sup_code,0))),"",IF(ISNUMBER(INDEX(sup_delay,MATCH($C1713,sup_code,0))),B1713+INDEX(sup_delay,MATCH($C1713,sup_code,0)),"")))</f>
        <v/>
      </c>
      <c r="S1713" s="64" t="n"/>
      <c r="T1713" s="68" t="n"/>
      <c r="U1713" s="64" t="n"/>
      <c r="V1713" s="65" t="n"/>
      <c r="W1713" s="74" t="str">
        <f>IF(AND(A1713="",E1713=""),"",IF(V1713="Oui",0,MAX(0,ROUND(N(H1713)-N(T1713),6))))</f>
        <v/>
      </c>
      <c r="X1713" s="67" t="str">
        <f>IF(AND(A1713="",E1713=""),"",IF(V1713="Oui","Annulé",IF(AND(N(H1713)&gt;0,N(T1713)&gt;=N(H1713)),"Reçu",IF(N(S1713)=0,"Brouillon",IF(AND(ISNUMBER(R1713),R1713&lt;p_today),"En retard",IF(N(T1713)&gt;0,"Partiel","Envoyé"))))))</f>
        <v/>
      </c>
      <c r="Y1713" s="75" t="str">
        <f>IF(X1713="En retard",p_today-R1713,IF(AND(X1713="Reçu",ISNUMBER(R1713)),MAX(0,N(U1713)-R1713),""))</f>
        <v/>
      </c>
      <c r="Z1713" s="67" t="str">
        <f>IF(AND(A1713="",E1713=""),"",IF(A1713="","N° de bon manquant",IF(N(B1713)=0,"Date de commande manquante",IF(C1713="","Fournisseur manquant",IF(ISNA(MATCH($C1713,sup_code,0)),"Fournisseur inconnu",IF(E1713="","Article manquant",IF(ISNA(MATCH($E1713,art_ref,0)),"Article inconnu",IF(N(H1713)&lt;=0,"Quantité invalide",IF(J1713="","Prix manquant",IF(OR(N(K1713)&lt;0,N(K1713)&gt;=1),"Remise invalide",IF(M1713="","TVA manquante",IF(ISNA(MATCH(M1713,p_tva,0)),"Taux de TVA inconnu",IF(COUNTIFS(po_num,A1713,po_sup,"&lt;&gt;"&amp;C1713)&gt;0,"Fournisseur différent sur ce bon",IF(COUNTIFS(po_num,A1713,po_date,"&lt;&gt;"&amp;B1713)&gt;0,"Date différente sur ce bon",IF(COUNTIF(po_num,A1713)&gt;25,"Plus de 25 lignes sur ce bon",IF(R1713="","Date de livraison manquante",IF(R1713&lt;B1713,"Livraison avant la commande",IF(AND(N(T1713)&gt;0,N(S1713)=0),"Date d'envoi manquante",IF(N(T1713)&gt;N(H1713),"Reçu plus que commandé",IF(AND(N(T1713)&gt;0,N(U1713)=0),"Date de réception manquante",IF(AND(N(U1713)&gt;0,U1713&lt;B1713),"Réception avant la commande","OK")))))))))))))))))))))</f>
        <v/>
      </c>
      <c r="AA1713" s="66" t="str">
        <f>IF(AND(X1713="Reçu",ISNUMBER(R1713)),IF(N(U1713)&lt;=R1713,1,0),"")</f>
        <v/>
      </c>
      <c r="AB1713" s="76" t="str">
        <f>IF(OR(X1713="Envoyé",X1713="Partiel",X1713="En retard"),IF(ISNUMBER(R1713),R1713,100000)+ROW()/100000,"")</f>
        <v/>
      </c>
      <c r="AC1713" s="66" t="str">
        <f>IF(A1713="","",IF(COUNTIF($A$6:A1713,A1713)=1,1,""))</f>
        <v/>
      </c>
      <c r="AD1713" s="66" t="str">
        <f>IF(AC1713=1,COUNT($AC$6:AC1713),"")</f>
        <v/>
      </c>
      <c r="AE1713" s="66" t="str">
        <f>IFERROR(INDEX(po_num,MATCH(1708,po_seq,0))&amp;"","")</f>
        <v/>
      </c>
      <c r="AF1713" s="66" t="str">
        <f>IF(OR(A1713="",p_po=""),"",IF(A1713&amp;""=p_po,COUNTIF($A$6:A1713,A1713),""))</f>
        <v/>
      </c>
      <c r="AG1713" s="66" t="str">
        <f>IF(OR(AB1713="",A1713=""),"",IF(COUNTIFS($A$6:A1713,A1713,$AB$6:AB1713,"&gt;0")=1,1,""))</f>
        <v/>
      </c>
      <c r="AH1713" s="70" t="str">
        <f>IF(AB1713="","",ROUND(N(W1713)*N(J1713)*(1-N(K1713)),2))</f>
        <v/>
      </c>
      <c r="AI1713" s="70" t="str">
        <f>IF(OR(J1713="",N(T1713)&lt;=0,V1713="Oui"),"",ROUND(N(T1713)*J1713*(1-N(K1713)),2))</f>
        <v/>
      </c>
    </row>
    <row r="1714">
      <c r="A1714" s="63" t="n"/>
      <c r="B1714" s="64" t="n"/>
      <c r="C1714" s="65" t="n"/>
      <c r="D1714" s="66" t="str">
        <f>IF(C1714="","",IFERROR(INDEX(sup_name,MATCH($C1714,sup_code,0))&amp;"","Fournisseur inconnu"))</f>
        <v/>
      </c>
      <c r="E1714" s="63" t="n"/>
      <c r="F1714" s="66" t="str">
        <f>IF(E1714="","",IFERROR(INDEX(art_des,MATCH($E1714,art_ref,0))&amp;"","Article inconnu"))</f>
        <v/>
      </c>
      <c r="G1714" s="67" t="str">
        <f>IF(E1714="","",IFERROR(INDEX(art_unit,MATCH($E1714,art_ref,0))&amp;"",""))</f>
        <v/>
      </c>
      <c r="H1714" s="68" t="n"/>
      <c r="I1714" s="69" t="n"/>
      <c r="J1714" s="70" t="str">
        <f>IF(E1714="","",IF(ISNUMBER(I1714),I1714,IFERROR(IF(ISNUMBER(INDEX(art_price,MATCH($E1714,art_ref,0))),INDEX(art_price,MATCH($E1714,art_ref,0)),""),"")))</f>
        <v/>
      </c>
      <c r="K1714" s="71" t="n"/>
      <c r="L1714" s="72" t="n"/>
      <c r="M1714" s="72" t="str">
        <f>IF(E1714="","",IF(L1714&lt;&gt;"",L1714,IFERROR(IF(ISNUMBER(INDEX(art_tva,MATCH($E1714,art_ref,0))),INDEX(art_tva,MATCH($E1714,art_ref,0)),""),"")))</f>
        <v/>
      </c>
      <c r="N1714" s="70" t="str">
        <f>IF(OR(E1714="",J1714=""),"",ROUND(N(H1714)*J1714*(1-N(K1714)),2))</f>
        <v/>
      </c>
      <c r="O1714" s="70" t="str">
        <f>IF(OR(N1714="",NOT(ISNUMBER(M1714))),"",ROUND(N1714*M1714,2))</f>
        <v/>
      </c>
      <c r="P1714" s="70" t="str">
        <f>IF(N1714="","",N1714+N(O1714))</f>
        <v/>
      </c>
      <c r="Q1714" s="64" t="n"/>
      <c r="R1714" s="73" t="str">
        <f>IF(N(Q1714)&gt;0,Q1714,IF(OR(N(B1714)=0,ISNA(MATCH($C1714,sup_code,0))),"",IF(ISNUMBER(INDEX(sup_delay,MATCH($C1714,sup_code,0))),B1714+INDEX(sup_delay,MATCH($C1714,sup_code,0)),"")))</f>
        <v/>
      </c>
      <c r="S1714" s="64" t="n"/>
      <c r="T1714" s="68" t="n"/>
      <c r="U1714" s="64" t="n"/>
      <c r="V1714" s="65" t="n"/>
      <c r="W1714" s="74" t="str">
        <f>IF(AND(A1714="",E1714=""),"",IF(V1714="Oui",0,MAX(0,ROUND(N(H1714)-N(T1714),6))))</f>
        <v/>
      </c>
      <c r="X1714" s="67" t="str">
        <f>IF(AND(A1714="",E1714=""),"",IF(V1714="Oui","Annulé",IF(AND(N(H1714)&gt;0,N(T1714)&gt;=N(H1714)),"Reçu",IF(N(S1714)=0,"Brouillon",IF(AND(ISNUMBER(R1714),R1714&lt;p_today),"En retard",IF(N(T1714)&gt;0,"Partiel","Envoyé"))))))</f>
        <v/>
      </c>
      <c r="Y1714" s="75" t="str">
        <f>IF(X1714="En retard",p_today-R1714,IF(AND(X1714="Reçu",ISNUMBER(R1714)),MAX(0,N(U1714)-R1714),""))</f>
        <v/>
      </c>
      <c r="Z1714" s="67" t="str">
        <f>IF(AND(A1714="",E1714=""),"",IF(A1714="","N° de bon manquant",IF(N(B1714)=0,"Date de commande manquante",IF(C1714="","Fournisseur manquant",IF(ISNA(MATCH($C1714,sup_code,0)),"Fournisseur inconnu",IF(E1714="","Article manquant",IF(ISNA(MATCH($E1714,art_ref,0)),"Article inconnu",IF(N(H1714)&lt;=0,"Quantité invalide",IF(J1714="","Prix manquant",IF(OR(N(K1714)&lt;0,N(K1714)&gt;=1),"Remise invalide",IF(M1714="","TVA manquante",IF(ISNA(MATCH(M1714,p_tva,0)),"Taux de TVA inconnu",IF(COUNTIFS(po_num,A1714,po_sup,"&lt;&gt;"&amp;C1714)&gt;0,"Fournisseur différent sur ce bon",IF(COUNTIFS(po_num,A1714,po_date,"&lt;&gt;"&amp;B1714)&gt;0,"Date différente sur ce bon",IF(COUNTIF(po_num,A1714)&gt;25,"Plus de 25 lignes sur ce bon",IF(R1714="","Date de livraison manquante",IF(R1714&lt;B1714,"Livraison avant la commande",IF(AND(N(T1714)&gt;0,N(S1714)=0),"Date d'envoi manquante",IF(N(T1714)&gt;N(H1714),"Reçu plus que commandé",IF(AND(N(T1714)&gt;0,N(U1714)=0),"Date de réception manquante",IF(AND(N(U1714)&gt;0,U1714&lt;B1714),"Réception avant la commande","OK")))))))))))))))))))))</f>
        <v/>
      </c>
      <c r="AA1714" s="66" t="str">
        <f>IF(AND(X1714="Reçu",ISNUMBER(R1714)),IF(N(U1714)&lt;=R1714,1,0),"")</f>
        <v/>
      </c>
      <c r="AB1714" s="76" t="str">
        <f>IF(OR(X1714="Envoyé",X1714="Partiel",X1714="En retard"),IF(ISNUMBER(R1714),R1714,100000)+ROW()/100000,"")</f>
        <v/>
      </c>
      <c r="AC1714" s="66" t="str">
        <f>IF(A1714="","",IF(COUNTIF($A$6:A1714,A1714)=1,1,""))</f>
        <v/>
      </c>
      <c r="AD1714" s="66" t="str">
        <f>IF(AC1714=1,COUNT($AC$6:AC1714),"")</f>
        <v/>
      </c>
      <c r="AE1714" s="66" t="str">
        <f>IFERROR(INDEX(po_num,MATCH(1709,po_seq,0))&amp;"","")</f>
        <v/>
      </c>
      <c r="AF1714" s="66" t="str">
        <f>IF(OR(A1714="",p_po=""),"",IF(A1714&amp;""=p_po,COUNTIF($A$6:A1714,A1714),""))</f>
        <v/>
      </c>
      <c r="AG1714" s="66" t="str">
        <f>IF(OR(AB1714="",A1714=""),"",IF(COUNTIFS($A$6:A1714,A1714,$AB$6:AB1714,"&gt;0")=1,1,""))</f>
        <v/>
      </c>
      <c r="AH1714" s="70" t="str">
        <f>IF(AB1714="","",ROUND(N(W1714)*N(J1714)*(1-N(K1714)),2))</f>
        <v/>
      </c>
      <c r="AI1714" s="70" t="str">
        <f>IF(OR(J1714="",N(T1714)&lt;=0,V1714="Oui"),"",ROUND(N(T1714)*J1714*(1-N(K1714)),2))</f>
        <v/>
      </c>
    </row>
    <row r="1715">
      <c r="A1715" s="63" t="n"/>
      <c r="B1715" s="64" t="n"/>
      <c r="C1715" s="65" t="n"/>
      <c r="D1715" s="66" t="str">
        <f>IF(C1715="","",IFERROR(INDEX(sup_name,MATCH($C1715,sup_code,0))&amp;"","Fournisseur inconnu"))</f>
        <v/>
      </c>
      <c r="E1715" s="63" t="n"/>
      <c r="F1715" s="66" t="str">
        <f>IF(E1715="","",IFERROR(INDEX(art_des,MATCH($E1715,art_ref,0))&amp;"","Article inconnu"))</f>
        <v/>
      </c>
      <c r="G1715" s="67" t="str">
        <f>IF(E1715="","",IFERROR(INDEX(art_unit,MATCH($E1715,art_ref,0))&amp;"",""))</f>
        <v/>
      </c>
      <c r="H1715" s="68" t="n"/>
      <c r="I1715" s="69" t="n"/>
      <c r="J1715" s="70" t="str">
        <f>IF(E1715="","",IF(ISNUMBER(I1715),I1715,IFERROR(IF(ISNUMBER(INDEX(art_price,MATCH($E1715,art_ref,0))),INDEX(art_price,MATCH($E1715,art_ref,0)),""),"")))</f>
        <v/>
      </c>
      <c r="K1715" s="71" t="n"/>
      <c r="L1715" s="72" t="n"/>
      <c r="M1715" s="72" t="str">
        <f>IF(E1715="","",IF(L1715&lt;&gt;"",L1715,IFERROR(IF(ISNUMBER(INDEX(art_tva,MATCH($E1715,art_ref,0))),INDEX(art_tva,MATCH($E1715,art_ref,0)),""),"")))</f>
        <v/>
      </c>
      <c r="N1715" s="70" t="str">
        <f>IF(OR(E1715="",J1715=""),"",ROUND(N(H1715)*J1715*(1-N(K1715)),2))</f>
        <v/>
      </c>
      <c r="O1715" s="70" t="str">
        <f>IF(OR(N1715="",NOT(ISNUMBER(M1715))),"",ROUND(N1715*M1715,2))</f>
        <v/>
      </c>
      <c r="P1715" s="70" t="str">
        <f>IF(N1715="","",N1715+N(O1715))</f>
        <v/>
      </c>
      <c r="Q1715" s="64" t="n"/>
      <c r="R1715" s="73" t="str">
        <f>IF(N(Q1715)&gt;0,Q1715,IF(OR(N(B1715)=0,ISNA(MATCH($C1715,sup_code,0))),"",IF(ISNUMBER(INDEX(sup_delay,MATCH($C1715,sup_code,0))),B1715+INDEX(sup_delay,MATCH($C1715,sup_code,0)),"")))</f>
        <v/>
      </c>
      <c r="S1715" s="64" t="n"/>
      <c r="T1715" s="68" t="n"/>
      <c r="U1715" s="64" t="n"/>
      <c r="V1715" s="65" t="n"/>
      <c r="W1715" s="74" t="str">
        <f>IF(AND(A1715="",E1715=""),"",IF(V1715="Oui",0,MAX(0,ROUND(N(H1715)-N(T1715),6))))</f>
        <v/>
      </c>
      <c r="X1715" s="67" t="str">
        <f>IF(AND(A1715="",E1715=""),"",IF(V1715="Oui","Annulé",IF(AND(N(H1715)&gt;0,N(T1715)&gt;=N(H1715)),"Reçu",IF(N(S1715)=0,"Brouillon",IF(AND(ISNUMBER(R1715),R1715&lt;p_today),"En retard",IF(N(T1715)&gt;0,"Partiel","Envoyé"))))))</f>
        <v/>
      </c>
      <c r="Y1715" s="75" t="str">
        <f>IF(X1715="En retard",p_today-R1715,IF(AND(X1715="Reçu",ISNUMBER(R1715)),MAX(0,N(U1715)-R1715),""))</f>
        <v/>
      </c>
      <c r="Z1715" s="67" t="str">
        <f>IF(AND(A1715="",E1715=""),"",IF(A1715="","N° de bon manquant",IF(N(B1715)=0,"Date de commande manquante",IF(C1715="","Fournisseur manquant",IF(ISNA(MATCH($C1715,sup_code,0)),"Fournisseur inconnu",IF(E1715="","Article manquant",IF(ISNA(MATCH($E1715,art_ref,0)),"Article inconnu",IF(N(H1715)&lt;=0,"Quantité invalide",IF(J1715="","Prix manquant",IF(OR(N(K1715)&lt;0,N(K1715)&gt;=1),"Remise invalide",IF(M1715="","TVA manquante",IF(ISNA(MATCH(M1715,p_tva,0)),"Taux de TVA inconnu",IF(COUNTIFS(po_num,A1715,po_sup,"&lt;&gt;"&amp;C1715)&gt;0,"Fournisseur différent sur ce bon",IF(COUNTIFS(po_num,A1715,po_date,"&lt;&gt;"&amp;B1715)&gt;0,"Date différente sur ce bon",IF(COUNTIF(po_num,A1715)&gt;25,"Plus de 25 lignes sur ce bon",IF(R1715="","Date de livraison manquante",IF(R1715&lt;B1715,"Livraison avant la commande",IF(AND(N(T1715)&gt;0,N(S1715)=0),"Date d'envoi manquante",IF(N(T1715)&gt;N(H1715),"Reçu plus que commandé",IF(AND(N(T1715)&gt;0,N(U1715)=0),"Date de réception manquante",IF(AND(N(U1715)&gt;0,U1715&lt;B1715),"Réception avant la commande","OK")))))))))))))))))))))</f>
        <v/>
      </c>
      <c r="AA1715" s="66" t="str">
        <f>IF(AND(X1715="Reçu",ISNUMBER(R1715)),IF(N(U1715)&lt;=R1715,1,0),"")</f>
        <v/>
      </c>
      <c r="AB1715" s="76" t="str">
        <f>IF(OR(X1715="Envoyé",X1715="Partiel",X1715="En retard"),IF(ISNUMBER(R1715),R1715,100000)+ROW()/100000,"")</f>
        <v/>
      </c>
      <c r="AC1715" s="66" t="str">
        <f>IF(A1715="","",IF(COUNTIF($A$6:A1715,A1715)=1,1,""))</f>
        <v/>
      </c>
      <c r="AD1715" s="66" t="str">
        <f>IF(AC1715=1,COUNT($AC$6:AC1715),"")</f>
        <v/>
      </c>
      <c r="AE1715" s="66" t="str">
        <f>IFERROR(INDEX(po_num,MATCH(1710,po_seq,0))&amp;"","")</f>
        <v/>
      </c>
      <c r="AF1715" s="66" t="str">
        <f>IF(OR(A1715="",p_po=""),"",IF(A1715&amp;""=p_po,COUNTIF($A$6:A1715,A1715),""))</f>
        <v/>
      </c>
      <c r="AG1715" s="66" t="str">
        <f>IF(OR(AB1715="",A1715=""),"",IF(COUNTIFS($A$6:A1715,A1715,$AB$6:AB1715,"&gt;0")=1,1,""))</f>
        <v/>
      </c>
      <c r="AH1715" s="70" t="str">
        <f>IF(AB1715="","",ROUND(N(W1715)*N(J1715)*(1-N(K1715)),2))</f>
        <v/>
      </c>
      <c r="AI1715" s="70" t="str">
        <f>IF(OR(J1715="",N(T1715)&lt;=0,V1715="Oui"),"",ROUND(N(T1715)*J1715*(1-N(K1715)),2))</f>
        <v/>
      </c>
    </row>
    <row r="1716">
      <c r="A1716" s="63" t="n"/>
      <c r="B1716" s="64" t="n"/>
      <c r="C1716" s="65" t="n"/>
      <c r="D1716" s="66" t="str">
        <f>IF(C1716="","",IFERROR(INDEX(sup_name,MATCH($C1716,sup_code,0))&amp;"","Fournisseur inconnu"))</f>
        <v/>
      </c>
      <c r="E1716" s="63" t="n"/>
      <c r="F1716" s="66" t="str">
        <f>IF(E1716="","",IFERROR(INDEX(art_des,MATCH($E1716,art_ref,0))&amp;"","Article inconnu"))</f>
        <v/>
      </c>
      <c r="G1716" s="67" t="str">
        <f>IF(E1716="","",IFERROR(INDEX(art_unit,MATCH($E1716,art_ref,0))&amp;"",""))</f>
        <v/>
      </c>
      <c r="H1716" s="68" t="n"/>
      <c r="I1716" s="69" t="n"/>
      <c r="J1716" s="70" t="str">
        <f>IF(E1716="","",IF(ISNUMBER(I1716),I1716,IFERROR(IF(ISNUMBER(INDEX(art_price,MATCH($E1716,art_ref,0))),INDEX(art_price,MATCH($E1716,art_ref,0)),""),"")))</f>
        <v/>
      </c>
      <c r="K1716" s="71" t="n"/>
      <c r="L1716" s="72" t="n"/>
      <c r="M1716" s="72" t="str">
        <f>IF(E1716="","",IF(L1716&lt;&gt;"",L1716,IFERROR(IF(ISNUMBER(INDEX(art_tva,MATCH($E1716,art_ref,0))),INDEX(art_tva,MATCH($E1716,art_ref,0)),""),"")))</f>
        <v/>
      </c>
      <c r="N1716" s="70" t="str">
        <f>IF(OR(E1716="",J1716=""),"",ROUND(N(H1716)*J1716*(1-N(K1716)),2))</f>
        <v/>
      </c>
      <c r="O1716" s="70" t="str">
        <f>IF(OR(N1716="",NOT(ISNUMBER(M1716))),"",ROUND(N1716*M1716,2))</f>
        <v/>
      </c>
      <c r="P1716" s="70" t="str">
        <f>IF(N1716="","",N1716+N(O1716))</f>
        <v/>
      </c>
      <c r="Q1716" s="64" t="n"/>
      <c r="R1716" s="73" t="str">
        <f>IF(N(Q1716)&gt;0,Q1716,IF(OR(N(B1716)=0,ISNA(MATCH($C1716,sup_code,0))),"",IF(ISNUMBER(INDEX(sup_delay,MATCH($C1716,sup_code,0))),B1716+INDEX(sup_delay,MATCH($C1716,sup_code,0)),"")))</f>
        <v/>
      </c>
      <c r="S1716" s="64" t="n"/>
      <c r="T1716" s="68" t="n"/>
      <c r="U1716" s="64" t="n"/>
      <c r="V1716" s="65" t="n"/>
      <c r="W1716" s="74" t="str">
        <f>IF(AND(A1716="",E1716=""),"",IF(V1716="Oui",0,MAX(0,ROUND(N(H1716)-N(T1716),6))))</f>
        <v/>
      </c>
      <c r="X1716" s="67" t="str">
        <f>IF(AND(A1716="",E1716=""),"",IF(V1716="Oui","Annulé",IF(AND(N(H1716)&gt;0,N(T1716)&gt;=N(H1716)),"Reçu",IF(N(S1716)=0,"Brouillon",IF(AND(ISNUMBER(R1716),R1716&lt;p_today),"En retard",IF(N(T1716)&gt;0,"Partiel","Envoyé"))))))</f>
        <v/>
      </c>
      <c r="Y1716" s="75" t="str">
        <f>IF(X1716="En retard",p_today-R1716,IF(AND(X1716="Reçu",ISNUMBER(R1716)),MAX(0,N(U1716)-R1716),""))</f>
        <v/>
      </c>
      <c r="Z1716" s="67" t="str">
        <f>IF(AND(A1716="",E1716=""),"",IF(A1716="","N° de bon manquant",IF(N(B1716)=0,"Date de commande manquante",IF(C1716="","Fournisseur manquant",IF(ISNA(MATCH($C1716,sup_code,0)),"Fournisseur inconnu",IF(E1716="","Article manquant",IF(ISNA(MATCH($E1716,art_ref,0)),"Article inconnu",IF(N(H1716)&lt;=0,"Quantité invalide",IF(J1716="","Prix manquant",IF(OR(N(K1716)&lt;0,N(K1716)&gt;=1),"Remise invalide",IF(M1716="","TVA manquante",IF(ISNA(MATCH(M1716,p_tva,0)),"Taux de TVA inconnu",IF(COUNTIFS(po_num,A1716,po_sup,"&lt;&gt;"&amp;C1716)&gt;0,"Fournisseur différent sur ce bon",IF(COUNTIFS(po_num,A1716,po_date,"&lt;&gt;"&amp;B1716)&gt;0,"Date différente sur ce bon",IF(COUNTIF(po_num,A1716)&gt;25,"Plus de 25 lignes sur ce bon",IF(R1716="","Date de livraison manquante",IF(R1716&lt;B1716,"Livraison avant la commande",IF(AND(N(T1716)&gt;0,N(S1716)=0),"Date d'envoi manquante",IF(N(T1716)&gt;N(H1716),"Reçu plus que commandé",IF(AND(N(T1716)&gt;0,N(U1716)=0),"Date de réception manquante",IF(AND(N(U1716)&gt;0,U1716&lt;B1716),"Réception avant la commande","OK")))))))))))))))))))))</f>
        <v/>
      </c>
      <c r="AA1716" s="66" t="str">
        <f>IF(AND(X1716="Reçu",ISNUMBER(R1716)),IF(N(U1716)&lt;=R1716,1,0),"")</f>
        <v/>
      </c>
      <c r="AB1716" s="76" t="str">
        <f>IF(OR(X1716="Envoyé",X1716="Partiel",X1716="En retard"),IF(ISNUMBER(R1716),R1716,100000)+ROW()/100000,"")</f>
        <v/>
      </c>
      <c r="AC1716" s="66" t="str">
        <f>IF(A1716="","",IF(COUNTIF($A$6:A1716,A1716)=1,1,""))</f>
        <v/>
      </c>
      <c r="AD1716" s="66" t="str">
        <f>IF(AC1716=1,COUNT($AC$6:AC1716),"")</f>
        <v/>
      </c>
      <c r="AE1716" s="66" t="str">
        <f>IFERROR(INDEX(po_num,MATCH(1711,po_seq,0))&amp;"","")</f>
        <v/>
      </c>
      <c r="AF1716" s="66" t="str">
        <f>IF(OR(A1716="",p_po=""),"",IF(A1716&amp;""=p_po,COUNTIF($A$6:A1716,A1716),""))</f>
        <v/>
      </c>
      <c r="AG1716" s="66" t="str">
        <f>IF(OR(AB1716="",A1716=""),"",IF(COUNTIFS($A$6:A1716,A1716,$AB$6:AB1716,"&gt;0")=1,1,""))</f>
        <v/>
      </c>
      <c r="AH1716" s="70" t="str">
        <f>IF(AB1716="","",ROUND(N(W1716)*N(J1716)*(1-N(K1716)),2))</f>
        <v/>
      </c>
      <c r="AI1716" s="70" t="str">
        <f>IF(OR(J1716="",N(T1716)&lt;=0,V1716="Oui"),"",ROUND(N(T1716)*J1716*(1-N(K1716)),2))</f>
        <v/>
      </c>
    </row>
    <row r="1717">
      <c r="A1717" s="63" t="n"/>
      <c r="B1717" s="64" t="n"/>
      <c r="C1717" s="65" t="n"/>
      <c r="D1717" s="66" t="str">
        <f>IF(C1717="","",IFERROR(INDEX(sup_name,MATCH($C1717,sup_code,0))&amp;"","Fournisseur inconnu"))</f>
        <v/>
      </c>
      <c r="E1717" s="63" t="n"/>
      <c r="F1717" s="66" t="str">
        <f>IF(E1717="","",IFERROR(INDEX(art_des,MATCH($E1717,art_ref,0))&amp;"","Article inconnu"))</f>
        <v/>
      </c>
      <c r="G1717" s="67" t="str">
        <f>IF(E1717="","",IFERROR(INDEX(art_unit,MATCH($E1717,art_ref,0))&amp;"",""))</f>
        <v/>
      </c>
      <c r="H1717" s="68" t="n"/>
      <c r="I1717" s="69" t="n"/>
      <c r="J1717" s="70" t="str">
        <f>IF(E1717="","",IF(ISNUMBER(I1717),I1717,IFERROR(IF(ISNUMBER(INDEX(art_price,MATCH($E1717,art_ref,0))),INDEX(art_price,MATCH($E1717,art_ref,0)),""),"")))</f>
        <v/>
      </c>
      <c r="K1717" s="71" t="n"/>
      <c r="L1717" s="72" t="n"/>
      <c r="M1717" s="72" t="str">
        <f>IF(E1717="","",IF(L1717&lt;&gt;"",L1717,IFERROR(IF(ISNUMBER(INDEX(art_tva,MATCH($E1717,art_ref,0))),INDEX(art_tva,MATCH($E1717,art_ref,0)),""),"")))</f>
        <v/>
      </c>
      <c r="N1717" s="70" t="str">
        <f>IF(OR(E1717="",J1717=""),"",ROUND(N(H1717)*J1717*(1-N(K1717)),2))</f>
        <v/>
      </c>
      <c r="O1717" s="70" t="str">
        <f>IF(OR(N1717="",NOT(ISNUMBER(M1717))),"",ROUND(N1717*M1717,2))</f>
        <v/>
      </c>
      <c r="P1717" s="70" t="str">
        <f>IF(N1717="","",N1717+N(O1717))</f>
        <v/>
      </c>
      <c r="Q1717" s="64" t="n"/>
      <c r="R1717" s="73" t="str">
        <f>IF(N(Q1717)&gt;0,Q1717,IF(OR(N(B1717)=0,ISNA(MATCH($C1717,sup_code,0))),"",IF(ISNUMBER(INDEX(sup_delay,MATCH($C1717,sup_code,0))),B1717+INDEX(sup_delay,MATCH($C1717,sup_code,0)),"")))</f>
        <v/>
      </c>
      <c r="S1717" s="64" t="n"/>
      <c r="T1717" s="68" t="n"/>
      <c r="U1717" s="64" t="n"/>
      <c r="V1717" s="65" t="n"/>
      <c r="W1717" s="74" t="str">
        <f>IF(AND(A1717="",E1717=""),"",IF(V1717="Oui",0,MAX(0,ROUND(N(H1717)-N(T1717),6))))</f>
        <v/>
      </c>
      <c r="X1717" s="67" t="str">
        <f>IF(AND(A1717="",E1717=""),"",IF(V1717="Oui","Annulé",IF(AND(N(H1717)&gt;0,N(T1717)&gt;=N(H1717)),"Reçu",IF(N(S1717)=0,"Brouillon",IF(AND(ISNUMBER(R1717),R1717&lt;p_today),"En retard",IF(N(T1717)&gt;0,"Partiel","Envoyé"))))))</f>
        <v/>
      </c>
      <c r="Y1717" s="75" t="str">
        <f>IF(X1717="En retard",p_today-R1717,IF(AND(X1717="Reçu",ISNUMBER(R1717)),MAX(0,N(U1717)-R1717),""))</f>
        <v/>
      </c>
      <c r="Z1717" s="67" t="str">
        <f>IF(AND(A1717="",E1717=""),"",IF(A1717="","N° de bon manquant",IF(N(B1717)=0,"Date de commande manquante",IF(C1717="","Fournisseur manquant",IF(ISNA(MATCH($C1717,sup_code,0)),"Fournisseur inconnu",IF(E1717="","Article manquant",IF(ISNA(MATCH($E1717,art_ref,0)),"Article inconnu",IF(N(H1717)&lt;=0,"Quantité invalide",IF(J1717="","Prix manquant",IF(OR(N(K1717)&lt;0,N(K1717)&gt;=1),"Remise invalide",IF(M1717="","TVA manquante",IF(ISNA(MATCH(M1717,p_tva,0)),"Taux de TVA inconnu",IF(COUNTIFS(po_num,A1717,po_sup,"&lt;&gt;"&amp;C1717)&gt;0,"Fournisseur différent sur ce bon",IF(COUNTIFS(po_num,A1717,po_date,"&lt;&gt;"&amp;B1717)&gt;0,"Date différente sur ce bon",IF(COUNTIF(po_num,A1717)&gt;25,"Plus de 25 lignes sur ce bon",IF(R1717="","Date de livraison manquante",IF(R1717&lt;B1717,"Livraison avant la commande",IF(AND(N(T1717)&gt;0,N(S1717)=0),"Date d'envoi manquante",IF(N(T1717)&gt;N(H1717),"Reçu plus que commandé",IF(AND(N(T1717)&gt;0,N(U1717)=0),"Date de réception manquante",IF(AND(N(U1717)&gt;0,U1717&lt;B1717),"Réception avant la commande","OK")))))))))))))))))))))</f>
        <v/>
      </c>
      <c r="AA1717" s="66" t="str">
        <f>IF(AND(X1717="Reçu",ISNUMBER(R1717)),IF(N(U1717)&lt;=R1717,1,0),"")</f>
        <v/>
      </c>
      <c r="AB1717" s="76" t="str">
        <f>IF(OR(X1717="Envoyé",X1717="Partiel",X1717="En retard"),IF(ISNUMBER(R1717),R1717,100000)+ROW()/100000,"")</f>
        <v/>
      </c>
      <c r="AC1717" s="66" t="str">
        <f>IF(A1717="","",IF(COUNTIF($A$6:A1717,A1717)=1,1,""))</f>
        <v/>
      </c>
      <c r="AD1717" s="66" t="str">
        <f>IF(AC1717=1,COUNT($AC$6:AC1717),"")</f>
        <v/>
      </c>
      <c r="AE1717" s="66" t="str">
        <f>IFERROR(INDEX(po_num,MATCH(1712,po_seq,0))&amp;"","")</f>
        <v/>
      </c>
      <c r="AF1717" s="66" t="str">
        <f>IF(OR(A1717="",p_po=""),"",IF(A1717&amp;""=p_po,COUNTIF($A$6:A1717,A1717),""))</f>
        <v/>
      </c>
      <c r="AG1717" s="66" t="str">
        <f>IF(OR(AB1717="",A1717=""),"",IF(COUNTIFS($A$6:A1717,A1717,$AB$6:AB1717,"&gt;0")=1,1,""))</f>
        <v/>
      </c>
      <c r="AH1717" s="70" t="str">
        <f>IF(AB1717="","",ROUND(N(W1717)*N(J1717)*(1-N(K1717)),2))</f>
        <v/>
      </c>
      <c r="AI1717" s="70" t="str">
        <f>IF(OR(J1717="",N(T1717)&lt;=0,V1717="Oui"),"",ROUND(N(T1717)*J1717*(1-N(K1717)),2))</f>
        <v/>
      </c>
    </row>
    <row r="1718">
      <c r="A1718" s="63" t="n"/>
      <c r="B1718" s="64" t="n"/>
      <c r="C1718" s="65" t="n"/>
      <c r="D1718" s="66" t="str">
        <f>IF(C1718="","",IFERROR(INDEX(sup_name,MATCH($C1718,sup_code,0))&amp;"","Fournisseur inconnu"))</f>
        <v/>
      </c>
      <c r="E1718" s="63" t="n"/>
      <c r="F1718" s="66" t="str">
        <f>IF(E1718="","",IFERROR(INDEX(art_des,MATCH($E1718,art_ref,0))&amp;"","Article inconnu"))</f>
        <v/>
      </c>
      <c r="G1718" s="67" t="str">
        <f>IF(E1718="","",IFERROR(INDEX(art_unit,MATCH($E1718,art_ref,0))&amp;"",""))</f>
        <v/>
      </c>
      <c r="H1718" s="68" t="n"/>
      <c r="I1718" s="69" t="n"/>
      <c r="J1718" s="70" t="str">
        <f>IF(E1718="","",IF(ISNUMBER(I1718),I1718,IFERROR(IF(ISNUMBER(INDEX(art_price,MATCH($E1718,art_ref,0))),INDEX(art_price,MATCH($E1718,art_ref,0)),""),"")))</f>
        <v/>
      </c>
      <c r="K1718" s="71" t="n"/>
      <c r="L1718" s="72" t="n"/>
      <c r="M1718" s="72" t="str">
        <f>IF(E1718="","",IF(L1718&lt;&gt;"",L1718,IFERROR(IF(ISNUMBER(INDEX(art_tva,MATCH($E1718,art_ref,0))),INDEX(art_tva,MATCH($E1718,art_ref,0)),""),"")))</f>
        <v/>
      </c>
      <c r="N1718" s="70" t="str">
        <f>IF(OR(E1718="",J1718=""),"",ROUND(N(H1718)*J1718*(1-N(K1718)),2))</f>
        <v/>
      </c>
      <c r="O1718" s="70" t="str">
        <f>IF(OR(N1718="",NOT(ISNUMBER(M1718))),"",ROUND(N1718*M1718,2))</f>
        <v/>
      </c>
      <c r="P1718" s="70" t="str">
        <f>IF(N1718="","",N1718+N(O1718))</f>
        <v/>
      </c>
      <c r="Q1718" s="64" t="n"/>
      <c r="R1718" s="73" t="str">
        <f>IF(N(Q1718)&gt;0,Q1718,IF(OR(N(B1718)=0,ISNA(MATCH($C1718,sup_code,0))),"",IF(ISNUMBER(INDEX(sup_delay,MATCH($C1718,sup_code,0))),B1718+INDEX(sup_delay,MATCH($C1718,sup_code,0)),"")))</f>
        <v/>
      </c>
      <c r="S1718" s="64" t="n"/>
      <c r="T1718" s="68" t="n"/>
      <c r="U1718" s="64" t="n"/>
      <c r="V1718" s="65" t="n"/>
      <c r="W1718" s="74" t="str">
        <f>IF(AND(A1718="",E1718=""),"",IF(V1718="Oui",0,MAX(0,ROUND(N(H1718)-N(T1718),6))))</f>
        <v/>
      </c>
      <c r="X1718" s="67" t="str">
        <f>IF(AND(A1718="",E1718=""),"",IF(V1718="Oui","Annulé",IF(AND(N(H1718)&gt;0,N(T1718)&gt;=N(H1718)),"Reçu",IF(N(S1718)=0,"Brouillon",IF(AND(ISNUMBER(R1718),R1718&lt;p_today),"En retard",IF(N(T1718)&gt;0,"Partiel","Envoyé"))))))</f>
        <v/>
      </c>
      <c r="Y1718" s="75" t="str">
        <f>IF(X1718="En retard",p_today-R1718,IF(AND(X1718="Reçu",ISNUMBER(R1718)),MAX(0,N(U1718)-R1718),""))</f>
        <v/>
      </c>
      <c r="Z1718" s="67" t="str">
        <f>IF(AND(A1718="",E1718=""),"",IF(A1718="","N° de bon manquant",IF(N(B1718)=0,"Date de commande manquante",IF(C1718="","Fournisseur manquant",IF(ISNA(MATCH($C1718,sup_code,0)),"Fournisseur inconnu",IF(E1718="","Article manquant",IF(ISNA(MATCH($E1718,art_ref,0)),"Article inconnu",IF(N(H1718)&lt;=0,"Quantité invalide",IF(J1718="","Prix manquant",IF(OR(N(K1718)&lt;0,N(K1718)&gt;=1),"Remise invalide",IF(M1718="","TVA manquante",IF(ISNA(MATCH(M1718,p_tva,0)),"Taux de TVA inconnu",IF(COUNTIFS(po_num,A1718,po_sup,"&lt;&gt;"&amp;C1718)&gt;0,"Fournisseur différent sur ce bon",IF(COUNTIFS(po_num,A1718,po_date,"&lt;&gt;"&amp;B1718)&gt;0,"Date différente sur ce bon",IF(COUNTIF(po_num,A1718)&gt;25,"Plus de 25 lignes sur ce bon",IF(R1718="","Date de livraison manquante",IF(R1718&lt;B1718,"Livraison avant la commande",IF(AND(N(T1718)&gt;0,N(S1718)=0),"Date d'envoi manquante",IF(N(T1718)&gt;N(H1718),"Reçu plus que commandé",IF(AND(N(T1718)&gt;0,N(U1718)=0),"Date de réception manquante",IF(AND(N(U1718)&gt;0,U1718&lt;B1718),"Réception avant la commande","OK")))))))))))))))))))))</f>
        <v/>
      </c>
      <c r="AA1718" s="66" t="str">
        <f>IF(AND(X1718="Reçu",ISNUMBER(R1718)),IF(N(U1718)&lt;=R1718,1,0),"")</f>
        <v/>
      </c>
      <c r="AB1718" s="76" t="str">
        <f>IF(OR(X1718="Envoyé",X1718="Partiel",X1718="En retard"),IF(ISNUMBER(R1718),R1718,100000)+ROW()/100000,"")</f>
        <v/>
      </c>
      <c r="AC1718" s="66" t="str">
        <f>IF(A1718="","",IF(COUNTIF($A$6:A1718,A1718)=1,1,""))</f>
        <v/>
      </c>
      <c r="AD1718" s="66" t="str">
        <f>IF(AC1718=1,COUNT($AC$6:AC1718),"")</f>
        <v/>
      </c>
      <c r="AE1718" s="66" t="str">
        <f>IFERROR(INDEX(po_num,MATCH(1713,po_seq,0))&amp;"","")</f>
        <v/>
      </c>
      <c r="AF1718" s="66" t="str">
        <f>IF(OR(A1718="",p_po=""),"",IF(A1718&amp;""=p_po,COUNTIF($A$6:A1718,A1718),""))</f>
        <v/>
      </c>
      <c r="AG1718" s="66" t="str">
        <f>IF(OR(AB1718="",A1718=""),"",IF(COUNTIFS($A$6:A1718,A1718,$AB$6:AB1718,"&gt;0")=1,1,""))</f>
        <v/>
      </c>
      <c r="AH1718" s="70" t="str">
        <f>IF(AB1718="","",ROUND(N(W1718)*N(J1718)*(1-N(K1718)),2))</f>
        <v/>
      </c>
      <c r="AI1718" s="70" t="str">
        <f>IF(OR(J1718="",N(T1718)&lt;=0,V1718="Oui"),"",ROUND(N(T1718)*J1718*(1-N(K1718)),2))</f>
        <v/>
      </c>
    </row>
    <row r="1719">
      <c r="A1719" s="63" t="n"/>
      <c r="B1719" s="64" t="n"/>
      <c r="C1719" s="65" t="n"/>
      <c r="D1719" s="66" t="str">
        <f>IF(C1719="","",IFERROR(INDEX(sup_name,MATCH($C1719,sup_code,0))&amp;"","Fournisseur inconnu"))</f>
        <v/>
      </c>
      <c r="E1719" s="63" t="n"/>
      <c r="F1719" s="66" t="str">
        <f>IF(E1719="","",IFERROR(INDEX(art_des,MATCH($E1719,art_ref,0))&amp;"","Article inconnu"))</f>
        <v/>
      </c>
      <c r="G1719" s="67" t="str">
        <f>IF(E1719="","",IFERROR(INDEX(art_unit,MATCH($E1719,art_ref,0))&amp;"",""))</f>
        <v/>
      </c>
      <c r="H1719" s="68" t="n"/>
      <c r="I1719" s="69" t="n"/>
      <c r="J1719" s="70" t="str">
        <f>IF(E1719="","",IF(ISNUMBER(I1719),I1719,IFERROR(IF(ISNUMBER(INDEX(art_price,MATCH($E1719,art_ref,0))),INDEX(art_price,MATCH($E1719,art_ref,0)),""),"")))</f>
        <v/>
      </c>
      <c r="K1719" s="71" t="n"/>
      <c r="L1719" s="72" t="n"/>
      <c r="M1719" s="72" t="str">
        <f>IF(E1719="","",IF(L1719&lt;&gt;"",L1719,IFERROR(IF(ISNUMBER(INDEX(art_tva,MATCH($E1719,art_ref,0))),INDEX(art_tva,MATCH($E1719,art_ref,0)),""),"")))</f>
        <v/>
      </c>
      <c r="N1719" s="70" t="str">
        <f>IF(OR(E1719="",J1719=""),"",ROUND(N(H1719)*J1719*(1-N(K1719)),2))</f>
        <v/>
      </c>
      <c r="O1719" s="70" t="str">
        <f>IF(OR(N1719="",NOT(ISNUMBER(M1719))),"",ROUND(N1719*M1719,2))</f>
        <v/>
      </c>
      <c r="P1719" s="70" t="str">
        <f>IF(N1719="","",N1719+N(O1719))</f>
        <v/>
      </c>
      <c r="Q1719" s="64" t="n"/>
      <c r="R1719" s="73" t="str">
        <f>IF(N(Q1719)&gt;0,Q1719,IF(OR(N(B1719)=0,ISNA(MATCH($C1719,sup_code,0))),"",IF(ISNUMBER(INDEX(sup_delay,MATCH($C1719,sup_code,0))),B1719+INDEX(sup_delay,MATCH($C1719,sup_code,0)),"")))</f>
        <v/>
      </c>
      <c r="S1719" s="64" t="n"/>
      <c r="T1719" s="68" t="n"/>
      <c r="U1719" s="64" t="n"/>
      <c r="V1719" s="65" t="n"/>
      <c r="W1719" s="74" t="str">
        <f>IF(AND(A1719="",E1719=""),"",IF(V1719="Oui",0,MAX(0,ROUND(N(H1719)-N(T1719),6))))</f>
        <v/>
      </c>
      <c r="X1719" s="67" t="str">
        <f>IF(AND(A1719="",E1719=""),"",IF(V1719="Oui","Annulé",IF(AND(N(H1719)&gt;0,N(T1719)&gt;=N(H1719)),"Reçu",IF(N(S1719)=0,"Brouillon",IF(AND(ISNUMBER(R1719),R1719&lt;p_today),"En retard",IF(N(T1719)&gt;0,"Partiel","Envoyé"))))))</f>
        <v/>
      </c>
      <c r="Y1719" s="75" t="str">
        <f>IF(X1719="En retard",p_today-R1719,IF(AND(X1719="Reçu",ISNUMBER(R1719)),MAX(0,N(U1719)-R1719),""))</f>
        <v/>
      </c>
      <c r="Z1719" s="67" t="str">
        <f>IF(AND(A1719="",E1719=""),"",IF(A1719="","N° de bon manquant",IF(N(B1719)=0,"Date de commande manquante",IF(C1719="","Fournisseur manquant",IF(ISNA(MATCH($C1719,sup_code,0)),"Fournisseur inconnu",IF(E1719="","Article manquant",IF(ISNA(MATCH($E1719,art_ref,0)),"Article inconnu",IF(N(H1719)&lt;=0,"Quantité invalide",IF(J1719="","Prix manquant",IF(OR(N(K1719)&lt;0,N(K1719)&gt;=1),"Remise invalide",IF(M1719="","TVA manquante",IF(ISNA(MATCH(M1719,p_tva,0)),"Taux de TVA inconnu",IF(COUNTIFS(po_num,A1719,po_sup,"&lt;&gt;"&amp;C1719)&gt;0,"Fournisseur différent sur ce bon",IF(COUNTIFS(po_num,A1719,po_date,"&lt;&gt;"&amp;B1719)&gt;0,"Date différente sur ce bon",IF(COUNTIF(po_num,A1719)&gt;25,"Plus de 25 lignes sur ce bon",IF(R1719="","Date de livraison manquante",IF(R1719&lt;B1719,"Livraison avant la commande",IF(AND(N(T1719)&gt;0,N(S1719)=0),"Date d'envoi manquante",IF(N(T1719)&gt;N(H1719),"Reçu plus que commandé",IF(AND(N(T1719)&gt;0,N(U1719)=0),"Date de réception manquante",IF(AND(N(U1719)&gt;0,U1719&lt;B1719),"Réception avant la commande","OK")))))))))))))))))))))</f>
        <v/>
      </c>
      <c r="AA1719" s="66" t="str">
        <f>IF(AND(X1719="Reçu",ISNUMBER(R1719)),IF(N(U1719)&lt;=R1719,1,0),"")</f>
        <v/>
      </c>
      <c r="AB1719" s="76" t="str">
        <f>IF(OR(X1719="Envoyé",X1719="Partiel",X1719="En retard"),IF(ISNUMBER(R1719),R1719,100000)+ROW()/100000,"")</f>
        <v/>
      </c>
      <c r="AC1719" s="66" t="str">
        <f>IF(A1719="","",IF(COUNTIF($A$6:A1719,A1719)=1,1,""))</f>
        <v/>
      </c>
      <c r="AD1719" s="66" t="str">
        <f>IF(AC1719=1,COUNT($AC$6:AC1719),"")</f>
        <v/>
      </c>
      <c r="AE1719" s="66" t="str">
        <f>IFERROR(INDEX(po_num,MATCH(1714,po_seq,0))&amp;"","")</f>
        <v/>
      </c>
      <c r="AF1719" s="66" t="str">
        <f>IF(OR(A1719="",p_po=""),"",IF(A1719&amp;""=p_po,COUNTIF($A$6:A1719,A1719),""))</f>
        <v/>
      </c>
      <c r="AG1719" s="66" t="str">
        <f>IF(OR(AB1719="",A1719=""),"",IF(COUNTIFS($A$6:A1719,A1719,$AB$6:AB1719,"&gt;0")=1,1,""))</f>
        <v/>
      </c>
      <c r="AH1719" s="70" t="str">
        <f>IF(AB1719="","",ROUND(N(W1719)*N(J1719)*(1-N(K1719)),2))</f>
        <v/>
      </c>
      <c r="AI1719" s="70" t="str">
        <f>IF(OR(J1719="",N(T1719)&lt;=0,V1719="Oui"),"",ROUND(N(T1719)*J1719*(1-N(K1719)),2))</f>
        <v/>
      </c>
    </row>
    <row r="1720">
      <c r="A1720" s="63" t="n"/>
      <c r="B1720" s="64" t="n"/>
      <c r="C1720" s="65" t="n"/>
      <c r="D1720" s="66" t="str">
        <f>IF(C1720="","",IFERROR(INDEX(sup_name,MATCH($C1720,sup_code,0))&amp;"","Fournisseur inconnu"))</f>
        <v/>
      </c>
      <c r="E1720" s="63" t="n"/>
      <c r="F1720" s="66" t="str">
        <f>IF(E1720="","",IFERROR(INDEX(art_des,MATCH($E1720,art_ref,0))&amp;"","Article inconnu"))</f>
        <v/>
      </c>
      <c r="G1720" s="67" t="str">
        <f>IF(E1720="","",IFERROR(INDEX(art_unit,MATCH($E1720,art_ref,0))&amp;"",""))</f>
        <v/>
      </c>
      <c r="H1720" s="68" t="n"/>
      <c r="I1720" s="69" t="n"/>
      <c r="J1720" s="70" t="str">
        <f>IF(E1720="","",IF(ISNUMBER(I1720),I1720,IFERROR(IF(ISNUMBER(INDEX(art_price,MATCH($E1720,art_ref,0))),INDEX(art_price,MATCH($E1720,art_ref,0)),""),"")))</f>
        <v/>
      </c>
      <c r="K1720" s="71" t="n"/>
      <c r="L1720" s="72" t="n"/>
      <c r="M1720" s="72" t="str">
        <f>IF(E1720="","",IF(L1720&lt;&gt;"",L1720,IFERROR(IF(ISNUMBER(INDEX(art_tva,MATCH($E1720,art_ref,0))),INDEX(art_tva,MATCH($E1720,art_ref,0)),""),"")))</f>
        <v/>
      </c>
      <c r="N1720" s="70" t="str">
        <f>IF(OR(E1720="",J1720=""),"",ROUND(N(H1720)*J1720*(1-N(K1720)),2))</f>
        <v/>
      </c>
      <c r="O1720" s="70" t="str">
        <f>IF(OR(N1720="",NOT(ISNUMBER(M1720))),"",ROUND(N1720*M1720,2))</f>
        <v/>
      </c>
      <c r="P1720" s="70" t="str">
        <f>IF(N1720="","",N1720+N(O1720))</f>
        <v/>
      </c>
      <c r="Q1720" s="64" t="n"/>
      <c r="R1720" s="73" t="str">
        <f>IF(N(Q1720)&gt;0,Q1720,IF(OR(N(B1720)=0,ISNA(MATCH($C1720,sup_code,0))),"",IF(ISNUMBER(INDEX(sup_delay,MATCH($C1720,sup_code,0))),B1720+INDEX(sup_delay,MATCH($C1720,sup_code,0)),"")))</f>
        <v/>
      </c>
      <c r="S1720" s="64" t="n"/>
      <c r="T1720" s="68" t="n"/>
      <c r="U1720" s="64" t="n"/>
      <c r="V1720" s="65" t="n"/>
      <c r="W1720" s="74" t="str">
        <f>IF(AND(A1720="",E1720=""),"",IF(V1720="Oui",0,MAX(0,ROUND(N(H1720)-N(T1720),6))))</f>
        <v/>
      </c>
      <c r="X1720" s="67" t="str">
        <f>IF(AND(A1720="",E1720=""),"",IF(V1720="Oui","Annulé",IF(AND(N(H1720)&gt;0,N(T1720)&gt;=N(H1720)),"Reçu",IF(N(S1720)=0,"Brouillon",IF(AND(ISNUMBER(R1720),R1720&lt;p_today),"En retard",IF(N(T1720)&gt;0,"Partiel","Envoyé"))))))</f>
        <v/>
      </c>
      <c r="Y1720" s="75" t="str">
        <f>IF(X1720="En retard",p_today-R1720,IF(AND(X1720="Reçu",ISNUMBER(R1720)),MAX(0,N(U1720)-R1720),""))</f>
        <v/>
      </c>
      <c r="Z1720" s="67" t="str">
        <f>IF(AND(A1720="",E1720=""),"",IF(A1720="","N° de bon manquant",IF(N(B1720)=0,"Date de commande manquante",IF(C1720="","Fournisseur manquant",IF(ISNA(MATCH($C1720,sup_code,0)),"Fournisseur inconnu",IF(E1720="","Article manquant",IF(ISNA(MATCH($E1720,art_ref,0)),"Article inconnu",IF(N(H1720)&lt;=0,"Quantité invalide",IF(J1720="","Prix manquant",IF(OR(N(K1720)&lt;0,N(K1720)&gt;=1),"Remise invalide",IF(M1720="","TVA manquante",IF(ISNA(MATCH(M1720,p_tva,0)),"Taux de TVA inconnu",IF(COUNTIFS(po_num,A1720,po_sup,"&lt;&gt;"&amp;C1720)&gt;0,"Fournisseur différent sur ce bon",IF(COUNTIFS(po_num,A1720,po_date,"&lt;&gt;"&amp;B1720)&gt;0,"Date différente sur ce bon",IF(COUNTIF(po_num,A1720)&gt;25,"Plus de 25 lignes sur ce bon",IF(R1720="","Date de livraison manquante",IF(R1720&lt;B1720,"Livraison avant la commande",IF(AND(N(T1720)&gt;0,N(S1720)=0),"Date d'envoi manquante",IF(N(T1720)&gt;N(H1720),"Reçu plus que commandé",IF(AND(N(T1720)&gt;0,N(U1720)=0),"Date de réception manquante",IF(AND(N(U1720)&gt;0,U1720&lt;B1720),"Réception avant la commande","OK")))))))))))))))))))))</f>
        <v/>
      </c>
      <c r="AA1720" s="66" t="str">
        <f>IF(AND(X1720="Reçu",ISNUMBER(R1720)),IF(N(U1720)&lt;=R1720,1,0),"")</f>
        <v/>
      </c>
      <c r="AB1720" s="76" t="str">
        <f>IF(OR(X1720="Envoyé",X1720="Partiel",X1720="En retard"),IF(ISNUMBER(R1720),R1720,100000)+ROW()/100000,"")</f>
        <v/>
      </c>
      <c r="AC1720" s="66" t="str">
        <f>IF(A1720="","",IF(COUNTIF($A$6:A1720,A1720)=1,1,""))</f>
        <v/>
      </c>
      <c r="AD1720" s="66" t="str">
        <f>IF(AC1720=1,COUNT($AC$6:AC1720),"")</f>
        <v/>
      </c>
      <c r="AE1720" s="66" t="str">
        <f>IFERROR(INDEX(po_num,MATCH(1715,po_seq,0))&amp;"","")</f>
        <v/>
      </c>
      <c r="AF1720" s="66" t="str">
        <f>IF(OR(A1720="",p_po=""),"",IF(A1720&amp;""=p_po,COUNTIF($A$6:A1720,A1720),""))</f>
        <v/>
      </c>
      <c r="AG1720" s="66" t="str">
        <f>IF(OR(AB1720="",A1720=""),"",IF(COUNTIFS($A$6:A1720,A1720,$AB$6:AB1720,"&gt;0")=1,1,""))</f>
        <v/>
      </c>
      <c r="AH1720" s="70" t="str">
        <f>IF(AB1720="","",ROUND(N(W1720)*N(J1720)*(1-N(K1720)),2))</f>
        <v/>
      </c>
      <c r="AI1720" s="70" t="str">
        <f>IF(OR(J1720="",N(T1720)&lt;=0,V1720="Oui"),"",ROUND(N(T1720)*J1720*(1-N(K1720)),2))</f>
        <v/>
      </c>
    </row>
    <row r="1721">
      <c r="A1721" s="63" t="n"/>
      <c r="B1721" s="64" t="n"/>
      <c r="C1721" s="65" t="n"/>
      <c r="D1721" s="66" t="str">
        <f>IF(C1721="","",IFERROR(INDEX(sup_name,MATCH($C1721,sup_code,0))&amp;"","Fournisseur inconnu"))</f>
        <v/>
      </c>
      <c r="E1721" s="63" t="n"/>
      <c r="F1721" s="66" t="str">
        <f>IF(E1721="","",IFERROR(INDEX(art_des,MATCH($E1721,art_ref,0))&amp;"","Article inconnu"))</f>
        <v/>
      </c>
      <c r="G1721" s="67" t="str">
        <f>IF(E1721="","",IFERROR(INDEX(art_unit,MATCH($E1721,art_ref,0))&amp;"",""))</f>
        <v/>
      </c>
      <c r="H1721" s="68" t="n"/>
      <c r="I1721" s="69" t="n"/>
      <c r="J1721" s="70" t="str">
        <f>IF(E1721="","",IF(ISNUMBER(I1721),I1721,IFERROR(IF(ISNUMBER(INDEX(art_price,MATCH($E1721,art_ref,0))),INDEX(art_price,MATCH($E1721,art_ref,0)),""),"")))</f>
        <v/>
      </c>
      <c r="K1721" s="71" t="n"/>
      <c r="L1721" s="72" t="n"/>
      <c r="M1721" s="72" t="str">
        <f>IF(E1721="","",IF(L1721&lt;&gt;"",L1721,IFERROR(IF(ISNUMBER(INDEX(art_tva,MATCH($E1721,art_ref,0))),INDEX(art_tva,MATCH($E1721,art_ref,0)),""),"")))</f>
        <v/>
      </c>
      <c r="N1721" s="70" t="str">
        <f>IF(OR(E1721="",J1721=""),"",ROUND(N(H1721)*J1721*(1-N(K1721)),2))</f>
        <v/>
      </c>
      <c r="O1721" s="70" t="str">
        <f>IF(OR(N1721="",NOT(ISNUMBER(M1721))),"",ROUND(N1721*M1721,2))</f>
        <v/>
      </c>
      <c r="P1721" s="70" t="str">
        <f>IF(N1721="","",N1721+N(O1721))</f>
        <v/>
      </c>
      <c r="Q1721" s="64" t="n"/>
      <c r="R1721" s="73" t="str">
        <f>IF(N(Q1721)&gt;0,Q1721,IF(OR(N(B1721)=0,ISNA(MATCH($C1721,sup_code,0))),"",IF(ISNUMBER(INDEX(sup_delay,MATCH($C1721,sup_code,0))),B1721+INDEX(sup_delay,MATCH($C1721,sup_code,0)),"")))</f>
        <v/>
      </c>
      <c r="S1721" s="64" t="n"/>
      <c r="T1721" s="68" t="n"/>
      <c r="U1721" s="64" t="n"/>
      <c r="V1721" s="65" t="n"/>
      <c r="W1721" s="74" t="str">
        <f>IF(AND(A1721="",E1721=""),"",IF(V1721="Oui",0,MAX(0,ROUND(N(H1721)-N(T1721),6))))</f>
        <v/>
      </c>
      <c r="X1721" s="67" t="str">
        <f>IF(AND(A1721="",E1721=""),"",IF(V1721="Oui","Annulé",IF(AND(N(H1721)&gt;0,N(T1721)&gt;=N(H1721)),"Reçu",IF(N(S1721)=0,"Brouillon",IF(AND(ISNUMBER(R1721),R1721&lt;p_today),"En retard",IF(N(T1721)&gt;0,"Partiel","Envoyé"))))))</f>
        <v/>
      </c>
      <c r="Y1721" s="75" t="str">
        <f>IF(X1721="En retard",p_today-R1721,IF(AND(X1721="Reçu",ISNUMBER(R1721)),MAX(0,N(U1721)-R1721),""))</f>
        <v/>
      </c>
      <c r="Z1721" s="67" t="str">
        <f>IF(AND(A1721="",E1721=""),"",IF(A1721="","N° de bon manquant",IF(N(B1721)=0,"Date de commande manquante",IF(C1721="","Fournisseur manquant",IF(ISNA(MATCH($C1721,sup_code,0)),"Fournisseur inconnu",IF(E1721="","Article manquant",IF(ISNA(MATCH($E1721,art_ref,0)),"Article inconnu",IF(N(H1721)&lt;=0,"Quantité invalide",IF(J1721="","Prix manquant",IF(OR(N(K1721)&lt;0,N(K1721)&gt;=1),"Remise invalide",IF(M1721="","TVA manquante",IF(ISNA(MATCH(M1721,p_tva,0)),"Taux de TVA inconnu",IF(COUNTIFS(po_num,A1721,po_sup,"&lt;&gt;"&amp;C1721)&gt;0,"Fournisseur différent sur ce bon",IF(COUNTIFS(po_num,A1721,po_date,"&lt;&gt;"&amp;B1721)&gt;0,"Date différente sur ce bon",IF(COUNTIF(po_num,A1721)&gt;25,"Plus de 25 lignes sur ce bon",IF(R1721="","Date de livraison manquante",IF(R1721&lt;B1721,"Livraison avant la commande",IF(AND(N(T1721)&gt;0,N(S1721)=0),"Date d'envoi manquante",IF(N(T1721)&gt;N(H1721),"Reçu plus que commandé",IF(AND(N(T1721)&gt;0,N(U1721)=0),"Date de réception manquante",IF(AND(N(U1721)&gt;0,U1721&lt;B1721),"Réception avant la commande","OK")))))))))))))))))))))</f>
        <v/>
      </c>
      <c r="AA1721" s="66" t="str">
        <f>IF(AND(X1721="Reçu",ISNUMBER(R1721)),IF(N(U1721)&lt;=R1721,1,0),"")</f>
        <v/>
      </c>
      <c r="AB1721" s="76" t="str">
        <f>IF(OR(X1721="Envoyé",X1721="Partiel",X1721="En retard"),IF(ISNUMBER(R1721),R1721,100000)+ROW()/100000,"")</f>
        <v/>
      </c>
      <c r="AC1721" s="66" t="str">
        <f>IF(A1721="","",IF(COUNTIF($A$6:A1721,A1721)=1,1,""))</f>
        <v/>
      </c>
      <c r="AD1721" s="66" t="str">
        <f>IF(AC1721=1,COUNT($AC$6:AC1721),"")</f>
        <v/>
      </c>
      <c r="AE1721" s="66" t="str">
        <f>IFERROR(INDEX(po_num,MATCH(1716,po_seq,0))&amp;"","")</f>
        <v/>
      </c>
      <c r="AF1721" s="66" t="str">
        <f>IF(OR(A1721="",p_po=""),"",IF(A1721&amp;""=p_po,COUNTIF($A$6:A1721,A1721),""))</f>
        <v/>
      </c>
      <c r="AG1721" s="66" t="str">
        <f>IF(OR(AB1721="",A1721=""),"",IF(COUNTIFS($A$6:A1721,A1721,$AB$6:AB1721,"&gt;0")=1,1,""))</f>
        <v/>
      </c>
      <c r="AH1721" s="70" t="str">
        <f>IF(AB1721="","",ROUND(N(W1721)*N(J1721)*(1-N(K1721)),2))</f>
        <v/>
      </c>
      <c r="AI1721" s="70" t="str">
        <f>IF(OR(J1721="",N(T1721)&lt;=0,V1721="Oui"),"",ROUND(N(T1721)*J1721*(1-N(K1721)),2))</f>
        <v/>
      </c>
    </row>
    <row r="1722">
      <c r="A1722" s="63" t="n"/>
      <c r="B1722" s="64" t="n"/>
      <c r="C1722" s="65" t="n"/>
      <c r="D1722" s="66" t="str">
        <f>IF(C1722="","",IFERROR(INDEX(sup_name,MATCH($C1722,sup_code,0))&amp;"","Fournisseur inconnu"))</f>
        <v/>
      </c>
      <c r="E1722" s="63" t="n"/>
      <c r="F1722" s="66" t="str">
        <f>IF(E1722="","",IFERROR(INDEX(art_des,MATCH($E1722,art_ref,0))&amp;"","Article inconnu"))</f>
        <v/>
      </c>
      <c r="G1722" s="67" t="str">
        <f>IF(E1722="","",IFERROR(INDEX(art_unit,MATCH($E1722,art_ref,0))&amp;"",""))</f>
        <v/>
      </c>
      <c r="H1722" s="68" t="n"/>
      <c r="I1722" s="69" t="n"/>
      <c r="J1722" s="70" t="str">
        <f>IF(E1722="","",IF(ISNUMBER(I1722),I1722,IFERROR(IF(ISNUMBER(INDEX(art_price,MATCH($E1722,art_ref,0))),INDEX(art_price,MATCH($E1722,art_ref,0)),""),"")))</f>
        <v/>
      </c>
      <c r="K1722" s="71" t="n"/>
      <c r="L1722" s="72" t="n"/>
      <c r="M1722" s="72" t="str">
        <f>IF(E1722="","",IF(L1722&lt;&gt;"",L1722,IFERROR(IF(ISNUMBER(INDEX(art_tva,MATCH($E1722,art_ref,0))),INDEX(art_tva,MATCH($E1722,art_ref,0)),""),"")))</f>
        <v/>
      </c>
      <c r="N1722" s="70" t="str">
        <f>IF(OR(E1722="",J1722=""),"",ROUND(N(H1722)*J1722*(1-N(K1722)),2))</f>
        <v/>
      </c>
      <c r="O1722" s="70" t="str">
        <f>IF(OR(N1722="",NOT(ISNUMBER(M1722))),"",ROUND(N1722*M1722,2))</f>
        <v/>
      </c>
      <c r="P1722" s="70" t="str">
        <f>IF(N1722="","",N1722+N(O1722))</f>
        <v/>
      </c>
      <c r="Q1722" s="64" t="n"/>
      <c r="R1722" s="73" t="str">
        <f>IF(N(Q1722)&gt;0,Q1722,IF(OR(N(B1722)=0,ISNA(MATCH($C1722,sup_code,0))),"",IF(ISNUMBER(INDEX(sup_delay,MATCH($C1722,sup_code,0))),B1722+INDEX(sup_delay,MATCH($C1722,sup_code,0)),"")))</f>
        <v/>
      </c>
      <c r="S1722" s="64" t="n"/>
      <c r="T1722" s="68" t="n"/>
      <c r="U1722" s="64" t="n"/>
      <c r="V1722" s="65" t="n"/>
      <c r="W1722" s="74" t="str">
        <f>IF(AND(A1722="",E1722=""),"",IF(V1722="Oui",0,MAX(0,ROUND(N(H1722)-N(T1722),6))))</f>
        <v/>
      </c>
      <c r="X1722" s="67" t="str">
        <f>IF(AND(A1722="",E1722=""),"",IF(V1722="Oui","Annulé",IF(AND(N(H1722)&gt;0,N(T1722)&gt;=N(H1722)),"Reçu",IF(N(S1722)=0,"Brouillon",IF(AND(ISNUMBER(R1722),R1722&lt;p_today),"En retard",IF(N(T1722)&gt;0,"Partiel","Envoyé"))))))</f>
        <v/>
      </c>
      <c r="Y1722" s="75" t="str">
        <f>IF(X1722="En retard",p_today-R1722,IF(AND(X1722="Reçu",ISNUMBER(R1722)),MAX(0,N(U1722)-R1722),""))</f>
        <v/>
      </c>
      <c r="Z1722" s="67" t="str">
        <f>IF(AND(A1722="",E1722=""),"",IF(A1722="","N° de bon manquant",IF(N(B1722)=0,"Date de commande manquante",IF(C1722="","Fournisseur manquant",IF(ISNA(MATCH($C1722,sup_code,0)),"Fournisseur inconnu",IF(E1722="","Article manquant",IF(ISNA(MATCH($E1722,art_ref,0)),"Article inconnu",IF(N(H1722)&lt;=0,"Quantité invalide",IF(J1722="","Prix manquant",IF(OR(N(K1722)&lt;0,N(K1722)&gt;=1),"Remise invalide",IF(M1722="","TVA manquante",IF(ISNA(MATCH(M1722,p_tva,0)),"Taux de TVA inconnu",IF(COUNTIFS(po_num,A1722,po_sup,"&lt;&gt;"&amp;C1722)&gt;0,"Fournisseur différent sur ce bon",IF(COUNTIFS(po_num,A1722,po_date,"&lt;&gt;"&amp;B1722)&gt;0,"Date différente sur ce bon",IF(COUNTIF(po_num,A1722)&gt;25,"Plus de 25 lignes sur ce bon",IF(R1722="","Date de livraison manquante",IF(R1722&lt;B1722,"Livraison avant la commande",IF(AND(N(T1722)&gt;0,N(S1722)=0),"Date d'envoi manquante",IF(N(T1722)&gt;N(H1722),"Reçu plus que commandé",IF(AND(N(T1722)&gt;0,N(U1722)=0),"Date de réception manquante",IF(AND(N(U1722)&gt;0,U1722&lt;B1722),"Réception avant la commande","OK")))))))))))))))))))))</f>
        <v/>
      </c>
      <c r="AA1722" s="66" t="str">
        <f>IF(AND(X1722="Reçu",ISNUMBER(R1722)),IF(N(U1722)&lt;=R1722,1,0),"")</f>
        <v/>
      </c>
      <c r="AB1722" s="76" t="str">
        <f>IF(OR(X1722="Envoyé",X1722="Partiel",X1722="En retard"),IF(ISNUMBER(R1722),R1722,100000)+ROW()/100000,"")</f>
        <v/>
      </c>
      <c r="AC1722" s="66" t="str">
        <f>IF(A1722="","",IF(COUNTIF($A$6:A1722,A1722)=1,1,""))</f>
        <v/>
      </c>
      <c r="AD1722" s="66" t="str">
        <f>IF(AC1722=1,COUNT($AC$6:AC1722),"")</f>
        <v/>
      </c>
      <c r="AE1722" s="66" t="str">
        <f>IFERROR(INDEX(po_num,MATCH(1717,po_seq,0))&amp;"","")</f>
        <v/>
      </c>
      <c r="AF1722" s="66" t="str">
        <f>IF(OR(A1722="",p_po=""),"",IF(A1722&amp;""=p_po,COUNTIF($A$6:A1722,A1722),""))</f>
        <v/>
      </c>
      <c r="AG1722" s="66" t="str">
        <f>IF(OR(AB1722="",A1722=""),"",IF(COUNTIFS($A$6:A1722,A1722,$AB$6:AB1722,"&gt;0")=1,1,""))</f>
        <v/>
      </c>
      <c r="AH1722" s="70" t="str">
        <f>IF(AB1722="","",ROUND(N(W1722)*N(J1722)*(1-N(K1722)),2))</f>
        <v/>
      </c>
      <c r="AI1722" s="70" t="str">
        <f>IF(OR(J1722="",N(T1722)&lt;=0,V1722="Oui"),"",ROUND(N(T1722)*J1722*(1-N(K1722)),2))</f>
        <v/>
      </c>
    </row>
    <row r="1723">
      <c r="A1723" s="63" t="n"/>
      <c r="B1723" s="64" t="n"/>
      <c r="C1723" s="65" t="n"/>
      <c r="D1723" s="66" t="str">
        <f>IF(C1723="","",IFERROR(INDEX(sup_name,MATCH($C1723,sup_code,0))&amp;"","Fournisseur inconnu"))</f>
        <v/>
      </c>
      <c r="E1723" s="63" t="n"/>
      <c r="F1723" s="66" t="str">
        <f>IF(E1723="","",IFERROR(INDEX(art_des,MATCH($E1723,art_ref,0))&amp;"","Article inconnu"))</f>
        <v/>
      </c>
      <c r="G1723" s="67" t="str">
        <f>IF(E1723="","",IFERROR(INDEX(art_unit,MATCH($E1723,art_ref,0))&amp;"",""))</f>
        <v/>
      </c>
      <c r="H1723" s="68" t="n"/>
      <c r="I1723" s="69" t="n"/>
      <c r="J1723" s="70" t="str">
        <f>IF(E1723="","",IF(ISNUMBER(I1723),I1723,IFERROR(IF(ISNUMBER(INDEX(art_price,MATCH($E1723,art_ref,0))),INDEX(art_price,MATCH($E1723,art_ref,0)),""),"")))</f>
        <v/>
      </c>
      <c r="K1723" s="71" t="n"/>
      <c r="L1723" s="72" t="n"/>
      <c r="M1723" s="72" t="str">
        <f>IF(E1723="","",IF(L1723&lt;&gt;"",L1723,IFERROR(IF(ISNUMBER(INDEX(art_tva,MATCH($E1723,art_ref,0))),INDEX(art_tva,MATCH($E1723,art_ref,0)),""),"")))</f>
        <v/>
      </c>
      <c r="N1723" s="70" t="str">
        <f>IF(OR(E1723="",J1723=""),"",ROUND(N(H1723)*J1723*(1-N(K1723)),2))</f>
        <v/>
      </c>
      <c r="O1723" s="70" t="str">
        <f>IF(OR(N1723="",NOT(ISNUMBER(M1723))),"",ROUND(N1723*M1723,2))</f>
        <v/>
      </c>
      <c r="P1723" s="70" t="str">
        <f>IF(N1723="","",N1723+N(O1723))</f>
        <v/>
      </c>
      <c r="Q1723" s="64" t="n"/>
      <c r="R1723" s="73" t="str">
        <f>IF(N(Q1723)&gt;0,Q1723,IF(OR(N(B1723)=0,ISNA(MATCH($C1723,sup_code,0))),"",IF(ISNUMBER(INDEX(sup_delay,MATCH($C1723,sup_code,0))),B1723+INDEX(sup_delay,MATCH($C1723,sup_code,0)),"")))</f>
        <v/>
      </c>
      <c r="S1723" s="64" t="n"/>
      <c r="T1723" s="68" t="n"/>
      <c r="U1723" s="64" t="n"/>
      <c r="V1723" s="65" t="n"/>
      <c r="W1723" s="74" t="str">
        <f>IF(AND(A1723="",E1723=""),"",IF(V1723="Oui",0,MAX(0,ROUND(N(H1723)-N(T1723),6))))</f>
        <v/>
      </c>
      <c r="X1723" s="67" t="str">
        <f>IF(AND(A1723="",E1723=""),"",IF(V1723="Oui","Annulé",IF(AND(N(H1723)&gt;0,N(T1723)&gt;=N(H1723)),"Reçu",IF(N(S1723)=0,"Brouillon",IF(AND(ISNUMBER(R1723),R1723&lt;p_today),"En retard",IF(N(T1723)&gt;0,"Partiel","Envoyé"))))))</f>
        <v/>
      </c>
      <c r="Y1723" s="75" t="str">
        <f>IF(X1723="En retard",p_today-R1723,IF(AND(X1723="Reçu",ISNUMBER(R1723)),MAX(0,N(U1723)-R1723),""))</f>
        <v/>
      </c>
      <c r="Z1723" s="67" t="str">
        <f>IF(AND(A1723="",E1723=""),"",IF(A1723="","N° de bon manquant",IF(N(B1723)=0,"Date de commande manquante",IF(C1723="","Fournisseur manquant",IF(ISNA(MATCH($C1723,sup_code,0)),"Fournisseur inconnu",IF(E1723="","Article manquant",IF(ISNA(MATCH($E1723,art_ref,0)),"Article inconnu",IF(N(H1723)&lt;=0,"Quantité invalide",IF(J1723="","Prix manquant",IF(OR(N(K1723)&lt;0,N(K1723)&gt;=1),"Remise invalide",IF(M1723="","TVA manquante",IF(ISNA(MATCH(M1723,p_tva,0)),"Taux de TVA inconnu",IF(COUNTIFS(po_num,A1723,po_sup,"&lt;&gt;"&amp;C1723)&gt;0,"Fournisseur différent sur ce bon",IF(COUNTIFS(po_num,A1723,po_date,"&lt;&gt;"&amp;B1723)&gt;0,"Date différente sur ce bon",IF(COUNTIF(po_num,A1723)&gt;25,"Plus de 25 lignes sur ce bon",IF(R1723="","Date de livraison manquante",IF(R1723&lt;B1723,"Livraison avant la commande",IF(AND(N(T1723)&gt;0,N(S1723)=0),"Date d'envoi manquante",IF(N(T1723)&gt;N(H1723),"Reçu plus que commandé",IF(AND(N(T1723)&gt;0,N(U1723)=0),"Date de réception manquante",IF(AND(N(U1723)&gt;0,U1723&lt;B1723),"Réception avant la commande","OK")))))))))))))))))))))</f>
        <v/>
      </c>
      <c r="AA1723" s="66" t="str">
        <f>IF(AND(X1723="Reçu",ISNUMBER(R1723)),IF(N(U1723)&lt;=R1723,1,0),"")</f>
        <v/>
      </c>
      <c r="AB1723" s="76" t="str">
        <f>IF(OR(X1723="Envoyé",X1723="Partiel",X1723="En retard"),IF(ISNUMBER(R1723),R1723,100000)+ROW()/100000,"")</f>
        <v/>
      </c>
      <c r="AC1723" s="66" t="str">
        <f>IF(A1723="","",IF(COUNTIF($A$6:A1723,A1723)=1,1,""))</f>
        <v/>
      </c>
      <c r="AD1723" s="66" t="str">
        <f>IF(AC1723=1,COUNT($AC$6:AC1723),"")</f>
        <v/>
      </c>
      <c r="AE1723" s="66" t="str">
        <f>IFERROR(INDEX(po_num,MATCH(1718,po_seq,0))&amp;"","")</f>
        <v/>
      </c>
      <c r="AF1723" s="66" t="str">
        <f>IF(OR(A1723="",p_po=""),"",IF(A1723&amp;""=p_po,COUNTIF($A$6:A1723,A1723),""))</f>
        <v/>
      </c>
      <c r="AG1723" s="66" t="str">
        <f>IF(OR(AB1723="",A1723=""),"",IF(COUNTIFS($A$6:A1723,A1723,$AB$6:AB1723,"&gt;0")=1,1,""))</f>
        <v/>
      </c>
      <c r="AH1723" s="70" t="str">
        <f>IF(AB1723="","",ROUND(N(W1723)*N(J1723)*(1-N(K1723)),2))</f>
        <v/>
      </c>
      <c r="AI1723" s="70" t="str">
        <f>IF(OR(J1723="",N(T1723)&lt;=0,V1723="Oui"),"",ROUND(N(T1723)*J1723*(1-N(K1723)),2))</f>
        <v/>
      </c>
    </row>
    <row r="1724">
      <c r="A1724" s="63" t="n"/>
      <c r="B1724" s="64" t="n"/>
      <c r="C1724" s="65" t="n"/>
      <c r="D1724" s="66" t="str">
        <f>IF(C1724="","",IFERROR(INDEX(sup_name,MATCH($C1724,sup_code,0))&amp;"","Fournisseur inconnu"))</f>
        <v/>
      </c>
      <c r="E1724" s="63" t="n"/>
      <c r="F1724" s="66" t="str">
        <f>IF(E1724="","",IFERROR(INDEX(art_des,MATCH($E1724,art_ref,0))&amp;"","Article inconnu"))</f>
        <v/>
      </c>
      <c r="G1724" s="67" t="str">
        <f>IF(E1724="","",IFERROR(INDEX(art_unit,MATCH($E1724,art_ref,0))&amp;"",""))</f>
        <v/>
      </c>
      <c r="H1724" s="68" t="n"/>
      <c r="I1724" s="69" t="n"/>
      <c r="J1724" s="70" t="str">
        <f>IF(E1724="","",IF(ISNUMBER(I1724),I1724,IFERROR(IF(ISNUMBER(INDEX(art_price,MATCH($E1724,art_ref,0))),INDEX(art_price,MATCH($E1724,art_ref,0)),""),"")))</f>
        <v/>
      </c>
      <c r="K1724" s="71" t="n"/>
      <c r="L1724" s="72" t="n"/>
      <c r="M1724" s="72" t="str">
        <f>IF(E1724="","",IF(L1724&lt;&gt;"",L1724,IFERROR(IF(ISNUMBER(INDEX(art_tva,MATCH($E1724,art_ref,0))),INDEX(art_tva,MATCH($E1724,art_ref,0)),""),"")))</f>
        <v/>
      </c>
      <c r="N1724" s="70" t="str">
        <f>IF(OR(E1724="",J1724=""),"",ROUND(N(H1724)*J1724*(1-N(K1724)),2))</f>
        <v/>
      </c>
      <c r="O1724" s="70" t="str">
        <f>IF(OR(N1724="",NOT(ISNUMBER(M1724))),"",ROUND(N1724*M1724,2))</f>
        <v/>
      </c>
      <c r="P1724" s="70" t="str">
        <f>IF(N1724="","",N1724+N(O1724))</f>
        <v/>
      </c>
      <c r="Q1724" s="64" t="n"/>
      <c r="R1724" s="73" t="str">
        <f>IF(N(Q1724)&gt;0,Q1724,IF(OR(N(B1724)=0,ISNA(MATCH($C1724,sup_code,0))),"",IF(ISNUMBER(INDEX(sup_delay,MATCH($C1724,sup_code,0))),B1724+INDEX(sup_delay,MATCH($C1724,sup_code,0)),"")))</f>
        <v/>
      </c>
      <c r="S1724" s="64" t="n"/>
      <c r="T1724" s="68" t="n"/>
      <c r="U1724" s="64" t="n"/>
      <c r="V1724" s="65" t="n"/>
      <c r="W1724" s="74" t="str">
        <f>IF(AND(A1724="",E1724=""),"",IF(V1724="Oui",0,MAX(0,ROUND(N(H1724)-N(T1724),6))))</f>
        <v/>
      </c>
      <c r="X1724" s="67" t="str">
        <f>IF(AND(A1724="",E1724=""),"",IF(V1724="Oui","Annulé",IF(AND(N(H1724)&gt;0,N(T1724)&gt;=N(H1724)),"Reçu",IF(N(S1724)=0,"Brouillon",IF(AND(ISNUMBER(R1724),R1724&lt;p_today),"En retard",IF(N(T1724)&gt;0,"Partiel","Envoyé"))))))</f>
        <v/>
      </c>
      <c r="Y1724" s="75" t="str">
        <f>IF(X1724="En retard",p_today-R1724,IF(AND(X1724="Reçu",ISNUMBER(R1724)),MAX(0,N(U1724)-R1724),""))</f>
        <v/>
      </c>
      <c r="Z1724" s="67" t="str">
        <f>IF(AND(A1724="",E1724=""),"",IF(A1724="","N° de bon manquant",IF(N(B1724)=0,"Date de commande manquante",IF(C1724="","Fournisseur manquant",IF(ISNA(MATCH($C1724,sup_code,0)),"Fournisseur inconnu",IF(E1724="","Article manquant",IF(ISNA(MATCH($E1724,art_ref,0)),"Article inconnu",IF(N(H1724)&lt;=0,"Quantité invalide",IF(J1724="","Prix manquant",IF(OR(N(K1724)&lt;0,N(K1724)&gt;=1),"Remise invalide",IF(M1724="","TVA manquante",IF(ISNA(MATCH(M1724,p_tva,0)),"Taux de TVA inconnu",IF(COUNTIFS(po_num,A1724,po_sup,"&lt;&gt;"&amp;C1724)&gt;0,"Fournisseur différent sur ce bon",IF(COUNTIFS(po_num,A1724,po_date,"&lt;&gt;"&amp;B1724)&gt;0,"Date différente sur ce bon",IF(COUNTIF(po_num,A1724)&gt;25,"Plus de 25 lignes sur ce bon",IF(R1724="","Date de livraison manquante",IF(R1724&lt;B1724,"Livraison avant la commande",IF(AND(N(T1724)&gt;0,N(S1724)=0),"Date d'envoi manquante",IF(N(T1724)&gt;N(H1724),"Reçu plus que commandé",IF(AND(N(T1724)&gt;0,N(U1724)=0),"Date de réception manquante",IF(AND(N(U1724)&gt;0,U1724&lt;B1724),"Réception avant la commande","OK")))))))))))))))))))))</f>
        <v/>
      </c>
      <c r="AA1724" s="66" t="str">
        <f>IF(AND(X1724="Reçu",ISNUMBER(R1724)),IF(N(U1724)&lt;=R1724,1,0),"")</f>
        <v/>
      </c>
      <c r="AB1724" s="76" t="str">
        <f>IF(OR(X1724="Envoyé",X1724="Partiel",X1724="En retard"),IF(ISNUMBER(R1724),R1724,100000)+ROW()/100000,"")</f>
        <v/>
      </c>
      <c r="AC1724" s="66" t="str">
        <f>IF(A1724="","",IF(COUNTIF($A$6:A1724,A1724)=1,1,""))</f>
        <v/>
      </c>
      <c r="AD1724" s="66" t="str">
        <f>IF(AC1724=1,COUNT($AC$6:AC1724),"")</f>
        <v/>
      </c>
      <c r="AE1724" s="66" t="str">
        <f>IFERROR(INDEX(po_num,MATCH(1719,po_seq,0))&amp;"","")</f>
        <v/>
      </c>
      <c r="AF1724" s="66" t="str">
        <f>IF(OR(A1724="",p_po=""),"",IF(A1724&amp;""=p_po,COUNTIF($A$6:A1724,A1724),""))</f>
        <v/>
      </c>
      <c r="AG1724" s="66" t="str">
        <f>IF(OR(AB1724="",A1724=""),"",IF(COUNTIFS($A$6:A1724,A1724,$AB$6:AB1724,"&gt;0")=1,1,""))</f>
        <v/>
      </c>
      <c r="AH1724" s="70" t="str">
        <f>IF(AB1724="","",ROUND(N(W1724)*N(J1724)*(1-N(K1724)),2))</f>
        <v/>
      </c>
      <c r="AI1724" s="70" t="str">
        <f>IF(OR(J1724="",N(T1724)&lt;=0,V1724="Oui"),"",ROUND(N(T1724)*J1724*(1-N(K1724)),2))</f>
        <v/>
      </c>
    </row>
    <row r="1725">
      <c r="A1725" s="63" t="n"/>
      <c r="B1725" s="64" t="n"/>
      <c r="C1725" s="65" t="n"/>
      <c r="D1725" s="66" t="str">
        <f>IF(C1725="","",IFERROR(INDEX(sup_name,MATCH($C1725,sup_code,0))&amp;"","Fournisseur inconnu"))</f>
        <v/>
      </c>
      <c r="E1725" s="63" t="n"/>
      <c r="F1725" s="66" t="str">
        <f>IF(E1725="","",IFERROR(INDEX(art_des,MATCH($E1725,art_ref,0))&amp;"","Article inconnu"))</f>
        <v/>
      </c>
      <c r="G1725" s="67" t="str">
        <f>IF(E1725="","",IFERROR(INDEX(art_unit,MATCH($E1725,art_ref,0))&amp;"",""))</f>
        <v/>
      </c>
      <c r="H1725" s="68" t="n"/>
      <c r="I1725" s="69" t="n"/>
      <c r="J1725" s="70" t="str">
        <f>IF(E1725="","",IF(ISNUMBER(I1725),I1725,IFERROR(IF(ISNUMBER(INDEX(art_price,MATCH($E1725,art_ref,0))),INDEX(art_price,MATCH($E1725,art_ref,0)),""),"")))</f>
        <v/>
      </c>
      <c r="K1725" s="71" t="n"/>
      <c r="L1725" s="72" t="n"/>
      <c r="M1725" s="72" t="str">
        <f>IF(E1725="","",IF(L1725&lt;&gt;"",L1725,IFERROR(IF(ISNUMBER(INDEX(art_tva,MATCH($E1725,art_ref,0))),INDEX(art_tva,MATCH($E1725,art_ref,0)),""),"")))</f>
        <v/>
      </c>
      <c r="N1725" s="70" t="str">
        <f>IF(OR(E1725="",J1725=""),"",ROUND(N(H1725)*J1725*(1-N(K1725)),2))</f>
        <v/>
      </c>
      <c r="O1725" s="70" t="str">
        <f>IF(OR(N1725="",NOT(ISNUMBER(M1725))),"",ROUND(N1725*M1725,2))</f>
        <v/>
      </c>
      <c r="P1725" s="70" t="str">
        <f>IF(N1725="","",N1725+N(O1725))</f>
        <v/>
      </c>
      <c r="Q1725" s="64" t="n"/>
      <c r="R1725" s="73" t="str">
        <f>IF(N(Q1725)&gt;0,Q1725,IF(OR(N(B1725)=0,ISNA(MATCH($C1725,sup_code,0))),"",IF(ISNUMBER(INDEX(sup_delay,MATCH($C1725,sup_code,0))),B1725+INDEX(sup_delay,MATCH($C1725,sup_code,0)),"")))</f>
        <v/>
      </c>
      <c r="S1725" s="64" t="n"/>
      <c r="T1725" s="68" t="n"/>
      <c r="U1725" s="64" t="n"/>
      <c r="V1725" s="65" t="n"/>
      <c r="W1725" s="74" t="str">
        <f>IF(AND(A1725="",E1725=""),"",IF(V1725="Oui",0,MAX(0,ROUND(N(H1725)-N(T1725),6))))</f>
        <v/>
      </c>
      <c r="X1725" s="67" t="str">
        <f>IF(AND(A1725="",E1725=""),"",IF(V1725="Oui","Annulé",IF(AND(N(H1725)&gt;0,N(T1725)&gt;=N(H1725)),"Reçu",IF(N(S1725)=0,"Brouillon",IF(AND(ISNUMBER(R1725),R1725&lt;p_today),"En retard",IF(N(T1725)&gt;0,"Partiel","Envoyé"))))))</f>
        <v/>
      </c>
      <c r="Y1725" s="75" t="str">
        <f>IF(X1725="En retard",p_today-R1725,IF(AND(X1725="Reçu",ISNUMBER(R1725)),MAX(0,N(U1725)-R1725),""))</f>
        <v/>
      </c>
      <c r="Z1725" s="67" t="str">
        <f>IF(AND(A1725="",E1725=""),"",IF(A1725="","N° de bon manquant",IF(N(B1725)=0,"Date de commande manquante",IF(C1725="","Fournisseur manquant",IF(ISNA(MATCH($C1725,sup_code,0)),"Fournisseur inconnu",IF(E1725="","Article manquant",IF(ISNA(MATCH($E1725,art_ref,0)),"Article inconnu",IF(N(H1725)&lt;=0,"Quantité invalide",IF(J1725="","Prix manquant",IF(OR(N(K1725)&lt;0,N(K1725)&gt;=1),"Remise invalide",IF(M1725="","TVA manquante",IF(ISNA(MATCH(M1725,p_tva,0)),"Taux de TVA inconnu",IF(COUNTIFS(po_num,A1725,po_sup,"&lt;&gt;"&amp;C1725)&gt;0,"Fournisseur différent sur ce bon",IF(COUNTIFS(po_num,A1725,po_date,"&lt;&gt;"&amp;B1725)&gt;0,"Date différente sur ce bon",IF(COUNTIF(po_num,A1725)&gt;25,"Plus de 25 lignes sur ce bon",IF(R1725="","Date de livraison manquante",IF(R1725&lt;B1725,"Livraison avant la commande",IF(AND(N(T1725)&gt;0,N(S1725)=0),"Date d'envoi manquante",IF(N(T1725)&gt;N(H1725),"Reçu plus que commandé",IF(AND(N(T1725)&gt;0,N(U1725)=0),"Date de réception manquante",IF(AND(N(U1725)&gt;0,U1725&lt;B1725),"Réception avant la commande","OK")))))))))))))))))))))</f>
        <v/>
      </c>
      <c r="AA1725" s="66" t="str">
        <f>IF(AND(X1725="Reçu",ISNUMBER(R1725)),IF(N(U1725)&lt;=R1725,1,0),"")</f>
        <v/>
      </c>
      <c r="AB1725" s="76" t="str">
        <f>IF(OR(X1725="Envoyé",X1725="Partiel",X1725="En retard"),IF(ISNUMBER(R1725),R1725,100000)+ROW()/100000,"")</f>
        <v/>
      </c>
      <c r="AC1725" s="66" t="str">
        <f>IF(A1725="","",IF(COUNTIF($A$6:A1725,A1725)=1,1,""))</f>
        <v/>
      </c>
      <c r="AD1725" s="66" t="str">
        <f>IF(AC1725=1,COUNT($AC$6:AC1725),"")</f>
        <v/>
      </c>
      <c r="AE1725" s="66" t="str">
        <f>IFERROR(INDEX(po_num,MATCH(1720,po_seq,0))&amp;"","")</f>
        <v/>
      </c>
      <c r="AF1725" s="66" t="str">
        <f>IF(OR(A1725="",p_po=""),"",IF(A1725&amp;""=p_po,COUNTIF($A$6:A1725,A1725),""))</f>
        <v/>
      </c>
      <c r="AG1725" s="66" t="str">
        <f>IF(OR(AB1725="",A1725=""),"",IF(COUNTIFS($A$6:A1725,A1725,$AB$6:AB1725,"&gt;0")=1,1,""))</f>
        <v/>
      </c>
      <c r="AH1725" s="70" t="str">
        <f>IF(AB1725="","",ROUND(N(W1725)*N(J1725)*(1-N(K1725)),2))</f>
        <v/>
      </c>
      <c r="AI1725" s="70" t="str">
        <f>IF(OR(J1725="",N(T1725)&lt;=0,V1725="Oui"),"",ROUND(N(T1725)*J1725*(1-N(K1725)),2))</f>
        <v/>
      </c>
    </row>
    <row r="1726">
      <c r="A1726" s="63" t="n"/>
      <c r="B1726" s="64" t="n"/>
      <c r="C1726" s="65" t="n"/>
      <c r="D1726" s="66" t="str">
        <f>IF(C1726="","",IFERROR(INDEX(sup_name,MATCH($C1726,sup_code,0))&amp;"","Fournisseur inconnu"))</f>
        <v/>
      </c>
      <c r="E1726" s="63" t="n"/>
      <c r="F1726" s="66" t="str">
        <f>IF(E1726="","",IFERROR(INDEX(art_des,MATCH($E1726,art_ref,0))&amp;"","Article inconnu"))</f>
        <v/>
      </c>
      <c r="G1726" s="67" t="str">
        <f>IF(E1726="","",IFERROR(INDEX(art_unit,MATCH($E1726,art_ref,0))&amp;"",""))</f>
        <v/>
      </c>
      <c r="H1726" s="68" t="n"/>
      <c r="I1726" s="69" t="n"/>
      <c r="J1726" s="70" t="str">
        <f>IF(E1726="","",IF(ISNUMBER(I1726),I1726,IFERROR(IF(ISNUMBER(INDEX(art_price,MATCH($E1726,art_ref,0))),INDEX(art_price,MATCH($E1726,art_ref,0)),""),"")))</f>
        <v/>
      </c>
      <c r="K1726" s="71" t="n"/>
      <c r="L1726" s="72" t="n"/>
      <c r="M1726" s="72" t="str">
        <f>IF(E1726="","",IF(L1726&lt;&gt;"",L1726,IFERROR(IF(ISNUMBER(INDEX(art_tva,MATCH($E1726,art_ref,0))),INDEX(art_tva,MATCH($E1726,art_ref,0)),""),"")))</f>
        <v/>
      </c>
      <c r="N1726" s="70" t="str">
        <f>IF(OR(E1726="",J1726=""),"",ROUND(N(H1726)*J1726*(1-N(K1726)),2))</f>
        <v/>
      </c>
      <c r="O1726" s="70" t="str">
        <f>IF(OR(N1726="",NOT(ISNUMBER(M1726))),"",ROUND(N1726*M1726,2))</f>
        <v/>
      </c>
      <c r="P1726" s="70" t="str">
        <f>IF(N1726="","",N1726+N(O1726))</f>
        <v/>
      </c>
      <c r="Q1726" s="64" t="n"/>
      <c r="R1726" s="73" t="str">
        <f>IF(N(Q1726)&gt;0,Q1726,IF(OR(N(B1726)=0,ISNA(MATCH($C1726,sup_code,0))),"",IF(ISNUMBER(INDEX(sup_delay,MATCH($C1726,sup_code,0))),B1726+INDEX(sup_delay,MATCH($C1726,sup_code,0)),"")))</f>
        <v/>
      </c>
      <c r="S1726" s="64" t="n"/>
      <c r="T1726" s="68" t="n"/>
      <c r="U1726" s="64" t="n"/>
      <c r="V1726" s="65" t="n"/>
      <c r="W1726" s="74" t="str">
        <f>IF(AND(A1726="",E1726=""),"",IF(V1726="Oui",0,MAX(0,ROUND(N(H1726)-N(T1726),6))))</f>
        <v/>
      </c>
      <c r="X1726" s="67" t="str">
        <f>IF(AND(A1726="",E1726=""),"",IF(V1726="Oui","Annulé",IF(AND(N(H1726)&gt;0,N(T1726)&gt;=N(H1726)),"Reçu",IF(N(S1726)=0,"Brouillon",IF(AND(ISNUMBER(R1726),R1726&lt;p_today),"En retard",IF(N(T1726)&gt;0,"Partiel","Envoyé"))))))</f>
        <v/>
      </c>
      <c r="Y1726" s="75" t="str">
        <f>IF(X1726="En retard",p_today-R1726,IF(AND(X1726="Reçu",ISNUMBER(R1726)),MAX(0,N(U1726)-R1726),""))</f>
        <v/>
      </c>
      <c r="Z1726" s="67" t="str">
        <f>IF(AND(A1726="",E1726=""),"",IF(A1726="","N° de bon manquant",IF(N(B1726)=0,"Date de commande manquante",IF(C1726="","Fournisseur manquant",IF(ISNA(MATCH($C1726,sup_code,0)),"Fournisseur inconnu",IF(E1726="","Article manquant",IF(ISNA(MATCH($E1726,art_ref,0)),"Article inconnu",IF(N(H1726)&lt;=0,"Quantité invalide",IF(J1726="","Prix manquant",IF(OR(N(K1726)&lt;0,N(K1726)&gt;=1),"Remise invalide",IF(M1726="","TVA manquante",IF(ISNA(MATCH(M1726,p_tva,0)),"Taux de TVA inconnu",IF(COUNTIFS(po_num,A1726,po_sup,"&lt;&gt;"&amp;C1726)&gt;0,"Fournisseur différent sur ce bon",IF(COUNTIFS(po_num,A1726,po_date,"&lt;&gt;"&amp;B1726)&gt;0,"Date différente sur ce bon",IF(COUNTIF(po_num,A1726)&gt;25,"Plus de 25 lignes sur ce bon",IF(R1726="","Date de livraison manquante",IF(R1726&lt;B1726,"Livraison avant la commande",IF(AND(N(T1726)&gt;0,N(S1726)=0),"Date d'envoi manquante",IF(N(T1726)&gt;N(H1726),"Reçu plus que commandé",IF(AND(N(T1726)&gt;0,N(U1726)=0),"Date de réception manquante",IF(AND(N(U1726)&gt;0,U1726&lt;B1726),"Réception avant la commande","OK")))))))))))))))))))))</f>
        <v/>
      </c>
      <c r="AA1726" s="66" t="str">
        <f>IF(AND(X1726="Reçu",ISNUMBER(R1726)),IF(N(U1726)&lt;=R1726,1,0),"")</f>
        <v/>
      </c>
      <c r="AB1726" s="76" t="str">
        <f>IF(OR(X1726="Envoyé",X1726="Partiel",X1726="En retard"),IF(ISNUMBER(R1726),R1726,100000)+ROW()/100000,"")</f>
        <v/>
      </c>
      <c r="AC1726" s="66" t="str">
        <f>IF(A1726="","",IF(COUNTIF($A$6:A1726,A1726)=1,1,""))</f>
        <v/>
      </c>
      <c r="AD1726" s="66" t="str">
        <f>IF(AC1726=1,COUNT($AC$6:AC1726),"")</f>
        <v/>
      </c>
      <c r="AE1726" s="66" t="str">
        <f>IFERROR(INDEX(po_num,MATCH(1721,po_seq,0))&amp;"","")</f>
        <v/>
      </c>
      <c r="AF1726" s="66" t="str">
        <f>IF(OR(A1726="",p_po=""),"",IF(A1726&amp;""=p_po,COUNTIF($A$6:A1726,A1726),""))</f>
        <v/>
      </c>
      <c r="AG1726" s="66" t="str">
        <f>IF(OR(AB1726="",A1726=""),"",IF(COUNTIFS($A$6:A1726,A1726,$AB$6:AB1726,"&gt;0")=1,1,""))</f>
        <v/>
      </c>
      <c r="AH1726" s="70" t="str">
        <f>IF(AB1726="","",ROUND(N(W1726)*N(J1726)*(1-N(K1726)),2))</f>
        <v/>
      </c>
      <c r="AI1726" s="70" t="str">
        <f>IF(OR(J1726="",N(T1726)&lt;=0,V1726="Oui"),"",ROUND(N(T1726)*J1726*(1-N(K1726)),2))</f>
        <v/>
      </c>
    </row>
    <row r="1727">
      <c r="A1727" s="63" t="n"/>
      <c r="B1727" s="64" t="n"/>
      <c r="C1727" s="65" t="n"/>
      <c r="D1727" s="66" t="str">
        <f>IF(C1727="","",IFERROR(INDEX(sup_name,MATCH($C1727,sup_code,0))&amp;"","Fournisseur inconnu"))</f>
        <v/>
      </c>
      <c r="E1727" s="63" t="n"/>
      <c r="F1727" s="66" t="str">
        <f>IF(E1727="","",IFERROR(INDEX(art_des,MATCH($E1727,art_ref,0))&amp;"","Article inconnu"))</f>
        <v/>
      </c>
      <c r="G1727" s="67" t="str">
        <f>IF(E1727="","",IFERROR(INDEX(art_unit,MATCH($E1727,art_ref,0))&amp;"",""))</f>
        <v/>
      </c>
      <c r="H1727" s="68" t="n"/>
      <c r="I1727" s="69" t="n"/>
      <c r="J1727" s="70" t="str">
        <f>IF(E1727="","",IF(ISNUMBER(I1727),I1727,IFERROR(IF(ISNUMBER(INDEX(art_price,MATCH($E1727,art_ref,0))),INDEX(art_price,MATCH($E1727,art_ref,0)),""),"")))</f>
        <v/>
      </c>
      <c r="K1727" s="71" t="n"/>
      <c r="L1727" s="72" t="n"/>
      <c r="M1727" s="72" t="str">
        <f>IF(E1727="","",IF(L1727&lt;&gt;"",L1727,IFERROR(IF(ISNUMBER(INDEX(art_tva,MATCH($E1727,art_ref,0))),INDEX(art_tva,MATCH($E1727,art_ref,0)),""),"")))</f>
        <v/>
      </c>
      <c r="N1727" s="70" t="str">
        <f>IF(OR(E1727="",J1727=""),"",ROUND(N(H1727)*J1727*(1-N(K1727)),2))</f>
        <v/>
      </c>
      <c r="O1727" s="70" t="str">
        <f>IF(OR(N1727="",NOT(ISNUMBER(M1727))),"",ROUND(N1727*M1727,2))</f>
        <v/>
      </c>
      <c r="P1727" s="70" t="str">
        <f>IF(N1727="","",N1727+N(O1727))</f>
        <v/>
      </c>
      <c r="Q1727" s="64" t="n"/>
      <c r="R1727" s="73" t="str">
        <f>IF(N(Q1727)&gt;0,Q1727,IF(OR(N(B1727)=0,ISNA(MATCH($C1727,sup_code,0))),"",IF(ISNUMBER(INDEX(sup_delay,MATCH($C1727,sup_code,0))),B1727+INDEX(sup_delay,MATCH($C1727,sup_code,0)),"")))</f>
        <v/>
      </c>
      <c r="S1727" s="64" t="n"/>
      <c r="T1727" s="68" t="n"/>
      <c r="U1727" s="64" t="n"/>
      <c r="V1727" s="65" t="n"/>
      <c r="W1727" s="74" t="str">
        <f>IF(AND(A1727="",E1727=""),"",IF(V1727="Oui",0,MAX(0,ROUND(N(H1727)-N(T1727),6))))</f>
        <v/>
      </c>
      <c r="X1727" s="67" t="str">
        <f>IF(AND(A1727="",E1727=""),"",IF(V1727="Oui","Annulé",IF(AND(N(H1727)&gt;0,N(T1727)&gt;=N(H1727)),"Reçu",IF(N(S1727)=0,"Brouillon",IF(AND(ISNUMBER(R1727),R1727&lt;p_today),"En retard",IF(N(T1727)&gt;0,"Partiel","Envoyé"))))))</f>
        <v/>
      </c>
      <c r="Y1727" s="75" t="str">
        <f>IF(X1727="En retard",p_today-R1727,IF(AND(X1727="Reçu",ISNUMBER(R1727)),MAX(0,N(U1727)-R1727),""))</f>
        <v/>
      </c>
      <c r="Z1727" s="67" t="str">
        <f>IF(AND(A1727="",E1727=""),"",IF(A1727="","N° de bon manquant",IF(N(B1727)=0,"Date de commande manquante",IF(C1727="","Fournisseur manquant",IF(ISNA(MATCH($C1727,sup_code,0)),"Fournisseur inconnu",IF(E1727="","Article manquant",IF(ISNA(MATCH($E1727,art_ref,0)),"Article inconnu",IF(N(H1727)&lt;=0,"Quantité invalide",IF(J1727="","Prix manquant",IF(OR(N(K1727)&lt;0,N(K1727)&gt;=1),"Remise invalide",IF(M1727="","TVA manquante",IF(ISNA(MATCH(M1727,p_tva,0)),"Taux de TVA inconnu",IF(COUNTIFS(po_num,A1727,po_sup,"&lt;&gt;"&amp;C1727)&gt;0,"Fournisseur différent sur ce bon",IF(COUNTIFS(po_num,A1727,po_date,"&lt;&gt;"&amp;B1727)&gt;0,"Date différente sur ce bon",IF(COUNTIF(po_num,A1727)&gt;25,"Plus de 25 lignes sur ce bon",IF(R1727="","Date de livraison manquante",IF(R1727&lt;B1727,"Livraison avant la commande",IF(AND(N(T1727)&gt;0,N(S1727)=0),"Date d'envoi manquante",IF(N(T1727)&gt;N(H1727),"Reçu plus que commandé",IF(AND(N(T1727)&gt;0,N(U1727)=0),"Date de réception manquante",IF(AND(N(U1727)&gt;0,U1727&lt;B1727),"Réception avant la commande","OK")))))))))))))))))))))</f>
        <v/>
      </c>
      <c r="AA1727" s="66" t="str">
        <f>IF(AND(X1727="Reçu",ISNUMBER(R1727)),IF(N(U1727)&lt;=R1727,1,0),"")</f>
        <v/>
      </c>
      <c r="AB1727" s="76" t="str">
        <f>IF(OR(X1727="Envoyé",X1727="Partiel",X1727="En retard"),IF(ISNUMBER(R1727),R1727,100000)+ROW()/100000,"")</f>
        <v/>
      </c>
      <c r="AC1727" s="66" t="str">
        <f>IF(A1727="","",IF(COUNTIF($A$6:A1727,A1727)=1,1,""))</f>
        <v/>
      </c>
      <c r="AD1727" s="66" t="str">
        <f>IF(AC1727=1,COUNT($AC$6:AC1727),"")</f>
        <v/>
      </c>
      <c r="AE1727" s="66" t="str">
        <f>IFERROR(INDEX(po_num,MATCH(1722,po_seq,0))&amp;"","")</f>
        <v/>
      </c>
      <c r="AF1727" s="66" t="str">
        <f>IF(OR(A1727="",p_po=""),"",IF(A1727&amp;""=p_po,COUNTIF($A$6:A1727,A1727),""))</f>
        <v/>
      </c>
      <c r="AG1727" s="66" t="str">
        <f>IF(OR(AB1727="",A1727=""),"",IF(COUNTIFS($A$6:A1727,A1727,$AB$6:AB1727,"&gt;0")=1,1,""))</f>
        <v/>
      </c>
      <c r="AH1727" s="70" t="str">
        <f>IF(AB1727="","",ROUND(N(W1727)*N(J1727)*(1-N(K1727)),2))</f>
        <v/>
      </c>
      <c r="AI1727" s="70" t="str">
        <f>IF(OR(J1727="",N(T1727)&lt;=0,V1727="Oui"),"",ROUND(N(T1727)*J1727*(1-N(K1727)),2))</f>
        <v/>
      </c>
    </row>
    <row r="1728">
      <c r="A1728" s="63" t="n"/>
      <c r="B1728" s="64" t="n"/>
      <c r="C1728" s="65" t="n"/>
      <c r="D1728" s="66" t="str">
        <f>IF(C1728="","",IFERROR(INDEX(sup_name,MATCH($C1728,sup_code,0))&amp;"","Fournisseur inconnu"))</f>
        <v/>
      </c>
      <c r="E1728" s="63" t="n"/>
      <c r="F1728" s="66" t="str">
        <f>IF(E1728="","",IFERROR(INDEX(art_des,MATCH($E1728,art_ref,0))&amp;"","Article inconnu"))</f>
        <v/>
      </c>
      <c r="G1728" s="67" t="str">
        <f>IF(E1728="","",IFERROR(INDEX(art_unit,MATCH($E1728,art_ref,0))&amp;"",""))</f>
        <v/>
      </c>
      <c r="H1728" s="68" t="n"/>
      <c r="I1728" s="69" t="n"/>
      <c r="J1728" s="70" t="str">
        <f>IF(E1728="","",IF(ISNUMBER(I1728),I1728,IFERROR(IF(ISNUMBER(INDEX(art_price,MATCH($E1728,art_ref,0))),INDEX(art_price,MATCH($E1728,art_ref,0)),""),"")))</f>
        <v/>
      </c>
      <c r="K1728" s="71" t="n"/>
      <c r="L1728" s="72" t="n"/>
      <c r="M1728" s="72" t="str">
        <f>IF(E1728="","",IF(L1728&lt;&gt;"",L1728,IFERROR(IF(ISNUMBER(INDEX(art_tva,MATCH($E1728,art_ref,0))),INDEX(art_tva,MATCH($E1728,art_ref,0)),""),"")))</f>
        <v/>
      </c>
      <c r="N1728" s="70" t="str">
        <f>IF(OR(E1728="",J1728=""),"",ROUND(N(H1728)*J1728*(1-N(K1728)),2))</f>
        <v/>
      </c>
      <c r="O1728" s="70" t="str">
        <f>IF(OR(N1728="",NOT(ISNUMBER(M1728))),"",ROUND(N1728*M1728,2))</f>
        <v/>
      </c>
      <c r="P1728" s="70" t="str">
        <f>IF(N1728="","",N1728+N(O1728))</f>
        <v/>
      </c>
      <c r="Q1728" s="64" t="n"/>
      <c r="R1728" s="73" t="str">
        <f>IF(N(Q1728)&gt;0,Q1728,IF(OR(N(B1728)=0,ISNA(MATCH($C1728,sup_code,0))),"",IF(ISNUMBER(INDEX(sup_delay,MATCH($C1728,sup_code,0))),B1728+INDEX(sup_delay,MATCH($C1728,sup_code,0)),"")))</f>
        <v/>
      </c>
      <c r="S1728" s="64" t="n"/>
      <c r="T1728" s="68" t="n"/>
      <c r="U1728" s="64" t="n"/>
      <c r="V1728" s="65" t="n"/>
      <c r="W1728" s="74" t="str">
        <f>IF(AND(A1728="",E1728=""),"",IF(V1728="Oui",0,MAX(0,ROUND(N(H1728)-N(T1728),6))))</f>
        <v/>
      </c>
      <c r="X1728" s="67" t="str">
        <f>IF(AND(A1728="",E1728=""),"",IF(V1728="Oui","Annulé",IF(AND(N(H1728)&gt;0,N(T1728)&gt;=N(H1728)),"Reçu",IF(N(S1728)=0,"Brouillon",IF(AND(ISNUMBER(R1728),R1728&lt;p_today),"En retard",IF(N(T1728)&gt;0,"Partiel","Envoyé"))))))</f>
        <v/>
      </c>
      <c r="Y1728" s="75" t="str">
        <f>IF(X1728="En retard",p_today-R1728,IF(AND(X1728="Reçu",ISNUMBER(R1728)),MAX(0,N(U1728)-R1728),""))</f>
        <v/>
      </c>
      <c r="Z1728" s="67" t="str">
        <f>IF(AND(A1728="",E1728=""),"",IF(A1728="","N° de bon manquant",IF(N(B1728)=0,"Date de commande manquante",IF(C1728="","Fournisseur manquant",IF(ISNA(MATCH($C1728,sup_code,0)),"Fournisseur inconnu",IF(E1728="","Article manquant",IF(ISNA(MATCH($E1728,art_ref,0)),"Article inconnu",IF(N(H1728)&lt;=0,"Quantité invalide",IF(J1728="","Prix manquant",IF(OR(N(K1728)&lt;0,N(K1728)&gt;=1),"Remise invalide",IF(M1728="","TVA manquante",IF(ISNA(MATCH(M1728,p_tva,0)),"Taux de TVA inconnu",IF(COUNTIFS(po_num,A1728,po_sup,"&lt;&gt;"&amp;C1728)&gt;0,"Fournisseur différent sur ce bon",IF(COUNTIFS(po_num,A1728,po_date,"&lt;&gt;"&amp;B1728)&gt;0,"Date différente sur ce bon",IF(COUNTIF(po_num,A1728)&gt;25,"Plus de 25 lignes sur ce bon",IF(R1728="","Date de livraison manquante",IF(R1728&lt;B1728,"Livraison avant la commande",IF(AND(N(T1728)&gt;0,N(S1728)=0),"Date d'envoi manquante",IF(N(T1728)&gt;N(H1728),"Reçu plus que commandé",IF(AND(N(T1728)&gt;0,N(U1728)=0),"Date de réception manquante",IF(AND(N(U1728)&gt;0,U1728&lt;B1728),"Réception avant la commande","OK")))))))))))))))))))))</f>
        <v/>
      </c>
      <c r="AA1728" s="66" t="str">
        <f>IF(AND(X1728="Reçu",ISNUMBER(R1728)),IF(N(U1728)&lt;=R1728,1,0),"")</f>
        <v/>
      </c>
      <c r="AB1728" s="76" t="str">
        <f>IF(OR(X1728="Envoyé",X1728="Partiel",X1728="En retard"),IF(ISNUMBER(R1728),R1728,100000)+ROW()/100000,"")</f>
        <v/>
      </c>
      <c r="AC1728" s="66" t="str">
        <f>IF(A1728="","",IF(COUNTIF($A$6:A1728,A1728)=1,1,""))</f>
        <v/>
      </c>
      <c r="AD1728" s="66" t="str">
        <f>IF(AC1728=1,COUNT($AC$6:AC1728),"")</f>
        <v/>
      </c>
      <c r="AE1728" s="66" t="str">
        <f>IFERROR(INDEX(po_num,MATCH(1723,po_seq,0))&amp;"","")</f>
        <v/>
      </c>
      <c r="AF1728" s="66" t="str">
        <f>IF(OR(A1728="",p_po=""),"",IF(A1728&amp;""=p_po,COUNTIF($A$6:A1728,A1728),""))</f>
        <v/>
      </c>
      <c r="AG1728" s="66" t="str">
        <f>IF(OR(AB1728="",A1728=""),"",IF(COUNTIFS($A$6:A1728,A1728,$AB$6:AB1728,"&gt;0")=1,1,""))</f>
        <v/>
      </c>
      <c r="AH1728" s="70" t="str">
        <f>IF(AB1728="","",ROUND(N(W1728)*N(J1728)*(1-N(K1728)),2))</f>
        <v/>
      </c>
      <c r="AI1728" s="70" t="str">
        <f>IF(OR(J1728="",N(T1728)&lt;=0,V1728="Oui"),"",ROUND(N(T1728)*J1728*(1-N(K1728)),2))</f>
        <v/>
      </c>
    </row>
    <row r="1729">
      <c r="A1729" s="63" t="n"/>
      <c r="B1729" s="64" t="n"/>
      <c r="C1729" s="65" t="n"/>
      <c r="D1729" s="66" t="str">
        <f>IF(C1729="","",IFERROR(INDEX(sup_name,MATCH($C1729,sup_code,0))&amp;"","Fournisseur inconnu"))</f>
        <v/>
      </c>
      <c r="E1729" s="63" t="n"/>
      <c r="F1729" s="66" t="str">
        <f>IF(E1729="","",IFERROR(INDEX(art_des,MATCH($E1729,art_ref,0))&amp;"","Article inconnu"))</f>
        <v/>
      </c>
      <c r="G1729" s="67" t="str">
        <f>IF(E1729="","",IFERROR(INDEX(art_unit,MATCH($E1729,art_ref,0))&amp;"",""))</f>
        <v/>
      </c>
      <c r="H1729" s="68" t="n"/>
      <c r="I1729" s="69" t="n"/>
      <c r="J1729" s="70" t="str">
        <f>IF(E1729="","",IF(ISNUMBER(I1729),I1729,IFERROR(IF(ISNUMBER(INDEX(art_price,MATCH($E1729,art_ref,0))),INDEX(art_price,MATCH($E1729,art_ref,0)),""),"")))</f>
        <v/>
      </c>
      <c r="K1729" s="71" t="n"/>
      <c r="L1729" s="72" t="n"/>
      <c r="M1729" s="72" t="str">
        <f>IF(E1729="","",IF(L1729&lt;&gt;"",L1729,IFERROR(IF(ISNUMBER(INDEX(art_tva,MATCH($E1729,art_ref,0))),INDEX(art_tva,MATCH($E1729,art_ref,0)),""),"")))</f>
        <v/>
      </c>
      <c r="N1729" s="70" t="str">
        <f>IF(OR(E1729="",J1729=""),"",ROUND(N(H1729)*J1729*(1-N(K1729)),2))</f>
        <v/>
      </c>
      <c r="O1729" s="70" t="str">
        <f>IF(OR(N1729="",NOT(ISNUMBER(M1729))),"",ROUND(N1729*M1729,2))</f>
        <v/>
      </c>
      <c r="P1729" s="70" t="str">
        <f>IF(N1729="","",N1729+N(O1729))</f>
        <v/>
      </c>
      <c r="Q1729" s="64" t="n"/>
      <c r="R1729" s="73" t="str">
        <f>IF(N(Q1729)&gt;0,Q1729,IF(OR(N(B1729)=0,ISNA(MATCH($C1729,sup_code,0))),"",IF(ISNUMBER(INDEX(sup_delay,MATCH($C1729,sup_code,0))),B1729+INDEX(sup_delay,MATCH($C1729,sup_code,0)),"")))</f>
        <v/>
      </c>
      <c r="S1729" s="64" t="n"/>
      <c r="T1729" s="68" t="n"/>
      <c r="U1729" s="64" t="n"/>
      <c r="V1729" s="65" t="n"/>
      <c r="W1729" s="74" t="str">
        <f>IF(AND(A1729="",E1729=""),"",IF(V1729="Oui",0,MAX(0,ROUND(N(H1729)-N(T1729),6))))</f>
        <v/>
      </c>
      <c r="X1729" s="67" t="str">
        <f>IF(AND(A1729="",E1729=""),"",IF(V1729="Oui","Annulé",IF(AND(N(H1729)&gt;0,N(T1729)&gt;=N(H1729)),"Reçu",IF(N(S1729)=0,"Brouillon",IF(AND(ISNUMBER(R1729),R1729&lt;p_today),"En retard",IF(N(T1729)&gt;0,"Partiel","Envoyé"))))))</f>
        <v/>
      </c>
      <c r="Y1729" s="75" t="str">
        <f>IF(X1729="En retard",p_today-R1729,IF(AND(X1729="Reçu",ISNUMBER(R1729)),MAX(0,N(U1729)-R1729),""))</f>
        <v/>
      </c>
      <c r="Z1729" s="67" t="str">
        <f>IF(AND(A1729="",E1729=""),"",IF(A1729="","N° de bon manquant",IF(N(B1729)=0,"Date de commande manquante",IF(C1729="","Fournisseur manquant",IF(ISNA(MATCH($C1729,sup_code,0)),"Fournisseur inconnu",IF(E1729="","Article manquant",IF(ISNA(MATCH($E1729,art_ref,0)),"Article inconnu",IF(N(H1729)&lt;=0,"Quantité invalide",IF(J1729="","Prix manquant",IF(OR(N(K1729)&lt;0,N(K1729)&gt;=1),"Remise invalide",IF(M1729="","TVA manquante",IF(ISNA(MATCH(M1729,p_tva,0)),"Taux de TVA inconnu",IF(COUNTIFS(po_num,A1729,po_sup,"&lt;&gt;"&amp;C1729)&gt;0,"Fournisseur différent sur ce bon",IF(COUNTIFS(po_num,A1729,po_date,"&lt;&gt;"&amp;B1729)&gt;0,"Date différente sur ce bon",IF(COUNTIF(po_num,A1729)&gt;25,"Plus de 25 lignes sur ce bon",IF(R1729="","Date de livraison manquante",IF(R1729&lt;B1729,"Livraison avant la commande",IF(AND(N(T1729)&gt;0,N(S1729)=0),"Date d'envoi manquante",IF(N(T1729)&gt;N(H1729),"Reçu plus que commandé",IF(AND(N(T1729)&gt;0,N(U1729)=0),"Date de réception manquante",IF(AND(N(U1729)&gt;0,U1729&lt;B1729),"Réception avant la commande","OK")))))))))))))))))))))</f>
        <v/>
      </c>
      <c r="AA1729" s="66" t="str">
        <f>IF(AND(X1729="Reçu",ISNUMBER(R1729)),IF(N(U1729)&lt;=R1729,1,0),"")</f>
        <v/>
      </c>
      <c r="AB1729" s="76" t="str">
        <f>IF(OR(X1729="Envoyé",X1729="Partiel",X1729="En retard"),IF(ISNUMBER(R1729),R1729,100000)+ROW()/100000,"")</f>
        <v/>
      </c>
      <c r="AC1729" s="66" t="str">
        <f>IF(A1729="","",IF(COUNTIF($A$6:A1729,A1729)=1,1,""))</f>
        <v/>
      </c>
      <c r="AD1729" s="66" t="str">
        <f>IF(AC1729=1,COUNT($AC$6:AC1729),"")</f>
        <v/>
      </c>
      <c r="AE1729" s="66" t="str">
        <f>IFERROR(INDEX(po_num,MATCH(1724,po_seq,0))&amp;"","")</f>
        <v/>
      </c>
      <c r="AF1729" s="66" t="str">
        <f>IF(OR(A1729="",p_po=""),"",IF(A1729&amp;""=p_po,COUNTIF($A$6:A1729,A1729),""))</f>
        <v/>
      </c>
      <c r="AG1729" s="66" t="str">
        <f>IF(OR(AB1729="",A1729=""),"",IF(COUNTIFS($A$6:A1729,A1729,$AB$6:AB1729,"&gt;0")=1,1,""))</f>
        <v/>
      </c>
      <c r="AH1729" s="70" t="str">
        <f>IF(AB1729="","",ROUND(N(W1729)*N(J1729)*(1-N(K1729)),2))</f>
        <v/>
      </c>
      <c r="AI1729" s="70" t="str">
        <f>IF(OR(J1729="",N(T1729)&lt;=0,V1729="Oui"),"",ROUND(N(T1729)*J1729*(1-N(K1729)),2))</f>
        <v/>
      </c>
    </row>
    <row r="1730">
      <c r="A1730" s="63" t="n"/>
      <c r="B1730" s="64" t="n"/>
      <c r="C1730" s="65" t="n"/>
      <c r="D1730" s="66" t="str">
        <f>IF(C1730="","",IFERROR(INDEX(sup_name,MATCH($C1730,sup_code,0))&amp;"","Fournisseur inconnu"))</f>
        <v/>
      </c>
      <c r="E1730" s="63" t="n"/>
      <c r="F1730" s="66" t="str">
        <f>IF(E1730="","",IFERROR(INDEX(art_des,MATCH($E1730,art_ref,0))&amp;"","Article inconnu"))</f>
        <v/>
      </c>
      <c r="G1730" s="67" t="str">
        <f>IF(E1730="","",IFERROR(INDEX(art_unit,MATCH($E1730,art_ref,0))&amp;"",""))</f>
        <v/>
      </c>
      <c r="H1730" s="68" t="n"/>
      <c r="I1730" s="69" t="n"/>
      <c r="J1730" s="70" t="str">
        <f>IF(E1730="","",IF(ISNUMBER(I1730),I1730,IFERROR(IF(ISNUMBER(INDEX(art_price,MATCH($E1730,art_ref,0))),INDEX(art_price,MATCH($E1730,art_ref,0)),""),"")))</f>
        <v/>
      </c>
      <c r="K1730" s="71" t="n"/>
      <c r="L1730" s="72" t="n"/>
      <c r="M1730" s="72" t="str">
        <f>IF(E1730="","",IF(L1730&lt;&gt;"",L1730,IFERROR(IF(ISNUMBER(INDEX(art_tva,MATCH($E1730,art_ref,0))),INDEX(art_tva,MATCH($E1730,art_ref,0)),""),"")))</f>
        <v/>
      </c>
      <c r="N1730" s="70" t="str">
        <f>IF(OR(E1730="",J1730=""),"",ROUND(N(H1730)*J1730*(1-N(K1730)),2))</f>
        <v/>
      </c>
      <c r="O1730" s="70" t="str">
        <f>IF(OR(N1730="",NOT(ISNUMBER(M1730))),"",ROUND(N1730*M1730,2))</f>
        <v/>
      </c>
      <c r="P1730" s="70" t="str">
        <f>IF(N1730="","",N1730+N(O1730))</f>
        <v/>
      </c>
      <c r="Q1730" s="64" t="n"/>
      <c r="R1730" s="73" t="str">
        <f>IF(N(Q1730)&gt;0,Q1730,IF(OR(N(B1730)=0,ISNA(MATCH($C1730,sup_code,0))),"",IF(ISNUMBER(INDEX(sup_delay,MATCH($C1730,sup_code,0))),B1730+INDEX(sup_delay,MATCH($C1730,sup_code,0)),"")))</f>
        <v/>
      </c>
      <c r="S1730" s="64" t="n"/>
      <c r="T1730" s="68" t="n"/>
      <c r="U1730" s="64" t="n"/>
      <c r="V1730" s="65" t="n"/>
      <c r="W1730" s="74" t="str">
        <f>IF(AND(A1730="",E1730=""),"",IF(V1730="Oui",0,MAX(0,ROUND(N(H1730)-N(T1730),6))))</f>
        <v/>
      </c>
      <c r="X1730" s="67" t="str">
        <f>IF(AND(A1730="",E1730=""),"",IF(V1730="Oui","Annulé",IF(AND(N(H1730)&gt;0,N(T1730)&gt;=N(H1730)),"Reçu",IF(N(S1730)=0,"Brouillon",IF(AND(ISNUMBER(R1730),R1730&lt;p_today),"En retard",IF(N(T1730)&gt;0,"Partiel","Envoyé"))))))</f>
        <v/>
      </c>
      <c r="Y1730" s="75" t="str">
        <f>IF(X1730="En retard",p_today-R1730,IF(AND(X1730="Reçu",ISNUMBER(R1730)),MAX(0,N(U1730)-R1730),""))</f>
        <v/>
      </c>
      <c r="Z1730" s="67" t="str">
        <f>IF(AND(A1730="",E1730=""),"",IF(A1730="","N° de bon manquant",IF(N(B1730)=0,"Date de commande manquante",IF(C1730="","Fournisseur manquant",IF(ISNA(MATCH($C1730,sup_code,0)),"Fournisseur inconnu",IF(E1730="","Article manquant",IF(ISNA(MATCH($E1730,art_ref,0)),"Article inconnu",IF(N(H1730)&lt;=0,"Quantité invalide",IF(J1730="","Prix manquant",IF(OR(N(K1730)&lt;0,N(K1730)&gt;=1),"Remise invalide",IF(M1730="","TVA manquante",IF(ISNA(MATCH(M1730,p_tva,0)),"Taux de TVA inconnu",IF(COUNTIFS(po_num,A1730,po_sup,"&lt;&gt;"&amp;C1730)&gt;0,"Fournisseur différent sur ce bon",IF(COUNTIFS(po_num,A1730,po_date,"&lt;&gt;"&amp;B1730)&gt;0,"Date différente sur ce bon",IF(COUNTIF(po_num,A1730)&gt;25,"Plus de 25 lignes sur ce bon",IF(R1730="","Date de livraison manquante",IF(R1730&lt;B1730,"Livraison avant la commande",IF(AND(N(T1730)&gt;0,N(S1730)=0),"Date d'envoi manquante",IF(N(T1730)&gt;N(H1730),"Reçu plus que commandé",IF(AND(N(T1730)&gt;0,N(U1730)=0),"Date de réception manquante",IF(AND(N(U1730)&gt;0,U1730&lt;B1730),"Réception avant la commande","OK")))))))))))))))))))))</f>
        <v/>
      </c>
      <c r="AA1730" s="66" t="str">
        <f>IF(AND(X1730="Reçu",ISNUMBER(R1730)),IF(N(U1730)&lt;=R1730,1,0),"")</f>
        <v/>
      </c>
      <c r="AB1730" s="76" t="str">
        <f>IF(OR(X1730="Envoyé",X1730="Partiel",X1730="En retard"),IF(ISNUMBER(R1730),R1730,100000)+ROW()/100000,"")</f>
        <v/>
      </c>
      <c r="AC1730" s="66" t="str">
        <f>IF(A1730="","",IF(COUNTIF($A$6:A1730,A1730)=1,1,""))</f>
        <v/>
      </c>
      <c r="AD1730" s="66" t="str">
        <f>IF(AC1730=1,COUNT($AC$6:AC1730),"")</f>
        <v/>
      </c>
      <c r="AE1730" s="66" t="str">
        <f>IFERROR(INDEX(po_num,MATCH(1725,po_seq,0))&amp;"","")</f>
        <v/>
      </c>
      <c r="AF1730" s="66" t="str">
        <f>IF(OR(A1730="",p_po=""),"",IF(A1730&amp;""=p_po,COUNTIF($A$6:A1730,A1730),""))</f>
        <v/>
      </c>
      <c r="AG1730" s="66" t="str">
        <f>IF(OR(AB1730="",A1730=""),"",IF(COUNTIFS($A$6:A1730,A1730,$AB$6:AB1730,"&gt;0")=1,1,""))</f>
        <v/>
      </c>
      <c r="AH1730" s="70" t="str">
        <f>IF(AB1730="","",ROUND(N(W1730)*N(J1730)*(1-N(K1730)),2))</f>
        <v/>
      </c>
      <c r="AI1730" s="70" t="str">
        <f>IF(OR(J1730="",N(T1730)&lt;=0,V1730="Oui"),"",ROUND(N(T1730)*J1730*(1-N(K1730)),2))</f>
        <v/>
      </c>
    </row>
    <row r="1731">
      <c r="A1731" s="63" t="n"/>
      <c r="B1731" s="64" t="n"/>
      <c r="C1731" s="65" t="n"/>
      <c r="D1731" s="66" t="str">
        <f>IF(C1731="","",IFERROR(INDEX(sup_name,MATCH($C1731,sup_code,0))&amp;"","Fournisseur inconnu"))</f>
        <v/>
      </c>
      <c r="E1731" s="63" t="n"/>
      <c r="F1731" s="66" t="str">
        <f>IF(E1731="","",IFERROR(INDEX(art_des,MATCH($E1731,art_ref,0))&amp;"","Article inconnu"))</f>
        <v/>
      </c>
      <c r="G1731" s="67" t="str">
        <f>IF(E1731="","",IFERROR(INDEX(art_unit,MATCH($E1731,art_ref,0))&amp;"",""))</f>
        <v/>
      </c>
      <c r="H1731" s="68" t="n"/>
      <c r="I1731" s="69" t="n"/>
      <c r="J1731" s="70" t="str">
        <f>IF(E1731="","",IF(ISNUMBER(I1731),I1731,IFERROR(IF(ISNUMBER(INDEX(art_price,MATCH($E1731,art_ref,0))),INDEX(art_price,MATCH($E1731,art_ref,0)),""),"")))</f>
        <v/>
      </c>
      <c r="K1731" s="71" t="n"/>
      <c r="L1731" s="72" t="n"/>
      <c r="M1731" s="72" t="str">
        <f>IF(E1731="","",IF(L1731&lt;&gt;"",L1731,IFERROR(IF(ISNUMBER(INDEX(art_tva,MATCH($E1731,art_ref,0))),INDEX(art_tva,MATCH($E1731,art_ref,0)),""),"")))</f>
        <v/>
      </c>
      <c r="N1731" s="70" t="str">
        <f>IF(OR(E1731="",J1731=""),"",ROUND(N(H1731)*J1731*(1-N(K1731)),2))</f>
        <v/>
      </c>
      <c r="O1731" s="70" t="str">
        <f>IF(OR(N1731="",NOT(ISNUMBER(M1731))),"",ROUND(N1731*M1731,2))</f>
        <v/>
      </c>
      <c r="P1731" s="70" t="str">
        <f>IF(N1731="","",N1731+N(O1731))</f>
        <v/>
      </c>
      <c r="Q1731" s="64" t="n"/>
      <c r="R1731" s="73" t="str">
        <f>IF(N(Q1731)&gt;0,Q1731,IF(OR(N(B1731)=0,ISNA(MATCH($C1731,sup_code,0))),"",IF(ISNUMBER(INDEX(sup_delay,MATCH($C1731,sup_code,0))),B1731+INDEX(sup_delay,MATCH($C1731,sup_code,0)),"")))</f>
        <v/>
      </c>
      <c r="S1731" s="64" t="n"/>
      <c r="T1731" s="68" t="n"/>
      <c r="U1731" s="64" t="n"/>
      <c r="V1731" s="65" t="n"/>
      <c r="W1731" s="74" t="str">
        <f>IF(AND(A1731="",E1731=""),"",IF(V1731="Oui",0,MAX(0,ROUND(N(H1731)-N(T1731),6))))</f>
        <v/>
      </c>
      <c r="X1731" s="67" t="str">
        <f>IF(AND(A1731="",E1731=""),"",IF(V1731="Oui","Annulé",IF(AND(N(H1731)&gt;0,N(T1731)&gt;=N(H1731)),"Reçu",IF(N(S1731)=0,"Brouillon",IF(AND(ISNUMBER(R1731),R1731&lt;p_today),"En retard",IF(N(T1731)&gt;0,"Partiel","Envoyé"))))))</f>
        <v/>
      </c>
      <c r="Y1731" s="75" t="str">
        <f>IF(X1731="En retard",p_today-R1731,IF(AND(X1731="Reçu",ISNUMBER(R1731)),MAX(0,N(U1731)-R1731),""))</f>
        <v/>
      </c>
      <c r="Z1731" s="67" t="str">
        <f>IF(AND(A1731="",E1731=""),"",IF(A1731="","N° de bon manquant",IF(N(B1731)=0,"Date de commande manquante",IF(C1731="","Fournisseur manquant",IF(ISNA(MATCH($C1731,sup_code,0)),"Fournisseur inconnu",IF(E1731="","Article manquant",IF(ISNA(MATCH($E1731,art_ref,0)),"Article inconnu",IF(N(H1731)&lt;=0,"Quantité invalide",IF(J1731="","Prix manquant",IF(OR(N(K1731)&lt;0,N(K1731)&gt;=1),"Remise invalide",IF(M1731="","TVA manquante",IF(ISNA(MATCH(M1731,p_tva,0)),"Taux de TVA inconnu",IF(COUNTIFS(po_num,A1731,po_sup,"&lt;&gt;"&amp;C1731)&gt;0,"Fournisseur différent sur ce bon",IF(COUNTIFS(po_num,A1731,po_date,"&lt;&gt;"&amp;B1731)&gt;0,"Date différente sur ce bon",IF(COUNTIF(po_num,A1731)&gt;25,"Plus de 25 lignes sur ce bon",IF(R1731="","Date de livraison manquante",IF(R1731&lt;B1731,"Livraison avant la commande",IF(AND(N(T1731)&gt;0,N(S1731)=0),"Date d'envoi manquante",IF(N(T1731)&gt;N(H1731),"Reçu plus que commandé",IF(AND(N(T1731)&gt;0,N(U1731)=0),"Date de réception manquante",IF(AND(N(U1731)&gt;0,U1731&lt;B1731),"Réception avant la commande","OK")))))))))))))))))))))</f>
        <v/>
      </c>
      <c r="AA1731" s="66" t="str">
        <f>IF(AND(X1731="Reçu",ISNUMBER(R1731)),IF(N(U1731)&lt;=R1731,1,0),"")</f>
        <v/>
      </c>
      <c r="AB1731" s="76" t="str">
        <f>IF(OR(X1731="Envoyé",X1731="Partiel",X1731="En retard"),IF(ISNUMBER(R1731),R1731,100000)+ROW()/100000,"")</f>
        <v/>
      </c>
      <c r="AC1731" s="66" t="str">
        <f>IF(A1731="","",IF(COUNTIF($A$6:A1731,A1731)=1,1,""))</f>
        <v/>
      </c>
      <c r="AD1731" s="66" t="str">
        <f>IF(AC1731=1,COUNT($AC$6:AC1731),"")</f>
        <v/>
      </c>
      <c r="AE1731" s="66" t="str">
        <f>IFERROR(INDEX(po_num,MATCH(1726,po_seq,0))&amp;"","")</f>
        <v/>
      </c>
      <c r="AF1731" s="66" t="str">
        <f>IF(OR(A1731="",p_po=""),"",IF(A1731&amp;""=p_po,COUNTIF($A$6:A1731,A1731),""))</f>
        <v/>
      </c>
      <c r="AG1731" s="66" t="str">
        <f>IF(OR(AB1731="",A1731=""),"",IF(COUNTIFS($A$6:A1731,A1731,$AB$6:AB1731,"&gt;0")=1,1,""))</f>
        <v/>
      </c>
      <c r="AH1731" s="70" t="str">
        <f>IF(AB1731="","",ROUND(N(W1731)*N(J1731)*(1-N(K1731)),2))</f>
        <v/>
      </c>
      <c r="AI1731" s="70" t="str">
        <f>IF(OR(J1731="",N(T1731)&lt;=0,V1731="Oui"),"",ROUND(N(T1731)*J1731*(1-N(K1731)),2))</f>
        <v/>
      </c>
    </row>
    <row r="1732">
      <c r="A1732" s="63" t="n"/>
      <c r="B1732" s="64" t="n"/>
      <c r="C1732" s="65" t="n"/>
      <c r="D1732" s="66" t="str">
        <f>IF(C1732="","",IFERROR(INDEX(sup_name,MATCH($C1732,sup_code,0))&amp;"","Fournisseur inconnu"))</f>
        <v/>
      </c>
      <c r="E1732" s="63" t="n"/>
      <c r="F1732" s="66" t="str">
        <f>IF(E1732="","",IFERROR(INDEX(art_des,MATCH($E1732,art_ref,0))&amp;"","Article inconnu"))</f>
        <v/>
      </c>
      <c r="G1732" s="67" t="str">
        <f>IF(E1732="","",IFERROR(INDEX(art_unit,MATCH($E1732,art_ref,0))&amp;"",""))</f>
        <v/>
      </c>
      <c r="H1732" s="68" t="n"/>
      <c r="I1732" s="69" t="n"/>
      <c r="J1732" s="70" t="str">
        <f>IF(E1732="","",IF(ISNUMBER(I1732),I1732,IFERROR(IF(ISNUMBER(INDEX(art_price,MATCH($E1732,art_ref,0))),INDEX(art_price,MATCH($E1732,art_ref,0)),""),"")))</f>
        <v/>
      </c>
      <c r="K1732" s="71" t="n"/>
      <c r="L1732" s="72" t="n"/>
      <c r="M1732" s="72" t="str">
        <f>IF(E1732="","",IF(L1732&lt;&gt;"",L1732,IFERROR(IF(ISNUMBER(INDEX(art_tva,MATCH($E1732,art_ref,0))),INDEX(art_tva,MATCH($E1732,art_ref,0)),""),"")))</f>
        <v/>
      </c>
      <c r="N1732" s="70" t="str">
        <f>IF(OR(E1732="",J1732=""),"",ROUND(N(H1732)*J1732*(1-N(K1732)),2))</f>
        <v/>
      </c>
      <c r="O1732" s="70" t="str">
        <f>IF(OR(N1732="",NOT(ISNUMBER(M1732))),"",ROUND(N1732*M1732,2))</f>
        <v/>
      </c>
      <c r="P1732" s="70" t="str">
        <f>IF(N1732="","",N1732+N(O1732))</f>
        <v/>
      </c>
      <c r="Q1732" s="64" t="n"/>
      <c r="R1732" s="73" t="str">
        <f>IF(N(Q1732)&gt;0,Q1732,IF(OR(N(B1732)=0,ISNA(MATCH($C1732,sup_code,0))),"",IF(ISNUMBER(INDEX(sup_delay,MATCH($C1732,sup_code,0))),B1732+INDEX(sup_delay,MATCH($C1732,sup_code,0)),"")))</f>
        <v/>
      </c>
      <c r="S1732" s="64" t="n"/>
      <c r="T1732" s="68" t="n"/>
      <c r="U1732" s="64" t="n"/>
      <c r="V1732" s="65" t="n"/>
      <c r="W1732" s="74" t="str">
        <f>IF(AND(A1732="",E1732=""),"",IF(V1732="Oui",0,MAX(0,ROUND(N(H1732)-N(T1732),6))))</f>
        <v/>
      </c>
      <c r="X1732" s="67" t="str">
        <f>IF(AND(A1732="",E1732=""),"",IF(V1732="Oui","Annulé",IF(AND(N(H1732)&gt;0,N(T1732)&gt;=N(H1732)),"Reçu",IF(N(S1732)=0,"Brouillon",IF(AND(ISNUMBER(R1732),R1732&lt;p_today),"En retard",IF(N(T1732)&gt;0,"Partiel","Envoyé"))))))</f>
        <v/>
      </c>
      <c r="Y1732" s="75" t="str">
        <f>IF(X1732="En retard",p_today-R1732,IF(AND(X1732="Reçu",ISNUMBER(R1732)),MAX(0,N(U1732)-R1732),""))</f>
        <v/>
      </c>
      <c r="Z1732" s="67" t="str">
        <f>IF(AND(A1732="",E1732=""),"",IF(A1732="","N° de bon manquant",IF(N(B1732)=0,"Date de commande manquante",IF(C1732="","Fournisseur manquant",IF(ISNA(MATCH($C1732,sup_code,0)),"Fournisseur inconnu",IF(E1732="","Article manquant",IF(ISNA(MATCH($E1732,art_ref,0)),"Article inconnu",IF(N(H1732)&lt;=0,"Quantité invalide",IF(J1732="","Prix manquant",IF(OR(N(K1732)&lt;0,N(K1732)&gt;=1),"Remise invalide",IF(M1732="","TVA manquante",IF(ISNA(MATCH(M1732,p_tva,0)),"Taux de TVA inconnu",IF(COUNTIFS(po_num,A1732,po_sup,"&lt;&gt;"&amp;C1732)&gt;0,"Fournisseur différent sur ce bon",IF(COUNTIFS(po_num,A1732,po_date,"&lt;&gt;"&amp;B1732)&gt;0,"Date différente sur ce bon",IF(COUNTIF(po_num,A1732)&gt;25,"Plus de 25 lignes sur ce bon",IF(R1732="","Date de livraison manquante",IF(R1732&lt;B1732,"Livraison avant la commande",IF(AND(N(T1732)&gt;0,N(S1732)=0),"Date d'envoi manquante",IF(N(T1732)&gt;N(H1732),"Reçu plus que commandé",IF(AND(N(T1732)&gt;0,N(U1732)=0),"Date de réception manquante",IF(AND(N(U1732)&gt;0,U1732&lt;B1732),"Réception avant la commande","OK")))))))))))))))))))))</f>
        <v/>
      </c>
      <c r="AA1732" s="66" t="str">
        <f>IF(AND(X1732="Reçu",ISNUMBER(R1732)),IF(N(U1732)&lt;=R1732,1,0),"")</f>
        <v/>
      </c>
      <c r="AB1732" s="76" t="str">
        <f>IF(OR(X1732="Envoyé",X1732="Partiel",X1732="En retard"),IF(ISNUMBER(R1732),R1732,100000)+ROW()/100000,"")</f>
        <v/>
      </c>
      <c r="AC1732" s="66" t="str">
        <f>IF(A1732="","",IF(COUNTIF($A$6:A1732,A1732)=1,1,""))</f>
        <v/>
      </c>
      <c r="AD1732" s="66" t="str">
        <f>IF(AC1732=1,COUNT($AC$6:AC1732),"")</f>
        <v/>
      </c>
      <c r="AE1732" s="66" t="str">
        <f>IFERROR(INDEX(po_num,MATCH(1727,po_seq,0))&amp;"","")</f>
        <v/>
      </c>
      <c r="AF1732" s="66" t="str">
        <f>IF(OR(A1732="",p_po=""),"",IF(A1732&amp;""=p_po,COUNTIF($A$6:A1732,A1732),""))</f>
        <v/>
      </c>
      <c r="AG1732" s="66" t="str">
        <f>IF(OR(AB1732="",A1732=""),"",IF(COUNTIFS($A$6:A1732,A1732,$AB$6:AB1732,"&gt;0")=1,1,""))</f>
        <v/>
      </c>
      <c r="AH1732" s="70" t="str">
        <f>IF(AB1732="","",ROUND(N(W1732)*N(J1732)*(1-N(K1732)),2))</f>
        <v/>
      </c>
      <c r="AI1732" s="70" t="str">
        <f>IF(OR(J1732="",N(T1732)&lt;=0,V1732="Oui"),"",ROUND(N(T1732)*J1732*(1-N(K1732)),2))</f>
        <v/>
      </c>
    </row>
    <row r="1733">
      <c r="A1733" s="63" t="n"/>
      <c r="B1733" s="64" t="n"/>
      <c r="C1733" s="65" t="n"/>
      <c r="D1733" s="66" t="str">
        <f>IF(C1733="","",IFERROR(INDEX(sup_name,MATCH($C1733,sup_code,0))&amp;"","Fournisseur inconnu"))</f>
        <v/>
      </c>
      <c r="E1733" s="63" t="n"/>
      <c r="F1733" s="66" t="str">
        <f>IF(E1733="","",IFERROR(INDEX(art_des,MATCH($E1733,art_ref,0))&amp;"","Article inconnu"))</f>
        <v/>
      </c>
      <c r="G1733" s="67" t="str">
        <f>IF(E1733="","",IFERROR(INDEX(art_unit,MATCH($E1733,art_ref,0))&amp;"",""))</f>
        <v/>
      </c>
      <c r="H1733" s="68" t="n"/>
      <c r="I1733" s="69" t="n"/>
      <c r="J1733" s="70" t="str">
        <f>IF(E1733="","",IF(ISNUMBER(I1733),I1733,IFERROR(IF(ISNUMBER(INDEX(art_price,MATCH($E1733,art_ref,0))),INDEX(art_price,MATCH($E1733,art_ref,0)),""),"")))</f>
        <v/>
      </c>
      <c r="K1733" s="71" t="n"/>
      <c r="L1733" s="72" t="n"/>
      <c r="M1733" s="72" t="str">
        <f>IF(E1733="","",IF(L1733&lt;&gt;"",L1733,IFERROR(IF(ISNUMBER(INDEX(art_tva,MATCH($E1733,art_ref,0))),INDEX(art_tva,MATCH($E1733,art_ref,0)),""),"")))</f>
        <v/>
      </c>
      <c r="N1733" s="70" t="str">
        <f>IF(OR(E1733="",J1733=""),"",ROUND(N(H1733)*J1733*(1-N(K1733)),2))</f>
        <v/>
      </c>
      <c r="O1733" s="70" t="str">
        <f>IF(OR(N1733="",NOT(ISNUMBER(M1733))),"",ROUND(N1733*M1733,2))</f>
        <v/>
      </c>
      <c r="P1733" s="70" t="str">
        <f>IF(N1733="","",N1733+N(O1733))</f>
        <v/>
      </c>
      <c r="Q1733" s="64" t="n"/>
      <c r="R1733" s="73" t="str">
        <f>IF(N(Q1733)&gt;0,Q1733,IF(OR(N(B1733)=0,ISNA(MATCH($C1733,sup_code,0))),"",IF(ISNUMBER(INDEX(sup_delay,MATCH($C1733,sup_code,0))),B1733+INDEX(sup_delay,MATCH($C1733,sup_code,0)),"")))</f>
        <v/>
      </c>
      <c r="S1733" s="64" t="n"/>
      <c r="T1733" s="68" t="n"/>
      <c r="U1733" s="64" t="n"/>
      <c r="V1733" s="65" t="n"/>
      <c r="W1733" s="74" t="str">
        <f>IF(AND(A1733="",E1733=""),"",IF(V1733="Oui",0,MAX(0,ROUND(N(H1733)-N(T1733),6))))</f>
        <v/>
      </c>
      <c r="X1733" s="67" t="str">
        <f>IF(AND(A1733="",E1733=""),"",IF(V1733="Oui","Annulé",IF(AND(N(H1733)&gt;0,N(T1733)&gt;=N(H1733)),"Reçu",IF(N(S1733)=0,"Brouillon",IF(AND(ISNUMBER(R1733),R1733&lt;p_today),"En retard",IF(N(T1733)&gt;0,"Partiel","Envoyé"))))))</f>
        <v/>
      </c>
      <c r="Y1733" s="75" t="str">
        <f>IF(X1733="En retard",p_today-R1733,IF(AND(X1733="Reçu",ISNUMBER(R1733)),MAX(0,N(U1733)-R1733),""))</f>
        <v/>
      </c>
      <c r="Z1733" s="67" t="str">
        <f>IF(AND(A1733="",E1733=""),"",IF(A1733="","N° de bon manquant",IF(N(B1733)=0,"Date de commande manquante",IF(C1733="","Fournisseur manquant",IF(ISNA(MATCH($C1733,sup_code,0)),"Fournisseur inconnu",IF(E1733="","Article manquant",IF(ISNA(MATCH($E1733,art_ref,0)),"Article inconnu",IF(N(H1733)&lt;=0,"Quantité invalide",IF(J1733="","Prix manquant",IF(OR(N(K1733)&lt;0,N(K1733)&gt;=1),"Remise invalide",IF(M1733="","TVA manquante",IF(ISNA(MATCH(M1733,p_tva,0)),"Taux de TVA inconnu",IF(COUNTIFS(po_num,A1733,po_sup,"&lt;&gt;"&amp;C1733)&gt;0,"Fournisseur différent sur ce bon",IF(COUNTIFS(po_num,A1733,po_date,"&lt;&gt;"&amp;B1733)&gt;0,"Date différente sur ce bon",IF(COUNTIF(po_num,A1733)&gt;25,"Plus de 25 lignes sur ce bon",IF(R1733="","Date de livraison manquante",IF(R1733&lt;B1733,"Livraison avant la commande",IF(AND(N(T1733)&gt;0,N(S1733)=0),"Date d'envoi manquante",IF(N(T1733)&gt;N(H1733),"Reçu plus que commandé",IF(AND(N(T1733)&gt;0,N(U1733)=0),"Date de réception manquante",IF(AND(N(U1733)&gt;0,U1733&lt;B1733),"Réception avant la commande","OK")))))))))))))))))))))</f>
        <v/>
      </c>
      <c r="AA1733" s="66" t="str">
        <f>IF(AND(X1733="Reçu",ISNUMBER(R1733)),IF(N(U1733)&lt;=R1733,1,0),"")</f>
        <v/>
      </c>
      <c r="AB1733" s="76" t="str">
        <f>IF(OR(X1733="Envoyé",X1733="Partiel",X1733="En retard"),IF(ISNUMBER(R1733),R1733,100000)+ROW()/100000,"")</f>
        <v/>
      </c>
      <c r="AC1733" s="66" t="str">
        <f>IF(A1733="","",IF(COUNTIF($A$6:A1733,A1733)=1,1,""))</f>
        <v/>
      </c>
      <c r="AD1733" s="66" t="str">
        <f>IF(AC1733=1,COUNT($AC$6:AC1733),"")</f>
        <v/>
      </c>
      <c r="AE1733" s="66" t="str">
        <f>IFERROR(INDEX(po_num,MATCH(1728,po_seq,0))&amp;"","")</f>
        <v/>
      </c>
      <c r="AF1733" s="66" t="str">
        <f>IF(OR(A1733="",p_po=""),"",IF(A1733&amp;""=p_po,COUNTIF($A$6:A1733,A1733),""))</f>
        <v/>
      </c>
      <c r="AG1733" s="66" t="str">
        <f>IF(OR(AB1733="",A1733=""),"",IF(COUNTIFS($A$6:A1733,A1733,$AB$6:AB1733,"&gt;0")=1,1,""))</f>
        <v/>
      </c>
      <c r="AH1733" s="70" t="str">
        <f>IF(AB1733="","",ROUND(N(W1733)*N(J1733)*(1-N(K1733)),2))</f>
        <v/>
      </c>
      <c r="AI1733" s="70" t="str">
        <f>IF(OR(J1733="",N(T1733)&lt;=0,V1733="Oui"),"",ROUND(N(T1733)*J1733*(1-N(K1733)),2))</f>
        <v/>
      </c>
    </row>
    <row r="1734">
      <c r="A1734" s="63" t="n"/>
      <c r="B1734" s="64" t="n"/>
      <c r="C1734" s="65" t="n"/>
      <c r="D1734" s="66" t="str">
        <f>IF(C1734="","",IFERROR(INDEX(sup_name,MATCH($C1734,sup_code,0))&amp;"","Fournisseur inconnu"))</f>
        <v/>
      </c>
      <c r="E1734" s="63" t="n"/>
      <c r="F1734" s="66" t="str">
        <f>IF(E1734="","",IFERROR(INDEX(art_des,MATCH($E1734,art_ref,0))&amp;"","Article inconnu"))</f>
        <v/>
      </c>
      <c r="G1734" s="67" t="str">
        <f>IF(E1734="","",IFERROR(INDEX(art_unit,MATCH($E1734,art_ref,0))&amp;"",""))</f>
        <v/>
      </c>
      <c r="H1734" s="68" t="n"/>
      <c r="I1734" s="69" t="n"/>
      <c r="J1734" s="70" t="str">
        <f>IF(E1734="","",IF(ISNUMBER(I1734),I1734,IFERROR(IF(ISNUMBER(INDEX(art_price,MATCH($E1734,art_ref,0))),INDEX(art_price,MATCH($E1734,art_ref,0)),""),"")))</f>
        <v/>
      </c>
      <c r="K1734" s="71" t="n"/>
      <c r="L1734" s="72" t="n"/>
      <c r="M1734" s="72" t="str">
        <f>IF(E1734="","",IF(L1734&lt;&gt;"",L1734,IFERROR(IF(ISNUMBER(INDEX(art_tva,MATCH($E1734,art_ref,0))),INDEX(art_tva,MATCH($E1734,art_ref,0)),""),"")))</f>
        <v/>
      </c>
      <c r="N1734" s="70" t="str">
        <f>IF(OR(E1734="",J1734=""),"",ROUND(N(H1734)*J1734*(1-N(K1734)),2))</f>
        <v/>
      </c>
      <c r="O1734" s="70" t="str">
        <f>IF(OR(N1734="",NOT(ISNUMBER(M1734))),"",ROUND(N1734*M1734,2))</f>
        <v/>
      </c>
      <c r="P1734" s="70" t="str">
        <f>IF(N1734="","",N1734+N(O1734))</f>
        <v/>
      </c>
      <c r="Q1734" s="64" t="n"/>
      <c r="R1734" s="73" t="str">
        <f>IF(N(Q1734)&gt;0,Q1734,IF(OR(N(B1734)=0,ISNA(MATCH($C1734,sup_code,0))),"",IF(ISNUMBER(INDEX(sup_delay,MATCH($C1734,sup_code,0))),B1734+INDEX(sup_delay,MATCH($C1734,sup_code,0)),"")))</f>
        <v/>
      </c>
      <c r="S1734" s="64" t="n"/>
      <c r="T1734" s="68" t="n"/>
      <c r="U1734" s="64" t="n"/>
      <c r="V1734" s="65" t="n"/>
      <c r="W1734" s="74" t="str">
        <f>IF(AND(A1734="",E1734=""),"",IF(V1734="Oui",0,MAX(0,ROUND(N(H1734)-N(T1734),6))))</f>
        <v/>
      </c>
      <c r="X1734" s="67" t="str">
        <f>IF(AND(A1734="",E1734=""),"",IF(V1734="Oui","Annulé",IF(AND(N(H1734)&gt;0,N(T1734)&gt;=N(H1734)),"Reçu",IF(N(S1734)=0,"Brouillon",IF(AND(ISNUMBER(R1734),R1734&lt;p_today),"En retard",IF(N(T1734)&gt;0,"Partiel","Envoyé"))))))</f>
        <v/>
      </c>
      <c r="Y1734" s="75" t="str">
        <f>IF(X1734="En retard",p_today-R1734,IF(AND(X1734="Reçu",ISNUMBER(R1734)),MAX(0,N(U1734)-R1734),""))</f>
        <v/>
      </c>
      <c r="Z1734" s="67" t="str">
        <f>IF(AND(A1734="",E1734=""),"",IF(A1734="","N° de bon manquant",IF(N(B1734)=0,"Date de commande manquante",IF(C1734="","Fournisseur manquant",IF(ISNA(MATCH($C1734,sup_code,0)),"Fournisseur inconnu",IF(E1734="","Article manquant",IF(ISNA(MATCH($E1734,art_ref,0)),"Article inconnu",IF(N(H1734)&lt;=0,"Quantité invalide",IF(J1734="","Prix manquant",IF(OR(N(K1734)&lt;0,N(K1734)&gt;=1),"Remise invalide",IF(M1734="","TVA manquante",IF(ISNA(MATCH(M1734,p_tva,0)),"Taux de TVA inconnu",IF(COUNTIFS(po_num,A1734,po_sup,"&lt;&gt;"&amp;C1734)&gt;0,"Fournisseur différent sur ce bon",IF(COUNTIFS(po_num,A1734,po_date,"&lt;&gt;"&amp;B1734)&gt;0,"Date différente sur ce bon",IF(COUNTIF(po_num,A1734)&gt;25,"Plus de 25 lignes sur ce bon",IF(R1734="","Date de livraison manquante",IF(R1734&lt;B1734,"Livraison avant la commande",IF(AND(N(T1734)&gt;0,N(S1734)=0),"Date d'envoi manquante",IF(N(T1734)&gt;N(H1734),"Reçu plus que commandé",IF(AND(N(T1734)&gt;0,N(U1734)=0),"Date de réception manquante",IF(AND(N(U1734)&gt;0,U1734&lt;B1734),"Réception avant la commande","OK")))))))))))))))))))))</f>
        <v/>
      </c>
      <c r="AA1734" s="66" t="str">
        <f>IF(AND(X1734="Reçu",ISNUMBER(R1734)),IF(N(U1734)&lt;=R1734,1,0),"")</f>
        <v/>
      </c>
      <c r="AB1734" s="76" t="str">
        <f>IF(OR(X1734="Envoyé",X1734="Partiel",X1734="En retard"),IF(ISNUMBER(R1734),R1734,100000)+ROW()/100000,"")</f>
        <v/>
      </c>
      <c r="AC1734" s="66" t="str">
        <f>IF(A1734="","",IF(COUNTIF($A$6:A1734,A1734)=1,1,""))</f>
        <v/>
      </c>
      <c r="AD1734" s="66" t="str">
        <f>IF(AC1734=1,COUNT($AC$6:AC1734),"")</f>
        <v/>
      </c>
      <c r="AE1734" s="66" t="str">
        <f>IFERROR(INDEX(po_num,MATCH(1729,po_seq,0))&amp;"","")</f>
        <v/>
      </c>
      <c r="AF1734" s="66" t="str">
        <f>IF(OR(A1734="",p_po=""),"",IF(A1734&amp;""=p_po,COUNTIF($A$6:A1734,A1734),""))</f>
        <v/>
      </c>
      <c r="AG1734" s="66" t="str">
        <f>IF(OR(AB1734="",A1734=""),"",IF(COUNTIFS($A$6:A1734,A1734,$AB$6:AB1734,"&gt;0")=1,1,""))</f>
        <v/>
      </c>
      <c r="AH1734" s="70" t="str">
        <f>IF(AB1734="","",ROUND(N(W1734)*N(J1734)*(1-N(K1734)),2))</f>
        <v/>
      </c>
      <c r="AI1734" s="70" t="str">
        <f>IF(OR(J1734="",N(T1734)&lt;=0,V1734="Oui"),"",ROUND(N(T1734)*J1734*(1-N(K1734)),2))</f>
        <v/>
      </c>
    </row>
    <row r="1735">
      <c r="A1735" s="63" t="n"/>
      <c r="B1735" s="64" t="n"/>
      <c r="C1735" s="65" t="n"/>
      <c r="D1735" s="66" t="str">
        <f>IF(C1735="","",IFERROR(INDEX(sup_name,MATCH($C1735,sup_code,0))&amp;"","Fournisseur inconnu"))</f>
        <v/>
      </c>
      <c r="E1735" s="63" t="n"/>
      <c r="F1735" s="66" t="str">
        <f>IF(E1735="","",IFERROR(INDEX(art_des,MATCH($E1735,art_ref,0))&amp;"","Article inconnu"))</f>
        <v/>
      </c>
      <c r="G1735" s="67" t="str">
        <f>IF(E1735="","",IFERROR(INDEX(art_unit,MATCH($E1735,art_ref,0))&amp;"",""))</f>
        <v/>
      </c>
      <c r="H1735" s="68" t="n"/>
      <c r="I1735" s="69" t="n"/>
      <c r="J1735" s="70" t="str">
        <f>IF(E1735="","",IF(ISNUMBER(I1735),I1735,IFERROR(IF(ISNUMBER(INDEX(art_price,MATCH($E1735,art_ref,0))),INDEX(art_price,MATCH($E1735,art_ref,0)),""),"")))</f>
        <v/>
      </c>
      <c r="K1735" s="71" t="n"/>
      <c r="L1735" s="72" t="n"/>
      <c r="M1735" s="72" t="str">
        <f>IF(E1735="","",IF(L1735&lt;&gt;"",L1735,IFERROR(IF(ISNUMBER(INDEX(art_tva,MATCH($E1735,art_ref,0))),INDEX(art_tva,MATCH($E1735,art_ref,0)),""),"")))</f>
        <v/>
      </c>
      <c r="N1735" s="70" t="str">
        <f>IF(OR(E1735="",J1735=""),"",ROUND(N(H1735)*J1735*(1-N(K1735)),2))</f>
        <v/>
      </c>
      <c r="O1735" s="70" t="str">
        <f>IF(OR(N1735="",NOT(ISNUMBER(M1735))),"",ROUND(N1735*M1735,2))</f>
        <v/>
      </c>
      <c r="P1735" s="70" t="str">
        <f>IF(N1735="","",N1735+N(O1735))</f>
        <v/>
      </c>
      <c r="Q1735" s="64" t="n"/>
      <c r="R1735" s="73" t="str">
        <f>IF(N(Q1735)&gt;0,Q1735,IF(OR(N(B1735)=0,ISNA(MATCH($C1735,sup_code,0))),"",IF(ISNUMBER(INDEX(sup_delay,MATCH($C1735,sup_code,0))),B1735+INDEX(sup_delay,MATCH($C1735,sup_code,0)),"")))</f>
        <v/>
      </c>
      <c r="S1735" s="64" t="n"/>
      <c r="T1735" s="68" t="n"/>
      <c r="U1735" s="64" t="n"/>
      <c r="V1735" s="65" t="n"/>
      <c r="W1735" s="74" t="str">
        <f>IF(AND(A1735="",E1735=""),"",IF(V1735="Oui",0,MAX(0,ROUND(N(H1735)-N(T1735),6))))</f>
        <v/>
      </c>
      <c r="X1735" s="67" t="str">
        <f>IF(AND(A1735="",E1735=""),"",IF(V1735="Oui","Annulé",IF(AND(N(H1735)&gt;0,N(T1735)&gt;=N(H1735)),"Reçu",IF(N(S1735)=0,"Brouillon",IF(AND(ISNUMBER(R1735),R1735&lt;p_today),"En retard",IF(N(T1735)&gt;0,"Partiel","Envoyé"))))))</f>
        <v/>
      </c>
      <c r="Y1735" s="75" t="str">
        <f>IF(X1735="En retard",p_today-R1735,IF(AND(X1735="Reçu",ISNUMBER(R1735)),MAX(0,N(U1735)-R1735),""))</f>
        <v/>
      </c>
      <c r="Z1735" s="67" t="str">
        <f>IF(AND(A1735="",E1735=""),"",IF(A1735="","N° de bon manquant",IF(N(B1735)=0,"Date de commande manquante",IF(C1735="","Fournisseur manquant",IF(ISNA(MATCH($C1735,sup_code,0)),"Fournisseur inconnu",IF(E1735="","Article manquant",IF(ISNA(MATCH($E1735,art_ref,0)),"Article inconnu",IF(N(H1735)&lt;=0,"Quantité invalide",IF(J1735="","Prix manquant",IF(OR(N(K1735)&lt;0,N(K1735)&gt;=1),"Remise invalide",IF(M1735="","TVA manquante",IF(ISNA(MATCH(M1735,p_tva,0)),"Taux de TVA inconnu",IF(COUNTIFS(po_num,A1735,po_sup,"&lt;&gt;"&amp;C1735)&gt;0,"Fournisseur différent sur ce bon",IF(COUNTIFS(po_num,A1735,po_date,"&lt;&gt;"&amp;B1735)&gt;0,"Date différente sur ce bon",IF(COUNTIF(po_num,A1735)&gt;25,"Plus de 25 lignes sur ce bon",IF(R1735="","Date de livraison manquante",IF(R1735&lt;B1735,"Livraison avant la commande",IF(AND(N(T1735)&gt;0,N(S1735)=0),"Date d'envoi manquante",IF(N(T1735)&gt;N(H1735),"Reçu plus que commandé",IF(AND(N(T1735)&gt;0,N(U1735)=0),"Date de réception manquante",IF(AND(N(U1735)&gt;0,U1735&lt;B1735),"Réception avant la commande","OK")))))))))))))))))))))</f>
        <v/>
      </c>
      <c r="AA1735" s="66" t="str">
        <f>IF(AND(X1735="Reçu",ISNUMBER(R1735)),IF(N(U1735)&lt;=R1735,1,0),"")</f>
        <v/>
      </c>
      <c r="AB1735" s="76" t="str">
        <f>IF(OR(X1735="Envoyé",X1735="Partiel",X1735="En retard"),IF(ISNUMBER(R1735),R1735,100000)+ROW()/100000,"")</f>
        <v/>
      </c>
      <c r="AC1735" s="66" t="str">
        <f>IF(A1735="","",IF(COUNTIF($A$6:A1735,A1735)=1,1,""))</f>
        <v/>
      </c>
      <c r="AD1735" s="66" t="str">
        <f>IF(AC1735=1,COUNT($AC$6:AC1735),"")</f>
        <v/>
      </c>
      <c r="AE1735" s="66" t="str">
        <f>IFERROR(INDEX(po_num,MATCH(1730,po_seq,0))&amp;"","")</f>
        <v/>
      </c>
      <c r="AF1735" s="66" t="str">
        <f>IF(OR(A1735="",p_po=""),"",IF(A1735&amp;""=p_po,COUNTIF($A$6:A1735,A1735),""))</f>
        <v/>
      </c>
      <c r="AG1735" s="66" t="str">
        <f>IF(OR(AB1735="",A1735=""),"",IF(COUNTIFS($A$6:A1735,A1735,$AB$6:AB1735,"&gt;0")=1,1,""))</f>
        <v/>
      </c>
      <c r="AH1735" s="70" t="str">
        <f>IF(AB1735="","",ROUND(N(W1735)*N(J1735)*(1-N(K1735)),2))</f>
        <v/>
      </c>
      <c r="AI1735" s="70" t="str">
        <f>IF(OR(J1735="",N(T1735)&lt;=0,V1735="Oui"),"",ROUND(N(T1735)*J1735*(1-N(K1735)),2))</f>
        <v/>
      </c>
    </row>
    <row r="1736">
      <c r="A1736" s="63" t="n"/>
      <c r="B1736" s="64" t="n"/>
      <c r="C1736" s="65" t="n"/>
      <c r="D1736" s="66" t="str">
        <f>IF(C1736="","",IFERROR(INDEX(sup_name,MATCH($C1736,sup_code,0))&amp;"","Fournisseur inconnu"))</f>
        <v/>
      </c>
      <c r="E1736" s="63" t="n"/>
      <c r="F1736" s="66" t="str">
        <f>IF(E1736="","",IFERROR(INDEX(art_des,MATCH($E1736,art_ref,0))&amp;"","Article inconnu"))</f>
        <v/>
      </c>
      <c r="G1736" s="67" t="str">
        <f>IF(E1736="","",IFERROR(INDEX(art_unit,MATCH($E1736,art_ref,0))&amp;"",""))</f>
        <v/>
      </c>
      <c r="H1736" s="68" t="n"/>
      <c r="I1736" s="69" t="n"/>
      <c r="J1736" s="70" t="str">
        <f>IF(E1736="","",IF(ISNUMBER(I1736),I1736,IFERROR(IF(ISNUMBER(INDEX(art_price,MATCH($E1736,art_ref,0))),INDEX(art_price,MATCH($E1736,art_ref,0)),""),"")))</f>
        <v/>
      </c>
      <c r="K1736" s="71" t="n"/>
      <c r="L1736" s="72" t="n"/>
      <c r="M1736" s="72" t="str">
        <f>IF(E1736="","",IF(L1736&lt;&gt;"",L1736,IFERROR(IF(ISNUMBER(INDEX(art_tva,MATCH($E1736,art_ref,0))),INDEX(art_tva,MATCH($E1736,art_ref,0)),""),"")))</f>
        <v/>
      </c>
      <c r="N1736" s="70" t="str">
        <f>IF(OR(E1736="",J1736=""),"",ROUND(N(H1736)*J1736*(1-N(K1736)),2))</f>
        <v/>
      </c>
      <c r="O1736" s="70" t="str">
        <f>IF(OR(N1736="",NOT(ISNUMBER(M1736))),"",ROUND(N1736*M1736,2))</f>
        <v/>
      </c>
      <c r="P1736" s="70" t="str">
        <f>IF(N1736="","",N1736+N(O1736))</f>
        <v/>
      </c>
      <c r="Q1736" s="64" t="n"/>
      <c r="R1736" s="73" t="str">
        <f>IF(N(Q1736)&gt;0,Q1736,IF(OR(N(B1736)=0,ISNA(MATCH($C1736,sup_code,0))),"",IF(ISNUMBER(INDEX(sup_delay,MATCH($C1736,sup_code,0))),B1736+INDEX(sup_delay,MATCH($C1736,sup_code,0)),"")))</f>
        <v/>
      </c>
      <c r="S1736" s="64" t="n"/>
      <c r="T1736" s="68" t="n"/>
      <c r="U1736" s="64" t="n"/>
      <c r="V1736" s="65" t="n"/>
      <c r="W1736" s="74" t="str">
        <f>IF(AND(A1736="",E1736=""),"",IF(V1736="Oui",0,MAX(0,ROUND(N(H1736)-N(T1736),6))))</f>
        <v/>
      </c>
      <c r="X1736" s="67" t="str">
        <f>IF(AND(A1736="",E1736=""),"",IF(V1736="Oui","Annulé",IF(AND(N(H1736)&gt;0,N(T1736)&gt;=N(H1736)),"Reçu",IF(N(S1736)=0,"Brouillon",IF(AND(ISNUMBER(R1736),R1736&lt;p_today),"En retard",IF(N(T1736)&gt;0,"Partiel","Envoyé"))))))</f>
        <v/>
      </c>
      <c r="Y1736" s="75" t="str">
        <f>IF(X1736="En retard",p_today-R1736,IF(AND(X1736="Reçu",ISNUMBER(R1736)),MAX(0,N(U1736)-R1736),""))</f>
        <v/>
      </c>
      <c r="Z1736" s="67" t="str">
        <f>IF(AND(A1736="",E1736=""),"",IF(A1736="","N° de bon manquant",IF(N(B1736)=0,"Date de commande manquante",IF(C1736="","Fournisseur manquant",IF(ISNA(MATCH($C1736,sup_code,0)),"Fournisseur inconnu",IF(E1736="","Article manquant",IF(ISNA(MATCH($E1736,art_ref,0)),"Article inconnu",IF(N(H1736)&lt;=0,"Quantité invalide",IF(J1736="","Prix manquant",IF(OR(N(K1736)&lt;0,N(K1736)&gt;=1),"Remise invalide",IF(M1736="","TVA manquante",IF(ISNA(MATCH(M1736,p_tva,0)),"Taux de TVA inconnu",IF(COUNTIFS(po_num,A1736,po_sup,"&lt;&gt;"&amp;C1736)&gt;0,"Fournisseur différent sur ce bon",IF(COUNTIFS(po_num,A1736,po_date,"&lt;&gt;"&amp;B1736)&gt;0,"Date différente sur ce bon",IF(COUNTIF(po_num,A1736)&gt;25,"Plus de 25 lignes sur ce bon",IF(R1736="","Date de livraison manquante",IF(R1736&lt;B1736,"Livraison avant la commande",IF(AND(N(T1736)&gt;0,N(S1736)=0),"Date d'envoi manquante",IF(N(T1736)&gt;N(H1736),"Reçu plus que commandé",IF(AND(N(T1736)&gt;0,N(U1736)=0),"Date de réception manquante",IF(AND(N(U1736)&gt;0,U1736&lt;B1736),"Réception avant la commande","OK")))))))))))))))))))))</f>
        <v/>
      </c>
      <c r="AA1736" s="66" t="str">
        <f>IF(AND(X1736="Reçu",ISNUMBER(R1736)),IF(N(U1736)&lt;=R1736,1,0),"")</f>
        <v/>
      </c>
      <c r="AB1736" s="76" t="str">
        <f>IF(OR(X1736="Envoyé",X1736="Partiel",X1736="En retard"),IF(ISNUMBER(R1736),R1736,100000)+ROW()/100000,"")</f>
        <v/>
      </c>
      <c r="AC1736" s="66" t="str">
        <f>IF(A1736="","",IF(COUNTIF($A$6:A1736,A1736)=1,1,""))</f>
        <v/>
      </c>
      <c r="AD1736" s="66" t="str">
        <f>IF(AC1736=1,COUNT($AC$6:AC1736),"")</f>
        <v/>
      </c>
      <c r="AE1736" s="66" t="str">
        <f>IFERROR(INDEX(po_num,MATCH(1731,po_seq,0))&amp;"","")</f>
        <v/>
      </c>
      <c r="AF1736" s="66" t="str">
        <f>IF(OR(A1736="",p_po=""),"",IF(A1736&amp;""=p_po,COUNTIF($A$6:A1736,A1736),""))</f>
        <v/>
      </c>
      <c r="AG1736" s="66" t="str">
        <f>IF(OR(AB1736="",A1736=""),"",IF(COUNTIFS($A$6:A1736,A1736,$AB$6:AB1736,"&gt;0")=1,1,""))</f>
        <v/>
      </c>
      <c r="AH1736" s="70" t="str">
        <f>IF(AB1736="","",ROUND(N(W1736)*N(J1736)*(1-N(K1736)),2))</f>
        <v/>
      </c>
      <c r="AI1736" s="70" t="str">
        <f>IF(OR(J1736="",N(T1736)&lt;=0,V1736="Oui"),"",ROUND(N(T1736)*J1736*(1-N(K1736)),2))</f>
        <v/>
      </c>
    </row>
    <row r="1737">
      <c r="A1737" s="63" t="n"/>
      <c r="B1737" s="64" t="n"/>
      <c r="C1737" s="65" t="n"/>
      <c r="D1737" s="66" t="str">
        <f>IF(C1737="","",IFERROR(INDEX(sup_name,MATCH($C1737,sup_code,0))&amp;"","Fournisseur inconnu"))</f>
        <v/>
      </c>
      <c r="E1737" s="63" t="n"/>
      <c r="F1737" s="66" t="str">
        <f>IF(E1737="","",IFERROR(INDEX(art_des,MATCH($E1737,art_ref,0))&amp;"","Article inconnu"))</f>
        <v/>
      </c>
      <c r="G1737" s="67" t="str">
        <f>IF(E1737="","",IFERROR(INDEX(art_unit,MATCH($E1737,art_ref,0))&amp;"",""))</f>
        <v/>
      </c>
      <c r="H1737" s="68" t="n"/>
      <c r="I1737" s="69" t="n"/>
      <c r="J1737" s="70" t="str">
        <f>IF(E1737="","",IF(ISNUMBER(I1737),I1737,IFERROR(IF(ISNUMBER(INDEX(art_price,MATCH($E1737,art_ref,0))),INDEX(art_price,MATCH($E1737,art_ref,0)),""),"")))</f>
        <v/>
      </c>
      <c r="K1737" s="71" t="n"/>
      <c r="L1737" s="72" t="n"/>
      <c r="M1737" s="72" t="str">
        <f>IF(E1737="","",IF(L1737&lt;&gt;"",L1737,IFERROR(IF(ISNUMBER(INDEX(art_tva,MATCH($E1737,art_ref,0))),INDEX(art_tva,MATCH($E1737,art_ref,0)),""),"")))</f>
        <v/>
      </c>
      <c r="N1737" s="70" t="str">
        <f>IF(OR(E1737="",J1737=""),"",ROUND(N(H1737)*J1737*(1-N(K1737)),2))</f>
        <v/>
      </c>
      <c r="O1737" s="70" t="str">
        <f>IF(OR(N1737="",NOT(ISNUMBER(M1737))),"",ROUND(N1737*M1737,2))</f>
        <v/>
      </c>
      <c r="P1737" s="70" t="str">
        <f>IF(N1737="","",N1737+N(O1737))</f>
        <v/>
      </c>
      <c r="Q1737" s="64" t="n"/>
      <c r="R1737" s="73" t="str">
        <f>IF(N(Q1737)&gt;0,Q1737,IF(OR(N(B1737)=0,ISNA(MATCH($C1737,sup_code,0))),"",IF(ISNUMBER(INDEX(sup_delay,MATCH($C1737,sup_code,0))),B1737+INDEX(sup_delay,MATCH($C1737,sup_code,0)),"")))</f>
        <v/>
      </c>
      <c r="S1737" s="64" t="n"/>
      <c r="T1737" s="68" t="n"/>
      <c r="U1737" s="64" t="n"/>
      <c r="V1737" s="65" t="n"/>
      <c r="W1737" s="74" t="str">
        <f>IF(AND(A1737="",E1737=""),"",IF(V1737="Oui",0,MAX(0,ROUND(N(H1737)-N(T1737),6))))</f>
        <v/>
      </c>
      <c r="X1737" s="67" t="str">
        <f>IF(AND(A1737="",E1737=""),"",IF(V1737="Oui","Annulé",IF(AND(N(H1737)&gt;0,N(T1737)&gt;=N(H1737)),"Reçu",IF(N(S1737)=0,"Brouillon",IF(AND(ISNUMBER(R1737),R1737&lt;p_today),"En retard",IF(N(T1737)&gt;0,"Partiel","Envoyé"))))))</f>
        <v/>
      </c>
      <c r="Y1737" s="75" t="str">
        <f>IF(X1737="En retard",p_today-R1737,IF(AND(X1737="Reçu",ISNUMBER(R1737)),MAX(0,N(U1737)-R1737),""))</f>
        <v/>
      </c>
      <c r="Z1737" s="67" t="str">
        <f>IF(AND(A1737="",E1737=""),"",IF(A1737="","N° de bon manquant",IF(N(B1737)=0,"Date de commande manquante",IF(C1737="","Fournisseur manquant",IF(ISNA(MATCH($C1737,sup_code,0)),"Fournisseur inconnu",IF(E1737="","Article manquant",IF(ISNA(MATCH($E1737,art_ref,0)),"Article inconnu",IF(N(H1737)&lt;=0,"Quantité invalide",IF(J1737="","Prix manquant",IF(OR(N(K1737)&lt;0,N(K1737)&gt;=1),"Remise invalide",IF(M1737="","TVA manquante",IF(ISNA(MATCH(M1737,p_tva,0)),"Taux de TVA inconnu",IF(COUNTIFS(po_num,A1737,po_sup,"&lt;&gt;"&amp;C1737)&gt;0,"Fournisseur différent sur ce bon",IF(COUNTIFS(po_num,A1737,po_date,"&lt;&gt;"&amp;B1737)&gt;0,"Date différente sur ce bon",IF(COUNTIF(po_num,A1737)&gt;25,"Plus de 25 lignes sur ce bon",IF(R1737="","Date de livraison manquante",IF(R1737&lt;B1737,"Livraison avant la commande",IF(AND(N(T1737)&gt;0,N(S1737)=0),"Date d'envoi manquante",IF(N(T1737)&gt;N(H1737),"Reçu plus que commandé",IF(AND(N(T1737)&gt;0,N(U1737)=0),"Date de réception manquante",IF(AND(N(U1737)&gt;0,U1737&lt;B1737),"Réception avant la commande","OK")))))))))))))))))))))</f>
        <v/>
      </c>
      <c r="AA1737" s="66" t="str">
        <f>IF(AND(X1737="Reçu",ISNUMBER(R1737)),IF(N(U1737)&lt;=R1737,1,0),"")</f>
        <v/>
      </c>
      <c r="AB1737" s="76" t="str">
        <f>IF(OR(X1737="Envoyé",X1737="Partiel",X1737="En retard"),IF(ISNUMBER(R1737),R1737,100000)+ROW()/100000,"")</f>
        <v/>
      </c>
      <c r="AC1737" s="66" t="str">
        <f>IF(A1737="","",IF(COUNTIF($A$6:A1737,A1737)=1,1,""))</f>
        <v/>
      </c>
      <c r="AD1737" s="66" t="str">
        <f>IF(AC1737=1,COUNT($AC$6:AC1737),"")</f>
        <v/>
      </c>
      <c r="AE1737" s="66" t="str">
        <f>IFERROR(INDEX(po_num,MATCH(1732,po_seq,0))&amp;"","")</f>
        <v/>
      </c>
      <c r="AF1737" s="66" t="str">
        <f>IF(OR(A1737="",p_po=""),"",IF(A1737&amp;""=p_po,COUNTIF($A$6:A1737,A1737),""))</f>
        <v/>
      </c>
      <c r="AG1737" s="66" t="str">
        <f>IF(OR(AB1737="",A1737=""),"",IF(COUNTIFS($A$6:A1737,A1737,$AB$6:AB1737,"&gt;0")=1,1,""))</f>
        <v/>
      </c>
      <c r="AH1737" s="70" t="str">
        <f>IF(AB1737="","",ROUND(N(W1737)*N(J1737)*(1-N(K1737)),2))</f>
        <v/>
      </c>
      <c r="AI1737" s="70" t="str">
        <f>IF(OR(J1737="",N(T1737)&lt;=0,V1737="Oui"),"",ROUND(N(T1737)*J1737*(1-N(K1737)),2))</f>
        <v/>
      </c>
    </row>
    <row r="1738">
      <c r="A1738" s="63" t="n"/>
      <c r="B1738" s="64" t="n"/>
      <c r="C1738" s="65" t="n"/>
      <c r="D1738" s="66" t="str">
        <f>IF(C1738="","",IFERROR(INDEX(sup_name,MATCH($C1738,sup_code,0))&amp;"","Fournisseur inconnu"))</f>
        <v/>
      </c>
      <c r="E1738" s="63" t="n"/>
      <c r="F1738" s="66" t="str">
        <f>IF(E1738="","",IFERROR(INDEX(art_des,MATCH($E1738,art_ref,0))&amp;"","Article inconnu"))</f>
        <v/>
      </c>
      <c r="G1738" s="67" t="str">
        <f>IF(E1738="","",IFERROR(INDEX(art_unit,MATCH($E1738,art_ref,0))&amp;"",""))</f>
        <v/>
      </c>
      <c r="H1738" s="68" t="n"/>
      <c r="I1738" s="69" t="n"/>
      <c r="J1738" s="70" t="str">
        <f>IF(E1738="","",IF(ISNUMBER(I1738),I1738,IFERROR(IF(ISNUMBER(INDEX(art_price,MATCH($E1738,art_ref,0))),INDEX(art_price,MATCH($E1738,art_ref,0)),""),"")))</f>
        <v/>
      </c>
      <c r="K1738" s="71" t="n"/>
      <c r="L1738" s="72" t="n"/>
      <c r="M1738" s="72" t="str">
        <f>IF(E1738="","",IF(L1738&lt;&gt;"",L1738,IFERROR(IF(ISNUMBER(INDEX(art_tva,MATCH($E1738,art_ref,0))),INDEX(art_tva,MATCH($E1738,art_ref,0)),""),"")))</f>
        <v/>
      </c>
      <c r="N1738" s="70" t="str">
        <f>IF(OR(E1738="",J1738=""),"",ROUND(N(H1738)*J1738*(1-N(K1738)),2))</f>
        <v/>
      </c>
      <c r="O1738" s="70" t="str">
        <f>IF(OR(N1738="",NOT(ISNUMBER(M1738))),"",ROUND(N1738*M1738,2))</f>
        <v/>
      </c>
      <c r="P1738" s="70" t="str">
        <f>IF(N1738="","",N1738+N(O1738))</f>
        <v/>
      </c>
      <c r="Q1738" s="64" t="n"/>
      <c r="R1738" s="73" t="str">
        <f>IF(N(Q1738)&gt;0,Q1738,IF(OR(N(B1738)=0,ISNA(MATCH($C1738,sup_code,0))),"",IF(ISNUMBER(INDEX(sup_delay,MATCH($C1738,sup_code,0))),B1738+INDEX(sup_delay,MATCH($C1738,sup_code,0)),"")))</f>
        <v/>
      </c>
      <c r="S1738" s="64" t="n"/>
      <c r="T1738" s="68" t="n"/>
      <c r="U1738" s="64" t="n"/>
      <c r="V1738" s="65" t="n"/>
      <c r="W1738" s="74" t="str">
        <f>IF(AND(A1738="",E1738=""),"",IF(V1738="Oui",0,MAX(0,ROUND(N(H1738)-N(T1738),6))))</f>
        <v/>
      </c>
      <c r="X1738" s="67" t="str">
        <f>IF(AND(A1738="",E1738=""),"",IF(V1738="Oui","Annulé",IF(AND(N(H1738)&gt;0,N(T1738)&gt;=N(H1738)),"Reçu",IF(N(S1738)=0,"Brouillon",IF(AND(ISNUMBER(R1738),R1738&lt;p_today),"En retard",IF(N(T1738)&gt;0,"Partiel","Envoyé"))))))</f>
        <v/>
      </c>
      <c r="Y1738" s="75" t="str">
        <f>IF(X1738="En retard",p_today-R1738,IF(AND(X1738="Reçu",ISNUMBER(R1738)),MAX(0,N(U1738)-R1738),""))</f>
        <v/>
      </c>
      <c r="Z1738" s="67" t="str">
        <f>IF(AND(A1738="",E1738=""),"",IF(A1738="","N° de bon manquant",IF(N(B1738)=0,"Date de commande manquante",IF(C1738="","Fournisseur manquant",IF(ISNA(MATCH($C1738,sup_code,0)),"Fournisseur inconnu",IF(E1738="","Article manquant",IF(ISNA(MATCH($E1738,art_ref,0)),"Article inconnu",IF(N(H1738)&lt;=0,"Quantité invalide",IF(J1738="","Prix manquant",IF(OR(N(K1738)&lt;0,N(K1738)&gt;=1),"Remise invalide",IF(M1738="","TVA manquante",IF(ISNA(MATCH(M1738,p_tva,0)),"Taux de TVA inconnu",IF(COUNTIFS(po_num,A1738,po_sup,"&lt;&gt;"&amp;C1738)&gt;0,"Fournisseur différent sur ce bon",IF(COUNTIFS(po_num,A1738,po_date,"&lt;&gt;"&amp;B1738)&gt;0,"Date différente sur ce bon",IF(COUNTIF(po_num,A1738)&gt;25,"Plus de 25 lignes sur ce bon",IF(R1738="","Date de livraison manquante",IF(R1738&lt;B1738,"Livraison avant la commande",IF(AND(N(T1738)&gt;0,N(S1738)=0),"Date d'envoi manquante",IF(N(T1738)&gt;N(H1738),"Reçu plus que commandé",IF(AND(N(T1738)&gt;0,N(U1738)=0),"Date de réception manquante",IF(AND(N(U1738)&gt;0,U1738&lt;B1738),"Réception avant la commande","OK")))))))))))))))))))))</f>
        <v/>
      </c>
      <c r="AA1738" s="66" t="str">
        <f>IF(AND(X1738="Reçu",ISNUMBER(R1738)),IF(N(U1738)&lt;=R1738,1,0),"")</f>
        <v/>
      </c>
      <c r="AB1738" s="76" t="str">
        <f>IF(OR(X1738="Envoyé",X1738="Partiel",X1738="En retard"),IF(ISNUMBER(R1738),R1738,100000)+ROW()/100000,"")</f>
        <v/>
      </c>
      <c r="AC1738" s="66" t="str">
        <f>IF(A1738="","",IF(COUNTIF($A$6:A1738,A1738)=1,1,""))</f>
        <v/>
      </c>
      <c r="AD1738" s="66" t="str">
        <f>IF(AC1738=1,COUNT($AC$6:AC1738),"")</f>
        <v/>
      </c>
      <c r="AE1738" s="66" t="str">
        <f>IFERROR(INDEX(po_num,MATCH(1733,po_seq,0))&amp;"","")</f>
        <v/>
      </c>
      <c r="AF1738" s="66" t="str">
        <f>IF(OR(A1738="",p_po=""),"",IF(A1738&amp;""=p_po,COUNTIF($A$6:A1738,A1738),""))</f>
        <v/>
      </c>
      <c r="AG1738" s="66" t="str">
        <f>IF(OR(AB1738="",A1738=""),"",IF(COUNTIFS($A$6:A1738,A1738,$AB$6:AB1738,"&gt;0")=1,1,""))</f>
        <v/>
      </c>
      <c r="AH1738" s="70" t="str">
        <f>IF(AB1738="","",ROUND(N(W1738)*N(J1738)*(1-N(K1738)),2))</f>
        <v/>
      </c>
      <c r="AI1738" s="70" t="str">
        <f>IF(OR(J1738="",N(T1738)&lt;=0,V1738="Oui"),"",ROUND(N(T1738)*J1738*(1-N(K1738)),2))</f>
        <v/>
      </c>
    </row>
    <row r="1739">
      <c r="A1739" s="63" t="n"/>
      <c r="B1739" s="64" t="n"/>
      <c r="C1739" s="65" t="n"/>
      <c r="D1739" s="66" t="str">
        <f>IF(C1739="","",IFERROR(INDEX(sup_name,MATCH($C1739,sup_code,0))&amp;"","Fournisseur inconnu"))</f>
        <v/>
      </c>
      <c r="E1739" s="63" t="n"/>
      <c r="F1739" s="66" t="str">
        <f>IF(E1739="","",IFERROR(INDEX(art_des,MATCH($E1739,art_ref,0))&amp;"","Article inconnu"))</f>
        <v/>
      </c>
      <c r="G1739" s="67" t="str">
        <f>IF(E1739="","",IFERROR(INDEX(art_unit,MATCH($E1739,art_ref,0))&amp;"",""))</f>
        <v/>
      </c>
      <c r="H1739" s="68" t="n"/>
      <c r="I1739" s="69" t="n"/>
      <c r="J1739" s="70" t="str">
        <f>IF(E1739="","",IF(ISNUMBER(I1739),I1739,IFERROR(IF(ISNUMBER(INDEX(art_price,MATCH($E1739,art_ref,0))),INDEX(art_price,MATCH($E1739,art_ref,0)),""),"")))</f>
        <v/>
      </c>
      <c r="K1739" s="71" t="n"/>
      <c r="L1739" s="72" t="n"/>
      <c r="M1739" s="72" t="str">
        <f>IF(E1739="","",IF(L1739&lt;&gt;"",L1739,IFERROR(IF(ISNUMBER(INDEX(art_tva,MATCH($E1739,art_ref,0))),INDEX(art_tva,MATCH($E1739,art_ref,0)),""),"")))</f>
        <v/>
      </c>
      <c r="N1739" s="70" t="str">
        <f>IF(OR(E1739="",J1739=""),"",ROUND(N(H1739)*J1739*(1-N(K1739)),2))</f>
        <v/>
      </c>
      <c r="O1739" s="70" t="str">
        <f>IF(OR(N1739="",NOT(ISNUMBER(M1739))),"",ROUND(N1739*M1739,2))</f>
        <v/>
      </c>
      <c r="P1739" s="70" t="str">
        <f>IF(N1739="","",N1739+N(O1739))</f>
        <v/>
      </c>
      <c r="Q1739" s="64" t="n"/>
      <c r="R1739" s="73" t="str">
        <f>IF(N(Q1739)&gt;0,Q1739,IF(OR(N(B1739)=0,ISNA(MATCH($C1739,sup_code,0))),"",IF(ISNUMBER(INDEX(sup_delay,MATCH($C1739,sup_code,0))),B1739+INDEX(sup_delay,MATCH($C1739,sup_code,0)),"")))</f>
        <v/>
      </c>
      <c r="S1739" s="64" t="n"/>
      <c r="T1739" s="68" t="n"/>
      <c r="U1739" s="64" t="n"/>
      <c r="V1739" s="65" t="n"/>
      <c r="W1739" s="74" t="str">
        <f>IF(AND(A1739="",E1739=""),"",IF(V1739="Oui",0,MAX(0,ROUND(N(H1739)-N(T1739),6))))</f>
        <v/>
      </c>
      <c r="X1739" s="67" t="str">
        <f>IF(AND(A1739="",E1739=""),"",IF(V1739="Oui","Annulé",IF(AND(N(H1739)&gt;0,N(T1739)&gt;=N(H1739)),"Reçu",IF(N(S1739)=0,"Brouillon",IF(AND(ISNUMBER(R1739),R1739&lt;p_today),"En retard",IF(N(T1739)&gt;0,"Partiel","Envoyé"))))))</f>
        <v/>
      </c>
      <c r="Y1739" s="75" t="str">
        <f>IF(X1739="En retard",p_today-R1739,IF(AND(X1739="Reçu",ISNUMBER(R1739)),MAX(0,N(U1739)-R1739),""))</f>
        <v/>
      </c>
      <c r="Z1739" s="67" t="str">
        <f>IF(AND(A1739="",E1739=""),"",IF(A1739="","N° de bon manquant",IF(N(B1739)=0,"Date de commande manquante",IF(C1739="","Fournisseur manquant",IF(ISNA(MATCH($C1739,sup_code,0)),"Fournisseur inconnu",IF(E1739="","Article manquant",IF(ISNA(MATCH($E1739,art_ref,0)),"Article inconnu",IF(N(H1739)&lt;=0,"Quantité invalide",IF(J1739="","Prix manquant",IF(OR(N(K1739)&lt;0,N(K1739)&gt;=1),"Remise invalide",IF(M1739="","TVA manquante",IF(ISNA(MATCH(M1739,p_tva,0)),"Taux de TVA inconnu",IF(COUNTIFS(po_num,A1739,po_sup,"&lt;&gt;"&amp;C1739)&gt;0,"Fournisseur différent sur ce bon",IF(COUNTIFS(po_num,A1739,po_date,"&lt;&gt;"&amp;B1739)&gt;0,"Date différente sur ce bon",IF(COUNTIF(po_num,A1739)&gt;25,"Plus de 25 lignes sur ce bon",IF(R1739="","Date de livraison manquante",IF(R1739&lt;B1739,"Livraison avant la commande",IF(AND(N(T1739)&gt;0,N(S1739)=0),"Date d'envoi manquante",IF(N(T1739)&gt;N(H1739),"Reçu plus que commandé",IF(AND(N(T1739)&gt;0,N(U1739)=0),"Date de réception manquante",IF(AND(N(U1739)&gt;0,U1739&lt;B1739),"Réception avant la commande","OK")))))))))))))))))))))</f>
        <v/>
      </c>
      <c r="AA1739" s="66" t="str">
        <f>IF(AND(X1739="Reçu",ISNUMBER(R1739)),IF(N(U1739)&lt;=R1739,1,0),"")</f>
        <v/>
      </c>
      <c r="AB1739" s="76" t="str">
        <f>IF(OR(X1739="Envoyé",X1739="Partiel",X1739="En retard"),IF(ISNUMBER(R1739),R1739,100000)+ROW()/100000,"")</f>
        <v/>
      </c>
      <c r="AC1739" s="66" t="str">
        <f>IF(A1739="","",IF(COUNTIF($A$6:A1739,A1739)=1,1,""))</f>
        <v/>
      </c>
      <c r="AD1739" s="66" t="str">
        <f>IF(AC1739=1,COUNT($AC$6:AC1739),"")</f>
        <v/>
      </c>
      <c r="AE1739" s="66" t="str">
        <f>IFERROR(INDEX(po_num,MATCH(1734,po_seq,0))&amp;"","")</f>
        <v/>
      </c>
      <c r="AF1739" s="66" t="str">
        <f>IF(OR(A1739="",p_po=""),"",IF(A1739&amp;""=p_po,COUNTIF($A$6:A1739,A1739),""))</f>
        <v/>
      </c>
      <c r="AG1739" s="66" t="str">
        <f>IF(OR(AB1739="",A1739=""),"",IF(COUNTIFS($A$6:A1739,A1739,$AB$6:AB1739,"&gt;0")=1,1,""))</f>
        <v/>
      </c>
      <c r="AH1739" s="70" t="str">
        <f>IF(AB1739="","",ROUND(N(W1739)*N(J1739)*(1-N(K1739)),2))</f>
        <v/>
      </c>
      <c r="AI1739" s="70" t="str">
        <f>IF(OR(J1739="",N(T1739)&lt;=0,V1739="Oui"),"",ROUND(N(T1739)*J1739*(1-N(K1739)),2))</f>
        <v/>
      </c>
    </row>
    <row r="1740">
      <c r="A1740" s="63" t="n"/>
      <c r="B1740" s="64" t="n"/>
      <c r="C1740" s="65" t="n"/>
      <c r="D1740" s="66" t="str">
        <f>IF(C1740="","",IFERROR(INDEX(sup_name,MATCH($C1740,sup_code,0))&amp;"","Fournisseur inconnu"))</f>
        <v/>
      </c>
      <c r="E1740" s="63" t="n"/>
      <c r="F1740" s="66" t="str">
        <f>IF(E1740="","",IFERROR(INDEX(art_des,MATCH($E1740,art_ref,0))&amp;"","Article inconnu"))</f>
        <v/>
      </c>
      <c r="G1740" s="67" t="str">
        <f>IF(E1740="","",IFERROR(INDEX(art_unit,MATCH($E1740,art_ref,0))&amp;"",""))</f>
        <v/>
      </c>
      <c r="H1740" s="68" t="n"/>
      <c r="I1740" s="69" t="n"/>
      <c r="J1740" s="70" t="str">
        <f>IF(E1740="","",IF(ISNUMBER(I1740),I1740,IFERROR(IF(ISNUMBER(INDEX(art_price,MATCH($E1740,art_ref,0))),INDEX(art_price,MATCH($E1740,art_ref,0)),""),"")))</f>
        <v/>
      </c>
      <c r="K1740" s="71" t="n"/>
      <c r="L1740" s="72" t="n"/>
      <c r="M1740" s="72" t="str">
        <f>IF(E1740="","",IF(L1740&lt;&gt;"",L1740,IFERROR(IF(ISNUMBER(INDEX(art_tva,MATCH($E1740,art_ref,0))),INDEX(art_tva,MATCH($E1740,art_ref,0)),""),"")))</f>
        <v/>
      </c>
      <c r="N1740" s="70" t="str">
        <f>IF(OR(E1740="",J1740=""),"",ROUND(N(H1740)*J1740*(1-N(K1740)),2))</f>
        <v/>
      </c>
      <c r="O1740" s="70" t="str">
        <f>IF(OR(N1740="",NOT(ISNUMBER(M1740))),"",ROUND(N1740*M1740,2))</f>
        <v/>
      </c>
      <c r="P1740" s="70" t="str">
        <f>IF(N1740="","",N1740+N(O1740))</f>
        <v/>
      </c>
      <c r="Q1740" s="64" t="n"/>
      <c r="R1740" s="73" t="str">
        <f>IF(N(Q1740)&gt;0,Q1740,IF(OR(N(B1740)=0,ISNA(MATCH($C1740,sup_code,0))),"",IF(ISNUMBER(INDEX(sup_delay,MATCH($C1740,sup_code,0))),B1740+INDEX(sup_delay,MATCH($C1740,sup_code,0)),"")))</f>
        <v/>
      </c>
      <c r="S1740" s="64" t="n"/>
      <c r="T1740" s="68" t="n"/>
      <c r="U1740" s="64" t="n"/>
      <c r="V1740" s="65" t="n"/>
      <c r="W1740" s="74" t="str">
        <f>IF(AND(A1740="",E1740=""),"",IF(V1740="Oui",0,MAX(0,ROUND(N(H1740)-N(T1740),6))))</f>
        <v/>
      </c>
      <c r="X1740" s="67" t="str">
        <f>IF(AND(A1740="",E1740=""),"",IF(V1740="Oui","Annulé",IF(AND(N(H1740)&gt;0,N(T1740)&gt;=N(H1740)),"Reçu",IF(N(S1740)=0,"Brouillon",IF(AND(ISNUMBER(R1740),R1740&lt;p_today),"En retard",IF(N(T1740)&gt;0,"Partiel","Envoyé"))))))</f>
        <v/>
      </c>
      <c r="Y1740" s="75" t="str">
        <f>IF(X1740="En retard",p_today-R1740,IF(AND(X1740="Reçu",ISNUMBER(R1740)),MAX(0,N(U1740)-R1740),""))</f>
        <v/>
      </c>
      <c r="Z1740" s="67" t="str">
        <f>IF(AND(A1740="",E1740=""),"",IF(A1740="","N° de bon manquant",IF(N(B1740)=0,"Date de commande manquante",IF(C1740="","Fournisseur manquant",IF(ISNA(MATCH($C1740,sup_code,0)),"Fournisseur inconnu",IF(E1740="","Article manquant",IF(ISNA(MATCH($E1740,art_ref,0)),"Article inconnu",IF(N(H1740)&lt;=0,"Quantité invalide",IF(J1740="","Prix manquant",IF(OR(N(K1740)&lt;0,N(K1740)&gt;=1),"Remise invalide",IF(M1740="","TVA manquante",IF(ISNA(MATCH(M1740,p_tva,0)),"Taux de TVA inconnu",IF(COUNTIFS(po_num,A1740,po_sup,"&lt;&gt;"&amp;C1740)&gt;0,"Fournisseur différent sur ce bon",IF(COUNTIFS(po_num,A1740,po_date,"&lt;&gt;"&amp;B1740)&gt;0,"Date différente sur ce bon",IF(COUNTIF(po_num,A1740)&gt;25,"Plus de 25 lignes sur ce bon",IF(R1740="","Date de livraison manquante",IF(R1740&lt;B1740,"Livraison avant la commande",IF(AND(N(T1740)&gt;0,N(S1740)=0),"Date d'envoi manquante",IF(N(T1740)&gt;N(H1740),"Reçu plus que commandé",IF(AND(N(T1740)&gt;0,N(U1740)=0),"Date de réception manquante",IF(AND(N(U1740)&gt;0,U1740&lt;B1740),"Réception avant la commande","OK")))))))))))))))))))))</f>
        <v/>
      </c>
      <c r="AA1740" s="66" t="str">
        <f>IF(AND(X1740="Reçu",ISNUMBER(R1740)),IF(N(U1740)&lt;=R1740,1,0),"")</f>
        <v/>
      </c>
      <c r="AB1740" s="76" t="str">
        <f>IF(OR(X1740="Envoyé",X1740="Partiel",X1740="En retard"),IF(ISNUMBER(R1740),R1740,100000)+ROW()/100000,"")</f>
        <v/>
      </c>
      <c r="AC1740" s="66" t="str">
        <f>IF(A1740="","",IF(COUNTIF($A$6:A1740,A1740)=1,1,""))</f>
        <v/>
      </c>
      <c r="AD1740" s="66" t="str">
        <f>IF(AC1740=1,COUNT($AC$6:AC1740),"")</f>
        <v/>
      </c>
      <c r="AE1740" s="66" t="str">
        <f>IFERROR(INDEX(po_num,MATCH(1735,po_seq,0))&amp;"","")</f>
        <v/>
      </c>
      <c r="AF1740" s="66" t="str">
        <f>IF(OR(A1740="",p_po=""),"",IF(A1740&amp;""=p_po,COUNTIF($A$6:A1740,A1740),""))</f>
        <v/>
      </c>
      <c r="AG1740" s="66" t="str">
        <f>IF(OR(AB1740="",A1740=""),"",IF(COUNTIFS($A$6:A1740,A1740,$AB$6:AB1740,"&gt;0")=1,1,""))</f>
        <v/>
      </c>
      <c r="AH1740" s="70" t="str">
        <f>IF(AB1740="","",ROUND(N(W1740)*N(J1740)*(1-N(K1740)),2))</f>
        <v/>
      </c>
      <c r="AI1740" s="70" t="str">
        <f>IF(OR(J1740="",N(T1740)&lt;=0,V1740="Oui"),"",ROUND(N(T1740)*J1740*(1-N(K1740)),2))</f>
        <v/>
      </c>
    </row>
    <row r="1741">
      <c r="A1741" s="63" t="n"/>
      <c r="B1741" s="64" t="n"/>
      <c r="C1741" s="65" t="n"/>
      <c r="D1741" s="66" t="str">
        <f>IF(C1741="","",IFERROR(INDEX(sup_name,MATCH($C1741,sup_code,0))&amp;"","Fournisseur inconnu"))</f>
        <v/>
      </c>
      <c r="E1741" s="63" t="n"/>
      <c r="F1741" s="66" t="str">
        <f>IF(E1741="","",IFERROR(INDEX(art_des,MATCH($E1741,art_ref,0))&amp;"","Article inconnu"))</f>
        <v/>
      </c>
      <c r="G1741" s="67" t="str">
        <f>IF(E1741="","",IFERROR(INDEX(art_unit,MATCH($E1741,art_ref,0))&amp;"",""))</f>
        <v/>
      </c>
      <c r="H1741" s="68" t="n"/>
      <c r="I1741" s="69" t="n"/>
      <c r="J1741" s="70" t="str">
        <f>IF(E1741="","",IF(ISNUMBER(I1741),I1741,IFERROR(IF(ISNUMBER(INDEX(art_price,MATCH($E1741,art_ref,0))),INDEX(art_price,MATCH($E1741,art_ref,0)),""),"")))</f>
        <v/>
      </c>
      <c r="K1741" s="71" t="n"/>
      <c r="L1741" s="72" t="n"/>
      <c r="M1741" s="72" t="str">
        <f>IF(E1741="","",IF(L1741&lt;&gt;"",L1741,IFERROR(IF(ISNUMBER(INDEX(art_tva,MATCH($E1741,art_ref,0))),INDEX(art_tva,MATCH($E1741,art_ref,0)),""),"")))</f>
        <v/>
      </c>
      <c r="N1741" s="70" t="str">
        <f>IF(OR(E1741="",J1741=""),"",ROUND(N(H1741)*J1741*(1-N(K1741)),2))</f>
        <v/>
      </c>
      <c r="O1741" s="70" t="str">
        <f>IF(OR(N1741="",NOT(ISNUMBER(M1741))),"",ROUND(N1741*M1741,2))</f>
        <v/>
      </c>
      <c r="P1741" s="70" t="str">
        <f>IF(N1741="","",N1741+N(O1741))</f>
        <v/>
      </c>
      <c r="Q1741" s="64" t="n"/>
      <c r="R1741" s="73" t="str">
        <f>IF(N(Q1741)&gt;0,Q1741,IF(OR(N(B1741)=0,ISNA(MATCH($C1741,sup_code,0))),"",IF(ISNUMBER(INDEX(sup_delay,MATCH($C1741,sup_code,0))),B1741+INDEX(sup_delay,MATCH($C1741,sup_code,0)),"")))</f>
        <v/>
      </c>
      <c r="S1741" s="64" t="n"/>
      <c r="T1741" s="68" t="n"/>
      <c r="U1741" s="64" t="n"/>
      <c r="V1741" s="65" t="n"/>
      <c r="W1741" s="74" t="str">
        <f>IF(AND(A1741="",E1741=""),"",IF(V1741="Oui",0,MAX(0,ROUND(N(H1741)-N(T1741),6))))</f>
        <v/>
      </c>
      <c r="X1741" s="67" t="str">
        <f>IF(AND(A1741="",E1741=""),"",IF(V1741="Oui","Annulé",IF(AND(N(H1741)&gt;0,N(T1741)&gt;=N(H1741)),"Reçu",IF(N(S1741)=0,"Brouillon",IF(AND(ISNUMBER(R1741),R1741&lt;p_today),"En retard",IF(N(T1741)&gt;0,"Partiel","Envoyé"))))))</f>
        <v/>
      </c>
      <c r="Y1741" s="75" t="str">
        <f>IF(X1741="En retard",p_today-R1741,IF(AND(X1741="Reçu",ISNUMBER(R1741)),MAX(0,N(U1741)-R1741),""))</f>
        <v/>
      </c>
      <c r="Z1741" s="67" t="str">
        <f>IF(AND(A1741="",E1741=""),"",IF(A1741="","N° de bon manquant",IF(N(B1741)=0,"Date de commande manquante",IF(C1741="","Fournisseur manquant",IF(ISNA(MATCH($C1741,sup_code,0)),"Fournisseur inconnu",IF(E1741="","Article manquant",IF(ISNA(MATCH($E1741,art_ref,0)),"Article inconnu",IF(N(H1741)&lt;=0,"Quantité invalide",IF(J1741="","Prix manquant",IF(OR(N(K1741)&lt;0,N(K1741)&gt;=1),"Remise invalide",IF(M1741="","TVA manquante",IF(ISNA(MATCH(M1741,p_tva,0)),"Taux de TVA inconnu",IF(COUNTIFS(po_num,A1741,po_sup,"&lt;&gt;"&amp;C1741)&gt;0,"Fournisseur différent sur ce bon",IF(COUNTIFS(po_num,A1741,po_date,"&lt;&gt;"&amp;B1741)&gt;0,"Date différente sur ce bon",IF(COUNTIF(po_num,A1741)&gt;25,"Plus de 25 lignes sur ce bon",IF(R1741="","Date de livraison manquante",IF(R1741&lt;B1741,"Livraison avant la commande",IF(AND(N(T1741)&gt;0,N(S1741)=0),"Date d'envoi manquante",IF(N(T1741)&gt;N(H1741),"Reçu plus que commandé",IF(AND(N(T1741)&gt;0,N(U1741)=0),"Date de réception manquante",IF(AND(N(U1741)&gt;0,U1741&lt;B1741),"Réception avant la commande","OK")))))))))))))))))))))</f>
        <v/>
      </c>
      <c r="AA1741" s="66" t="str">
        <f>IF(AND(X1741="Reçu",ISNUMBER(R1741)),IF(N(U1741)&lt;=R1741,1,0),"")</f>
        <v/>
      </c>
      <c r="AB1741" s="76" t="str">
        <f>IF(OR(X1741="Envoyé",X1741="Partiel",X1741="En retard"),IF(ISNUMBER(R1741),R1741,100000)+ROW()/100000,"")</f>
        <v/>
      </c>
      <c r="AC1741" s="66" t="str">
        <f>IF(A1741="","",IF(COUNTIF($A$6:A1741,A1741)=1,1,""))</f>
        <v/>
      </c>
      <c r="AD1741" s="66" t="str">
        <f>IF(AC1741=1,COUNT($AC$6:AC1741),"")</f>
        <v/>
      </c>
      <c r="AE1741" s="66" t="str">
        <f>IFERROR(INDEX(po_num,MATCH(1736,po_seq,0))&amp;"","")</f>
        <v/>
      </c>
      <c r="AF1741" s="66" t="str">
        <f>IF(OR(A1741="",p_po=""),"",IF(A1741&amp;""=p_po,COUNTIF($A$6:A1741,A1741),""))</f>
        <v/>
      </c>
      <c r="AG1741" s="66" t="str">
        <f>IF(OR(AB1741="",A1741=""),"",IF(COUNTIFS($A$6:A1741,A1741,$AB$6:AB1741,"&gt;0")=1,1,""))</f>
        <v/>
      </c>
      <c r="AH1741" s="70" t="str">
        <f>IF(AB1741="","",ROUND(N(W1741)*N(J1741)*(1-N(K1741)),2))</f>
        <v/>
      </c>
      <c r="AI1741" s="70" t="str">
        <f>IF(OR(J1741="",N(T1741)&lt;=0,V1741="Oui"),"",ROUND(N(T1741)*J1741*(1-N(K1741)),2))</f>
        <v/>
      </c>
    </row>
    <row r="1742">
      <c r="A1742" s="63" t="n"/>
      <c r="B1742" s="64" t="n"/>
      <c r="C1742" s="65" t="n"/>
      <c r="D1742" s="66" t="str">
        <f>IF(C1742="","",IFERROR(INDEX(sup_name,MATCH($C1742,sup_code,0))&amp;"","Fournisseur inconnu"))</f>
        <v/>
      </c>
      <c r="E1742" s="63" t="n"/>
      <c r="F1742" s="66" t="str">
        <f>IF(E1742="","",IFERROR(INDEX(art_des,MATCH($E1742,art_ref,0))&amp;"","Article inconnu"))</f>
        <v/>
      </c>
      <c r="G1742" s="67" t="str">
        <f>IF(E1742="","",IFERROR(INDEX(art_unit,MATCH($E1742,art_ref,0))&amp;"",""))</f>
        <v/>
      </c>
      <c r="H1742" s="68" t="n"/>
      <c r="I1742" s="69" t="n"/>
      <c r="J1742" s="70" t="str">
        <f>IF(E1742="","",IF(ISNUMBER(I1742),I1742,IFERROR(IF(ISNUMBER(INDEX(art_price,MATCH($E1742,art_ref,0))),INDEX(art_price,MATCH($E1742,art_ref,0)),""),"")))</f>
        <v/>
      </c>
      <c r="K1742" s="71" t="n"/>
      <c r="L1742" s="72" t="n"/>
      <c r="M1742" s="72" t="str">
        <f>IF(E1742="","",IF(L1742&lt;&gt;"",L1742,IFERROR(IF(ISNUMBER(INDEX(art_tva,MATCH($E1742,art_ref,0))),INDEX(art_tva,MATCH($E1742,art_ref,0)),""),"")))</f>
        <v/>
      </c>
      <c r="N1742" s="70" t="str">
        <f>IF(OR(E1742="",J1742=""),"",ROUND(N(H1742)*J1742*(1-N(K1742)),2))</f>
        <v/>
      </c>
      <c r="O1742" s="70" t="str">
        <f>IF(OR(N1742="",NOT(ISNUMBER(M1742))),"",ROUND(N1742*M1742,2))</f>
        <v/>
      </c>
      <c r="P1742" s="70" t="str">
        <f>IF(N1742="","",N1742+N(O1742))</f>
        <v/>
      </c>
      <c r="Q1742" s="64" t="n"/>
      <c r="R1742" s="73" t="str">
        <f>IF(N(Q1742)&gt;0,Q1742,IF(OR(N(B1742)=0,ISNA(MATCH($C1742,sup_code,0))),"",IF(ISNUMBER(INDEX(sup_delay,MATCH($C1742,sup_code,0))),B1742+INDEX(sup_delay,MATCH($C1742,sup_code,0)),"")))</f>
        <v/>
      </c>
      <c r="S1742" s="64" t="n"/>
      <c r="T1742" s="68" t="n"/>
      <c r="U1742" s="64" t="n"/>
      <c r="V1742" s="65" t="n"/>
      <c r="W1742" s="74" t="str">
        <f>IF(AND(A1742="",E1742=""),"",IF(V1742="Oui",0,MAX(0,ROUND(N(H1742)-N(T1742),6))))</f>
        <v/>
      </c>
      <c r="X1742" s="67" t="str">
        <f>IF(AND(A1742="",E1742=""),"",IF(V1742="Oui","Annulé",IF(AND(N(H1742)&gt;0,N(T1742)&gt;=N(H1742)),"Reçu",IF(N(S1742)=0,"Brouillon",IF(AND(ISNUMBER(R1742),R1742&lt;p_today),"En retard",IF(N(T1742)&gt;0,"Partiel","Envoyé"))))))</f>
        <v/>
      </c>
      <c r="Y1742" s="75" t="str">
        <f>IF(X1742="En retard",p_today-R1742,IF(AND(X1742="Reçu",ISNUMBER(R1742)),MAX(0,N(U1742)-R1742),""))</f>
        <v/>
      </c>
      <c r="Z1742" s="67" t="str">
        <f>IF(AND(A1742="",E1742=""),"",IF(A1742="","N° de bon manquant",IF(N(B1742)=0,"Date de commande manquante",IF(C1742="","Fournisseur manquant",IF(ISNA(MATCH($C1742,sup_code,0)),"Fournisseur inconnu",IF(E1742="","Article manquant",IF(ISNA(MATCH($E1742,art_ref,0)),"Article inconnu",IF(N(H1742)&lt;=0,"Quantité invalide",IF(J1742="","Prix manquant",IF(OR(N(K1742)&lt;0,N(K1742)&gt;=1),"Remise invalide",IF(M1742="","TVA manquante",IF(ISNA(MATCH(M1742,p_tva,0)),"Taux de TVA inconnu",IF(COUNTIFS(po_num,A1742,po_sup,"&lt;&gt;"&amp;C1742)&gt;0,"Fournisseur différent sur ce bon",IF(COUNTIFS(po_num,A1742,po_date,"&lt;&gt;"&amp;B1742)&gt;0,"Date différente sur ce bon",IF(COUNTIF(po_num,A1742)&gt;25,"Plus de 25 lignes sur ce bon",IF(R1742="","Date de livraison manquante",IF(R1742&lt;B1742,"Livraison avant la commande",IF(AND(N(T1742)&gt;0,N(S1742)=0),"Date d'envoi manquante",IF(N(T1742)&gt;N(H1742),"Reçu plus que commandé",IF(AND(N(T1742)&gt;0,N(U1742)=0),"Date de réception manquante",IF(AND(N(U1742)&gt;0,U1742&lt;B1742),"Réception avant la commande","OK")))))))))))))))))))))</f>
        <v/>
      </c>
      <c r="AA1742" s="66" t="str">
        <f>IF(AND(X1742="Reçu",ISNUMBER(R1742)),IF(N(U1742)&lt;=R1742,1,0),"")</f>
        <v/>
      </c>
      <c r="AB1742" s="76" t="str">
        <f>IF(OR(X1742="Envoyé",X1742="Partiel",X1742="En retard"),IF(ISNUMBER(R1742),R1742,100000)+ROW()/100000,"")</f>
        <v/>
      </c>
      <c r="AC1742" s="66" t="str">
        <f>IF(A1742="","",IF(COUNTIF($A$6:A1742,A1742)=1,1,""))</f>
        <v/>
      </c>
      <c r="AD1742" s="66" t="str">
        <f>IF(AC1742=1,COUNT($AC$6:AC1742),"")</f>
        <v/>
      </c>
      <c r="AE1742" s="66" t="str">
        <f>IFERROR(INDEX(po_num,MATCH(1737,po_seq,0))&amp;"","")</f>
        <v/>
      </c>
      <c r="AF1742" s="66" t="str">
        <f>IF(OR(A1742="",p_po=""),"",IF(A1742&amp;""=p_po,COUNTIF($A$6:A1742,A1742),""))</f>
        <v/>
      </c>
      <c r="AG1742" s="66" t="str">
        <f>IF(OR(AB1742="",A1742=""),"",IF(COUNTIFS($A$6:A1742,A1742,$AB$6:AB1742,"&gt;0")=1,1,""))</f>
        <v/>
      </c>
      <c r="AH1742" s="70" t="str">
        <f>IF(AB1742="","",ROUND(N(W1742)*N(J1742)*(1-N(K1742)),2))</f>
        <v/>
      </c>
      <c r="AI1742" s="70" t="str">
        <f>IF(OR(J1742="",N(T1742)&lt;=0,V1742="Oui"),"",ROUND(N(T1742)*J1742*(1-N(K1742)),2))</f>
        <v/>
      </c>
    </row>
    <row r="1743">
      <c r="A1743" s="63" t="n"/>
      <c r="B1743" s="64" t="n"/>
      <c r="C1743" s="65" t="n"/>
      <c r="D1743" s="66" t="str">
        <f>IF(C1743="","",IFERROR(INDEX(sup_name,MATCH($C1743,sup_code,0))&amp;"","Fournisseur inconnu"))</f>
        <v/>
      </c>
      <c r="E1743" s="63" t="n"/>
      <c r="F1743" s="66" t="str">
        <f>IF(E1743="","",IFERROR(INDEX(art_des,MATCH($E1743,art_ref,0))&amp;"","Article inconnu"))</f>
        <v/>
      </c>
      <c r="G1743" s="67" t="str">
        <f>IF(E1743="","",IFERROR(INDEX(art_unit,MATCH($E1743,art_ref,0))&amp;"",""))</f>
        <v/>
      </c>
      <c r="H1743" s="68" t="n"/>
      <c r="I1743" s="69" t="n"/>
      <c r="J1743" s="70" t="str">
        <f>IF(E1743="","",IF(ISNUMBER(I1743),I1743,IFERROR(IF(ISNUMBER(INDEX(art_price,MATCH($E1743,art_ref,0))),INDEX(art_price,MATCH($E1743,art_ref,0)),""),"")))</f>
        <v/>
      </c>
      <c r="K1743" s="71" t="n"/>
      <c r="L1743" s="72" t="n"/>
      <c r="M1743" s="72" t="str">
        <f>IF(E1743="","",IF(L1743&lt;&gt;"",L1743,IFERROR(IF(ISNUMBER(INDEX(art_tva,MATCH($E1743,art_ref,0))),INDEX(art_tva,MATCH($E1743,art_ref,0)),""),"")))</f>
        <v/>
      </c>
      <c r="N1743" s="70" t="str">
        <f>IF(OR(E1743="",J1743=""),"",ROUND(N(H1743)*J1743*(1-N(K1743)),2))</f>
        <v/>
      </c>
      <c r="O1743" s="70" t="str">
        <f>IF(OR(N1743="",NOT(ISNUMBER(M1743))),"",ROUND(N1743*M1743,2))</f>
        <v/>
      </c>
      <c r="P1743" s="70" t="str">
        <f>IF(N1743="","",N1743+N(O1743))</f>
        <v/>
      </c>
      <c r="Q1743" s="64" t="n"/>
      <c r="R1743" s="73" t="str">
        <f>IF(N(Q1743)&gt;0,Q1743,IF(OR(N(B1743)=0,ISNA(MATCH($C1743,sup_code,0))),"",IF(ISNUMBER(INDEX(sup_delay,MATCH($C1743,sup_code,0))),B1743+INDEX(sup_delay,MATCH($C1743,sup_code,0)),"")))</f>
        <v/>
      </c>
      <c r="S1743" s="64" t="n"/>
      <c r="T1743" s="68" t="n"/>
      <c r="U1743" s="64" t="n"/>
      <c r="V1743" s="65" t="n"/>
      <c r="W1743" s="74" t="str">
        <f>IF(AND(A1743="",E1743=""),"",IF(V1743="Oui",0,MAX(0,ROUND(N(H1743)-N(T1743),6))))</f>
        <v/>
      </c>
      <c r="X1743" s="67" t="str">
        <f>IF(AND(A1743="",E1743=""),"",IF(V1743="Oui","Annulé",IF(AND(N(H1743)&gt;0,N(T1743)&gt;=N(H1743)),"Reçu",IF(N(S1743)=0,"Brouillon",IF(AND(ISNUMBER(R1743),R1743&lt;p_today),"En retard",IF(N(T1743)&gt;0,"Partiel","Envoyé"))))))</f>
        <v/>
      </c>
      <c r="Y1743" s="75" t="str">
        <f>IF(X1743="En retard",p_today-R1743,IF(AND(X1743="Reçu",ISNUMBER(R1743)),MAX(0,N(U1743)-R1743),""))</f>
        <v/>
      </c>
      <c r="Z1743" s="67" t="str">
        <f>IF(AND(A1743="",E1743=""),"",IF(A1743="","N° de bon manquant",IF(N(B1743)=0,"Date de commande manquante",IF(C1743="","Fournisseur manquant",IF(ISNA(MATCH($C1743,sup_code,0)),"Fournisseur inconnu",IF(E1743="","Article manquant",IF(ISNA(MATCH($E1743,art_ref,0)),"Article inconnu",IF(N(H1743)&lt;=0,"Quantité invalide",IF(J1743="","Prix manquant",IF(OR(N(K1743)&lt;0,N(K1743)&gt;=1),"Remise invalide",IF(M1743="","TVA manquante",IF(ISNA(MATCH(M1743,p_tva,0)),"Taux de TVA inconnu",IF(COUNTIFS(po_num,A1743,po_sup,"&lt;&gt;"&amp;C1743)&gt;0,"Fournisseur différent sur ce bon",IF(COUNTIFS(po_num,A1743,po_date,"&lt;&gt;"&amp;B1743)&gt;0,"Date différente sur ce bon",IF(COUNTIF(po_num,A1743)&gt;25,"Plus de 25 lignes sur ce bon",IF(R1743="","Date de livraison manquante",IF(R1743&lt;B1743,"Livraison avant la commande",IF(AND(N(T1743)&gt;0,N(S1743)=0),"Date d'envoi manquante",IF(N(T1743)&gt;N(H1743),"Reçu plus que commandé",IF(AND(N(T1743)&gt;0,N(U1743)=0),"Date de réception manquante",IF(AND(N(U1743)&gt;0,U1743&lt;B1743),"Réception avant la commande","OK")))))))))))))))))))))</f>
        <v/>
      </c>
      <c r="AA1743" s="66" t="str">
        <f>IF(AND(X1743="Reçu",ISNUMBER(R1743)),IF(N(U1743)&lt;=R1743,1,0),"")</f>
        <v/>
      </c>
      <c r="AB1743" s="76" t="str">
        <f>IF(OR(X1743="Envoyé",X1743="Partiel",X1743="En retard"),IF(ISNUMBER(R1743),R1743,100000)+ROW()/100000,"")</f>
        <v/>
      </c>
      <c r="AC1743" s="66" t="str">
        <f>IF(A1743="","",IF(COUNTIF($A$6:A1743,A1743)=1,1,""))</f>
        <v/>
      </c>
      <c r="AD1743" s="66" t="str">
        <f>IF(AC1743=1,COUNT($AC$6:AC1743),"")</f>
        <v/>
      </c>
      <c r="AE1743" s="66" t="str">
        <f>IFERROR(INDEX(po_num,MATCH(1738,po_seq,0))&amp;"","")</f>
        <v/>
      </c>
      <c r="AF1743" s="66" t="str">
        <f>IF(OR(A1743="",p_po=""),"",IF(A1743&amp;""=p_po,COUNTIF($A$6:A1743,A1743),""))</f>
        <v/>
      </c>
      <c r="AG1743" s="66" t="str">
        <f>IF(OR(AB1743="",A1743=""),"",IF(COUNTIFS($A$6:A1743,A1743,$AB$6:AB1743,"&gt;0")=1,1,""))</f>
        <v/>
      </c>
      <c r="AH1743" s="70" t="str">
        <f>IF(AB1743="","",ROUND(N(W1743)*N(J1743)*(1-N(K1743)),2))</f>
        <v/>
      </c>
      <c r="AI1743" s="70" t="str">
        <f>IF(OR(J1743="",N(T1743)&lt;=0,V1743="Oui"),"",ROUND(N(T1743)*J1743*(1-N(K1743)),2))</f>
        <v/>
      </c>
    </row>
    <row r="1744">
      <c r="A1744" s="63" t="n"/>
      <c r="B1744" s="64" t="n"/>
      <c r="C1744" s="65" t="n"/>
      <c r="D1744" s="66" t="str">
        <f>IF(C1744="","",IFERROR(INDEX(sup_name,MATCH($C1744,sup_code,0))&amp;"","Fournisseur inconnu"))</f>
        <v/>
      </c>
      <c r="E1744" s="63" t="n"/>
      <c r="F1744" s="66" t="str">
        <f>IF(E1744="","",IFERROR(INDEX(art_des,MATCH($E1744,art_ref,0))&amp;"","Article inconnu"))</f>
        <v/>
      </c>
      <c r="G1744" s="67" t="str">
        <f>IF(E1744="","",IFERROR(INDEX(art_unit,MATCH($E1744,art_ref,0))&amp;"",""))</f>
        <v/>
      </c>
      <c r="H1744" s="68" t="n"/>
      <c r="I1744" s="69" t="n"/>
      <c r="J1744" s="70" t="str">
        <f>IF(E1744="","",IF(ISNUMBER(I1744),I1744,IFERROR(IF(ISNUMBER(INDEX(art_price,MATCH($E1744,art_ref,0))),INDEX(art_price,MATCH($E1744,art_ref,0)),""),"")))</f>
        <v/>
      </c>
      <c r="K1744" s="71" t="n"/>
      <c r="L1744" s="72" t="n"/>
      <c r="M1744" s="72" t="str">
        <f>IF(E1744="","",IF(L1744&lt;&gt;"",L1744,IFERROR(IF(ISNUMBER(INDEX(art_tva,MATCH($E1744,art_ref,0))),INDEX(art_tva,MATCH($E1744,art_ref,0)),""),"")))</f>
        <v/>
      </c>
      <c r="N1744" s="70" t="str">
        <f>IF(OR(E1744="",J1744=""),"",ROUND(N(H1744)*J1744*(1-N(K1744)),2))</f>
        <v/>
      </c>
      <c r="O1744" s="70" t="str">
        <f>IF(OR(N1744="",NOT(ISNUMBER(M1744))),"",ROUND(N1744*M1744,2))</f>
        <v/>
      </c>
      <c r="P1744" s="70" t="str">
        <f>IF(N1744="","",N1744+N(O1744))</f>
        <v/>
      </c>
      <c r="Q1744" s="64" t="n"/>
      <c r="R1744" s="73" t="str">
        <f>IF(N(Q1744)&gt;0,Q1744,IF(OR(N(B1744)=0,ISNA(MATCH($C1744,sup_code,0))),"",IF(ISNUMBER(INDEX(sup_delay,MATCH($C1744,sup_code,0))),B1744+INDEX(sup_delay,MATCH($C1744,sup_code,0)),"")))</f>
        <v/>
      </c>
      <c r="S1744" s="64" t="n"/>
      <c r="T1744" s="68" t="n"/>
      <c r="U1744" s="64" t="n"/>
      <c r="V1744" s="65" t="n"/>
      <c r="W1744" s="74" t="str">
        <f>IF(AND(A1744="",E1744=""),"",IF(V1744="Oui",0,MAX(0,ROUND(N(H1744)-N(T1744),6))))</f>
        <v/>
      </c>
      <c r="X1744" s="67" t="str">
        <f>IF(AND(A1744="",E1744=""),"",IF(V1744="Oui","Annulé",IF(AND(N(H1744)&gt;0,N(T1744)&gt;=N(H1744)),"Reçu",IF(N(S1744)=0,"Brouillon",IF(AND(ISNUMBER(R1744),R1744&lt;p_today),"En retard",IF(N(T1744)&gt;0,"Partiel","Envoyé"))))))</f>
        <v/>
      </c>
      <c r="Y1744" s="75" t="str">
        <f>IF(X1744="En retard",p_today-R1744,IF(AND(X1744="Reçu",ISNUMBER(R1744)),MAX(0,N(U1744)-R1744),""))</f>
        <v/>
      </c>
      <c r="Z1744" s="67" t="str">
        <f>IF(AND(A1744="",E1744=""),"",IF(A1744="","N° de bon manquant",IF(N(B1744)=0,"Date de commande manquante",IF(C1744="","Fournisseur manquant",IF(ISNA(MATCH($C1744,sup_code,0)),"Fournisseur inconnu",IF(E1744="","Article manquant",IF(ISNA(MATCH($E1744,art_ref,0)),"Article inconnu",IF(N(H1744)&lt;=0,"Quantité invalide",IF(J1744="","Prix manquant",IF(OR(N(K1744)&lt;0,N(K1744)&gt;=1),"Remise invalide",IF(M1744="","TVA manquante",IF(ISNA(MATCH(M1744,p_tva,0)),"Taux de TVA inconnu",IF(COUNTIFS(po_num,A1744,po_sup,"&lt;&gt;"&amp;C1744)&gt;0,"Fournisseur différent sur ce bon",IF(COUNTIFS(po_num,A1744,po_date,"&lt;&gt;"&amp;B1744)&gt;0,"Date différente sur ce bon",IF(COUNTIF(po_num,A1744)&gt;25,"Plus de 25 lignes sur ce bon",IF(R1744="","Date de livraison manquante",IF(R1744&lt;B1744,"Livraison avant la commande",IF(AND(N(T1744)&gt;0,N(S1744)=0),"Date d'envoi manquante",IF(N(T1744)&gt;N(H1744),"Reçu plus que commandé",IF(AND(N(T1744)&gt;0,N(U1744)=0),"Date de réception manquante",IF(AND(N(U1744)&gt;0,U1744&lt;B1744),"Réception avant la commande","OK")))))))))))))))))))))</f>
        <v/>
      </c>
      <c r="AA1744" s="66" t="str">
        <f>IF(AND(X1744="Reçu",ISNUMBER(R1744)),IF(N(U1744)&lt;=R1744,1,0),"")</f>
        <v/>
      </c>
      <c r="AB1744" s="76" t="str">
        <f>IF(OR(X1744="Envoyé",X1744="Partiel",X1744="En retard"),IF(ISNUMBER(R1744),R1744,100000)+ROW()/100000,"")</f>
        <v/>
      </c>
      <c r="AC1744" s="66" t="str">
        <f>IF(A1744="","",IF(COUNTIF($A$6:A1744,A1744)=1,1,""))</f>
        <v/>
      </c>
      <c r="AD1744" s="66" t="str">
        <f>IF(AC1744=1,COUNT($AC$6:AC1744),"")</f>
        <v/>
      </c>
      <c r="AE1744" s="66" t="str">
        <f>IFERROR(INDEX(po_num,MATCH(1739,po_seq,0))&amp;"","")</f>
        <v/>
      </c>
      <c r="AF1744" s="66" t="str">
        <f>IF(OR(A1744="",p_po=""),"",IF(A1744&amp;""=p_po,COUNTIF($A$6:A1744,A1744),""))</f>
        <v/>
      </c>
      <c r="AG1744" s="66" t="str">
        <f>IF(OR(AB1744="",A1744=""),"",IF(COUNTIFS($A$6:A1744,A1744,$AB$6:AB1744,"&gt;0")=1,1,""))</f>
        <v/>
      </c>
      <c r="AH1744" s="70" t="str">
        <f>IF(AB1744="","",ROUND(N(W1744)*N(J1744)*(1-N(K1744)),2))</f>
        <v/>
      </c>
      <c r="AI1744" s="70" t="str">
        <f>IF(OR(J1744="",N(T1744)&lt;=0,V1744="Oui"),"",ROUND(N(T1744)*J1744*(1-N(K1744)),2))</f>
        <v/>
      </c>
    </row>
    <row r="1745">
      <c r="A1745" s="63" t="n"/>
      <c r="B1745" s="64" t="n"/>
      <c r="C1745" s="65" t="n"/>
      <c r="D1745" s="66" t="str">
        <f>IF(C1745="","",IFERROR(INDEX(sup_name,MATCH($C1745,sup_code,0))&amp;"","Fournisseur inconnu"))</f>
        <v/>
      </c>
      <c r="E1745" s="63" t="n"/>
      <c r="F1745" s="66" t="str">
        <f>IF(E1745="","",IFERROR(INDEX(art_des,MATCH($E1745,art_ref,0))&amp;"","Article inconnu"))</f>
        <v/>
      </c>
      <c r="G1745" s="67" t="str">
        <f>IF(E1745="","",IFERROR(INDEX(art_unit,MATCH($E1745,art_ref,0))&amp;"",""))</f>
        <v/>
      </c>
      <c r="H1745" s="68" t="n"/>
      <c r="I1745" s="69" t="n"/>
      <c r="J1745" s="70" t="str">
        <f>IF(E1745="","",IF(ISNUMBER(I1745),I1745,IFERROR(IF(ISNUMBER(INDEX(art_price,MATCH($E1745,art_ref,0))),INDEX(art_price,MATCH($E1745,art_ref,0)),""),"")))</f>
        <v/>
      </c>
      <c r="K1745" s="71" t="n"/>
      <c r="L1745" s="72" t="n"/>
      <c r="M1745" s="72" t="str">
        <f>IF(E1745="","",IF(L1745&lt;&gt;"",L1745,IFERROR(IF(ISNUMBER(INDEX(art_tva,MATCH($E1745,art_ref,0))),INDEX(art_tva,MATCH($E1745,art_ref,0)),""),"")))</f>
        <v/>
      </c>
      <c r="N1745" s="70" t="str">
        <f>IF(OR(E1745="",J1745=""),"",ROUND(N(H1745)*J1745*(1-N(K1745)),2))</f>
        <v/>
      </c>
      <c r="O1745" s="70" t="str">
        <f>IF(OR(N1745="",NOT(ISNUMBER(M1745))),"",ROUND(N1745*M1745,2))</f>
        <v/>
      </c>
      <c r="P1745" s="70" t="str">
        <f>IF(N1745="","",N1745+N(O1745))</f>
        <v/>
      </c>
      <c r="Q1745" s="64" t="n"/>
      <c r="R1745" s="73" t="str">
        <f>IF(N(Q1745)&gt;0,Q1745,IF(OR(N(B1745)=0,ISNA(MATCH($C1745,sup_code,0))),"",IF(ISNUMBER(INDEX(sup_delay,MATCH($C1745,sup_code,0))),B1745+INDEX(sup_delay,MATCH($C1745,sup_code,0)),"")))</f>
        <v/>
      </c>
      <c r="S1745" s="64" t="n"/>
      <c r="T1745" s="68" t="n"/>
      <c r="U1745" s="64" t="n"/>
      <c r="V1745" s="65" t="n"/>
      <c r="W1745" s="74" t="str">
        <f>IF(AND(A1745="",E1745=""),"",IF(V1745="Oui",0,MAX(0,ROUND(N(H1745)-N(T1745),6))))</f>
        <v/>
      </c>
      <c r="X1745" s="67" t="str">
        <f>IF(AND(A1745="",E1745=""),"",IF(V1745="Oui","Annulé",IF(AND(N(H1745)&gt;0,N(T1745)&gt;=N(H1745)),"Reçu",IF(N(S1745)=0,"Brouillon",IF(AND(ISNUMBER(R1745),R1745&lt;p_today),"En retard",IF(N(T1745)&gt;0,"Partiel","Envoyé"))))))</f>
        <v/>
      </c>
      <c r="Y1745" s="75" t="str">
        <f>IF(X1745="En retard",p_today-R1745,IF(AND(X1745="Reçu",ISNUMBER(R1745)),MAX(0,N(U1745)-R1745),""))</f>
        <v/>
      </c>
      <c r="Z1745" s="67" t="str">
        <f>IF(AND(A1745="",E1745=""),"",IF(A1745="","N° de bon manquant",IF(N(B1745)=0,"Date de commande manquante",IF(C1745="","Fournisseur manquant",IF(ISNA(MATCH($C1745,sup_code,0)),"Fournisseur inconnu",IF(E1745="","Article manquant",IF(ISNA(MATCH($E1745,art_ref,0)),"Article inconnu",IF(N(H1745)&lt;=0,"Quantité invalide",IF(J1745="","Prix manquant",IF(OR(N(K1745)&lt;0,N(K1745)&gt;=1),"Remise invalide",IF(M1745="","TVA manquante",IF(ISNA(MATCH(M1745,p_tva,0)),"Taux de TVA inconnu",IF(COUNTIFS(po_num,A1745,po_sup,"&lt;&gt;"&amp;C1745)&gt;0,"Fournisseur différent sur ce bon",IF(COUNTIFS(po_num,A1745,po_date,"&lt;&gt;"&amp;B1745)&gt;0,"Date différente sur ce bon",IF(COUNTIF(po_num,A1745)&gt;25,"Plus de 25 lignes sur ce bon",IF(R1745="","Date de livraison manquante",IF(R1745&lt;B1745,"Livraison avant la commande",IF(AND(N(T1745)&gt;0,N(S1745)=0),"Date d'envoi manquante",IF(N(T1745)&gt;N(H1745),"Reçu plus que commandé",IF(AND(N(T1745)&gt;0,N(U1745)=0),"Date de réception manquante",IF(AND(N(U1745)&gt;0,U1745&lt;B1745),"Réception avant la commande","OK")))))))))))))))))))))</f>
        <v/>
      </c>
      <c r="AA1745" s="66" t="str">
        <f>IF(AND(X1745="Reçu",ISNUMBER(R1745)),IF(N(U1745)&lt;=R1745,1,0),"")</f>
        <v/>
      </c>
      <c r="AB1745" s="76" t="str">
        <f>IF(OR(X1745="Envoyé",X1745="Partiel",X1745="En retard"),IF(ISNUMBER(R1745),R1745,100000)+ROW()/100000,"")</f>
        <v/>
      </c>
      <c r="AC1745" s="66" t="str">
        <f>IF(A1745="","",IF(COUNTIF($A$6:A1745,A1745)=1,1,""))</f>
        <v/>
      </c>
      <c r="AD1745" s="66" t="str">
        <f>IF(AC1745=1,COUNT($AC$6:AC1745),"")</f>
        <v/>
      </c>
      <c r="AE1745" s="66" t="str">
        <f>IFERROR(INDEX(po_num,MATCH(1740,po_seq,0))&amp;"","")</f>
        <v/>
      </c>
      <c r="AF1745" s="66" t="str">
        <f>IF(OR(A1745="",p_po=""),"",IF(A1745&amp;""=p_po,COUNTIF($A$6:A1745,A1745),""))</f>
        <v/>
      </c>
      <c r="AG1745" s="66" t="str">
        <f>IF(OR(AB1745="",A1745=""),"",IF(COUNTIFS($A$6:A1745,A1745,$AB$6:AB1745,"&gt;0")=1,1,""))</f>
        <v/>
      </c>
      <c r="AH1745" s="70" t="str">
        <f>IF(AB1745="","",ROUND(N(W1745)*N(J1745)*(1-N(K1745)),2))</f>
        <v/>
      </c>
      <c r="AI1745" s="70" t="str">
        <f>IF(OR(J1745="",N(T1745)&lt;=0,V1745="Oui"),"",ROUND(N(T1745)*J1745*(1-N(K1745)),2))</f>
        <v/>
      </c>
    </row>
    <row r="1746">
      <c r="A1746" s="63" t="n"/>
      <c r="B1746" s="64" t="n"/>
      <c r="C1746" s="65" t="n"/>
      <c r="D1746" s="66" t="str">
        <f>IF(C1746="","",IFERROR(INDEX(sup_name,MATCH($C1746,sup_code,0))&amp;"","Fournisseur inconnu"))</f>
        <v/>
      </c>
      <c r="E1746" s="63" t="n"/>
      <c r="F1746" s="66" t="str">
        <f>IF(E1746="","",IFERROR(INDEX(art_des,MATCH($E1746,art_ref,0))&amp;"","Article inconnu"))</f>
        <v/>
      </c>
      <c r="G1746" s="67" t="str">
        <f>IF(E1746="","",IFERROR(INDEX(art_unit,MATCH($E1746,art_ref,0))&amp;"",""))</f>
        <v/>
      </c>
      <c r="H1746" s="68" t="n"/>
      <c r="I1746" s="69" t="n"/>
      <c r="J1746" s="70" t="str">
        <f>IF(E1746="","",IF(ISNUMBER(I1746),I1746,IFERROR(IF(ISNUMBER(INDEX(art_price,MATCH($E1746,art_ref,0))),INDEX(art_price,MATCH($E1746,art_ref,0)),""),"")))</f>
        <v/>
      </c>
      <c r="K1746" s="71" t="n"/>
      <c r="L1746" s="72" t="n"/>
      <c r="M1746" s="72" t="str">
        <f>IF(E1746="","",IF(L1746&lt;&gt;"",L1746,IFERROR(IF(ISNUMBER(INDEX(art_tva,MATCH($E1746,art_ref,0))),INDEX(art_tva,MATCH($E1746,art_ref,0)),""),"")))</f>
        <v/>
      </c>
      <c r="N1746" s="70" t="str">
        <f>IF(OR(E1746="",J1746=""),"",ROUND(N(H1746)*J1746*(1-N(K1746)),2))</f>
        <v/>
      </c>
      <c r="O1746" s="70" t="str">
        <f>IF(OR(N1746="",NOT(ISNUMBER(M1746))),"",ROUND(N1746*M1746,2))</f>
        <v/>
      </c>
      <c r="P1746" s="70" t="str">
        <f>IF(N1746="","",N1746+N(O1746))</f>
        <v/>
      </c>
      <c r="Q1746" s="64" t="n"/>
      <c r="R1746" s="73" t="str">
        <f>IF(N(Q1746)&gt;0,Q1746,IF(OR(N(B1746)=0,ISNA(MATCH($C1746,sup_code,0))),"",IF(ISNUMBER(INDEX(sup_delay,MATCH($C1746,sup_code,0))),B1746+INDEX(sup_delay,MATCH($C1746,sup_code,0)),"")))</f>
        <v/>
      </c>
      <c r="S1746" s="64" t="n"/>
      <c r="T1746" s="68" t="n"/>
      <c r="U1746" s="64" t="n"/>
      <c r="V1746" s="65" t="n"/>
      <c r="W1746" s="74" t="str">
        <f>IF(AND(A1746="",E1746=""),"",IF(V1746="Oui",0,MAX(0,ROUND(N(H1746)-N(T1746),6))))</f>
        <v/>
      </c>
      <c r="X1746" s="67" t="str">
        <f>IF(AND(A1746="",E1746=""),"",IF(V1746="Oui","Annulé",IF(AND(N(H1746)&gt;0,N(T1746)&gt;=N(H1746)),"Reçu",IF(N(S1746)=0,"Brouillon",IF(AND(ISNUMBER(R1746),R1746&lt;p_today),"En retard",IF(N(T1746)&gt;0,"Partiel","Envoyé"))))))</f>
        <v/>
      </c>
      <c r="Y1746" s="75" t="str">
        <f>IF(X1746="En retard",p_today-R1746,IF(AND(X1746="Reçu",ISNUMBER(R1746)),MAX(0,N(U1746)-R1746),""))</f>
        <v/>
      </c>
      <c r="Z1746" s="67" t="str">
        <f>IF(AND(A1746="",E1746=""),"",IF(A1746="","N° de bon manquant",IF(N(B1746)=0,"Date de commande manquante",IF(C1746="","Fournisseur manquant",IF(ISNA(MATCH($C1746,sup_code,0)),"Fournisseur inconnu",IF(E1746="","Article manquant",IF(ISNA(MATCH($E1746,art_ref,0)),"Article inconnu",IF(N(H1746)&lt;=0,"Quantité invalide",IF(J1746="","Prix manquant",IF(OR(N(K1746)&lt;0,N(K1746)&gt;=1),"Remise invalide",IF(M1746="","TVA manquante",IF(ISNA(MATCH(M1746,p_tva,0)),"Taux de TVA inconnu",IF(COUNTIFS(po_num,A1746,po_sup,"&lt;&gt;"&amp;C1746)&gt;0,"Fournisseur différent sur ce bon",IF(COUNTIFS(po_num,A1746,po_date,"&lt;&gt;"&amp;B1746)&gt;0,"Date différente sur ce bon",IF(COUNTIF(po_num,A1746)&gt;25,"Plus de 25 lignes sur ce bon",IF(R1746="","Date de livraison manquante",IF(R1746&lt;B1746,"Livraison avant la commande",IF(AND(N(T1746)&gt;0,N(S1746)=0),"Date d'envoi manquante",IF(N(T1746)&gt;N(H1746),"Reçu plus que commandé",IF(AND(N(T1746)&gt;0,N(U1746)=0),"Date de réception manquante",IF(AND(N(U1746)&gt;0,U1746&lt;B1746),"Réception avant la commande","OK")))))))))))))))))))))</f>
        <v/>
      </c>
      <c r="AA1746" s="66" t="str">
        <f>IF(AND(X1746="Reçu",ISNUMBER(R1746)),IF(N(U1746)&lt;=R1746,1,0),"")</f>
        <v/>
      </c>
      <c r="AB1746" s="76" t="str">
        <f>IF(OR(X1746="Envoyé",X1746="Partiel",X1746="En retard"),IF(ISNUMBER(R1746),R1746,100000)+ROW()/100000,"")</f>
        <v/>
      </c>
      <c r="AC1746" s="66" t="str">
        <f>IF(A1746="","",IF(COUNTIF($A$6:A1746,A1746)=1,1,""))</f>
        <v/>
      </c>
      <c r="AD1746" s="66" t="str">
        <f>IF(AC1746=1,COUNT($AC$6:AC1746),"")</f>
        <v/>
      </c>
      <c r="AE1746" s="66" t="str">
        <f>IFERROR(INDEX(po_num,MATCH(1741,po_seq,0))&amp;"","")</f>
        <v/>
      </c>
      <c r="AF1746" s="66" t="str">
        <f>IF(OR(A1746="",p_po=""),"",IF(A1746&amp;""=p_po,COUNTIF($A$6:A1746,A1746),""))</f>
        <v/>
      </c>
      <c r="AG1746" s="66" t="str">
        <f>IF(OR(AB1746="",A1746=""),"",IF(COUNTIFS($A$6:A1746,A1746,$AB$6:AB1746,"&gt;0")=1,1,""))</f>
        <v/>
      </c>
      <c r="AH1746" s="70" t="str">
        <f>IF(AB1746="","",ROUND(N(W1746)*N(J1746)*(1-N(K1746)),2))</f>
        <v/>
      </c>
      <c r="AI1746" s="70" t="str">
        <f>IF(OR(J1746="",N(T1746)&lt;=0,V1746="Oui"),"",ROUND(N(T1746)*J1746*(1-N(K1746)),2))</f>
        <v/>
      </c>
    </row>
    <row r="1747">
      <c r="A1747" s="63" t="n"/>
      <c r="B1747" s="64" t="n"/>
      <c r="C1747" s="65" t="n"/>
      <c r="D1747" s="66" t="str">
        <f>IF(C1747="","",IFERROR(INDEX(sup_name,MATCH($C1747,sup_code,0))&amp;"","Fournisseur inconnu"))</f>
        <v/>
      </c>
      <c r="E1747" s="63" t="n"/>
      <c r="F1747" s="66" t="str">
        <f>IF(E1747="","",IFERROR(INDEX(art_des,MATCH($E1747,art_ref,0))&amp;"","Article inconnu"))</f>
        <v/>
      </c>
      <c r="G1747" s="67" t="str">
        <f>IF(E1747="","",IFERROR(INDEX(art_unit,MATCH($E1747,art_ref,0))&amp;"",""))</f>
        <v/>
      </c>
      <c r="H1747" s="68" t="n"/>
      <c r="I1747" s="69" t="n"/>
      <c r="J1747" s="70" t="str">
        <f>IF(E1747="","",IF(ISNUMBER(I1747),I1747,IFERROR(IF(ISNUMBER(INDEX(art_price,MATCH($E1747,art_ref,0))),INDEX(art_price,MATCH($E1747,art_ref,0)),""),"")))</f>
        <v/>
      </c>
      <c r="K1747" s="71" t="n"/>
      <c r="L1747" s="72" t="n"/>
      <c r="M1747" s="72" t="str">
        <f>IF(E1747="","",IF(L1747&lt;&gt;"",L1747,IFERROR(IF(ISNUMBER(INDEX(art_tva,MATCH($E1747,art_ref,0))),INDEX(art_tva,MATCH($E1747,art_ref,0)),""),"")))</f>
        <v/>
      </c>
      <c r="N1747" s="70" t="str">
        <f>IF(OR(E1747="",J1747=""),"",ROUND(N(H1747)*J1747*(1-N(K1747)),2))</f>
        <v/>
      </c>
      <c r="O1747" s="70" t="str">
        <f>IF(OR(N1747="",NOT(ISNUMBER(M1747))),"",ROUND(N1747*M1747,2))</f>
        <v/>
      </c>
      <c r="P1747" s="70" t="str">
        <f>IF(N1747="","",N1747+N(O1747))</f>
        <v/>
      </c>
      <c r="Q1747" s="64" t="n"/>
      <c r="R1747" s="73" t="str">
        <f>IF(N(Q1747)&gt;0,Q1747,IF(OR(N(B1747)=0,ISNA(MATCH($C1747,sup_code,0))),"",IF(ISNUMBER(INDEX(sup_delay,MATCH($C1747,sup_code,0))),B1747+INDEX(sup_delay,MATCH($C1747,sup_code,0)),"")))</f>
        <v/>
      </c>
      <c r="S1747" s="64" t="n"/>
      <c r="T1747" s="68" t="n"/>
      <c r="U1747" s="64" t="n"/>
      <c r="V1747" s="65" t="n"/>
      <c r="W1747" s="74" t="str">
        <f>IF(AND(A1747="",E1747=""),"",IF(V1747="Oui",0,MAX(0,ROUND(N(H1747)-N(T1747),6))))</f>
        <v/>
      </c>
      <c r="X1747" s="67" t="str">
        <f>IF(AND(A1747="",E1747=""),"",IF(V1747="Oui","Annulé",IF(AND(N(H1747)&gt;0,N(T1747)&gt;=N(H1747)),"Reçu",IF(N(S1747)=0,"Brouillon",IF(AND(ISNUMBER(R1747),R1747&lt;p_today),"En retard",IF(N(T1747)&gt;0,"Partiel","Envoyé"))))))</f>
        <v/>
      </c>
      <c r="Y1747" s="75" t="str">
        <f>IF(X1747="En retard",p_today-R1747,IF(AND(X1747="Reçu",ISNUMBER(R1747)),MAX(0,N(U1747)-R1747),""))</f>
        <v/>
      </c>
      <c r="Z1747" s="67" t="str">
        <f>IF(AND(A1747="",E1747=""),"",IF(A1747="","N° de bon manquant",IF(N(B1747)=0,"Date de commande manquante",IF(C1747="","Fournisseur manquant",IF(ISNA(MATCH($C1747,sup_code,0)),"Fournisseur inconnu",IF(E1747="","Article manquant",IF(ISNA(MATCH($E1747,art_ref,0)),"Article inconnu",IF(N(H1747)&lt;=0,"Quantité invalide",IF(J1747="","Prix manquant",IF(OR(N(K1747)&lt;0,N(K1747)&gt;=1),"Remise invalide",IF(M1747="","TVA manquante",IF(ISNA(MATCH(M1747,p_tva,0)),"Taux de TVA inconnu",IF(COUNTIFS(po_num,A1747,po_sup,"&lt;&gt;"&amp;C1747)&gt;0,"Fournisseur différent sur ce bon",IF(COUNTIFS(po_num,A1747,po_date,"&lt;&gt;"&amp;B1747)&gt;0,"Date différente sur ce bon",IF(COUNTIF(po_num,A1747)&gt;25,"Plus de 25 lignes sur ce bon",IF(R1747="","Date de livraison manquante",IF(R1747&lt;B1747,"Livraison avant la commande",IF(AND(N(T1747)&gt;0,N(S1747)=0),"Date d'envoi manquante",IF(N(T1747)&gt;N(H1747),"Reçu plus que commandé",IF(AND(N(T1747)&gt;0,N(U1747)=0),"Date de réception manquante",IF(AND(N(U1747)&gt;0,U1747&lt;B1747),"Réception avant la commande","OK")))))))))))))))))))))</f>
        <v/>
      </c>
      <c r="AA1747" s="66" t="str">
        <f>IF(AND(X1747="Reçu",ISNUMBER(R1747)),IF(N(U1747)&lt;=R1747,1,0),"")</f>
        <v/>
      </c>
      <c r="AB1747" s="76" t="str">
        <f>IF(OR(X1747="Envoyé",X1747="Partiel",X1747="En retard"),IF(ISNUMBER(R1747),R1747,100000)+ROW()/100000,"")</f>
        <v/>
      </c>
      <c r="AC1747" s="66" t="str">
        <f>IF(A1747="","",IF(COUNTIF($A$6:A1747,A1747)=1,1,""))</f>
        <v/>
      </c>
      <c r="AD1747" s="66" t="str">
        <f>IF(AC1747=1,COUNT($AC$6:AC1747),"")</f>
        <v/>
      </c>
      <c r="AE1747" s="66" t="str">
        <f>IFERROR(INDEX(po_num,MATCH(1742,po_seq,0))&amp;"","")</f>
        <v/>
      </c>
      <c r="AF1747" s="66" t="str">
        <f>IF(OR(A1747="",p_po=""),"",IF(A1747&amp;""=p_po,COUNTIF($A$6:A1747,A1747),""))</f>
        <v/>
      </c>
      <c r="AG1747" s="66" t="str">
        <f>IF(OR(AB1747="",A1747=""),"",IF(COUNTIFS($A$6:A1747,A1747,$AB$6:AB1747,"&gt;0")=1,1,""))</f>
        <v/>
      </c>
      <c r="AH1747" s="70" t="str">
        <f>IF(AB1747="","",ROUND(N(W1747)*N(J1747)*(1-N(K1747)),2))</f>
        <v/>
      </c>
      <c r="AI1747" s="70" t="str">
        <f>IF(OR(J1747="",N(T1747)&lt;=0,V1747="Oui"),"",ROUND(N(T1747)*J1747*(1-N(K1747)),2))</f>
        <v/>
      </c>
    </row>
    <row r="1748">
      <c r="A1748" s="63" t="n"/>
      <c r="B1748" s="64" t="n"/>
      <c r="C1748" s="65" t="n"/>
      <c r="D1748" s="66" t="str">
        <f>IF(C1748="","",IFERROR(INDEX(sup_name,MATCH($C1748,sup_code,0))&amp;"","Fournisseur inconnu"))</f>
        <v/>
      </c>
      <c r="E1748" s="63" t="n"/>
      <c r="F1748" s="66" t="str">
        <f>IF(E1748="","",IFERROR(INDEX(art_des,MATCH($E1748,art_ref,0))&amp;"","Article inconnu"))</f>
        <v/>
      </c>
      <c r="G1748" s="67" t="str">
        <f>IF(E1748="","",IFERROR(INDEX(art_unit,MATCH($E1748,art_ref,0))&amp;"",""))</f>
        <v/>
      </c>
      <c r="H1748" s="68" t="n"/>
      <c r="I1748" s="69" t="n"/>
      <c r="J1748" s="70" t="str">
        <f>IF(E1748="","",IF(ISNUMBER(I1748),I1748,IFERROR(IF(ISNUMBER(INDEX(art_price,MATCH($E1748,art_ref,0))),INDEX(art_price,MATCH($E1748,art_ref,0)),""),"")))</f>
        <v/>
      </c>
      <c r="K1748" s="71" t="n"/>
      <c r="L1748" s="72" t="n"/>
      <c r="M1748" s="72" t="str">
        <f>IF(E1748="","",IF(L1748&lt;&gt;"",L1748,IFERROR(IF(ISNUMBER(INDEX(art_tva,MATCH($E1748,art_ref,0))),INDEX(art_tva,MATCH($E1748,art_ref,0)),""),"")))</f>
        <v/>
      </c>
      <c r="N1748" s="70" t="str">
        <f>IF(OR(E1748="",J1748=""),"",ROUND(N(H1748)*J1748*(1-N(K1748)),2))</f>
        <v/>
      </c>
      <c r="O1748" s="70" t="str">
        <f>IF(OR(N1748="",NOT(ISNUMBER(M1748))),"",ROUND(N1748*M1748,2))</f>
        <v/>
      </c>
      <c r="P1748" s="70" t="str">
        <f>IF(N1748="","",N1748+N(O1748))</f>
        <v/>
      </c>
      <c r="Q1748" s="64" t="n"/>
      <c r="R1748" s="73" t="str">
        <f>IF(N(Q1748)&gt;0,Q1748,IF(OR(N(B1748)=0,ISNA(MATCH($C1748,sup_code,0))),"",IF(ISNUMBER(INDEX(sup_delay,MATCH($C1748,sup_code,0))),B1748+INDEX(sup_delay,MATCH($C1748,sup_code,0)),"")))</f>
        <v/>
      </c>
      <c r="S1748" s="64" t="n"/>
      <c r="T1748" s="68" t="n"/>
      <c r="U1748" s="64" t="n"/>
      <c r="V1748" s="65" t="n"/>
      <c r="W1748" s="74" t="str">
        <f>IF(AND(A1748="",E1748=""),"",IF(V1748="Oui",0,MAX(0,ROUND(N(H1748)-N(T1748),6))))</f>
        <v/>
      </c>
      <c r="X1748" s="67" t="str">
        <f>IF(AND(A1748="",E1748=""),"",IF(V1748="Oui","Annulé",IF(AND(N(H1748)&gt;0,N(T1748)&gt;=N(H1748)),"Reçu",IF(N(S1748)=0,"Brouillon",IF(AND(ISNUMBER(R1748),R1748&lt;p_today),"En retard",IF(N(T1748)&gt;0,"Partiel","Envoyé"))))))</f>
        <v/>
      </c>
      <c r="Y1748" s="75" t="str">
        <f>IF(X1748="En retard",p_today-R1748,IF(AND(X1748="Reçu",ISNUMBER(R1748)),MAX(0,N(U1748)-R1748),""))</f>
        <v/>
      </c>
      <c r="Z1748" s="67" t="str">
        <f>IF(AND(A1748="",E1748=""),"",IF(A1748="","N° de bon manquant",IF(N(B1748)=0,"Date de commande manquante",IF(C1748="","Fournisseur manquant",IF(ISNA(MATCH($C1748,sup_code,0)),"Fournisseur inconnu",IF(E1748="","Article manquant",IF(ISNA(MATCH($E1748,art_ref,0)),"Article inconnu",IF(N(H1748)&lt;=0,"Quantité invalide",IF(J1748="","Prix manquant",IF(OR(N(K1748)&lt;0,N(K1748)&gt;=1),"Remise invalide",IF(M1748="","TVA manquante",IF(ISNA(MATCH(M1748,p_tva,0)),"Taux de TVA inconnu",IF(COUNTIFS(po_num,A1748,po_sup,"&lt;&gt;"&amp;C1748)&gt;0,"Fournisseur différent sur ce bon",IF(COUNTIFS(po_num,A1748,po_date,"&lt;&gt;"&amp;B1748)&gt;0,"Date différente sur ce bon",IF(COUNTIF(po_num,A1748)&gt;25,"Plus de 25 lignes sur ce bon",IF(R1748="","Date de livraison manquante",IF(R1748&lt;B1748,"Livraison avant la commande",IF(AND(N(T1748)&gt;0,N(S1748)=0),"Date d'envoi manquante",IF(N(T1748)&gt;N(H1748),"Reçu plus que commandé",IF(AND(N(T1748)&gt;0,N(U1748)=0),"Date de réception manquante",IF(AND(N(U1748)&gt;0,U1748&lt;B1748),"Réception avant la commande","OK")))))))))))))))))))))</f>
        <v/>
      </c>
      <c r="AA1748" s="66" t="str">
        <f>IF(AND(X1748="Reçu",ISNUMBER(R1748)),IF(N(U1748)&lt;=R1748,1,0),"")</f>
        <v/>
      </c>
      <c r="AB1748" s="76" t="str">
        <f>IF(OR(X1748="Envoyé",X1748="Partiel",X1748="En retard"),IF(ISNUMBER(R1748),R1748,100000)+ROW()/100000,"")</f>
        <v/>
      </c>
      <c r="AC1748" s="66" t="str">
        <f>IF(A1748="","",IF(COUNTIF($A$6:A1748,A1748)=1,1,""))</f>
        <v/>
      </c>
      <c r="AD1748" s="66" t="str">
        <f>IF(AC1748=1,COUNT($AC$6:AC1748),"")</f>
        <v/>
      </c>
      <c r="AE1748" s="66" t="str">
        <f>IFERROR(INDEX(po_num,MATCH(1743,po_seq,0))&amp;"","")</f>
        <v/>
      </c>
      <c r="AF1748" s="66" t="str">
        <f>IF(OR(A1748="",p_po=""),"",IF(A1748&amp;""=p_po,COUNTIF($A$6:A1748,A1748),""))</f>
        <v/>
      </c>
      <c r="AG1748" s="66" t="str">
        <f>IF(OR(AB1748="",A1748=""),"",IF(COUNTIFS($A$6:A1748,A1748,$AB$6:AB1748,"&gt;0")=1,1,""))</f>
        <v/>
      </c>
      <c r="AH1748" s="70" t="str">
        <f>IF(AB1748="","",ROUND(N(W1748)*N(J1748)*(1-N(K1748)),2))</f>
        <v/>
      </c>
      <c r="AI1748" s="70" t="str">
        <f>IF(OR(J1748="",N(T1748)&lt;=0,V1748="Oui"),"",ROUND(N(T1748)*J1748*(1-N(K1748)),2))</f>
        <v/>
      </c>
    </row>
    <row r="1749">
      <c r="A1749" s="63" t="n"/>
      <c r="B1749" s="64" t="n"/>
      <c r="C1749" s="65" t="n"/>
      <c r="D1749" s="66" t="str">
        <f>IF(C1749="","",IFERROR(INDEX(sup_name,MATCH($C1749,sup_code,0))&amp;"","Fournisseur inconnu"))</f>
        <v/>
      </c>
      <c r="E1749" s="63" t="n"/>
      <c r="F1749" s="66" t="str">
        <f>IF(E1749="","",IFERROR(INDEX(art_des,MATCH($E1749,art_ref,0))&amp;"","Article inconnu"))</f>
        <v/>
      </c>
      <c r="G1749" s="67" t="str">
        <f>IF(E1749="","",IFERROR(INDEX(art_unit,MATCH($E1749,art_ref,0))&amp;"",""))</f>
        <v/>
      </c>
      <c r="H1749" s="68" t="n"/>
      <c r="I1749" s="69" t="n"/>
      <c r="J1749" s="70" t="str">
        <f>IF(E1749="","",IF(ISNUMBER(I1749),I1749,IFERROR(IF(ISNUMBER(INDEX(art_price,MATCH($E1749,art_ref,0))),INDEX(art_price,MATCH($E1749,art_ref,0)),""),"")))</f>
        <v/>
      </c>
      <c r="K1749" s="71" t="n"/>
      <c r="L1749" s="72" t="n"/>
      <c r="M1749" s="72" t="str">
        <f>IF(E1749="","",IF(L1749&lt;&gt;"",L1749,IFERROR(IF(ISNUMBER(INDEX(art_tva,MATCH($E1749,art_ref,0))),INDEX(art_tva,MATCH($E1749,art_ref,0)),""),"")))</f>
        <v/>
      </c>
      <c r="N1749" s="70" t="str">
        <f>IF(OR(E1749="",J1749=""),"",ROUND(N(H1749)*J1749*(1-N(K1749)),2))</f>
        <v/>
      </c>
      <c r="O1749" s="70" t="str">
        <f>IF(OR(N1749="",NOT(ISNUMBER(M1749))),"",ROUND(N1749*M1749,2))</f>
        <v/>
      </c>
      <c r="P1749" s="70" t="str">
        <f>IF(N1749="","",N1749+N(O1749))</f>
        <v/>
      </c>
      <c r="Q1749" s="64" t="n"/>
      <c r="R1749" s="73" t="str">
        <f>IF(N(Q1749)&gt;0,Q1749,IF(OR(N(B1749)=0,ISNA(MATCH($C1749,sup_code,0))),"",IF(ISNUMBER(INDEX(sup_delay,MATCH($C1749,sup_code,0))),B1749+INDEX(sup_delay,MATCH($C1749,sup_code,0)),"")))</f>
        <v/>
      </c>
      <c r="S1749" s="64" t="n"/>
      <c r="T1749" s="68" t="n"/>
      <c r="U1749" s="64" t="n"/>
      <c r="V1749" s="65" t="n"/>
      <c r="W1749" s="74" t="str">
        <f>IF(AND(A1749="",E1749=""),"",IF(V1749="Oui",0,MAX(0,ROUND(N(H1749)-N(T1749),6))))</f>
        <v/>
      </c>
      <c r="X1749" s="67" t="str">
        <f>IF(AND(A1749="",E1749=""),"",IF(V1749="Oui","Annulé",IF(AND(N(H1749)&gt;0,N(T1749)&gt;=N(H1749)),"Reçu",IF(N(S1749)=0,"Brouillon",IF(AND(ISNUMBER(R1749),R1749&lt;p_today),"En retard",IF(N(T1749)&gt;0,"Partiel","Envoyé"))))))</f>
        <v/>
      </c>
      <c r="Y1749" s="75" t="str">
        <f>IF(X1749="En retard",p_today-R1749,IF(AND(X1749="Reçu",ISNUMBER(R1749)),MAX(0,N(U1749)-R1749),""))</f>
        <v/>
      </c>
      <c r="Z1749" s="67" t="str">
        <f>IF(AND(A1749="",E1749=""),"",IF(A1749="","N° de bon manquant",IF(N(B1749)=0,"Date de commande manquante",IF(C1749="","Fournisseur manquant",IF(ISNA(MATCH($C1749,sup_code,0)),"Fournisseur inconnu",IF(E1749="","Article manquant",IF(ISNA(MATCH($E1749,art_ref,0)),"Article inconnu",IF(N(H1749)&lt;=0,"Quantité invalide",IF(J1749="","Prix manquant",IF(OR(N(K1749)&lt;0,N(K1749)&gt;=1),"Remise invalide",IF(M1749="","TVA manquante",IF(ISNA(MATCH(M1749,p_tva,0)),"Taux de TVA inconnu",IF(COUNTIFS(po_num,A1749,po_sup,"&lt;&gt;"&amp;C1749)&gt;0,"Fournisseur différent sur ce bon",IF(COUNTIFS(po_num,A1749,po_date,"&lt;&gt;"&amp;B1749)&gt;0,"Date différente sur ce bon",IF(COUNTIF(po_num,A1749)&gt;25,"Plus de 25 lignes sur ce bon",IF(R1749="","Date de livraison manquante",IF(R1749&lt;B1749,"Livraison avant la commande",IF(AND(N(T1749)&gt;0,N(S1749)=0),"Date d'envoi manquante",IF(N(T1749)&gt;N(H1749),"Reçu plus que commandé",IF(AND(N(T1749)&gt;0,N(U1749)=0),"Date de réception manquante",IF(AND(N(U1749)&gt;0,U1749&lt;B1749),"Réception avant la commande","OK")))))))))))))))))))))</f>
        <v/>
      </c>
      <c r="AA1749" s="66" t="str">
        <f>IF(AND(X1749="Reçu",ISNUMBER(R1749)),IF(N(U1749)&lt;=R1749,1,0),"")</f>
        <v/>
      </c>
      <c r="AB1749" s="76" t="str">
        <f>IF(OR(X1749="Envoyé",X1749="Partiel",X1749="En retard"),IF(ISNUMBER(R1749),R1749,100000)+ROW()/100000,"")</f>
        <v/>
      </c>
      <c r="AC1749" s="66" t="str">
        <f>IF(A1749="","",IF(COUNTIF($A$6:A1749,A1749)=1,1,""))</f>
        <v/>
      </c>
      <c r="AD1749" s="66" t="str">
        <f>IF(AC1749=1,COUNT($AC$6:AC1749),"")</f>
        <v/>
      </c>
      <c r="AE1749" s="66" t="str">
        <f>IFERROR(INDEX(po_num,MATCH(1744,po_seq,0))&amp;"","")</f>
        <v/>
      </c>
      <c r="AF1749" s="66" t="str">
        <f>IF(OR(A1749="",p_po=""),"",IF(A1749&amp;""=p_po,COUNTIF($A$6:A1749,A1749),""))</f>
        <v/>
      </c>
      <c r="AG1749" s="66" t="str">
        <f>IF(OR(AB1749="",A1749=""),"",IF(COUNTIFS($A$6:A1749,A1749,$AB$6:AB1749,"&gt;0")=1,1,""))</f>
        <v/>
      </c>
      <c r="AH1749" s="70" t="str">
        <f>IF(AB1749="","",ROUND(N(W1749)*N(J1749)*(1-N(K1749)),2))</f>
        <v/>
      </c>
      <c r="AI1749" s="70" t="str">
        <f>IF(OR(J1749="",N(T1749)&lt;=0,V1749="Oui"),"",ROUND(N(T1749)*J1749*(1-N(K1749)),2))</f>
        <v/>
      </c>
    </row>
    <row r="1750">
      <c r="A1750" s="63" t="n"/>
      <c r="B1750" s="64" t="n"/>
      <c r="C1750" s="65" t="n"/>
      <c r="D1750" s="66" t="str">
        <f>IF(C1750="","",IFERROR(INDEX(sup_name,MATCH($C1750,sup_code,0))&amp;"","Fournisseur inconnu"))</f>
        <v/>
      </c>
      <c r="E1750" s="63" t="n"/>
      <c r="F1750" s="66" t="str">
        <f>IF(E1750="","",IFERROR(INDEX(art_des,MATCH($E1750,art_ref,0))&amp;"","Article inconnu"))</f>
        <v/>
      </c>
      <c r="G1750" s="67" t="str">
        <f>IF(E1750="","",IFERROR(INDEX(art_unit,MATCH($E1750,art_ref,0))&amp;"",""))</f>
        <v/>
      </c>
      <c r="H1750" s="68" t="n"/>
      <c r="I1750" s="69" t="n"/>
      <c r="J1750" s="70" t="str">
        <f>IF(E1750="","",IF(ISNUMBER(I1750),I1750,IFERROR(IF(ISNUMBER(INDEX(art_price,MATCH($E1750,art_ref,0))),INDEX(art_price,MATCH($E1750,art_ref,0)),""),"")))</f>
        <v/>
      </c>
      <c r="K1750" s="71" t="n"/>
      <c r="L1750" s="72" t="n"/>
      <c r="M1750" s="72" t="str">
        <f>IF(E1750="","",IF(L1750&lt;&gt;"",L1750,IFERROR(IF(ISNUMBER(INDEX(art_tva,MATCH($E1750,art_ref,0))),INDEX(art_tva,MATCH($E1750,art_ref,0)),""),"")))</f>
        <v/>
      </c>
      <c r="N1750" s="70" t="str">
        <f>IF(OR(E1750="",J1750=""),"",ROUND(N(H1750)*J1750*(1-N(K1750)),2))</f>
        <v/>
      </c>
      <c r="O1750" s="70" t="str">
        <f>IF(OR(N1750="",NOT(ISNUMBER(M1750))),"",ROUND(N1750*M1750,2))</f>
        <v/>
      </c>
      <c r="P1750" s="70" t="str">
        <f>IF(N1750="","",N1750+N(O1750))</f>
        <v/>
      </c>
      <c r="Q1750" s="64" t="n"/>
      <c r="R1750" s="73" t="str">
        <f>IF(N(Q1750)&gt;0,Q1750,IF(OR(N(B1750)=0,ISNA(MATCH($C1750,sup_code,0))),"",IF(ISNUMBER(INDEX(sup_delay,MATCH($C1750,sup_code,0))),B1750+INDEX(sup_delay,MATCH($C1750,sup_code,0)),"")))</f>
        <v/>
      </c>
      <c r="S1750" s="64" t="n"/>
      <c r="T1750" s="68" t="n"/>
      <c r="U1750" s="64" t="n"/>
      <c r="V1750" s="65" t="n"/>
      <c r="W1750" s="74" t="str">
        <f>IF(AND(A1750="",E1750=""),"",IF(V1750="Oui",0,MAX(0,ROUND(N(H1750)-N(T1750),6))))</f>
        <v/>
      </c>
      <c r="X1750" s="67" t="str">
        <f>IF(AND(A1750="",E1750=""),"",IF(V1750="Oui","Annulé",IF(AND(N(H1750)&gt;0,N(T1750)&gt;=N(H1750)),"Reçu",IF(N(S1750)=0,"Brouillon",IF(AND(ISNUMBER(R1750),R1750&lt;p_today),"En retard",IF(N(T1750)&gt;0,"Partiel","Envoyé"))))))</f>
        <v/>
      </c>
      <c r="Y1750" s="75" t="str">
        <f>IF(X1750="En retard",p_today-R1750,IF(AND(X1750="Reçu",ISNUMBER(R1750)),MAX(0,N(U1750)-R1750),""))</f>
        <v/>
      </c>
      <c r="Z1750" s="67" t="str">
        <f>IF(AND(A1750="",E1750=""),"",IF(A1750="","N° de bon manquant",IF(N(B1750)=0,"Date de commande manquante",IF(C1750="","Fournisseur manquant",IF(ISNA(MATCH($C1750,sup_code,0)),"Fournisseur inconnu",IF(E1750="","Article manquant",IF(ISNA(MATCH($E1750,art_ref,0)),"Article inconnu",IF(N(H1750)&lt;=0,"Quantité invalide",IF(J1750="","Prix manquant",IF(OR(N(K1750)&lt;0,N(K1750)&gt;=1),"Remise invalide",IF(M1750="","TVA manquante",IF(ISNA(MATCH(M1750,p_tva,0)),"Taux de TVA inconnu",IF(COUNTIFS(po_num,A1750,po_sup,"&lt;&gt;"&amp;C1750)&gt;0,"Fournisseur différent sur ce bon",IF(COUNTIFS(po_num,A1750,po_date,"&lt;&gt;"&amp;B1750)&gt;0,"Date différente sur ce bon",IF(COUNTIF(po_num,A1750)&gt;25,"Plus de 25 lignes sur ce bon",IF(R1750="","Date de livraison manquante",IF(R1750&lt;B1750,"Livraison avant la commande",IF(AND(N(T1750)&gt;0,N(S1750)=0),"Date d'envoi manquante",IF(N(T1750)&gt;N(H1750),"Reçu plus que commandé",IF(AND(N(T1750)&gt;0,N(U1750)=0),"Date de réception manquante",IF(AND(N(U1750)&gt;0,U1750&lt;B1750),"Réception avant la commande","OK")))))))))))))))))))))</f>
        <v/>
      </c>
      <c r="AA1750" s="66" t="str">
        <f>IF(AND(X1750="Reçu",ISNUMBER(R1750)),IF(N(U1750)&lt;=R1750,1,0),"")</f>
        <v/>
      </c>
      <c r="AB1750" s="76" t="str">
        <f>IF(OR(X1750="Envoyé",X1750="Partiel",X1750="En retard"),IF(ISNUMBER(R1750),R1750,100000)+ROW()/100000,"")</f>
        <v/>
      </c>
      <c r="AC1750" s="66" t="str">
        <f>IF(A1750="","",IF(COUNTIF($A$6:A1750,A1750)=1,1,""))</f>
        <v/>
      </c>
      <c r="AD1750" s="66" t="str">
        <f>IF(AC1750=1,COUNT($AC$6:AC1750),"")</f>
        <v/>
      </c>
      <c r="AE1750" s="66" t="str">
        <f>IFERROR(INDEX(po_num,MATCH(1745,po_seq,0))&amp;"","")</f>
        <v/>
      </c>
      <c r="AF1750" s="66" t="str">
        <f>IF(OR(A1750="",p_po=""),"",IF(A1750&amp;""=p_po,COUNTIF($A$6:A1750,A1750),""))</f>
        <v/>
      </c>
      <c r="AG1750" s="66" t="str">
        <f>IF(OR(AB1750="",A1750=""),"",IF(COUNTIFS($A$6:A1750,A1750,$AB$6:AB1750,"&gt;0")=1,1,""))</f>
        <v/>
      </c>
      <c r="AH1750" s="70" t="str">
        <f>IF(AB1750="","",ROUND(N(W1750)*N(J1750)*(1-N(K1750)),2))</f>
        <v/>
      </c>
      <c r="AI1750" s="70" t="str">
        <f>IF(OR(J1750="",N(T1750)&lt;=0,V1750="Oui"),"",ROUND(N(T1750)*J1750*(1-N(K1750)),2))</f>
        <v/>
      </c>
    </row>
    <row r="1751">
      <c r="A1751" s="63" t="n"/>
      <c r="B1751" s="64" t="n"/>
      <c r="C1751" s="65" t="n"/>
      <c r="D1751" s="66" t="str">
        <f>IF(C1751="","",IFERROR(INDEX(sup_name,MATCH($C1751,sup_code,0))&amp;"","Fournisseur inconnu"))</f>
        <v/>
      </c>
      <c r="E1751" s="63" t="n"/>
      <c r="F1751" s="66" t="str">
        <f>IF(E1751="","",IFERROR(INDEX(art_des,MATCH($E1751,art_ref,0))&amp;"","Article inconnu"))</f>
        <v/>
      </c>
      <c r="G1751" s="67" t="str">
        <f>IF(E1751="","",IFERROR(INDEX(art_unit,MATCH($E1751,art_ref,0))&amp;"",""))</f>
        <v/>
      </c>
      <c r="H1751" s="68" t="n"/>
      <c r="I1751" s="69" t="n"/>
      <c r="J1751" s="70" t="str">
        <f>IF(E1751="","",IF(ISNUMBER(I1751),I1751,IFERROR(IF(ISNUMBER(INDEX(art_price,MATCH($E1751,art_ref,0))),INDEX(art_price,MATCH($E1751,art_ref,0)),""),"")))</f>
        <v/>
      </c>
      <c r="K1751" s="71" t="n"/>
      <c r="L1751" s="72" t="n"/>
      <c r="M1751" s="72" t="str">
        <f>IF(E1751="","",IF(L1751&lt;&gt;"",L1751,IFERROR(IF(ISNUMBER(INDEX(art_tva,MATCH($E1751,art_ref,0))),INDEX(art_tva,MATCH($E1751,art_ref,0)),""),"")))</f>
        <v/>
      </c>
      <c r="N1751" s="70" t="str">
        <f>IF(OR(E1751="",J1751=""),"",ROUND(N(H1751)*J1751*(1-N(K1751)),2))</f>
        <v/>
      </c>
      <c r="O1751" s="70" t="str">
        <f>IF(OR(N1751="",NOT(ISNUMBER(M1751))),"",ROUND(N1751*M1751,2))</f>
        <v/>
      </c>
      <c r="P1751" s="70" t="str">
        <f>IF(N1751="","",N1751+N(O1751))</f>
        <v/>
      </c>
      <c r="Q1751" s="64" t="n"/>
      <c r="R1751" s="73" t="str">
        <f>IF(N(Q1751)&gt;0,Q1751,IF(OR(N(B1751)=0,ISNA(MATCH($C1751,sup_code,0))),"",IF(ISNUMBER(INDEX(sup_delay,MATCH($C1751,sup_code,0))),B1751+INDEX(sup_delay,MATCH($C1751,sup_code,0)),"")))</f>
        <v/>
      </c>
      <c r="S1751" s="64" t="n"/>
      <c r="T1751" s="68" t="n"/>
      <c r="U1751" s="64" t="n"/>
      <c r="V1751" s="65" t="n"/>
      <c r="W1751" s="74" t="str">
        <f>IF(AND(A1751="",E1751=""),"",IF(V1751="Oui",0,MAX(0,ROUND(N(H1751)-N(T1751),6))))</f>
        <v/>
      </c>
      <c r="X1751" s="67" t="str">
        <f>IF(AND(A1751="",E1751=""),"",IF(V1751="Oui","Annulé",IF(AND(N(H1751)&gt;0,N(T1751)&gt;=N(H1751)),"Reçu",IF(N(S1751)=0,"Brouillon",IF(AND(ISNUMBER(R1751),R1751&lt;p_today),"En retard",IF(N(T1751)&gt;0,"Partiel","Envoyé"))))))</f>
        <v/>
      </c>
      <c r="Y1751" s="75" t="str">
        <f>IF(X1751="En retard",p_today-R1751,IF(AND(X1751="Reçu",ISNUMBER(R1751)),MAX(0,N(U1751)-R1751),""))</f>
        <v/>
      </c>
      <c r="Z1751" s="67" t="str">
        <f>IF(AND(A1751="",E1751=""),"",IF(A1751="","N° de bon manquant",IF(N(B1751)=0,"Date de commande manquante",IF(C1751="","Fournisseur manquant",IF(ISNA(MATCH($C1751,sup_code,0)),"Fournisseur inconnu",IF(E1751="","Article manquant",IF(ISNA(MATCH($E1751,art_ref,0)),"Article inconnu",IF(N(H1751)&lt;=0,"Quantité invalide",IF(J1751="","Prix manquant",IF(OR(N(K1751)&lt;0,N(K1751)&gt;=1),"Remise invalide",IF(M1751="","TVA manquante",IF(ISNA(MATCH(M1751,p_tva,0)),"Taux de TVA inconnu",IF(COUNTIFS(po_num,A1751,po_sup,"&lt;&gt;"&amp;C1751)&gt;0,"Fournisseur différent sur ce bon",IF(COUNTIFS(po_num,A1751,po_date,"&lt;&gt;"&amp;B1751)&gt;0,"Date différente sur ce bon",IF(COUNTIF(po_num,A1751)&gt;25,"Plus de 25 lignes sur ce bon",IF(R1751="","Date de livraison manquante",IF(R1751&lt;B1751,"Livraison avant la commande",IF(AND(N(T1751)&gt;0,N(S1751)=0),"Date d'envoi manquante",IF(N(T1751)&gt;N(H1751),"Reçu plus que commandé",IF(AND(N(T1751)&gt;0,N(U1751)=0),"Date de réception manquante",IF(AND(N(U1751)&gt;0,U1751&lt;B1751),"Réception avant la commande","OK")))))))))))))))))))))</f>
        <v/>
      </c>
      <c r="AA1751" s="66" t="str">
        <f>IF(AND(X1751="Reçu",ISNUMBER(R1751)),IF(N(U1751)&lt;=R1751,1,0),"")</f>
        <v/>
      </c>
      <c r="AB1751" s="76" t="str">
        <f>IF(OR(X1751="Envoyé",X1751="Partiel",X1751="En retard"),IF(ISNUMBER(R1751),R1751,100000)+ROW()/100000,"")</f>
        <v/>
      </c>
      <c r="AC1751" s="66" t="str">
        <f>IF(A1751="","",IF(COUNTIF($A$6:A1751,A1751)=1,1,""))</f>
        <v/>
      </c>
      <c r="AD1751" s="66" t="str">
        <f>IF(AC1751=1,COUNT($AC$6:AC1751),"")</f>
        <v/>
      </c>
      <c r="AE1751" s="66" t="str">
        <f>IFERROR(INDEX(po_num,MATCH(1746,po_seq,0))&amp;"","")</f>
        <v/>
      </c>
      <c r="AF1751" s="66" t="str">
        <f>IF(OR(A1751="",p_po=""),"",IF(A1751&amp;""=p_po,COUNTIF($A$6:A1751,A1751),""))</f>
        <v/>
      </c>
      <c r="AG1751" s="66" t="str">
        <f>IF(OR(AB1751="",A1751=""),"",IF(COUNTIFS($A$6:A1751,A1751,$AB$6:AB1751,"&gt;0")=1,1,""))</f>
        <v/>
      </c>
      <c r="AH1751" s="70" t="str">
        <f>IF(AB1751="","",ROUND(N(W1751)*N(J1751)*(1-N(K1751)),2))</f>
        <v/>
      </c>
      <c r="AI1751" s="70" t="str">
        <f>IF(OR(J1751="",N(T1751)&lt;=0,V1751="Oui"),"",ROUND(N(T1751)*J1751*(1-N(K1751)),2))</f>
        <v/>
      </c>
    </row>
    <row r="1752">
      <c r="A1752" s="63" t="n"/>
      <c r="B1752" s="64" t="n"/>
      <c r="C1752" s="65" t="n"/>
      <c r="D1752" s="66" t="str">
        <f>IF(C1752="","",IFERROR(INDEX(sup_name,MATCH($C1752,sup_code,0))&amp;"","Fournisseur inconnu"))</f>
        <v/>
      </c>
      <c r="E1752" s="63" t="n"/>
      <c r="F1752" s="66" t="str">
        <f>IF(E1752="","",IFERROR(INDEX(art_des,MATCH($E1752,art_ref,0))&amp;"","Article inconnu"))</f>
        <v/>
      </c>
      <c r="G1752" s="67" t="str">
        <f>IF(E1752="","",IFERROR(INDEX(art_unit,MATCH($E1752,art_ref,0))&amp;"",""))</f>
        <v/>
      </c>
      <c r="H1752" s="68" t="n"/>
      <c r="I1752" s="69" t="n"/>
      <c r="J1752" s="70" t="str">
        <f>IF(E1752="","",IF(ISNUMBER(I1752),I1752,IFERROR(IF(ISNUMBER(INDEX(art_price,MATCH($E1752,art_ref,0))),INDEX(art_price,MATCH($E1752,art_ref,0)),""),"")))</f>
        <v/>
      </c>
      <c r="K1752" s="71" t="n"/>
      <c r="L1752" s="72" t="n"/>
      <c r="M1752" s="72" t="str">
        <f>IF(E1752="","",IF(L1752&lt;&gt;"",L1752,IFERROR(IF(ISNUMBER(INDEX(art_tva,MATCH($E1752,art_ref,0))),INDEX(art_tva,MATCH($E1752,art_ref,0)),""),"")))</f>
        <v/>
      </c>
      <c r="N1752" s="70" t="str">
        <f>IF(OR(E1752="",J1752=""),"",ROUND(N(H1752)*J1752*(1-N(K1752)),2))</f>
        <v/>
      </c>
      <c r="O1752" s="70" t="str">
        <f>IF(OR(N1752="",NOT(ISNUMBER(M1752))),"",ROUND(N1752*M1752,2))</f>
        <v/>
      </c>
      <c r="P1752" s="70" t="str">
        <f>IF(N1752="","",N1752+N(O1752))</f>
        <v/>
      </c>
      <c r="Q1752" s="64" t="n"/>
      <c r="R1752" s="73" t="str">
        <f>IF(N(Q1752)&gt;0,Q1752,IF(OR(N(B1752)=0,ISNA(MATCH($C1752,sup_code,0))),"",IF(ISNUMBER(INDEX(sup_delay,MATCH($C1752,sup_code,0))),B1752+INDEX(sup_delay,MATCH($C1752,sup_code,0)),"")))</f>
        <v/>
      </c>
      <c r="S1752" s="64" t="n"/>
      <c r="T1752" s="68" t="n"/>
      <c r="U1752" s="64" t="n"/>
      <c r="V1752" s="65" t="n"/>
      <c r="W1752" s="74" t="str">
        <f>IF(AND(A1752="",E1752=""),"",IF(V1752="Oui",0,MAX(0,ROUND(N(H1752)-N(T1752),6))))</f>
        <v/>
      </c>
      <c r="X1752" s="67" t="str">
        <f>IF(AND(A1752="",E1752=""),"",IF(V1752="Oui","Annulé",IF(AND(N(H1752)&gt;0,N(T1752)&gt;=N(H1752)),"Reçu",IF(N(S1752)=0,"Brouillon",IF(AND(ISNUMBER(R1752),R1752&lt;p_today),"En retard",IF(N(T1752)&gt;0,"Partiel","Envoyé"))))))</f>
        <v/>
      </c>
      <c r="Y1752" s="75" t="str">
        <f>IF(X1752="En retard",p_today-R1752,IF(AND(X1752="Reçu",ISNUMBER(R1752)),MAX(0,N(U1752)-R1752),""))</f>
        <v/>
      </c>
      <c r="Z1752" s="67" t="str">
        <f>IF(AND(A1752="",E1752=""),"",IF(A1752="","N° de bon manquant",IF(N(B1752)=0,"Date de commande manquante",IF(C1752="","Fournisseur manquant",IF(ISNA(MATCH($C1752,sup_code,0)),"Fournisseur inconnu",IF(E1752="","Article manquant",IF(ISNA(MATCH($E1752,art_ref,0)),"Article inconnu",IF(N(H1752)&lt;=0,"Quantité invalide",IF(J1752="","Prix manquant",IF(OR(N(K1752)&lt;0,N(K1752)&gt;=1),"Remise invalide",IF(M1752="","TVA manquante",IF(ISNA(MATCH(M1752,p_tva,0)),"Taux de TVA inconnu",IF(COUNTIFS(po_num,A1752,po_sup,"&lt;&gt;"&amp;C1752)&gt;0,"Fournisseur différent sur ce bon",IF(COUNTIFS(po_num,A1752,po_date,"&lt;&gt;"&amp;B1752)&gt;0,"Date différente sur ce bon",IF(COUNTIF(po_num,A1752)&gt;25,"Plus de 25 lignes sur ce bon",IF(R1752="","Date de livraison manquante",IF(R1752&lt;B1752,"Livraison avant la commande",IF(AND(N(T1752)&gt;0,N(S1752)=0),"Date d'envoi manquante",IF(N(T1752)&gt;N(H1752),"Reçu plus que commandé",IF(AND(N(T1752)&gt;0,N(U1752)=0),"Date de réception manquante",IF(AND(N(U1752)&gt;0,U1752&lt;B1752),"Réception avant la commande","OK")))))))))))))))))))))</f>
        <v/>
      </c>
      <c r="AA1752" s="66" t="str">
        <f>IF(AND(X1752="Reçu",ISNUMBER(R1752)),IF(N(U1752)&lt;=R1752,1,0),"")</f>
        <v/>
      </c>
      <c r="AB1752" s="76" t="str">
        <f>IF(OR(X1752="Envoyé",X1752="Partiel",X1752="En retard"),IF(ISNUMBER(R1752),R1752,100000)+ROW()/100000,"")</f>
        <v/>
      </c>
      <c r="AC1752" s="66" t="str">
        <f>IF(A1752="","",IF(COUNTIF($A$6:A1752,A1752)=1,1,""))</f>
        <v/>
      </c>
      <c r="AD1752" s="66" t="str">
        <f>IF(AC1752=1,COUNT($AC$6:AC1752),"")</f>
        <v/>
      </c>
      <c r="AE1752" s="66" t="str">
        <f>IFERROR(INDEX(po_num,MATCH(1747,po_seq,0))&amp;"","")</f>
        <v/>
      </c>
      <c r="AF1752" s="66" t="str">
        <f>IF(OR(A1752="",p_po=""),"",IF(A1752&amp;""=p_po,COUNTIF($A$6:A1752,A1752),""))</f>
        <v/>
      </c>
      <c r="AG1752" s="66" t="str">
        <f>IF(OR(AB1752="",A1752=""),"",IF(COUNTIFS($A$6:A1752,A1752,$AB$6:AB1752,"&gt;0")=1,1,""))</f>
        <v/>
      </c>
      <c r="AH1752" s="70" t="str">
        <f>IF(AB1752="","",ROUND(N(W1752)*N(J1752)*(1-N(K1752)),2))</f>
        <v/>
      </c>
      <c r="AI1752" s="70" t="str">
        <f>IF(OR(J1752="",N(T1752)&lt;=0,V1752="Oui"),"",ROUND(N(T1752)*J1752*(1-N(K1752)),2))</f>
        <v/>
      </c>
    </row>
    <row r="1753">
      <c r="A1753" s="63" t="n"/>
      <c r="B1753" s="64" t="n"/>
      <c r="C1753" s="65" t="n"/>
      <c r="D1753" s="66" t="str">
        <f>IF(C1753="","",IFERROR(INDEX(sup_name,MATCH($C1753,sup_code,0))&amp;"","Fournisseur inconnu"))</f>
        <v/>
      </c>
      <c r="E1753" s="63" t="n"/>
      <c r="F1753" s="66" t="str">
        <f>IF(E1753="","",IFERROR(INDEX(art_des,MATCH($E1753,art_ref,0))&amp;"","Article inconnu"))</f>
        <v/>
      </c>
      <c r="G1753" s="67" t="str">
        <f>IF(E1753="","",IFERROR(INDEX(art_unit,MATCH($E1753,art_ref,0))&amp;"",""))</f>
        <v/>
      </c>
      <c r="H1753" s="68" t="n"/>
      <c r="I1753" s="69" t="n"/>
      <c r="J1753" s="70" t="str">
        <f>IF(E1753="","",IF(ISNUMBER(I1753),I1753,IFERROR(IF(ISNUMBER(INDEX(art_price,MATCH($E1753,art_ref,0))),INDEX(art_price,MATCH($E1753,art_ref,0)),""),"")))</f>
        <v/>
      </c>
      <c r="K1753" s="71" t="n"/>
      <c r="L1753" s="72" t="n"/>
      <c r="M1753" s="72" t="str">
        <f>IF(E1753="","",IF(L1753&lt;&gt;"",L1753,IFERROR(IF(ISNUMBER(INDEX(art_tva,MATCH($E1753,art_ref,0))),INDEX(art_tva,MATCH($E1753,art_ref,0)),""),"")))</f>
        <v/>
      </c>
      <c r="N1753" s="70" t="str">
        <f>IF(OR(E1753="",J1753=""),"",ROUND(N(H1753)*J1753*(1-N(K1753)),2))</f>
        <v/>
      </c>
      <c r="O1753" s="70" t="str">
        <f>IF(OR(N1753="",NOT(ISNUMBER(M1753))),"",ROUND(N1753*M1753,2))</f>
        <v/>
      </c>
      <c r="P1753" s="70" t="str">
        <f>IF(N1753="","",N1753+N(O1753))</f>
        <v/>
      </c>
      <c r="Q1753" s="64" t="n"/>
      <c r="R1753" s="73" t="str">
        <f>IF(N(Q1753)&gt;0,Q1753,IF(OR(N(B1753)=0,ISNA(MATCH($C1753,sup_code,0))),"",IF(ISNUMBER(INDEX(sup_delay,MATCH($C1753,sup_code,0))),B1753+INDEX(sup_delay,MATCH($C1753,sup_code,0)),"")))</f>
        <v/>
      </c>
      <c r="S1753" s="64" t="n"/>
      <c r="T1753" s="68" t="n"/>
      <c r="U1753" s="64" t="n"/>
      <c r="V1753" s="65" t="n"/>
      <c r="W1753" s="74" t="str">
        <f>IF(AND(A1753="",E1753=""),"",IF(V1753="Oui",0,MAX(0,ROUND(N(H1753)-N(T1753),6))))</f>
        <v/>
      </c>
      <c r="X1753" s="67" t="str">
        <f>IF(AND(A1753="",E1753=""),"",IF(V1753="Oui","Annulé",IF(AND(N(H1753)&gt;0,N(T1753)&gt;=N(H1753)),"Reçu",IF(N(S1753)=0,"Brouillon",IF(AND(ISNUMBER(R1753),R1753&lt;p_today),"En retard",IF(N(T1753)&gt;0,"Partiel","Envoyé"))))))</f>
        <v/>
      </c>
      <c r="Y1753" s="75" t="str">
        <f>IF(X1753="En retard",p_today-R1753,IF(AND(X1753="Reçu",ISNUMBER(R1753)),MAX(0,N(U1753)-R1753),""))</f>
        <v/>
      </c>
      <c r="Z1753" s="67" t="str">
        <f>IF(AND(A1753="",E1753=""),"",IF(A1753="","N° de bon manquant",IF(N(B1753)=0,"Date de commande manquante",IF(C1753="","Fournisseur manquant",IF(ISNA(MATCH($C1753,sup_code,0)),"Fournisseur inconnu",IF(E1753="","Article manquant",IF(ISNA(MATCH($E1753,art_ref,0)),"Article inconnu",IF(N(H1753)&lt;=0,"Quantité invalide",IF(J1753="","Prix manquant",IF(OR(N(K1753)&lt;0,N(K1753)&gt;=1),"Remise invalide",IF(M1753="","TVA manquante",IF(ISNA(MATCH(M1753,p_tva,0)),"Taux de TVA inconnu",IF(COUNTIFS(po_num,A1753,po_sup,"&lt;&gt;"&amp;C1753)&gt;0,"Fournisseur différent sur ce bon",IF(COUNTIFS(po_num,A1753,po_date,"&lt;&gt;"&amp;B1753)&gt;0,"Date différente sur ce bon",IF(COUNTIF(po_num,A1753)&gt;25,"Plus de 25 lignes sur ce bon",IF(R1753="","Date de livraison manquante",IF(R1753&lt;B1753,"Livraison avant la commande",IF(AND(N(T1753)&gt;0,N(S1753)=0),"Date d'envoi manquante",IF(N(T1753)&gt;N(H1753),"Reçu plus que commandé",IF(AND(N(T1753)&gt;0,N(U1753)=0),"Date de réception manquante",IF(AND(N(U1753)&gt;0,U1753&lt;B1753),"Réception avant la commande","OK")))))))))))))))))))))</f>
        <v/>
      </c>
      <c r="AA1753" s="66" t="str">
        <f>IF(AND(X1753="Reçu",ISNUMBER(R1753)),IF(N(U1753)&lt;=R1753,1,0),"")</f>
        <v/>
      </c>
      <c r="AB1753" s="76" t="str">
        <f>IF(OR(X1753="Envoyé",X1753="Partiel",X1753="En retard"),IF(ISNUMBER(R1753),R1753,100000)+ROW()/100000,"")</f>
        <v/>
      </c>
      <c r="AC1753" s="66" t="str">
        <f>IF(A1753="","",IF(COUNTIF($A$6:A1753,A1753)=1,1,""))</f>
        <v/>
      </c>
      <c r="AD1753" s="66" t="str">
        <f>IF(AC1753=1,COUNT($AC$6:AC1753),"")</f>
        <v/>
      </c>
      <c r="AE1753" s="66" t="str">
        <f>IFERROR(INDEX(po_num,MATCH(1748,po_seq,0))&amp;"","")</f>
        <v/>
      </c>
      <c r="AF1753" s="66" t="str">
        <f>IF(OR(A1753="",p_po=""),"",IF(A1753&amp;""=p_po,COUNTIF($A$6:A1753,A1753),""))</f>
        <v/>
      </c>
      <c r="AG1753" s="66" t="str">
        <f>IF(OR(AB1753="",A1753=""),"",IF(COUNTIFS($A$6:A1753,A1753,$AB$6:AB1753,"&gt;0")=1,1,""))</f>
        <v/>
      </c>
      <c r="AH1753" s="70" t="str">
        <f>IF(AB1753="","",ROUND(N(W1753)*N(J1753)*(1-N(K1753)),2))</f>
        <v/>
      </c>
      <c r="AI1753" s="70" t="str">
        <f>IF(OR(J1753="",N(T1753)&lt;=0,V1753="Oui"),"",ROUND(N(T1753)*J1753*(1-N(K1753)),2))</f>
        <v/>
      </c>
    </row>
    <row r="1754">
      <c r="A1754" s="63" t="n"/>
      <c r="B1754" s="64" t="n"/>
      <c r="C1754" s="65" t="n"/>
      <c r="D1754" s="66" t="str">
        <f>IF(C1754="","",IFERROR(INDEX(sup_name,MATCH($C1754,sup_code,0))&amp;"","Fournisseur inconnu"))</f>
        <v/>
      </c>
      <c r="E1754" s="63" t="n"/>
      <c r="F1754" s="66" t="str">
        <f>IF(E1754="","",IFERROR(INDEX(art_des,MATCH($E1754,art_ref,0))&amp;"","Article inconnu"))</f>
        <v/>
      </c>
      <c r="G1754" s="67" t="str">
        <f>IF(E1754="","",IFERROR(INDEX(art_unit,MATCH($E1754,art_ref,0))&amp;"",""))</f>
        <v/>
      </c>
      <c r="H1754" s="68" t="n"/>
      <c r="I1754" s="69" t="n"/>
      <c r="J1754" s="70" t="str">
        <f>IF(E1754="","",IF(ISNUMBER(I1754),I1754,IFERROR(IF(ISNUMBER(INDEX(art_price,MATCH($E1754,art_ref,0))),INDEX(art_price,MATCH($E1754,art_ref,0)),""),"")))</f>
        <v/>
      </c>
      <c r="K1754" s="71" t="n"/>
      <c r="L1754" s="72" t="n"/>
      <c r="M1754" s="72" t="str">
        <f>IF(E1754="","",IF(L1754&lt;&gt;"",L1754,IFERROR(IF(ISNUMBER(INDEX(art_tva,MATCH($E1754,art_ref,0))),INDEX(art_tva,MATCH($E1754,art_ref,0)),""),"")))</f>
        <v/>
      </c>
      <c r="N1754" s="70" t="str">
        <f>IF(OR(E1754="",J1754=""),"",ROUND(N(H1754)*J1754*(1-N(K1754)),2))</f>
        <v/>
      </c>
      <c r="O1754" s="70" t="str">
        <f>IF(OR(N1754="",NOT(ISNUMBER(M1754))),"",ROUND(N1754*M1754,2))</f>
        <v/>
      </c>
      <c r="P1754" s="70" t="str">
        <f>IF(N1754="","",N1754+N(O1754))</f>
        <v/>
      </c>
      <c r="Q1754" s="64" t="n"/>
      <c r="R1754" s="73" t="str">
        <f>IF(N(Q1754)&gt;0,Q1754,IF(OR(N(B1754)=0,ISNA(MATCH($C1754,sup_code,0))),"",IF(ISNUMBER(INDEX(sup_delay,MATCH($C1754,sup_code,0))),B1754+INDEX(sup_delay,MATCH($C1754,sup_code,0)),"")))</f>
        <v/>
      </c>
      <c r="S1754" s="64" t="n"/>
      <c r="T1754" s="68" t="n"/>
      <c r="U1754" s="64" t="n"/>
      <c r="V1754" s="65" t="n"/>
      <c r="W1754" s="74" t="str">
        <f>IF(AND(A1754="",E1754=""),"",IF(V1754="Oui",0,MAX(0,ROUND(N(H1754)-N(T1754),6))))</f>
        <v/>
      </c>
      <c r="X1754" s="67" t="str">
        <f>IF(AND(A1754="",E1754=""),"",IF(V1754="Oui","Annulé",IF(AND(N(H1754)&gt;0,N(T1754)&gt;=N(H1754)),"Reçu",IF(N(S1754)=0,"Brouillon",IF(AND(ISNUMBER(R1754),R1754&lt;p_today),"En retard",IF(N(T1754)&gt;0,"Partiel","Envoyé"))))))</f>
        <v/>
      </c>
      <c r="Y1754" s="75" t="str">
        <f>IF(X1754="En retard",p_today-R1754,IF(AND(X1754="Reçu",ISNUMBER(R1754)),MAX(0,N(U1754)-R1754),""))</f>
        <v/>
      </c>
      <c r="Z1754" s="67" t="str">
        <f>IF(AND(A1754="",E1754=""),"",IF(A1754="","N° de bon manquant",IF(N(B1754)=0,"Date de commande manquante",IF(C1754="","Fournisseur manquant",IF(ISNA(MATCH($C1754,sup_code,0)),"Fournisseur inconnu",IF(E1754="","Article manquant",IF(ISNA(MATCH($E1754,art_ref,0)),"Article inconnu",IF(N(H1754)&lt;=0,"Quantité invalide",IF(J1754="","Prix manquant",IF(OR(N(K1754)&lt;0,N(K1754)&gt;=1),"Remise invalide",IF(M1754="","TVA manquante",IF(ISNA(MATCH(M1754,p_tva,0)),"Taux de TVA inconnu",IF(COUNTIFS(po_num,A1754,po_sup,"&lt;&gt;"&amp;C1754)&gt;0,"Fournisseur différent sur ce bon",IF(COUNTIFS(po_num,A1754,po_date,"&lt;&gt;"&amp;B1754)&gt;0,"Date différente sur ce bon",IF(COUNTIF(po_num,A1754)&gt;25,"Plus de 25 lignes sur ce bon",IF(R1754="","Date de livraison manquante",IF(R1754&lt;B1754,"Livraison avant la commande",IF(AND(N(T1754)&gt;0,N(S1754)=0),"Date d'envoi manquante",IF(N(T1754)&gt;N(H1754),"Reçu plus que commandé",IF(AND(N(T1754)&gt;0,N(U1754)=0),"Date de réception manquante",IF(AND(N(U1754)&gt;0,U1754&lt;B1754),"Réception avant la commande","OK")))))))))))))))))))))</f>
        <v/>
      </c>
      <c r="AA1754" s="66" t="str">
        <f>IF(AND(X1754="Reçu",ISNUMBER(R1754)),IF(N(U1754)&lt;=R1754,1,0),"")</f>
        <v/>
      </c>
      <c r="AB1754" s="76" t="str">
        <f>IF(OR(X1754="Envoyé",X1754="Partiel",X1754="En retard"),IF(ISNUMBER(R1754),R1754,100000)+ROW()/100000,"")</f>
        <v/>
      </c>
      <c r="AC1754" s="66" t="str">
        <f>IF(A1754="","",IF(COUNTIF($A$6:A1754,A1754)=1,1,""))</f>
        <v/>
      </c>
      <c r="AD1754" s="66" t="str">
        <f>IF(AC1754=1,COUNT($AC$6:AC1754),"")</f>
        <v/>
      </c>
      <c r="AE1754" s="66" t="str">
        <f>IFERROR(INDEX(po_num,MATCH(1749,po_seq,0))&amp;"","")</f>
        <v/>
      </c>
      <c r="AF1754" s="66" t="str">
        <f>IF(OR(A1754="",p_po=""),"",IF(A1754&amp;""=p_po,COUNTIF($A$6:A1754,A1754),""))</f>
        <v/>
      </c>
      <c r="AG1754" s="66" t="str">
        <f>IF(OR(AB1754="",A1754=""),"",IF(COUNTIFS($A$6:A1754,A1754,$AB$6:AB1754,"&gt;0")=1,1,""))</f>
        <v/>
      </c>
      <c r="AH1754" s="70" t="str">
        <f>IF(AB1754="","",ROUND(N(W1754)*N(J1754)*(1-N(K1754)),2))</f>
        <v/>
      </c>
      <c r="AI1754" s="70" t="str">
        <f>IF(OR(J1754="",N(T1754)&lt;=0,V1754="Oui"),"",ROUND(N(T1754)*J1754*(1-N(K1754)),2))</f>
        <v/>
      </c>
    </row>
    <row r="1755">
      <c r="A1755" s="63" t="n"/>
      <c r="B1755" s="64" t="n"/>
      <c r="C1755" s="65" t="n"/>
      <c r="D1755" s="66" t="str">
        <f>IF(C1755="","",IFERROR(INDEX(sup_name,MATCH($C1755,sup_code,0))&amp;"","Fournisseur inconnu"))</f>
        <v/>
      </c>
      <c r="E1755" s="63" t="n"/>
      <c r="F1755" s="66" t="str">
        <f>IF(E1755="","",IFERROR(INDEX(art_des,MATCH($E1755,art_ref,0))&amp;"","Article inconnu"))</f>
        <v/>
      </c>
      <c r="G1755" s="67" t="str">
        <f>IF(E1755="","",IFERROR(INDEX(art_unit,MATCH($E1755,art_ref,0))&amp;"",""))</f>
        <v/>
      </c>
      <c r="H1755" s="68" t="n"/>
      <c r="I1755" s="69" t="n"/>
      <c r="J1755" s="70" t="str">
        <f>IF(E1755="","",IF(ISNUMBER(I1755),I1755,IFERROR(IF(ISNUMBER(INDEX(art_price,MATCH($E1755,art_ref,0))),INDEX(art_price,MATCH($E1755,art_ref,0)),""),"")))</f>
        <v/>
      </c>
      <c r="K1755" s="71" t="n"/>
      <c r="L1755" s="72" t="n"/>
      <c r="M1755" s="72" t="str">
        <f>IF(E1755="","",IF(L1755&lt;&gt;"",L1755,IFERROR(IF(ISNUMBER(INDEX(art_tva,MATCH($E1755,art_ref,0))),INDEX(art_tva,MATCH($E1755,art_ref,0)),""),"")))</f>
        <v/>
      </c>
      <c r="N1755" s="70" t="str">
        <f>IF(OR(E1755="",J1755=""),"",ROUND(N(H1755)*J1755*(1-N(K1755)),2))</f>
        <v/>
      </c>
      <c r="O1755" s="70" t="str">
        <f>IF(OR(N1755="",NOT(ISNUMBER(M1755))),"",ROUND(N1755*M1755,2))</f>
        <v/>
      </c>
      <c r="P1755" s="70" t="str">
        <f>IF(N1755="","",N1755+N(O1755))</f>
        <v/>
      </c>
      <c r="Q1755" s="64" t="n"/>
      <c r="R1755" s="73" t="str">
        <f>IF(N(Q1755)&gt;0,Q1755,IF(OR(N(B1755)=0,ISNA(MATCH($C1755,sup_code,0))),"",IF(ISNUMBER(INDEX(sup_delay,MATCH($C1755,sup_code,0))),B1755+INDEX(sup_delay,MATCH($C1755,sup_code,0)),"")))</f>
        <v/>
      </c>
      <c r="S1755" s="64" t="n"/>
      <c r="T1755" s="68" t="n"/>
      <c r="U1755" s="64" t="n"/>
      <c r="V1755" s="65" t="n"/>
      <c r="W1755" s="74" t="str">
        <f>IF(AND(A1755="",E1755=""),"",IF(V1755="Oui",0,MAX(0,ROUND(N(H1755)-N(T1755),6))))</f>
        <v/>
      </c>
      <c r="X1755" s="67" t="str">
        <f>IF(AND(A1755="",E1755=""),"",IF(V1755="Oui","Annulé",IF(AND(N(H1755)&gt;0,N(T1755)&gt;=N(H1755)),"Reçu",IF(N(S1755)=0,"Brouillon",IF(AND(ISNUMBER(R1755),R1755&lt;p_today),"En retard",IF(N(T1755)&gt;0,"Partiel","Envoyé"))))))</f>
        <v/>
      </c>
      <c r="Y1755" s="75" t="str">
        <f>IF(X1755="En retard",p_today-R1755,IF(AND(X1755="Reçu",ISNUMBER(R1755)),MAX(0,N(U1755)-R1755),""))</f>
        <v/>
      </c>
      <c r="Z1755" s="67" t="str">
        <f>IF(AND(A1755="",E1755=""),"",IF(A1755="","N° de bon manquant",IF(N(B1755)=0,"Date de commande manquante",IF(C1755="","Fournisseur manquant",IF(ISNA(MATCH($C1755,sup_code,0)),"Fournisseur inconnu",IF(E1755="","Article manquant",IF(ISNA(MATCH($E1755,art_ref,0)),"Article inconnu",IF(N(H1755)&lt;=0,"Quantité invalide",IF(J1755="","Prix manquant",IF(OR(N(K1755)&lt;0,N(K1755)&gt;=1),"Remise invalide",IF(M1755="","TVA manquante",IF(ISNA(MATCH(M1755,p_tva,0)),"Taux de TVA inconnu",IF(COUNTIFS(po_num,A1755,po_sup,"&lt;&gt;"&amp;C1755)&gt;0,"Fournisseur différent sur ce bon",IF(COUNTIFS(po_num,A1755,po_date,"&lt;&gt;"&amp;B1755)&gt;0,"Date différente sur ce bon",IF(COUNTIF(po_num,A1755)&gt;25,"Plus de 25 lignes sur ce bon",IF(R1755="","Date de livraison manquante",IF(R1755&lt;B1755,"Livraison avant la commande",IF(AND(N(T1755)&gt;0,N(S1755)=0),"Date d'envoi manquante",IF(N(T1755)&gt;N(H1755),"Reçu plus que commandé",IF(AND(N(T1755)&gt;0,N(U1755)=0),"Date de réception manquante",IF(AND(N(U1755)&gt;0,U1755&lt;B1755),"Réception avant la commande","OK")))))))))))))))))))))</f>
        <v/>
      </c>
      <c r="AA1755" s="66" t="str">
        <f>IF(AND(X1755="Reçu",ISNUMBER(R1755)),IF(N(U1755)&lt;=R1755,1,0),"")</f>
        <v/>
      </c>
      <c r="AB1755" s="76" t="str">
        <f>IF(OR(X1755="Envoyé",X1755="Partiel",X1755="En retard"),IF(ISNUMBER(R1755),R1755,100000)+ROW()/100000,"")</f>
        <v/>
      </c>
      <c r="AC1755" s="66" t="str">
        <f>IF(A1755="","",IF(COUNTIF($A$6:A1755,A1755)=1,1,""))</f>
        <v/>
      </c>
      <c r="AD1755" s="66" t="str">
        <f>IF(AC1755=1,COUNT($AC$6:AC1755),"")</f>
        <v/>
      </c>
      <c r="AE1755" s="66" t="str">
        <f>IFERROR(INDEX(po_num,MATCH(1750,po_seq,0))&amp;"","")</f>
        <v/>
      </c>
      <c r="AF1755" s="66" t="str">
        <f>IF(OR(A1755="",p_po=""),"",IF(A1755&amp;""=p_po,COUNTIF($A$6:A1755,A1755),""))</f>
        <v/>
      </c>
      <c r="AG1755" s="66" t="str">
        <f>IF(OR(AB1755="",A1755=""),"",IF(COUNTIFS($A$6:A1755,A1755,$AB$6:AB1755,"&gt;0")=1,1,""))</f>
        <v/>
      </c>
      <c r="AH1755" s="70" t="str">
        <f>IF(AB1755="","",ROUND(N(W1755)*N(J1755)*(1-N(K1755)),2))</f>
        <v/>
      </c>
      <c r="AI1755" s="70" t="str">
        <f>IF(OR(J1755="",N(T1755)&lt;=0,V1755="Oui"),"",ROUND(N(T1755)*J1755*(1-N(K1755)),2))</f>
        <v/>
      </c>
    </row>
    <row r="1756">
      <c r="A1756" s="63" t="n"/>
      <c r="B1756" s="64" t="n"/>
      <c r="C1756" s="65" t="n"/>
      <c r="D1756" s="66" t="str">
        <f>IF(C1756="","",IFERROR(INDEX(sup_name,MATCH($C1756,sup_code,0))&amp;"","Fournisseur inconnu"))</f>
        <v/>
      </c>
      <c r="E1756" s="63" t="n"/>
      <c r="F1756" s="66" t="str">
        <f>IF(E1756="","",IFERROR(INDEX(art_des,MATCH($E1756,art_ref,0))&amp;"","Article inconnu"))</f>
        <v/>
      </c>
      <c r="G1756" s="67" t="str">
        <f>IF(E1756="","",IFERROR(INDEX(art_unit,MATCH($E1756,art_ref,0))&amp;"",""))</f>
        <v/>
      </c>
      <c r="H1756" s="68" t="n"/>
      <c r="I1756" s="69" t="n"/>
      <c r="J1756" s="70" t="str">
        <f>IF(E1756="","",IF(ISNUMBER(I1756),I1756,IFERROR(IF(ISNUMBER(INDEX(art_price,MATCH($E1756,art_ref,0))),INDEX(art_price,MATCH($E1756,art_ref,0)),""),"")))</f>
        <v/>
      </c>
      <c r="K1756" s="71" t="n"/>
      <c r="L1756" s="72" t="n"/>
      <c r="M1756" s="72" t="str">
        <f>IF(E1756="","",IF(L1756&lt;&gt;"",L1756,IFERROR(IF(ISNUMBER(INDEX(art_tva,MATCH($E1756,art_ref,0))),INDEX(art_tva,MATCH($E1756,art_ref,0)),""),"")))</f>
        <v/>
      </c>
      <c r="N1756" s="70" t="str">
        <f>IF(OR(E1756="",J1756=""),"",ROUND(N(H1756)*J1756*(1-N(K1756)),2))</f>
        <v/>
      </c>
      <c r="O1756" s="70" t="str">
        <f>IF(OR(N1756="",NOT(ISNUMBER(M1756))),"",ROUND(N1756*M1756,2))</f>
        <v/>
      </c>
      <c r="P1756" s="70" t="str">
        <f>IF(N1756="","",N1756+N(O1756))</f>
        <v/>
      </c>
      <c r="Q1756" s="64" t="n"/>
      <c r="R1756" s="73" t="str">
        <f>IF(N(Q1756)&gt;0,Q1756,IF(OR(N(B1756)=0,ISNA(MATCH($C1756,sup_code,0))),"",IF(ISNUMBER(INDEX(sup_delay,MATCH($C1756,sup_code,0))),B1756+INDEX(sup_delay,MATCH($C1756,sup_code,0)),"")))</f>
        <v/>
      </c>
      <c r="S1756" s="64" t="n"/>
      <c r="T1756" s="68" t="n"/>
      <c r="U1756" s="64" t="n"/>
      <c r="V1756" s="65" t="n"/>
      <c r="W1756" s="74" t="str">
        <f>IF(AND(A1756="",E1756=""),"",IF(V1756="Oui",0,MAX(0,ROUND(N(H1756)-N(T1756),6))))</f>
        <v/>
      </c>
      <c r="X1756" s="67" t="str">
        <f>IF(AND(A1756="",E1756=""),"",IF(V1756="Oui","Annulé",IF(AND(N(H1756)&gt;0,N(T1756)&gt;=N(H1756)),"Reçu",IF(N(S1756)=0,"Brouillon",IF(AND(ISNUMBER(R1756),R1756&lt;p_today),"En retard",IF(N(T1756)&gt;0,"Partiel","Envoyé"))))))</f>
        <v/>
      </c>
      <c r="Y1756" s="75" t="str">
        <f>IF(X1756="En retard",p_today-R1756,IF(AND(X1756="Reçu",ISNUMBER(R1756)),MAX(0,N(U1756)-R1756),""))</f>
        <v/>
      </c>
      <c r="Z1756" s="67" t="str">
        <f>IF(AND(A1756="",E1756=""),"",IF(A1756="","N° de bon manquant",IF(N(B1756)=0,"Date de commande manquante",IF(C1756="","Fournisseur manquant",IF(ISNA(MATCH($C1756,sup_code,0)),"Fournisseur inconnu",IF(E1756="","Article manquant",IF(ISNA(MATCH($E1756,art_ref,0)),"Article inconnu",IF(N(H1756)&lt;=0,"Quantité invalide",IF(J1756="","Prix manquant",IF(OR(N(K1756)&lt;0,N(K1756)&gt;=1),"Remise invalide",IF(M1756="","TVA manquante",IF(ISNA(MATCH(M1756,p_tva,0)),"Taux de TVA inconnu",IF(COUNTIFS(po_num,A1756,po_sup,"&lt;&gt;"&amp;C1756)&gt;0,"Fournisseur différent sur ce bon",IF(COUNTIFS(po_num,A1756,po_date,"&lt;&gt;"&amp;B1756)&gt;0,"Date différente sur ce bon",IF(COUNTIF(po_num,A1756)&gt;25,"Plus de 25 lignes sur ce bon",IF(R1756="","Date de livraison manquante",IF(R1756&lt;B1756,"Livraison avant la commande",IF(AND(N(T1756)&gt;0,N(S1756)=0),"Date d'envoi manquante",IF(N(T1756)&gt;N(H1756),"Reçu plus que commandé",IF(AND(N(T1756)&gt;0,N(U1756)=0),"Date de réception manquante",IF(AND(N(U1756)&gt;0,U1756&lt;B1756),"Réception avant la commande","OK")))))))))))))))))))))</f>
        <v/>
      </c>
      <c r="AA1756" s="66" t="str">
        <f>IF(AND(X1756="Reçu",ISNUMBER(R1756)),IF(N(U1756)&lt;=R1756,1,0),"")</f>
        <v/>
      </c>
      <c r="AB1756" s="76" t="str">
        <f>IF(OR(X1756="Envoyé",X1756="Partiel",X1756="En retard"),IF(ISNUMBER(R1756),R1756,100000)+ROW()/100000,"")</f>
        <v/>
      </c>
      <c r="AC1756" s="66" t="str">
        <f>IF(A1756="","",IF(COUNTIF($A$6:A1756,A1756)=1,1,""))</f>
        <v/>
      </c>
      <c r="AD1756" s="66" t="str">
        <f>IF(AC1756=1,COUNT($AC$6:AC1756),"")</f>
        <v/>
      </c>
      <c r="AE1756" s="66" t="str">
        <f>IFERROR(INDEX(po_num,MATCH(1751,po_seq,0))&amp;"","")</f>
        <v/>
      </c>
      <c r="AF1756" s="66" t="str">
        <f>IF(OR(A1756="",p_po=""),"",IF(A1756&amp;""=p_po,COUNTIF($A$6:A1756,A1756),""))</f>
        <v/>
      </c>
      <c r="AG1756" s="66" t="str">
        <f>IF(OR(AB1756="",A1756=""),"",IF(COUNTIFS($A$6:A1756,A1756,$AB$6:AB1756,"&gt;0")=1,1,""))</f>
        <v/>
      </c>
      <c r="AH1756" s="70" t="str">
        <f>IF(AB1756="","",ROUND(N(W1756)*N(J1756)*(1-N(K1756)),2))</f>
        <v/>
      </c>
      <c r="AI1756" s="70" t="str">
        <f>IF(OR(J1756="",N(T1756)&lt;=0,V1756="Oui"),"",ROUND(N(T1756)*J1756*(1-N(K1756)),2))</f>
        <v/>
      </c>
    </row>
    <row r="1757">
      <c r="A1757" s="63" t="n"/>
      <c r="B1757" s="64" t="n"/>
      <c r="C1757" s="65" t="n"/>
      <c r="D1757" s="66" t="str">
        <f>IF(C1757="","",IFERROR(INDEX(sup_name,MATCH($C1757,sup_code,0))&amp;"","Fournisseur inconnu"))</f>
        <v/>
      </c>
      <c r="E1757" s="63" t="n"/>
      <c r="F1757" s="66" t="str">
        <f>IF(E1757="","",IFERROR(INDEX(art_des,MATCH($E1757,art_ref,0))&amp;"","Article inconnu"))</f>
        <v/>
      </c>
      <c r="G1757" s="67" t="str">
        <f>IF(E1757="","",IFERROR(INDEX(art_unit,MATCH($E1757,art_ref,0))&amp;"",""))</f>
        <v/>
      </c>
      <c r="H1757" s="68" t="n"/>
      <c r="I1757" s="69" t="n"/>
      <c r="J1757" s="70" t="str">
        <f>IF(E1757="","",IF(ISNUMBER(I1757),I1757,IFERROR(IF(ISNUMBER(INDEX(art_price,MATCH($E1757,art_ref,0))),INDEX(art_price,MATCH($E1757,art_ref,0)),""),"")))</f>
        <v/>
      </c>
      <c r="K1757" s="71" t="n"/>
      <c r="L1757" s="72" t="n"/>
      <c r="M1757" s="72" t="str">
        <f>IF(E1757="","",IF(L1757&lt;&gt;"",L1757,IFERROR(IF(ISNUMBER(INDEX(art_tva,MATCH($E1757,art_ref,0))),INDEX(art_tva,MATCH($E1757,art_ref,0)),""),"")))</f>
        <v/>
      </c>
      <c r="N1757" s="70" t="str">
        <f>IF(OR(E1757="",J1757=""),"",ROUND(N(H1757)*J1757*(1-N(K1757)),2))</f>
        <v/>
      </c>
      <c r="O1757" s="70" t="str">
        <f>IF(OR(N1757="",NOT(ISNUMBER(M1757))),"",ROUND(N1757*M1757,2))</f>
        <v/>
      </c>
      <c r="P1757" s="70" t="str">
        <f>IF(N1757="","",N1757+N(O1757))</f>
        <v/>
      </c>
      <c r="Q1757" s="64" t="n"/>
      <c r="R1757" s="73" t="str">
        <f>IF(N(Q1757)&gt;0,Q1757,IF(OR(N(B1757)=0,ISNA(MATCH($C1757,sup_code,0))),"",IF(ISNUMBER(INDEX(sup_delay,MATCH($C1757,sup_code,0))),B1757+INDEX(sup_delay,MATCH($C1757,sup_code,0)),"")))</f>
        <v/>
      </c>
      <c r="S1757" s="64" t="n"/>
      <c r="T1757" s="68" t="n"/>
      <c r="U1757" s="64" t="n"/>
      <c r="V1757" s="65" t="n"/>
      <c r="W1757" s="74" t="str">
        <f>IF(AND(A1757="",E1757=""),"",IF(V1757="Oui",0,MAX(0,ROUND(N(H1757)-N(T1757),6))))</f>
        <v/>
      </c>
      <c r="X1757" s="67" t="str">
        <f>IF(AND(A1757="",E1757=""),"",IF(V1757="Oui","Annulé",IF(AND(N(H1757)&gt;0,N(T1757)&gt;=N(H1757)),"Reçu",IF(N(S1757)=0,"Brouillon",IF(AND(ISNUMBER(R1757),R1757&lt;p_today),"En retard",IF(N(T1757)&gt;0,"Partiel","Envoyé"))))))</f>
        <v/>
      </c>
      <c r="Y1757" s="75" t="str">
        <f>IF(X1757="En retard",p_today-R1757,IF(AND(X1757="Reçu",ISNUMBER(R1757)),MAX(0,N(U1757)-R1757),""))</f>
        <v/>
      </c>
      <c r="Z1757" s="67" t="str">
        <f>IF(AND(A1757="",E1757=""),"",IF(A1757="","N° de bon manquant",IF(N(B1757)=0,"Date de commande manquante",IF(C1757="","Fournisseur manquant",IF(ISNA(MATCH($C1757,sup_code,0)),"Fournisseur inconnu",IF(E1757="","Article manquant",IF(ISNA(MATCH($E1757,art_ref,0)),"Article inconnu",IF(N(H1757)&lt;=0,"Quantité invalide",IF(J1757="","Prix manquant",IF(OR(N(K1757)&lt;0,N(K1757)&gt;=1),"Remise invalide",IF(M1757="","TVA manquante",IF(ISNA(MATCH(M1757,p_tva,0)),"Taux de TVA inconnu",IF(COUNTIFS(po_num,A1757,po_sup,"&lt;&gt;"&amp;C1757)&gt;0,"Fournisseur différent sur ce bon",IF(COUNTIFS(po_num,A1757,po_date,"&lt;&gt;"&amp;B1757)&gt;0,"Date différente sur ce bon",IF(COUNTIF(po_num,A1757)&gt;25,"Plus de 25 lignes sur ce bon",IF(R1757="","Date de livraison manquante",IF(R1757&lt;B1757,"Livraison avant la commande",IF(AND(N(T1757)&gt;0,N(S1757)=0),"Date d'envoi manquante",IF(N(T1757)&gt;N(H1757),"Reçu plus que commandé",IF(AND(N(T1757)&gt;0,N(U1757)=0),"Date de réception manquante",IF(AND(N(U1757)&gt;0,U1757&lt;B1757),"Réception avant la commande","OK")))))))))))))))))))))</f>
        <v/>
      </c>
      <c r="AA1757" s="66" t="str">
        <f>IF(AND(X1757="Reçu",ISNUMBER(R1757)),IF(N(U1757)&lt;=R1757,1,0),"")</f>
        <v/>
      </c>
      <c r="AB1757" s="76" t="str">
        <f>IF(OR(X1757="Envoyé",X1757="Partiel",X1757="En retard"),IF(ISNUMBER(R1757),R1757,100000)+ROW()/100000,"")</f>
        <v/>
      </c>
      <c r="AC1757" s="66" t="str">
        <f>IF(A1757="","",IF(COUNTIF($A$6:A1757,A1757)=1,1,""))</f>
        <v/>
      </c>
      <c r="AD1757" s="66" t="str">
        <f>IF(AC1757=1,COUNT($AC$6:AC1757),"")</f>
        <v/>
      </c>
      <c r="AE1757" s="66" t="str">
        <f>IFERROR(INDEX(po_num,MATCH(1752,po_seq,0))&amp;"","")</f>
        <v/>
      </c>
      <c r="AF1757" s="66" t="str">
        <f>IF(OR(A1757="",p_po=""),"",IF(A1757&amp;""=p_po,COUNTIF($A$6:A1757,A1757),""))</f>
        <v/>
      </c>
      <c r="AG1757" s="66" t="str">
        <f>IF(OR(AB1757="",A1757=""),"",IF(COUNTIFS($A$6:A1757,A1757,$AB$6:AB1757,"&gt;0")=1,1,""))</f>
        <v/>
      </c>
      <c r="AH1757" s="70" t="str">
        <f>IF(AB1757="","",ROUND(N(W1757)*N(J1757)*(1-N(K1757)),2))</f>
        <v/>
      </c>
      <c r="AI1757" s="70" t="str">
        <f>IF(OR(J1757="",N(T1757)&lt;=0,V1757="Oui"),"",ROUND(N(T1757)*J1757*(1-N(K1757)),2))</f>
        <v/>
      </c>
    </row>
    <row r="1758">
      <c r="A1758" s="63" t="n"/>
      <c r="B1758" s="64" t="n"/>
      <c r="C1758" s="65" t="n"/>
      <c r="D1758" s="66" t="str">
        <f>IF(C1758="","",IFERROR(INDEX(sup_name,MATCH($C1758,sup_code,0))&amp;"","Fournisseur inconnu"))</f>
        <v/>
      </c>
      <c r="E1758" s="63" t="n"/>
      <c r="F1758" s="66" t="str">
        <f>IF(E1758="","",IFERROR(INDEX(art_des,MATCH($E1758,art_ref,0))&amp;"","Article inconnu"))</f>
        <v/>
      </c>
      <c r="G1758" s="67" t="str">
        <f>IF(E1758="","",IFERROR(INDEX(art_unit,MATCH($E1758,art_ref,0))&amp;"",""))</f>
        <v/>
      </c>
      <c r="H1758" s="68" t="n"/>
      <c r="I1758" s="69" t="n"/>
      <c r="J1758" s="70" t="str">
        <f>IF(E1758="","",IF(ISNUMBER(I1758),I1758,IFERROR(IF(ISNUMBER(INDEX(art_price,MATCH($E1758,art_ref,0))),INDEX(art_price,MATCH($E1758,art_ref,0)),""),"")))</f>
        <v/>
      </c>
      <c r="K1758" s="71" t="n"/>
      <c r="L1758" s="72" t="n"/>
      <c r="M1758" s="72" t="str">
        <f>IF(E1758="","",IF(L1758&lt;&gt;"",L1758,IFERROR(IF(ISNUMBER(INDEX(art_tva,MATCH($E1758,art_ref,0))),INDEX(art_tva,MATCH($E1758,art_ref,0)),""),"")))</f>
        <v/>
      </c>
      <c r="N1758" s="70" t="str">
        <f>IF(OR(E1758="",J1758=""),"",ROUND(N(H1758)*J1758*(1-N(K1758)),2))</f>
        <v/>
      </c>
      <c r="O1758" s="70" t="str">
        <f>IF(OR(N1758="",NOT(ISNUMBER(M1758))),"",ROUND(N1758*M1758,2))</f>
        <v/>
      </c>
      <c r="P1758" s="70" t="str">
        <f>IF(N1758="","",N1758+N(O1758))</f>
        <v/>
      </c>
      <c r="Q1758" s="64" t="n"/>
      <c r="R1758" s="73" t="str">
        <f>IF(N(Q1758)&gt;0,Q1758,IF(OR(N(B1758)=0,ISNA(MATCH($C1758,sup_code,0))),"",IF(ISNUMBER(INDEX(sup_delay,MATCH($C1758,sup_code,0))),B1758+INDEX(sup_delay,MATCH($C1758,sup_code,0)),"")))</f>
        <v/>
      </c>
      <c r="S1758" s="64" t="n"/>
      <c r="T1758" s="68" t="n"/>
      <c r="U1758" s="64" t="n"/>
      <c r="V1758" s="65" t="n"/>
      <c r="W1758" s="74" t="str">
        <f>IF(AND(A1758="",E1758=""),"",IF(V1758="Oui",0,MAX(0,ROUND(N(H1758)-N(T1758),6))))</f>
        <v/>
      </c>
      <c r="X1758" s="67" t="str">
        <f>IF(AND(A1758="",E1758=""),"",IF(V1758="Oui","Annulé",IF(AND(N(H1758)&gt;0,N(T1758)&gt;=N(H1758)),"Reçu",IF(N(S1758)=0,"Brouillon",IF(AND(ISNUMBER(R1758),R1758&lt;p_today),"En retard",IF(N(T1758)&gt;0,"Partiel","Envoyé"))))))</f>
        <v/>
      </c>
      <c r="Y1758" s="75" t="str">
        <f>IF(X1758="En retard",p_today-R1758,IF(AND(X1758="Reçu",ISNUMBER(R1758)),MAX(0,N(U1758)-R1758),""))</f>
        <v/>
      </c>
      <c r="Z1758" s="67" t="str">
        <f>IF(AND(A1758="",E1758=""),"",IF(A1758="","N° de bon manquant",IF(N(B1758)=0,"Date de commande manquante",IF(C1758="","Fournisseur manquant",IF(ISNA(MATCH($C1758,sup_code,0)),"Fournisseur inconnu",IF(E1758="","Article manquant",IF(ISNA(MATCH($E1758,art_ref,0)),"Article inconnu",IF(N(H1758)&lt;=0,"Quantité invalide",IF(J1758="","Prix manquant",IF(OR(N(K1758)&lt;0,N(K1758)&gt;=1),"Remise invalide",IF(M1758="","TVA manquante",IF(ISNA(MATCH(M1758,p_tva,0)),"Taux de TVA inconnu",IF(COUNTIFS(po_num,A1758,po_sup,"&lt;&gt;"&amp;C1758)&gt;0,"Fournisseur différent sur ce bon",IF(COUNTIFS(po_num,A1758,po_date,"&lt;&gt;"&amp;B1758)&gt;0,"Date différente sur ce bon",IF(COUNTIF(po_num,A1758)&gt;25,"Plus de 25 lignes sur ce bon",IF(R1758="","Date de livraison manquante",IF(R1758&lt;B1758,"Livraison avant la commande",IF(AND(N(T1758)&gt;0,N(S1758)=0),"Date d'envoi manquante",IF(N(T1758)&gt;N(H1758),"Reçu plus que commandé",IF(AND(N(T1758)&gt;0,N(U1758)=0),"Date de réception manquante",IF(AND(N(U1758)&gt;0,U1758&lt;B1758),"Réception avant la commande","OK")))))))))))))))))))))</f>
        <v/>
      </c>
      <c r="AA1758" s="66" t="str">
        <f>IF(AND(X1758="Reçu",ISNUMBER(R1758)),IF(N(U1758)&lt;=R1758,1,0),"")</f>
        <v/>
      </c>
      <c r="AB1758" s="76" t="str">
        <f>IF(OR(X1758="Envoyé",X1758="Partiel",X1758="En retard"),IF(ISNUMBER(R1758),R1758,100000)+ROW()/100000,"")</f>
        <v/>
      </c>
      <c r="AC1758" s="66" t="str">
        <f>IF(A1758="","",IF(COUNTIF($A$6:A1758,A1758)=1,1,""))</f>
        <v/>
      </c>
      <c r="AD1758" s="66" t="str">
        <f>IF(AC1758=1,COUNT($AC$6:AC1758),"")</f>
        <v/>
      </c>
      <c r="AE1758" s="66" t="str">
        <f>IFERROR(INDEX(po_num,MATCH(1753,po_seq,0))&amp;"","")</f>
        <v/>
      </c>
      <c r="AF1758" s="66" t="str">
        <f>IF(OR(A1758="",p_po=""),"",IF(A1758&amp;""=p_po,COUNTIF($A$6:A1758,A1758),""))</f>
        <v/>
      </c>
      <c r="AG1758" s="66" t="str">
        <f>IF(OR(AB1758="",A1758=""),"",IF(COUNTIFS($A$6:A1758,A1758,$AB$6:AB1758,"&gt;0")=1,1,""))</f>
        <v/>
      </c>
      <c r="AH1758" s="70" t="str">
        <f>IF(AB1758="","",ROUND(N(W1758)*N(J1758)*(1-N(K1758)),2))</f>
        <v/>
      </c>
      <c r="AI1758" s="70" t="str">
        <f>IF(OR(J1758="",N(T1758)&lt;=0,V1758="Oui"),"",ROUND(N(T1758)*J1758*(1-N(K1758)),2))</f>
        <v/>
      </c>
    </row>
    <row r="1759">
      <c r="A1759" s="63" t="n"/>
      <c r="B1759" s="64" t="n"/>
      <c r="C1759" s="65" t="n"/>
      <c r="D1759" s="66" t="str">
        <f>IF(C1759="","",IFERROR(INDEX(sup_name,MATCH($C1759,sup_code,0))&amp;"","Fournisseur inconnu"))</f>
        <v/>
      </c>
      <c r="E1759" s="63" t="n"/>
      <c r="F1759" s="66" t="str">
        <f>IF(E1759="","",IFERROR(INDEX(art_des,MATCH($E1759,art_ref,0))&amp;"","Article inconnu"))</f>
        <v/>
      </c>
      <c r="G1759" s="67" t="str">
        <f>IF(E1759="","",IFERROR(INDEX(art_unit,MATCH($E1759,art_ref,0))&amp;"",""))</f>
        <v/>
      </c>
      <c r="H1759" s="68" t="n"/>
      <c r="I1759" s="69" t="n"/>
      <c r="J1759" s="70" t="str">
        <f>IF(E1759="","",IF(ISNUMBER(I1759),I1759,IFERROR(IF(ISNUMBER(INDEX(art_price,MATCH($E1759,art_ref,0))),INDEX(art_price,MATCH($E1759,art_ref,0)),""),"")))</f>
        <v/>
      </c>
      <c r="K1759" s="71" t="n"/>
      <c r="L1759" s="72" t="n"/>
      <c r="M1759" s="72" t="str">
        <f>IF(E1759="","",IF(L1759&lt;&gt;"",L1759,IFERROR(IF(ISNUMBER(INDEX(art_tva,MATCH($E1759,art_ref,0))),INDEX(art_tva,MATCH($E1759,art_ref,0)),""),"")))</f>
        <v/>
      </c>
      <c r="N1759" s="70" t="str">
        <f>IF(OR(E1759="",J1759=""),"",ROUND(N(H1759)*J1759*(1-N(K1759)),2))</f>
        <v/>
      </c>
      <c r="O1759" s="70" t="str">
        <f>IF(OR(N1759="",NOT(ISNUMBER(M1759))),"",ROUND(N1759*M1759,2))</f>
        <v/>
      </c>
      <c r="P1759" s="70" t="str">
        <f>IF(N1759="","",N1759+N(O1759))</f>
        <v/>
      </c>
      <c r="Q1759" s="64" t="n"/>
      <c r="R1759" s="73" t="str">
        <f>IF(N(Q1759)&gt;0,Q1759,IF(OR(N(B1759)=0,ISNA(MATCH($C1759,sup_code,0))),"",IF(ISNUMBER(INDEX(sup_delay,MATCH($C1759,sup_code,0))),B1759+INDEX(sup_delay,MATCH($C1759,sup_code,0)),"")))</f>
        <v/>
      </c>
      <c r="S1759" s="64" t="n"/>
      <c r="T1759" s="68" t="n"/>
      <c r="U1759" s="64" t="n"/>
      <c r="V1759" s="65" t="n"/>
      <c r="W1759" s="74" t="str">
        <f>IF(AND(A1759="",E1759=""),"",IF(V1759="Oui",0,MAX(0,ROUND(N(H1759)-N(T1759),6))))</f>
        <v/>
      </c>
      <c r="X1759" s="67" t="str">
        <f>IF(AND(A1759="",E1759=""),"",IF(V1759="Oui","Annulé",IF(AND(N(H1759)&gt;0,N(T1759)&gt;=N(H1759)),"Reçu",IF(N(S1759)=0,"Brouillon",IF(AND(ISNUMBER(R1759),R1759&lt;p_today),"En retard",IF(N(T1759)&gt;0,"Partiel","Envoyé"))))))</f>
        <v/>
      </c>
      <c r="Y1759" s="75" t="str">
        <f>IF(X1759="En retard",p_today-R1759,IF(AND(X1759="Reçu",ISNUMBER(R1759)),MAX(0,N(U1759)-R1759),""))</f>
        <v/>
      </c>
      <c r="Z1759" s="67" t="str">
        <f>IF(AND(A1759="",E1759=""),"",IF(A1759="","N° de bon manquant",IF(N(B1759)=0,"Date de commande manquante",IF(C1759="","Fournisseur manquant",IF(ISNA(MATCH($C1759,sup_code,0)),"Fournisseur inconnu",IF(E1759="","Article manquant",IF(ISNA(MATCH($E1759,art_ref,0)),"Article inconnu",IF(N(H1759)&lt;=0,"Quantité invalide",IF(J1759="","Prix manquant",IF(OR(N(K1759)&lt;0,N(K1759)&gt;=1),"Remise invalide",IF(M1759="","TVA manquante",IF(ISNA(MATCH(M1759,p_tva,0)),"Taux de TVA inconnu",IF(COUNTIFS(po_num,A1759,po_sup,"&lt;&gt;"&amp;C1759)&gt;0,"Fournisseur différent sur ce bon",IF(COUNTIFS(po_num,A1759,po_date,"&lt;&gt;"&amp;B1759)&gt;0,"Date différente sur ce bon",IF(COUNTIF(po_num,A1759)&gt;25,"Plus de 25 lignes sur ce bon",IF(R1759="","Date de livraison manquante",IF(R1759&lt;B1759,"Livraison avant la commande",IF(AND(N(T1759)&gt;0,N(S1759)=0),"Date d'envoi manquante",IF(N(T1759)&gt;N(H1759),"Reçu plus que commandé",IF(AND(N(T1759)&gt;0,N(U1759)=0),"Date de réception manquante",IF(AND(N(U1759)&gt;0,U1759&lt;B1759),"Réception avant la commande","OK")))))))))))))))))))))</f>
        <v/>
      </c>
      <c r="AA1759" s="66" t="str">
        <f>IF(AND(X1759="Reçu",ISNUMBER(R1759)),IF(N(U1759)&lt;=R1759,1,0),"")</f>
        <v/>
      </c>
      <c r="AB1759" s="76" t="str">
        <f>IF(OR(X1759="Envoyé",X1759="Partiel",X1759="En retard"),IF(ISNUMBER(R1759),R1759,100000)+ROW()/100000,"")</f>
        <v/>
      </c>
      <c r="AC1759" s="66" t="str">
        <f>IF(A1759="","",IF(COUNTIF($A$6:A1759,A1759)=1,1,""))</f>
        <v/>
      </c>
      <c r="AD1759" s="66" t="str">
        <f>IF(AC1759=1,COUNT($AC$6:AC1759),"")</f>
        <v/>
      </c>
      <c r="AE1759" s="66" t="str">
        <f>IFERROR(INDEX(po_num,MATCH(1754,po_seq,0))&amp;"","")</f>
        <v/>
      </c>
      <c r="AF1759" s="66" t="str">
        <f>IF(OR(A1759="",p_po=""),"",IF(A1759&amp;""=p_po,COUNTIF($A$6:A1759,A1759),""))</f>
        <v/>
      </c>
      <c r="AG1759" s="66" t="str">
        <f>IF(OR(AB1759="",A1759=""),"",IF(COUNTIFS($A$6:A1759,A1759,$AB$6:AB1759,"&gt;0")=1,1,""))</f>
        <v/>
      </c>
      <c r="AH1759" s="70" t="str">
        <f>IF(AB1759="","",ROUND(N(W1759)*N(J1759)*(1-N(K1759)),2))</f>
        <v/>
      </c>
      <c r="AI1759" s="70" t="str">
        <f>IF(OR(J1759="",N(T1759)&lt;=0,V1759="Oui"),"",ROUND(N(T1759)*J1759*(1-N(K1759)),2))</f>
        <v/>
      </c>
    </row>
    <row r="1760">
      <c r="A1760" s="63" t="n"/>
      <c r="B1760" s="64" t="n"/>
      <c r="C1760" s="65" t="n"/>
      <c r="D1760" s="66" t="str">
        <f>IF(C1760="","",IFERROR(INDEX(sup_name,MATCH($C1760,sup_code,0))&amp;"","Fournisseur inconnu"))</f>
        <v/>
      </c>
      <c r="E1760" s="63" t="n"/>
      <c r="F1760" s="66" t="str">
        <f>IF(E1760="","",IFERROR(INDEX(art_des,MATCH($E1760,art_ref,0))&amp;"","Article inconnu"))</f>
        <v/>
      </c>
      <c r="G1760" s="67" t="str">
        <f>IF(E1760="","",IFERROR(INDEX(art_unit,MATCH($E1760,art_ref,0))&amp;"",""))</f>
        <v/>
      </c>
      <c r="H1760" s="68" t="n"/>
      <c r="I1760" s="69" t="n"/>
      <c r="J1760" s="70" t="str">
        <f>IF(E1760="","",IF(ISNUMBER(I1760),I1760,IFERROR(IF(ISNUMBER(INDEX(art_price,MATCH($E1760,art_ref,0))),INDEX(art_price,MATCH($E1760,art_ref,0)),""),"")))</f>
        <v/>
      </c>
      <c r="K1760" s="71" t="n"/>
      <c r="L1760" s="72" t="n"/>
      <c r="M1760" s="72" t="str">
        <f>IF(E1760="","",IF(L1760&lt;&gt;"",L1760,IFERROR(IF(ISNUMBER(INDEX(art_tva,MATCH($E1760,art_ref,0))),INDEX(art_tva,MATCH($E1760,art_ref,0)),""),"")))</f>
        <v/>
      </c>
      <c r="N1760" s="70" t="str">
        <f>IF(OR(E1760="",J1760=""),"",ROUND(N(H1760)*J1760*(1-N(K1760)),2))</f>
        <v/>
      </c>
      <c r="O1760" s="70" t="str">
        <f>IF(OR(N1760="",NOT(ISNUMBER(M1760))),"",ROUND(N1760*M1760,2))</f>
        <v/>
      </c>
      <c r="P1760" s="70" t="str">
        <f>IF(N1760="","",N1760+N(O1760))</f>
        <v/>
      </c>
      <c r="Q1760" s="64" t="n"/>
      <c r="R1760" s="73" t="str">
        <f>IF(N(Q1760)&gt;0,Q1760,IF(OR(N(B1760)=0,ISNA(MATCH($C1760,sup_code,0))),"",IF(ISNUMBER(INDEX(sup_delay,MATCH($C1760,sup_code,0))),B1760+INDEX(sup_delay,MATCH($C1760,sup_code,0)),"")))</f>
        <v/>
      </c>
      <c r="S1760" s="64" t="n"/>
      <c r="T1760" s="68" t="n"/>
      <c r="U1760" s="64" t="n"/>
      <c r="V1760" s="65" t="n"/>
      <c r="W1760" s="74" t="str">
        <f>IF(AND(A1760="",E1760=""),"",IF(V1760="Oui",0,MAX(0,ROUND(N(H1760)-N(T1760),6))))</f>
        <v/>
      </c>
      <c r="X1760" s="67" t="str">
        <f>IF(AND(A1760="",E1760=""),"",IF(V1760="Oui","Annulé",IF(AND(N(H1760)&gt;0,N(T1760)&gt;=N(H1760)),"Reçu",IF(N(S1760)=0,"Brouillon",IF(AND(ISNUMBER(R1760),R1760&lt;p_today),"En retard",IF(N(T1760)&gt;0,"Partiel","Envoyé"))))))</f>
        <v/>
      </c>
      <c r="Y1760" s="75" t="str">
        <f>IF(X1760="En retard",p_today-R1760,IF(AND(X1760="Reçu",ISNUMBER(R1760)),MAX(0,N(U1760)-R1760),""))</f>
        <v/>
      </c>
      <c r="Z1760" s="67" t="str">
        <f>IF(AND(A1760="",E1760=""),"",IF(A1760="","N° de bon manquant",IF(N(B1760)=0,"Date de commande manquante",IF(C1760="","Fournisseur manquant",IF(ISNA(MATCH($C1760,sup_code,0)),"Fournisseur inconnu",IF(E1760="","Article manquant",IF(ISNA(MATCH($E1760,art_ref,0)),"Article inconnu",IF(N(H1760)&lt;=0,"Quantité invalide",IF(J1760="","Prix manquant",IF(OR(N(K1760)&lt;0,N(K1760)&gt;=1),"Remise invalide",IF(M1760="","TVA manquante",IF(ISNA(MATCH(M1760,p_tva,0)),"Taux de TVA inconnu",IF(COUNTIFS(po_num,A1760,po_sup,"&lt;&gt;"&amp;C1760)&gt;0,"Fournisseur différent sur ce bon",IF(COUNTIFS(po_num,A1760,po_date,"&lt;&gt;"&amp;B1760)&gt;0,"Date différente sur ce bon",IF(COUNTIF(po_num,A1760)&gt;25,"Plus de 25 lignes sur ce bon",IF(R1760="","Date de livraison manquante",IF(R1760&lt;B1760,"Livraison avant la commande",IF(AND(N(T1760)&gt;0,N(S1760)=0),"Date d'envoi manquante",IF(N(T1760)&gt;N(H1760),"Reçu plus que commandé",IF(AND(N(T1760)&gt;0,N(U1760)=0),"Date de réception manquante",IF(AND(N(U1760)&gt;0,U1760&lt;B1760),"Réception avant la commande","OK")))))))))))))))))))))</f>
        <v/>
      </c>
      <c r="AA1760" s="66" t="str">
        <f>IF(AND(X1760="Reçu",ISNUMBER(R1760)),IF(N(U1760)&lt;=R1760,1,0),"")</f>
        <v/>
      </c>
      <c r="AB1760" s="76" t="str">
        <f>IF(OR(X1760="Envoyé",X1760="Partiel",X1760="En retard"),IF(ISNUMBER(R1760),R1760,100000)+ROW()/100000,"")</f>
        <v/>
      </c>
      <c r="AC1760" s="66" t="str">
        <f>IF(A1760="","",IF(COUNTIF($A$6:A1760,A1760)=1,1,""))</f>
        <v/>
      </c>
      <c r="AD1760" s="66" t="str">
        <f>IF(AC1760=1,COUNT($AC$6:AC1760),"")</f>
        <v/>
      </c>
      <c r="AE1760" s="66" t="str">
        <f>IFERROR(INDEX(po_num,MATCH(1755,po_seq,0))&amp;"","")</f>
        <v/>
      </c>
      <c r="AF1760" s="66" t="str">
        <f>IF(OR(A1760="",p_po=""),"",IF(A1760&amp;""=p_po,COUNTIF($A$6:A1760,A1760),""))</f>
        <v/>
      </c>
      <c r="AG1760" s="66" t="str">
        <f>IF(OR(AB1760="",A1760=""),"",IF(COUNTIFS($A$6:A1760,A1760,$AB$6:AB1760,"&gt;0")=1,1,""))</f>
        <v/>
      </c>
      <c r="AH1760" s="70" t="str">
        <f>IF(AB1760="","",ROUND(N(W1760)*N(J1760)*(1-N(K1760)),2))</f>
        <v/>
      </c>
      <c r="AI1760" s="70" t="str">
        <f>IF(OR(J1760="",N(T1760)&lt;=0,V1760="Oui"),"",ROUND(N(T1760)*J1760*(1-N(K1760)),2))</f>
        <v/>
      </c>
    </row>
    <row r="1761">
      <c r="A1761" s="63" t="n"/>
      <c r="B1761" s="64" t="n"/>
      <c r="C1761" s="65" t="n"/>
      <c r="D1761" s="66" t="str">
        <f>IF(C1761="","",IFERROR(INDEX(sup_name,MATCH($C1761,sup_code,0))&amp;"","Fournisseur inconnu"))</f>
        <v/>
      </c>
      <c r="E1761" s="63" t="n"/>
      <c r="F1761" s="66" t="str">
        <f>IF(E1761="","",IFERROR(INDEX(art_des,MATCH($E1761,art_ref,0))&amp;"","Article inconnu"))</f>
        <v/>
      </c>
      <c r="G1761" s="67" t="str">
        <f>IF(E1761="","",IFERROR(INDEX(art_unit,MATCH($E1761,art_ref,0))&amp;"",""))</f>
        <v/>
      </c>
      <c r="H1761" s="68" t="n"/>
      <c r="I1761" s="69" t="n"/>
      <c r="J1761" s="70" t="str">
        <f>IF(E1761="","",IF(ISNUMBER(I1761),I1761,IFERROR(IF(ISNUMBER(INDEX(art_price,MATCH($E1761,art_ref,0))),INDEX(art_price,MATCH($E1761,art_ref,0)),""),"")))</f>
        <v/>
      </c>
      <c r="K1761" s="71" t="n"/>
      <c r="L1761" s="72" t="n"/>
      <c r="M1761" s="72" t="str">
        <f>IF(E1761="","",IF(L1761&lt;&gt;"",L1761,IFERROR(IF(ISNUMBER(INDEX(art_tva,MATCH($E1761,art_ref,0))),INDEX(art_tva,MATCH($E1761,art_ref,0)),""),"")))</f>
        <v/>
      </c>
      <c r="N1761" s="70" t="str">
        <f>IF(OR(E1761="",J1761=""),"",ROUND(N(H1761)*J1761*(1-N(K1761)),2))</f>
        <v/>
      </c>
      <c r="O1761" s="70" t="str">
        <f>IF(OR(N1761="",NOT(ISNUMBER(M1761))),"",ROUND(N1761*M1761,2))</f>
        <v/>
      </c>
      <c r="P1761" s="70" t="str">
        <f>IF(N1761="","",N1761+N(O1761))</f>
        <v/>
      </c>
      <c r="Q1761" s="64" t="n"/>
      <c r="R1761" s="73" t="str">
        <f>IF(N(Q1761)&gt;0,Q1761,IF(OR(N(B1761)=0,ISNA(MATCH($C1761,sup_code,0))),"",IF(ISNUMBER(INDEX(sup_delay,MATCH($C1761,sup_code,0))),B1761+INDEX(sup_delay,MATCH($C1761,sup_code,0)),"")))</f>
        <v/>
      </c>
      <c r="S1761" s="64" t="n"/>
      <c r="T1761" s="68" t="n"/>
      <c r="U1761" s="64" t="n"/>
      <c r="V1761" s="65" t="n"/>
      <c r="W1761" s="74" t="str">
        <f>IF(AND(A1761="",E1761=""),"",IF(V1761="Oui",0,MAX(0,ROUND(N(H1761)-N(T1761),6))))</f>
        <v/>
      </c>
      <c r="X1761" s="67" t="str">
        <f>IF(AND(A1761="",E1761=""),"",IF(V1761="Oui","Annulé",IF(AND(N(H1761)&gt;0,N(T1761)&gt;=N(H1761)),"Reçu",IF(N(S1761)=0,"Brouillon",IF(AND(ISNUMBER(R1761),R1761&lt;p_today),"En retard",IF(N(T1761)&gt;0,"Partiel","Envoyé"))))))</f>
        <v/>
      </c>
      <c r="Y1761" s="75" t="str">
        <f>IF(X1761="En retard",p_today-R1761,IF(AND(X1761="Reçu",ISNUMBER(R1761)),MAX(0,N(U1761)-R1761),""))</f>
        <v/>
      </c>
      <c r="Z1761" s="67" t="str">
        <f>IF(AND(A1761="",E1761=""),"",IF(A1761="","N° de bon manquant",IF(N(B1761)=0,"Date de commande manquante",IF(C1761="","Fournisseur manquant",IF(ISNA(MATCH($C1761,sup_code,0)),"Fournisseur inconnu",IF(E1761="","Article manquant",IF(ISNA(MATCH($E1761,art_ref,0)),"Article inconnu",IF(N(H1761)&lt;=0,"Quantité invalide",IF(J1761="","Prix manquant",IF(OR(N(K1761)&lt;0,N(K1761)&gt;=1),"Remise invalide",IF(M1761="","TVA manquante",IF(ISNA(MATCH(M1761,p_tva,0)),"Taux de TVA inconnu",IF(COUNTIFS(po_num,A1761,po_sup,"&lt;&gt;"&amp;C1761)&gt;0,"Fournisseur différent sur ce bon",IF(COUNTIFS(po_num,A1761,po_date,"&lt;&gt;"&amp;B1761)&gt;0,"Date différente sur ce bon",IF(COUNTIF(po_num,A1761)&gt;25,"Plus de 25 lignes sur ce bon",IF(R1761="","Date de livraison manquante",IF(R1761&lt;B1761,"Livraison avant la commande",IF(AND(N(T1761)&gt;0,N(S1761)=0),"Date d'envoi manquante",IF(N(T1761)&gt;N(H1761),"Reçu plus que commandé",IF(AND(N(T1761)&gt;0,N(U1761)=0),"Date de réception manquante",IF(AND(N(U1761)&gt;0,U1761&lt;B1761),"Réception avant la commande","OK")))))))))))))))))))))</f>
        <v/>
      </c>
      <c r="AA1761" s="66" t="str">
        <f>IF(AND(X1761="Reçu",ISNUMBER(R1761)),IF(N(U1761)&lt;=R1761,1,0),"")</f>
        <v/>
      </c>
      <c r="AB1761" s="76" t="str">
        <f>IF(OR(X1761="Envoyé",X1761="Partiel",X1761="En retard"),IF(ISNUMBER(R1761),R1761,100000)+ROW()/100000,"")</f>
        <v/>
      </c>
      <c r="AC1761" s="66" t="str">
        <f>IF(A1761="","",IF(COUNTIF($A$6:A1761,A1761)=1,1,""))</f>
        <v/>
      </c>
      <c r="AD1761" s="66" t="str">
        <f>IF(AC1761=1,COUNT($AC$6:AC1761),"")</f>
        <v/>
      </c>
      <c r="AE1761" s="66" t="str">
        <f>IFERROR(INDEX(po_num,MATCH(1756,po_seq,0))&amp;"","")</f>
        <v/>
      </c>
      <c r="AF1761" s="66" t="str">
        <f>IF(OR(A1761="",p_po=""),"",IF(A1761&amp;""=p_po,COUNTIF($A$6:A1761,A1761),""))</f>
        <v/>
      </c>
      <c r="AG1761" s="66" t="str">
        <f>IF(OR(AB1761="",A1761=""),"",IF(COUNTIFS($A$6:A1761,A1761,$AB$6:AB1761,"&gt;0")=1,1,""))</f>
        <v/>
      </c>
      <c r="AH1761" s="70" t="str">
        <f>IF(AB1761="","",ROUND(N(W1761)*N(J1761)*(1-N(K1761)),2))</f>
        <v/>
      </c>
      <c r="AI1761" s="70" t="str">
        <f>IF(OR(J1761="",N(T1761)&lt;=0,V1761="Oui"),"",ROUND(N(T1761)*J1761*(1-N(K1761)),2))</f>
        <v/>
      </c>
    </row>
    <row r="1762">
      <c r="A1762" s="63" t="n"/>
      <c r="B1762" s="64" t="n"/>
      <c r="C1762" s="65" t="n"/>
      <c r="D1762" s="66" t="str">
        <f>IF(C1762="","",IFERROR(INDEX(sup_name,MATCH($C1762,sup_code,0))&amp;"","Fournisseur inconnu"))</f>
        <v/>
      </c>
      <c r="E1762" s="63" t="n"/>
      <c r="F1762" s="66" t="str">
        <f>IF(E1762="","",IFERROR(INDEX(art_des,MATCH($E1762,art_ref,0))&amp;"","Article inconnu"))</f>
        <v/>
      </c>
      <c r="G1762" s="67" t="str">
        <f>IF(E1762="","",IFERROR(INDEX(art_unit,MATCH($E1762,art_ref,0))&amp;"",""))</f>
        <v/>
      </c>
      <c r="H1762" s="68" t="n"/>
      <c r="I1762" s="69" t="n"/>
      <c r="J1762" s="70" t="str">
        <f>IF(E1762="","",IF(ISNUMBER(I1762),I1762,IFERROR(IF(ISNUMBER(INDEX(art_price,MATCH($E1762,art_ref,0))),INDEX(art_price,MATCH($E1762,art_ref,0)),""),"")))</f>
        <v/>
      </c>
      <c r="K1762" s="71" t="n"/>
      <c r="L1762" s="72" t="n"/>
      <c r="M1762" s="72" t="str">
        <f>IF(E1762="","",IF(L1762&lt;&gt;"",L1762,IFERROR(IF(ISNUMBER(INDEX(art_tva,MATCH($E1762,art_ref,0))),INDEX(art_tva,MATCH($E1762,art_ref,0)),""),"")))</f>
        <v/>
      </c>
      <c r="N1762" s="70" t="str">
        <f>IF(OR(E1762="",J1762=""),"",ROUND(N(H1762)*J1762*(1-N(K1762)),2))</f>
        <v/>
      </c>
      <c r="O1762" s="70" t="str">
        <f>IF(OR(N1762="",NOT(ISNUMBER(M1762))),"",ROUND(N1762*M1762,2))</f>
        <v/>
      </c>
      <c r="P1762" s="70" t="str">
        <f>IF(N1762="","",N1762+N(O1762))</f>
        <v/>
      </c>
      <c r="Q1762" s="64" t="n"/>
      <c r="R1762" s="73" t="str">
        <f>IF(N(Q1762)&gt;0,Q1762,IF(OR(N(B1762)=0,ISNA(MATCH($C1762,sup_code,0))),"",IF(ISNUMBER(INDEX(sup_delay,MATCH($C1762,sup_code,0))),B1762+INDEX(sup_delay,MATCH($C1762,sup_code,0)),"")))</f>
        <v/>
      </c>
      <c r="S1762" s="64" t="n"/>
      <c r="T1762" s="68" t="n"/>
      <c r="U1762" s="64" t="n"/>
      <c r="V1762" s="65" t="n"/>
      <c r="W1762" s="74" t="str">
        <f>IF(AND(A1762="",E1762=""),"",IF(V1762="Oui",0,MAX(0,ROUND(N(H1762)-N(T1762),6))))</f>
        <v/>
      </c>
      <c r="X1762" s="67" t="str">
        <f>IF(AND(A1762="",E1762=""),"",IF(V1762="Oui","Annulé",IF(AND(N(H1762)&gt;0,N(T1762)&gt;=N(H1762)),"Reçu",IF(N(S1762)=0,"Brouillon",IF(AND(ISNUMBER(R1762),R1762&lt;p_today),"En retard",IF(N(T1762)&gt;0,"Partiel","Envoyé"))))))</f>
        <v/>
      </c>
      <c r="Y1762" s="75" t="str">
        <f>IF(X1762="En retard",p_today-R1762,IF(AND(X1762="Reçu",ISNUMBER(R1762)),MAX(0,N(U1762)-R1762),""))</f>
        <v/>
      </c>
      <c r="Z1762" s="67" t="str">
        <f>IF(AND(A1762="",E1762=""),"",IF(A1762="","N° de bon manquant",IF(N(B1762)=0,"Date de commande manquante",IF(C1762="","Fournisseur manquant",IF(ISNA(MATCH($C1762,sup_code,0)),"Fournisseur inconnu",IF(E1762="","Article manquant",IF(ISNA(MATCH($E1762,art_ref,0)),"Article inconnu",IF(N(H1762)&lt;=0,"Quantité invalide",IF(J1762="","Prix manquant",IF(OR(N(K1762)&lt;0,N(K1762)&gt;=1),"Remise invalide",IF(M1762="","TVA manquante",IF(ISNA(MATCH(M1762,p_tva,0)),"Taux de TVA inconnu",IF(COUNTIFS(po_num,A1762,po_sup,"&lt;&gt;"&amp;C1762)&gt;0,"Fournisseur différent sur ce bon",IF(COUNTIFS(po_num,A1762,po_date,"&lt;&gt;"&amp;B1762)&gt;0,"Date différente sur ce bon",IF(COUNTIF(po_num,A1762)&gt;25,"Plus de 25 lignes sur ce bon",IF(R1762="","Date de livraison manquante",IF(R1762&lt;B1762,"Livraison avant la commande",IF(AND(N(T1762)&gt;0,N(S1762)=0),"Date d'envoi manquante",IF(N(T1762)&gt;N(H1762),"Reçu plus que commandé",IF(AND(N(T1762)&gt;0,N(U1762)=0),"Date de réception manquante",IF(AND(N(U1762)&gt;0,U1762&lt;B1762),"Réception avant la commande","OK")))))))))))))))))))))</f>
        <v/>
      </c>
      <c r="AA1762" s="66" t="str">
        <f>IF(AND(X1762="Reçu",ISNUMBER(R1762)),IF(N(U1762)&lt;=R1762,1,0),"")</f>
        <v/>
      </c>
      <c r="AB1762" s="76" t="str">
        <f>IF(OR(X1762="Envoyé",X1762="Partiel",X1762="En retard"),IF(ISNUMBER(R1762),R1762,100000)+ROW()/100000,"")</f>
        <v/>
      </c>
      <c r="AC1762" s="66" t="str">
        <f>IF(A1762="","",IF(COUNTIF($A$6:A1762,A1762)=1,1,""))</f>
        <v/>
      </c>
      <c r="AD1762" s="66" t="str">
        <f>IF(AC1762=1,COUNT($AC$6:AC1762),"")</f>
        <v/>
      </c>
      <c r="AE1762" s="66" t="str">
        <f>IFERROR(INDEX(po_num,MATCH(1757,po_seq,0))&amp;"","")</f>
        <v/>
      </c>
      <c r="AF1762" s="66" t="str">
        <f>IF(OR(A1762="",p_po=""),"",IF(A1762&amp;""=p_po,COUNTIF($A$6:A1762,A1762),""))</f>
        <v/>
      </c>
      <c r="AG1762" s="66" t="str">
        <f>IF(OR(AB1762="",A1762=""),"",IF(COUNTIFS($A$6:A1762,A1762,$AB$6:AB1762,"&gt;0")=1,1,""))</f>
        <v/>
      </c>
      <c r="AH1762" s="70" t="str">
        <f>IF(AB1762="","",ROUND(N(W1762)*N(J1762)*(1-N(K1762)),2))</f>
        <v/>
      </c>
      <c r="AI1762" s="70" t="str">
        <f>IF(OR(J1762="",N(T1762)&lt;=0,V1762="Oui"),"",ROUND(N(T1762)*J1762*(1-N(K1762)),2))</f>
        <v/>
      </c>
    </row>
    <row r="1763">
      <c r="A1763" s="63" t="n"/>
      <c r="B1763" s="64" t="n"/>
      <c r="C1763" s="65" t="n"/>
      <c r="D1763" s="66" t="str">
        <f>IF(C1763="","",IFERROR(INDEX(sup_name,MATCH($C1763,sup_code,0))&amp;"","Fournisseur inconnu"))</f>
        <v/>
      </c>
      <c r="E1763" s="63" t="n"/>
      <c r="F1763" s="66" t="str">
        <f>IF(E1763="","",IFERROR(INDEX(art_des,MATCH($E1763,art_ref,0))&amp;"","Article inconnu"))</f>
        <v/>
      </c>
      <c r="G1763" s="67" t="str">
        <f>IF(E1763="","",IFERROR(INDEX(art_unit,MATCH($E1763,art_ref,0))&amp;"",""))</f>
        <v/>
      </c>
      <c r="H1763" s="68" t="n"/>
      <c r="I1763" s="69" t="n"/>
      <c r="J1763" s="70" t="str">
        <f>IF(E1763="","",IF(ISNUMBER(I1763),I1763,IFERROR(IF(ISNUMBER(INDEX(art_price,MATCH($E1763,art_ref,0))),INDEX(art_price,MATCH($E1763,art_ref,0)),""),"")))</f>
        <v/>
      </c>
      <c r="K1763" s="71" t="n"/>
      <c r="L1763" s="72" t="n"/>
      <c r="M1763" s="72" t="str">
        <f>IF(E1763="","",IF(L1763&lt;&gt;"",L1763,IFERROR(IF(ISNUMBER(INDEX(art_tva,MATCH($E1763,art_ref,0))),INDEX(art_tva,MATCH($E1763,art_ref,0)),""),"")))</f>
        <v/>
      </c>
      <c r="N1763" s="70" t="str">
        <f>IF(OR(E1763="",J1763=""),"",ROUND(N(H1763)*J1763*(1-N(K1763)),2))</f>
        <v/>
      </c>
      <c r="O1763" s="70" t="str">
        <f>IF(OR(N1763="",NOT(ISNUMBER(M1763))),"",ROUND(N1763*M1763,2))</f>
        <v/>
      </c>
      <c r="P1763" s="70" t="str">
        <f>IF(N1763="","",N1763+N(O1763))</f>
        <v/>
      </c>
      <c r="Q1763" s="64" t="n"/>
      <c r="R1763" s="73" t="str">
        <f>IF(N(Q1763)&gt;0,Q1763,IF(OR(N(B1763)=0,ISNA(MATCH($C1763,sup_code,0))),"",IF(ISNUMBER(INDEX(sup_delay,MATCH($C1763,sup_code,0))),B1763+INDEX(sup_delay,MATCH($C1763,sup_code,0)),"")))</f>
        <v/>
      </c>
      <c r="S1763" s="64" t="n"/>
      <c r="T1763" s="68" t="n"/>
      <c r="U1763" s="64" t="n"/>
      <c r="V1763" s="65" t="n"/>
      <c r="W1763" s="74" t="str">
        <f>IF(AND(A1763="",E1763=""),"",IF(V1763="Oui",0,MAX(0,ROUND(N(H1763)-N(T1763),6))))</f>
        <v/>
      </c>
      <c r="X1763" s="67" t="str">
        <f>IF(AND(A1763="",E1763=""),"",IF(V1763="Oui","Annulé",IF(AND(N(H1763)&gt;0,N(T1763)&gt;=N(H1763)),"Reçu",IF(N(S1763)=0,"Brouillon",IF(AND(ISNUMBER(R1763),R1763&lt;p_today),"En retard",IF(N(T1763)&gt;0,"Partiel","Envoyé"))))))</f>
        <v/>
      </c>
      <c r="Y1763" s="75" t="str">
        <f>IF(X1763="En retard",p_today-R1763,IF(AND(X1763="Reçu",ISNUMBER(R1763)),MAX(0,N(U1763)-R1763),""))</f>
        <v/>
      </c>
      <c r="Z1763" s="67" t="str">
        <f>IF(AND(A1763="",E1763=""),"",IF(A1763="","N° de bon manquant",IF(N(B1763)=0,"Date de commande manquante",IF(C1763="","Fournisseur manquant",IF(ISNA(MATCH($C1763,sup_code,0)),"Fournisseur inconnu",IF(E1763="","Article manquant",IF(ISNA(MATCH($E1763,art_ref,0)),"Article inconnu",IF(N(H1763)&lt;=0,"Quantité invalide",IF(J1763="","Prix manquant",IF(OR(N(K1763)&lt;0,N(K1763)&gt;=1),"Remise invalide",IF(M1763="","TVA manquante",IF(ISNA(MATCH(M1763,p_tva,0)),"Taux de TVA inconnu",IF(COUNTIFS(po_num,A1763,po_sup,"&lt;&gt;"&amp;C1763)&gt;0,"Fournisseur différent sur ce bon",IF(COUNTIFS(po_num,A1763,po_date,"&lt;&gt;"&amp;B1763)&gt;0,"Date différente sur ce bon",IF(COUNTIF(po_num,A1763)&gt;25,"Plus de 25 lignes sur ce bon",IF(R1763="","Date de livraison manquante",IF(R1763&lt;B1763,"Livraison avant la commande",IF(AND(N(T1763)&gt;0,N(S1763)=0),"Date d'envoi manquante",IF(N(T1763)&gt;N(H1763),"Reçu plus que commandé",IF(AND(N(T1763)&gt;0,N(U1763)=0),"Date de réception manquante",IF(AND(N(U1763)&gt;0,U1763&lt;B1763),"Réception avant la commande","OK")))))))))))))))))))))</f>
        <v/>
      </c>
      <c r="AA1763" s="66" t="str">
        <f>IF(AND(X1763="Reçu",ISNUMBER(R1763)),IF(N(U1763)&lt;=R1763,1,0),"")</f>
        <v/>
      </c>
      <c r="AB1763" s="76" t="str">
        <f>IF(OR(X1763="Envoyé",X1763="Partiel",X1763="En retard"),IF(ISNUMBER(R1763),R1763,100000)+ROW()/100000,"")</f>
        <v/>
      </c>
      <c r="AC1763" s="66" t="str">
        <f>IF(A1763="","",IF(COUNTIF($A$6:A1763,A1763)=1,1,""))</f>
        <v/>
      </c>
      <c r="AD1763" s="66" t="str">
        <f>IF(AC1763=1,COUNT($AC$6:AC1763),"")</f>
        <v/>
      </c>
      <c r="AE1763" s="66" t="str">
        <f>IFERROR(INDEX(po_num,MATCH(1758,po_seq,0))&amp;"","")</f>
        <v/>
      </c>
      <c r="AF1763" s="66" t="str">
        <f>IF(OR(A1763="",p_po=""),"",IF(A1763&amp;""=p_po,COUNTIF($A$6:A1763,A1763),""))</f>
        <v/>
      </c>
      <c r="AG1763" s="66" t="str">
        <f>IF(OR(AB1763="",A1763=""),"",IF(COUNTIFS($A$6:A1763,A1763,$AB$6:AB1763,"&gt;0")=1,1,""))</f>
        <v/>
      </c>
      <c r="AH1763" s="70" t="str">
        <f>IF(AB1763="","",ROUND(N(W1763)*N(J1763)*(1-N(K1763)),2))</f>
        <v/>
      </c>
      <c r="AI1763" s="70" t="str">
        <f>IF(OR(J1763="",N(T1763)&lt;=0,V1763="Oui"),"",ROUND(N(T1763)*J1763*(1-N(K1763)),2))</f>
        <v/>
      </c>
    </row>
    <row r="1764">
      <c r="A1764" s="63" t="n"/>
      <c r="B1764" s="64" t="n"/>
      <c r="C1764" s="65" t="n"/>
      <c r="D1764" s="66" t="str">
        <f>IF(C1764="","",IFERROR(INDEX(sup_name,MATCH($C1764,sup_code,0))&amp;"","Fournisseur inconnu"))</f>
        <v/>
      </c>
      <c r="E1764" s="63" t="n"/>
      <c r="F1764" s="66" t="str">
        <f>IF(E1764="","",IFERROR(INDEX(art_des,MATCH($E1764,art_ref,0))&amp;"","Article inconnu"))</f>
        <v/>
      </c>
      <c r="G1764" s="67" t="str">
        <f>IF(E1764="","",IFERROR(INDEX(art_unit,MATCH($E1764,art_ref,0))&amp;"",""))</f>
        <v/>
      </c>
      <c r="H1764" s="68" t="n"/>
      <c r="I1764" s="69" t="n"/>
      <c r="J1764" s="70" t="str">
        <f>IF(E1764="","",IF(ISNUMBER(I1764),I1764,IFERROR(IF(ISNUMBER(INDEX(art_price,MATCH($E1764,art_ref,0))),INDEX(art_price,MATCH($E1764,art_ref,0)),""),"")))</f>
        <v/>
      </c>
      <c r="K1764" s="71" t="n"/>
      <c r="L1764" s="72" t="n"/>
      <c r="M1764" s="72" t="str">
        <f>IF(E1764="","",IF(L1764&lt;&gt;"",L1764,IFERROR(IF(ISNUMBER(INDEX(art_tva,MATCH($E1764,art_ref,0))),INDEX(art_tva,MATCH($E1764,art_ref,0)),""),"")))</f>
        <v/>
      </c>
      <c r="N1764" s="70" t="str">
        <f>IF(OR(E1764="",J1764=""),"",ROUND(N(H1764)*J1764*(1-N(K1764)),2))</f>
        <v/>
      </c>
      <c r="O1764" s="70" t="str">
        <f>IF(OR(N1764="",NOT(ISNUMBER(M1764))),"",ROUND(N1764*M1764,2))</f>
        <v/>
      </c>
      <c r="P1764" s="70" t="str">
        <f>IF(N1764="","",N1764+N(O1764))</f>
        <v/>
      </c>
      <c r="Q1764" s="64" t="n"/>
      <c r="R1764" s="73" t="str">
        <f>IF(N(Q1764)&gt;0,Q1764,IF(OR(N(B1764)=0,ISNA(MATCH($C1764,sup_code,0))),"",IF(ISNUMBER(INDEX(sup_delay,MATCH($C1764,sup_code,0))),B1764+INDEX(sup_delay,MATCH($C1764,sup_code,0)),"")))</f>
        <v/>
      </c>
      <c r="S1764" s="64" t="n"/>
      <c r="T1764" s="68" t="n"/>
      <c r="U1764" s="64" t="n"/>
      <c r="V1764" s="65" t="n"/>
      <c r="W1764" s="74" t="str">
        <f>IF(AND(A1764="",E1764=""),"",IF(V1764="Oui",0,MAX(0,ROUND(N(H1764)-N(T1764),6))))</f>
        <v/>
      </c>
      <c r="X1764" s="67" t="str">
        <f>IF(AND(A1764="",E1764=""),"",IF(V1764="Oui","Annulé",IF(AND(N(H1764)&gt;0,N(T1764)&gt;=N(H1764)),"Reçu",IF(N(S1764)=0,"Brouillon",IF(AND(ISNUMBER(R1764),R1764&lt;p_today),"En retard",IF(N(T1764)&gt;0,"Partiel","Envoyé"))))))</f>
        <v/>
      </c>
      <c r="Y1764" s="75" t="str">
        <f>IF(X1764="En retard",p_today-R1764,IF(AND(X1764="Reçu",ISNUMBER(R1764)),MAX(0,N(U1764)-R1764),""))</f>
        <v/>
      </c>
      <c r="Z1764" s="67" t="str">
        <f>IF(AND(A1764="",E1764=""),"",IF(A1764="","N° de bon manquant",IF(N(B1764)=0,"Date de commande manquante",IF(C1764="","Fournisseur manquant",IF(ISNA(MATCH($C1764,sup_code,0)),"Fournisseur inconnu",IF(E1764="","Article manquant",IF(ISNA(MATCH($E1764,art_ref,0)),"Article inconnu",IF(N(H1764)&lt;=0,"Quantité invalide",IF(J1764="","Prix manquant",IF(OR(N(K1764)&lt;0,N(K1764)&gt;=1),"Remise invalide",IF(M1764="","TVA manquante",IF(ISNA(MATCH(M1764,p_tva,0)),"Taux de TVA inconnu",IF(COUNTIFS(po_num,A1764,po_sup,"&lt;&gt;"&amp;C1764)&gt;0,"Fournisseur différent sur ce bon",IF(COUNTIFS(po_num,A1764,po_date,"&lt;&gt;"&amp;B1764)&gt;0,"Date différente sur ce bon",IF(COUNTIF(po_num,A1764)&gt;25,"Plus de 25 lignes sur ce bon",IF(R1764="","Date de livraison manquante",IF(R1764&lt;B1764,"Livraison avant la commande",IF(AND(N(T1764)&gt;0,N(S1764)=0),"Date d'envoi manquante",IF(N(T1764)&gt;N(H1764),"Reçu plus que commandé",IF(AND(N(T1764)&gt;0,N(U1764)=0),"Date de réception manquante",IF(AND(N(U1764)&gt;0,U1764&lt;B1764),"Réception avant la commande","OK")))))))))))))))))))))</f>
        <v/>
      </c>
      <c r="AA1764" s="66" t="str">
        <f>IF(AND(X1764="Reçu",ISNUMBER(R1764)),IF(N(U1764)&lt;=R1764,1,0),"")</f>
        <v/>
      </c>
      <c r="AB1764" s="76" t="str">
        <f>IF(OR(X1764="Envoyé",X1764="Partiel",X1764="En retard"),IF(ISNUMBER(R1764),R1764,100000)+ROW()/100000,"")</f>
        <v/>
      </c>
      <c r="AC1764" s="66" t="str">
        <f>IF(A1764="","",IF(COUNTIF($A$6:A1764,A1764)=1,1,""))</f>
        <v/>
      </c>
      <c r="AD1764" s="66" t="str">
        <f>IF(AC1764=1,COUNT($AC$6:AC1764),"")</f>
        <v/>
      </c>
      <c r="AE1764" s="66" t="str">
        <f>IFERROR(INDEX(po_num,MATCH(1759,po_seq,0))&amp;"","")</f>
        <v/>
      </c>
      <c r="AF1764" s="66" t="str">
        <f>IF(OR(A1764="",p_po=""),"",IF(A1764&amp;""=p_po,COUNTIF($A$6:A1764,A1764),""))</f>
        <v/>
      </c>
      <c r="AG1764" s="66" t="str">
        <f>IF(OR(AB1764="",A1764=""),"",IF(COUNTIFS($A$6:A1764,A1764,$AB$6:AB1764,"&gt;0")=1,1,""))</f>
        <v/>
      </c>
      <c r="AH1764" s="70" t="str">
        <f>IF(AB1764="","",ROUND(N(W1764)*N(J1764)*(1-N(K1764)),2))</f>
        <v/>
      </c>
      <c r="AI1764" s="70" t="str">
        <f>IF(OR(J1764="",N(T1764)&lt;=0,V1764="Oui"),"",ROUND(N(T1764)*J1764*(1-N(K1764)),2))</f>
        <v/>
      </c>
    </row>
    <row r="1765">
      <c r="A1765" s="63" t="n"/>
      <c r="B1765" s="64" t="n"/>
      <c r="C1765" s="65" t="n"/>
      <c r="D1765" s="66" t="str">
        <f>IF(C1765="","",IFERROR(INDEX(sup_name,MATCH($C1765,sup_code,0))&amp;"","Fournisseur inconnu"))</f>
        <v/>
      </c>
      <c r="E1765" s="63" t="n"/>
      <c r="F1765" s="66" t="str">
        <f>IF(E1765="","",IFERROR(INDEX(art_des,MATCH($E1765,art_ref,0))&amp;"","Article inconnu"))</f>
        <v/>
      </c>
      <c r="G1765" s="67" t="str">
        <f>IF(E1765="","",IFERROR(INDEX(art_unit,MATCH($E1765,art_ref,0))&amp;"",""))</f>
        <v/>
      </c>
      <c r="H1765" s="68" t="n"/>
      <c r="I1765" s="69" t="n"/>
      <c r="J1765" s="70" t="str">
        <f>IF(E1765="","",IF(ISNUMBER(I1765),I1765,IFERROR(IF(ISNUMBER(INDEX(art_price,MATCH($E1765,art_ref,0))),INDEX(art_price,MATCH($E1765,art_ref,0)),""),"")))</f>
        <v/>
      </c>
      <c r="K1765" s="71" t="n"/>
      <c r="L1765" s="72" t="n"/>
      <c r="M1765" s="72" t="str">
        <f>IF(E1765="","",IF(L1765&lt;&gt;"",L1765,IFERROR(IF(ISNUMBER(INDEX(art_tva,MATCH($E1765,art_ref,0))),INDEX(art_tva,MATCH($E1765,art_ref,0)),""),"")))</f>
        <v/>
      </c>
      <c r="N1765" s="70" t="str">
        <f>IF(OR(E1765="",J1765=""),"",ROUND(N(H1765)*J1765*(1-N(K1765)),2))</f>
        <v/>
      </c>
      <c r="O1765" s="70" t="str">
        <f>IF(OR(N1765="",NOT(ISNUMBER(M1765))),"",ROUND(N1765*M1765,2))</f>
        <v/>
      </c>
      <c r="P1765" s="70" t="str">
        <f>IF(N1765="","",N1765+N(O1765))</f>
        <v/>
      </c>
      <c r="Q1765" s="64" t="n"/>
      <c r="R1765" s="73" t="str">
        <f>IF(N(Q1765)&gt;0,Q1765,IF(OR(N(B1765)=0,ISNA(MATCH($C1765,sup_code,0))),"",IF(ISNUMBER(INDEX(sup_delay,MATCH($C1765,sup_code,0))),B1765+INDEX(sup_delay,MATCH($C1765,sup_code,0)),"")))</f>
        <v/>
      </c>
      <c r="S1765" s="64" t="n"/>
      <c r="T1765" s="68" t="n"/>
      <c r="U1765" s="64" t="n"/>
      <c r="V1765" s="65" t="n"/>
      <c r="W1765" s="74" t="str">
        <f>IF(AND(A1765="",E1765=""),"",IF(V1765="Oui",0,MAX(0,ROUND(N(H1765)-N(T1765),6))))</f>
        <v/>
      </c>
      <c r="X1765" s="67" t="str">
        <f>IF(AND(A1765="",E1765=""),"",IF(V1765="Oui","Annulé",IF(AND(N(H1765)&gt;0,N(T1765)&gt;=N(H1765)),"Reçu",IF(N(S1765)=0,"Brouillon",IF(AND(ISNUMBER(R1765),R1765&lt;p_today),"En retard",IF(N(T1765)&gt;0,"Partiel","Envoyé"))))))</f>
        <v/>
      </c>
      <c r="Y1765" s="75" t="str">
        <f>IF(X1765="En retard",p_today-R1765,IF(AND(X1765="Reçu",ISNUMBER(R1765)),MAX(0,N(U1765)-R1765),""))</f>
        <v/>
      </c>
      <c r="Z1765" s="67" t="str">
        <f>IF(AND(A1765="",E1765=""),"",IF(A1765="","N° de bon manquant",IF(N(B1765)=0,"Date de commande manquante",IF(C1765="","Fournisseur manquant",IF(ISNA(MATCH($C1765,sup_code,0)),"Fournisseur inconnu",IF(E1765="","Article manquant",IF(ISNA(MATCH($E1765,art_ref,0)),"Article inconnu",IF(N(H1765)&lt;=0,"Quantité invalide",IF(J1765="","Prix manquant",IF(OR(N(K1765)&lt;0,N(K1765)&gt;=1),"Remise invalide",IF(M1765="","TVA manquante",IF(ISNA(MATCH(M1765,p_tva,0)),"Taux de TVA inconnu",IF(COUNTIFS(po_num,A1765,po_sup,"&lt;&gt;"&amp;C1765)&gt;0,"Fournisseur différent sur ce bon",IF(COUNTIFS(po_num,A1765,po_date,"&lt;&gt;"&amp;B1765)&gt;0,"Date différente sur ce bon",IF(COUNTIF(po_num,A1765)&gt;25,"Plus de 25 lignes sur ce bon",IF(R1765="","Date de livraison manquante",IF(R1765&lt;B1765,"Livraison avant la commande",IF(AND(N(T1765)&gt;0,N(S1765)=0),"Date d'envoi manquante",IF(N(T1765)&gt;N(H1765),"Reçu plus que commandé",IF(AND(N(T1765)&gt;0,N(U1765)=0),"Date de réception manquante",IF(AND(N(U1765)&gt;0,U1765&lt;B1765),"Réception avant la commande","OK")))))))))))))))))))))</f>
        <v/>
      </c>
      <c r="AA1765" s="66" t="str">
        <f>IF(AND(X1765="Reçu",ISNUMBER(R1765)),IF(N(U1765)&lt;=R1765,1,0),"")</f>
        <v/>
      </c>
      <c r="AB1765" s="76" t="str">
        <f>IF(OR(X1765="Envoyé",X1765="Partiel",X1765="En retard"),IF(ISNUMBER(R1765),R1765,100000)+ROW()/100000,"")</f>
        <v/>
      </c>
      <c r="AC1765" s="66" t="str">
        <f>IF(A1765="","",IF(COUNTIF($A$6:A1765,A1765)=1,1,""))</f>
        <v/>
      </c>
      <c r="AD1765" s="66" t="str">
        <f>IF(AC1765=1,COUNT($AC$6:AC1765),"")</f>
        <v/>
      </c>
      <c r="AE1765" s="66" t="str">
        <f>IFERROR(INDEX(po_num,MATCH(1760,po_seq,0))&amp;"","")</f>
        <v/>
      </c>
      <c r="AF1765" s="66" t="str">
        <f>IF(OR(A1765="",p_po=""),"",IF(A1765&amp;""=p_po,COUNTIF($A$6:A1765,A1765),""))</f>
        <v/>
      </c>
      <c r="AG1765" s="66" t="str">
        <f>IF(OR(AB1765="",A1765=""),"",IF(COUNTIFS($A$6:A1765,A1765,$AB$6:AB1765,"&gt;0")=1,1,""))</f>
        <v/>
      </c>
      <c r="AH1765" s="70" t="str">
        <f>IF(AB1765="","",ROUND(N(W1765)*N(J1765)*(1-N(K1765)),2))</f>
        <v/>
      </c>
      <c r="AI1765" s="70" t="str">
        <f>IF(OR(J1765="",N(T1765)&lt;=0,V1765="Oui"),"",ROUND(N(T1765)*J1765*(1-N(K1765)),2))</f>
        <v/>
      </c>
    </row>
    <row r="1766">
      <c r="A1766" s="63" t="n"/>
      <c r="B1766" s="64" t="n"/>
      <c r="C1766" s="65" t="n"/>
      <c r="D1766" s="66" t="str">
        <f>IF(C1766="","",IFERROR(INDEX(sup_name,MATCH($C1766,sup_code,0))&amp;"","Fournisseur inconnu"))</f>
        <v/>
      </c>
      <c r="E1766" s="63" t="n"/>
      <c r="F1766" s="66" t="str">
        <f>IF(E1766="","",IFERROR(INDEX(art_des,MATCH($E1766,art_ref,0))&amp;"","Article inconnu"))</f>
        <v/>
      </c>
      <c r="G1766" s="67" t="str">
        <f>IF(E1766="","",IFERROR(INDEX(art_unit,MATCH($E1766,art_ref,0))&amp;"",""))</f>
        <v/>
      </c>
      <c r="H1766" s="68" t="n"/>
      <c r="I1766" s="69" t="n"/>
      <c r="J1766" s="70" t="str">
        <f>IF(E1766="","",IF(ISNUMBER(I1766),I1766,IFERROR(IF(ISNUMBER(INDEX(art_price,MATCH($E1766,art_ref,0))),INDEX(art_price,MATCH($E1766,art_ref,0)),""),"")))</f>
        <v/>
      </c>
      <c r="K1766" s="71" t="n"/>
      <c r="L1766" s="72" t="n"/>
      <c r="M1766" s="72" t="str">
        <f>IF(E1766="","",IF(L1766&lt;&gt;"",L1766,IFERROR(IF(ISNUMBER(INDEX(art_tva,MATCH($E1766,art_ref,0))),INDEX(art_tva,MATCH($E1766,art_ref,0)),""),"")))</f>
        <v/>
      </c>
      <c r="N1766" s="70" t="str">
        <f>IF(OR(E1766="",J1766=""),"",ROUND(N(H1766)*J1766*(1-N(K1766)),2))</f>
        <v/>
      </c>
      <c r="O1766" s="70" t="str">
        <f>IF(OR(N1766="",NOT(ISNUMBER(M1766))),"",ROUND(N1766*M1766,2))</f>
        <v/>
      </c>
      <c r="P1766" s="70" t="str">
        <f>IF(N1766="","",N1766+N(O1766))</f>
        <v/>
      </c>
      <c r="Q1766" s="64" t="n"/>
      <c r="R1766" s="73" t="str">
        <f>IF(N(Q1766)&gt;0,Q1766,IF(OR(N(B1766)=0,ISNA(MATCH($C1766,sup_code,0))),"",IF(ISNUMBER(INDEX(sup_delay,MATCH($C1766,sup_code,0))),B1766+INDEX(sup_delay,MATCH($C1766,sup_code,0)),"")))</f>
        <v/>
      </c>
      <c r="S1766" s="64" t="n"/>
      <c r="T1766" s="68" t="n"/>
      <c r="U1766" s="64" t="n"/>
      <c r="V1766" s="65" t="n"/>
      <c r="W1766" s="74" t="str">
        <f>IF(AND(A1766="",E1766=""),"",IF(V1766="Oui",0,MAX(0,ROUND(N(H1766)-N(T1766),6))))</f>
        <v/>
      </c>
      <c r="X1766" s="67" t="str">
        <f>IF(AND(A1766="",E1766=""),"",IF(V1766="Oui","Annulé",IF(AND(N(H1766)&gt;0,N(T1766)&gt;=N(H1766)),"Reçu",IF(N(S1766)=0,"Brouillon",IF(AND(ISNUMBER(R1766),R1766&lt;p_today),"En retard",IF(N(T1766)&gt;0,"Partiel","Envoyé"))))))</f>
        <v/>
      </c>
      <c r="Y1766" s="75" t="str">
        <f>IF(X1766="En retard",p_today-R1766,IF(AND(X1766="Reçu",ISNUMBER(R1766)),MAX(0,N(U1766)-R1766),""))</f>
        <v/>
      </c>
      <c r="Z1766" s="67" t="str">
        <f>IF(AND(A1766="",E1766=""),"",IF(A1766="","N° de bon manquant",IF(N(B1766)=0,"Date de commande manquante",IF(C1766="","Fournisseur manquant",IF(ISNA(MATCH($C1766,sup_code,0)),"Fournisseur inconnu",IF(E1766="","Article manquant",IF(ISNA(MATCH($E1766,art_ref,0)),"Article inconnu",IF(N(H1766)&lt;=0,"Quantité invalide",IF(J1766="","Prix manquant",IF(OR(N(K1766)&lt;0,N(K1766)&gt;=1),"Remise invalide",IF(M1766="","TVA manquante",IF(ISNA(MATCH(M1766,p_tva,0)),"Taux de TVA inconnu",IF(COUNTIFS(po_num,A1766,po_sup,"&lt;&gt;"&amp;C1766)&gt;0,"Fournisseur différent sur ce bon",IF(COUNTIFS(po_num,A1766,po_date,"&lt;&gt;"&amp;B1766)&gt;0,"Date différente sur ce bon",IF(COUNTIF(po_num,A1766)&gt;25,"Plus de 25 lignes sur ce bon",IF(R1766="","Date de livraison manquante",IF(R1766&lt;B1766,"Livraison avant la commande",IF(AND(N(T1766)&gt;0,N(S1766)=0),"Date d'envoi manquante",IF(N(T1766)&gt;N(H1766),"Reçu plus que commandé",IF(AND(N(T1766)&gt;0,N(U1766)=0),"Date de réception manquante",IF(AND(N(U1766)&gt;0,U1766&lt;B1766),"Réception avant la commande","OK")))))))))))))))))))))</f>
        <v/>
      </c>
      <c r="AA1766" s="66" t="str">
        <f>IF(AND(X1766="Reçu",ISNUMBER(R1766)),IF(N(U1766)&lt;=R1766,1,0),"")</f>
        <v/>
      </c>
      <c r="AB1766" s="76" t="str">
        <f>IF(OR(X1766="Envoyé",X1766="Partiel",X1766="En retard"),IF(ISNUMBER(R1766),R1766,100000)+ROW()/100000,"")</f>
        <v/>
      </c>
      <c r="AC1766" s="66" t="str">
        <f>IF(A1766="","",IF(COUNTIF($A$6:A1766,A1766)=1,1,""))</f>
        <v/>
      </c>
      <c r="AD1766" s="66" t="str">
        <f>IF(AC1766=1,COUNT($AC$6:AC1766),"")</f>
        <v/>
      </c>
      <c r="AE1766" s="66" t="str">
        <f>IFERROR(INDEX(po_num,MATCH(1761,po_seq,0))&amp;"","")</f>
        <v/>
      </c>
      <c r="AF1766" s="66" t="str">
        <f>IF(OR(A1766="",p_po=""),"",IF(A1766&amp;""=p_po,COUNTIF($A$6:A1766,A1766),""))</f>
        <v/>
      </c>
      <c r="AG1766" s="66" t="str">
        <f>IF(OR(AB1766="",A1766=""),"",IF(COUNTIFS($A$6:A1766,A1766,$AB$6:AB1766,"&gt;0")=1,1,""))</f>
        <v/>
      </c>
      <c r="AH1766" s="70" t="str">
        <f>IF(AB1766="","",ROUND(N(W1766)*N(J1766)*(1-N(K1766)),2))</f>
        <v/>
      </c>
      <c r="AI1766" s="70" t="str">
        <f>IF(OR(J1766="",N(T1766)&lt;=0,V1766="Oui"),"",ROUND(N(T1766)*J1766*(1-N(K1766)),2))</f>
        <v/>
      </c>
    </row>
    <row r="1767">
      <c r="A1767" s="63" t="n"/>
      <c r="B1767" s="64" t="n"/>
      <c r="C1767" s="65" t="n"/>
      <c r="D1767" s="66" t="str">
        <f>IF(C1767="","",IFERROR(INDEX(sup_name,MATCH($C1767,sup_code,0))&amp;"","Fournisseur inconnu"))</f>
        <v/>
      </c>
      <c r="E1767" s="63" t="n"/>
      <c r="F1767" s="66" t="str">
        <f>IF(E1767="","",IFERROR(INDEX(art_des,MATCH($E1767,art_ref,0))&amp;"","Article inconnu"))</f>
        <v/>
      </c>
      <c r="G1767" s="67" t="str">
        <f>IF(E1767="","",IFERROR(INDEX(art_unit,MATCH($E1767,art_ref,0))&amp;"",""))</f>
        <v/>
      </c>
      <c r="H1767" s="68" t="n"/>
      <c r="I1767" s="69" t="n"/>
      <c r="J1767" s="70" t="str">
        <f>IF(E1767="","",IF(ISNUMBER(I1767),I1767,IFERROR(IF(ISNUMBER(INDEX(art_price,MATCH($E1767,art_ref,0))),INDEX(art_price,MATCH($E1767,art_ref,0)),""),"")))</f>
        <v/>
      </c>
      <c r="K1767" s="71" t="n"/>
      <c r="L1767" s="72" t="n"/>
      <c r="M1767" s="72" t="str">
        <f>IF(E1767="","",IF(L1767&lt;&gt;"",L1767,IFERROR(IF(ISNUMBER(INDEX(art_tva,MATCH($E1767,art_ref,0))),INDEX(art_tva,MATCH($E1767,art_ref,0)),""),"")))</f>
        <v/>
      </c>
      <c r="N1767" s="70" t="str">
        <f>IF(OR(E1767="",J1767=""),"",ROUND(N(H1767)*J1767*(1-N(K1767)),2))</f>
        <v/>
      </c>
      <c r="O1767" s="70" t="str">
        <f>IF(OR(N1767="",NOT(ISNUMBER(M1767))),"",ROUND(N1767*M1767,2))</f>
        <v/>
      </c>
      <c r="P1767" s="70" t="str">
        <f>IF(N1767="","",N1767+N(O1767))</f>
        <v/>
      </c>
      <c r="Q1767" s="64" t="n"/>
      <c r="R1767" s="73" t="str">
        <f>IF(N(Q1767)&gt;0,Q1767,IF(OR(N(B1767)=0,ISNA(MATCH($C1767,sup_code,0))),"",IF(ISNUMBER(INDEX(sup_delay,MATCH($C1767,sup_code,0))),B1767+INDEX(sup_delay,MATCH($C1767,sup_code,0)),"")))</f>
        <v/>
      </c>
      <c r="S1767" s="64" t="n"/>
      <c r="T1767" s="68" t="n"/>
      <c r="U1767" s="64" t="n"/>
      <c r="V1767" s="65" t="n"/>
      <c r="W1767" s="74" t="str">
        <f>IF(AND(A1767="",E1767=""),"",IF(V1767="Oui",0,MAX(0,ROUND(N(H1767)-N(T1767),6))))</f>
        <v/>
      </c>
      <c r="X1767" s="67" t="str">
        <f>IF(AND(A1767="",E1767=""),"",IF(V1767="Oui","Annulé",IF(AND(N(H1767)&gt;0,N(T1767)&gt;=N(H1767)),"Reçu",IF(N(S1767)=0,"Brouillon",IF(AND(ISNUMBER(R1767),R1767&lt;p_today),"En retard",IF(N(T1767)&gt;0,"Partiel","Envoyé"))))))</f>
        <v/>
      </c>
      <c r="Y1767" s="75" t="str">
        <f>IF(X1767="En retard",p_today-R1767,IF(AND(X1767="Reçu",ISNUMBER(R1767)),MAX(0,N(U1767)-R1767),""))</f>
        <v/>
      </c>
      <c r="Z1767" s="67" t="str">
        <f>IF(AND(A1767="",E1767=""),"",IF(A1767="","N° de bon manquant",IF(N(B1767)=0,"Date de commande manquante",IF(C1767="","Fournisseur manquant",IF(ISNA(MATCH($C1767,sup_code,0)),"Fournisseur inconnu",IF(E1767="","Article manquant",IF(ISNA(MATCH($E1767,art_ref,0)),"Article inconnu",IF(N(H1767)&lt;=0,"Quantité invalide",IF(J1767="","Prix manquant",IF(OR(N(K1767)&lt;0,N(K1767)&gt;=1),"Remise invalide",IF(M1767="","TVA manquante",IF(ISNA(MATCH(M1767,p_tva,0)),"Taux de TVA inconnu",IF(COUNTIFS(po_num,A1767,po_sup,"&lt;&gt;"&amp;C1767)&gt;0,"Fournisseur différent sur ce bon",IF(COUNTIFS(po_num,A1767,po_date,"&lt;&gt;"&amp;B1767)&gt;0,"Date différente sur ce bon",IF(COUNTIF(po_num,A1767)&gt;25,"Plus de 25 lignes sur ce bon",IF(R1767="","Date de livraison manquante",IF(R1767&lt;B1767,"Livraison avant la commande",IF(AND(N(T1767)&gt;0,N(S1767)=0),"Date d'envoi manquante",IF(N(T1767)&gt;N(H1767),"Reçu plus que commandé",IF(AND(N(T1767)&gt;0,N(U1767)=0),"Date de réception manquante",IF(AND(N(U1767)&gt;0,U1767&lt;B1767),"Réception avant la commande","OK")))))))))))))))))))))</f>
        <v/>
      </c>
      <c r="AA1767" s="66" t="str">
        <f>IF(AND(X1767="Reçu",ISNUMBER(R1767)),IF(N(U1767)&lt;=R1767,1,0),"")</f>
        <v/>
      </c>
      <c r="AB1767" s="76" t="str">
        <f>IF(OR(X1767="Envoyé",X1767="Partiel",X1767="En retard"),IF(ISNUMBER(R1767),R1767,100000)+ROW()/100000,"")</f>
        <v/>
      </c>
      <c r="AC1767" s="66" t="str">
        <f>IF(A1767="","",IF(COUNTIF($A$6:A1767,A1767)=1,1,""))</f>
        <v/>
      </c>
      <c r="AD1767" s="66" t="str">
        <f>IF(AC1767=1,COUNT($AC$6:AC1767),"")</f>
        <v/>
      </c>
      <c r="AE1767" s="66" t="str">
        <f>IFERROR(INDEX(po_num,MATCH(1762,po_seq,0))&amp;"","")</f>
        <v/>
      </c>
      <c r="AF1767" s="66" t="str">
        <f>IF(OR(A1767="",p_po=""),"",IF(A1767&amp;""=p_po,COUNTIF($A$6:A1767,A1767),""))</f>
        <v/>
      </c>
      <c r="AG1767" s="66" t="str">
        <f>IF(OR(AB1767="",A1767=""),"",IF(COUNTIFS($A$6:A1767,A1767,$AB$6:AB1767,"&gt;0")=1,1,""))</f>
        <v/>
      </c>
      <c r="AH1767" s="70" t="str">
        <f>IF(AB1767="","",ROUND(N(W1767)*N(J1767)*(1-N(K1767)),2))</f>
        <v/>
      </c>
      <c r="AI1767" s="70" t="str">
        <f>IF(OR(J1767="",N(T1767)&lt;=0,V1767="Oui"),"",ROUND(N(T1767)*J1767*(1-N(K1767)),2))</f>
        <v/>
      </c>
    </row>
    <row r="1768">
      <c r="A1768" s="63" t="n"/>
      <c r="B1768" s="64" t="n"/>
      <c r="C1768" s="65" t="n"/>
      <c r="D1768" s="66" t="str">
        <f>IF(C1768="","",IFERROR(INDEX(sup_name,MATCH($C1768,sup_code,0))&amp;"","Fournisseur inconnu"))</f>
        <v/>
      </c>
      <c r="E1768" s="63" t="n"/>
      <c r="F1768" s="66" t="str">
        <f>IF(E1768="","",IFERROR(INDEX(art_des,MATCH($E1768,art_ref,0))&amp;"","Article inconnu"))</f>
        <v/>
      </c>
      <c r="G1768" s="67" t="str">
        <f>IF(E1768="","",IFERROR(INDEX(art_unit,MATCH($E1768,art_ref,0))&amp;"",""))</f>
        <v/>
      </c>
      <c r="H1768" s="68" t="n"/>
      <c r="I1768" s="69" t="n"/>
      <c r="J1768" s="70" t="str">
        <f>IF(E1768="","",IF(ISNUMBER(I1768),I1768,IFERROR(IF(ISNUMBER(INDEX(art_price,MATCH($E1768,art_ref,0))),INDEX(art_price,MATCH($E1768,art_ref,0)),""),"")))</f>
        <v/>
      </c>
      <c r="K1768" s="71" t="n"/>
      <c r="L1768" s="72" t="n"/>
      <c r="M1768" s="72" t="str">
        <f>IF(E1768="","",IF(L1768&lt;&gt;"",L1768,IFERROR(IF(ISNUMBER(INDEX(art_tva,MATCH($E1768,art_ref,0))),INDEX(art_tva,MATCH($E1768,art_ref,0)),""),"")))</f>
        <v/>
      </c>
      <c r="N1768" s="70" t="str">
        <f>IF(OR(E1768="",J1768=""),"",ROUND(N(H1768)*J1768*(1-N(K1768)),2))</f>
        <v/>
      </c>
      <c r="O1768" s="70" t="str">
        <f>IF(OR(N1768="",NOT(ISNUMBER(M1768))),"",ROUND(N1768*M1768,2))</f>
        <v/>
      </c>
      <c r="P1768" s="70" t="str">
        <f>IF(N1768="","",N1768+N(O1768))</f>
        <v/>
      </c>
      <c r="Q1768" s="64" t="n"/>
      <c r="R1768" s="73" t="str">
        <f>IF(N(Q1768)&gt;0,Q1768,IF(OR(N(B1768)=0,ISNA(MATCH($C1768,sup_code,0))),"",IF(ISNUMBER(INDEX(sup_delay,MATCH($C1768,sup_code,0))),B1768+INDEX(sup_delay,MATCH($C1768,sup_code,0)),"")))</f>
        <v/>
      </c>
      <c r="S1768" s="64" t="n"/>
      <c r="T1768" s="68" t="n"/>
      <c r="U1768" s="64" t="n"/>
      <c r="V1768" s="65" t="n"/>
      <c r="W1768" s="74" t="str">
        <f>IF(AND(A1768="",E1768=""),"",IF(V1768="Oui",0,MAX(0,ROUND(N(H1768)-N(T1768),6))))</f>
        <v/>
      </c>
      <c r="X1768" s="67" t="str">
        <f>IF(AND(A1768="",E1768=""),"",IF(V1768="Oui","Annulé",IF(AND(N(H1768)&gt;0,N(T1768)&gt;=N(H1768)),"Reçu",IF(N(S1768)=0,"Brouillon",IF(AND(ISNUMBER(R1768),R1768&lt;p_today),"En retard",IF(N(T1768)&gt;0,"Partiel","Envoyé"))))))</f>
        <v/>
      </c>
      <c r="Y1768" s="75" t="str">
        <f>IF(X1768="En retard",p_today-R1768,IF(AND(X1768="Reçu",ISNUMBER(R1768)),MAX(0,N(U1768)-R1768),""))</f>
        <v/>
      </c>
      <c r="Z1768" s="67" t="str">
        <f>IF(AND(A1768="",E1768=""),"",IF(A1768="","N° de bon manquant",IF(N(B1768)=0,"Date de commande manquante",IF(C1768="","Fournisseur manquant",IF(ISNA(MATCH($C1768,sup_code,0)),"Fournisseur inconnu",IF(E1768="","Article manquant",IF(ISNA(MATCH($E1768,art_ref,0)),"Article inconnu",IF(N(H1768)&lt;=0,"Quantité invalide",IF(J1768="","Prix manquant",IF(OR(N(K1768)&lt;0,N(K1768)&gt;=1),"Remise invalide",IF(M1768="","TVA manquante",IF(ISNA(MATCH(M1768,p_tva,0)),"Taux de TVA inconnu",IF(COUNTIFS(po_num,A1768,po_sup,"&lt;&gt;"&amp;C1768)&gt;0,"Fournisseur différent sur ce bon",IF(COUNTIFS(po_num,A1768,po_date,"&lt;&gt;"&amp;B1768)&gt;0,"Date différente sur ce bon",IF(COUNTIF(po_num,A1768)&gt;25,"Plus de 25 lignes sur ce bon",IF(R1768="","Date de livraison manquante",IF(R1768&lt;B1768,"Livraison avant la commande",IF(AND(N(T1768)&gt;0,N(S1768)=0),"Date d'envoi manquante",IF(N(T1768)&gt;N(H1768),"Reçu plus que commandé",IF(AND(N(T1768)&gt;0,N(U1768)=0),"Date de réception manquante",IF(AND(N(U1768)&gt;0,U1768&lt;B1768),"Réception avant la commande","OK")))))))))))))))))))))</f>
        <v/>
      </c>
      <c r="AA1768" s="66" t="str">
        <f>IF(AND(X1768="Reçu",ISNUMBER(R1768)),IF(N(U1768)&lt;=R1768,1,0),"")</f>
        <v/>
      </c>
      <c r="AB1768" s="76" t="str">
        <f>IF(OR(X1768="Envoyé",X1768="Partiel",X1768="En retard"),IF(ISNUMBER(R1768),R1768,100000)+ROW()/100000,"")</f>
        <v/>
      </c>
      <c r="AC1768" s="66" t="str">
        <f>IF(A1768="","",IF(COUNTIF($A$6:A1768,A1768)=1,1,""))</f>
        <v/>
      </c>
      <c r="AD1768" s="66" t="str">
        <f>IF(AC1768=1,COUNT($AC$6:AC1768),"")</f>
        <v/>
      </c>
      <c r="AE1768" s="66" t="str">
        <f>IFERROR(INDEX(po_num,MATCH(1763,po_seq,0))&amp;"","")</f>
        <v/>
      </c>
      <c r="AF1768" s="66" t="str">
        <f>IF(OR(A1768="",p_po=""),"",IF(A1768&amp;""=p_po,COUNTIF($A$6:A1768,A1768),""))</f>
        <v/>
      </c>
      <c r="AG1768" s="66" t="str">
        <f>IF(OR(AB1768="",A1768=""),"",IF(COUNTIFS($A$6:A1768,A1768,$AB$6:AB1768,"&gt;0")=1,1,""))</f>
        <v/>
      </c>
      <c r="AH1768" s="70" t="str">
        <f>IF(AB1768="","",ROUND(N(W1768)*N(J1768)*(1-N(K1768)),2))</f>
        <v/>
      </c>
      <c r="AI1768" s="70" t="str">
        <f>IF(OR(J1768="",N(T1768)&lt;=0,V1768="Oui"),"",ROUND(N(T1768)*J1768*(1-N(K1768)),2))</f>
        <v/>
      </c>
    </row>
    <row r="1769">
      <c r="A1769" s="63" t="n"/>
      <c r="B1769" s="64" t="n"/>
      <c r="C1769" s="65" t="n"/>
      <c r="D1769" s="66" t="str">
        <f>IF(C1769="","",IFERROR(INDEX(sup_name,MATCH($C1769,sup_code,0))&amp;"","Fournisseur inconnu"))</f>
        <v/>
      </c>
      <c r="E1769" s="63" t="n"/>
      <c r="F1769" s="66" t="str">
        <f>IF(E1769="","",IFERROR(INDEX(art_des,MATCH($E1769,art_ref,0))&amp;"","Article inconnu"))</f>
        <v/>
      </c>
      <c r="G1769" s="67" t="str">
        <f>IF(E1769="","",IFERROR(INDEX(art_unit,MATCH($E1769,art_ref,0))&amp;"",""))</f>
        <v/>
      </c>
      <c r="H1769" s="68" t="n"/>
      <c r="I1769" s="69" t="n"/>
      <c r="J1769" s="70" t="str">
        <f>IF(E1769="","",IF(ISNUMBER(I1769),I1769,IFERROR(IF(ISNUMBER(INDEX(art_price,MATCH($E1769,art_ref,0))),INDEX(art_price,MATCH($E1769,art_ref,0)),""),"")))</f>
        <v/>
      </c>
      <c r="K1769" s="71" t="n"/>
      <c r="L1769" s="72" t="n"/>
      <c r="M1769" s="72" t="str">
        <f>IF(E1769="","",IF(L1769&lt;&gt;"",L1769,IFERROR(IF(ISNUMBER(INDEX(art_tva,MATCH($E1769,art_ref,0))),INDEX(art_tva,MATCH($E1769,art_ref,0)),""),"")))</f>
        <v/>
      </c>
      <c r="N1769" s="70" t="str">
        <f>IF(OR(E1769="",J1769=""),"",ROUND(N(H1769)*J1769*(1-N(K1769)),2))</f>
        <v/>
      </c>
      <c r="O1769" s="70" t="str">
        <f>IF(OR(N1769="",NOT(ISNUMBER(M1769))),"",ROUND(N1769*M1769,2))</f>
        <v/>
      </c>
      <c r="P1769" s="70" t="str">
        <f>IF(N1769="","",N1769+N(O1769))</f>
        <v/>
      </c>
      <c r="Q1769" s="64" t="n"/>
      <c r="R1769" s="73" t="str">
        <f>IF(N(Q1769)&gt;0,Q1769,IF(OR(N(B1769)=0,ISNA(MATCH($C1769,sup_code,0))),"",IF(ISNUMBER(INDEX(sup_delay,MATCH($C1769,sup_code,0))),B1769+INDEX(sup_delay,MATCH($C1769,sup_code,0)),"")))</f>
        <v/>
      </c>
      <c r="S1769" s="64" t="n"/>
      <c r="T1769" s="68" t="n"/>
      <c r="U1769" s="64" t="n"/>
      <c r="V1769" s="65" t="n"/>
      <c r="W1769" s="74" t="str">
        <f>IF(AND(A1769="",E1769=""),"",IF(V1769="Oui",0,MAX(0,ROUND(N(H1769)-N(T1769),6))))</f>
        <v/>
      </c>
      <c r="X1769" s="67" t="str">
        <f>IF(AND(A1769="",E1769=""),"",IF(V1769="Oui","Annulé",IF(AND(N(H1769)&gt;0,N(T1769)&gt;=N(H1769)),"Reçu",IF(N(S1769)=0,"Brouillon",IF(AND(ISNUMBER(R1769),R1769&lt;p_today),"En retard",IF(N(T1769)&gt;0,"Partiel","Envoyé"))))))</f>
        <v/>
      </c>
      <c r="Y1769" s="75" t="str">
        <f>IF(X1769="En retard",p_today-R1769,IF(AND(X1769="Reçu",ISNUMBER(R1769)),MAX(0,N(U1769)-R1769),""))</f>
        <v/>
      </c>
      <c r="Z1769" s="67" t="str">
        <f>IF(AND(A1769="",E1769=""),"",IF(A1769="","N° de bon manquant",IF(N(B1769)=0,"Date de commande manquante",IF(C1769="","Fournisseur manquant",IF(ISNA(MATCH($C1769,sup_code,0)),"Fournisseur inconnu",IF(E1769="","Article manquant",IF(ISNA(MATCH($E1769,art_ref,0)),"Article inconnu",IF(N(H1769)&lt;=0,"Quantité invalide",IF(J1769="","Prix manquant",IF(OR(N(K1769)&lt;0,N(K1769)&gt;=1),"Remise invalide",IF(M1769="","TVA manquante",IF(ISNA(MATCH(M1769,p_tva,0)),"Taux de TVA inconnu",IF(COUNTIFS(po_num,A1769,po_sup,"&lt;&gt;"&amp;C1769)&gt;0,"Fournisseur différent sur ce bon",IF(COUNTIFS(po_num,A1769,po_date,"&lt;&gt;"&amp;B1769)&gt;0,"Date différente sur ce bon",IF(COUNTIF(po_num,A1769)&gt;25,"Plus de 25 lignes sur ce bon",IF(R1769="","Date de livraison manquante",IF(R1769&lt;B1769,"Livraison avant la commande",IF(AND(N(T1769)&gt;0,N(S1769)=0),"Date d'envoi manquante",IF(N(T1769)&gt;N(H1769),"Reçu plus que commandé",IF(AND(N(T1769)&gt;0,N(U1769)=0),"Date de réception manquante",IF(AND(N(U1769)&gt;0,U1769&lt;B1769),"Réception avant la commande","OK")))))))))))))))))))))</f>
        <v/>
      </c>
      <c r="AA1769" s="66" t="str">
        <f>IF(AND(X1769="Reçu",ISNUMBER(R1769)),IF(N(U1769)&lt;=R1769,1,0),"")</f>
        <v/>
      </c>
      <c r="AB1769" s="76" t="str">
        <f>IF(OR(X1769="Envoyé",X1769="Partiel",X1769="En retard"),IF(ISNUMBER(R1769),R1769,100000)+ROW()/100000,"")</f>
        <v/>
      </c>
      <c r="AC1769" s="66" t="str">
        <f>IF(A1769="","",IF(COUNTIF($A$6:A1769,A1769)=1,1,""))</f>
        <v/>
      </c>
      <c r="AD1769" s="66" t="str">
        <f>IF(AC1769=1,COUNT($AC$6:AC1769),"")</f>
        <v/>
      </c>
      <c r="AE1769" s="66" t="str">
        <f>IFERROR(INDEX(po_num,MATCH(1764,po_seq,0))&amp;"","")</f>
        <v/>
      </c>
      <c r="AF1769" s="66" t="str">
        <f>IF(OR(A1769="",p_po=""),"",IF(A1769&amp;""=p_po,COUNTIF($A$6:A1769,A1769),""))</f>
        <v/>
      </c>
      <c r="AG1769" s="66" t="str">
        <f>IF(OR(AB1769="",A1769=""),"",IF(COUNTIFS($A$6:A1769,A1769,$AB$6:AB1769,"&gt;0")=1,1,""))</f>
        <v/>
      </c>
      <c r="AH1769" s="70" t="str">
        <f>IF(AB1769="","",ROUND(N(W1769)*N(J1769)*(1-N(K1769)),2))</f>
        <v/>
      </c>
      <c r="AI1769" s="70" t="str">
        <f>IF(OR(J1769="",N(T1769)&lt;=0,V1769="Oui"),"",ROUND(N(T1769)*J1769*(1-N(K1769)),2))</f>
        <v/>
      </c>
    </row>
    <row r="1770">
      <c r="A1770" s="63" t="n"/>
      <c r="B1770" s="64" t="n"/>
      <c r="C1770" s="65" t="n"/>
      <c r="D1770" s="66" t="str">
        <f>IF(C1770="","",IFERROR(INDEX(sup_name,MATCH($C1770,sup_code,0))&amp;"","Fournisseur inconnu"))</f>
        <v/>
      </c>
      <c r="E1770" s="63" t="n"/>
      <c r="F1770" s="66" t="str">
        <f>IF(E1770="","",IFERROR(INDEX(art_des,MATCH($E1770,art_ref,0))&amp;"","Article inconnu"))</f>
        <v/>
      </c>
      <c r="G1770" s="67" t="str">
        <f>IF(E1770="","",IFERROR(INDEX(art_unit,MATCH($E1770,art_ref,0))&amp;"",""))</f>
        <v/>
      </c>
      <c r="H1770" s="68" t="n"/>
      <c r="I1770" s="69" t="n"/>
      <c r="J1770" s="70" t="str">
        <f>IF(E1770="","",IF(ISNUMBER(I1770),I1770,IFERROR(IF(ISNUMBER(INDEX(art_price,MATCH($E1770,art_ref,0))),INDEX(art_price,MATCH($E1770,art_ref,0)),""),"")))</f>
        <v/>
      </c>
      <c r="K1770" s="71" t="n"/>
      <c r="L1770" s="72" t="n"/>
      <c r="M1770" s="72" t="str">
        <f>IF(E1770="","",IF(L1770&lt;&gt;"",L1770,IFERROR(IF(ISNUMBER(INDEX(art_tva,MATCH($E1770,art_ref,0))),INDEX(art_tva,MATCH($E1770,art_ref,0)),""),"")))</f>
        <v/>
      </c>
      <c r="N1770" s="70" t="str">
        <f>IF(OR(E1770="",J1770=""),"",ROUND(N(H1770)*J1770*(1-N(K1770)),2))</f>
        <v/>
      </c>
      <c r="O1770" s="70" t="str">
        <f>IF(OR(N1770="",NOT(ISNUMBER(M1770))),"",ROUND(N1770*M1770,2))</f>
        <v/>
      </c>
      <c r="P1770" s="70" t="str">
        <f>IF(N1770="","",N1770+N(O1770))</f>
        <v/>
      </c>
      <c r="Q1770" s="64" t="n"/>
      <c r="R1770" s="73" t="str">
        <f>IF(N(Q1770)&gt;0,Q1770,IF(OR(N(B1770)=0,ISNA(MATCH($C1770,sup_code,0))),"",IF(ISNUMBER(INDEX(sup_delay,MATCH($C1770,sup_code,0))),B1770+INDEX(sup_delay,MATCH($C1770,sup_code,0)),"")))</f>
        <v/>
      </c>
      <c r="S1770" s="64" t="n"/>
      <c r="T1770" s="68" t="n"/>
      <c r="U1770" s="64" t="n"/>
      <c r="V1770" s="65" t="n"/>
      <c r="W1770" s="74" t="str">
        <f>IF(AND(A1770="",E1770=""),"",IF(V1770="Oui",0,MAX(0,ROUND(N(H1770)-N(T1770),6))))</f>
        <v/>
      </c>
      <c r="X1770" s="67" t="str">
        <f>IF(AND(A1770="",E1770=""),"",IF(V1770="Oui","Annulé",IF(AND(N(H1770)&gt;0,N(T1770)&gt;=N(H1770)),"Reçu",IF(N(S1770)=0,"Brouillon",IF(AND(ISNUMBER(R1770),R1770&lt;p_today),"En retard",IF(N(T1770)&gt;0,"Partiel","Envoyé"))))))</f>
        <v/>
      </c>
      <c r="Y1770" s="75" t="str">
        <f>IF(X1770="En retard",p_today-R1770,IF(AND(X1770="Reçu",ISNUMBER(R1770)),MAX(0,N(U1770)-R1770),""))</f>
        <v/>
      </c>
      <c r="Z1770" s="67" t="str">
        <f>IF(AND(A1770="",E1770=""),"",IF(A1770="","N° de bon manquant",IF(N(B1770)=0,"Date de commande manquante",IF(C1770="","Fournisseur manquant",IF(ISNA(MATCH($C1770,sup_code,0)),"Fournisseur inconnu",IF(E1770="","Article manquant",IF(ISNA(MATCH($E1770,art_ref,0)),"Article inconnu",IF(N(H1770)&lt;=0,"Quantité invalide",IF(J1770="","Prix manquant",IF(OR(N(K1770)&lt;0,N(K1770)&gt;=1),"Remise invalide",IF(M1770="","TVA manquante",IF(ISNA(MATCH(M1770,p_tva,0)),"Taux de TVA inconnu",IF(COUNTIFS(po_num,A1770,po_sup,"&lt;&gt;"&amp;C1770)&gt;0,"Fournisseur différent sur ce bon",IF(COUNTIFS(po_num,A1770,po_date,"&lt;&gt;"&amp;B1770)&gt;0,"Date différente sur ce bon",IF(COUNTIF(po_num,A1770)&gt;25,"Plus de 25 lignes sur ce bon",IF(R1770="","Date de livraison manquante",IF(R1770&lt;B1770,"Livraison avant la commande",IF(AND(N(T1770)&gt;0,N(S1770)=0),"Date d'envoi manquante",IF(N(T1770)&gt;N(H1770),"Reçu plus que commandé",IF(AND(N(T1770)&gt;0,N(U1770)=0),"Date de réception manquante",IF(AND(N(U1770)&gt;0,U1770&lt;B1770),"Réception avant la commande","OK")))))))))))))))))))))</f>
        <v/>
      </c>
      <c r="AA1770" s="66" t="str">
        <f>IF(AND(X1770="Reçu",ISNUMBER(R1770)),IF(N(U1770)&lt;=R1770,1,0),"")</f>
        <v/>
      </c>
      <c r="AB1770" s="76" t="str">
        <f>IF(OR(X1770="Envoyé",X1770="Partiel",X1770="En retard"),IF(ISNUMBER(R1770),R1770,100000)+ROW()/100000,"")</f>
        <v/>
      </c>
      <c r="AC1770" s="66" t="str">
        <f>IF(A1770="","",IF(COUNTIF($A$6:A1770,A1770)=1,1,""))</f>
        <v/>
      </c>
      <c r="AD1770" s="66" t="str">
        <f>IF(AC1770=1,COUNT($AC$6:AC1770),"")</f>
        <v/>
      </c>
      <c r="AE1770" s="66" t="str">
        <f>IFERROR(INDEX(po_num,MATCH(1765,po_seq,0))&amp;"","")</f>
        <v/>
      </c>
      <c r="AF1770" s="66" t="str">
        <f>IF(OR(A1770="",p_po=""),"",IF(A1770&amp;""=p_po,COUNTIF($A$6:A1770,A1770),""))</f>
        <v/>
      </c>
      <c r="AG1770" s="66" t="str">
        <f>IF(OR(AB1770="",A1770=""),"",IF(COUNTIFS($A$6:A1770,A1770,$AB$6:AB1770,"&gt;0")=1,1,""))</f>
        <v/>
      </c>
      <c r="AH1770" s="70" t="str">
        <f>IF(AB1770="","",ROUND(N(W1770)*N(J1770)*(1-N(K1770)),2))</f>
        <v/>
      </c>
      <c r="AI1770" s="70" t="str">
        <f>IF(OR(J1770="",N(T1770)&lt;=0,V1770="Oui"),"",ROUND(N(T1770)*J1770*(1-N(K1770)),2))</f>
        <v/>
      </c>
    </row>
    <row r="1771">
      <c r="A1771" s="63" t="n"/>
      <c r="B1771" s="64" t="n"/>
      <c r="C1771" s="65" t="n"/>
      <c r="D1771" s="66" t="str">
        <f>IF(C1771="","",IFERROR(INDEX(sup_name,MATCH($C1771,sup_code,0))&amp;"","Fournisseur inconnu"))</f>
        <v/>
      </c>
      <c r="E1771" s="63" t="n"/>
      <c r="F1771" s="66" t="str">
        <f>IF(E1771="","",IFERROR(INDEX(art_des,MATCH($E1771,art_ref,0))&amp;"","Article inconnu"))</f>
        <v/>
      </c>
      <c r="G1771" s="67" t="str">
        <f>IF(E1771="","",IFERROR(INDEX(art_unit,MATCH($E1771,art_ref,0))&amp;"",""))</f>
        <v/>
      </c>
      <c r="H1771" s="68" t="n"/>
      <c r="I1771" s="69" t="n"/>
      <c r="J1771" s="70" t="str">
        <f>IF(E1771="","",IF(ISNUMBER(I1771),I1771,IFERROR(IF(ISNUMBER(INDEX(art_price,MATCH($E1771,art_ref,0))),INDEX(art_price,MATCH($E1771,art_ref,0)),""),"")))</f>
        <v/>
      </c>
      <c r="K1771" s="71" t="n"/>
      <c r="L1771" s="72" t="n"/>
      <c r="M1771" s="72" t="str">
        <f>IF(E1771="","",IF(L1771&lt;&gt;"",L1771,IFERROR(IF(ISNUMBER(INDEX(art_tva,MATCH($E1771,art_ref,0))),INDEX(art_tva,MATCH($E1771,art_ref,0)),""),"")))</f>
        <v/>
      </c>
      <c r="N1771" s="70" t="str">
        <f>IF(OR(E1771="",J1771=""),"",ROUND(N(H1771)*J1771*(1-N(K1771)),2))</f>
        <v/>
      </c>
      <c r="O1771" s="70" t="str">
        <f>IF(OR(N1771="",NOT(ISNUMBER(M1771))),"",ROUND(N1771*M1771,2))</f>
        <v/>
      </c>
      <c r="P1771" s="70" t="str">
        <f>IF(N1771="","",N1771+N(O1771))</f>
        <v/>
      </c>
      <c r="Q1771" s="64" t="n"/>
      <c r="R1771" s="73" t="str">
        <f>IF(N(Q1771)&gt;0,Q1771,IF(OR(N(B1771)=0,ISNA(MATCH($C1771,sup_code,0))),"",IF(ISNUMBER(INDEX(sup_delay,MATCH($C1771,sup_code,0))),B1771+INDEX(sup_delay,MATCH($C1771,sup_code,0)),"")))</f>
        <v/>
      </c>
      <c r="S1771" s="64" t="n"/>
      <c r="T1771" s="68" t="n"/>
      <c r="U1771" s="64" t="n"/>
      <c r="V1771" s="65" t="n"/>
      <c r="W1771" s="74" t="str">
        <f>IF(AND(A1771="",E1771=""),"",IF(V1771="Oui",0,MAX(0,ROUND(N(H1771)-N(T1771),6))))</f>
        <v/>
      </c>
      <c r="X1771" s="67" t="str">
        <f>IF(AND(A1771="",E1771=""),"",IF(V1771="Oui","Annulé",IF(AND(N(H1771)&gt;0,N(T1771)&gt;=N(H1771)),"Reçu",IF(N(S1771)=0,"Brouillon",IF(AND(ISNUMBER(R1771),R1771&lt;p_today),"En retard",IF(N(T1771)&gt;0,"Partiel","Envoyé"))))))</f>
        <v/>
      </c>
      <c r="Y1771" s="75" t="str">
        <f>IF(X1771="En retard",p_today-R1771,IF(AND(X1771="Reçu",ISNUMBER(R1771)),MAX(0,N(U1771)-R1771),""))</f>
        <v/>
      </c>
      <c r="Z1771" s="67" t="str">
        <f>IF(AND(A1771="",E1771=""),"",IF(A1771="","N° de bon manquant",IF(N(B1771)=0,"Date de commande manquante",IF(C1771="","Fournisseur manquant",IF(ISNA(MATCH($C1771,sup_code,0)),"Fournisseur inconnu",IF(E1771="","Article manquant",IF(ISNA(MATCH($E1771,art_ref,0)),"Article inconnu",IF(N(H1771)&lt;=0,"Quantité invalide",IF(J1771="","Prix manquant",IF(OR(N(K1771)&lt;0,N(K1771)&gt;=1),"Remise invalide",IF(M1771="","TVA manquante",IF(ISNA(MATCH(M1771,p_tva,0)),"Taux de TVA inconnu",IF(COUNTIFS(po_num,A1771,po_sup,"&lt;&gt;"&amp;C1771)&gt;0,"Fournisseur différent sur ce bon",IF(COUNTIFS(po_num,A1771,po_date,"&lt;&gt;"&amp;B1771)&gt;0,"Date différente sur ce bon",IF(COUNTIF(po_num,A1771)&gt;25,"Plus de 25 lignes sur ce bon",IF(R1771="","Date de livraison manquante",IF(R1771&lt;B1771,"Livraison avant la commande",IF(AND(N(T1771)&gt;0,N(S1771)=0),"Date d'envoi manquante",IF(N(T1771)&gt;N(H1771),"Reçu plus que commandé",IF(AND(N(T1771)&gt;0,N(U1771)=0),"Date de réception manquante",IF(AND(N(U1771)&gt;0,U1771&lt;B1771),"Réception avant la commande","OK")))))))))))))))))))))</f>
        <v/>
      </c>
      <c r="AA1771" s="66" t="str">
        <f>IF(AND(X1771="Reçu",ISNUMBER(R1771)),IF(N(U1771)&lt;=R1771,1,0),"")</f>
        <v/>
      </c>
      <c r="AB1771" s="76" t="str">
        <f>IF(OR(X1771="Envoyé",X1771="Partiel",X1771="En retard"),IF(ISNUMBER(R1771),R1771,100000)+ROW()/100000,"")</f>
        <v/>
      </c>
      <c r="AC1771" s="66" t="str">
        <f>IF(A1771="","",IF(COUNTIF($A$6:A1771,A1771)=1,1,""))</f>
        <v/>
      </c>
      <c r="AD1771" s="66" t="str">
        <f>IF(AC1771=1,COUNT($AC$6:AC1771),"")</f>
        <v/>
      </c>
      <c r="AE1771" s="66" t="str">
        <f>IFERROR(INDEX(po_num,MATCH(1766,po_seq,0))&amp;"","")</f>
        <v/>
      </c>
      <c r="AF1771" s="66" t="str">
        <f>IF(OR(A1771="",p_po=""),"",IF(A1771&amp;""=p_po,COUNTIF($A$6:A1771,A1771),""))</f>
        <v/>
      </c>
      <c r="AG1771" s="66" t="str">
        <f>IF(OR(AB1771="",A1771=""),"",IF(COUNTIFS($A$6:A1771,A1771,$AB$6:AB1771,"&gt;0")=1,1,""))</f>
        <v/>
      </c>
      <c r="AH1771" s="70" t="str">
        <f>IF(AB1771="","",ROUND(N(W1771)*N(J1771)*(1-N(K1771)),2))</f>
        <v/>
      </c>
      <c r="AI1771" s="70" t="str">
        <f>IF(OR(J1771="",N(T1771)&lt;=0,V1771="Oui"),"",ROUND(N(T1771)*J1771*(1-N(K1771)),2))</f>
        <v/>
      </c>
    </row>
    <row r="1772">
      <c r="A1772" s="63" t="n"/>
      <c r="B1772" s="64" t="n"/>
      <c r="C1772" s="65" t="n"/>
      <c r="D1772" s="66" t="str">
        <f>IF(C1772="","",IFERROR(INDEX(sup_name,MATCH($C1772,sup_code,0))&amp;"","Fournisseur inconnu"))</f>
        <v/>
      </c>
      <c r="E1772" s="63" t="n"/>
      <c r="F1772" s="66" t="str">
        <f>IF(E1772="","",IFERROR(INDEX(art_des,MATCH($E1772,art_ref,0))&amp;"","Article inconnu"))</f>
        <v/>
      </c>
      <c r="G1772" s="67" t="str">
        <f>IF(E1772="","",IFERROR(INDEX(art_unit,MATCH($E1772,art_ref,0))&amp;"",""))</f>
        <v/>
      </c>
      <c r="H1772" s="68" t="n"/>
      <c r="I1772" s="69" t="n"/>
      <c r="J1772" s="70" t="str">
        <f>IF(E1772="","",IF(ISNUMBER(I1772),I1772,IFERROR(IF(ISNUMBER(INDEX(art_price,MATCH($E1772,art_ref,0))),INDEX(art_price,MATCH($E1772,art_ref,0)),""),"")))</f>
        <v/>
      </c>
      <c r="K1772" s="71" t="n"/>
      <c r="L1772" s="72" t="n"/>
      <c r="M1772" s="72" t="str">
        <f>IF(E1772="","",IF(L1772&lt;&gt;"",L1772,IFERROR(IF(ISNUMBER(INDEX(art_tva,MATCH($E1772,art_ref,0))),INDEX(art_tva,MATCH($E1772,art_ref,0)),""),"")))</f>
        <v/>
      </c>
      <c r="N1772" s="70" t="str">
        <f>IF(OR(E1772="",J1772=""),"",ROUND(N(H1772)*J1772*(1-N(K1772)),2))</f>
        <v/>
      </c>
      <c r="O1772" s="70" t="str">
        <f>IF(OR(N1772="",NOT(ISNUMBER(M1772))),"",ROUND(N1772*M1772,2))</f>
        <v/>
      </c>
      <c r="P1772" s="70" t="str">
        <f>IF(N1772="","",N1772+N(O1772))</f>
        <v/>
      </c>
      <c r="Q1772" s="64" t="n"/>
      <c r="R1772" s="73" t="str">
        <f>IF(N(Q1772)&gt;0,Q1772,IF(OR(N(B1772)=0,ISNA(MATCH($C1772,sup_code,0))),"",IF(ISNUMBER(INDEX(sup_delay,MATCH($C1772,sup_code,0))),B1772+INDEX(sup_delay,MATCH($C1772,sup_code,0)),"")))</f>
        <v/>
      </c>
      <c r="S1772" s="64" t="n"/>
      <c r="T1772" s="68" t="n"/>
      <c r="U1772" s="64" t="n"/>
      <c r="V1772" s="65" t="n"/>
      <c r="W1772" s="74" t="str">
        <f>IF(AND(A1772="",E1772=""),"",IF(V1772="Oui",0,MAX(0,ROUND(N(H1772)-N(T1772),6))))</f>
        <v/>
      </c>
      <c r="X1772" s="67" t="str">
        <f>IF(AND(A1772="",E1772=""),"",IF(V1772="Oui","Annulé",IF(AND(N(H1772)&gt;0,N(T1772)&gt;=N(H1772)),"Reçu",IF(N(S1772)=0,"Brouillon",IF(AND(ISNUMBER(R1772),R1772&lt;p_today),"En retard",IF(N(T1772)&gt;0,"Partiel","Envoyé"))))))</f>
        <v/>
      </c>
      <c r="Y1772" s="75" t="str">
        <f>IF(X1772="En retard",p_today-R1772,IF(AND(X1772="Reçu",ISNUMBER(R1772)),MAX(0,N(U1772)-R1772),""))</f>
        <v/>
      </c>
      <c r="Z1772" s="67" t="str">
        <f>IF(AND(A1772="",E1772=""),"",IF(A1772="","N° de bon manquant",IF(N(B1772)=0,"Date de commande manquante",IF(C1772="","Fournisseur manquant",IF(ISNA(MATCH($C1772,sup_code,0)),"Fournisseur inconnu",IF(E1772="","Article manquant",IF(ISNA(MATCH($E1772,art_ref,0)),"Article inconnu",IF(N(H1772)&lt;=0,"Quantité invalide",IF(J1772="","Prix manquant",IF(OR(N(K1772)&lt;0,N(K1772)&gt;=1),"Remise invalide",IF(M1772="","TVA manquante",IF(ISNA(MATCH(M1772,p_tva,0)),"Taux de TVA inconnu",IF(COUNTIFS(po_num,A1772,po_sup,"&lt;&gt;"&amp;C1772)&gt;0,"Fournisseur différent sur ce bon",IF(COUNTIFS(po_num,A1772,po_date,"&lt;&gt;"&amp;B1772)&gt;0,"Date différente sur ce bon",IF(COUNTIF(po_num,A1772)&gt;25,"Plus de 25 lignes sur ce bon",IF(R1772="","Date de livraison manquante",IF(R1772&lt;B1772,"Livraison avant la commande",IF(AND(N(T1772)&gt;0,N(S1772)=0),"Date d'envoi manquante",IF(N(T1772)&gt;N(H1772),"Reçu plus que commandé",IF(AND(N(T1772)&gt;0,N(U1772)=0),"Date de réception manquante",IF(AND(N(U1772)&gt;0,U1772&lt;B1772),"Réception avant la commande","OK")))))))))))))))))))))</f>
        <v/>
      </c>
      <c r="AA1772" s="66" t="str">
        <f>IF(AND(X1772="Reçu",ISNUMBER(R1772)),IF(N(U1772)&lt;=R1772,1,0),"")</f>
        <v/>
      </c>
      <c r="AB1772" s="76" t="str">
        <f>IF(OR(X1772="Envoyé",X1772="Partiel",X1772="En retard"),IF(ISNUMBER(R1772),R1772,100000)+ROW()/100000,"")</f>
        <v/>
      </c>
      <c r="AC1772" s="66" t="str">
        <f>IF(A1772="","",IF(COUNTIF($A$6:A1772,A1772)=1,1,""))</f>
        <v/>
      </c>
      <c r="AD1772" s="66" t="str">
        <f>IF(AC1772=1,COUNT($AC$6:AC1772),"")</f>
        <v/>
      </c>
      <c r="AE1772" s="66" t="str">
        <f>IFERROR(INDEX(po_num,MATCH(1767,po_seq,0))&amp;"","")</f>
        <v/>
      </c>
      <c r="AF1772" s="66" t="str">
        <f>IF(OR(A1772="",p_po=""),"",IF(A1772&amp;""=p_po,COUNTIF($A$6:A1772,A1772),""))</f>
        <v/>
      </c>
      <c r="AG1772" s="66" t="str">
        <f>IF(OR(AB1772="",A1772=""),"",IF(COUNTIFS($A$6:A1772,A1772,$AB$6:AB1772,"&gt;0")=1,1,""))</f>
        <v/>
      </c>
      <c r="AH1772" s="70" t="str">
        <f>IF(AB1772="","",ROUND(N(W1772)*N(J1772)*(1-N(K1772)),2))</f>
        <v/>
      </c>
      <c r="AI1772" s="70" t="str">
        <f>IF(OR(J1772="",N(T1772)&lt;=0,V1772="Oui"),"",ROUND(N(T1772)*J1772*(1-N(K1772)),2))</f>
        <v/>
      </c>
    </row>
    <row r="1773">
      <c r="A1773" s="63" t="n"/>
      <c r="B1773" s="64" t="n"/>
      <c r="C1773" s="65" t="n"/>
      <c r="D1773" s="66" t="str">
        <f>IF(C1773="","",IFERROR(INDEX(sup_name,MATCH($C1773,sup_code,0))&amp;"","Fournisseur inconnu"))</f>
        <v/>
      </c>
      <c r="E1773" s="63" t="n"/>
      <c r="F1773" s="66" t="str">
        <f>IF(E1773="","",IFERROR(INDEX(art_des,MATCH($E1773,art_ref,0))&amp;"","Article inconnu"))</f>
        <v/>
      </c>
      <c r="G1773" s="67" t="str">
        <f>IF(E1773="","",IFERROR(INDEX(art_unit,MATCH($E1773,art_ref,0))&amp;"",""))</f>
        <v/>
      </c>
      <c r="H1773" s="68" t="n"/>
      <c r="I1773" s="69" t="n"/>
      <c r="J1773" s="70" t="str">
        <f>IF(E1773="","",IF(ISNUMBER(I1773),I1773,IFERROR(IF(ISNUMBER(INDEX(art_price,MATCH($E1773,art_ref,0))),INDEX(art_price,MATCH($E1773,art_ref,0)),""),"")))</f>
        <v/>
      </c>
      <c r="K1773" s="71" t="n"/>
      <c r="L1773" s="72" t="n"/>
      <c r="M1773" s="72" t="str">
        <f>IF(E1773="","",IF(L1773&lt;&gt;"",L1773,IFERROR(IF(ISNUMBER(INDEX(art_tva,MATCH($E1773,art_ref,0))),INDEX(art_tva,MATCH($E1773,art_ref,0)),""),"")))</f>
        <v/>
      </c>
      <c r="N1773" s="70" t="str">
        <f>IF(OR(E1773="",J1773=""),"",ROUND(N(H1773)*J1773*(1-N(K1773)),2))</f>
        <v/>
      </c>
      <c r="O1773" s="70" t="str">
        <f>IF(OR(N1773="",NOT(ISNUMBER(M1773))),"",ROUND(N1773*M1773,2))</f>
        <v/>
      </c>
      <c r="P1773" s="70" t="str">
        <f>IF(N1773="","",N1773+N(O1773))</f>
        <v/>
      </c>
      <c r="Q1773" s="64" t="n"/>
      <c r="R1773" s="73" t="str">
        <f>IF(N(Q1773)&gt;0,Q1773,IF(OR(N(B1773)=0,ISNA(MATCH($C1773,sup_code,0))),"",IF(ISNUMBER(INDEX(sup_delay,MATCH($C1773,sup_code,0))),B1773+INDEX(sup_delay,MATCH($C1773,sup_code,0)),"")))</f>
        <v/>
      </c>
      <c r="S1773" s="64" t="n"/>
      <c r="T1773" s="68" t="n"/>
      <c r="U1773" s="64" t="n"/>
      <c r="V1773" s="65" t="n"/>
      <c r="W1773" s="74" t="str">
        <f>IF(AND(A1773="",E1773=""),"",IF(V1773="Oui",0,MAX(0,ROUND(N(H1773)-N(T1773),6))))</f>
        <v/>
      </c>
      <c r="X1773" s="67" t="str">
        <f>IF(AND(A1773="",E1773=""),"",IF(V1773="Oui","Annulé",IF(AND(N(H1773)&gt;0,N(T1773)&gt;=N(H1773)),"Reçu",IF(N(S1773)=0,"Brouillon",IF(AND(ISNUMBER(R1773),R1773&lt;p_today),"En retard",IF(N(T1773)&gt;0,"Partiel","Envoyé"))))))</f>
        <v/>
      </c>
      <c r="Y1773" s="75" t="str">
        <f>IF(X1773="En retard",p_today-R1773,IF(AND(X1773="Reçu",ISNUMBER(R1773)),MAX(0,N(U1773)-R1773),""))</f>
        <v/>
      </c>
      <c r="Z1773" s="67" t="str">
        <f>IF(AND(A1773="",E1773=""),"",IF(A1773="","N° de bon manquant",IF(N(B1773)=0,"Date de commande manquante",IF(C1773="","Fournisseur manquant",IF(ISNA(MATCH($C1773,sup_code,0)),"Fournisseur inconnu",IF(E1773="","Article manquant",IF(ISNA(MATCH($E1773,art_ref,0)),"Article inconnu",IF(N(H1773)&lt;=0,"Quantité invalide",IF(J1773="","Prix manquant",IF(OR(N(K1773)&lt;0,N(K1773)&gt;=1),"Remise invalide",IF(M1773="","TVA manquante",IF(ISNA(MATCH(M1773,p_tva,0)),"Taux de TVA inconnu",IF(COUNTIFS(po_num,A1773,po_sup,"&lt;&gt;"&amp;C1773)&gt;0,"Fournisseur différent sur ce bon",IF(COUNTIFS(po_num,A1773,po_date,"&lt;&gt;"&amp;B1773)&gt;0,"Date différente sur ce bon",IF(COUNTIF(po_num,A1773)&gt;25,"Plus de 25 lignes sur ce bon",IF(R1773="","Date de livraison manquante",IF(R1773&lt;B1773,"Livraison avant la commande",IF(AND(N(T1773)&gt;0,N(S1773)=0),"Date d'envoi manquante",IF(N(T1773)&gt;N(H1773),"Reçu plus que commandé",IF(AND(N(T1773)&gt;0,N(U1773)=0),"Date de réception manquante",IF(AND(N(U1773)&gt;0,U1773&lt;B1773),"Réception avant la commande","OK")))))))))))))))))))))</f>
        <v/>
      </c>
      <c r="AA1773" s="66" t="str">
        <f>IF(AND(X1773="Reçu",ISNUMBER(R1773)),IF(N(U1773)&lt;=R1773,1,0),"")</f>
        <v/>
      </c>
      <c r="AB1773" s="76" t="str">
        <f>IF(OR(X1773="Envoyé",X1773="Partiel",X1773="En retard"),IF(ISNUMBER(R1773),R1773,100000)+ROW()/100000,"")</f>
        <v/>
      </c>
      <c r="AC1773" s="66" t="str">
        <f>IF(A1773="","",IF(COUNTIF($A$6:A1773,A1773)=1,1,""))</f>
        <v/>
      </c>
      <c r="AD1773" s="66" t="str">
        <f>IF(AC1773=1,COUNT($AC$6:AC1773),"")</f>
        <v/>
      </c>
      <c r="AE1773" s="66" t="str">
        <f>IFERROR(INDEX(po_num,MATCH(1768,po_seq,0))&amp;"","")</f>
        <v/>
      </c>
      <c r="AF1773" s="66" t="str">
        <f>IF(OR(A1773="",p_po=""),"",IF(A1773&amp;""=p_po,COUNTIF($A$6:A1773,A1773),""))</f>
        <v/>
      </c>
      <c r="AG1773" s="66" t="str">
        <f>IF(OR(AB1773="",A1773=""),"",IF(COUNTIFS($A$6:A1773,A1773,$AB$6:AB1773,"&gt;0")=1,1,""))</f>
        <v/>
      </c>
      <c r="AH1773" s="70" t="str">
        <f>IF(AB1773="","",ROUND(N(W1773)*N(J1773)*(1-N(K1773)),2))</f>
        <v/>
      </c>
      <c r="AI1773" s="70" t="str">
        <f>IF(OR(J1773="",N(T1773)&lt;=0,V1773="Oui"),"",ROUND(N(T1773)*J1773*(1-N(K1773)),2))</f>
        <v/>
      </c>
    </row>
    <row r="1774">
      <c r="A1774" s="63" t="n"/>
      <c r="B1774" s="64" t="n"/>
      <c r="C1774" s="65" t="n"/>
      <c r="D1774" s="66" t="str">
        <f>IF(C1774="","",IFERROR(INDEX(sup_name,MATCH($C1774,sup_code,0))&amp;"","Fournisseur inconnu"))</f>
        <v/>
      </c>
      <c r="E1774" s="63" t="n"/>
      <c r="F1774" s="66" t="str">
        <f>IF(E1774="","",IFERROR(INDEX(art_des,MATCH($E1774,art_ref,0))&amp;"","Article inconnu"))</f>
        <v/>
      </c>
      <c r="G1774" s="67" t="str">
        <f>IF(E1774="","",IFERROR(INDEX(art_unit,MATCH($E1774,art_ref,0))&amp;"",""))</f>
        <v/>
      </c>
      <c r="H1774" s="68" t="n"/>
      <c r="I1774" s="69" t="n"/>
      <c r="J1774" s="70" t="str">
        <f>IF(E1774="","",IF(ISNUMBER(I1774),I1774,IFERROR(IF(ISNUMBER(INDEX(art_price,MATCH($E1774,art_ref,0))),INDEX(art_price,MATCH($E1774,art_ref,0)),""),"")))</f>
        <v/>
      </c>
      <c r="K1774" s="71" t="n"/>
      <c r="L1774" s="72" t="n"/>
      <c r="M1774" s="72" t="str">
        <f>IF(E1774="","",IF(L1774&lt;&gt;"",L1774,IFERROR(IF(ISNUMBER(INDEX(art_tva,MATCH($E1774,art_ref,0))),INDEX(art_tva,MATCH($E1774,art_ref,0)),""),"")))</f>
        <v/>
      </c>
      <c r="N1774" s="70" t="str">
        <f>IF(OR(E1774="",J1774=""),"",ROUND(N(H1774)*J1774*(1-N(K1774)),2))</f>
        <v/>
      </c>
      <c r="O1774" s="70" t="str">
        <f>IF(OR(N1774="",NOT(ISNUMBER(M1774))),"",ROUND(N1774*M1774,2))</f>
        <v/>
      </c>
      <c r="P1774" s="70" t="str">
        <f>IF(N1774="","",N1774+N(O1774))</f>
        <v/>
      </c>
      <c r="Q1774" s="64" t="n"/>
      <c r="R1774" s="73" t="str">
        <f>IF(N(Q1774)&gt;0,Q1774,IF(OR(N(B1774)=0,ISNA(MATCH($C1774,sup_code,0))),"",IF(ISNUMBER(INDEX(sup_delay,MATCH($C1774,sup_code,0))),B1774+INDEX(sup_delay,MATCH($C1774,sup_code,0)),"")))</f>
        <v/>
      </c>
      <c r="S1774" s="64" t="n"/>
      <c r="T1774" s="68" t="n"/>
      <c r="U1774" s="64" t="n"/>
      <c r="V1774" s="65" t="n"/>
      <c r="W1774" s="74" t="str">
        <f>IF(AND(A1774="",E1774=""),"",IF(V1774="Oui",0,MAX(0,ROUND(N(H1774)-N(T1774),6))))</f>
        <v/>
      </c>
      <c r="X1774" s="67" t="str">
        <f>IF(AND(A1774="",E1774=""),"",IF(V1774="Oui","Annulé",IF(AND(N(H1774)&gt;0,N(T1774)&gt;=N(H1774)),"Reçu",IF(N(S1774)=0,"Brouillon",IF(AND(ISNUMBER(R1774),R1774&lt;p_today),"En retard",IF(N(T1774)&gt;0,"Partiel","Envoyé"))))))</f>
        <v/>
      </c>
      <c r="Y1774" s="75" t="str">
        <f>IF(X1774="En retard",p_today-R1774,IF(AND(X1774="Reçu",ISNUMBER(R1774)),MAX(0,N(U1774)-R1774),""))</f>
        <v/>
      </c>
      <c r="Z1774" s="67" t="str">
        <f>IF(AND(A1774="",E1774=""),"",IF(A1774="","N° de bon manquant",IF(N(B1774)=0,"Date de commande manquante",IF(C1774="","Fournisseur manquant",IF(ISNA(MATCH($C1774,sup_code,0)),"Fournisseur inconnu",IF(E1774="","Article manquant",IF(ISNA(MATCH($E1774,art_ref,0)),"Article inconnu",IF(N(H1774)&lt;=0,"Quantité invalide",IF(J1774="","Prix manquant",IF(OR(N(K1774)&lt;0,N(K1774)&gt;=1),"Remise invalide",IF(M1774="","TVA manquante",IF(ISNA(MATCH(M1774,p_tva,0)),"Taux de TVA inconnu",IF(COUNTIFS(po_num,A1774,po_sup,"&lt;&gt;"&amp;C1774)&gt;0,"Fournisseur différent sur ce bon",IF(COUNTIFS(po_num,A1774,po_date,"&lt;&gt;"&amp;B1774)&gt;0,"Date différente sur ce bon",IF(COUNTIF(po_num,A1774)&gt;25,"Plus de 25 lignes sur ce bon",IF(R1774="","Date de livraison manquante",IF(R1774&lt;B1774,"Livraison avant la commande",IF(AND(N(T1774)&gt;0,N(S1774)=0),"Date d'envoi manquante",IF(N(T1774)&gt;N(H1774),"Reçu plus que commandé",IF(AND(N(T1774)&gt;0,N(U1774)=0),"Date de réception manquante",IF(AND(N(U1774)&gt;0,U1774&lt;B1774),"Réception avant la commande","OK")))))))))))))))))))))</f>
        <v/>
      </c>
      <c r="AA1774" s="66" t="str">
        <f>IF(AND(X1774="Reçu",ISNUMBER(R1774)),IF(N(U1774)&lt;=R1774,1,0),"")</f>
        <v/>
      </c>
      <c r="AB1774" s="76" t="str">
        <f>IF(OR(X1774="Envoyé",X1774="Partiel",X1774="En retard"),IF(ISNUMBER(R1774),R1774,100000)+ROW()/100000,"")</f>
        <v/>
      </c>
      <c r="AC1774" s="66" t="str">
        <f>IF(A1774="","",IF(COUNTIF($A$6:A1774,A1774)=1,1,""))</f>
        <v/>
      </c>
      <c r="AD1774" s="66" t="str">
        <f>IF(AC1774=1,COUNT($AC$6:AC1774),"")</f>
        <v/>
      </c>
      <c r="AE1774" s="66" t="str">
        <f>IFERROR(INDEX(po_num,MATCH(1769,po_seq,0))&amp;"","")</f>
        <v/>
      </c>
      <c r="AF1774" s="66" t="str">
        <f>IF(OR(A1774="",p_po=""),"",IF(A1774&amp;""=p_po,COUNTIF($A$6:A1774,A1774),""))</f>
        <v/>
      </c>
      <c r="AG1774" s="66" t="str">
        <f>IF(OR(AB1774="",A1774=""),"",IF(COUNTIFS($A$6:A1774,A1774,$AB$6:AB1774,"&gt;0")=1,1,""))</f>
        <v/>
      </c>
      <c r="AH1774" s="70" t="str">
        <f>IF(AB1774="","",ROUND(N(W1774)*N(J1774)*(1-N(K1774)),2))</f>
        <v/>
      </c>
      <c r="AI1774" s="70" t="str">
        <f>IF(OR(J1774="",N(T1774)&lt;=0,V1774="Oui"),"",ROUND(N(T1774)*J1774*(1-N(K1774)),2))</f>
        <v/>
      </c>
    </row>
    <row r="1775">
      <c r="A1775" s="63" t="n"/>
      <c r="B1775" s="64" t="n"/>
      <c r="C1775" s="65" t="n"/>
      <c r="D1775" s="66" t="str">
        <f>IF(C1775="","",IFERROR(INDEX(sup_name,MATCH($C1775,sup_code,0))&amp;"","Fournisseur inconnu"))</f>
        <v/>
      </c>
      <c r="E1775" s="63" t="n"/>
      <c r="F1775" s="66" t="str">
        <f>IF(E1775="","",IFERROR(INDEX(art_des,MATCH($E1775,art_ref,0))&amp;"","Article inconnu"))</f>
        <v/>
      </c>
      <c r="G1775" s="67" t="str">
        <f>IF(E1775="","",IFERROR(INDEX(art_unit,MATCH($E1775,art_ref,0))&amp;"",""))</f>
        <v/>
      </c>
      <c r="H1775" s="68" t="n"/>
      <c r="I1775" s="69" t="n"/>
      <c r="J1775" s="70" t="str">
        <f>IF(E1775="","",IF(ISNUMBER(I1775),I1775,IFERROR(IF(ISNUMBER(INDEX(art_price,MATCH($E1775,art_ref,0))),INDEX(art_price,MATCH($E1775,art_ref,0)),""),"")))</f>
        <v/>
      </c>
      <c r="K1775" s="71" t="n"/>
      <c r="L1775" s="72" t="n"/>
      <c r="M1775" s="72" t="str">
        <f>IF(E1775="","",IF(L1775&lt;&gt;"",L1775,IFERROR(IF(ISNUMBER(INDEX(art_tva,MATCH($E1775,art_ref,0))),INDEX(art_tva,MATCH($E1775,art_ref,0)),""),"")))</f>
        <v/>
      </c>
      <c r="N1775" s="70" t="str">
        <f>IF(OR(E1775="",J1775=""),"",ROUND(N(H1775)*J1775*(1-N(K1775)),2))</f>
        <v/>
      </c>
      <c r="O1775" s="70" t="str">
        <f>IF(OR(N1775="",NOT(ISNUMBER(M1775))),"",ROUND(N1775*M1775,2))</f>
        <v/>
      </c>
      <c r="P1775" s="70" t="str">
        <f>IF(N1775="","",N1775+N(O1775))</f>
        <v/>
      </c>
      <c r="Q1775" s="64" t="n"/>
      <c r="R1775" s="73" t="str">
        <f>IF(N(Q1775)&gt;0,Q1775,IF(OR(N(B1775)=0,ISNA(MATCH($C1775,sup_code,0))),"",IF(ISNUMBER(INDEX(sup_delay,MATCH($C1775,sup_code,0))),B1775+INDEX(sup_delay,MATCH($C1775,sup_code,0)),"")))</f>
        <v/>
      </c>
      <c r="S1775" s="64" t="n"/>
      <c r="T1775" s="68" t="n"/>
      <c r="U1775" s="64" t="n"/>
      <c r="V1775" s="65" t="n"/>
      <c r="W1775" s="74" t="str">
        <f>IF(AND(A1775="",E1775=""),"",IF(V1775="Oui",0,MAX(0,ROUND(N(H1775)-N(T1775),6))))</f>
        <v/>
      </c>
      <c r="X1775" s="67" t="str">
        <f>IF(AND(A1775="",E1775=""),"",IF(V1775="Oui","Annulé",IF(AND(N(H1775)&gt;0,N(T1775)&gt;=N(H1775)),"Reçu",IF(N(S1775)=0,"Brouillon",IF(AND(ISNUMBER(R1775),R1775&lt;p_today),"En retard",IF(N(T1775)&gt;0,"Partiel","Envoyé"))))))</f>
        <v/>
      </c>
      <c r="Y1775" s="75" t="str">
        <f>IF(X1775="En retard",p_today-R1775,IF(AND(X1775="Reçu",ISNUMBER(R1775)),MAX(0,N(U1775)-R1775),""))</f>
        <v/>
      </c>
      <c r="Z1775" s="67" t="str">
        <f>IF(AND(A1775="",E1775=""),"",IF(A1775="","N° de bon manquant",IF(N(B1775)=0,"Date de commande manquante",IF(C1775="","Fournisseur manquant",IF(ISNA(MATCH($C1775,sup_code,0)),"Fournisseur inconnu",IF(E1775="","Article manquant",IF(ISNA(MATCH($E1775,art_ref,0)),"Article inconnu",IF(N(H1775)&lt;=0,"Quantité invalide",IF(J1775="","Prix manquant",IF(OR(N(K1775)&lt;0,N(K1775)&gt;=1),"Remise invalide",IF(M1775="","TVA manquante",IF(ISNA(MATCH(M1775,p_tva,0)),"Taux de TVA inconnu",IF(COUNTIFS(po_num,A1775,po_sup,"&lt;&gt;"&amp;C1775)&gt;0,"Fournisseur différent sur ce bon",IF(COUNTIFS(po_num,A1775,po_date,"&lt;&gt;"&amp;B1775)&gt;0,"Date différente sur ce bon",IF(COUNTIF(po_num,A1775)&gt;25,"Plus de 25 lignes sur ce bon",IF(R1775="","Date de livraison manquante",IF(R1775&lt;B1775,"Livraison avant la commande",IF(AND(N(T1775)&gt;0,N(S1775)=0),"Date d'envoi manquante",IF(N(T1775)&gt;N(H1775),"Reçu plus que commandé",IF(AND(N(T1775)&gt;0,N(U1775)=0),"Date de réception manquante",IF(AND(N(U1775)&gt;0,U1775&lt;B1775),"Réception avant la commande","OK")))))))))))))))))))))</f>
        <v/>
      </c>
      <c r="AA1775" s="66" t="str">
        <f>IF(AND(X1775="Reçu",ISNUMBER(R1775)),IF(N(U1775)&lt;=R1775,1,0),"")</f>
        <v/>
      </c>
      <c r="AB1775" s="76" t="str">
        <f>IF(OR(X1775="Envoyé",X1775="Partiel",X1775="En retard"),IF(ISNUMBER(R1775),R1775,100000)+ROW()/100000,"")</f>
        <v/>
      </c>
      <c r="AC1775" s="66" t="str">
        <f>IF(A1775="","",IF(COUNTIF($A$6:A1775,A1775)=1,1,""))</f>
        <v/>
      </c>
      <c r="AD1775" s="66" t="str">
        <f>IF(AC1775=1,COUNT($AC$6:AC1775),"")</f>
        <v/>
      </c>
      <c r="AE1775" s="66" t="str">
        <f>IFERROR(INDEX(po_num,MATCH(1770,po_seq,0))&amp;"","")</f>
        <v/>
      </c>
      <c r="AF1775" s="66" t="str">
        <f>IF(OR(A1775="",p_po=""),"",IF(A1775&amp;""=p_po,COUNTIF($A$6:A1775,A1775),""))</f>
        <v/>
      </c>
      <c r="AG1775" s="66" t="str">
        <f>IF(OR(AB1775="",A1775=""),"",IF(COUNTIFS($A$6:A1775,A1775,$AB$6:AB1775,"&gt;0")=1,1,""))</f>
        <v/>
      </c>
      <c r="AH1775" s="70" t="str">
        <f>IF(AB1775="","",ROUND(N(W1775)*N(J1775)*(1-N(K1775)),2))</f>
        <v/>
      </c>
      <c r="AI1775" s="70" t="str">
        <f>IF(OR(J1775="",N(T1775)&lt;=0,V1775="Oui"),"",ROUND(N(T1775)*J1775*(1-N(K1775)),2))</f>
        <v/>
      </c>
    </row>
    <row r="1776">
      <c r="A1776" s="63" t="n"/>
      <c r="B1776" s="64" t="n"/>
      <c r="C1776" s="65" t="n"/>
      <c r="D1776" s="66" t="str">
        <f>IF(C1776="","",IFERROR(INDEX(sup_name,MATCH($C1776,sup_code,0))&amp;"","Fournisseur inconnu"))</f>
        <v/>
      </c>
      <c r="E1776" s="63" t="n"/>
      <c r="F1776" s="66" t="str">
        <f>IF(E1776="","",IFERROR(INDEX(art_des,MATCH($E1776,art_ref,0))&amp;"","Article inconnu"))</f>
        <v/>
      </c>
      <c r="G1776" s="67" t="str">
        <f>IF(E1776="","",IFERROR(INDEX(art_unit,MATCH($E1776,art_ref,0))&amp;"",""))</f>
        <v/>
      </c>
      <c r="H1776" s="68" t="n"/>
      <c r="I1776" s="69" t="n"/>
      <c r="J1776" s="70" t="str">
        <f>IF(E1776="","",IF(ISNUMBER(I1776),I1776,IFERROR(IF(ISNUMBER(INDEX(art_price,MATCH($E1776,art_ref,0))),INDEX(art_price,MATCH($E1776,art_ref,0)),""),"")))</f>
        <v/>
      </c>
      <c r="K1776" s="71" t="n"/>
      <c r="L1776" s="72" t="n"/>
      <c r="M1776" s="72" t="str">
        <f>IF(E1776="","",IF(L1776&lt;&gt;"",L1776,IFERROR(IF(ISNUMBER(INDEX(art_tva,MATCH($E1776,art_ref,0))),INDEX(art_tva,MATCH($E1776,art_ref,0)),""),"")))</f>
        <v/>
      </c>
      <c r="N1776" s="70" t="str">
        <f>IF(OR(E1776="",J1776=""),"",ROUND(N(H1776)*J1776*(1-N(K1776)),2))</f>
        <v/>
      </c>
      <c r="O1776" s="70" t="str">
        <f>IF(OR(N1776="",NOT(ISNUMBER(M1776))),"",ROUND(N1776*M1776,2))</f>
        <v/>
      </c>
      <c r="P1776" s="70" t="str">
        <f>IF(N1776="","",N1776+N(O1776))</f>
        <v/>
      </c>
      <c r="Q1776" s="64" t="n"/>
      <c r="R1776" s="73" t="str">
        <f>IF(N(Q1776)&gt;0,Q1776,IF(OR(N(B1776)=0,ISNA(MATCH($C1776,sup_code,0))),"",IF(ISNUMBER(INDEX(sup_delay,MATCH($C1776,sup_code,0))),B1776+INDEX(sup_delay,MATCH($C1776,sup_code,0)),"")))</f>
        <v/>
      </c>
      <c r="S1776" s="64" t="n"/>
      <c r="T1776" s="68" t="n"/>
      <c r="U1776" s="64" t="n"/>
      <c r="V1776" s="65" t="n"/>
      <c r="W1776" s="74" t="str">
        <f>IF(AND(A1776="",E1776=""),"",IF(V1776="Oui",0,MAX(0,ROUND(N(H1776)-N(T1776),6))))</f>
        <v/>
      </c>
      <c r="X1776" s="67" t="str">
        <f>IF(AND(A1776="",E1776=""),"",IF(V1776="Oui","Annulé",IF(AND(N(H1776)&gt;0,N(T1776)&gt;=N(H1776)),"Reçu",IF(N(S1776)=0,"Brouillon",IF(AND(ISNUMBER(R1776),R1776&lt;p_today),"En retard",IF(N(T1776)&gt;0,"Partiel","Envoyé"))))))</f>
        <v/>
      </c>
      <c r="Y1776" s="75" t="str">
        <f>IF(X1776="En retard",p_today-R1776,IF(AND(X1776="Reçu",ISNUMBER(R1776)),MAX(0,N(U1776)-R1776),""))</f>
        <v/>
      </c>
      <c r="Z1776" s="67" t="str">
        <f>IF(AND(A1776="",E1776=""),"",IF(A1776="","N° de bon manquant",IF(N(B1776)=0,"Date de commande manquante",IF(C1776="","Fournisseur manquant",IF(ISNA(MATCH($C1776,sup_code,0)),"Fournisseur inconnu",IF(E1776="","Article manquant",IF(ISNA(MATCH($E1776,art_ref,0)),"Article inconnu",IF(N(H1776)&lt;=0,"Quantité invalide",IF(J1776="","Prix manquant",IF(OR(N(K1776)&lt;0,N(K1776)&gt;=1),"Remise invalide",IF(M1776="","TVA manquante",IF(ISNA(MATCH(M1776,p_tva,0)),"Taux de TVA inconnu",IF(COUNTIFS(po_num,A1776,po_sup,"&lt;&gt;"&amp;C1776)&gt;0,"Fournisseur différent sur ce bon",IF(COUNTIFS(po_num,A1776,po_date,"&lt;&gt;"&amp;B1776)&gt;0,"Date différente sur ce bon",IF(COUNTIF(po_num,A1776)&gt;25,"Plus de 25 lignes sur ce bon",IF(R1776="","Date de livraison manquante",IF(R1776&lt;B1776,"Livraison avant la commande",IF(AND(N(T1776)&gt;0,N(S1776)=0),"Date d'envoi manquante",IF(N(T1776)&gt;N(H1776),"Reçu plus que commandé",IF(AND(N(T1776)&gt;0,N(U1776)=0),"Date de réception manquante",IF(AND(N(U1776)&gt;0,U1776&lt;B1776),"Réception avant la commande","OK")))))))))))))))))))))</f>
        <v/>
      </c>
      <c r="AA1776" s="66" t="str">
        <f>IF(AND(X1776="Reçu",ISNUMBER(R1776)),IF(N(U1776)&lt;=R1776,1,0),"")</f>
        <v/>
      </c>
      <c r="AB1776" s="76" t="str">
        <f>IF(OR(X1776="Envoyé",X1776="Partiel",X1776="En retard"),IF(ISNUMBER(R1776),R1776,100000)+ROW()/100000,"")</f>
        <v/>
      </c>
      <c r="AC1776" s="66" t="str">
        <f>IF(A1776="","",IF(COUNTIF($A$6:A1776,A1776)=1,1,""))</f>
        <v/>
      </c>
      <c r="AD1776" s="66" t="str">
        <f>IF(AC1776=1,COUNT($AC$6:AC1776),"")</f>
        <v/>
      </c>
      <c r="AE1776" s="66" t="str">
        <f>IFERROR(INDEX(po_num,MATCH(1771,po_seq,0))&amp;"","")</f>
        <v/>
      </c>
      <c r="AF1776" s="66" t="str">
        <f>IF(OR(A1776="",p_po=""),"",IF(A1776&amp;""=p_po,COUNTIF($A$6:A1776,A1776),""))</f>
        <v/>
      </c>
      <c r="AG1776" s="66" t="str">
        <f>IF(OR(AB1776="",A1776=""),"",IF(COUNTIFS($A$6:A1776,A1776,$AB$6:AB1776,"&gt;0")=1,1,""))</f>
        <v/>
      </c>
      <c r="AH1776" s="70" t="str">
        <f>IF(AB1776="","",ROUND(N(W1776)*N(J1776)*(1-N(K1776)),2))</f>
        <v/>
      </c>
      <c r="AI1776" s="70" t="str">
        <f>IF(OR(J1776="",N(T1776)&lt;=0,V1776="Oui"),"",ROUND(N(T1776)*J1776*(1-N(K1776)),2))</f>
        <v/>
      </c>
    </row>
    <row r="1777">
      <c r="A1777" s="63" t="n"/>
      <c r="B1777" s="64" t="n"/>
      <c r="C1777" s="65" t="n"/>
      <c r="D1777" s="66" t="str">
        <f>IF(C1777="","",IFERROR(INDEX(sup_name,MATCH($C1777,sup_code,0))&amp;"","Fournisseur inconnu"))</f>
        <v/>
      </c>
      <c r="E1777" s="63" t="n"/>
      <c r="F1777" s="66" t="str">
        <f>IF(E1777="","",IFERROR(INDEX(art_des,MATCH($E1777,art_ref,0))&amp;"","Article inconnu"))</f>
        <v/>
      </c>
      <c r="G1777" s="67" t="str">
        <f>IF(E1777="","",IFERROR(INDEX(art_unit,MATCH($E1777,art_ref,0))&amp;"",""))</f>
        <v/>
      </c>
      <c r="H1777" s="68" t="n"/>
      <c r="I1777" s="69" t="n"/>
      <c r="J1777" s="70" t="str">
        <f>IF(E1777="","",IF(ISNUMBER(I1777),I1777,IFERROR(IF(ISNUMBER(INDEX(art_price,MATCH($E1777,art_ref,0))),INDEX(art_price,MATCH($E1777,art_ref,0)),""),"")))</f>
        <v/>
      </c>
      <c r="K1777" s="71" t="n"/>
      <c r="L1777" s="72" t="n"/>
      <c r="M1777" s="72" t="str">
        <f>IF(E1777="","",IF(L1777&lt;&gt;"",L1777,IFERROR(IF(ISNUMBER(INDEX(art_tva,MATCH($E1777,art_ref,0))),INDEX(art_tva,MATCH($E1777,art_ref,0)),""),"")))</f>
        <v/>
      </c>
      <c r="N1777" s="70" t="str">
        <f>IF(OR(E1777="",J1777=""),"",ROUND(N(H1777)*J1777*(1-N(K1777)),2))</f>
        <v/>
      </c>
      <c r="O1777" s="70" t="str">
        <f>IF(OR(N1777="",NOT(ISNUMBER(M1777))),"",ROUND(N1777*M1777,2))</f>
        <v/>
      </c>
      <c r="P1777" s="70" t="str">
        <f>IF(N1777="","",N1777+N(O1777))</f>
        <v/>
      </c>
      <c r="Q1777" s="64" t="n"/>
      <c r="R1777" s="73" t="str">
        <f>IF(N(Q1777)&gt;0,Q1777,IF(OR(N(B1777)=0,ISNA(MATCH($C1777,sup_code,0))),"",IF(ISNUMBER(INDEX(sup_delay,MATCH($C1777,sup_code,0))),B1777+INDEX(sup_delay,MATCH($C1777,sup_code,0)),"")))</f>
        <v/>
      </c>
      <c r="S1777" s="64" t="n"/>
      <c r="T1777" s="68" t="n"/>
      <c r="U1777" s="64" t="n"/>
      <c r="V1777" s="65" t="n"/>
      <c r="W1777" s="74" t="str">
        <f>IF(AND(A1777="",E1777=""),"",IF(V1777="Oui",0,MAX(0,ROUND(N(H1777)-N(T1777),6))))</f>
        <v/>
      </c>
      <c r="X1777" s="67" t="str">
        <f>IF(AND(A1777="",E1777=""),"",IF(V1777="Oui","Annulé",IF(AND(N(H1777)&gt;0,N(T1777)&gt;=N(H1777)),"Reçu",IF(N(S1777)=0,"Brouillon",IF(AND(ISNUMBER(R1777),R1777&lt;p_today),"En retard",IF(N(T1777)&gt;0,"Partiel","Envoyé"))))))</f>
        <v/>
      </c>
      <c r="Y1777" s="75" t="str">
        <f>IF(X1777="En retard",p_today-R1777,IF(AND(X1777="Reçu",ISNUMBER(R1777)),MAX(0,N(U1777)-R1777),""))</f>
        <v/>
      </c>
      <c r="Z1777" s="67" t="str">
        <f>IF(AND(A1777="",E1777=""),"",IF(A1777="","N° de bon manquant",IF(N(B1777)=0,"Date de commande manquante",IF(C1777="","Fournisseur manquant",IF(ISNA(MATCH($C1777,sup_code,0)),"Fournisseur inconnu",IF(E1777="","Article manquant",IF(ISNA(MATCH($E1777,art_ref,0)),"Article inconnu",IF(N(H1777)&lt;=0,"Quantité invalide",IF(J1777="","Prix manquant",IF(OR(N(K1777)&lt;0,N(K1777)&gt;=1),"Remise invalide",IF(M1777="","TVA manquante",IF(ISNA(MATCH(M1777,p_tva,0)),"Taux de TVA inconnu",IF(COUNTIFS(po_num,A1777,po_sup,"&lt;&gt;"&amp;C1777)&gt;0,"Fournisseur différent sur ce bon",IF(COUNTIFS(po_num,A1777,po_date,"&lt;&gt;"&amp;B1777)&gt;0,"Date différente sur ce bon",IF(COUNTIF(po_num,A1777)&gt;25,"Plus de 25 lignes sur ce bon",IF(R1777="","Date de livraison manquante",IF(R1777&lt;B1777,"Livraison avant la commande",IF(AND(N(T1777)&gt;0,N(S1777)=0),"Date d'envoi manquante",IF(N(T1777)&gt;N(H1777),"Reçu plus que commandé",IF(AND(N(T1777)&gt;0,N(U1777)=0),"Date de réception manquante",IF(AND(N(U1777)&gt;0,U1777&lt;B1777),"Réception avant la commande","OK")))))))))))))))))))))</f>
        <v/>
      </c>
      <c r="AA1777" s="66" t="str">
        <f>IF(AND(X1777="Reçu",ISNUMBER(R1777)),IF(N(U1777)&lt;=R1777,1,0),"")</f>
        <v/>
      </c>
      <c r="AB1777" s="76" t="str">
        <f>IF(OR(X1777="Envoyé",X1777="Partiel",X1777="En retard"),IF(ISNUMBER(R1777),R1777,100000)+ROW()/100000,"")</f>
        <v/>
      </c>
      <c r="AC1777" s="66" t="str">
        <f>IF(A1777="","",IF(COUNTIF($A$6:A1777,A1777)=1,1,""))</f>
        <v/>
      </c>
      <c r="AD1777" s="66" t="str">
        <f>IF(AC1777=1,COUNT($AC$6:AC1777),"")</f>
        <v/>
      </c>
      <c r="AE1777" s="66" t="str">
        <f>IFERROR(INDEX(po_num,MATCH(1772,po_seq,0))&amp;"","")</f>
        <v/>
      </c>
      <c r="AF1777" s="66" t="str">
        <f>IF(OR(A1777="",p_po=""),"",IF(A1777&amp;""=p_po,COUNTIF($A$6:A1777,A1777),""))</f>
        <v/>
      </c>
      <c r="AG1777" s="66" t="str">
        <f>IF(OR(AB1777="",A1777=""),"",IF(COUNTIFS($A$6:A1777,A1777,$AB$6:AB1777,"&gt;0")=1,1,""))</f>
        <v/>
      </c>
      <c r="AH1777" s="70" t="str">
        <f>IF(AB1777="","",ROUND(N(W1777)*N(J1777)*(1-N(K1777)),2))</f>
        <v/>
      </c>
      <c r="AI1777" s="70" t="str">
        <f>IF(OR(J1777="",N(T1777)&lt;=0,V1777="Oui"),"",ROUND(N(T1777)*J1777*(1-N(K1777)),2))</f>
        <v/>
      </c>
    </row>
    <row r="1778">
      <c r="A1778" s="63" t="n"/>
      <c r="B1778" s="64" t="n"/>
      <c r="C1778" s="65" t="n"/>
      <c r="D1778" s="66" t="str">
        <f>IF(C1778="","",IFERROR(INDEX(sup_name,MATCH($C1778,sup_code,0))&amp;"","Fournisseur inconnu"))</f>
        <v/>
      </c>
      <c r="E1778" s="63" t="n"/>
      <c r="F1778" s="66" t="str">
        <f>IF(E1778="","",IFERROR(INDEX(art_des,MATCH($E1778,art_ref,0))&amp;"","Article inconnu"))</f>
        <v/>
      </c>
      <c r="G1778" s="67" t="str">
        <f>IF(E1778="","",IFERROR(INDEX(art_unit,MATCH($E1778,art_ref,0))&amp;"",""))</f>
        <v/>
      </c>
      <c r="H1778" s="68" t="n"/>
      <c r="I1778" s="69" t="n"/>
      <c r="J1778" s="70" t="str">
        <f>IF(E1778="","",IF(ISNUMBER(I1778),I1778,IFERROR(IF(ISNUMBER(INDEX(art_price,MATCH($E1778,art_ref,0))),INDEX(art_price,MATCH($E1778,art_ref,0)),""),"")))</f>
        <v/>
      </c>
      <c r="K1778" s="71" t="n"/>
      <c r="L1778" s="72" t="n"/>
      <c r="M1778" s="72" t="str">
        <f>IF(E1778="","",IF(L1778&lt;&gt;"",L1778,IFERROR(IF(ISNUMBER(INDEX(art_tva,MATCH($E1778,art_ref,0))),INDEX(art_tva,MATCH($E1778,art_ref,0)),""),"")))</f>
        <v/>
      </c>
      <c r="N1778" s="70" t="str">
        <f>IF(OR(E1778="",J1778=""),"",ROUND(N(H1778)*J1778*(1-N(K1778)),2))</f>
        <v/>
      </c>
      <c r="O1778" s="70" t="str">
        <f>IF(OR(N1778="",NOT(ISNUMBER(M1778))),"",ROUND(N1778*M1778,2))</f>
        <v/>
      </c>
      <c r="P1778" s="70" t="str">
        <f>IF(N1778="","",N1778+N(O1778))</f>
        <v/>
      </c>
      <c r="Q1778" s="64" t="n"/>
      <c r="R1778" s="73" t="str">
        <f>IF(N(Q1778)&gt;0,Q1778,IF(OR(N(B1778)=0,ISNA(MATCH($C1778,sup_code,0))),"",IF(ISNUMBER(INDEX(sup_delay,MATCH($C1778,sup_code,0))),B1778+INDEX(sup_delay,MATCH($C1778,sup_code,0)),"")))</f>
        <v/>
      </c>
      <c r="S1778" s="64" t="n"/>
      <c r="T1778" s="68" t="n"/>
      <c r="U1778" s="64" t="n"/>
      <c r="V1778" s="65" t="n"/>
      <c r="W1778" s="74" t="str">
        <f>IF(AND(A1778="",E1778=""),"",IF(V1778="Oui",0,MAX(0,ROUND(N(H1778)-N(T1778),6))))</f>
        <v/>
      </c>
      <c r="X1778" s="67" t="str">
        <f>IF(AND(A1778="",E1778=""),"",IF(V1778="Oui","Annulé",IF(AND(N(H1778)&gt;0,N(T1778)&gt;=N(H1778)),"Reçu",IF(N(S1778)=0,"Brouillon",IF(AND(ISNUMBER(R1778),R1778&lt;p_today),"En retard",IF(N(T1778)&gt;0,"Partiel","Envoyé"))))))</f>
        <v/>
      </c>
      <c r="Y1778" s="75" t="str">
        <f>IF(X1778="En retard",p_today-R1778,IF(AND(X1778="Reçu",ISNUMBER(R1778)),MAX(0,N(U1778)-R1778),""))</f>
        <v/>
      </c>
      <c r="Z1778" s="67" t="str">
        <f>IF(AND(A1778="",E1778=""),"",IF(A1778="","N° de bon manquant",IF(N(B1778)=0,"Date de commande manquante",IF(C1778="","Fournisseur manquant",IF(ISNA(MATCH($C1778,sup_code,0)),"Fournisseur inconnu",IF(E1778="","Article manquant",IF(ISNA(MATCH($E1778,art_ref,0)),"Article inconnu",IF(N(H1778)&lt;=0,"Quantité invalide",IF(J1778="","Prix manquant",IF(OR(N(K1778)&lt;0,N(K1778)&gt;=1),"Remise invalide",IF(M1778="","TVA manquante",IF(ISNA(MATCH(M1778,p_tva,0)),"Taux de TVA inconnu",IF(COUNTIFS(po_num,A1778,po_sup,"&lt;&gt;"&amp;C1778)&gt;0,"Fournisseur différent sur ce bon",IF(COUNTIFS(po_num,A1778,po_date,"&lt;&gt;"&amp;B1778)&gt;0,"Date différente sur ce bon",IF(COUNTIF(po_num,A1778)&gt;25,"Plus de 25 lignes sur ce bon",IF(R1778="","Date de livraison manquante",IF(R1778&lt;B1778,"Livraison avant la commande",IF(AND(N(T1778)&gt;0,N(S1778)=0),"Date d'envoi manquante",IF(N(T1778)&gt;N(H1778),"Reçu plus que commandé",IF(AND(N(T1778)&gt;0,N(U1778)=0),"Date de réception manquante",IF(AND(N(U1778)&gt;0,U1778&lt;B1778),"Réception avant la commande","OK")))))))))))))))))))))</f>
        <v/>
      </c>
      <c r="AA1778" s="66" t="str">
        <f>IF(AND(X1778="Reçu",ISNUMBER(R1778)),IF(N(U1778)&lt;=R1778,1,0),"")</f>
        <v/>
      </c>
      <c r="AB1778" s="76" t="str">
        <f>IF(OR(X1778="Envoyé",X1778="Partiel",X1778="En retard"),IF(ISNUMBER(R1778),R1778,100000)+ROW()/100000,"")</f>
        <v/>
      </c>
      <c r="AC1778" s="66" t="str">
        <f>IF(A1778="","",IF(COUNTIF($A$6:A1778,A1778)=1,1,""))</f>
        <v/>
      </c>
      <c r="AD1778" s="66" t="str">
        <f>IF(AC1778=1,COUNT($AC$6:AC1778),"")</f>
        <v/>
      </c>
      <c r="AE1778" s="66" t="str">
        <f>IFERROR(INDEX(po_num,MATCH(1773,po_seq,0))&amp;"","")</f>
        <v/>
      </c>
      <c r="AF1778" s="66" t="str">
        <f>IF(OR(A1778="",p_po=""),"",IF(A1778&amp;""=p_po,COUNTIF($A$6:A1778,A1778),""))</f>
        <v/>
      </c>
      <c r="AG1778" s="66" t="str">
        <f>IF(OR(AB1778="",A1778=""),"",IF(COUNTIFS($A$6:A1778,A1778,$AB$6:AB1778,"&gt;0")=1,1,""))</f>
        <v/>
      </c>
      <c r="AH1778" s="70" t="str">
        <f>IF(AB1778="","",ROUND(N(W1778)*N(J1778)*(1-N(K1778)),2))</f>
        <v/>
      </c>
      <c r="AI1778" s="70" t="str">
        <f>IF(OR(J1778="",N(T1778)&lt;=0,V1778="Oui"),"",ROUND(N(T1778)*J1778*(1-N(K1778)),2))</f>
        <v/>
      </c>
    </row>
    <row r="1779">
      <c r="A1779" s="63" t="n"/>
      <c r="B1779" s="64" t="n"/>
      <c r="C1779" s="65" t="n"/>
      <c r="D1779" s="66" t="str">
        <f>IF(C1779="","",IFERROR(INDEX(sup_name,MATCH($C1779,sup_code,0))&amp;"","Fournisseur inconnu"))</f>
        <v/>
      </c>
      <c r="E1779" s="63" t="n"/>
      <c r="F1779" s="66" t="str">
        <f>IF(E1779="","",IFERROR(INDEX(art_des,MATCH($E1779,art_ref,0))&amp;"","Article inconnu"))</f>
        <v/>
      </c>
      <c r="G1779" s="67" t="str">
        <f>IF(E1779="","",IFERROR(INDEX(art_unit,MATCH($E1779,art_ref,0))&amp;"",""))</f>
        <v/>
      </c>
      <c r="H1779" s="68" t="n"/>
      <c r="I1779" s="69" t="n"/>
      <c r="J1779" s="70" t="str">
        <f>IF(E1779="","",IF(ISNUMBER(I1779),I1779,IFERROR(IF(ISNUMBER(INDEX(art_price,MATCH($E1779,art_ref,0))),INDEX(art_price,MATCH($E1779,art_ref,0)),""),"")))</f>
        <v/>
      </c>
      <c r="K1779" s="71" t="n"/>
      <c r="L1779" s="72" t="n"/>
      <c r="M1779" s="72" t="str">
        <f>IF(E1779="","",IF(L1779&lt;&gt;"",L1779,IFERROR(IF(ISNUMBER(INDEX(art_tva,MATCH($E1779,art_ref,0))),INDEX(art_tva,MATCH($E1779,art_ref,0)),""),"")))</f>
        <v/>
      </c>
      <c r="N1779" s="70" t="str">
        <f>IF(OR(E1779="",J1779=""),"",ROUND(N(H1779)*J1779*(1-N(K1779)),2))</f>
        <v/>
      </c>
      <c r="O1779" s="70" t="str">
        <f>IF(OR(N1779="",NOT(ISNUMBER(M1779))),"",ROUND(N1779*M1779,2))</f>
        <v/>
      </c>
      <c r="P1779" s="70" t="str">
        <f>IF(N1779="","",N1779+N(O1779))</f>
        <v/>
      </c>
      <c r="Q1779" s="64" t="n"/>
      <c r="R1779" s="73" t="str">
        <f>IF(N(Q1779)&gt;0,Q1779,IF(OR(N(B1779)=0,ISNA(MATCH($C1779,sup_code,0))),"",IF(ISNUMBER(INDEX(sup_delay,MATCH($C1779,sup_code,0))),B1779+INDEX(sup_delay,MATCH($C1779,sup_code,0)),"")))</f>
        <v/>
      </c>
      <c r="S1779" s="64" t="n"/>
      <c r="T1779" s="68" t="n"/>
      <c r="U1779" s="64" t="n"/>
      <c r="V1779" s="65" t="n"/>
      <c r="W1779" s="74" t="str">
        <f>IF(AND(A1779="",E1779=""),"",IF(V1779="Oui",0,MAX(0,ROUND(N(H1779)-N(T1779),6))))</f>
        <v/>
      </c>
      <c r="X1779" s="67" t="str">
        <f>IF(AND(A1779="",E1779=""),"",IF(V1779="Oui","Annulé",IF(AND(N(H1779)&gt;0,N(T1779)&gt;=N(H1779)),"Reçu",IF(N(S1779)=0,"Brouillon",IF(AND(ISNUMBER(R1779),R1779&lt;p_today),"En retard",IF(N(T1779)&gt;0,"Partiel","Envoyé"))))))</f>
        <v/>
      </c>
      <c r="Y1779" s="75" t="str">
        <f>IF(X1779="En retard",p_today-R1779,IF(AND(X1779="Reçu",ISNUMBER(R1779)),MAX(0,N(U1779)-R1779),""))</f>
        <v/>
      </c>
      <c r="Z1779" s="67" t="str">
        <f>IF(AND(A1779="",E1779=""),"",IF(A1779="","N° de bon manquant",IF(N(B1779)=0,"Date de commande manquante",IF(C1779="","Fournisseur manquant",IF(ISNA(MATCH($C1779,sup_code,0)),"Fournisseur inconnu",IF(E1779="","Article manquant",IF(ISNA(MATCH($E1779,art_ref,0)),"Article inconnu",IF(N(H1779)&lt;=0,"Quantité invalide",IF(J1779="","Prix manquant",IF(OR(N(K1779)&lt;0,N(K1779)&gt;=1),"Remise invalide",IF(M1779="","TVA manquante",IF(ISNA(MATCH(M1779,p_tva,0)),"Taux de TVA inconnu",IF(COUNTIFS(po_num,A1779,po_sup,"&lt;&gt;"&amp;C1779)&gt;0,"Fournisseur différent sur ce bon",IF(COUNTIFS(po_num,A1779,po_date,"&lt;&gt;"&amp;B1779)&gt;0,"Date différente sur ce bon",IF(COUNTIF(po_num,A1779)&gt;25,"Plus de 25 lignes sur ce bon",IF(R1779="","Date de livraison manquante",IF(R1779&lt;B1779,"Livraison avant la commande",IF(AND(N(T1779)&gt;0,N(S1779)=0),"Date d'envoi manquante",IF(N(T1779)&gt;N(H1779),"Reçu plus que commandé",IF(AND(N(T1779)&gt;0,N(U1779)=0),"Date de réception manquante",IF(AND(N(U1779)&gt;0,U1779&lt;B1779),"Réception avant la commande","OK")))))))))))))))))))))</f>
        <v/>
      </c>
      <c r="AA1779" s="66" t="str">
        <f>IF(AND(X1779="Reçu",ISNUMBER(R1779)),IF(N(U1779)&lt;=R1779,1,0),"")</f>
        <v/>
      </c>
      <c r="AB1779" s="76" t="str">
        <f>IF(OR(X1779="Envoyé",X1779="Partiel",X1779="En retard"),IF(ISNUMBER(R1779),R1779,100000)+ROW()/100000,"")</f>
        <v/>
      </c>
      <c r="AC1779" s="66" t="str">
        <f>IF(A1779="","",IF(COUNTIF($A$6:A1779,A1779)=1,1,""))</f>
        <v/>
      </c>
      <c r="AD1779" s="66" t="str">
        <f>IF(AC1779=1,COUNT($AC$6:AC1779),"")</f>
        <v/>
      </c>
      <c r="AE1779" s="66" t="str">
        <f>IFERROR(INDEX(po_num,MATCH(1774,po_seq,0))&amp;"","")</f>
        <v/>
      </c>
      <c r="AF1779" s="66" t="str">
        <f>IF(OR(A1779="",p_po=""),"",IF(A1779&amp;""=p_po,COUNTIF($A$6:A1779,A1779),""))</f>
        <v/>
      </c>
      <c r="AG1779" s="66" t="str">
        <f>IF(OR(AB1779="",A1779=""),"",IF(COUNTIFS($A$6:A1779,A1779,$AB$6:AB1779,"&gt;0")=1,1,""))</f>
        <v/>
      </c>
      <c r="AH1779" s="70" t="str">
        <f>IF(AB1779="","",ROUND(N(W1779)*N(J1779)*(1-N(K1779)),2))</f>
        <v/>
      </c>
      <c r="AI1779" s="70" t="str">
        <f>IF(OR(J1779="",N(T1779)&lt;=0,V1779="Oui"),"",ROUND(N(T1779)*J1779*(1-N(K1779)),2))</f>
        <v/>
      </c>
    </row>
    <row r="1780">
      <c r="A1780" s="63" t="n"/>
      <c r="B1780" s="64" t="n"/>
      <c r="C1780" s="65" t="n"/>
      <c r="D1780" s="66" t="str">
        <f>IF(C1780="","",IFERROR(INDEX(sup_name,MATCH($C1780,sup_code,0))&amp;"","Fournisseur inconnu"))</f>
        <v/>
      </c>
      <c r="E1780" s="63" t="n"/>
      <c r="F1780" s="66" t="str">
        <f>IF(E1780="","",IFERROR(INDEX(art_des,MATCH($E1780,art_ref,0))&amp;"","Article inconnu"))</f>
        <v/>
      </c>
      <c r="G1780" s="67" t="str">
        <f>IF(E1780="","",IFERROR(INDEX(art_unit,MATCH($E1780,art_ref,0))&amp;"",""))</f>
        <v/>
      </c>
      <c r="H1780" s="68" t="n"/>
      <c r="I1780" s="69" t="n"/>
      <c r="J1780" s="70" t="str">
        <f>IF(E1780="","",IF(ISNUMBER(I1780),I1780,IFERROR(IF(ISNUMBER(INDEX(art_price,MATCH($E1780,art_ref,0))),INDEX(art_price,MATCH($E1780,art_ref,0)),""),"")))</f>
        <v/>
      </c>
      <c r="K1780" s="71" t="n"/>
      <c r="L1780" s="72" t="n"/>
      <c r="M1780" s="72" t="str">
        <f>IF(E1780="","",IF(L1780&lt;&gt;"",L1780,IFERROR(IF(ISNUMBER(INDEX(art_tva,MATCH($E1780,art_ref,0))),INDEX(art_tva,MATCH($E1780,art_ref,0)),""),"")))</f>
        <v/>
      </c>
      <c r="N1780" s="70" t="str">
        <f>IF(OR(E1780="",J1780=""),"",ROUND(N(H1780)*J1780*(1-N(K1780)),2))</f>
        <v/>
      </c>
      <c r="O1780" s="70" t="str">
        <f>IF(OR(N1780="",NOT(ISNUMBER(M1780))),"",ROUND(N1780*M1780,2))</f>
        <v/>
      </c>
      <c r="P1780" s="70" t="str">
        <f>IF(N1780="","",N1780+N(O1780))</f>
        <v/>
      </c>
      <c r="Q1780" s="64" t="n"/>
      <c r="R1780" s="73" t="str">
        <f>IF(N(Q1780)&gt;0,Q1780,IF(OR(N(B1780)=0,ISNA(MATCH($C1780,sup_code,0))),"",IF(ISNUMBER(INDEX(sup_delay,MATCH($C1780,sup_code,0))),B1780+INDEX(sup_delay,MATCH($C1780,sup_code,0)),"")))</f>
        <v/>
      </c>
      <c r="S1780" s="64" t="n"/>
      <c r="T1780" s="68" t="n"/>
      <c r="U1780" s="64" t="n"/>
      <c r="V1780" s="65" t="n"/>
      <c r="W1780" s="74" t="str">
        <f>IF(AND(A1780="",E1780=""),"",IF(V1780="Oui",0,MAX(0,ROUND(N(H1780)-N(T1780),6))))</f>
        <v/>
      </c>
      <c r="X1780" s="67" t="str">
        <f>IF(AND(A1780="",E1780=""),"",IF(V1780="Oui","Annulé",IF(AND(N(H1780)&gt;0,N(T1780)&gt;=N(H1780)),"Reçu",IF(N(S1780)=0,"Brouillon",IF(AND(ISNUMBER(R1780),R1780&lt;p_today),"En retard",IF(N(T1780)&gt;0,"Partiel","Envoyé"))))))</f>
        <v/>
      </c>
      <c r="Y1780" s="75" t="str">
        <f>IF(X1780="En retard",p_today-R1780,IF(AND(X1780="Reçu",ISNUMBER(R1780)),MAX(0,N(U1780)-R1780),""))</f>
        <v/>
      </c>
      <c r="Z1780" s="67" t="str">
        <f>IF(AND(A1780="",E1780=""),"",IF(A1780="","N° de bon manquant",IF(N(B1780)=0,"Date de commande manquante",IF(C1780="","Fournisseur manquant",IF(ISNA(MATCH($C1780,sup_code,0)),"Fournisseur inconnu",IF(E1780="","Article manquant",IF(ISNA(MATCH($E1780,art_ref,0)),"Article inconnu",IF(N(H1780)&lt;=0,"Quantité invalide",IF(J1780="","Prix manquant",IF(OR(N(K1780)&lt;0,N(K1780)&gt;=1),"Remise invalide",IF(M1780="","TVA manquante",IF(ISNA(MATCH(M1780,p_tva,0)),"Taux de TVA inconnu",IF(COUNTIFS(po_num,A1780,po_sup,"&lt;&gt;"&amp;C1780)&gt;0,"Fournisseur différent sur ce bon",IF(COUNTIFS(po_num,A1780,po_date,"&lt;&gt;"&amp;B1780)&gt;0,"Date différente sur ce bon",IF(COUNTIF(po_num,A1780)&gt;25,"Plus de 25 lignes sur ce bon",IF(R1780="","Date de livraison manquante",IF(R1780&lt;B1780,"Livraison avant la commande",IF(AND(N(T1780)&gt;0,N(S1780)=0),"Date d'envoi manquante",IF(N(T1780)&gt;N(H1780),"Reçu plus que commandé",IF(AND(N(T1780)&gt;0,N(U1780)=0),"Date de réception manquante",IF(AND(N(U1780)&gt;0,U1780&lt;B1780),"Réception avant la commande","OK")))))))))))))))))))))</f>
        <v/>
      </c>
      <c r="AA1780" s="66" t="str">
        <f>IF(AND(X1780="Reçu",ISNUMBER(R1780)),IF(N(U1780)&lt;=R1780,1,0),"")</f>
        <v/>
      </c>
      <c r="AB1780" s="76" t="str">
        <f>IF(OR(X1780="Envoyé",X1780="Partiel",X1780="En retard"),IF(ISNUMBER(R1780),R1780,100000)+ROW()/100000,"")</f>
        <v/>
      </c>
      <c r="AC1780" s="66" t="str">
        <f>IF(A1780="","",IF(COUNTIF($A$6:A1780,A1780)=1,1,""))</f>
        <v/>
      </c>
      <c r="AD1780" s="66" t="str">
        <f>IF(AC1780=1,COUNT($AC$6:AC1780),"")</f>
        <v/>
      </c>
      <c r="AE1780" s="66" t="str">
        <f>IFERROR(INDEX(po_num,MATCH(1775,po_seq,0))&amp;"","")</f>
        <v/>
      </c>
      <c r="AF1780" s="66" t="str">
        <f>IF(OR(A1780="",p_po=""),"",IF(A1780&amp;""=p_po,COUNTIF($A$6:A1780,A1780),""))</f>
        <v/>
      </c>
      <c r="AG1780" s="66" t="str">
        <f>IF(OR(AB1780="",A1780=""),"",IF(COUNTIFS($A$6:A1780,A1780,$AB$6:AB1780,"&gt;0")=1,1,""))</f>
        <v/>
      </c>
      <c r="AH1780" s="70" t="str">
        <f>IF(AB1780="","",ROUND(N(W1780)*N(J1780)*(1-N(K1780)),2))</f>
        <v/>
      </c>
      <c r="AI1780" s="70" t="str">
        <f>IF(OR(J1780="",N(T1780)&lt;=0,V1780="Oui"),"",ROUND(N(T1780)*J1780*(1-N(K1780)),2))</f>
        <v/>
      </c>
    </row>
    <row r="1781">
      <c r="A1781" s="63" t="n"/>
      <c r="B1781" s="64" t="n"/>
      <c r="C1781" s="65" t="n"/>
      <c r="D1781" s="66" t="str">
        <f>IF(C1781="","",IFERROR(INDEX(sup_name,MATCH($C1781,sup_code,0))&amp;"","Fournisseur inconnu"))</f>
        <v/>
      </c>
      <c r="E1781" s="63" t="n"/>
      <c r="F1781" s="66" t="str">
        <f>IF(E1781="","",IFERROR(INDEX(art_des,MATCH($E1781,art_ref,0))&amp;"","Article inconnu"))</f>
        <v/>
      </c>
      <c r="G1781" s="67" t="str">
        <f>IF(E1781="","",IFERROR(INDEX(art_unit,MATCH($E1781,art_ref,0))&amp;"",""))</f>
        <v/>
      </c>
      <c r="H1781" s="68" t="n"/>
      <c r="I1781" s="69" t="n"/>
      <c r="J1781" s="70" t="str">
        <f>IF(E1781="","",IF(ISNUMBER(I1781),I1781,IFERROR(IF(ISNUMBER(INDEX(art_price,MATCH($E1781,art_ref,0))),INDEX(art_price,MATCH($E1781,art_ref,0)),""),"")))</f>
        <v/>
      </c>
      <c r="K1781" s="71" t="n"/>
      <c r="L1781" s="72" t="n"/>
      <c r="M1781" s="72" t="str">
        <f>IF(E1781="","",IF(L1781&lt;&gt;"",L1781,IFERROR(IF(ISNUMBER(INDEX(art_tva,MATCH($E1781,art_ref,0))),INDEX(art_tva,MATCH($E1781,art_ref,0)),""),"")))</f>
        <v/>
      </c>
      <c r="N1781" s="70" t="str">
        <f>IF(OR(E1781="",J1781=""),"",ROUND(N(H1781)*J1781*(1-N(K1781)),2))</f>
        <v/>
      </c>
      <c r="O1781" s="70" t="str">
        <f>IF(OR(N1781="",NOT(ISNUMBER(M1781))),"",ROUND(N1781*M1781,2))</f>
        <v/>
      </c>
      <c r="P1781" s="70" t="str">
        <f>IF(N1781="","",N1781+N(O1781))</f>
        <v/>
      </c>
      <c r="Q1781" s="64" t="n"/>
      <c r="R1781" s="73" t="str">
        <f>IF(N(Q1781)&gt;0,Q1781,IF(OR(N(B1781)=0,ISNA(MATCH($C1781,sup_code,0))),"",IF(ISNUMBER(INDEX(sup_delay,MATCH($C1781,sup_code,0))),B1781+INDEX(sup_delay,MATCH($C1781,sup_code,0)),"")))</f>
        <v/>
      </c>
      <c r="S1781" s="64" t="n"/>
      <c r="T1781" s="68" t="n"/>
      <c r="U1781" s="64" t="n"/>
      <c r="V1781" s="65" t="n"/>
      <c r="W1781" s="74" t="str">
        <f>IF(AND(A1781="",E1781=""),"",IF(V1781="Oui",0,MAX(0,ROUND(N(H1781)-N(T1781),6))))</f>
        <v/>
      </c>
      <c r="X1781" s="67" t="str">
        <f>IF(AND(A1781="",E1781=""),"",IF(V1781="Oui","Annulé",IF(AND(N(H1781)&gt;0,N(T1781)&gt;=N(H1781)),"Reçu",IF(N(S1781)=0,"Brouillon",IF(AND(ISNUMBER(R1781),R1781&lt;p_today),"En retard",IF(N(T1781)&gt;0,"Partiel","Envoyé"))))))</f>
        <v/>
      </c>
      <c r="Y1781" s="75" t="str">
        <f>IF(X1781="En retard",p_today-R1781,IF(AND(X1781="Reçu",ISNUMBER(R1781)),MAX(0,N(U1781)-R1781),""))</f>
        <v/>
      </c>
      <c r="Z1781" s="67" t="str">
        <f>IF(AND(A1781="",E1781=""),"",IF(A1781="","N° de bon manquant",IF(N(B1781)=0,"Date de commande manquante",IF(C1781="","Fournisseur manquant",IF(ISNA(MATCH($C1781,sup_code,0)),"Fournisseur inconnu",IF(E1781="","Article manquant",IF(ISNA(MATCH($E1781,art_ref,0)),"Article inconnu",IF(N(H1781)&lt;=0,"Quantité invalide",IF(J1781="","Prix manquant",IF(OR(N(K1781)&lt;0,N(K1781)&gt;=1),"Remise invalide",IF(M1781="","TVA manquante",IF(ISNA(MATCH(M1781,p_tva,0)),"Taux de TVA inconnu",IF(COUNTIFS(po_num,A1781,po_sup,"&lt;&gt;"&amp;C1781)&gt;0,"Fournisseur différent sur ce bon",IF(COUNTIFS(po_num,A1781,po_date,"&lt;&gt;"&amp;B1781)&gt;0,"Date différente sur ce bon",IF(COUNTIF(po_num,A1781)&gt;25,"Plus de 25 lignes sur ce bon",IF(R1781="","Date de livraison manquante",IF(R1781&lt;B1781,"Livraison avant la commande",IF(AND(N(T1781)&gt;0,N(S1781)=0),"Date d'envoi manquante",IF(N(T1781)&gt;N(H1781),"Reçu plus que commandé",IF(AND(N(T1781)&gt;0,N(U1781)=0),"Date de réception manquante",IF(AND(N(U1781)&gt;0,U1781&lt;B1781),"Réception avant la commande","OK")))))))))))))))))))))</f>
        <v/>
      </c>
      <c r="AA1781" s="66" t="str">
        <f>IF(AND(X1781="Reçu",ISNUMBER(R1781)),IF(N(U1781)&lt;=R1781,1,0),"")</f>
        <v/>
      </c>
      <c r="AB1781" s="76" t="str">
        <f>IF(OR(X1781="Envoyé",X1781="Partiel",X1781="En retard"),IF(ISNUMBER(R1781),R1781,100000)+ROW()/100000,"")</f>
        <v/>
      </c>
      <c r="AC1781" s="66" t="str">
        <f>IF(A1781="","",IF(COUNTIF($A$6:A1781,A1781)=1,1,""))</f>
        <v/>
      </c>
      <c r="AD1781" s="66" t="str">
        <f>IF(AC1781=1,COUNT($AC$6:AC1781),"")</f>
        <v/>
      </c>
      <c r="AE1781" s="66" t="str">
        <f>IFERROR(INDEX(po_num,MATCH(1776,po_seq,0))&amp;"","")</f>
        <v/>
      </c>
      <c r="AF1781" s="66" t="str">
        <f>IF(OR(A1781="",p_po=""),"",IF(A1781&amp;""=p_po,COUNTIF($A$6:A1781,A1781),""))</f>
        <v/>
      </c>
      <c r="AG1781" s="66" t="str">
        <f>IF(OR(AB1781="",A1781=""),"",IF(COUNTIFS($A$6:A1781,A1781,$AB$6:AB1781,"&gt;0")=1,1,""))</f>
        <v/>
      </c>
      <c r="AH1781" s="70" t="str">
        <f>IF(AB1781="","",ROUND(N(W1781)*N(J1781)*(1-N(K1781)),2))</f>
        <v/>
      </c>
      <c r="AI1781" s="70" t="str">
        <f>IF(OR(J1781="",N(T1781)&lt;=0,V1781="Oui"),"",ROUND(N(T1781)*J1781*(1-N(K1781)),2))</f>
        <v/>
      </c>
    </row>
    <row r="1782">
      <c r="A1782" s="63" t="n"/>
      <c r="B1782" s="64" t="n"/>
      <c r="C1782" s="65" t="n"/>
      <c r="D1782" s="66" t="str">
        <f>IF(C1782="","",IFERROR(INDEX(sup_name,MATCH($C1782,sup_code,0))&amp;"","Fournisseur inconnu"))</f>
        <v/>
      </c>
      <c r="E1782" s="63" t="n"/>
      <c r="F1782" s="66" t="str">
        <f>IF(E1782="","",IFERROR(INDEX(art_des,MATCH($E1782,art_ref,0))&amp;"","Article inconnu"))</f>
        <v/>
      </c>
      <c r="G1782" s="67" t="str">
        <f>IF(E1782="","",IFERROR(INDEX(art_unit,MATCH($E1782,art_ref,0))&amp;"",""))</f>
        <v/>
      </c>
      <c r="H1782" s="68" t="n"/>
      <c r="I1782" s="69" t="n"/>
      <c r="J1782" s="70" t="str">
        <f>IF(E1782="","",IF(ISNUMBER(I1782),I1782,IFERROR(IF(ISNUMBER(INDEX(art_price,MATCH($E1782,art_ref,0))),INDEX(art_price,MATCH($E1782,art_ref,0)),""),"")))</f>
        <v/>
      </c>
      <c r="K1782" s="71" t="n"/>
      <c r="L1782" s="72" t="n"/>
      <c r="M1782" s="72" t="str">
        <f>IF(E1782="","",IF(L1782&lt;&gt;"",L1782,IFERROR(IF(ISNUMBER(INDEX(art_tva,MATCH($E1782,art_ref,0))),INDEX(art_tva,MATCH($E1782,art_ref,0)),""),"")))</f>
        <v/>
      </c>
      <c r="N1782" s="70" t="str">
        <f>IF(OR(E1782="",J1782=""),"",ROUND(N(H1782)*J1782*(1-N(K1782)),2))</f>
        <v/>
      </c>
      <c r="O1782" s="70" t="str">
        <f>IF(OR(N1782="",NOT(ISNUMBER(M1782))),"",ROUND(N1782*M1782,2))</f>
        <v/>
      </c>
      <c r="P1782" s="70" t="str">
        <f>IF(N1782="","",N1782+N(O1782))</f>
        <v/>
      </c>
      <c r="Q1782" s="64" t="n"/>
      <c r="R1782" s="73" t="str">
        <f>IF(N(Q1782)&gt;0,Q1782,IF(OR(N(B1782)=0,ISNA(MATCH($C1782,sup_code,0))),"",IF(ISNUMBER(INDEX(sup_delay,MATCH($C1782,sup_code,0))),B1782+INDEX(sup_delay,MATCH($C1782,sup_code,0)),"")))</f>
        <v/>
      </c>
      <c r="S1782" s="64" t="n"/>
      <c r="T1782" s="68" t="n"/>
      <c r="U1782" s="64" t="n"/>
      <c r="V1782" s="65" t="n"/>
      <c r="W1782" s="74" t="str">
        <f>IF(AND(A1782="",E1782=""),"",IF(V1782="Oui",0,MAX(0,ROUND(N(H1782)-N(T1782),6))))</f>
        <v/>
      </c>
      <c r="X1782" s="67" t="str">
        <f>IF(AND(A1782="",E1782=""),"",IF(V1782="Oui","Annulé",IF(AND(N(H1782)&gt;0,N(T1782)&gt;=N(H1782)),"Reçu",IF(N(S1782)=0,"Brouillon",IF(AND(ISNUMBER(R1782),R1782&lt;p_today),"En retard",IF(N(T1782)&gt;0,"Partiel","Envoyé"))))))</f>
        <v/>
      </c>
      <c r="Y1782" s="75" t="str">
        <f>IF(X1782="En retard",p_today-R1782,IF(AND(X1782="Reçu",ISNUMBER(R1782)),MAX(0,N(U1782)-R1782),""))</f>
        <v/>
      </c>
      <c r="Z1782" s="67" t="str">
        <f>IF(AND(A1782="",E1782=""),"",IF(A1782="","N° de bon manquant",IF(N(B1782)=0,"Date de commande manquante",IF(C1782="","Fournisseur manquant",IF(ISNA(MATCH($C1782,sup_code,0)),"Fournisseur inconnu",IF(E1782="","Article manquant",IF(ISNA(MATCH($E1782,art_ref,0)),"Article inconnu",IF(N(H1782)&lt;=0,"Quantité invalide",IF(J1782="","Prix manquant",IF(OR(N(K1782)&lt;0,N(K1782)&gt;=1),"Remise invalide",IF(M1782="","TVA manquante",IF(ISNA(MATCH(M1782,p_tva,0)),"Taux de TVA inconnu",IF(COUNTIFS(po_num,A1782,po_sup,"&lt;&gt;"&amp;C1782)&gt;0,"Fournisseur différent sur ce bon",IF(COUNTIFS(po_num,A1782,po_date,"&lt;&gt;"&amp;B1782)&gt;0,"Date différente sur ce bon",IF(COUNTIF(po_num,A1782)&gt;25,"Plus de 25 lignes sur ce bon",IF(R1782="","Date de livraison manquante",IF(R1782&lt;B1782,"Livraison avant la commande",IF(AND(N(T1782)&gt;0,N(S1782)=0),"Date d'envoi manquante",IF(N(T1782)&gt;N(H1782),"Reçu plus que commandé",IF(AND(N(T1782)&gt;0,N(U1782)=0),"Date de réception manquante",IF(AND(N(U1782)&gt;0,U1782&lt;B1782),"Réception avant la commande","OK")))))))))))))))))))))</f>
        <v/>
      </c>
      <c r="AA1782" s="66" t="str">
        <f>IF(AND(X1782="Reçu",ISNUMBER(R1782)),IF(N(U1782)&lt;=R1782,1,0),"")</f>
        <v/>
      </c>
      <c r="AB1782" s="76" t="str">
        <f>IF(OR(X1782="Envoyé",X1782="Partiel",X1782="En retard"),IF(ISNUMBER(R1782),R1782,100000)+ROW()/100000,"")</f>
        <v/>
      </c>
      <c r="AC1782" s="66" t="str">
        <f>IF(A1782="","",IF(COUNTIF($A$6:A1782,A1782)=1,1,""))</f>
        <v/>
      </c>
      <c r="AD1782" s="66" t="str">
        <f>IF(AC1782=1,COUNT($AC$6:AC1782),"")</f>
        <v/>
      </c>
      <c r="AE1782" s="66" t="str">
        <f>IFERROR(INDEX(po_num,MATCH(1777,po_seq,0))&amp;"","")</f>
        <v/>
      </c>
      <c r="AF1782" s="66" t="str">
        <f>IF(OR(A1782="",p_po=""),"",IF(A1782&amp;""=p_po,COUNTIF($A$6:A1782,A1782),""))</f>
        <v/>
      </c>
      <c r="AG1782" s="66" t="str">
        <f>IF(OR(AB1782="",A1782=""),"",IF(COUNTIFS($A$6:A1782,A1782,$AB$6:AB1782,"&gt;0")=1,1,""))</f>
        <v/>
      </c>
      <c r="AH1782" s="70" t="str">
        <f>IF(AB1782="","",ROUND(N(W1782)*N(J1782)*(1-N(K1782)),2))</f>
        <v/>
      </c>
      <c r="AI1782" s="70" t="str">
        <f>IF(OR(J1782="",N(T1782)&lt;=0,V1782="Oui"),"",ROUND(N(T1782)*J1782*(1-N(K1782)),2))</f>
        <v/>
      </c>
    </row>
    <row r="1783">
      <c r="A1783" s="63" t="n"/>
      <c r="B1783" s="64" t="n"/>
      <c r="C1783" s="65" t="n"/>
      <c r="D1783" s="66" t="str">
        <f>IF(C1783="","",IFERROR(INDEX(sup_name,MATCH($C1783,sup_code,0))&amp;"","Fournisseur inconnu"))</f>
        <v/>
      </c>
      <c r="E1783" s="63" t="n"/>
      <c r="F1783" s="66" t="str">
        <f>IF(E1783="","",IFERROR(INDEX(art_des,MATCH($E1783,art_ref,0))&amp;"","Article inconnu"))</f>
        <v/>
      </c>
      <c r="G1783" s="67" t="str">
        <f>IF(E1783="","",IFERROR(INDEX(art_unit,MATCH($E1783,art_ref,0))&amp;"",""))</f>
        <v/>
      </c>
      <c r="H1783" s="68" t="n"/>
      <c r="I1783" s="69" t="n"/>
      <c r="J1783" s="70" t="str">
        <f>IF(E1783="","",IF(ISNUMBER(I1783),I1783,IFERROR(IF(ISNUMBER(INDEX(art_price,MATCH($E1783,art_ref,0))),INDEX(art_price,MATCH($E1783,art_ref,0)),""),"")))</f>
        <v/>
      </c>
      <c r="K1783" s="71" t="n"/>
      <c r="L1783" s="72" t="n"/>
      <c r="M1783" s="72" t="str">
        <f>IF(E1783="","",IF(L1783&lt;&gt;"",L1783,IFERROR(IF(ISNUMBER(INDEX(art_tva,MATCH($E1783,art_ref,0))),INDEX(art_tva,MATCH($E1783,art_ref,0)),""),"")))</f>
        <v/>
      </c>
      <c r="N1783" s="70" t="str">
        <f>IF(OR(E1783="",J1783=""),"",ROUND(N(H1783)*J1783*(1-N(K1783)),2))</f>
        <v/>
      </c>
      <c r="O1783" s="70" t="str">
        <f>IF(OR(N1783="",NOT(ISNUMBER(M1783))),"",ROUND(N1783*M1783,2))</f>
        <v/>
      </c>
      <c r="P1783" s="70" t="str">
        <f>IF(N1783="","",N1783+N(O1783))</f>
        <v/>
      </c>
      <c r="Q1783" s="64" t="n"/>
      <c r="R1783" s="73" t="str">
        <f>IF(N(Q1783)&gt;0,Q1783,IF(OR(N(B1783)=0,ISNA(MATCH($C1783,sup_code,0))),"",IF(ISNUMBER(INDEX(sup_delay,MATCH($C1783,sup_code,0))),B1783+INDEX(sup_delay,MATCH($C1783,sup_code,0)),"")))</f>
        <v/>
      </c>
      <c r="S1783" s="64" t="n"/>
      <c r="T1783" s="68" t="n"/>
      <c r="U1783" s="64" t="n"/>
      <c r="V1783" s="65" t="n"/>
      <c r="W1783" s="74" t="str">
        <f>IF(AND(A1783="",E1783=""),"",IF(V1783="Oui",0,MAX(0,ROUND(N(H1783)-N(T1783),6))))</f>
        <v/>
      </c>
      <c r="X1783" s="67" t="str">
        <f>IF(AND(A1783="",E1783=""),"",IF(V1783="Oui","Annulé",IF(AND(N(H1783)&gt;0,N(T1783)&gt;=N(H1783)),"Reçu",IF(N(S1783)=0,"Brouillon",IF(AND(ISNUMBER(R1783),R1783&lt;p_today),"En retard",IF(N(T1783)&gt;0,"Partiel","Envoyé"))))))</f>
        <v/>
      </c>
      <c r="Y1783" s="75" t="str">
        <f>IF(X1783="En retard",p_today-R1783,IF(AND(X1783="Reçu",ISNUMBER(R1783)),MAX(0,N(U1783)-R1783),""))</f>
        <v/>
      </c>
      <c r="Z1783" s="67" t="str">
        <f>IF(AND(A1783="",E1783=""),"",IF(A1783="","N° de bon manquant",IF(N(B1783)=0,"Date de commande manquante",IF(C1783="","Fournisseur manquant",IF(ISNA(MATCH($C1783,sup_code,0)),"Fournisseur inconnu",IF(E1783="","Article manquant",IF(ISNA(MATCH($E1783,art_ref,0)),"Article inconnu",IF(N(H1783)&lt;=0,"Quantité invalide",IF(J1783="","Prix manquant",IF(OR(N(K1783)&lt;0,N(K1783)&gt;=1),"Remise invalide",IF(M1783="","TVA manquante",IF(ISNA(MATCH(M1783,p_tva,0)),"Taux de TVA inconnu",IF(COUNTIFS(po_num,A1783,po_sup,"&lt;&gt;"&amp;C1783)&gt;0,"Fournisseur différent sur ce bon",IF(COUNTIFS(po_num,A1783,po_date,"&lt;&gt;"&amp;B1783)&gt;0,"Date différente sur ce bon",IF(COUNTIF(po_num,A1783)&gt;25,"Plus de 25 lignes sur ce bon",IF(R1783="","Date de livraison manquante",IF(R1783&lt;B1783,"Livraison avant la commande",IF(AND(N(T1783)&gt;0,N(S1783)=0),"Date d'envoi manquante",IF(N(T1783)&gt;N(H1783),"Reçu plus que commandé",IF(AND(N(T1783)&gt;0,N(U1783)=0),"Date de réception manquante",IF(AND(N(U1783)&gt;0,U1783&lt;B1783),"Réception avant la commande","OK")))))))))))))))))))))</f>
        <v/>
      </c>
      <c r="AA1783" s="66" t="str">
        <f>IF(AND(X1783="Reçu",ISNUMBER(R1783)),IF(N(U1783)&lt;=R1783,1,0),"")</f>
        <v/>
      </c>
      <c r="AB1783" s="76" t="str">
        <f>IF(OR(X1783="Envoyé",X1783="Partiel",X1783="En retard"),IF(ISNUMBER(R1783),R1783,100000)+ROW()/100000,"")</f>
        <v/>
      </c>
      <c r="AC1783" s="66" t="str">
        <f>IF(A1783="","",IF(COUNTIF($A$6:A1783,A1783)=1,1,""))</f>
        <v/>
      </c>
      <c r="AD1783" s="66" t="str">
        <f>IF(AC1783=1,COUNT($AC$6:AC1783),"")</f>
        <v/>
      </c>
      <c r="AE1783" s="66" t="str">
        <f>IFERROR(INDEX(po_num,MATCH(1778,po_seq,0))&amp;"","")</f>
        <v/>
      </c>
      <c r="AF1783" s="66" t="str">
        <f>IF(OR(A1783="",p_po=""),"",IF(A1783&amp;""=p_po,COUNTIF($A$6:A1783,A1783),""))</f>
        <v/>
      </c>
      <c r="AG1783" s="66" t="str">
        <f>IF(OR(AB1783="",A1783=""),"",IF(COUNTIFS($A$6:A1783,A1783,$AB$6:AB1783,"&gt;0")=1,1,""))</f>
        <v/>
      </c>
      <c r="AH1783" s="70" t="str">
        <f>IF(AB1783="","",ROUND(N(W1783)*N(J1783)*(1-N(K1783)),2))</f>
        <v/>
      </c>
      <c r="AI1783" s="70" t="str">
        <f>IF(OR(J1783="",N(T1783)&lt;=0,V1783="Oui"),"",ROUND(N(T1783)*J1783*(1-N(K1783)),2))</f>
        <v/>
      </c>
    </row>
    <row r="1784">
      <c r="A1784" s="63" t="n"/>
      <c r="B1784" s="64" t="n"/>
      <c r="C1784" s="65" t="n"/>
      <c r="D1784" s="66" t="str">
        <f>IF(C1784="","",IFERROR(INDEX(sup_name,MATCH($C1784,sup_code,0))&amp;"","Fournisseur inconnu"))</f>
        <v/>
      </c>
      <c r="E1784" s="63" t="n"/>
      <c r="F1784" s="66" t="str">
        <f>IF(E1784="","",IFERROR(INDEX(art_des,MATCH($E1784,art_ref,0))&amp;"","Article inconnu"))</f>
        <v/>
      </c>
      <c r="G1784" s="67" t="str">
        <f>IF(E1784="","",IFERROR(INDEX(art_unit,MATCH($E1784,art_ref,0))&amp;"",""))</f>
        <v/>
      </c>
      <c r="H1784" s="68" t="n"/>
      <c r="I1784" s="69" t="n"/>
      <c r="J1784" s="70" t="str">
        <f>IF(E1784="","",IF(ISNUMBER(I1784),I1784,IFERROR(IF(ISNUMBER(INDEX(art_price,MATCH($E1784,art_ref,0))),INDEX(art_price,MATCH($E1784,art_ref,0)),""),"")))</f>
        <v/>
      </c>
      <c r="K1784" s="71" t="n"/>
      <c r="L1784" s="72" t="n"/>
      <c r="M1784" s="72" t="str">
        <f>IF(E1784="","",IF(L1784&lt;&gt;"",L1784,IFERROR(IF(ISNUMBER(INDEX(art_tva,MATCH($E1784,art_ref,0))),INDEX(art_tva,MATCH($E1784,art_ref,0)),""),"")))</f>
        <v/>
      </c>
      <c r="N1784" s="70" t="str">
        <f>IF(OR(E1784="",J1784=""),"",ROUND(N(H1784)*J1784*(1-N(K1784)),2))</f>
        <v/>
      </c>
      <c r="O1784" s="70" t="str">
        <f>IF(OR(N1784="",NOT(ISNUMBER(M1784))),"",ROUND(N1784*M1784,2))</f>
        <v/>
      </c>
      <c r="P1784" s="70" t="str">
        <f>IF(N1784="","",N1784+N(O1784))</f>
        <v/>
      </c>
      <c r="Q1784" s="64" t="n"/>
      <c r="R1784" s="73" t="str">
        <f>IF(N(Q1784)&gt;0,Q1784,IF(OR(N(B1784)=0,ISNA(MATCH($C1784,sup_code,0))),"",IF(ISNUMBER(INDEX(sup_delay,MATCH($C1784,sup_code,0))),B1784+INDEX(sup_delay,MATCH($C1784,sup_code,0)),"")))</f>
        <v/>
      </c>
      <c r="S1784" s="64" t="n"/>
      <c r="T1784" s="68" t="n"/>
      <c r="U1784" s="64" t="n"/>
      <c r="V1784" s="65" t="n"/>
      <c r="W1784" s="74" t="str">
        <f>IF(AND(A1784="",E1784=""),"",IF(V1784="Oui",0,MAX(0,ROUND(N(H1784)-N(T1784),6))))</f>
        <v/>
      </c>
      <c r="X1784" s="67" t="str">
        <f>IF(AND(A1784="",E1784=""),"",IF(V1784="Oui","Annulé",IF(AND(N(H1784)&gt;0,N(T1784)&gt;=N(H1784)),"Reçu",IF(N(S1784)=0,"Brouillon",IF(AND(ISNUMBER(R1784),R1784&lt;p_today),"En retard",IF(N(T1784)&gt;0,"Partiel","Envoyé"))))))</f>
        <v/>
      </c>
      <c r="Y1784" s="75" t="str">
        <f>IF(X1784="En retard",p_today-R1784,IF(AND(X1784="Reçu",ISNUMBER(R1784)),MAX(0,N(U1784)-R1784),""))</f>
        <v/>
      </c>
      <c r="Z1784" s="67" t="str">
        <f>IF(AND(A1784="",E1784=""),"",IF(A1784="","N° de bon manquant",IF(N(B1784)=0,"Date de commande manquante",IF(C1784="","Fournisseur manquant",IF(ISNA(MATCH($C1784,sup_code,0)),"Fournisseur inconnu",IF(E1784="","Article manquant",IF(ISNA(MATCH($E1784,art_ref,0)),"Article inconnu",IF(N(H1784)&lt;=0,"Quantité invalide",IF(J1784="","Prix manquant",IF(OR(N(K1784)&lt;0,N(K1784)&gt;=1),"Remise invalide",IF(M1784="","TVA manquante",IF(ISNA(MATCH(M1784,p_tva,0)),"Taux de TVA inconnu",IF(COUNTIFS(po_num,A1784,po_sup,"&lt;&gt;"&amp;C1784)&gt;0,"Fournisseur différent sur ce bon",IF(COUNTIFS(po_num,A1784,po_date,"&lt;&gt;"&amp;B1784)&gt;0,"Date différente sur ce bon",IF(COUNTIF(po_num,A1784)&gt;25,"Plus de 25 lignes sur ce bon",IF(R1784="","Date de livraison manquante",IF(R1784&lt;B1784,"Livraison avant la commande",IF(AND(N(T1784)&gt;0,N(S1784)=0),"Date d'envoi manquante",IF(N(T1784)&gt;N(H1784),"Reçu plus que commandé",IF(AND(N(T1784)&gt;0,N(U1784)=0),"Date de réception manquante",IF(AND(N(U1784)&gt;0,U1784&lt;B1784),"Réception avant la commande","OK")))))))))))))))))))))</f>
        <v/>
      </c>
      <c r="AA1784" s="66" t="str">
        <f>IF(AND(X1784="Reçu",ISNUMBER(R1784)),IF(N(U1784)&lt;=R1784,1,0),"")</f>
        <v/>
      </c>
      <c r="AB1784" s="76" t="str">
        <f>IF(OR(X1784="Envoyé",X1784="Partiel",X1784="En retard"),IF(ISNUMBER(R1784),R1784,100000)+ROW()/100000,"")</f>
        <v/>
      </c>
      <c r="AC1784" s="66" t="str">
        <f>IF(A1784="","",IF(COUNTIF($A$6:A1784,A1784)=1,1,""))</f>
        <v/>
      </c>
      <c r="AD1784" s="66" t="str">
        <f>IF(AC1784=1,COUNT($AC$6:AC1784),"")</f>
        <v/>
      </c>
      <c r="AE1784" s="66" t="str">
        <f>IFERROR(INDEX(po_num,MATCH(1779,po_seq,0))&amp;"","")</f>
        <v/>
      </c>
      <c r="AF1784" s="66" t="str">
        <f>IF(OR(A1784="",p_po=""),"",IF(A1784&amp;""=p_po,COUNTIF($A$6:A1784,A1784),""))</f>
        <v/>
      </c>
      <c r="AG1784" s="66" t="str">
        <f>IF(OR(AB1784="",A1784=""),"",IF(COUNTIFS($A$6:A1784,A1784,$AB$6:AB1784,"&gt;0")=1,1,""))</f>
        <v/>
      </c>
      <c r="AH1784" s="70" t="str">
        <f>IF(AB1784="","",ROUND(N(W1784)*N(J1784)*(1-N(K1784)),2))</f>
        <v/>
      </c>
      <c r="AI1784" s="70" t="str">
        <f>IF(OR(J1784="",N(T1784)&lt;=0,V1784="Oui"),"",ROUND(N(T1784)*J1784*(1-N(K1784)),2))</f>
        <v/>
      </c>
    </row>
    <row r="1785">
      <c r="A1785" s="63" t="n"/>
      <c r="B1785" s="64" t="n"/>
      <c r="C1785" s="65" t="n"/>
      <c r="D1785" s="66" t="str">
        <f>IF(C1785="","",IFERROR(INDEX(sup_name,MATCH($C1785,sup_code,0))&amp;"","Fournisseur inconnu"))</f>
        <v/>
      </c>
      <c r="E1785" s="63" t="n"/>
      <c r="F1785" s="66" t="str">
        <f>IF(E1785="","",IFERROR(INDEX(art_des,MATCH($E1785,art_ref,0))&amp;"","Article inconnu"))</f>
        <v/>
      </c>
      <c r="G1785" s="67" t="str">
        <f>IF(E1785="","",IFERROR(INDEX(art_unit,MATCH($E1785,art_ref,0))&amp;"",""))</f>
        <v/>
      </c>
      <c r="H1785" s="68" t="n"/>
      <c r="I1785" s="69" t="n"/>
      <c r="J1785" s="70" t="str">
        <f>IF(E1785="","",IF(ISNUMBER(I1785),I1785,IFERROR(IF(ISNUMBER(INDEX(art_price,MATCH($E1785,art_ref,0))),INDEX(art_price,MATCH($E1785,art_ref,0)),""),"")))</f>
        <v/>
      </c>
      <c r="K1785" s="71" t="n"/>
      <c r="L1785" s="72" t="n"/>
      <c r="M1785" s="72" t="str">
        <f>IF(E1785="","",IF(L1785&lt;&gt;"",L1785,IFERROR(IF(ISNUMBER(INDEX(art_tva,MATCH($E1785,art_ref,0))),INDEX(art_tva,MATCH($E1785,art_ref,0)),""),"")))</f>
        <v/>
      </c>
      <c r="N1785" s="70" t="str">
        <f>IF(OR(E1785="",J1785=""),"",ROUND(N(H1785)*J1785*(1-N(K1785)),2))</f>
        <v/>
      </c>
      <c r="O1785" s="70" t="str">
        <f>IF(OR(N1785="",NOT(ISNUMBER(M1785))),"",ROUND(N1785*M1785,2))</f>
        <v/>
      </c>
      <c r="P1785" s="70" t="str">
        <f>IF(N1785="","",N1785+N(O1785))</f>
        <v/>
      </c>
      <c r="Q1785" s="64" t="n"/>
      <c r="R1785" s="73" t="str">
        <f>IF(N(Q1785)&gt;0,Q1785,IF(OR(N(B1785)=0,ISNA(MATCH($C1785,sup_code,0))),"",IF(ISNUMBER(INDEX(sup_delay,MATCH($C1785,sup_code,0))),B1785+INDEX(sup_delay,MATCH($C1785,sup_code,0)),"")))</f>
        <v/>
      </c>
      <c r="S1785" s="64" t="n"/>
      <c r="T1785" s="68" t="n"/>
      <c r="U1785" s="64" t="n"/>
      <c r="V1785" s="65" t="n"/>
      <c r="W1785" s="74" t="str">
        <f>IF(AND(A1785="",E1785=""),"",IF(V1785="Oui",0,MAX(0,ROUND(N(H1785)-N(T1785),6))))</f>
        <v/>
      </c>
      <c r="X1785" s="67" t="str">
        <f>IF(AND(A1785="",E1785=""),"",IF(V1785="Oui","Annulé",IF(AND(N(H1785)&gt;0,N(T1785)&gt;=N(H1785)),"Reçu",IF(N(S1785)=0,"Brouillon",IF(AND(ISNUMBER(R1785),R1785&lt;p_today),"En retard",IF(N(T1785)&gt;0,"Partiel","Envoyé"))))))</f>
        <v/>
      </c>
      <c r="Y1785" s="75" t="str">
        <f>IF(X1785="En retard",p_today-R1785,IF(AND(X1785="Reçu",ISNUMBER(R1785)),MAX(0,N(U1785)-R1785),""))</f>
        <v/>
      </c>
      <c r="Z1785" s="67" t="str">
        <f>IF(AND(A1785="",E1785=""),"",IF(A1785="","N° de bon manquant",IF(N(B1785)=0,"Date de commande manquante",IF(C1785="","Fournisseur manquant",IF(ISNA(MATCH($C1785,sup_code,0)),"Fournisseur inconnu",IF(E1785="","Article manquant",IF(ISNA(MATCH($E1785,art_ref,0)),"Article inconnu",IF(N(H1785)&lt;=0,"Quantité invalide",IF(J1785="","Prix manquant",IF(OR(N(K1785)&lt;0,N(K1785)&gt;=1),"Remise invalide",IF(M1785="","TVA manquante",IF(ISNA(MATCH(M1785,p_tva,0)),"Taux de TVA inconnu",IF(COUNTIFS(po_num,A1785,po_sup,"&lt;&gt;"&amp;C1785)&gt;0,"Fournisseur différent sur ce bon",IF(COUNTIFS(po_num,A1785,po_date,"&lt;&gt;"&amp;B1785)&gt;0,"Date différente sur ce bon",IF(COUNTIF(po_num,A1785)&gt;25,"Plus de 25 lignes sur ce bon",IF(R1785="","Date de livraison manquante",IF(R1785&lt;B1785,"Livraison avant la commande",IF(AND(N(T1785)&gt;0,N(S1785)=0),"Date d'envoi manquante",IF(N(T1785)&gt;N(H1785),"Reçu plus que commandé",IF(AND(N(T1785)&gt;0,N(U1785)=0),"Date de réception manquante",IF(AND(N(U1785)&gt;0,U1785&lt;B1785),"Réception avant la commande","OK")))))))))))))))))))))</f>
        <v/>
      </c>
      <c r="AA1785" s="66" t="str">
        <f>IF(AND(X1785="Reçu",ISNUMBER(R1785)),IF(N(U1785)&lt;=R1785,1,0),"")</f>
        <v/>
      </c>
      <c r="AB1785" s="76" t="str">
        <f>IF(OR(X1785="Envoyé",X1785="Partiel",X1785="En retard"),IF(ISNUMBER(R1785),R1785,100000)+ROW()/100000,"")</f>
        <v/>
      </c>
      <c r="AC1785" s="66" t="str">
        <f>IF(A1785="","",IF(COUNTIF($A$6:A1785,A1785)=1,1,""))</f>
        <v/>
      </c>
      <c r="AD1785" s="66" t="str">
        <f>IF(AC1785=1,COUNT($AC$6:AC1785),"")</f>
        <v/>
      </c>
      <c r="AE1785" s="66" t="str">
        <f>IFERROR(INDEX(po_num,MATCH(1780,po_seq,0))&amp;"","")</f>
        <v/>
      </c>
      <c r="AF1785" s="66" t="str">
        <f>IF(OR(A1785="",p_po=""),"",IF(A1785&amp;""=p_po,COUNTIF($A$6:A1785,A1785),""))</f>
        <v/>
      </c>
      <c r="AG1785" s="66" t="str">
        <f>IF(OR(AB1785="",A1785=""),"",IF(COUNTIFS($A$6:A1785,A1785,$AB$6:AB1785,"&gt;0")=1,1,""))</f>
        <v/>
      </c>
      <c r="AH1785" s="70" t="str">
        <f>IF(AB1785="","",ROUND(N(W1785)*N(J1785)*(1-N(K1785)),2))</f>
        <v/>
      </c>
      <c r="AI1785" s="70" t="str">
        <f>IF(OR(J1785="",N(T1785)&lt;=0,V1785="Oui"),"",ROUND(N(T1785)*J1785*(1-N(K1785)),2))</f>
        <v/>
      </c>
    </row>
    <row r="1786">
      <c r="A1786" s="63" t="n"/>
      <c r="B1786" s="64" t="n"/>
      <c r="C1786" s="65" t="n"/>
      <c r="D1786" s="66" t="str">
        <f>IF(C1786="","",IFERROR(INDEX(sup_name,MATCH($C1786,sup_code,0))&amp;"","Fournisseur inconnu"))</f>
        <v/>
      </c>
      <c r="E1786" s="63" t="n"/>
      <c r="F1786" s="66" t="str">
        <f>IF(E1786="","",IFERROR(INDEX(art_des,MATCH($E1786,art_ref,0))&amp;"","Article inconnu"))</f>
        <v/>
      </c>
      <c r="G1786" s="67" t="str">
        <f>IF(E1786="","",IFERROR(INDEX(art_unit,MATCH($E1786,art_ref,0))&amp;"",""))</f>
        <v/>
      </c>
      <c r="H1786" s="68" t="n"/>
      <c r="I1786" s="69" t="n"/>
      <c r="J1786" s="70" t="str">
        <f>IF(E1786="","",IF(ISNUMBER(I1786),I1786,IFERROR(IF(ISNUMBER(INDEX(art_price,MATCH($E1786,art_ref,0))),INDEX(art_price,MATCH($E1786,art_ref,0)),""),"")))</f>
        <v/>
      </c>
      <c r="K1786" s="71" t="n"/>
      <c r="L1786" s="72" t="n"/>
      <c r="M1786" s="72" t="str">
        <f>IF(E1786="","",IF(L1786&lt;&gt;"",L1786,IFERROR(IF(ISNUMBER(INDEX(art_tva,MATCH($E1786,art_ref,0))),INDEX(art_tva,MATCH($E1786,art_ref,0)),""),"")))</f>
        <v/>
      </c>
      <c r="N1786" s="70" t="str">
        <f>IF(OR(E1786="",J1786=""),"",ROUND(N(H1786)*J1786*(1-N(K1786)),2))</f>
        <v/>
      </c>
      <c r="O1786" s="70" t="str">
        <f>IF(OR(N1786="",NOT(ISNUMBER(M1786))),"",ROUND(N1786*M1786,2))</f>
        <v/>
      </c>
      <c r="P1786" s="70" t="str">
        <f>IF(N1786="","",N1786+N(O1786))</f>
        <v/>
      </c>
      <c r="Q1786" s="64" t="n"/>
      <c r="R1786" s="73" t="str">
        <f>IF(N(Q1786)&gt;0,Q1786,IF(OR(N(B1786)=0,ISNA(MATCH($C1786,sup_code,0))),"",IF(ISNUMBER(INDEX(sup_delay,MATCH($C1786,sup_code,0))),B1786+INDEX(sup_delay,MATCH($C1786,sup_code,0)),"")))</f>
        <v/>
      </c>
      <c r="S1786" s="64" t="n"/>
      <c r="T1786" s="68" t="n"/>
      <c r="U1786" s="64" t="n"/>
      <c r="V1786" s="65" t="n"/>
      <c r="W1786" s="74" t="str">
        <f>IF(AND(A1786="",E1786=""),"",IF(V1786="Oui",0,MAX(0,ROUND(N(H1786)-N(T1786),6))))</f>
        <v/>
      </c>
      <c r="X1786" s="67" t="str">
        <f>IF(AND(A1786="",E1786=""),"",IF(V1786="Oui","Annulé",IF(AND(N(H1786)&gt;0,N(T1786)&gt;=N(H1786)),"Reçu",IF(N(S1786)=0,"Brouillon",IF(AND(ISNUMBER(R1786),R1786&lt;p_today),"En retard",IF(N(T1786)&gt;0,"Partiel","Envoyé"))))))</f>
        <v/>
      </c>
      <c r="Y1786" s="75" t="str">
        <f>IF(X1786="En retard",p_today-R1786,IF(AND(X1786="Reçu",ISNUMBER(R1786)),MAX(0,N(U1786)-R1786),""))</f>
        <v/>
      </c>
      <c r="Z1786" s="67" t="str">
        <f>IF(AND(A1786="",E1786=""),"",IF(A1786="","N° de bon manquant",IF(N(B1786)=0,"Date de commande manquante",IF(C1786="","Fournisseur manquant",IF(ISNA(MATCH($C1786,sup_code,0)),"Fournisseur inconnu",IF(E1786="","Article manquant",IF(ISNA(MATCH($E1786,art_ref,0)),"Article inconnu",IF(N(H1786)&lt;=0,"Quantité invalide",IF(J1786="","Prix manquant",IF(OR(N(K1786)&lt;0,N(K1786)&gt;=1),"Remise invalide",IF(M1786="","TVA manquante",IF(ISNA(MATCH(M1786,p_tva,0)),"Taux de TVA inconnu",IF(COUNTIFS(po_num,A1786,po_sup,"&lt;&gt;"&amp;C1786)&gt;0,"Fournisseur différent sur ce bon",IF(COUNTIFS(po_num,A1786,po_date,"&lt;&gt;"&amp;B1786)&gt;0,"Date différente sur ce bon",IF(COUNTIF(po_num,A1786)&gt;25,"Plus de 25 lignes sur ce bon",IF(R1786="","Date de livraison manquante",IF(R1786&lt;B1786,"Livraison avant la commande",IF(AND(N(T1786)&gt;0,N(S1786)=0),"Date d'envoi manquante",IF(N(T1786)&gt;N(H1786),"Reçu plus que commandé",IF(AND(N(T1786)&gt;0,N(U1786)=0),"Date de réception manquante",IF(AND(N(U1786)&gt;0,U1786&lt;B1786),"Réception avant la commande","OK")))))))))))))))))))))</f>
        <v/>
      </c>
      <c r="AA1786" s="66" t="str">
        <f>IF(AND(X1786="Reçu",ISNUMBER(R1786)),IF(N(U1786)&lt;=R1786,1,0),"")</f>
        <v/>
      </c>
      <c r="AB1786" s="76" t="str">
        <f>IF(OR(X1786="Envoyé",X1786="Partiel",X1786="En retard"),IF(ISNUMBER(R1786),R1786,100000)+ROW()/100000,"")</f>
        <v/>
      </c>
      <c r="AC1786" s="66" t="str">
        <f>IF(A1786="","",IF(COUNTIF($A$6:A1786,A1786)=1,1,""))</f>
        <v/>
      </c>
      <c r="AD1786" s="66" t="str">
        <f>IF(AC1786=1,COUNT($AC$6:AC1786),"")</f>
        <v/>
      </c>
      <c r="AE1786" s="66" t="str">
        <f>IFERROR(INDEX(po_num,MATCH(1781,po_seq,0))&amp;"","")</f>
        <v/>
      </c>
      <c r="AF1786" s="66" t="str">
        <f>IF(OR(A1786="",p_po=""),"",IF(A1786&amp;""=p_po,COUNTIF($A$6:A1786,A1786),""))</f>
        <v/>
      </c>
      <c r="AG1786" s="66" t="str">
        <f>IF(OR(AB1786="",A1786=""),"",IF(COUNTIFS($A$6:A1786,A1786,$AB$6:AB1786,"&gt;0")=1,1,""))</f>
        <v/>
      </c>
      <c r="AH1786" s="70" t="str">
        <f>IF(AB1786="","",ROUND(N(W1786)*N(J1786)*(1-N(K1786)),2))</f>
        <v/>
      </c>
      <c r="AI1786" s="70" t="str">
        <f>IF(OR(J1786="",N(T1786)&lt;=0,V1786="Oui"),"",ROUND(N(T1786)*J1786*(1-N(K1786)),2))</f>
        <v/>
      </c>
    </row>
    <row r="1787">
      <c r="A1787" s="63" t="n"/>
      <c r="B1787" s="64" t="n"/>
      <c r="C1787" s="65" t="n"/>
      <c r="D1787" s="66" t="str">
        <f>IF(C1787="","",IFERROR(INDEX(sup_name,MATCH($C1787,sup_code,0))&amp;"","Fournisseur inconnu"))</f>
        <v/>
      </c>
      <c r="E1787" s="63" t="n"/>
      <c r="F1787" s="66" t="str">
        <f>IF(E1787="","",IFERROR(INDEX(art_des,MATCH($E1787,art_ref,0))&amp;"","Article inconnu"))</f>
        <v/>
      </c>
      <c r="G1787" s="67" t="str">
        <f>IF(E1787="","",IFERROR(INDEX(art_unit,MATCH($E1787,art_ref,0))&amp;"",""))</f>
        <v/>
      </c>
      <c r="H1787" s="68" t="n"/>
      <c r="I1787" s="69" t="n"/>
      <c r="J1787" s="70" t="str">
        <f>IF(E1787="","",IF(ISNUMBER(I1787),I1787,IFERROR(IF(ISNUMBER(INDEX(art_price,MATCH($E1787,art_ref,0))),INDEX(art_price,MATCH($E1787,art_ref,0)),""),"")))</f>
        <v/>
      </c>
      <c r="K1787" s="71" t="n"/>
      <c r="L1787" s="72" t="n"/>
      <c r="M1787" s="72" t="str">
        <f>IF(E1787="","",IF(L1787&lt;&gt;"",L1787,IFERROR(IF(ISNUMBER(INDEX(art_tva,MATCH($E1787,art_ref,0))),INDEX(art_tva,MATCH($E1787,art_ref,0)),""),"")))</f>
        <v/>
      </c>
      <c r="N1787" s="70" t="str">
        <f>IF(OR(E1787="",J1787=""),"",ROUND(N(H1787)*J1787*(1-N(K1787)),2))</f>
        <v/>
      </c>
      <c r="O1787" s="70" t="str">
        <f>IF(OR(N1787="",NOT(ISNUMBER(M1787))),"",ROUND(N1787*M1787,2))</f>
        <v/>
      </c>
      <c r="P1787" s="70" t="str">
        <f>IF(N1787="","",N1787+N(O1787))</f>
        <v/>
      </c>
      <c r="Q1787" s="64" t="n"/>
      <c r="R1787" s="73" t="str">
        <f>IF(N(Q1787)&gt;0,Q1787,IF(OR(N(B1787)=0,ISNA(MATCH($C1787,sup_code,0))),"",IF(ISNUMBER(INDEX(sup_delay,MATCH($C1787,sup_code,0))),B1787+INDEX(sup_delay,MATCH($C1787,sup_code,0)),"")))</f>
        <v/>
      </c>
      <c r="S1787" s="64" t="n"/>
      <c r="T1787" s="68" t="n"/>
      <c r="U1787" s="64" t="n"/>
      <c r="V1787" s="65" t="n"/>
      <c r="W1787" s="74" t="str">
        <f>IF(AND(A1787="",E1787=""),"",IF(V1787="Oui",0,MAX(0,ROUND(N(H1787)-N(T1787),6))))</f>
        <v/>
      </c>
      <c r="X1787" s="67" t="str">
        <f>IF(AND(A1787="",E1787=""),"",IF(V1787="Oui","Annulé",IF(AND(N(H1787)&gt;0,N(T1787)&gt;=N(H1787)),"Reçu",IF(N(S1787)=0,"Brouillon",IF(AND(ISNUMBER(R1787),R1787&lt;p_today),"En retard",IF(N(T1787)&gt;0,"Partiel","Envoyé"))))))</f>
        <v/>
      </c>
      <c r="Y1787" s="75" t="str">
        <f>IF(X1787="En retard",p_today-R1787,IF(AND(X1787="Reçu",ISNUMBER(R1787)),MAX(0,N(U1787)-R1787),""))</f>
        <v/>
      </c>
      <c r="Z1787" s="67" t="str">
        <f>IF(AND(A1787="",E1787=""),"",IF(A1787="","N° de bon manquant",IF(N(B1787)=0,"Date de commande manquante",IF(C1787="","Fournisseur manquant",IF(ISNA(MATCH($C1787,sup_code,0)),"Fournisseur inconnu",IF(E1787="","Article manquant",IF(ISNA(MATCH($E1787,art_ref,0)),"Article inconnu",IF(N(H1787)&lt;=0,"Quantité invalide",IF(J1787="","Prix manquant",IF(OR(N(K1787)&lt;0,N(K1787)&gt;=1),"Remise invalide",IF(M1787="","TVA manquante",IF(ISNA(MATCH(M1787,p_tva,0)),"Taux de TVA inconnu",IF(COUNTIFS(po_num,A1787,po_sup,"&lt;&gt;"&amp;C1787)&gt;0,"Fournisseur différent sur ce bon",IF(COUNTIFS(po_num,A1787,po_date,"&lt;&gt;"&amp;B1787)&gt;0,"Date différente sur ce bon",IF(COUNTIF(po_num,A1787)&gt;25,"Plus de 25 lignes sur ce bon",IF(R1787="","Date de livraison manquante",IF(R1787&lt;B1787,"Livraison avant la commande",IF(AND(N(T1787)&gt;0,N(S1787)=0),"Date d'envoi manquante",IF(N(T1787)&gt;N(H1787),"Reçu plus que commandé",IF(AND(N(T1787)&gt;0,N(U1787)=0),"Date de réception manquante",IF(AND(N(U1787)&gt;0,U1787&lt;B1787),"Réception avant la commande","OK")))))))))))))))))))))</f>
        <v/>
      </c>
      <c r="AA1787" s="66" t="str">
        <f>IF(AND(X1787="Reçu",ISNUMBER(R1787)),IF(N(U1787)&lt;=R1787,1,0),"")</f>
        <v/>
      </c>
      <c r="AB1787" s="76" t="str">
        <f>IF(OR(X1787="Envoyé",X1787="Partiel",X1787="En retard"),IF(ISNUMBER(R1787),R1787,100000)+ROW()/100000,"")</f>
        <v/>
      </c>
      <c r="AC1787" s="66" t="str">
        <f>IF(A1787="","",IF(COUNTIF($A$6:A1787,A1787)=1,1,""))</f>
        <v/>
      </c>
      <c r="AD1787" s="66" t="str">
        <f>IF(AC1787=1,COUNT($AC$6:AC1787),"")</f>
        <v/>
      </c>
      <c r="AE1787" s="66" t="str">
        <f>IFERROR(INDEX(po_num,MATCH(1782,po_seq,0))&amp;"","")</f>
        <v/>
      </c>
      <c r="AF1787" s="66" t="str">
        <f>IF(OR(A1787="",p_po=""),"",IF(A1787&amp;""=p_po,COUNTIF($A$6:A1787,A1787),""))</f>
        <v/>
      </c>
      <c r="AG1787" s="66" t="str">
        <f>IF(OR(AB1787="",A1787=""),"",IF(COUNTIFS($A$6:A1787,A1787,$AB$6:AB1787,"&gt;0")=1,1,""))</f>
        <v/>
      </c>
      <c r="AH1787" s="70" t="str">
        <f>IF(AB1787="","",ROUND(N(W1787)*N(J1787)*(1-N(K1787)),2))</f>
        <v/>
      </c>
      <c r="AI1787" s="70" t="str">
        <f>IF(OR(J1787="",N(T1787)&lt;=0,V1787="Oui"),"",ROUND(N(T1787)*J1787*(1-N(K1787)),2))</f>
        <v/>
      </c>
    </row>
    <row r="1788">
      <c r="A1788" s="63" t="n"/>
      <c r="B1788" s="64" t="n"/>
      <c r="C1788" s="65" t="n"/>
      <c r="D1788" s="66" t="str">
        <f>IF(C1788="","",IFERROR(INDEX(sup_name,MATCH($C1788,sup_code,0))&amp;"","Fournisseur inconnu"))</f>
        <v/>
      </c>
      <c r="E1788" s="63" t="n"/>
      <c r="F1788" s="66" t="str">
        <f>IF(E1788="","",IFERROR(INDEX(art_des,MATCH($E1788,art_ref,0))&amp;"","Article inconnu"))</f>
        <v/>
      </c>
      <c r="G1788" s="67" t="str">
        <f>IF(E1788="","",IFERROR(INDEX(art_unit,MATCH($E1788,art_ref,0))&amp;"",""))</f>
        <v/>
      </c>
      <c r="H1788" s="68" t="n"/>
      <c r="I1788" s="69" t="n"/>
      <c r="J1788" s="70" t="str">
        <f>IF(E1788="","",IF(ISNUMBER(I1788),I1788,IFERROR(IF(ISNUMBER(INDEX(art_price,MATCH($E1788,art_ref,0))),INDEX(art_price,MATCH($E1788,art_ref,0)),""),"")))</f>
        <v/>
      </c>
      <c r="K1788" s="71" t="n"/>
      <c r="L1788" s="72" t="n"/>
      <c r="M1788" s="72" t="str">
        <f>IF(E1788="","",IF(L1788&lt;&gt;"",L1788,IFERROR(IF(ISNUMBER(INDEX(art_tva,MATCH($E1788,art_ref,0))),INDEX(art_tva,MATCH($E1788,art_ref,0)),""),"")))</f>
        <v/>
      </c>
      <c r="N1788" s="70" t="str">
        <f>IF(OR(E1788="",J1788=""),"",ROUND(N(H1788)*J1788*(1-N(K1788)),2))</f>
        <v/>
      </c>
      <c r="O1788" s="70" t="str">
        <f>IF(OR(N1788="",NOT(ISNUMBER(M1788))),"",ROUND(N1788*M1788,2))</f>
        <v/>
      </c>
      <c r="P1788" s="70" t="str">
        <f>IF(N1788="","",N1788+N(O1788))</f>
        <v/>
      </c>
      <c r="Q1788" s="64" t="n"/>
      <c r="R1788" s="73" t="str">
        <f>IF(N(Q1788)&gt;0,Q1788,IF(OR(N(B1788)=0,ISNA(MATCH($C1788,sup_code,0))),"",IF(ISNUMBER(INDEX(sup_delay,MATCH($C1788,sup_code,0))),B1788+INDEX(sup_delay,MATCH($C1788,sup_code,0)),"")))</f>
        <v/>
      </c>
      <c r="S1788" s="64" t="n"/>
      <c r="T1788" s="68" t="n"/>
      <c r="U1788" s="64" t="n"/>
      <c r="V1788" s="65" t="n"/>
      <c r="W1788" s="74" t="str">
        <f>IF(AND(A1788="",E1788=""),"",IF(V1788="Oui",0,MAX(0,ROUND(N(H1788)-N(T1788),6))))</f>
        <v/>
      </c>
      <c r="X1788" s="67" t="str">
        <f>IF(AND(A1788="",E1788=""),"",IF(V1788="Oui","Annulé",IF(AND(N(H1788)&gt;0,N(T1788)&gt;=N(H1788)),"Reçu",IF(N(S1788)=0,"Brouillon",IF(AND(ISNUMBER(R1788),R1788&lt;p_today),"En retard",IF(N(T1788)&gt;0,"Partiel","Envoyé"))))))</f>
        <v/>
      </c>
      <c r="Y1788" s="75" t="str">
        <f>IF(X1788="En retard",p_today-R1788,IF(AND(X1788="Reçu",ISNUMBER(R1788)),MAX(0,N(U1788)-R1788),""))</f>
        <v/>
      </c>
      <c r="Z1788" s="67" t="str">
        <f>IF(AND(A1788="",E1788=""),"",IF(A1788="","N° de bon manquant",IF(N(B1788)=0,"Date de commande manquante",IF(C1788="","Fournisseur manquant",IF(ISNA(MATCH($C1788,sup_code,0)),"Fournisseur inconnu",IF(E1788="","Article manquant",IF(ISNA(MATCH($E1788,art_ref,0)),"Article inconnu",IF(N(H1788)&lt;=0,"Quantité invalide",IF(J1788="","Prix manquant",IF(OR(N(K1788)&lt;0,N(K1788)&gt;=1),"Remise invalide",IF(M1788="","TVA manquante",IF(ISNA(MATCH(M1788,p_tva,0)),"Taux de TVA inconnu",IF(COUNTIFS(po_num,A1788,po_sup,"&lt;&gt;"&amp;C1788)&gt;0,"Fournisseur différent sur ce bon",IF(COUNTIFS(po_num,A1788,po_date,"&lt;&gt;"&amp;B1788)&gt;0,"Date différente sur ce bon",IF(COUNTIF(po_num,A1788)&gt;25,"Plus de 25 lignes sur ce bon",IF(R1788="","Date de livraison manquante",IF(R1788&lt;B1788,"Livraison avant la commande",IF(AND(N(T1788)&gt;0,N(S1788)=0),"Date d'envoi manquante",IF(N(T1788)&gt;N(H1788),"Reçu plus que commandé",IF(AND(N(T1788)&gt;0,N(U1788)=0),"Date de réception manquante",IF(AND(N(U1788)&gt;0,U1788&lt;B1788),"Réception avant la commande","OK")))))))))))))))))))))</f>
        <v/>
      </c>
      <c r="AA1788" s="66" t="str">
        <f>IF(AND(X1788="Reçu",ISNUMBER(R1788)),IF(N(U1788)&lt;=R1788,1,0),"")</f>
        <v/>
      </c>
      <c r="AB1788" s="76" t="str">
        <f>IF(OR(X1788="Envoyé",X1788="Partiel",X1788="En retard"),IF(ISNUMBER(R1788),R1788,100000)+ROW()/100000,"")</f>
        <v/>
      </c>
      <c r="AC1788" s="66" t="str">
        <f>IF(A1788="","",IF(COUNTIF($A$6:A1788,A1788)=1,1,""))</f>
        <v/>
      </c>
      <c r="AD1788" s="66" t="str">
        <f>IF(AC1788=1,COUNT($AC$6:AC1788),"")</f>
        <v/>
      </c>
      <c r="AE1788" s="66" t="str">
        <f>IFERROR(INDEX(po_num,MATCH(1783,po_seq,0))&amp;"","")</f>
        <v/>
      </c>
      <c r="AF1788" s="66" t="str">
        <f>IF(OR(A1788="",p_po=""),"",IF(A1788&amp;""=p_po,COUNTIF($A$6:A1788,A1788),""))</f>
        <v/>
      </c>
      <c r="AG1788" s="66" t="str">
        <f>IF(OR(AB1788="",A1788=""),"",IF(COUNTIFS($A$6:A1788,A1788,$AB$6:AB1788,"&gt;0")=1,1,""))</f>
        <v/>
      </c>
      <c r="AH1788" s="70" t="str">
        <f>IF(AB1788="","",ROUND(N(W1788)*N(J1788)*(1-N(K1788)),2))</f>
        <v/>
      </c>
      <c r="AI1788" s="70" t="str">
        <f>IF(OR(J1788="",N(T1788)&lt;=0,V1788="Oui"),"",ROUND(N(T1788)*J1788*(1-N(K1788)),2))</f>
        <v/>
      </c>
    </row>
    <row r="1789">
      <c r="A1789" s="63" t="n"/>
      <c r="B1789" s="64" t="n"/>
      <c r="C1789" s="65" t="n"/>
      <c r="D1789" s="66" t="str">
        <f>IF(C1789="","",IFERROR(INDEX(sup_name,MATCH($C1789,sup_code,0))&amp;"","Fournisseur inconnu"))</f>
        <v/>
      </c>
      <c r="E1789" s="63" t="n"/>
      <c r="F1789" s="66" t="str">
        <f>IF(E1789="","",IFERROR(INDEX(art_des,MATCH($E1789,art_ref,0))&amp;"","Article inconnu"))</f>
        <v/>
      </c>
      <c r="G1789" s="67" t="str">
        <f>IF(E1789="","",IFERROR(INDEX(art_unit,MATCH($E1789,art_ref,0))&amp;"",""))</f>
        <v/>
      </c>
      <c r="H1789" s="68" t="n"/>
      <c r="I1789" s="69" t="n"/>
      <c r="J1789" s="70" t="str">
        <f>IF(E1789="","",IF(ISNUMBER(I1789),I1789,IFERROR(IF(ISNUMBER(INDEX(art_price,MATCH($E1789,art_ref,0))),INDEX(art_price,MATCH($E1789,art_ref,0)),""),"")))</f>
        <v/>
      </c>
      <c r="K1789" s="71" t="n"/>
      <c r="L1789" s="72" t="n"/>
      <c r="M1789" s="72" t="str">
        <f>IF(E1789="","",IF(L1789&lt;&gt;"",L1789,IFERROR(IF(ISNUMBER(INDEX(art_tva,MATCH($E1789,art_ref,0))),INDEX(art_tva,MATCH($E1789,art_ref,0)),""),"")))</f>
        <v/>
      </c>
      <c r="N1789" s="70" t="str">
        <f>IF(OR(E1789="",J1789=""),"",ROUND(N(H1789)*J1789*(1-N(K1789)),2))</f>
        <v/>
      </c>
      <c r="O1789" s="70" t="str">
        <f>IF(OR(N1789="",NOT(ISNUMBER(M1789))),"",ROUND(N1789*M1789,2))</f>
        <v/>
      </c>
      <c r="P1789" s="70" t="str">
        <f>IF(N1789="","",N1789+N(O1789))</f>
        <v/>
      </c>
      <c r="Q1789" s="64" t="n"/>
      <c r="R1789" s="73" t="str">
        <f>IF(N(Q1789)&gt;0,Q1789,IF(OR(N(B1789)=0,ISNA(MATCH($C1789,sup_code,0))),"",IF(ISNUMBER(INDEX(sup_delay,MATCH($C1789,sup_code,0))),B1789+INDEX(sup_delay,MATCH($C1789,sup_code,0)),"")))</f>
        <v/>
      </c>
      <c r="S1789" s="64" t="n"/>
      <c r="T1789" s="68" t="n"/>
      <c r="U1789" s="64" t="n"/>
      <c r="V1789" s="65" t="n"/>
      <c r="W1789" s="74" t="str">
        <f>IF(AND(A1789="",E1789=""),"",IF(V1789="Oui",0,MAX(0,ROUND(N(H1789)-N(T1789),6))))</f>
        <v/>
      </c>
      <c r="X1789" s="67" t="str">
        <f>IF(AND(A1789="",E1789=""),"",IF(V1789="Oui","Annulé",IF(AND(N(H1789)&gt;0,N(T1789)&gt;=N(H1789)),"Reçu",IF(N(S1789)=0,"Brouillon",IF(AND(ISNUMBER(R1789),R1789&lt;p_today),"En retard",IF(N(T1789)&gt;0,"Partiel","Envoyé"))))))</f>
        <v/>
      </c>
      <c r="Y1789" s="75" t="str">
        <f>IF(X1789="En retard",p_today-R1789,IF(AND(X1789="Reçu",ISNUMBER(R1789)),MAX(0,N(U1789)-R1789),""))</f>
        <v/>
      </c>
      <c r="Z1789" s="67" t="str">
        <f>IF(AND(A1789="",E1789=""),"",IF(A1789="","N° de bon manquant",IF(N(B1789)=0,"Date de commande manquante",IF(C1789="","Fournisseur manquant",IF(ISNA(MATCH($C1789,sup_code,0)),"Fournisseur inconnu",IF(E1789="","Article manquant",IF(ISNA(MATCH($E1789,art_ref,0)),"Article inconnu",IF(N(H1789)&lt;=0,"Quantité invalide",IF(J1789="","Prix manquant",IF(OR(N(K1789)&lt;0,N(K1789)&gt;=1),"Remise invalide",IF(M1789="","TVA manquante",IF(ISNA(MATCH(M1789,p_tva,0)),"Taux de TVA inconnu",IF(COUNTIFS(po_num,A1789,po_sup,"&lt;&gt;"&amp;C1789)&gt;0,"Fournisseur différent sur ce bon",IF(COUNTIFS(po_num,A1789,po_date,"&lt;&gt;"&amp;B1789)&gt;0,"Date différente sur ce bon",IF(COUNTIF(po_num,A1789)&gt;25,"Plus de 25 lignes sur ce bon",IF(R1789="","Date de livraison manquante",IF(R1789&lt;B1789,"Livraison avant la commande",IF(AND(N(T1789)&gt;0,N(S1789)=0),"Date d'envoi manquante",IF(N(T1789)&gt;N(H1789),"Reçu plus que commandé",IF(AND(N(T1789)&gt;0,N(U1789)=0),"Date de réception manquante",IF(AND(N(U1789)&gt;0,U1789&lt;B1789),"Réception avant la commande","OK")))))))))))))))))))))</f>
        <v/>
      </c>
      <c r="AA1789" s="66" t="str">
        <f>IF(AND(X1789="Reçu",ISNUMBER(R1789)),IF(N(U1789)&lt;=R1789,1,0),"")</f>
        <v/>
      </c>
      <c r="AB1789" s="76" t="str">
        <f>IF(OR(X1789="Envoyé",X1789="Partiel",X1789="En retard"),IF(ISNUMBER(R1789),R1789,100000)+ROW()/100000,"")</f>
        <v/>
      </c>
      <c r="AC1789" s="66" t="str">
        <f>IF(A1789="","",IF(COUNTIF($A$6:A1789,A1789)=1,1,""))</f>
        <v/>
      </c>
      <c r="AD1789" s="66" t="str">
        <f>IF(AC1789=1,COUNT($AC$6:AC1789),"")</f>
        <v/>
      </c>
      <c r="AE1789" s="66" t="str">
        <f>IFERROR(INDEX(po_num,MATCH(1784,po_seq,0))&amp;"","")</f>
        <v/>
      </c>
      <c r="AF1789" s="66" t="str">
        <f>IF(OR(A1789="",p_po=""),"",IF(A1789&amp;""=p_po,COUNTIF($A$6:A1789,A1789),""))</f>
        <v/>
      </c>
      <c r="AG1789" s="66" t="str">
        <f>IF(OR(AB1789="",A1789=""),"",IF(COUNTIFS($A$6:A1789,A1789,$AB$6:AB1789,"&gt;0")=1,1,""))</f>
        <v/>
      </c>
      <c r="AH1789" s="70" t="str">
        <f>IF(AB1789="","",ROUND(N(W1789)*N(J1789)*(1-N(K1789)),2))</f>
        <v/>
      </c>
      <c r="AI1789" s="70" t="str">
        <f>IF(OR(J1789="",N(T1789)&lt;=0,V1789="Oui"),"",ROUND(N(T1789)*J1789*(1-N(K1789)),2))</f>
        <v/>
      </c>
    </row>
    <row r="1790">
      <c r="A1790" s="63" t="n"/>
      <c r="B1790" s="64" t="n"/>
      <c r="C1790" s="65" t="n"/>
      <c r="D1790" s="66" t="str">
        <f>IF(C1790="","",IFERROR(INDEX(sup_name,MATCH($C1790,sup_code,0))&amp;"","Fournisseur inconnu"))</f>
        <v/>
      </c>
      <c r="E1790" s="63" t="n"/>
      <c r="F1790" s="66" t="str">
        <f>IF(E1790="","",IFERROR(INDEX(art_des,MATCH($E1790,art_ref,0))&amp;"","Article inconnu"))</f>
        <v/>
      </c>
      <c r="G1790" s="67" t="str">
        <f>IF(E1790="","",IFERROR(INDEX(art_unit,MATCH($E1790,art_ref,0))&amp;"",""))</f>
        <v/>
      </c>
      <c r="H1790" s="68" t="n"/>
      <c r="I1790" s="69" t="n"/>
      <c r="J1790" s="70" t="str">
        <f>IF(E1790="","",IF(ISNUMBER(I1790),I1790,IFERROR(IF(ISNUMBER(INDEX(art_price,MATCH($E1790,art_ref,0))),INDEX(art_price,MATCH($E1790,art_ref,0)),""),"")))</f>
        <v/>
      </c>
      <c r="K1790" s="71" t="n"/>
      <c r="L1790" s="72" t="n"/>
      <c r="M1790" s="72" t="str">
        <f>IF(E1790="","",IF(L1790&lt;&gt;"",L1790,IFERROR(IF(ISNUMBER(INDEX(art_tva,MATCH($E1790,art_ref,0))),INDEX(art_tva,MATCH($E1790,art_ref,0)),""),"")))</f>
        <v/>
      </c>
      <c r="N1790" s="70" t="str">
        <f>IF(OR(E1790="",J1790=""),"",ROUND(N(H1790)*J1790*(1-N(K1790)),2))</f>
        <v/>
      </c>
      <c r="O1790" s="70" t="str">
        <f>IF(OR(N1790="",NOT(ISNUMBER(M1790))),"",ROUND(N1790*M1790,2))</f>
        <v/>
      </c>
      <c r="P1790" s="70" t="str">
        <f>IF(N1790="","",N1790+N(O1790))</f>
        <v/>
      </c>
      <c r="Q1790" s="64" t="n"/>
      <c r="R1790" s="73" t="str">
        <f>IF(N(Q1790)&gt;0,Q1790,IF(OR(N(B1790)=0,ISNA(MATCH($C1790,sup_code,0))),"",IF(ISNUMBER(INDEX(sup_delay,MATCH($C1790,sup_code,0))),B1790+INDEX(sup_delay,MATCH($C1790,sup_code,0)),"")))</f>
        <v/>
      </c>
      <c r="S1790" s="64" t="n"/>
      <c r="T1790" s="68" t="n"/>
      <c r="U1790" s="64" t="n"/>
      <c r="V1790" s="65" t="n"/>
      <c r="W1790" s="74" t="str">
        <f>IF(AND(A1790="",E1790=""),"",IF(V1790="Oui",0,MAX(0,ROUND(N(H1790)-N(T1790),6))))</f>
        <v/>
      </c>
      <c r="X1790" s="67" t="str">
        <f>IF(AND(A1790="",E1790=""),"",IF(V1790="Oui","Annulé",IF(AND(N(H1790)&gt;0,N(T1790)&gt;=N(H1790)),"Reçu",IF(N(S1790)=0,"Brouillon",IF(AND(ISNUMBER(R1790),R1790&lt;p_today),"En retard",IF(N(T1790)&gt;0,"Partiel","Envoyé"))))))</f>
        <v/>
      </c>
      <c r="Y1790" s="75" t="str">
        <f>IF(X1790="En retard",p_today-R1790,IF(AND(X1790="Reçu",ISNUMBER(R1790)),MAX(0,N(U1790)-R1790),""))</f>
        <v/>
      </c>
      <c r="Z1790" s="67" t="str">
        <f>IF(AND(A1790="",E1790=""),"",IF(A1790="","N° de bon manquant",IF(N(B1790)=0,"Date de commande manquante",IF(C1790="","Fournisseur manquant",IF(ISNA(MATCH($C1790,sup_code,0)),"Fournisseur inconnu",IF(E1790="","Article manquant",IF(ISNA(MATCH($E1790,art_ref,0)),"Article inconnu",IF(N(H1790)&lt;=0,"Quantité invalide",IF(J1790="","Prix manquant",IF(OR(N(K1790)&lt;0,N(K1790)&gt;=1),"Remise invalide",IF(M1790="","TVA manquante",IF(ISNA(MATCH(M1790,p_tva,0)),"Taux de TVA inconnu",IF(COUNTIFS(po_num,A1790,po_sup,"&lt;&gt;"&amp;C1790)&gt;0,"Fournisseur différent sur ce bon",IF(COUNTIFS(po_num,A1790,po_date,"&lt;&gt;"&amp;B1790)&gt;0,"Date différente sur ce bon",IF(COUNTIF(po_num,A1790)&gt;25,"Plus de 25 lignes sur ce bon",IF(R1790="","Date de livraison manquante",IF(R1790&lt;B1790,"Livraison avant la commande",IF(AND(N(T1790)&gt;0,N(S1790)=0),"Date d'envoi manquante",IF(N(T1790)&gt;N(H1790),"Reçu plus que commandé",IF(AND(N(T1790)&gt;0,N(U1790)=0),"Date de réception manquante",IF(AND(N(U1790)&gt;0,U1790&lt;B1790),"Réception avant la commande","OK")))))))))))))))))))))</f>
        <v/>
      </c>
      <c r="AA1790" s="66" t="str">
        <f>IF(AND(X1790="Reçu",ISNUMBER(R1790)),IF(N(U1790)&lt;=R1790,1,0),"")</f>
        <v/>
      </c>
      <c r="AB1790" s="76" t="str">
        <f>IF(OR(X1790="Envoyé",X1790="Partiel",X1790="En retard"),IF(ISNUMBER(R1790),R1790,100000)+ROW()/100000,"")</f>
        <v/>
      </c>
      <c r="AC1790" s="66" t="str">
        <f>IF(A1790="","",IF(COUNTIF($A$6:A1790,A1790)=1,1,""))</f>
        <v/>
      </c>
      <c r="AD1790" s="66" t="str">
        <f>IF(AC1790=1,COUNT($AC$6:AC1790),"")</f>
        <v/>
      </c>
      <c r="AE1790" s="66" t="str">
        <f>IFERROR(INDEX(po_num,MATCH(1785,po_seq,0))&amp;"","")</f>
        <v/>
      </c>
      <c r="AF1790" s="66" t="str">
        <f>IF(OR(A1790="",p_po=""),"",IF(A1790&amp;""=p_po,COUNTIF($A$6:A1790,A1790),""))</f>
        <v/>
      </c>
      <c r="AG1790" s="66" t="str">
        <f>IF(OR(AB1790="",A1790=""),"",IF(COUNTIFS($A$6:A1790,A1790,$AB$6:AB1790,"&gt;0")=1,1,""))</f>
        <v/>
      </c>
      <c r="AH1790" s="70" t="str">
        <f>IF(AB1790="","",ROUND(N(W1790)*N(J1790)*(1-N(K1790)),2))</f>
        <v/>
      </c>
      <c r="AI1790" s="70" t="str">
        <f>IF(OR(J1790="",N(T1790)&lt;=0,V1790="Oui"),"",ROUND(N(T1790)*J1790*(1-N(K1790)),2))</f>
        <v/>
      </c>
    </row>
    <row r="1791">
      <c r="A1791" s="63" t="n"/>
      <c r="B1791" s="64" t="n"/>
      <c r="C1791" s="65" t="n"/>
      <c r="D1791" s="66" t="str">
        <f>IF(C1791="","",IFERROR(INDEX(sup_name,MATCH($C1791,sup_code,0))&amp;"","Fournisseur inconnu"))</f>
        <v/>
      </c>
      <c r="E1791" s="63" t="n"/>
      <c r="F1791" s="66" t="str">
        <f>IF(E1791="","",IFERROR(INDEX(art_des,MATCH($E1791,art_ref,0))&amp;"","Article inconnu"))</f>
        <v/>
      </c>
      <c r="G1791" s="67" t="str">
        <f>IF(E1791="","",IFERROR(INDEX(art_unit,MATCH($E1791,art_ref,0))&amp;"",""))</f>
        <v/>
      </c>
      <c r="H1791" s="68" t="n"/>
      <c r="I1791" s="69" t="n"/>
      <c r="J1791" s="70" t="str">
        <f>IF(E1791="","",IF(ISNUMBER(I1791),I1791,IFERROR(IF(ISNUMBER(INDEX(art_price,MATCH($E1791,art_ref,0))),INDEX(art_price,MATCH($E1791,art_ref,0)),""),"")))</f>
        <v/>
      </c>
      <c r="K1791" s="71" t="n"/>
      <c r="L1791" s="72" t="n"/>
      <c r="M1791" s="72" t="str">
        <f>IF(E1791="","",IF(L1791&lt;&gt;"",L1791,IFERROR(IF(ISNUMBER(INDEX(art_tva,MATCH($E1791,art_ref,0))),INDEX(art_tva,MATCH($E1791,art_ref,0)),""),"")))</f>
        <v/>
      </c>
      <c r="N1791" s="70" t="str">
        <f>IF(OR(E1791="",J1791=""),"",ROUND(N(H1791)*J1791*(1-N(K1791)),2))</f>
        <v/>
      </c>
      <c r="O1791" s="70" t="str">
        <f>IF(OR(N1791="",NOT(ISNUMBER(M1791))),"",ROUND(N1791*M1791,2))</f>
        <v/>
      </c>
      <c r="P1791" s="70" t="str">
        <f>IF(N1791="","",N1791+N(O1791))</f>
        <v/>
      </c>
      <c r="Q1791" s="64" t="n"/>
      <c r="R1791" s="73" t="str">
        <f>IF(N(Q1791)&gt;0,Q1791,IF(OR(N(B1791)=0,ISNA(MATCH($C1791,sup_code,0))),"",IF(ISNUMBER(INDEX(sup_delay,MATCH($C1791,sup_code,0))),B1791+INDEX(sup_delay,MATCH($C1791,sup_code,0)),"")))</f>
        <v/>
      </c>
      <c r="S1791" s="64" t="n"/>
      <c r="T1791" s="68" t="n"/>
      <c r="U1791" s="64" t="n"/>
      <c r="V1791" s="65" t="n"/>
      <c r="W1791" s="74" t="str">
        <f>IF(AND(A1791="",E1791=""),"",IF(V1791="Oui",0,MAX(0,ROUND(N(H1791)-N(T1791),6))))</f>
        <v/>
      </c>
      <c r="X1791" s="67" t="str">
        <f>IF(AND(A1791="",E1791=""),"",IF(V1791="Oui","Annulé",IF(AND(N(H1791)&gt;0,N(T1791)&gt;=N(H1791)),"Reçu",IF(N(S1791)=0,"Brouillon",IF(AND(ISNUMBER(R1791),R1791&lt;p_today),"En retard",IF(N(T1791)&gt;0,"Partiel","Envoyé"))))))</f>
        <v/>
      </c>
      <c r="Y1791" s="75" t="str">
        <f>IF(X1791="En retard",p_today-R1791,IF(AND(X1791="Reçu",ISNUMBER(R1791)),MAX(0,N(U1791)-R1791),""))</f>
        <v/>
      </c>
      <c r="Z1791" s="67" t="str">
        <f>IF(AND(A1791="",E1791=""),"",IF(A1791="","N° de bon manquant",IF(N(B1791)=0,"Date de commande manquante",IF(C1791="","Fournisseur manquant",IF(ISNA(MATCH($C1791,sup_code,0)),"Fournisseur inconnu",IF(E1791="","Article manquant",IF(ISNA(MATCH($E1791,art_ref,0)),"Article inconnu",IF(N(H1791)&lt;=0,"Quantité invalide",IF(J1791="","Prix manquant",IF(OR(N(K1791)&lt;0,N(K1791)&gt;=1),"Remise invalide",IF(M1791="","TVA manquante",IF(ISNA(MATCH(M1791,p_tva,0)),"Taux de TVA inconnu",IF(COUNTIFS(po_num,A1791,po_sup,"&lt;&gt;"&amp;C1791)&gt;0,"Fournisseur différent sur ce bon",IF(COUNTIFS(po_num,A1791,po_date,"&lt;&gt;"&amp;B1791)&gt;0,"Date différente sur ce bon",IF(COUNTIF(po_num,A1791)&gt;25,"Plus de 25 lignes sur ce bon",IF(R1791="","Date de livraison manquante",IF(R1791&lt;B1791,"Livraison avant la commande",IF(AND(N(T1791)&gt;0,N(S1791)=0),"Date d'envoi manquante",IF(N(T1791)&gt;N(H1791),"Reçu plus que commandé",IF(AND(N(T1791)&gt;0,N(U1791)=0),"Date de réception manquante",IF(AND(N(U1791)&gt;0,U1791&lt;B1791),"Réception avant la commande","OK")))))))))))))))))))))</f>
        <v/>
      </c>
      <c r="AA1791" s="66" t="str">
        <f>IF(AND(X1791="Reçu",ISNUMBER(R1791)),IF(N(U1791)&lt;=R1791,1,0),"")</f>
        <v/>
      </c>
      <c r="AB1791" s="76" t="str">
        <f>IF(OR(X1791="Envoyé",X1791="Partiel",X1791="En retard"),IF(ISNUMBER(R1791),R1791,100000)+ROW()/100000,"")</f>
        <v/>
      </c>
      <c r="AC1791" s="66" t="str">
        <f>IF(A1791="","",IF(COUNTIF($A$6:A1791,A1791)=1,1,""))</f>
        <v/>
      </c>
      <c r="AD1791" s="66" t="str">
        <f>IF(AC1791=1,COUNT($AC$6:AC1791),"")</f>
        <v/>
      </c>
      <c r="AE1791" s="66" t="str">
        <f>IFERROR(INDEX(po_num,MATCH(1786,po_seq,0))&amp;"","")</f>
        <v/>
      </c>
      <c r="AF1791" s="66" t="str">
        <f>IF(OR(A1791="",p_po=""),"",IF(A1791&amp;""=p_po,COUNTIF($A$6:A1791,A1791),""))</f>
        <v/>
      </c>
      <c r="AG1791" s="66" t="str">
        <f>IF(OR(AB1791="",A1791=""),"",IF(COUNTIFS($A$6:A1791,A1791,$AB$6:AB1791,"&gt;0")=1,1,""))</f>
        <v/>
      </c>
      <c r="AH1791" s="70" t="str">
        <f>IF(AB1791="","",ROUND(N(W1791)*N(J1791)*(1-N(K1791)),2))</f>
        <v/>
      </c>
      <c r="AI1791" s="70" t="str">
        <f>IF(OR(J1791="",N(T1791)&lt;=0,V1791="Oui"),"",ROUND(N(T1791)*J1791*(1-N(K1791)),2))</f>
        <v/>
      </c>
    </row>
    <row r="1792">
      <c r="A1792" s="63" t="n"/>
      <c r="B1792" s="64" t="n"/>
      <c r="C1792" s="65" t="n"/>
      <c r="D1792" s="66" t="str">
        <f>IF(C1792="","",IFERROR(INDEX(sup_name,MATCH($C1792,sup_code,0))&amp;"","Fournisseur inconnu"))</f>
        <v/>
      </c>
      <c r="E1792" s="63" t="n"/>
      <c r="F1792" s="66" t="str">
        <f>IF(E1792="","",IFERROR(INDEX(art_des,MATCH($E1792,art_ref,0))&amp;"","Article inconnu"))</f>
        <v/>
      </c>
      <c r="G1792" s="67" t="str">
        <f>IF(E1792="","",IFERROR(INDEX(art_unit,MATCH($E1792,art_ref,0))&amp;"",""))</f>
        <v/>
      </c>
      <c r="H1792" s="68" t="n"/>
      <c r="I1792" s="69" t="n"/>
      <c r="J1792" s="70" t="str">
        <f>IF(E1792="","",IF(ISNUMBER(I1792),I1792,IFERROR(IF(ISNUMBER(INDEX(art_price,MATCH($E1792,art_ref,0))),INDEX(art_price,MATCH($E1792,art_ref,0)),""),"")))</f>
        <v/>
      </c>
      <c r="K1792" s="71" t="n"/>
      <c r="L1792" s="72" t="n"/>
      <c r="M1792" s="72" t="str">
        <f>IF(E1792="","",IF(L1792&lt;&gt;"",L1792,IFERROR(IF(ISNUMBER(INDEX(art_tva,MATCH($E1792,art_ref,0))),INDEX(art_tva,MATCH($E1792,art_ref,0)),""),"")))</f>
        <v/>
      </c>
      <c r="N1792" s="70" t="str">
        <f>IF(OR(E1792="",J1792=""),"",ROUND(N(H1792)*J1792*(1-N(K1792)),2))</f>
        <v/>
      </c>
      <c r="O1792" s="70" t="str">
        <f>IF(OR(N1792="",NOT(ISNUMBER(M1792))),"",ROUND(N1792*M1792,2))</f>
        <v/>
      </c>
      <c r="P1792" s="70" t="str">
        <f>IF(N1792="","",N1792+N(O1792))</f>
        <v/>
      </c>
      <c r="Q1792" s="64" t="n"/>
      <c r="R1792" s="73" t="str">
        <f>IF(N(Q1792)&gt;0,Q1792,IF(OR(N(B1792)=0,ISNA(MATCH($C1792,sup_code,0))),"",IF(ISNUMBER(INDEX(sup_delay,MATCH($C1792,sup_code,0))),B1792+INDEX(sup_delay,MATCH($C1792,sup_code,0)),"")))</f>
        <v/>
      </c>
      <c r="S1792" s="64" t="n"/>
      <c r="T1792" s="68" t="n"/>
      <c r="U1792" s="64" t="n"/>
      <c r="V1792" s="65" t="n"/>
      <c r="W1792" s="74" t="str">
        <f>IF(AND(A1792="",E1792=""),"",IF(V1792="Oui",0,MAX(0,ROUND(N(H1792)-N(T1792),6))))</f>
        <v/>
      </c>
      <c r="X1792" s="67" t="str">
        <f>IF(AND(A1792="",E1792=""),"",IF(V1792="Oui","Annulé",IF(AND(N(H1792)&gt;0,N(T1792)&gt;=N(H1792)),"Reçu",IF(N(S1792)=0,"Brouillon",IF(AND(ISNUMBER(R1792),R1792&lt;p_today),"En retard",IF(N(T1792)&gt;0,"Partiel","Envoyé"))))))</f>
        <v/>
      </c>
      <c r="Y1792" s="75" t="str">
        <f>IF(X1792="En retard",p_today-R1792,IF(AND(X1792="Reçu",ISNUMBER(R1792)),MAX(0,N(U1792)-R1792),""))</f>
        <v/>
      </c>
      <c r="Z1792" s="67" t="str">
        <f>IF(AND(A1792="",E1792=""),"",IF(A1792="","N° de bon manquant",IF(N(B1792)=0,"Date de commande manquante",IF(C1792="","Fournisseur manquant",IF(ISNA(MATCH($C1792,sup_code,0)),"Fournisseur inconnu",IF(E1792="","Article manquant",IF(ISNA(MATCH($E1792,art_ref,0)),"Article inconnu",IF(N(H1792)&lt;=0,"Quantité invalide",IF(J1792="","Prix manquant",IF(OR(N(K1792)&lt;0,N(K1792)&gt;=1),"Remise invalide",IF(M1792="","TVA manquante",IF(ISNA(MATCH(M1792,p_tva,0)),"Taux de TVA inconnu",IF(COUNTIFS(po_num,A1792,po_sup,"&lt;&gt;"&amp;C1792)&gt;0,"Fournisseur différent sur ce bon",IF(COUNTIFS(po_num,A1792,po_date,"&lt;&gt;"&amp;B1792)&gt;0,"Date différente sur ce bon",IF(COUNTIF(po_num,A1792)&gt;25,"Plus de 25 lignes sur ce bon",IF(R1792="","Date de livraison manquante",IF(R1792&lt;B1792,"Livraison avant la commande",IF(AND(N(T1792)&gt;0,N(S1792)=0),"Date d'envoi manquante",IF(N(T1792)&gt;N(H1792),"Reçu plus que commandé",IF(AND(N(T1792)&gt;0,N(U1792)=0),"Date de réception manquante",IF(AND(N(U1792)&gt;0,U1792&lt;B1792),"Réception avant la commande","OK")))))))))))))))))))))</f>
        <v/>
      </c>
      <c r="AA1792" s="66" t="str">
        <f>IF(AND(X1792="Reçu",ISNUMBER(R1792)),IF(N(U1792)&lt;=R1792,1,0),"")</f>
        <v/>
      </c>
      <c r="AB1792" s="76" t="str">
        <f>IF(OR(X1792="Envoyé",X1792="Partiel",X1792="En retard"),IF(ISNUMBER(R1792),R1792,100000)+ROW()/100000,"")</f>
        <v/>
      </c>
      <c r="AC1792" s="66" t="str">
        <f>IF(A1792="","",IF(COUNTIF($A$6:A1792,A1792)=1,1,""))</f>
        <v/>
      </c>
      <c r="AD1792" s="66" t="str">
        <f>IF(AC1792=1,COUNT($AC$6:AC1792),"")</f>
        <v/>
      </c>
      <c r="AE1792" s="66" t="str">
        <f>IFERROR(INDEX(po_num,MATCH(1787,po_seq,0))&amp;"","")</f>
        <v/>
      </c>
      <c r="AF1792" s="66" t="str">
        <f>IF(OR(A1792="",p_po=""),"",IF(A1792&amp;""=p_po,COUNTIF($A$6:A1792,A1792),""))</f>
        <v/>
      </c>
      <c r="AG1792" s="66" t="str">
        <f>IF(OR(AB1792="",A1792=""),"",IF(COUNTIFS($A$6:A1792,A1792,$AB$6:AB1792,"&gt;0")=1,1,""))</f>
        <v/>
      </c>
      <c r="AH1792" s="70" t="str">
        <f>IF(AB1792="","",ROUND(N(W1792)*N(J1792)*(1-N(K1792)),2))</f>
        <v/>
      </c>
      <c r="AI1792" s="70" t="str">
        <f>IF(OR(J1792="",N(T1792)&lt;=0,V1792="Oui"),"",ROUND(N(T1792)*J1792*(1-N(K1792)),2))</f>
        <v/>
      </c>
    </row>
    <row r="1793">
      <c r="A1793" s="63" t="n"/>
      <c r="B1793" s="64" t="n"/>
      <c r="C1793" s="65" t="n"/>
      <c r="D1793" s="66" t="str">
        <f>IF(C1793="","",IFERROR(INDEX(sup_name,MATCH($C1793,sup_code,0))&amp;"","Fournisseur inconnu"))</f>
        <v/>
      </c>
      <c r="E1793" s="63" t="n"/>
      <c r="F1793" s="66" t="str">
        <f>IF(E1793="","",IFERROR(INDEX(art_des,MATCH($E1793,art_ref,0))&amp;"","Article inconnu"))</f>
        <v/>
      </c>
      <c r="G1793" s="67" t="str">
        <f>IF(E1793="","",IFERROR(INDEX(art_unit,MATCH($E1793,art_ref,0))&amp;"",""))</f>
        <v/>
      </c>
      <c r="H1793" s="68" t="n"/>
      <c r="I1793" s="69" t="n"/>
      <c r="J1793" s="70" t="str">
        <f>IF(E1793="","",IF(ISNUMBER(I1793),I1793,IFERROR(IF(ISNUMBER(INDEX(art_price,MATCH($E1793,art_ref,0))),INDEX(art_price,MATCH($E1793,art_ref,0)),""),"")))</f>
        <v/>
      </c>
      <c r="K1793" s="71" t="n"/>
      <c r="L1793" s="72" t="n"/>
      <c r="M1793" s="72" t="str">
        <f>IF(E1793="","",IF(L1793&lt;&gt;"",L1793,IFERROR(IF(ISNUMBER(INDEX(art_tva,MATCH($E1793,art_ref,0))),INDEX(art_tva,MATCH($E1793,art_ref,0)),""),"")))</f>
        <v/>
      </c>
      <c r="N1793" s="70" t="str">
        <f>IF(OR(E1793="",J1793=""),"",ROUND(N(H1793)*J1793*(1-N(K1793)),2))</f>
        <v/>
      </c>
      <c r="O1793" s="70" t="str">
        <f>IF(OR(N1793="",NOT(ISNUMBER(M1793))),"",ROUND(N1793*M1793,2))</f>
        <v/>
      </c>
      <c r="P1793" s="70" t="str">
        <f>IF(N1793="","",N1793+N(O1793))</f>
        <v/>
      </c>
      <c r="Q1793" s="64" t="n"/>
      <c r="R1793" s="73" t="str">
        <f>IF(N(Q1793)&gt;0,Q1793,IF(OR(N(B1793)=0,ISNA(MATCH($C1793,sup_code,0))),"",IF(ISNUMBER(INDEX(sup_delay,MATCH($C1793,sup_code,0))),B1793+INDEX(sup_delay,MATCH($C1793,sup_code,0)),"")))</f>
        <v/>
      </c>
      <c r="S1793" s="64" t="n"/>
      <c r="T1793" s="68" t="n"/>
      <c r="U1793" s="64" t="n"/>
      <c r="V1793" s="65" t="n"/>
      <c r="W1793" s="74" t="str">
        <f>IF(AND(A1793="",E1793=""),"",IF(V1793="Oui",0,MAX(0,ROUND(N(H1793)-N(T1793),6))))</f>
        <v/>
      </c>
      <c r="X1793" s="67" t="str">
        <f>IF(AND(A1793="",E1793=""),"",IF(V1793="Oui","Annulé",IF(AND(N(H1793)&gt;0,N(T1793)&gt;=N(H1793)),"Reçu",IF(N(S1793)=0,"Brouillon",IF(AND(ISNUMBER(R1793),R1793&lt;p_today),"En retard",IF(N(T1793)&gt;0,"Partiel","Envoyé"))))))</f>
        <v/>
      </c>
      <c r="Y1793" s="75" t="str">
        <f>IF(X1793="En retard",p_today-R1793,IF(AND(X1793="Reçu",ISNUMBER(R1793)),MAX(0,N(U1793)-R1793),""))</f>
        <v/>
      </c>
      <c r="Z1793" s="67" t="str">
        <f>IF(AND(A1793="",E1793=""),"",IF(A1793="","N° de bon manquant",IF(N(B1793)=0,"Date de commande manquante",IF(C1793="","Fournisseur manquant",IF(ISNA(MATCH($C1793,sup_code,0)),"Fournisseur inconnu",IF(E1793="","Article manquant",IF(ISNA(MATCH($E1793,art_ref,0)),"Article inconnu",IF(N(H1793)&lt;=0,"Quantité invalide",IF(J1793="","Prix manquant",IF(OR(N(K1793)&lt;0,N(K1793)&gt;=1),"Remise invalide",IF(M1793="","TVA manquante",IF(ISNA(MATCH(M1793,p_tva,0)),"Taux de TVA inconnu",IF(COUNTIFS(po_num,A1793,po_sup,"&lt;&gt;"&amp;C1793)&gt;0,"Fournisseur différent sur ce bon",IF(COUNTIFS(po_num,A1793,po_date,"&lt;&gt;"&amp;B1793)&gt;0,"Date différente sur ce bon",IF(COUNTIF(po_num,A1793)&gt;25,"Plus de 25 lignes sur ce bon",IF(R1793="","Date de livraison manquante",IF(R1793&lt;B1793,"Livraison avant la commande",IF(AND(N(T1793)&gt;0,N(S1793)=0),"Date d'envoi manquante",IF(N(T1793)&gt;N(H1793),"Reçu plus que commandé",IF(AND(N(T1793)&gt;0,N(U1793)=0),"Date de réception manquante",IF(AND(N(U1793)&gt;0,U1793&lt;B1793),"Réception avant la commande","OK")))))))))))))))))))))</f>
        <v/>
      </c>
      <c r="AA1793" s="66" t="str">
        <f>IF(AND(X1793="Reçu",ISNUMBER(R1793)),IF(N(U1793)&lt;=R1793,1,0),"")</f>
        <v/>
      </c>
      <c r="AB1793" s="76" t="str">
        <f>IF(OR(X1793="Envoyé",X1793="Partiel",X1793="En retard"),IF(ISNUMBER(R1793),R1793,100000)+ROW()/100000,"")</f>
        <v/>
      </c>
      <c r="AC1793" s="66" t="str">
        <f>IF(A1793="","",IF(COUNTIF($A$6:A1793,A1793)=1,1,""))</f>
        <v/>
      </c>
      <c r="AD1793" s="66" t="str">
        <f>IF(AC1793=1,COUNT($AC$6:AC1793),"")</f>
        <v/>
      </c>
      <c r="AE1793" s="66" t="str">
        <f>IFERROR(INDEX(po_num,MATCH(1788,po_seq,0))&amp;"","")</f>
        <v/>
      </c>
      <c r="AF1793" s="66" t="str">
        <f>IF(OR(A1793="",p_po=""),"",IF(A1793&amp;""=p_po,COUNTIF($A$6:A1793,A1793),""))</f>
        <v/>
      </c>
      <c r="AG1793" s="66" t="str">
        <f>IF(OR(AB1793="",A1793=""),"",IF(COUNTIFS($A$6:A1793,A1793,$AB$6:AB1793,"&gt;0")=1,1,""))</f>
        <v/>
      </c>
      <c r="AH1793" s="70" t="str">
        <f>IF(AB1793="","",ROUND(N(W1793)*N(J1793)*(1-N(K1793)),2))</f>
        <v/>
      </c>
      <c r="AI1793" s="70" t="str">
        <f>IF(OR(J1793="",N(T1793)&lt;=0,V1793="Oui"),"",ROUND(N(T1793)*J1793*(1-N(K1793)),2))</f>
        <v/>
      </c>
    </row>
    <row r="1794">
      <c r="A1794" s="63" t="n"/>
      <c r="B1794" s="64" t="n"/>
      <c r="C1794" s="65" t="n"/>
      <c r="D1794" s="66" t="str">
        <f>IF(C1794="","",IFERROR(INDEX(sup_name,MATCH($C1794,sup_code,0))&amp;"","Fournisseur inconnu"))</f>
        <v/>
      </c>
      <c r="E1794" s="63" t="n"/>
      <c r="F1794" s="66" t="str">
        <f>IF(E1794="","",IFERROR(INDEX(art_des,MATCH($E1794,art_ref,0))&amp;"","Article inconnu"))</f>
        <v/>
      </c>
      <c r="G1794" s="67" t="str">
        <f>IF(E1794="","",IFERROR(INDEX(art_unit,MATCH($E1794,art_ref,0))&amp;"",""))</f>
        <v/>
      </c>
      <c r="H1794" s="68" t="n"/>
      <c r="I1794" s="69" t="n"/>
      <c r="J1794" s="70" t="str">
        <f>IF(E1794="","",IF(ISNUMBER(I1794),I1794,IFERROR(IF(ISNUMBER(INDEX(art_price,MATCH($E1794,art_ref,0))),INDEX(art_price,MATCH($E1794,art_ref,0)),""),"")))</f>
        <v/>
      </c>
      <c r="K1794" s="71" t="n"/>
      <c r="L1794" s="72" t="n"/>
      <c r="M1794" s="72" t="str">
        <f>IF(E1794="","",IF(L1794&lt;&gt;"",L1794,IFERROR(IF(ISNUMBER(INDEX(art_tva,MATCH($E1794,art_ref,0))),INDEX(art_tva,MATCH($E1794,art_ref,0)),""),"")))</f>
        <v/>
      </c>
      <c r="N1794" s="70" t="str">
        <f>IF(OR(E1794="",J1794=""),"",ROUND(N(H1794)*J1794*(1-N(K1794)),2))</f>
        <v/>
      </c>
      <c r="O1794" s="70" t="str">
        <f>IF(OR(N1794="",NOT(ISNUMBER(M1794))),"",ROUND(N1794*M1794,2))</f>
        <v/>
      </c>
      <c r="P1794" s="70" t="str">
        <f>IF(N1794="","",N1794+N(O1794))</f>
        <v/>
      </c>
      <c r="Q1794" s="64" t="n"/>
      <c r="R1794" s="73" t="str">
        <f>IF(N(Q1794)&gt;0,Q1794,IF(OR(N(B1794)=0,ISNA(MATCH($C1794,sup_code,0))),"",IF(ISNUMBER(INDEX(sup_delay,MATCH($C1794,sup_code,0))),B1794+INDEX(sup_delay,MATCH($C1794,sup_code,0)),"")))</f>
        <v/>
      </c>
      <c r="S1794" s="64" t="n"/>
      <c r="T1794" s="68" t="n"/>
      <c r="U1794" s="64" t="n"/>
      <c r="V1794" s="65" t="n"/>
      <c r="W1794" s="74" t="str">
        <f>IF(AND(A1794="",E1794=""),"",IF(V1794="Oui",0,MAX(0,ROUND(N(H1794)-N(T1794),6))))</f>
        <v/>
      </c>
      <c r="X1794" s="67" t="str">
        <f>IF(AND(A1794="",E1794=""),"",IF(V1794="Oui","Annulé",IF(AND(N(H1794)&gt;0,N(T1794)&gt;=N(H1794)),"Reçu",IF(N(S1794)=0,"Brouillon",IF(AND(ISNUMBER(R1794),R1794&lt;p_today),"En retard",IF(N(T1794)&gt;0,"Partiel","Envoyé"))))))</f>
        <v/>
      </c>
      <c r="Y1794" s="75" t="str">
        <f>IF(X1794="En retard",p_today-R1794,IF(AND(X1794="Reçu",ISNUMBER(R1794)),MAX(0,N(U1794)-R1794),""))</f>
        <v/>
      </c>
      <c r="Z1794" s="67" t="str">
        <f>IF(AND(A1794="",E1794=""),"",IF(A1794="","N° de bon manquant",IF(N(B1794)=0,"Date de commande manquante",IF(C1794="","Fournisseur manquant",IF(ISNA(MATCH($C1794,sup_code,0)),"Fournisseur inconnu",IF(E1794="","Article manquant",IF(ISNA(MATCH($E1794,art_ref,0)),"Article inconnu",IF(N(H1794)&lt;=0,"Quantité invalide",IF(J1794="","Prix manquant",IF(OR(N(K1794)&lt;0,N(K1794)&gt;=1),"Remise invalide",IF(M1794="","TVA manquante",IF(ISNA(MATCH(M1794,p_tva,0)),"Taux de TVA inconnu",IF(COUNTIFS(po_num,A1794,po_sup,"&lt;&gt;"&amp;C1794)&gt;0,"Fournisseur différent sur ce bon",IF(COUNTIFS(po_num,A1794,po_date,"&lt;&gt;"&amp;B1794)&gt;0,"Date différente sur ce bon",IF(COUNTIF(po_num,A1794)&gt;25,"Plus de 25 lignes sur ce bon",IF(R1794="","Date de livraison manquante",IF(R1794&lt;B1794,"Livraison avant la commande",IF(AND(N(T1794)&gt;0,N(S1794)=0),"Date d'envoi manquante",IF(N(T1794)&gt;N(H1794),"Reçu plus que commandé",IF(AND(N(T1794)&gt;0,N(U1794)=0),"Date de réception manquante",IF(AND(N(U1794)&gt;0,U1794&lt;B1794),"Réception avant la commande","OK")))))))))))))))))))))</f>
        <v/>
      </c>
      <c r="AA1794" s="66" t="str">
        <f>IF(AND(X1794="Reçu",ISNUMBER(R1794)),IF(N(U1794)&lt;=R1794,1,0),"")</f>
        <v/>
      </c>
      <c r="AB1794" s="76" t="str">
        <f>IF(OR(X1794="Envoyé",X1794="Partiel",X1794="En retard"),IF(ISNUMBER(R1794),R1794,100000)+ROW()/100000,"")</f>
        <v/>
      </c>
      <c r="AC1794" s="66" t="str">
        <f>IF(A1794="","",IF(COUNTIF($A$6:A1794,A1794)=1,1,""))</f>
        <v/>
      </c>
      <c r="AD1794" s="66" t="str">
        <f>IF(AC1794=1,COUNT($AC$6:AC1794),"")</f>
        <v/>
      </c>
      <c r="AE1794" s="66" t="str">
        <f>IFERROR(INDEX(po_num,MATCH(1789,po_seq,0))&amp;"","")</f>
        <v/>
      </c>
      <c r="AF1794" s="66" t="str">
        <f>IF(OR(A1794="",p_po=""),"",IF(A1794&amp;""=p_po,COUNTIF($A$6:A1794,A1794),""))</f>
        <v/>
      </c>
      <c r="AG1794" s="66" t="str">
        <f>IF(OR(AB1794="",A1794=""),"",IF(COUNTIFS($A$6:A1794,A1794,$AB$6:AB1794,"&gt;0")=1,1,""))</f>
        <v/>
      </c>
      <c r="AH1794" s="70" t="str">
        <f>IF(AB1794="","",ROUND(N(W1794)*N(J1794)*(1-N(K1794)),2))</f>
        <v/>
      </c>
      <c r="AI1794" s="70" t="str">
        <f>IF(OR(J1794="",N(T1794)&lt;=0,V1794="Oui"),"",ROUND(N(T1794)*J1794*(1-N(K1794)),2))</f>
        <v/>
      </c>
    </row>
    <row r="1795">
      <c r="A1795" s="63" t="n"/>
      <c r="B1795" s="64" t="n"/>
      <c r="C1795" s="65" t="n"/>
      <c r="D1795" s="66" t="str">
        <f>IF(C1795="","",IFERROR(INDEX(sup_name,MATCH($C1795,sup_code,0))&amp;"","Fournisseur inconnu"))</f>
        <v/>
      </c>
      <c r="E1795" s="63" t="n"/>
      <c r="F1795" s="66" t="str">
        <f>IF(E1795="","",IFERROR(INDEX(art_des,MATCH($E1795,art_ref,0))&amp;"","Article inconnu"))</f>
        <v/>
      </c>
      <c r="G1795" s="67" t="str">
        <f>IF(E1795="","",IFERROR(INDEX(art_unit,MATCH($E1795,art_ref,0))&amp;"",""))</f>
        <v/>
      </c>
      <c r="H1795" s="68" t="n"/>
      <c r="I1795" s="69" t="n"/>
      <c r="J1795" s="70" t="str">
        <f>IF(E1795="","",IF(ISNUMBER(I1795),I1795,IFERROR(IF(ISNUMBER(INDEX(art_price,MATCH($E1795,art_ref,0))),INDEX(art_price,MATCH($E1795,art_ref,0)),""),"")))</f>
        <v/>
      </c>
      <c r="K1795" s="71" t="n"/>
      <c r="L1795" s="72" t="n"/>
      <c r="M1795" s="72" t="str">
        <f>IF(E1795="","",IF(L1795&lt;&gt;"",L1795,IFERROR(IF(ISNUMBER(INDEX(art_tva,MATCH($E1795,art_ref,0))),INDEX(art_tva,MATCH($E1795,art_ref,0)),""),"")))</f>
        <v/>
      </c>
      <c r="N1795" s="70" t="str">
        <f>IF(OR(E1795="",J1795=""),"",ROUND(N(H1795)*J1795*(1-N(K1795)),2))</f>
        <v/>
      </c>
      <c r="O1795" s="70" t="str">
        <f>IF(OR(N1795="",NOT(ISNUMBER(M1795))),"",ROUND(N1795*M1795,2))</f>
        <v/>
      </c>
      <c r="P1795" s="70" t="str">
        <f>IF(N1795="","",N1795+N(O1795))</f>
        <v/>
      </c>
      <c r="Q1795" s="64" t="n"/>
      <c r="R1795" s="73" t="str">
        <f>IF(N(Q1795)&gt;0,Q1795,IF(OR(N(B1795)=0,ISNA(MATCH($C1795,sup_code,0))),"",IF(ISNUMBER(INDEX(sup_delay,MATCH($C1795,sup_code,0))),B1795+INDEX(sup_delay,MATCH($C1795,sup_code,0)),"")))</f>
        <v/>
      </c>
      <c r="S1795" s="64" t="n"/>
      <c r="T1795" s="68" t="n"/>
      <c r="U1795" s="64" t="n"/>
      <c r="V1795" s="65" t="n"/>
      <c r="W1795" s="74" t="str">
        <f>IF(AND(A1795="",E1795=""),"",IF(V1795="Oui",0,MAX(0,ROUND(N(H1795)-N(T1795),6))))</f>
        <v/>
      </c>
      <c r="X1795" s="67" t="str">
        <f>IF(AND(A1795="",E1795=""),"",IF(V1795="Oui","Annulé",IF(AND(N(H1795)&gt;0,N(T1795)&gt;=N(H1795)),"Reçu",IF(N(S1795)=0,"Brouillon",IF(AND(ISNUMBER(R1795),R1795&lt;p_today),"En retard",IF(N(T1795)&gt;0,"Partiel","Envoyé"))))))</f>
        <v/>
      </c>
      <c r="Y1795" s="75" t="str">
        <f>IF(X1795="En retard",p_today-R1795,IF(AND(X1795="Reçu",ISNUMBER(R1795)),MAX(0,N(U1795)-R1795),""))</f>
        <v/>
      </c>
      <c r="Z1795" s="67" t="str">
        <f>IF(AND(A1795="",E1795=""),"",IF(A1795="","N° de bon manquant",IF(N(B1795)=0,"Date de commande manquante",IF(C1795="","Fournisseur manquant",IF(ISNA(MATCH($C1795,sup_code,0)),"Fournisseur inconnu",IF(E1795="","Article manquant",IF(ISNA(MATCH($E1795,art_ref,0)),"Article inconnu",IF(N(H1795)&lt;=0,"Quantité invalide",IF(J1795="","Prix manquant",IF(OR(N(K1795)&lt;0,N(K1795)&gt;=1),"Remise invalide",IF(M1795="","TVA manquante",IF(ISNA(MATCH(M1795,p_tva,0)),"Taux de TVA inconnu",IF(COUNTIFS(po_num,A1795,po_sup,"&lt;&gt;"&amp;C1795)&gt;0,"Fournisseur différent sur ce bon",IF(COUNTIFS(po_num,A1795,po_date,"&lt;&gt;"&amp;B1795)&gt;0,"Date différente sur ce bon",IF(COUNTIF(po_num,A1795)&gt;25,"Plus de 25 lignes sur ce bon",IF(R1795="","Date de livraison manquante",IF(R1795&lt;B1795,"Livraison avant la commande",IF(AND(N(T1795)&gt;0,N(S1795)=0),"Date d'envoi manquante",IF(N(T1795)&gt;N(H1795),"Reçu plus que commandé",IF(AND(N(T1795)&gt;0,N(U1795)=0),"Date de réception manquante",IF(AND(N(U1795)&gt;0,U1795&lt;B1795),"Réception avant la commande","OK")))))))))))))))))))))</f>
        <v/>
      </c>
      <c r="AA1795" s="66" t="str">
        <f>IF(AND(X1795="Reçu",ISNUMBER(R1795)),IF(N(U1795)&lt;=R1795,1,0),"")</f>
        <v/>
      </c>
      <c r="AB1795" s="76" t="str">
        <f>IF(OR(X1795="Envoyé",X1795="Partiel",X1795="En retard"),IF(ISNUMBER(R1795),R1795,100000)+ROW()/100000,"")</f>
        <v/>
      </c>
      <c r="AC1795" s="66" t="str">
        <f>IF(A1795="","",IF(COUNTIF($A$6:A1795,A1795)=1,1,""))</f>
        <v/>
      </c>
      <c r="AD1795" s="66" t="str">
        <f>IF(AC1795=1,COUNT($AC$6:AC1795),"")</f>
        <v/>
      </c>
      <c r="AE1795" s="66" t="str">
        <f>IFERROR(INDEX(po_num,MATCH(1790,po_seq,0))&amp;"","")</f>
        <v/>
      </c>
      <c r="AF1795" s="66" t="str">
        <f>IF(OR(A1795="",p_po=""),"",IF(A1795&amp;""=p_po,COUNTIF($A$6:A1795,A1795),""))</f>
        <v/>
      </c>
      <c r="AG1795" s="66" t="str">
        <f>IF(OR(AB1795="",A1795=""),"",IF(COUNTIFS($A$6:A1795,A1795,$AB$6:AB1795,"&gt;0")=1,1,""))</f>
        <v/>
      </c>
      <c r="AH1795" s="70" t="str">
        <f>IF(AB1795="","",ROUND(N(W1795)*N(J1795)*(1-N(K1795)),2))</f>
        <v/>
      </c>
      <c r="AI1795" s="70" t="str">
        <f>IF(OR(J1795="",N(T1795)&lt;=0,V1795="Oui"),"",ROUND(N(T1795)*J1795*(1-N(K1795)),2))</f>
        <v/>
      </c>
    </row>
    <row r="1796">
      <c r="A1796" s="63" t="n"/>
      <c r="B1796" s="64" t="n"/>
      <c r="C1796" s="65" t="n"/>
      <c r="D1796" s="66" t="str">
        <f>IF(C1796="","",IFERROR(INDEX(sup_name,MATCH($C1796,sup_code,0))&amp;"","Fournisseur inconnu"))</f>
        <v/>
      </c>
      <c r="E1796" s="63" t="n"/>
      <c r="F1796" s="66" t="str">
        <f>IF(E1796="","",IFERROR(INDEX(art_des,MATCH($E1796,art_ref,0))&amp;"","Article inconnu"))</f>
        <v/>
      </c>
      <c r="G1796" s="67" t="str">
        <f>IF(E1796="","",IFERROR(INDEX(art_unit,MATCH($E1796,art_ref,0))&amp;"",""))</f>
        <v/>
      </c>
      <c r="H1796" s="68" t="n"/>
      <c r="I1796" s="69" t="n"/>
      <c r="J1796" s="70" t="str">
        <f>IF(E1796="","",IF(ISNUMBER(I1796),I1796,IFERROR(IF(ISNUMBER(INDEX(art_price,MATCH($E1796,art_ref,0))),INDEX(art_price,MATCH($E1796,art_ref,0)),""),"")))</f>
        <v/>
      </c>
      <c r="K1796" s="71" t="n"/>
      <c r="L1796" s="72" t="n"/>
      <c r="M1796" s="72" t="str">
        <f>IF(E1796="","",IF(L1796&lt;&gt;"",L1796,IFERROR(IF(ISNUMBER(INDEX(art_tva,MATCH($E1796,art_ref,0))),INDEX(art_tva,MATCH($E1796,art_ref,0)),""),"")))</f>
        <v/>
      </c>
      <c r="N1796" s="70" t="str">
        <f>IF(OR(E1796="",J1796=""),"",ROUND(N(H1796)*J1796*(1-N(K1796)),2))</f>
        <v/>
      </c>
      <c r="O1796" s="70" t="str">
        <f>IF(OR(N1796="",NOT(ISNUMBER(M1796))),"",ROUND(N1796*M1796,2))</f>
        <v/>
      </c>
      <c r="P1796" s="70" t="str">
        <f>IF(N1796="","",N1796+N(O1796))</f>
        <v/>
      </c>
      <c r="Q1796" s="64" t="n"/>
      <c r="R1796" s="73" t="str">
        <f>IF(N(Q1796)&gt;0,Q1796,IF(OR(N(B1796)=0,ISNA(MATCH($C1796,sup_code,0))),"",IF(ISNUMBER(INDEX(sup_delay,MATCH($C1796,sup_code,0))),B1796+INDEX(sup_delay,MATCH($C1796,sup_code,0)),"")))</f>
        <v/>
      </c>
      <c r="S1796" s="64" t="n"/>
      <c r="T1796" s="68" t="n"/>
      <c r="U1796" s="64" t="n"/>
      <c r="V1796" s="65" t="n"/>
      <c r="W1796" s="74" t="str">
        <f>IF(AND(A1796="",E1796=""),"",IF(V1796="Oui",0,MAX(0,ROUND(N(H1796)-N(T1796),6))))</f>
        <v/>
      </c>
      <c r="X1796" s="67" t="str">
        <f>IF(AND(A1796="",E1796=""),"",IF(V1796="Oui","Annulé",IF(AND(N(H1796)&gt;0,N(T1796)&gt;=N(H1796)),"Reçu",IF(N(S1796)=0,"Brouillon",IF(AND(ISNUMBER(R1796),R1796&lt;p_today),"En retard",IF(N(T1796)&gt;0,"Partiel","Envoyé"))))))</f>
        <v/>
      </c>
      <c r="Y1796" s="75" t="str">
        <f>IF(X1796="En retard",p_today-R1796,IF(AND(X1796="Reçu",ISNUMBER(R1796)),MAX(0,N(U1796)-R1796),""))</f>
        <v/>
      </c>
      <c r="Z1796" s="67" t="str">
        <f>IF(AND(A1796="",E1796=""),"",IF(A1796="","N° de bon manquant",IF(N(B1796)=0,"Date de commande manquante",IF(C1796="","Fournisseur manquant",IF(ISNA(MATCH($C1796,sup_code,0)),"Fournisseur inconnu",IF(E1796="","Article manquant",IF(ISNA(MATCH($E1796,art_ref,0)),"Article inconnu",IF(N(H1796)&lt;=0,"Quantité invalide",IF(J1796="","Prix manquant",IF(OR(N(K1796)&lt;0,N(K1796)&gt;=1),"Remise invalide",IF(M1796="","TVA manquante",IF(ISNA(MATCH(M1796,p_tva,0)),"Taux de TVA inconnu",IF(COUNTIFS(po_num,A1796,po_sup,"&lt;&gt;"&amp;C1796)&gt;0,"Fournisseur différent sur ce bon",IF(COUNTIFS(po_num,A1796,po_date,"&lt;&gt;"&amp;B1796)&gt;0,"Date différente sur ce bon",IF(COUNTIF(po_num,A1796)&gt;25,"Plus de 25 lignes sur ce bon",IF(R1796="","Date de livraison manquante",IF(R1796&lt;B1796,"Livraison avant la commande",IF(AND(N(T1796)&gt;0,N(S1796)=0),"Date d'envoi manquante",IF(N(T1796)&gt;N(H1796),"Reçu plus que commandé",IF(AND(N(T1796)&gt;0,N(U1796)=0),"Date de réception manquante",IF(AND(N(U1796)&gt;0,U1796&lt;B1796),"Réception avant la commande","OK")))))))))))))))))))))</f>
        <v/>
      </c>
      <c r="AA1796" s="66" t="str">
        <f>IF(AND(X1796="Reçu",ISNUMBER(R1796)),IF(N(U1796)&lt;=R1796,1,0),"")</f>
        <v/>
      </c>
      <c r="AB1796" s="76" t="str">
        <f>IF(OR(X1796="Envoyé",X1796="Partiel",X1796="En retard"),IF(ISNUMBER(R1796),R1796,100000)+ROW()/100000,"")</f>
        <v/>
      </c>
      <c r="AC1796" s="66" t="str">
        <f>IF(A1796="","",IF(COUNTIF($A$6:A1796,A1796)=1,1,""))</f>
        <v/>
      </c>
      <c r="AD1796" s="66" t="str">
        <f>IF(AC1796=1,COUNT($AC$6:AC1796),"")</f>
        <v/>
      </c>
      <c r="AE1796" s="66" t="str">
        <f>IFERROR(INDEX(po_num,MATCH(1791,po_seq,0))&amp;"","")</f>
        <v/>
      </c>
      <c r="AF1796" s="66" t="str">
        <f>IF(OR(A1796="",p_po=""),"",IF(A1796&amp;""=p_po,COUNTIF($A$6:A1796,A1796),""))</f>
        <v/>
      </c>
      <c r="AG1796" s="66" t="str">
        <f>IF(OR(AB1796="",A1796=""),"",IF(COUNTIFS($A$6:A1796,A1796,$AB$6:AB1796,"&gt;0")=1,1,""))</f>
        <v/>
      </c>
      <c r="AH1796" s="70" t="str">
        <f>IF(AB1796="","",ROUND(N(W1796)*N(J1796)*(1-N(K1796)),2))</f>
        <v/>
      </c>
      <c r="AI1796" s="70" t="str">
        <f>IF(OR(J1796="",N(T1796)&lt;=0,V1796="Oui"),"",ROUND(N(T1796)*J1796*(1-N(K1796)),2))</f>
        <v/>
      </c>
    </row>
    <row r="1797">
      <c r="A1797" s="63" t="n"/>
      <c r="B1797" s="64" t="n"/>
      <c r="C1797" s="65" t="n"/>
      <c r="D1797" s="66" t="str">
        <f>IF(C1797="","",IFERROR(INDEX(sup_name,MATCH($C1797,sup_code,0))&amp;"","Fournisseur inconnu"))</f>
        <v/>
      </c>
      <c r="E1797" s="63" t="n"/>
      <c r="F1797" s="66" t="str">
        <f>IF(E1797="","",IFERROR(INDEX(art_des,MATCH($E1797,art_ref,0))&amp;"","Article inconnu"))</f>
        <v/>
      </c>
      <c r="G1797" s="67" t="str">
        <f>IF(E1797="","",IFERROR(INDEX(art_unit,MATCH($E1797,art_ref,0))&amp;"",""))</f>
        <v/>
      </c>
      <c r="H1797" s="68" t="n"/>
      <c r="I1797" s="69" t="n"/>
      <c r="J1797" s="70" t="str">
        <f>IF(E1797="","",IF(ISNUMBER(I1797),I1797,IFERROR(IF(ISNUMBER(INDEX(art_price,MATCH($E1797,art_ref,0))),INDEX(art_price,MATCH($E1797,art_ref,0)),""),"")))</f>
        <v/>
      </c>
      <c r="K1797" s="71" t="n"/>
      <c r="L1797" s="72" t="n"/>
      <c r="M1797" s="72" t="str">
        <f>IF(E1797="","",IF(L1797&lt;&gt;"",L1797,IFERROR(IF(ISNUMBER(INDEX(art_tva,MATCH($E1797,art_ref,0))),INDEX(art_tva,MATCH($E1797,art_ref,0)),""),"")))</f>
        <v/>
      </c>
      <c r="N1797" s="70" t="str">
        <f>IF(OR(E1797="",J1797=""),"",ROUND(N(H1797)*J1797*(1-N(K1797)),2))</f>
        <v/>
      </c>
      <c r="O1797" s="70" t="str">
        <f>IF(OR(N1797="",NOT(ISNUMBER(M1797))),"",ROUND(N1797*M1797,2))</f>
        <v/>
      </c>
      <c r="P1797" s="70" t="str">
        <f>IF(N1797="","",N1797+N(O1797))</f>
        <v/>
      </c>
      <c r="Q1797" s="64" t="n"/>
      <c r="R1797" s="73" t="str">
        <f>IF(N(Q1797)&gt;0,Q1797,IF(OR(N(B1797)=0,ISNA(MATCH($C1797,sup_code,0))),"",IF(ISNUMBER(INDEX(sup_delay,MATCH($C1797,sup_code,0))),B1797+INDEX(sup_delay,MATCH($C1797,sup_code,0)),"")))</f>
        <v/>
      </c>
      <c r="S1797" s="64" t="n"/>
      <c r="T1797" s="68" t="n"/>
      <c r="U1797" s="64" t="n"/>
      <c r="V1797" s="65" t="n"/>
      <c r="W1797" s="74" t="str">
        <f>IF(AND(A1797="",E1797=""),"",IF(V1797="Oui",0,MAX(0,ROUND(N(H1797)-N(T1797),6))))</f>
        <v/>
      </c>
      <c r="X1797" s="67" t="str">
        <f>IF(AND(A1797="",E1797=""),"",IF(V1797="Oui","Annulé",IF(AND(N(H1797)&gt;0,N(T1797)&gt;=N(H1797)),"Reçu",IF(N(S1797)=0,"Brouillon",IF(AND(ISNUMBER(R1797),R1797&lt;p_today),"En retard",IF(N(T1797)&gt;0,"Partiel","Envoyé"))))))</f>
        <v/>
      </c>
      <c r="Y1797" s="75" t="str">
        <f>IF(X1797="En retard",p_today-R1797,IF(AND(X1797="Reçu",ISNUMBER(R1797)),MAX(0,N(U1797)-R1797),""))</f>
        <v/>
      </c>
      <c r="Z1797" s="67" t="str">
        <f>IF(AND(A1797="",E1797=""),"",IF(A1797="","N° de bon manquant",IF(N(B1797)=0,"Date de commande manquante",IF(C1797="","Fournisseur manquant",IF(ISNA(MATCH($C1797,sup_code,0)),"Fournisseur inconnu",IF(E1797="","Article manquant",IF(ISNA(MATCH($E1797,art_ref,0)),"Article inconnu",IF(N(H1797)&lt;=0,"Quantité invalide",IF(J1797="","Prix manquant",IF(OR(N(K1797)&lt;0,N(K1797)&gt;=1),"Remise invalide",IF(M1797="","TVA manquante",IF(ISNA(MATCH(M1797,p_tva,0)),"Taux de TVA inconnu",IF(COUNTIFS(po_num,A1797,po_sup,"&lt;&gt;"&amp;C1797)&gt;0,"Fournisseur différent sur ce bon",IF(COUNTIFS(po_num,A1797,po_date,"&lt;&gt;"&amp;B1797)&gt;0,"Date différente sur ce bon",IF(COUNTIF(po_num,A1797)&gt;25,"Plus de 25 lignes sur ce bon",IF(R1797="","Date de livraison manquante",IF(R1797&lt;B1797,"Livraison avant la commande",IF(AND(N(T1797)&gt;0,N(S1797)=0),"Date d'envoi manquante",IF(N(T1797)&gt;N(H1797),"Reçu plus que commandé",IF(AND(N(T1797)&gt;0,N(U1797)=0),"Date de réception manquante",IF(AND(N(U1797)&gt;0,U1797&lt;B1797),"Réception avant la commande","OK")))))))))))))))))))))</f>
        <v/>
      </c>
      <c r="AA1797" s="66" t="str">
        <f>IF(AND(X1797="Reçu",ISNUMBER(R1797)),IF(N(U1797)&lt;=R1797,1,0),"")</f>
        <v/>
      </c>
      <c r="AB1797" s="76" t="str">
        <f>IF(OR(X1797="Envoyé",X1797="Partiel",X1797="En retard"),IF(ISNUMBER(R1797),R1797,100000)+ROW()/100000,"")</f>
        <v/>
      </c>
      <c r="AC1797" s="66" t="str">
        <f>IF(A1797="","",IF(COUNTIF($A$6:A1797,A1797)=1,1,""))</f>
        <v/>
      </c>
      <c r="AD1797" s="66" t="str">
        <f>IF(AC1797=1,COUNT($AC$6:AC1797),"")</f>
        <v/>
      </c>
      <c r="AE1797" s="66" t="str">
        <f>IFERROR(INDEX(po_num,MATCH(1792,po_seq,0))&amp;"","")</f>
        <v/>
      </c>
      <c r="AF1797" s="66" t="str">
        <f>IF(OR(A1797="",p_po=""),"",IF(A1797&amp;""=p_po,COUNTIF($A$6:A1797,A1797),""))</f>
        <v/>
      </c>
      <c r="AG1797" s="66" t="str">
        <f>IF(OR(AB1797="",A1797=""),"",IF(COUNTIFS($A$6:A1797,A1797,$AB$6:AB1797,"&gt;0")=1,1,""))</f>
        <v/>
      </c>
      <c r="AH1797" s="70" t="str">
        <f>IF(AB1797="","",ROUND(N(W1797)*N(J1797)*(1-N(K1797)),2))</f>
        <v/>
      </c>
      <c r="AI1797" s="70" t="str">
        <f>IF(OR(J1797="",N(T1797)&lt;=0,V1797="Oui"),"",ROUND(N(T1797)*J1797*(1-N(K1797)),2))</f>
        <v/>
      </c>
    </row>
    <row r="1798">
      <c r="A1798" s="63" t="n"/>
      <c r="B1798" s="64" t="n"/>
      <c r="C1798" s="65" t="n"/>
      <c r="D1798" s="66" t="str">
        <f>IF(C1798="","",IFERROR(INDEX(sup_name,MATCH($C1798,sup_code,0))&amp;"","Fournisseur inconnu"))</f>
        <v/>
      </c>
      <c r="E1798" s="63" t="n"/>
      <c r="F1798" s="66" t="str">
        <f>IF(E1798="","",IFERROR(INDEX(art_des,MATCH($E1798,art_ref,0))&amp;"","Article inconnu"))</f>
        <v/>
      </c>
      <c r="G1798" s="67" t="str">
        <f>IF(E1798="","",IFERROR(INDEX(art_unit,MATCH($E1798,art_ref,0))&amp;"",""))</f>
        <v/>
      </c>
      <c r="H1798" s="68" t="n"/>
      <c r="I1798" s="69" t="n"/>
      <c r="J1798" s="70" t="str">
        <f>IF(E1798="","",IF(ISNUMBER(I1798),I1798,IFERROR(IF(ISNUMBER(INDEX(art_price,MATCH($E1798,art_ref,0))),INDEX(art_price,MATCH($E1798,art_ref,0)),""),"")))</f>
        <v/>
      </c>
      <c r="K1798" s="71" t="n"/>
      <c r="L1798" s="72" t="n"/>
      <c r="M1798" s="72" t="str">
        <f>IF(E1798="","",IF(L1798&lt;&gt;"",L1798,IFERROR(IF(ISNUMBER(INDEX(art_tva,MATCH($E1798,art_ref,0))),INDEX(art_tva,MATCH($E1798,art_ref,0)),""),"")))</f>
        <v/>
      </c>
      <c r="N1798" s="70" t="str">
        <f>IF(OR(E1798="",J1798=""),"",ROUND(N(H1798)*J1798*(1-N(K1798)),2))</f>
        <v/>
      </c>
      <c r="O1798" s="70" t="str">
        <f>IF(OR(N1798="",NOT(ISNUMBER(M1798))),"",ROUND(N1798*M1798,2))</f>
        <v/>
      </c>
      <c r="P1798" s="70" t="str">
        <f>IF(N1798="","",N1798+N(O1798))</f>
        <v/>
      </c>
      <c r="Q1798" s="64" t="n"/>
      <c r="R1798" s="73" t="str">
        <f>IF(N(Q1798)&gt;0,Q1798,IF(OR(N(B1798)=0,ISNA(MATCH($C1798,sup_code,0))),"",IF(ISNUMBER(INDEX(sup_delay,MATCH($C1798,sup_code,0))),B1798+INDEX(sup_delay,MATCH($C1798,sup_code,0)),"")))</f>
        <v/>
      </c>
      <c r="S1798" s="64" t="n"/>
      <c r="T1798" s="68" t="n"/>
      <c r="U1798" s="64" t="n"/>
      <c r="V1798" s="65" t="n"/>
      <c r="W1798" s="74" t="str">
        <f>IF(AND(A1798="",E1798=""),"",IF(V1798="Oui",0,MAX(0,ROUND(N(H1798)-N(T1798),6))))</f>
        <v/>
      </c>
      <c r="X1798" s="67" t="str">
        <f>IF(AND(A1798="",E1798=""),"",IF(V1798="Oui","Annulé",IF(AND(N(H1798)&gt;0,N(T1798)&gt;=N(H1798)),"Reçu",IF(N(S1798)=0,"Brouillon",IF(AND(ISNUMBER(R1798),R1798&lt;p_today),"En retard",IF(N(T1798)&gt;0,"Partiel","Envoyé"))))))</f>
        <v/>
      </c>
      <c r="Y1798" s="75" t="str">
        <f>IF(X1798="En retard",p_today-R1798,IF(AND(X1798="Reçu",ISNUMBER(R1798)),MAX(0,N(U1798)-R1798),""))</f>
        <v/>
      </c>
      <c r="Z1798" s="67" t="str">
        <f>IF(AND(A1798="",E1798=""),"",IF(A1798="","N° de bon manquant",IF(N(B1798)=0,"Date de commande manquante",IF(C1798="","Fournisseur manquant",IF(ISNA(MATCH($C1798,sup_code,0)),"Fournisseur inconnu",IF(E1798="","Article manquant",IF(ISNA(MATCH($E1798,art_ref,0)),"Article inconnu",IF(N(H1798)&lt;=0,"Quantité invalide",IF(J1798="","Prix manquant",IF(OR(N(K1798)&lt;0,N(K1798)&gt;=1),"Remise invalide",IF(M1798="","TVA manquante",IF(ISNA(MATCH(M1798,p_tva,0)),"Taux de TVA inconnu",IF(COUNTIFS(po_num,A1798,po_sup,"&lt;&gt;"&amp;C1798)&gt;0,"Fournisseur différent sur ce bon",IF(COUNTIFS(po_num,A1798,po_date,"&lt;&gt;"&amp;B1798)&gt;0,"Date différente sur ce bon",IF(COUNTIF(po_num,A1798)&gt;25,"Plus de 25 lignes sur ce bon",IF(R1798="","Date de livraison manquante",IF(R1798&lt;B1798,"Livraison avant la commande",IF(AND(N(T1798)&gt;0,N(S1798)=0),"Date d'envoi manquante",IF(N(T1798)&gt;N(H1798),"Reçu plus que commandé",IF(AND(N(T1798)&gt;0,N(U1798)=0),"Date de réception manquante",IF(AND(N(U1798)&gt;0,U1798&lt;B1798),"Réception avant la commande","OK")))))))))))))))))))))</f>
        <v/>
      </c>
      <c r="AA1798" s="66" t="str">
        <f>IF(AND(X1798="Reçu",ISNUMBER(R1798)),IF(N(U1798)&lt;=R1798,1,0),"")</f>
        <v/>
      </c>
      <c r="AB1798" s="76" t="str">
        <f>IF(OR(X1798="Envoyé",X1798="Partiel",X1798="En retard"),IF(ISNUMBER(R1798),R1798,100000)+ROW()/100000,"")</f>
        <v/>
      </c>
      <c r="AC1798" s="66" t="str">
        <f>IF(A1798="","",IF(COUNTIF($A$6:A1798,A1798)=1,1,""))</f>
        <v/>
      </c>
      <c r="AD1798" s="66" t="str">
        <f>IF(AC1798=1,COUNT($AC$6:AC1798),"")</f>
        <v/>
      </c>
      <c r="AE1798" s="66" t="str">
        <f>IFERROR(INDEX(po_num,MATCH(1793,po_seq,0))&amp;"","")</f>
        <v/>
      </c>
      <c r="AF1798" s="66" t="str">
        <f>IF(OR(A1798="",p_po=""),"",IF(A1798&amp;""=p_po,COUNTIF($A$6:A1798,A1798),""))</f>
        <v/>
      </c>
      <c r="AG1798" s="66" t="str">
        <f>IF(OR(AB1798="",A1798=""),"",IF(COUNTIFS($A$6:A1798,A1798,$AB$6:AB1798,"&gt;0")=1,1,""))</f>
        <v/>
      </c>
      <c r="AH1798" s="70" t="str">
        <f>IF(AB1798="","",ROUND(N(W1798)*N(J1798)*(1-N(K1798)),2))</f>
        <v/>
      </c>
      <c r="AI1798" s="70" t="str">
        <f>IF(OR(J1798="",N(T1798)&lt;=0,V1798="Oui"),"",ROUND(N(T1798)*J1798*(1-N(K1798)),2))</f>
        <v/>
      </c>
    </row>
    <row r="1799">
      <c r="A1799" s="63" t="n"/>
      <c r="B1799" s="64" t="n"/>
      <c r="C1799" s="65" t="n"/>
      <c r="D1799" s="66" t="str">
        <f>IF(C1799="","",IFERROR(INDEX(sup_name,MATCH($C1799,sup_code,0))&amp;"","Fournisseur inconnu"))</f>
        <v/>
      </c>
      <c r="E1799" s="63" t="n"/>
      <c r="F1799" s="66" t="str">
        <f>IF(E1799="","",IFERROR(INDEX(art_des,MATCH($E1799,art_ref,0))&amp;"","Article inconnu"))</f>
        <v/>
      </c>
      <c r="G1799" s="67" t="str">
        <f>IF(E1799="","",IFERROR(INDEX(art_unit,MATCH($E1799,art_ref,0))&amp;"",""))</f>
        <v/>
      </c>
      <c r="H1799" s="68" t="n"/>
      <c r="I1799" s="69" t="n"/>
      <c r="J1799" s="70" t="str">
        <f>IF(E1799="","",IF(ISNUMBER(I1799),I1799,IFERROR(IF(ISNUMBER(INDEX(art_price,MATCH($E1799,art_ref,0))),INDEX(art_price,MATCH($E1799,art_ref,0)),""),"")))</f>
        <v/>
      </c>
      <c r="K1799" s="71" t="n"/>
      <c r="L1799" s="72" t="n"/>
      <c r="M1799" s="72" t="str">
        <f>IF(E1799="","",IF(L1799&lt;&gt;"",L1799,IFERROR(IF(ISNUMBER(INDEX(art_tva,MATCH($E1799,art_ref,0))),INDEX(art_tva,MATCH($E1799,art_ref,0)),""),"")))</f>
        <v/>
      </c>
      <c r="N1799" s="70" t="str">
        <f>IF(OR(E1799="",J1799=""),"",ROUND(N(H1799)*J1799*(1-N(K1799)),2))</f>
        <v/>
      </c>
      <c r="O1799" s="70" t="str">
        <f>IF(OR(N1799="",NOT(ISNUMBER(M1799))),"",ROUND(N1799*M1799,2))</f>
        <v/>
      </c>
      <c r="P1799" s="70" t="str">
        <f>IF(N1799="","",N1799+N(O1799))</f>
        <v/>
      </c>
      <c r="Q1799" s="64" t="n"/>
      <c r="R1799" s="73" t="str">
        <f>IF(N(Q1799)&gt;0,Q1799,IF(OR(N(B1799)=0,ISNA(MATCH($C1799,sup_code,0))),"",IF(ISNUMBER(INDEX(sup_delay,MATCH($C1799,sup_code,0))),B1799+INDEX(sup_delay,MATCH($C1799,sup_code,0)),"")))</f>
        <v/>
      </c>
      <c r="S1799" s="64" t="n"/>
      <c r="T1799" s="68" t="n"/>
      <c r="U1799" s="64" t="n"/>
      <c r="V1799" s="65" t="n"/>
      <c r="W1799" s="74" t="str">
        <f>IF(AND(A1799="",E1799=""),"",IF(V1799="Oui",0,MAX(0,ROUND(N(H1799)-N(T1799),6))))</f>
        <v/>
      </c>
      <c r="X1799" s="67" t="str">
        <f>IF(AND(A1799="",E1799=""),"",IF(V1799="Oui","Annulé",IF(AND(N(H1799)&gt;0,N(T1799)&gt;=N(H1799)),"Reçu",IF(N(S1799)=0,"Brouillon",IF(AND(ISNUMBER(R1799),R1799&lt;p_today),"En retard",IF(N(T1799)&gt;0,"Partiel","Envoyé"))))))</f>
        <v/>
      </c>
      <c r="Y1799" s="75" t="str">
        <f>IF(X1799="En retard",p_today-R1799,IF(AND(X1799="Reçu",ISNUMBER(R1799)),MAX(0,N(U1799)-R1799),""))</f>
        <v/>
      </c>
      <c r="Z1799" s="67" t="str">
        <f>IF(AND(A1799="",E1799=""),"",IF(A1799="","N° de bon manquant",IF(N(B1799)=0,"Date de commande manquante",IF(C1799="","Fournisseur manquant",IF(ISNA(MATCH($C1799,sup_code,0)),"Fournisseur inconnu",IF(E1799="","Article manquant",IF(ISNA(MATCH($E1799,art_ref,0)),"Article inconnu",IF(N(H1799)&lt;=0,"Quantité invalide",IF(J1799="","Prix manquant",IF(OR(N(K1799)&lt;0,N(K1799)&gt;=1),"Remise invalide",IF(M1799="","TVA manquante",IF(ISNA(MATCH(M1799,p_tva,0)),"Taux de TVA inconnu",IF(COUNTIFS(po_num,A1799,po_sup,"&lt;&gt;"&amp;C1799)&gt;0,"Fournisseur différent sur ce bon",IF(COUNTIFS(po_num,A1799,po_date,"&lt;&gt;"&amp;B1799)&gt;0,"Date différente sur ce bon",IF(COUNTIF(po_num,A1799)&gt;25,"Plus de 25 lignes sur ce bon",IF(R1799="","Date de livraison manquante",IF(R1799&lt;B1799,"Livraison avant la commande",IF(AND(N(T1799)&gt;0,N(S1799)=0),"Date d'envoi manquante",IF(N(T1799)&gt;N(H1799),"Reçu plus que commandé",IF(AND(N(T1799)&gt;0,N(U1799)=0),"Date de réception manquante",IF(AND(N(U1799)&gt;0,U1799&lt;B1799),"Réception avant la commande","OK")))))))))))))))))))))</f>
        <v/>
      </c>
      <c r="AA1799" s="66" t="str">
        <f>IF(AND(X1799="Reçu",ISNUMBER(R1799)),IF(N(U1799)&lt;=R1799,1,0),"")</f>
        <v/>
      </c>
      <c r="AB1799" s="76" t="str">
        <f>IF(OR(X1799="Envoyé",X1799="Partiel",X1799="En retard"),IF(ISNUMBER(R1799),R1799,100000)+ROW()/100000,"")</f>
        <v/>
      </c>
      <c r="AC1799" s="66" t="str">
        <f>IF(A1799="","",IF(COUNTIF($A$6:A1799,A1799)=1,1,""))</f>
        <v/>
      </c>
      <c r="AD1799" s="66" t="str">
        <f>IF(AC1799=1,COUNT($AC$6:AC1799),"")</f>
        <v/>
      </c>
      <c r="AE1799" s="66" t="str">
        <f>IFERROR(INDEX(po_num,MATCH(1794,po_seq,0))&amp;"","")</f>
        <v/>
      </c>
      <c r="AF1799" s="66" t="str">
        <f>IF(OR(A1799="",p_po=""),"",IF(A1799&amp;""=p_po,COUNTIF($A$6:A1799,A1799),""))</f>
        <v/>
      </c>
      <c r="AG1799" s="66" t="str">
        <f>IF(OR(AB1799="",A1799=""),"",IF(COUNTIFS($A$6:A1799,A1799,$AB$6:AB1799,"&gt;0")=1,1,""))</f>
        <v/>
      </c>
      <c r="AH1799" s="70" t="str">
        <f>IF(AB1799="","",ROUND(N(W1799)*N(J1799)*(1-N(K1799)),2))</f>
        <v/>
      </c>
      <c r="AI1799" s="70" t="str">
        <f>IF(OR(J1799="",N(T1799)&lt;=0,V1799="Oui"),"",ROUND(N(T1799)*J1799*(1-N(K1799)),2))</f>
        <v/>
      </c>
    </row>
    <row r="1800">
      <c r="A1800" s="63" t="n"/>
      <c r="B1800" s="64" t="n"/>
      <c r="C1800" s="65" t="n"/>
      <c r="D1800" s="66" t="str">
        <f>IF(C1800="","",IFERROR(INDEX(sup_name,MATCH($C1800,sup_code,0))&amp;"","Fournisseur inconnu"))</f>
        <v/>
      </c>
      <c r="E1800" s="63" t="n"/>
      <c r="F1800" s="66" t="str">
        <f>IF(E1800="","",IFERROR(INDEX(art_des,MATCH($E1800,art_ref,0))&amp;"","Article inconnu"))</f>
        <v/>
      </c>
      <c r="G1800" s="67" t="str">
        <f>IF(E1800="","",IFERROR(INDEX(art_unit,MATCH($E1800,art_ref,0))&amp;"",""))</f>
        <v/>
      </c>
      <c r="H1800" s="68" t="n"/>
      <c r="I1800" s="69" t="n"/>
      <c r="J1800" s="70" t="str">
        <f>IF(E1800="","",IF(ISNUMBER(I1800),I1800,IFERROR(IF(ISNUMBER(INDEX(art_price,MATCH($E1800,art_ref,0))),INDEX(art_price,MATCH($E1800,art_ref,0)),""),"")))</f>
        <v/>
      </c>
      <c r="K1800" s="71" t="n"/>
      <c r="L1800" s="72" t="n"/>
      <c r="M1800" s="72" t="str">
        <f>IF(E1800="","",IF(L1800&lt;&gt;"",L1800,IFERROR(IF(ISNUMBER(INDEX(art_tva,MATCH($E1800,art_ref,0))),INDEX(art_tva,MATCH($E1800,art_ref,0)),""),"")))</f>
        <v/>
      </c>
      <c r="N1800" s="70" t="str">
        <f>IF(OR(E1800="",J1800=""),"",ROUND(N(H1800)*J1800*(1-N(K1800)),2))</f>
        <v/>
      </c>
      <c r="O1800" s="70" t="str">
        <f>IF(OR(N1800="",NOT(ISNUMBER(M1800))),"",ROUND(N1800*M1800,2))</f>
        <v/>
      </c>
      <c r="P1800" s="70" t="str">
        <f>IF(N1800="","",N1800+N(O1800))</f>
        <v/>
      </c>
      <c r="Q1800" s="64" t="n"/>
      <c r="R1800" s="73" t="str">
        <f>IF(N(Q1800)&gt;0,Q1800,IF(OR(N(B1800)=0,ISNA(MATCH($C1800,sup_code,0))),"",IF(ISNUMBER(INDEX(sup_delay,MATCH($C1800,sup_code,0))),B1800+INDEX(sup_delay,MATCH($C1800,sup_code,0)),"")))</f>
        <v/>
      </c>
      <c r="S1800" s="64" t="n"/>
      <c r="T1800" s="68" t="n"/>
      <c r="U1800" s="64" t="n"/>
      <c r="V1800" s="65" t="n"/>
      <c r="W1800" s="74" t="str">
        <f>IF(AND(A1800="",E1800=""),"",IF(V1800="Oui",0,MAX(0,ROUND(N(H1800)-N(T1800),6))))</f>
        <v/>
      </c>
      <c r="X1800" s="67" t="str">
        <f>IF(AND(A1800="",E1800=""),"",IF(V1800="Oui","Annulé",IF(AND(N(H1800)&gt;0,N(T1800)&gt;=N(H1800)),"Reçu",IF(N(S1800)=0,"Brouillon",IF(AND(ISNUMBER(R1800),R1800&lt;p_today),"En retard",IF(N(T1800)&gt;0,"Partiel","Envoyé"))))))</f>
        <v/>
      </c>
      <c r="Y1800" s="75" t="str">
        <f>IF(X1800="En retard",p_today-R1800,IF(AND(X1800="Reçu",ISNUMBER(R1800)),MAX(0,N(U1800)-R1800),""))</f>
        <v/>
      </c>
      <c r="Z1800" s="67" t="str">
        <f>IF(AND(A1800="",E1800=""),"",IF(A1800="","N° de bon manquant",IF(N(B1800)=0,"Date de commande manquante",IF(C1800="","Fournisseur manquant",IF(ISNA(MATCH($C1800,sup_code,0)),"Fournisseur inconnu",IF(E1800="","Article manquant",IF(ISNA(MATCH($E1800,art_ref,0)),"Article inconnu",IF(N(H1800)&lt;=0,"Quantité invalide",IF(J1800="","Prix manquant",IF(OR(N(K1800)&lt;0,N(K1800)&gt;=1),"Remise invalide",IF(M1800="","TVA manquante",IF(ISNA(MATCH(M1800,p_tva,0)),"Taux de TVA inconnu",IF(COUNTIFS(po_num,A1800,po_sup,"&lt;&gt;"&amp;C1800)&gt;0,"Fournisseur différent sur ce bon",IF(COUNTIFS(po_num,A1800,po_date,"&lt;&gt;"&amp;B1800)&gt;0,"Date différente sur ce bon",IF(COUNTIF(po_num,A1800)&gt;25,"Plus de 25 lignes sur ce bon",IF(R1800="","Date de livraison manquante",IF(R1800&lt;B1800,"Livraison avant la commande",IF(AND(N(T1800)&gt;0,N(S1800)=0),"Date d'envoi manquante",IF(N(T1800)&gt;N(H1800),"Reçu plus que commandé",IF(AND(N(T1800)&gt;0,N(U1800)=0),"Date de réception manquante",IF(AND(N(U1800)&gt;0,U1800&lt;B1800),"Réception avant la commande","OK")))))))))))))))))))))</f>
        <v/>
      </c>
      <c r="AA1800" s="66" t="str">
        <f>IF(AND(X1800="Reçu",ISNUMBER(R1800)),IF(N(U1800)&lt;=R1800,1,0),"")</f>
        <v/>
      </c>
      <c r="AB1800" s="76" t="str">
        <f>IF(OR(X1800="Envoyé",X1800="Partiel",X1800="En retard"),IF(ISNUMBER(R1800),R1800,100000)+ROW()/100000,"")</f>
        <v/>
      </c>
      <c r="AC1800" s="66" t="str">
        <f>IF(A1800="","",IF(COUNTIF($A$6:A1800,A1800)=1,1,""))</f>
        <v/>
      </c>
      <c r="AD1800" s="66" t="str">
        <f>IF(AC1800=1,COUNT($AC$6:AC1800),"")</f>
        <v/>
      </c>
      <c r="AE1800" s="66" t="str">
        <f>IFERROR(INDEX(po_num,MATCH(1795,po_seq,0))&amp;"","")</f>
        <v/>
      </c>
      <c r="AF1800" s="66" t="str">
        <f>IF(OR(A1800="",p_po=""),"",IF(A1800&amp;""=p_po,COUNTIF($A$6:A1800,A1800),""))</f>
        <v/>
      </c>
      <c r="AG1800" s="66" t="str">
        <f>IF(OR(AB1800="",A1800=""),"",IF(COUNTIFS($A$6:A1800,A1800,$AB$6:AB1800,"&gt;0")=1,1,""))</f>
        <v/>
      </c>
      <c r="AH1800" s="70" t="str">
        <f>IF(AB1800="","",ROUND(N(W1800)*N(J1800)*(1-N(K1800)),2))</f>
        <v/>
      </c>
      <c r="AI1800" s="70" t="str">
        <f>IF(OR(J1800="",N(T1800)&lt;=0,V1800="Oui"),"",ROUND(N(T1800)*J1800*(1-N(K1800)),2))</f>
        <v/>
      </c>
    </row>
    <row r="1801">
      <c r="A1801" s="63" t="n"/>
      <c r="B1801" s="64" t="n"/>
      <c r="C1801" s="65" t="n"/>
      <c r="D1801" s="66" t="str">
        <f>IF(C1801="","",IFERROR(INDEX(sup_name,MATCH($C1801,sup_code,0))&amp;"","Fournisseur inconnu"))</f>
        <v/>
      </c>
      <c r="E1801" s="63" t="n"/>
      <c r="F1801" s="66" t="str">
        <f>IF(E1801="","",IFERROR(INDEX(art_des,MATCH($E1801,art_ref,0))&amp;"","Article inconnu"))</f>
        <v/>
      </c>
      <c r="G1801" s="67" t="str">
        <f>IF(E1801="","",IFERROR(INDEX(art_unit,MATCH($E1801,art_ref,0))&amp;"",""))</f>
        <v/>
      </c>
      <c r="H1801" s="68" t="n"/>
      <c r="I1801" s="69" t="n"/>
      <c r="J1801" s="70" t="str">
        <f>IF(E1801="","",IF(ISNUMBER(I1801),I1801,IFERROR(IF(ISNUMBER(INDEX(art_price,MATCH($E1801,art_ref,0))),INDEX(art_price,MATCH($E1801,art_ref,0)),""),"")))</f>
        <v/>
      </c>
      <c r="K1801" s="71" t="n"/>
      <c r="L1801" s="72" t="n"/>
      <c r="M1801" s="72" t="str">
        <f>IF(E1801="","",IF(L1801&lt;&gt;"",L1801,IFERROR(IF(ISNUMBER(INDEX(art_tva,MATCH($E1801,art_ref,0))),INDEX(art_tva,MATCH($E1801,art_ref,0)),""),"")))</f>
        <v/>
      </c>
      <c r="N1801" s="70" t="str">
        <f>IF(OR(E1801="",J1801=""),"",ROUND(N(H1801)*J1801*(1-N(K1801)),2))</f>
        <v/>
      </c>
      <c r="O1801" s="70" t="str">
        <f>IF(OR(N1801="",NOT(ISNUMBER(M1801))),"",ROUND(N1801*M1801,2))</f>
        <v/>
      </c>
      <c r="P1801" s="70" t="str">
        <f>IF(N1801="","",N1801+N(O1801))</f>
        <v/>
      </c>
      <c r="Q1801" s="64" t="n"/>
      <c r="R1801" s="73" t="str">
        <f>IF(N(Q1801)&gt;0,Q1801,IF(OR(N(B1801)=0,ISNA(MATCH($C1801,sup_code,0))),"",IF(ISNUMBER(INDEX(sup_delay,MATCH($C1801,sup_code,0))),B1801+INDEX(sup_delay,MATCH($C1801,sup_code,0)),"")))</f>
        <v/>
      </c>
      <c r="S1801" s="64" t="n"/>
      <c r="T1801" s="68" t="n"/>
      <c r="U1801" s="64" t="n"/>
      <c r="V1801" s="65" t="n"/>
      <c r="W1801" s="74" t="str">
        <f>IF(AND(A1801="",E1801=""),"",IF(V1801="Oui",0,MAX(0,ROUND(N(H1801)-N(T1801),6))))</f>
        <v/>
      </c>
      <c r="X1801" s="67" t="str">
        <f>IF(AND(A1801="",E1801=""),"",IF(V1801="Oui","Annulé",IF(AND(N(H1801)&gt;0,N(T1801)&gt;=N(H1801)),"Reçu",IF(N(S1801)=0,"Brouillon",IF(AND(ISNUMBER(R1801),R1801&lt;p_today),"En retard",IF(N(T1801)&gt;0,"Partiel","Envoyé"))))))</f>
        <v/>
      </c>
      <c r="Y1801" s="75" t="str">
        <f>IF(X1801="En retard",p_today-R1801,IF(AND(X1801="Reçu",ISNUMBER(R1801)),MAX(0,N(U1801)-R1801),""))</f>
        <v/>
      </c>
      <c r="Z1801" s="67" t="str">
        <f>IF(AND(A1801="",E1801=""),"",IF(A1801="","N° de bon manquant",IF(N(B1801)=0,"Date de commande manquante",IF(C1801="","Fournisseur manquant",IF(ISNA(MATCH($C1801,sup_code,0)),"Fournisseur inconnu",IF(E1801="","Article manquant",IF(ISNA(MATCH($E1801,art_ref,0)),"Article inconnu",IF(N(H1801)&lt;=0,"Quantité invalide",IF(J1801="","Prix manquant",IF(OR(N(K1801)&lt;0,N(K1801)&gt;=1),"Remise invalide",IF(M1801="","TVA manquante",IF(ISNA(MATCH(M1801,p_tva,0)),"Taux de TVA inconnu",IF(COUNTIFS(po_num,A1801,po_sup,"&lt;&gt;"&amp;C1801)&gt;0,"Fournisseur différent sur ce bon",IF(COUNTIFS(po_num,A1801,po_date,"&lt;&gt;"&amp;B1801)&gt;0,"Date différente sur ce bon",IF(COUNTIF(po_num,A1801)&gt;25,"Plus de 25 lignes sur ce bon",IF(R1801="","Date de livraison manquante",IF(R1801&lt;B1801,"Livraison avant la commande",IF(AND(N(T1801)&gt;0,N(S1801)=0),"Date d'envoi manquante",IF(N(T1801)&gt;N(H1801),"Reçu plus que commandé",IF(AND(N(T1801)&gt;0,N(U1801)=0),"Date de réception manquante",IF(AND(N(U1801)&gt;0,U1801&lt;B1801),"Réception avant la commande","OK")))))))))))))))))))))</f>
        <v/>
      </c>
      <c r="AA1801" s="66" t="str">
        <f>IF(AND(X1801="Reçu",ISNUMBER(R1801)),IF(N(U1801)&lt;=R1801,1,0),"")</f>
        <v/>
      </c>
      <c r="AB1801" s="76" t="str">
        <f>IF(OR(X1801="Envoyé",X1801="Partiel",X1801="En retard"),IF(ISNUMBER(R1801),R1801,100000)+ROW()/100000,"")</f>
        <v/>
      </c>
      <c r="AC1801" s="66" t="str">
        <f>IF(A1801="","",IF(COUNTIF($A$6:A1801,A1801)=1,1,""))</f>
        <v/>
      </c>
      <c r="AD1801" s="66" t="str">
        <f>IF(AC1801=1,COUNT($AC$6:AC1801),"")</f>
        <v/>
      </c>
      <c r="AE1801" s="66" t="str">
        <f>IFERROR(INDEX(po_num,MATCH(1796,po_seq,0))&amp;"","")</f>
        <v/>
      </c>
      <c r="AF1801" s="66" t="str">
        <f>IF(OR(A1801="",p_po=""),"",IF(A1801&amp;""=p_po,COUNTIF($A$6:A1801,A1801),""))</f>
        <v/>
      </c>
      <c r="AG1801" s="66" t="str">
        <f>IF(OR(AB1801="",A1801=""),"",IF(COUNTIFS($A$6:A1801,A1801,$AB$6:AB1801,"&gt;0")=1,1,""))</f>
        <v/>
      </c>
      <c r="AH1801" s="70" t="str">
        <f>IF(AB1801="","",ROUND(N(W1801)*N(J1801)*(1-N(K1801)),2))</f>
        <v/>
      </c>
      <c r="AI1801" s="70" t="str">
        <f>IF(OR(J1801="",N(T1801)&lt;=0,V1801="Oui"),"",ROUND(N(T1801)*J1801*(1-N(K1801)),2))</f>
        <v/>
      </c>
    </row>
    <row r="1802">
      <c r="A1802" s="63" t="n"/>
      <c r="B1802" s="64" t="n"/>
      <c r="C1802" s="65" t="n"/>
      <c r="D1802" s="66" t="str">
        <f>IF(C1802="","",IFERROR(INDEX(sup_name,MATCH($C1802,sup_code,0))&amp;"","Fournisseur inconnu"))</f>
        <v/>
      </c>
      <c r="E1802" s="63" t="n"/>
      <c r="F1802" s="66" t="str">
        <f>IF(E1802="","",IFERROR(INDEX(art_des,MATCH($E1802,art_ref,0))&amp;"","Article inconnu"))</f>
        <v/>
      </c>
      <c r="G1802" s="67" t="str">
        <f>IF(E1802="","",IFERROR(INDEX(art_unit,MATCH($E1802,art_ref,0))&amp;"",""))</f>
        <v/>
      </c>
      <c r="H1802" s="68" t="n"/>
      <c r="I1802" s="69" t="n"/>
      <c r="J1802" s="70" t="str">
        <f>IF(E1802="","",IF(ISNUMBER(I1802),I1802,IFERROR(IF(ISNUMBER(INDEX(art_price,MATCH($E1802,art_ref,0))),INDEX(art_price,MATCH($E1802,art_ref,0)),""),"")))</f>
        <v/>
      </c>
      <c r="K1802" s="71" t="n"/>
      <c r="L1802" s="72" t="n"/>
      <c r="M1802" s="72" t="str">
        <f>IF(E1802="","",IF(L1802&lt;&gt;"",L1802,IFERROR(IF(ISNUMBER(INDEX(art_tva,MATCH($E1802,art_ref,0))),INDEX(art_tva,MATCH($E1802,art_ref,0)),""),"")))</f>
        <v/>
      </c>
      <c r="N1802" s="70" t="str">
        <f>IF(OR(E1802="",J1802=""),"",ROUND(N(H1802)*J1802*(1-N(K1802)),2))</f>
        <v/>
      </c>
      <c r="O1802" s="70" t="str">
        <f>IF(OR(N1802="",NOT(ISNUMBER(M1802))),"",ROUND(N1802*M1802,2))</f>
        <v/>
      </c>
      <c r="P1802" s="70" t="str">
        <f>IF(N1802="","",N1802+N(O1802))</f>
        <v/>
      </c>
      <c r="Q1802" s="64" t="n"/>
      <c r="R1802" s="73" t="str">
        <f>IF(N(Q1802)&gt;0,Q1802,IF(OR(N(B1802)=0,ISNA(MATCH($C1802,sup_code,0))),"",IF(ISNUMBER(INDEX(sup_delay,MATCH($C1802,sup_code,0))),B1802+INDEX(sup_delay,MATCH($C1802,sup_code,0)),"")))</f>
        <v/>
      </c>
      <c r="S1802" s="64" t="n"/>
      <c r="T1802" s="68" t="n"/>
      <c r="U1802" s="64" t="n"/>
      <c r="V1802" s="65" t="n"/>
      <c r="W1802" s="74" t="str">
        <f>IF(AND(A1802="",E1802=""),"",IF(V1802="Oui",0,MAX(0,ROUND(N(H1802)-N(T1802),6))))</f>
        <v/>
      </c>
      <c r="X1802" s="67" t="str">
        <f>IF(AND(A1802="",E1802=""),"",IF(V1802="Oui","Annulé",IF(AND(N(H1802)&gt;0,N(T1802)&gt;=N(H1802)),"Reçu",IF(N(S1802)=0,"Brouillon",IF(AND(ISNUMBER(R1802),R1802&lt;p_today),"En retard",IF(N(T1802)&gt;0,"Partiel","Envoyé"))))))</f>
        <v/>
      </c>
      <c r="Y1802" s="75" t="str">
        <f>IF(X1802="En retard",p_today-R1802,IF(AND(X1802="Reçu",ISNUMBER(R1802)),MAX(0,N(U1802)-R1802),""))</f>
        <v/>
      </c>
      <c r="Z1802" s="67" t="str">
        <f>IF(AND(A1802="",E1802=""),"",IF(A1802="","N° de bon manquant",IF(N(B1802)=0,"Date de commande manquante",IF(C1802="","Fournisseur manquant",IF(ISNA(MATCH($C1802,sup_code,0)),"Fournisseur inconnu",IF(E1802="","Article manquant",IF(ISNA(MATCH($E1802,art_ref,0)),"Article inconnu",IF(N(H1802)&lt;=0,"Quantité invalide",IF(J1802="","Prix manquant",IF(OR(N(K1802)&lt;0,N(K1802)&gt;=1),"Remise invalide",IF(M1802="","TVA manquante",IF(ISNA(MATCH(M1802,p_tva,0)),"Taux de TVA inconnu",IF(COUNTIFS(po_num,A1802,po_sup,"&lt;&gt;"&amp;C1802)&gt;0,"Fournisseur différent sur ce bon",IF(COUNTIFS(po_num,A1802,po_date,"&lt;&gt;"&amp;B1802)&gt;0,"Date différente sur ce bon",IF(COUNTIF(po_num,A1802)&gt;25,"Plus de 25 lignes sur ce bon",IF(R1802="","Date de livraison manquante",IF(R1802&lt;B1802,"Livraison avant la commande",IF(AND(N(T1802)&gt;0,N(S1802)=0),"Date d'envoi manquante",IF(N(T1802)&gt;N(H1802),"Reçu plus que commandé",IF(AND(N(T1802)&gt;0,N(U1802)=0),"Date de réception manquante",IF(AND(N(U1802)&gt;0,U1802&lt;B1802),"Réception avant la commande","OK")))))))))))))))))))))</f>
        <v/>
      </c>
      <c r="AA1802" s="66" t="str">
        <f>IF(AND(X1802="Reçu",ISNUMBER(R1802)),IF(N(U1802)&lt;=R1802,1,0),"")</f>
        <v/>
      </c>
      <c r="AB1802" s="76" t="str">
        <f>IF(OR(X1802="Envoyé",X1802="Partiel",X1802="En retard"),IF(ISNUMBER(R1802),R1802,100000)+ROW()/100000,"")</f>
        <v/>
      </c>
      <c r="AC1802" s="66" t="str">
        <f>IF(A1802="","",IF(COUNTIF($A$6:A1802,A1802)=1,1,""))</f>
        <v/>
      </c>
      <c r="AD1802" s="66" t="str">
        <f>IF(AC1802=1,COUNT($AC$6:AC1802),"")</f>
        <v/>
      </c>
      <c r="AE1802" s="66" t="str">
        <f>IFERROR(INDEX(po_num,MATCH(1797,po_seq,0))&amp;"","")</f>
        <v/>
      </c>
      <c r="AF1802" s="66" t="str">
        <f>IF(OR(A1802="",p_po=""),"",IF(A1802&amp;""=p_po,COUNTIF($A$6:A1802,A1802),""))</f>
        <v/>
      </c>
      <c r="AG1802" s="66" t="str">
        <f>IF(OR(AB1802="",A1802=""),"",IF(COUNTIFS($A$6:A1802,A1802,$AB$6:AB1802,"&gt;0")=1,1,""))</f>
        <v/>
      </c>
      <c r="AH1802" s="70" t="str">
        <f>IF(AB1802="","",ROUND(N(W1802)*N(J1802)*(1-N(K1802)),2))</f>
        <v/>
      </c>
      <c r="AI1802" s="70" t="str">
        <f>IF(OR(J1802="",N(T1802)&lt;=0,V1802="Oui"),"",ROUND(N(T1802)*J1802*(1-N(K1802)),2))</f>
        <v/>
      </c>
    </row>
    <row r="1803">
      <c r="A1803" s="63" t="n"/>
      <c r="B1803" s="64" t="n"/>
      <c r="C1803" s="65" t="n"/>
      <c r="D1803" s="66" t="str">
        <f>IF(C1803="","",IFERROR(INDEX(sup_name,MATCH($C1803,sup_code,0))&amp;"","Fournisseur inconnu"))</f>
        <v/>
      </c>
      <c r="E1803" s="63" t="n"/>
      <c r="F1803" s="66" t="str">
        <f>IF(E1803="","",IFERROR(INDEX(art_des,MATCH($E1803,art_ref,0))&amp;"","Article inconnu"))</f>
        <v/>
      </c>
      <c r="G1803" s="67" t="str">
        <f>IF(E1803="","",IFERROR(INDEX(art_unit,MATCH($E1803,art_ref,0))&amp;"",""))</f>
        <v/>
      </c>
      <c r="H1803" s="68" t="n"/>
      <c r="I1803" s="69" t="n"/>
      <c r="J1803" s="70" t="str">
        <f>IF(E1803="","",IF(ISNUMBER(I1803),I1803,IFERROR(IF(ISNUMBER(INDEX(art_price,MATCH($E1803,art_ref,0))),INDEX(art_price,MATCH($E1803,art_ref,0)),""),"")))</f>
        <v/>
      </c>
      <c r="K1803" s="71" t="n"/>
      <c r="L1803" s="72" t="n"/>
      <c r="M1803" s="72" t="str">
        <f>IF(E1803="","",IF(L1803&lt;&gt;"",L1803,IFERROR(IF(ISNUMBER(INDEX(art_tva,MATCH($E1803,art_ref,0))),INDEX(art_tva,MATCH($E1803,art_ref,0)),""),"")))</f>
        <v/>
      </c>
      <c r="N1803" s="70" t="str">
        <f>IF(OR(E1803="",J1803=""),"",ROUND(N(H1803)*J1803*(1-N(K1803)),2))</f>
        <v/>
      </c>
      <c r="O1803" s="70" t="str">
        <f>IF(OR(N1803="",NOT(ISNUMBER(M1803))),"",ROUND(N1803*M1803,2))</f>
        <v/>
      </c>
      <c r="P1803" s="70" t="str">
        <f>IF(N1803="","",N1803+N(O1803))</f>
        <v/>
      </c>
      <c r="Q1803" s="64" t="n"/>
      <c r="R1803" s="73" t="str">
        <f>IF(N(Q1803)&gt;0,Q1803,IF(OR(N(B1803)=0,ISNA(MATCH($C1803,sup_code,0))),"",IF(ISNUMBER(INDEX(sup_delay,MATCH($C1803,sup_code,0))),B1803+INDEX(sup_delay,MATCH($C1803,sup_code,0)),"")))</f>
        <v/>
      </c>
      <c r="S1803" s="64" t="n"/>
      <c r="T1803" s="68" t="n"/>
      <c r="U1803" s="64" t="n"/>
      <c r="V1803" s="65" t="n"/>
      <c r="W1803" s="74" t="str">
        <f>IF(AND(A1803="",E1803=""),"",IF(V1803="Oui",0,MAX(0,ROUND(N(H1803)-N(T1803),6))))</f>
        <v/>
      </c>
      <c r="X1803" s="67" t="str">
        <f>IF(AND(A1803="",E1803=""),"",IF(V1803="Oui","Annulé",IF(AND(N(H1803)&gt;0,N(T1803)&gt;=N(H1803)),"Reçu",IF(N(S1803)=0,"Brouillon",IF(AND(ISNUMBER(R1803),R1803&lt;p_today),"En retard",IF(N(T1803)&gt;0,"Partiel","Envoyé"))))))</f>
        <v/>
      </c>
      <c r="Y1803" s="75" t="str">
        <f>IF(X1803="En retard",p_today-R1803,IF(AND(X1803="Reçu",ISNUMBER(R1803)),MAX(0,N(U1803)-R1803),""))</f>
        <v/>
      </c>
      <c r="Z1803" s="67" t="str">
        <f>IF(AND(A1803="",E1803=""),"",IF(A1803="","N° de bon manquant",IF(N(B1803)=0,"Date de commande manquante",IF(C1803="","Fournisseur manquant",IF(ISNA(MATCH($C1803,sup_code,0)),"Fournisseur inconnu",IF(E1803="","Article manquant",IF(ISNA(MATCH($E1803,art_ref,0)),"Article inconnu",IF(N(H1803)&lt;=0,"Quantité invalide",IF(J1803="","Prix manquant",IF(OR(N(K1803)&lt;0,N(K1803)&gt;=1),"Remise invalide",IF(M1803="","TVA manquante",IF(ISNA(MATCH(M1803,p_tva,0)),"Taux de TVA inconnu",IF(COUNTIFS(po_num,A1803,po_sup,"&lt;&gt;"&amp;C1803)&gt;0,"Fournisseur différent sur ce bon",IF(COUNTIFS(po_num,A1803,po_date,"&lt;&gt;"&amp;B1803)&gt;0,"Date différente sur ce bon",IF(COUNTIF(po_num,A1803)&gt;25,"Plus de 25 lignes sur ce bon",IF(R1803="","Date de livraison manquante",IF(R1803&lt;B1803,"Livraison avant la commande",IF(AND(N(T1803)&gt;0,N(S1803)=0),"Date d'envoi manquante",IF(N(T1803)&gt;N(H1803),"Reçu plus que commandé",IF(AND(N(T1803)&gt;0,N(U1803)=0),"Date de réception manquante",IF(AND(N(U1803)&gt;0,U1803&lt;B1803),"Réception avant la commande","OK")))))))))))))))))))))</f>
        <v/>
      </c>
      <c r="AA1803" s="66" t="str">
        <f>IF(AND(X1803="Reçu",ISNUMBER(R1803)),IF(N(U1803)&lt;=R1803,1,0),"")</f>
        <v/>
      </c>
      <c r="AB1803" s="76" t="str">
        <f>IF(OR(X1803="Envoyé",X1803="Partiel",X1803="En retard"),IF(ISNUMBER(R1803),R1803,100000)+ROW()/100000,"")</f>
        <v/>
      </c>
      <c r="AC1803" s="66" t="str">
        <f>IF(A1803="","",IF(COUNTIF($A$6:A1803,A1803)=1,1,""))</f>
        <v/>
      </c>
      <c r="AD1803" s="66" t="str">
        <f>IF(AC1803=1,COUNT($AC$6:AC1803),"")</f>
        <v/>
      </c>
      <c r="AE1803" s="66" t="str">
        <f>IFERROR(INDEX(po_num,MATCH(1798,po_seq,0))&amp;"","")</f>
        <v/>
      </c>
      <c r="AF1803" s="66" t="str">
        <f>IF(OR(A1803="",p_po=""),"",IF(A1803&amp;""=p_po,COUNTIF($A$6:A1803,A1803),""))</f>
        <v/>
      </c>
      <c r="AG1803" s="66" t="str">
        <f>IF(OR(AB1803="",A1803=""),"",IF(COUNTIFS($A$6:A1803,A1803,$AB$6:AB1803,"&gt;0")=1,1,""))</f>
        <v/>
      </c>
      <c r="AH1803" s="70" t="str">
        <f>IF(AB1803="","",ROUND(N(W1803)*N(J1803)*(1-N(K1803)),2))</f>
        <v/>
      </c>
      <c r="AI1803" s="70" t="str">
        <f>IF(OR(J1803="",N(T1803)&lt;=0,V1803="Oui"),"",ROUND(N(T1803)*J1803*(1-N(K1803)),2))</f>
        <v/>
      </c>
    </row>
    <row r="1804">
      <c r="A1804" s="63" t="n"/>
      <c r="B1804" s="64" t="n"/>
      <c r="C1804" s="65" t="n"/>
      <c r="D1804" s="66" t="str">
        <f>IF(C1804="","",IFERROR(INDEX(sup_name,MATCH($C1804,sup_code,0))&amp;"","Fournisseur inconnu"))</f>
        <v/>
      </c>
      <c r="E1804" s="63" t="n"/>
      <c r="F1804" s="66" t="str">
        <f>IF(E1804="","",IFERROR(INDEX(art_des,MATCH($E1804,art_ref,0))&amp;"","Article inconnu"))</f>
        <v/>
      </c>
      <c r="G1804" s="67" t="str">
        <f>IF(E1804="","",IFERROR(INDEX(art_unit,MATCH($E1804,art_ref,0))&amp;"",""))</f>
        <v/>
      </c>
      <c r="H1804" s="68" t="n"/>
      <c r="I1804" s="69" t="n"/>
      <c r="J1804" s="70" t="str">
        <f>IF(E1804="","",IF(ISNUMBER(I1804),I1804,IFERROR(IF(ISNUMBER(INDEX(art_price,MATCH($E1804,art_ref,0))),INDEX(art_price,MATCH($E1804,art_ref,0)),""),"")))</f>
        <v/>
      </c>
      <c r="K1804" s="71" t="n"/>
      <c r="L1804" s="72" t="n"/>
      <c r="M1804" s="72" t="str">
        <f>IF(E1804="","",IF(L1804&lt;&gt;"",L1804,IFERROR(IF(ISNUMBER(INDEX(art_tva,MATCH($E1804,art_ref,0))),INDEX(art_tva,MATCH($E1804,art_ref,0)),""),"")))</f>
        <v/>
      </c>
      <c r="N1804" s="70" t="str">
        <f>IF(OR(E1804="",J1804=""),"",ROUND(N(H1804)*J1804*(1-N(K1804)),2))</f>
        <v/>
      </c>
      <c r="O1804" s="70" t="str">
        <f>IF(OR(N1804="",NOT(ISNUMBER(M1804))),"",ROUND(N1804*M1804,2))</f>
        <v/>
      </c>
      <c r="P1804" s="70" t="str">
        <f>IF(N1804="","",N1804+N(O1804))</f>
        <v/>
      </c>
      <c r="Q1804" s="64" t="n"/>
      <c r="R1804" s="73" t="str">
        <f>IF(N(Q1804)&gt;0,Q1804,IF(OR(N(B1804)=0,ISNA(MATCH($C1804,sup_code,0))),"",IF(ISNUMBER(INDEX(sup_delay,MATCH($C1804,sup_code,0))),B1804+INDEX(sup_delay,MATCH($C1804,sup_code,0)),"")))</f>
        <v/>
      </c>
      <c r="S1804" s="64" t="n"/>
      <c r="T1804" s="68" t="n"/>
      <c r="U1804" s="64" t="n"/>
      <c r="V1804" s="65" t="n"/>
      <c r="W1804" s="74" t="str">
        <f>IF(AND(A1804="",E1804=""),"",IF(V1804="Oui",0,MAX(0,ROUND(N(H1804)-N(T1804),6))))</f>
        <v/>
      </c>
      <c r="X1804" s="67" t="str">
        <f>IF(AND(A1804="",E1804=""),"",IF(V1804="Oui","Annulé",IF(AND(N(H1804)&gt;0,N(T1804)&gt;=N(H1804)),"Reçu",IF(N(S1804)=0,"Brouillon",IF(AND(ISNUMBER(R1804),R1804&lt;p_today),"En retard",IF(N(T1804)&gt;0,"Partiel","Envoyé"))))))</f>
        <v/>
      </c>
      <c r="Y1804" s="75" t="str">
        <f>IF(X1804="En retard",p_today-R1804,IF(AND(X1804="Reçu",ISNUMBER(R1804)),MAX(0,N(U1804)-R1804),""))</f>
        <v/>
      </c>
      <c r="Z1804" s="67" t="str">
        <f>IF(AND(A1804="",E1804=""),"",IF(A1804="","N° de bon manquant",IF(N(B1804)=0,"Date de commande manquante",IF(C1804="","Fournisseur manquant",IF(ISNA(MATCH($C1804,sup_code,0)),"Fournisseur inconnu",IF(E1804="","Article manquant",IF(ISNA(MATCH($E1804,art_ref,0)),"Article inconnu",IF(N(H1804)&lt;=0,"Quantité invalide",IF(J1804="","Prix manquant",IF(OR(N(K1804)&lt;0,N(K1804)&gt;=1),"Remise invalide",IF(M1804="","TVA manquante",IF(ISNA(MATCH(M1804,p_tva,0)),"Taux de TVA inconnu",IF(COUNTIFS(po_num,A1804,po_sup,"&lt;&gt;"&amp;C1804)&gt;0,"Fournisseur différent sur ce bon",IF(COUNTIFS(po_num,A1804,po_date,"&lt;&gt;"&amp;B1804)&gt;0,"Date différente sur ce bon",IF(COUNTIF(po_num,A1804)&gt;25,"Plus de 25 lignes sur ce bon",IF(R1804="","Date de livraison manquante",IF(R1804&lt;B1804,"Livraison avant la commande",IF(AND(N(T1804)&gt;0,N(S1804)=0),"Date d'envoi manquante",IF(N(T1804)&gt;N(H1804),"Reçu plus que commandé",IF(AND(N(T1804)&gt;0,N(U1804)=0),"Date de réception manquante",IF(AND(N(U1804)&gt;0,U1804&lt;B1804),"Réception avant la commande","OK")))))))))))))))))))))</f>
        <v/>
      </c>
      <c r="AA1804" s="66" t="str">
        <f>IF(AND(X1804="Reçu",ISNUMBER(R1804)),IF(N(U1804)&lt;=R1804,1,0),"")</f>
        <v/>
      </c>
      <c r="AB1804" s="76" t="str">
        <f>IF(OR(X1804="Envoyé",X1804="Partiel",X1804="En retard"),IF(ISNUMBER(R1804),R1804,100000)+ROW()/100000,"")</f>
        <v/>
      </c>
      <c r="AC1804" s="66" t="str">
        <f>IF(A1804="","",IF(COUNTIF($A$6:A1804,A1804)=1,1,""))</f>
        <v/>
      </c>
      <c r="AD1804" s="66" t="str">
        <f>IF(AC1804=1,COUNT($AC$6:AC1804),"")</f>
        <v/>
      </c>
      <c r="AE1804" s="66" t="str">
        <f>IFERROR(INDEX(po_num,MATCH(1799,po_seq,0))&amp;"","")</f>
        <v/>
      </c>
      <c r="AF1804" s="66" t="str">
        <f>IF(OR(A1804="",p_po=""),"",IF(A1804&amp;""=p_po,COUNTIF($A$6:A1804,A1804),""))</f>
        <v/>
      </c>
      <c r="AG1804" s="66" t="str">
        <f>IF(OR(AB1804="",A1804=""),"",IF(COUNTIFS($A$6:A1804,A1804,$AB$6:AB1804,"&gt;0")=1,1,""))</f>
        <v/>
      </c>
      <c r="AH1804" s="70" t="str">
        <f>IF(AB1804="","",ROUND(N(W1804)*N(J1804)*(1-N(K1804)),2))</f>
        <v/>
      </c>
      <c r="AI1804" s="70" t="str">
        <f>IF(OR(J1804="",N(T1804)&lt;=0,V1804="Oui"),"",ROUND(N(T1804)*J1804*(1-N(K1804)),2))</f>
        <v/>
      </c>
    </row>
    <row r="1805">
      <c r="A1805" s="63" t="n"/>
      <c r="B1805" s="64" t="n"/>
      <c r="C1805" s="65" t="n"/>
      <c r="D1805" s="66" t="str">
        <f>IF(C1805="","",IFERROR(INDEX(sup_name,MATCH($C1805,sup_code,0))&amp;"","Fournisseur inconnu"))</f>
        <v/>
      </c>
      <c r="E1805" s="63" t="n"/>
      <c r="F1805" s="66" t="str">
        <f>IF(E1805="","",IFERROR(INDEX(art_des,MATCH($E1805,art_ref,0))&amp;"","Article inconnu"))</f>
        <v/>
      </c>
      <c r="G1805" s="67" t="str">
        <f>IF(E1805="","",IFERROR(INDEX(art_unit,MATCH($E1805,art_ref,0))&amp;"",""))</f>
        <v/>
      </c>
      <c r="H1805" s="68" t="n"/>
      <c r="I1805" s="69" t="n"/>
      <c r="J1805" s="70" t="str">
        <f>IF(E1805="","",IF(ISNUMBER(I1805),I1805,IFERROR(IF(ISNUMBER(INDEX(art_price,MATCH($E1805,art_ref,0))),INDEX(art_price,MATCH($E1805,art_ref,0)),""),"")))</f>
        <v/>
      </c>
      <c r="K1805" s="71" t="n"/>
      <c r="L1805" s="72" t="n"/>
      <c r="M1805" s="72" t="str">
        <f>IF(E1805="","",IF(L1805&lt;&gt;"",L1805,IFERROR(IF(ISNUMBER(INDEX(art_tva,MATCH($E1805,art_ref,0))),INDEX(art_tva,MATCH($E1805,art_ref,0)),""),"")))</f>
        <v/>
      </c>
      <c r="N1805" s="70" t="str">
        <f>IF(OR(E1805="",J1805=""),"",ROUND(N(H1805)*J1805*(1-N(K1805)),2))</f>
        <v/>
      </c>
      <c r="O1805" s="70" t="str">
        <f>IF(OR(N1805="",NOT(ISNUMBER(M1805))),"",ROUND(N1805*M1805,2))</f>
        <v/>
      </c>
      <c r="P1805" s="70" t="str">
        <f>IF(N1805="","",N1805+N(O1805))</f>
        <v/>
      </c>
      <c r="Q1805" s="64" t="n"/>
      <c r="R1805" s="73" t="str">
        <f>IF(N(Q1805)&gt;0,Q1805,IF(OR(N(B1805)=0,ISNA(MATCH($C1805,sup_code,0))),"",IF(ISNUMBER(INDEX(sup_delay,MATCH($C1805,sup_code,0))),B1805+INDEX(sup_delay,MATCH($C1805,sup_code,0)),"")))</f>
        <v/>
      </c>
      <c r="S1805" s="64" t="n"/>
      <c r="T1805" s="68" t="n"/>
      <c r="U1805" s="64" t="n"/>
      <c r="V1805" s="65" t="n"/>
      <c r="W1805" s="74" t="str">
        <f>IF(AND(A1805="",E1805=""),"",IF(V1805="Oui",0,MAX(0,ROUND(N(H1805)-N(T1805),6))))</f>
        <v/>
      </c>
      <c r="X1805" s="67" t="str">
        <f>IF(AND(A1805="",E1805=""),"",IF(V1805="Oui","Annulé",IF(AND(N(H1805)&gt;0,N(T1805)&gt;=N(H1805)),"Reçu",IF(N(S1805)=0,"Brouillon",IF(AND(ISNUMBER(R1805),R1805&lt;p_today),"En retard",IF(N(T1805)&gt;0,"Partiel","Envoyé"))))))</f>
        <v/>
      </c>
      <c r="Y1805" s="75" t="str">
        <f>IF(X1805="En retard",p_today-R1805,IF(AND(X1805="Reçu",ISNUMBER(R1805)),MAX(0,N(U1805)-R1805),""))</f>
        <v/>
      </c>
      <c r="Z1805" s="67" t="str">
        <f>IF(AND(A1805="",E1805=""),"",IF(A1805="","N° de bon manquant",IF(N(B1805)=0,"Date de commande manquante",IF(C1805="","Fournisseur manquant",IF(ISNA(MATCH($C1805,sup_code,0)),"Fournisseur inconnu",IF(E1805="","Article manquant",IF(ISNA(MATCH($E1805,art_ref,0)),"Article inconnu",IF(N(H1805)&lt;=0,"Quantité invalide",IF(J1805="","Prix manquant",IF(OR(N(K1805)&lt;0,N(K1805)&gt;=1),"Remise invalide",IF(M1805="","TVA manquante",IF(ISNA(MATCH(M1805,p_tva,0)),"Taux de TVA inconnu",IF(COUNTIFS(po_num,A1805,po_sup,"&lt;&gt;"&amp;C1805)&gt;0,"Fournisseur différent sur ce bon",IF(COUNTIFS(po_num,A1805,po_date,"&lt;&gt;"&amp;B1805)&gt;0,"Date différente sur ce bon",IF(COUNTIF(po_num,A1805)&gt;25,"Plus de 25 lignes sur ce bon",IF(R1805="","Date de livraison manquante",IF(R1805&lt;B1805,"Livraison avant la commande",IF(AND(N(T1805)&gt;0,N(S1805)=0),"Date d'envoi manquante",IF(N(T1805)&gt;N(H1805),"Reçu plus que commandé",IF(AND(N(T1805)&gt;0,N(U1805)=0),"Date de réception manquante",IF(AND(N(U1805)&gt;0,U1805&lt;B1805),"Réception avant la commande","OK")))))))))))))))))))))</f>
        <v/>
      </c>
      <c r="AA1805" s="66" t="str">
        <f>IF(AND(X1805="Reçu",ISNUMBER(R1805)),IF(N(U1805)&lt;=R1805,1,0),"")</f>
        <v/>
      </c>
      <c r="AB1805" s="76" t="str">
        <f>IF(OR(X1805="Envoyé",X1805="Partiel",X1805="En retard"),IF(ISNUMBER(R1805),R1805,100000)+ROW()/100000,"")</f>
        <v/>
      </c>
      <c r="AC1805" s="66" t="str">
        <f>IF(A1805="","",IF(COUNTIF($A$6:A1805,A1805)=1,1,""))</f>
        <v/>
      </c>
      <c r="AD1805" s="66" t="str">
        <f>IF(AC1805=1,COUNT($AC$6:AC1805),"")</f>
        <v/>
      </c>
      <c r="AE1805" s="66" t="str">
        <f>IFERROR(INDEX(po_num,MATCH(1800,po_seq,0))&amp;"","")</f>
        <v/>
      </c>
      <c r="AF1805" s="66" t="str">
        <f>IF(OR(A1805="",p_po=""),"",IF(A1805&amp;""=p_po,COUNTIF($A$6:A1805,A1805),""))</f>
        <v/>
      </c>
      <c r="AG1805" s="66" t="str">
        <f>IF(OR(AB1805="",A1805=""),"",IF(COUNTIFS($A$6:A1805,A1805,$AB$6:AB1805,"&gt;0")=1,1,""))</f>
        <v/>
      </c>
      <c r="AH1805" s="70" t="str">
        <f>IF(AB1805="","",ROUND(N(W1805)*N(J1805)*(1-N(K1805)),2))</f>
        <v/>
      </c>
      <c r="AI1805" s="70" t="str">
        <f>IF(OR(J1805="",N(T1805)&lt;=0,V1805="Oui"),"",ROUND(N(T1805)*J1805*(1-N(K1805)),2))</f>
        <v/>
      </c>
    </row>
    <row r="1806">
      <c r="A1806" s="63" t="n"/>
      <c r="B1806" s="64" t="n"/>
      <c r="C1806" s="65" t="n"/>
      <c r="D1806" s="66" t="str">
        <f>IF(C1806="","",IFERROR(INDEX(sup_name,MATCH($C1806,sup_code,0))&amp;"","Fournisseur inconnu"))</f>
        <v/>
      </c>
      <c r="E1806" s="63" t="n"/>
      <c r="F1806" s="66" t="str">
        <f>IF(E1806="","",IFERROR(INDEX(art_des,MATCH($E1806,art_ref,0))&amp;"","Article inconnu"))</f>
        <v/>
      </c>
      <c r="G1806" s="67" t="str">
        <f>IF(E1806="","",IFERROR(INDEX(art_unit,MATCH($E1806,art_ref,0))&amp;"",""))</f>
        <v/>
      </c>
      <c r="H1806" s="68" t="n"/>
      <c r="I1806" s="69" t="n"/>
      <c r="J1806" s="70" t="str">
        <f>IF(E1806="","",IF(ISNUMBER(I1806),I1806,IFERROR(IF(ISNUMBER(INDEX(art_price,MATCH($E1806,art_ref,0))),INDEX(art_price,MATCH($E1806,art_ref,0)),""),"")))</f>
        <v/>
      </c>
      <c r="K1806" s="71" t="n"/>
      <c r="L1806" s="72" t="n"/>
      <c r="M1806" s="72" t="str">
        <f>IF(E1806="","",IF(L1806&lt;&gt;"",L1806,IFERROR(IF(ISNUMBER(INDEX(art_tva,MATCH($E1806,art_ref,0))),INDEX(art_tva,MATCH($E1806,art_ref,0)),""),"")))</f>
        <v/>
      </c>
      <c r="N1806" s="70" t="str">
        <f>IF(OR(E1806="",J1806=""),"",ROUND(N(H1806)*J1806*(1-N(K1806)),2))</f>
        <v/>
      </c>
      <c r="O1806" s="70" t="str">
        <f>IF(OR(N1806="",NOT(ISNUMBER(M1806))),"",ROUND(N1806*M1806,2))</f>
        <v/>
      </c>
      <c r="P1806" s="70" t="str">
        <f>IF(N1806="","",N1806+N(O1806))</f>
        <v/>
      </c>
      <c r="Q1806" s="64" t="n"/>
      <c r="R1806" s="73" t="str">
        <f>IF(N(Q1806)&gt;0,Q1806,IF(OR(N(B1806)=0,ISNA(MATCH($C1806,sup_code,0))),"",IF(ISNUMBER(INDEX(sup_delay,MATCH($C1806,sup_code,0))),B1806+INDEX(sup_delay,MATCH($C1806,sup_code,0)),"")))</f>
        <v/>
      </c>
      <c r="S1806" s="64" t="n"/>
      <c r="T1806" s="68" t="n"/>
      <c r="U1806" s="64" t="n"/>
      <c r="V1806" s="65" t="n"/>
      <c r="W1806" s="74" t="str">
        <f>IF(AND(A1806="",E1806=""),"",IF(V1806="Oui",0,MAX(0,ROUND(N(H1806)-N(T1806),6))))</f>
        <v/>
      </c>
      <c r="X1806" s="67" t="str">
        <f>IF(AND(A1806="",E1806=""),"",IF(V1806="Oui","Annulé",IF(AND(N(H1806)&gt;0,N(T1806)&gt;=N(H1806)),"Reçu",IF(N(S1806)=0,"Brouillon",IF(AND(ISNUMBER(R1806),R1806&lt;p_today),"En retard",IF(N(T1806)&gt;0,"Partiel","Envoyé"))))))</f>
        <v/>
      </c>
      <c r="Y1806" s="75" t="str">
        <f>IF(X1806="En retard",p_today-R1806,IF(AND(X1806="Reçu",ISNUMBER(R1806)),MAX(0,N(U1806)-R1806),""))</f>
        <v/>
      </c>
      <c r="Z1806" s="67" t="str">
        <f>IF(AND(A1806="",E1806=""),"",IF(A1806="","N° de bon manquant",IF(N(B1806)=0,"Date de commande manquante",IF(C1806="","Fournisseur manquant",IF(ISNA(MATCH($C1806,sup_code,0)),"Fournisseur inconnu",IF(E1806="","Article manquant",IF(ISNA(MATCH($E1806,art_ref,0)),"Article inconnu",IF(N(H1806)&lt;=0,"Quantité invalide",IF(J1806="","Prix manquant",IF(OR(N(K1806)&lt;0,N(K1806)&gt;=1),"Remise invalide",IF(M1806="","TVA manquante",IF(ISNA(MATCH(M1806,p_tva,0)),"Taux de TVA inconnu",IF(COUNTIFS(po_num,A1806,po_sup,"&lt;&gt;"&amp;C1806)&gt;0,"Fournisseur différent sur ce bon",IF(COUNTIFS(po_num,A1806,po_date,"&lt;&gt;"&amp;B1806)&gt;0,"Date différente sur ce bon",IF(COUNTIF(po_num,A1806)&gt;25,"Plus de 25 lignes sur ce bon",IF(R1806="","Date de livraison manquante",IF(R1806&lt;B1806,"Livraison avant la commande",IF(AND(N(T1806)&gt;0,N(S1806)=0),"Date d'envoi manquante",IF(N(T1806)&gt;N(H1806),"Reçu plus que commandé",IF(AND(N(T1806)&gt;0,N(U1806)=0),"Date de réception manquante",IF(AND(N(U1806)&gt;0,U1806&lt;B1806),"Réception avant la commande","OK")))))))))))))))))))))</f>
        <v/>
      </c>
      <c r="AA1806" s="66" t="str">
        <f>IF(AND(X1806="Reçu",ISNUMBER(R1806)),IF(N(U1806)&lt;=R1806,1,0),"")</f>
        <v/>
      </c>
      <c r="AB1806" s="76" t="str">
        <f>IF(OR(X1806="Envoyé",X1806="Partiel",X1806="En retard"),IF(ISNUMBER(R1806),R1806,100000)+ROW()/100000,"")</f>
        <v/>
      </c>
      <c r="AC1806" s="66" t="str">
        <f>IF(A1806="","",IF(COUNTIF($A$6:A1806,A1806)=1,1,""))</f>
        <v/>
      </c>
      <c r="AD1806" s="66" t="str">
        <f>IF(AC1806=1,COUNT($AC$6:AC1806),"")</f>
        <v/>
      </c>
      <c r="AE1806" s="66" t="str">
        <f>IFERROR(INDEX(po_num,MATCH(1801,po_seq,0))&amp;"","")</f>
        <v/>
      </c>
      <c r="AF1806" s="66" t="str">
        <f>IF(OR(A1806="",p_po=""),"",IF(A1806&amp;""=p_po,COUNTIF($A$6:A1806,A1806),""))</f>
        <v/>
      </c>
      <c r="AG1806" s="66" t="str">
        <f>IF(OR(AB1806="",A1806=""),"",IF(COUNTIFS($A$6:A1806,A1806,$AB$6:AB1806,"&gt;0")=1,1,""))</f>
        <v/>
      </c>
      <c r="AH1806" s="70" t="str">
        <f>IF(AB1806="","",ROUND(N(W1806)*N(J1806)*(1-N(K1806)),2))</f>
        <v/>
      </c>
      <c r="AI1806" s="70" t="str">
        <f>IF(OR(J1806="",N(T1806)&lt;=0,V1806="Oui"),"",ROUND(N(T1806)*J1806*(1-N(K1806)),2))</f>
        <v/>
      </c>
    </row>
    <row r="1807">
      <c r="A1807" s="63" t="n"/>
      <c r="B1807" s="64" t="n"/>
      <c r="C1807" s="65" t="n"/>
      <c r="D1807" s="66" t="str">
        <f>IF(C1807="","",IFERROR(INDEX(sup_name,MATCH($C1807,sup_code,0))&amp;"","Fournisseur inconnu"))</f>
        <v/>
      </c>
      <c r="E1807" s="63" t="n"/>
      <c r="F1807" s="66" t="str">
        <f>IF(E1807="","",IFERROR(INDEX(art_des,MATCH($E1807,art_ref,0))&amp;"","Article inconnu"))</f>
        <v/>
      </c>
      <c r="G1807" s="67" t="str">
        <f>IF(E1807="","",IFERROR(INDEX(art_unit,MATCH($E1807,art_ref,0))&amp;"",""))</f>
        <v/>
      </c>
      <c r="H1807" s="68" t="n"/>
      <c r="I1807" s="69" t="n"/>
      <c r="J1807" s="70" t="str">
        <f>IF(E1807="","",IF(ISNUMBER(I1807),I1807,IFERROR(IF(ISNUMBER(INDEX(art_price,MATCH($E1807,art_ref,0))),INDEX(art_price,MATCH($E1807,art_ref,0)),""),"")))</f>
        <v/>
      </c>
      <c r="K1807" s="71" t="n"/>
      <c r="L1807" s="72" t="n"/>
      <c r="M1807" s="72" t="str">
        <f>IF(E1807="","",IF(L1807&lt;&gt;"",L1807,IFERROR(IF(ISNUMBER(INDEX(art_tva,MATCH($E1807,art_ref,0))),INDEX(art_tva,MATCH($E1807,art_ref,0)),""),"")))</f>
        <v/>
      </c>
      <c r="N1807" s="70" t="str">
        <f>IF(OR(E1807="",J1807=""),"",ROUND(N(H1807)*J1807*(1-N(K1807)),2))</f>
        <v/>
      </c>
      <c r="O1807" s="70" t="str">
        <f>IF(OR(N1807="",NOT(ISNUMBER(M1807))),"",ROUND(N1807*M1807,2))</f>
        <v/>
      </c>
      <c r="P1807" s="70" t="str">
        <f>IF(N1807="","",N1807+N(O1807))</f>
        <v/>
      </c>
      <c r="Q1807" s="64" t="n"/>
      <c r="R1807" s="73" t="str">
        <f>IF(N(Q1807)&gt;0,Q1807,IF(OR(N(B1807)=0,ISNA(MATCH($C1807,sup_code,0))),"",IF(ISNUMBER(INDEX(sup_delay,MATCH($C1807,sup_code,0))),B1807+INDEX(sup_delay,MATCH($C1807,sup_code,0)),"")))</f>
        <v/>
      </c>
      <c r="S1807" s="64" t="n"/>
      <c r="T1807" s="68" t="n"/>
      <c r="U1807" s="64" t="n"/>
      <c r="V1807" s="65" t="n"/>
      <c r="W1807" s="74" t="str">
        <f>IF(AND(A1807="",E1807=""),"",IF(V1807="Oui",0,MAX(0,ROUND(N(H1807)-N(T1807),6))))</f>
        <v/>
      </c>
      <c r="X1807" s="67" t="str">
        <f>IF(AND(A1807="",E1807=""),"",IF(V1807="Oui","Annulé",IF(AND(N(H1807)&gt;0,N(T1807)&gt;=N(H1807)),"Reçu",IF(N(S1807)=0,"Brouillon",IF(AND(ISNUMBER(R1807),R1807&lt;p_today),"En retard",IF(N(T1807)&gt;0,"Partiel","Envoyé"))))))</f>
        <v/>
      </c>
      <c r="Y1807" s="75" t="str">
        <f>IF(X1807="En retard",p_today-R1807,IF(AND(X1807="Reçu",ISNUMBER(R1807)),MAX(0,N(U1807)-R1807),""))</f>
        <v/>
      </c>
      <c r="Z1807" s="67" t="str">
        <f>IF(AND(A1807="",E1807=""),"",IF(A1807="","N° de bon manquant",IF(N(B1807)=0,"Date de commande manquante",IF(C1807="","Fournisseur manquant",IF(ISNA(MATCH($C1807,sup_code,0)),"Fournisseur inconnu",IF(E1807="","Article manquant",IF(ISNA(MATCH($E1807,art_ref,0)),"Article inconnu",IF(N(H1807)&lt;=0,"Quantité invalide",IF(J1807="","Prix manquant",IF(OR(N(K1807)&lt;0,N(K1807)&gt;=1),"Remise invalide",IF(M1807="","TVA manquante",IF(ISNA(MATCH(M1807,p_tva,0)),"Taux de TVA inconnu",IF(COUNTIFS(po_num,A1807,po_sup,"&lt;&gt;"&amp;C1807)&gt;0,"Fournisseur différent sur ce bon",IF(COUNTIFS(po_num,A1807,po_date,"&lt;&gt;"&amp;B1807)&gt;0,"Date différente sur ce bon",IF(COUNTIF(po_num,A1807)&gt;25,"Plus de 25 lignes sur ce bon",IF(R1807="","Date de livraison manquante",IF(R1807&lt;B1807,"Livraison avant la commande",IF(AND(N(T1807)&gt;0,N(S1807)=0),"Date d'envoi manquante",IF(N(T1807)&gt;N(H1807),"Reçu plus que commandé",IF(AND(N(T1807)&gt;0,N(U1807)=0),"Date de réception manquante",IF(AND(N(U1807)&gt;0,U1807&lt;B1807),"Réception avant la commande","OK")))))))))))))))))))))</f>
        <v/>
      </c>
      <c r="AA1807" s="66" t="str">
        <f>IF(AND(X1807="Reçu",ISNUMBER(R1807)),IF(N(U1807)&lt;=R1807,1,0),"")</f>
        <v/>
      </c>
      <c r="AB1807" s="76" t="str">
        <f>IF(OR(X1807="Envoyé",X1807="Partiel",X1807="En retard"),IF(ISNUMBER(R1807),R1807,100000)+ROW()/100000,"")</f>
        <v/>
      </c>
      <c r="AC1807" s="66" t="str">
        <f>IF(A1807="","",IF(COUNTIF($A$6:A1807,A1807)=1,1,""))</f>
        <v/>
      </c>
      <c r="AD1807" s="66" t="str">
        <f>IF(AC1807=1,COUNT($AC$6:AC1807),"")</f>
        <v/>
      </c>
      <c r="AE1807" s="66" t="str">
        <f>IFERROR(INDEX(po_num,MATCH(1802,po_seq,0))&amp;"","")</f>
        <v/>
      </c>
      <c r="AF1807" s="66" t="str">
        <f>IF(OR(A1807="",p_po=""),"",IF(A1807&amp;""=p_po,COUNTIF($A$6:A1807,A1807),""))</f>
        <v/>
      </c>
      <c r="AG1807" s="66" t="str">
        <f>IF(OR(AB1807="",A1807=""),"",IF(COUNTIFS($A$6:A1807,A1807,$AB$6:AB1807,"&gt;0")=1,1,""))</f>
        <v/>
      </c>
      <c r="AH1807" s="70" t="str">
        <f>IF(AB1807="","",ROUND(N(W1807)*N(J1807)*(1-N(K1807)),2))</f>
        <v/>
      </c>
      <c r="AI1807" s="70" t="str">
        <f>IF(OR(J1807="",N(T1807)&lt;=0,V1807="Oui"),"",ROUND(N(T1807)*J1807*(1-N(K1807)),2))</f>
        <v/>
      </c>
    </row>
    <row r="1808">
      <c r="A1808" s="63" t="n"/>
      <c r="B1808" s="64" t="n"/>
      <c r="C1808" s="65" t="n"/>
      <c r="D1808" s="66" t="str">
        <f>IF(C1808="","",IFERROR(INDEX(sup_name,MATCH($C1808,sup_code,0))&amp;"","Fournisseur inconnu"))</f>
        <v/>
      </c>
      <c r="E1808" s="63" t="n"/>
      <c r="F1808" s="66" t="str">
        <f>IF(E1808="","",IFERROR(INDEX(art_des,MATCH($E1808,art_ref,0))&amp;"","Article inconnu"))</f>
        <v/>
      </c>
      <c r="G1808" s="67" t="str">
        <f>IF(E1808="","",IFERROR(INDEX(art_unit,MATCH($E1808,art_ref,0))&amp;"",""))</f>
        <v/>
      </c>
      <c r="H1808" s="68" t="n"/>
      <c r="I1808" s="69" t="n"/>
      <c r="J1808" s="70" t="str">
        <f>IF(E1808="","",IF(ISNUMBER(I1808),I1808,IFERROR(IF(ISNUMBER(INDEX(art_price,MATCH($E1808,art_ref,0))),INDEX(art_price,MATCH($E1808,art_ref,0)),""),"")))</f>
        <v/>
      </c>
      <c r="K1808" s="71" t="n"/>
      <c r="L1808" s="72" t="n"/>
      <c r="M1808" s="72" t="str">
        <f>IF(E1808="","",IF(L1808&lt;&gt;"",L1808,IFERROR(IF(ISNUMBER(INDEX(art_tva,MATCH($E1808,art_ref,0))),INDEX(art_tva,MATCH($E1808,art_ref,0)),""),"")))</f>
        <v/>
      </c>
      <c r="N1808" s="70" t="str">
        <f>IF(OR(E1808="",J1808=""),"",ROUND(N(H1808)*J1808*(1-N(K1808)),2))</f>
        <v/>
      </c>
      <c r="O1808" s="70" t="str">
        <f>IF(OR(N1808="",NOT(ISNUMBER(M1808))),"",ROUND(N1808*M1808,2))</f>
        <v/>
      </c>
      <c r="P1808" s="70" t="str">
        <f>IF(N1808="","",N1808+N(O1808))</f>
        <v/>
      </c>
      <c r="Q1808" s="64" t="n"/>
      <c r="R1808" s="73" t="str">
        <f>IF(N(Q1808)&gt;0,Q1808,IF(OR(N(B1808)=0,ISNA(MATCH($C1808,sup_code,0))),"",IF(ISNUMBER(INDEX(sup_delay,MATCH($C1808,sup_code,0))),B1808+INDEX(sup_delay,MATCH($C1808,sup_code,0)),"")))</f>
        <v/>
      </c>
      <c r="S1808" s="64" t="n"/>
      <c r="T1808" s="68" t="n"/>
      <c r="U1808" s="64" t="n"/>
      <c r="V1808" s="65" t="n"/>
      <c r="W1808" s="74" t="str">
        <f>IF(AND(A1808="",E1808=""),"",IF(V1808="Oui",0,MAX(0,ROUND(N(H1808)-N(T1808),6))))</f>
        <v/>
      </c>
      <c r="X1808" s="67" t="str">
        <f>IF(AND(A1808="",E1808=""),"",IF(V1808="Oui","Annulé",IF(AND(N(H1808)&gt;0,N(T1808)&gt;=N(H1808)),"Reçu",IF(N(S1808)=0,"Brouillon",IF(AND(ISNUMBER(R1808),R1808&lt;p_today),"En retard",IF(N(T1808)&gt;0,"Partiel","Envoyé"))))))</f>
        <v/>
      </c>
      <c r="Y1808" s="75" t="str">
        <f>IF(X1808="En retard",p_today-R1808,IF(AND(X1808="Reçu",ISNUMBER(R1808)),MAX(0,N(U1808)-R1808),""))</f>
        <v/>
      </c>
      <c r="Z1808" s="67" t="str">
        <f>IF(AND(A1808="",E1808=""),"",IF(A1808="","N° de bon manquant",IF(N(B1808)=0,"Date de commande manquante",IF(C1808="","Fournisseur manquant",IF(ISNA(MATCH($C1808,sup_code,0)),"Fournisseur inconnu",IF(E1808="","Article manquant",IF(ISNA(MATCH($E1808,art_ref,0)),"Article inconnu",IF(N(H1808)&lt;=0,"Quantité invalide",IF(J1808="","Prix manquant",IF(OR(N(K1808)&lt;0,N(K1808)&gt;=1),"Remise invalide",IF(M1808="","TVA manquante",IF(ISNA(MATCH(M1808,p_tva,0)),"Taux de TVA inconnu",IF(COUNTIFS(po_num,A1808,po_sup,"&lt;&gt;"&amp;C1808)&gt;0,"Fournisseur différent sur ce bon",IF(COUNTIFS(po_num,A1808,po_date,"&lt;&gt;"&amp;B1808)&gt;0,"Date différente sur ce bon",IF(COUNTIF(po_num,A1808)&gt;25,"Plus de 25 lignes sur ce bon",IF(R1808="","Date de livraison manquante",IF(R1808&lt;B1808,"Livraison avant la commande",IF(AND(N(T1808)&gt;0,N(S1808)=0),"Date d'envoi manquante",IF(N(T1808)&gt;N(H1808),"Reçu plus que commandé",IF(AND(N(T1808)&gt;0,N(U1808)=0),"Date de réception manquante",IF(AND(N(U1808)&gt;0,U1808&lt;B1808),"Réception avant la commande","OK")))))))))))))))))))))</f>
        <v/>
      </c>
      <c r="AA1808" s="66" t="str">
        <f>IF(AND(X1808="Reçu",ISNUMBER(R1808)),IF(N(U1808)&lt;=R1808,1,0),"")</f>
        <v/>
      </c>
      <c r="AB1808" s="76" t="str">
        <f>IF(OR(X1808="Envoyé",X1808="Partiel",X1808="En retard"),IF(ISNUMBER(R1808),R1808,100000)+ROW()/100000,"")</f>
        <v/>
      </c>
      <c r="AC1808" s="66" t="str">
        <f>IF(A1808="","",IF(COUNTIF($A$6:A1808,A1808)=1,1,""))</f>
        <v/>
      </c>
      <c r="AD1808" s="66" t="str">
        <f>IF(AC1808=1,COUNT($AC$6:AC1808),"")</f>
        <v/>
      </c>
      <c r="AE1808" s="66" t="str">
        <f>IFERROR(INDEX(po_num,MATCH(1803,po_seq,0))&amp;"","")</f>
        <v/>
      </c>
      <c r="AF1808" s="66" t="str">
        <f>IF(OR(A1808="",p_po=""),"",IF(A1808&amp;""=p_po,COUNTIF($A$6:A1808,A1808),""))</f>
        <v/>
      </c>
      <c r="AG1808" s="66" t="str">
        <f>IF(OR(AB1808="",A1808=""),"",IF(COUNTIFS($A$6:A1808,A1808,$AB$6:AB1808,"&gt;0")=1,1,""))</f>
        <v/>
      </c>
      <c r="AH1808" s="70" t="str">
        <f>IF(AB1808="","",ROUND(N(W1808)*N(J1808)*(1-N(K1808)),2))</f>
        <v/>
      </c>
      <c r="AI1808" s="70" t="str">
        <f>IF(OR(J1808="",N(T1808)&lt;=0,V1808="Oui"),"",ROUND(N(T1808)*J1808*(1-N(K1808)),2))</f>
        <v/>
      </c>
    </row>
    <row r="1809">
      <c r="A1809" s="63" t="n"/>
      <c r="B1809" s="64" t="n"/>
      <c r="C1809" s="65" t="n"/>
      <c r="D1809" s="66" t="str">
        <f>IF(C1809="","",IFERROR(INDEX(sup_name,MATCH($C1809,sup_code,0))&amp;"","Fournisseur inconnu"))</f>
        <v/>
      </c>
      <c r="E1809" s="63" t="n"/>
      <c r="F1809" s="66" t="str">
        <f>IF(E1809="","",IFERROR(INDEX(art_des,MATCH($E1809,art_ref,0))&amp;"","Article inconnu"))</f>
        <v/>
      </c>
      <c r="G1809" s="67" t="str">
        <f>IF(E1809="","",IFERROR(INDEX(art_unit,MATCH($E1809,art_ref,0))&amp;"",""))</f>
        <v/>
      </c>
      <c r="H1809" s="68" t="n"/>
      <c r="I1809" s="69" t="n"/>
      <c r="J1809" s="70" t="str">
        <f>IF(E1809="","",IF(ISNUMBER(I1809),I1809,IFERROR(IF(ISNUMBER(INDEX(art_price,MATCH($E1809,art_ref,0))),INDEX(art_price,MATCH($E1809,art_ref,0)),""),"")))</f>
        <v/>
      </c>
      <c r="K1809" s="71" t="n"/>
      <c r="L1809" s="72" t="n"/>
      <c r="M1809" s="72" t="str">
        <f>IF(E1809="","",IF(L1809&lt;&gt;"",L1809,IFERROR(IF(ISNUMBER(INDEX(art_tva,MATCH($E1809,art_ref,0))),INDEX(art_tva,MATCH($E1809,art_ref,0)),""),"")))</f>
        <v/>
      </c>
      <c r="N1809" s="70" t="str">
        <f>IF(OR(E1809="",J1809=""),"",ROUND(N(H1809)*J1809*(1-N(K1809)),2))</f>
        <v/>
      </c>
      <c r="O1809" s="70" t="str">
        <f>IF(OR(N1809="",NOT(ISNUMBER(M1809))),"",ROUND(N1809*M1809,2))</f>
        <v/>
      </c>
      <c r="P1809" s="70" t="str">
        <f>IF(N1809="","",N1809+N(O1809))</f>
        <v/>
      </c>
      <c r="Q1809" s="64" t="n"/>
      <c r="R1809" s="73" t="str">
        <f>IF(N(Q1809)&gt;0,Q1809,IF(OR(N(B1809)=0,ISNA(MATCH($C1809,sup_code,0))),"",IF(ISNUMBER(INDEX(sup_delay,MATCH($C1809,sup_code,0))),B1809+INDEX(sup_delay,MATCH($C1809,sup_code,0)),"")))</f>
        <v/>
      </c>
      <c r="S1809" s="64" t="n"/>
      <c r="T1809" s="68" t="n"/>
      <c r="U1809" s="64" t="n"/>
      <c r="V1809" s="65" t="n"/>
      <c r="W1809" s="74" t="str">
        <f>IF(AND(A1809="",E1809=""),"",IF(V1809="Oui",0,MAX(0,ROUND(N(H1809)-N(T1809),6))))</f>
        <v/>
      </c>
      <c r="X1809" s="67" t="str">
        <f>IF(AND(A1809="",E1809=""),"",IF(V1809="Oui","Annulé",IF(AND(N(H1809)&gt;0,N(T1809)&gt;=N(H1809)),"Reçu",IF(N(S1809)=0,"Brouillon",IF(AND(ISNUMBER(R1809),R1809&lt;p_today),"En retard",IF(N(T1809)&gt;0,"Partiel","Envoyé"))))))</f>
        <v/>
      </c>
      <c r="Y1809" s="75" t="str">
        <f>IF(X1809="En retard",p_today-R1809,IF(AND(X1809="Reçu",ISNUMBER(R1809)),MAX(0,N(U1809)-R1809),""))</f>
        <v/>
      </c>
      <c r="Z1809" s="67" t="str">
        <f>IF(AND(A1809="",E1809=""),"",IF(A1809="","N° de bon manquant",IF(N(B1809)=0,"Date de commande manquante",IF(C1809="","Fournisseur manquant",IF(ISNA(MATCH($C1809,sup_code,0)),"Fournisseur inconnu",IF(E1809="","Article manquant",IF(ISNA(MATCH($E1809,art_ref,0)),"Article inconnu",IF(N(H1809)&lt;=0,"Quantité invalide",IF(J1809="","Prix manquant",IF(OR(N(K1809)&lt;0,N(K1809)&gt;=1),"Remise invalide",IF(M1809="","TVA manquante",IF(ISNA(MATCH(M1809,p_tva,0)),"Taux de TVA inconnu",IF(COUNTIFS(po_num,A1809,po_sup,"&lt;&gt;"&amp;C1809)&gt;0,"Fournisseur différent sur ce bon",IF(COUNTIFS(po_num,A1809,po_date,"&lt;&gt;"&amp;B1809)&gt;0,"Date différente sur ce bon",IF(COUNTIF(po_num,A1809)&gt;25,"Plus de 25 lignes sur ce bon",IF(R1809="","Date de livraison manquante",IF(R1809&lt;B1809,"Livraison avant la commande",IF(AND(N(T1809)&gt;0,N(S1809)=0),"Date d'envoi manquante",IF(N(T1809)&gt;N(H1809),"Reçu plus que commandé",IF(AND(N(T1809)&gt;0,N(U1809)=0),"Date de réception manquante",IF(AND(N(U1809)&gt;0,U1809&lt;B1809),"Réception avant la commande","OK")))))))))))))))))))))</f>
        <v/>
      </c>
      <c r="AA1809" s="66" t="str">
        <f>IF(AND(X1809="Reçu",ISNUMBER(R1809)),IF(N(U1809)&lt;=R1809,1,0),"")</f>
        <v/>
      </c>
      <c r="AB1809" s="76" t="str">
        <f>IF(OR(X1809="Envoyé",X1809="Partiel",X1809="En retard"),IF(ISNUMBER(R1809),R1809,100000)+ROW()/100000,"")</f>
        <v/>
      </c>
      <c r="AC1809" s="66" t="str">
        <f>IF(A1809="","",IF(COUNTIF($A$6:A1809,A1809)=1,1,""))</f>
        <v/>
      </c>
      <c r="AD1809" s="66" t="str">
        <f>IF(AC1809=1,COUNT($AC$6:AC1809),"")</f>
        <v/>
      </c>
      <c r="AE1809" s="66" t="str">
        <f>IFERROR(INDEX(po_num,MATCH(1804,po_seq,0))&amp;"","")</f>
        <v/>
      </c>
      <c r="AF1809" s="66" t="str">
        <f>IF(OR(A1809="",p_po=""),"",IF(A1809&amp;""=p_po,COUNTIF($A$6:A1809,A1809),""))</f>
        <v/>
      </c>
      <c r="AG1809" s="66" t="str">
        <f>IF(OR(AB1809="",A1809=""),"",IF(COUNTIFS($A$6:A1809,A1809,$AB$6:AB1809,"&gt;0")=1,1,""))</f>
        <v/>
      </c>
      <c r="AH1809" s="70" t="str">
        <f>IF(AB1809="","",ROUND(N(W1809)*N(J1809)*(1-N(K1809)),2))</f>
        <v/>
      </c>
      <c r="AI1809" s="70" t="str">
        <f>IF(OR(J1809="",N(T1809)&lt;=0,V1809="Oui"),"",ROUND(N(T1809)*J1809*(1-N(K1809)),2))</f>
        <v/>
      </c>
    </row>
    <row r="1810">
      <c r="A1810" s="63" t="n"/>
      <c r="B1810" s="64" t="n"/>
      <c r="C1810" s="65" t="n"/>
      <c r="D1810" s="66" t="str">
        <f>IF(C1810="","",IFERROR(INDEX(sup_name,MATCH($C1810,sup_code,0))&amp;"","Fournisseur inconnu"))</f>
        <v/>
      </c>
      <c r="E1810" s="63" t="n"/>
      <c r="F1810" s="66" t="str">
        <f>IF(E1810="","",IFERROR(INDEX(art_des,MATCH($E1810,art_ref,0))&amp;"","Article inconnu"))</f>
        <v/>
      </c>
      <c r="G1810" s="67" t="str">
        <f>IF(E1810="","",IFERROR(INDEX(art_unit,MATCH($E1810,art_ref,0))&amp;"",""))</f>
        <v/>
      </c>
      <c r="H1810" s="68" t="n"/>
      <c r="I1810" s="69" t="n"/>
      <c r="J1810" s="70" t="str">
        <f>IF(E1810="","",IF(ISNUMBER(I1810),I1810,IFERROR(IF(ISNUMBER(INDEX(art_price,MATCH($E1810,art_ref,0))),INDEX(art_price,MATCH($E1810,art_ref,0)),""),"")))</f>
        <v/>
      </c>
      <c r="K1810" s="71" t="n"/>
      <c r="L1810" s="72" t="n"/>
      <c r="M1810" s="72" t="str">
        <f>IF(E1810="","",IF(L1810&lt;&gt;"",L1810,IFERROR(IF(ISNUMBER(INDEX(art_tva,MATCH($E1810,art_ref,0))),INDEX(art_tva,MATCH($E1810,art_ref,0)),""),"")))</f>
        <v/>
      </c>
      <c r="N1810" s="70" t="str">
        <f>IF(OR(E1810="",J1810=""),"",ROUND(N(H1810)*J1810*(1-N(K1810)),2))</f>
        <v/>
      </c>
      <c r="O1810" s="70" t="str">
        <f>IF(OR(N1810="",NOT(ISNUMBER(M1810))),"",ROUND(N1810*M1810,2))</f>
        <v/>
      </c>
      <c r="P1810" s="70" t="str">
        <f>IF(N1810="","",N1810+N(O1810))</f>
        <v/>
      </c>
      <c r="Q1810" s="64" t="n"/>
      <c r="R1810" s="73" t="str">
        <f>IF(N(Q1810)&gt;0,Q1810,IF(OR(N(B1810)=0,ISNA(MATCH($C1810,sup_code,0))),"",IF(ISNUMBER(INDEX(sup_delay,MATCH($C1810,sup_code,0))),B1810+INDEX(sup_delay,MATCH($C1810,sup_code,0)),"")))</f>
        <v/>
      </c>
      <c r="S1810" s="64" t="n"/>
      <c r="T1810" s="68" t="n"/>
      <c r="U1810" s="64" t="n"/>
      <c r="V1810" s="65" t="n"/>
      <c r="W1810" s="74" t="str">
        <f>IF(AND(A1810="",E1810=""),"",IF(V1810="Oui",0,MAX(0,ROUND(N(H1810)-N(T1810),6))))</f>
        <v/>
      </c>
      <c r="X1810" s="67" t="str">
        <f>IF(AND(A1810="",E1810=""),"",IF(V1810="Oui","Annulé",IF(AND(N(H1810)&gt;0,N(T1810)&gt;=N(H1810)),"Reçu",IF(N(S1810)=0,"Brouillon",IF(AND(ISNUMBER(R1810),R1810&lt;p_today),"En retard",IF(N(T1810)&gt;0,"Partiel","Envoyé"))))))</f>
        <v/>
      </c>
      <c r="Y1810" s="75" t="str">
        <f>IF(X1810="En retard",p_today-R1810,IF(AND(X1810="Reçu",ISNUMBER(R1810)),MAX(0,N(U1810)-R1810),""))</f>
        <v/>
      </c>
      <c r="Z1810" s="67" t="str">
        <f>IF(AND(A1810="",E1810=""),"",IF(A1810="","N° de bon manquant",IF(N(B1810)=0,"Date de commande manquante",IF(C1810="","Fournisseur manquant",IF(ISNA(MATCH($C1810,sup_code,0)),"Fournisseur inconnu",IF(E1810="","Article manquant",IF(ISNA(MATCH($E1810,art_ref,0)),"Article inconnu",IF(N(H1810)&lt;=0,"Quantité invalide",IF(J1810="","Prix manquant",IF(OR(N(K1810)&lt;0,N(K1810)&gt;=1),"Remise invalide",IF(M1810="","TVA manquante",IF(ISNA(MATCH(M1810,p_tva,0)),"Taux de TVA inconnu",IF(COUNTIFS(po_num,A1810,po_sup,"&lt;&gt;"&amp;C1810)&gt;0,"Fournisseur différent sur ce bon",IF(COUNTIFS(po_num,A1810,po_date,"&lt;&gt;"&amp;B1810)&gt;0,"Date différente sur ce bon",IF(COUNTIF(po_num,A1810)&gt;25,"Plus de 25 lignes sur ce bon",IF(R1810="","Date de livraison manquante",IF(R1810&lt;B1810,"Livraison avant la commande",IF(AND(N(T1810)&gt;0,N(S1810)=0),"Date d'envoi manquante",IF(N(T1810)&gt;N(H1810),"Reçu plus que commandé",IF(AND(N(T1810)&gt;0,N(U1810)=0),"Date de réception manquante",IF(AND(N(U1810)&gt;0,U1810&lt;B1810),"Réception avant la commande","OK")))))))))))))))))))))</f>
        <v/>
      </c>
      <c r="AA1810" s="66" t="str">
        <f>IF(AND(X1810="Reçu",ISNUMBER(R1810)),IF(N(U1810)&lt;=R1810,1,0),"")</f>
        <v/>
      </c>
      <c r="AB1810" s="76" t="str">
        <f>IF(OR(X1810="Envoyé",X1810="Partiel",X1810="En retard"),IF(ISNUMBER(R1810),R1810,100000)+ROW()/100000,"")</f>
        <v/>
      </c>
      <c r="AC1810" s="66" t="str">
        <f>IF(A1810="","",IF(COUNTIF($A$6:A1810,A1810)=1,1,""))</f>
        <v/>
      </c>
      <c r="AD1810" s="66" t="str">
        <f>IF(AC1810=1,COUNT($AC$6:AC1810),"")</f>
        <v/>
      </c>
      <c r="AE1810" s="66" t="str">
        <f>IFERROR(INDEX(po_num,MATCH(1805,po_seq,0))&amp;"","")</f>
        <v/>
      </c>
      <c r="AF1810" s="66" t="str">
        <f>IF(OR(A1810="",p_po=""),"",IF(A1810&amp;""=p_po,COUNTIF($A$6:A1810,A1810),""))</f>
        <v/>
      </c>
      <c r="AG1810" s="66" t="str">
        <f>IF(OR(AB1810="",A1810=""),"",IF(COUNTIFS($A$6:A1810,A1810,$AB$6:AB1810,"&gt;0")=1,1,""))</f>
        <v/>
      </c>
      <c r="AH1810" s="70" t="str">
        <f>IF(AB1810="","",ROUND(N(W1810)*N(J1810)*(1-N(K1810)),2))</f>
        <v/>
      </c>
      <c r="AI1810" s="70" t="str">
        <f>IF(OR(J1810="",N(T1810)&lt;=0,V1810="Oui"),"",ROUND(N(T1810)*J1810*(1-N(K1810)),2))</f>
        <v/>
      </c>
    </row>
    <row r="1811">
      <c r="A1811" s="63" t="n"/>
      <c r="B1811" s="64" t="n"/>
      <c r="C1811" s="65" t="n"/>
      <c r="D1811" s="66" t="str">
        <f>IF(C1811="","",IFERROR(INDEX(sup_name,MATCH($C1811,sup_code,0))&amp;"","Fournisseur inconnu"))</f>
        <v/>
      </c>
      <c r="E1811" s="63" t="n"/>
      <c r="F1811" s="66" t="str">
        <f>IF(E1811="","",IFERROR(INDEX(art_des,MATCH($E1811,art_ref,0))&amp;"","Article inconnu"))</f>
        <v/>
      </c>
      <c r="G1811" s="67" t="str">
        <f>IF(E1811="","",IFERROR(INDEX(art_unit,MATCH($E1811,art_ref,0))&amp;"",""))</f>
        <v/>
      </c>
      <c r="H1811" s="68" t="n"/>
      <c r="I1811" s="69" t="n"/>
      <c r="J1811" s="70" t="str">
        <f>IF(E1811="","",IF(ISNUMBER(I1811),I1811,IFERROR(IF(ISNUMBER(INDEX(art_price,MATCH($E1811,art_ref,0))),INDEX(art_price,MATCH($E1811,art_ref,0)),""),"")))</f>
        <v/>
      </c>
      <c r="K1811" s="71" t="n"/>
      <c r="L1811" s="72" t="n"/>
      <c r="M1811" s="72" t="str">
        <f>IF(E1811="","",IF(L1811&lt;&gt;"",L1811,IFERROR(IF(ISNUMBER(INDEX(art_tva,MATCH($E1811,art_ref,0))),INDEX(art_tva,MATCH($E1811,art_ref,0)),""),"")))</f>
        <v/>
      </c>
      <c r="N1811" s="70" t="str">
        <f>IF(OR(E1811="",J1811=""),"",ROUND(N(H1811)*J1811*(1-N(K1811)),2))</f>
        <v/>
      </c>
      <c r="O1811" s="70" t="str">
        <f>IF(OR(N1811="",NOT(ISNUMBER(M1811))),"",ROUND(N1811*M1811,2))</f>
        <v/>
      </c>
      <c r="P1811" s="70" t="str">
        <f>IF(N1811="","",N1811+N(O1811))</f>
        <v/>
      </c>
      <c r="Q1811" s="64" t="n"/>
      <c r="R1811" s="73" t="str">
        <f>IF(N(Q1811)&gt;0,Q1811,IF(OR(N(B1811)=0,ISNA(MATCH($C1811,sup_code,0))),"",IF(ISNUMBER(INDEX(sup_delay,MATCH($C1811,sup_code,0))),B1811+INDEX(sup_delay,MATCH($C1811,sup_code,0)),"")))</f>
        <v/>
      </c>
      <c r="S1811" s="64" t="n"/>
      <c r="T1811" s="68" t="n"/>
      <c r="U1811" s="64" t="n"/>
      <c r="V1811" s="65" t="n"/>
      <c r="W1811" s="74" t="str">
        <f>IF(AND(A1811="",E1811=""),"",IF(V1811="Oui",0,MAX(0,ROUND(N(H1811)-N(T1811),6))))</f>
        <v/>
      </c>
      <c r="X1811" s="67" t="str">
        <f>IF(AND(A1811="",E1811=""),"",IF(V1811="Oui","Annulé",IF(AND(N(H1811)&gt;0,N(T1811)&gt;=N(H1811)),"Reçu",IF(N(S1811)=0,"Brouillon",IF(AND(ISNUMBER(R1811),R1811&lt;p_today),"En retard",IF(N(T1811)&gt;0,"Partiel","Envoyé"))))))</f>
        <v/>
      </c>
      <c r="Y1811" s="75" t="str">
        <f>IF(X1811="En retard",p_today-R1811,IF(AND(X1811="Reçu",ISNUMBER(R1811)),MAX(0,N(U1811)-R1811),""))</f>
        <v/>
      </c>
      <c r="Z1811" s="67" t="str">
        <f>IF(AND(A1811="",E1811=""),"",IF(A1811="","N° de bon manquant",IF(N(B1811)=0,"Date de commande manquante",IF(C1811="","Fournisseur manquant",IF(ISNA(MATCH($C1811,sup_code,0)),"Fournisseur inconnu",IF(E1811="","Article manquant",IF(ISNA(MATCH($E1811,art_ref,0)),"Article inconnu",IF(N(H1811)&lt;=0,"Quantité invalide",IF(J1811="","Prix manquant",IF(OR(N(K1811)&lt;0,N(K1811)&gt;=1),"Remise invalide",IF(M1811="","TVA manquante",IF(ISNA(MATCH(M1811,p_tva,0)),"Taux de TVA inconnu",IF(COUNTIFS(po_num,A1811,po_sup,"&lt;&gt;"&amp;C1811)&gt;0,"Fournisseur différent sur ce bon",IF(COUNTIFS(po_num,A1811,po_date,"&lt;&gt;"&amp;B1811)&gt;0,"Date différente sur ce bon",IF(COUNTIF(po_num,A1811)&gt;25,"Plus de 25 lignes sur ce bon",IF(R1811="","Date de livraison manquante",IF(R1811&lt;B1811,"Livraison avant la commande",IF(AND(N(T1811)&gt;0,N(S1811)=0),"Date d'envoi manquante",IF(N(T1811)&gt;N(H1811),"Reçu plus que commandé",IF(AND(N(T1811)&gt;0,N(U1811)=0),"Date de réception manquante",IF(AND(N(U1811)&gt;0,U1811&lt;B1811),"Réception avant la commande","OK")))))))))))))))))))))</f>
        <v/>
      </c>
      <c r="AA1811" s="66" t="str">
        <f>IF(AND(X1811="Reçu",ISNUMBER(R1811)),IF(N(U1811)&lt;=R1811,1,0),"")</f>
        <v/>
      </c>
      <c r="AB1811" s="76" t="str">
        <f>IF(OR(X1811="Envoyé",X1811="Partiel",X1811="En retard"),IF(ISNUMBER(R1811),R1811,100000)+ROW()/100000,"")</f>
        <v/>
      </c>
      <c r="AC1811" s="66" t="str">
        <f>IF(A1811="","",IF(COUNTIF($A$6:A1811,A1811)=1,1,""))</f>
        <v/>
      </c>
      <c r="AD1811" s="66" t="str">
        <f>IF(AC1811=1,COUNT($AC$6:AC1811),"")</f>
        <v/>
      </c>
      <c r="AE1811" s="66" t="str">
        <f>IFERROR(INDEX(po_num,MATCH(1806,po_seq,0))&amp;"","")</f>
        <v/>
      </c>
      <c r="AF1811" s="66" t="str">
        <f>IF(OR(A1811="",p_po=""),"",IF(A1811&amp;""=p_po,COUNTIF($A$6:A1811,A1811),""))</f>
        <v/>
      </c>
      <c r="AG1811" s="66" t="str">
        <f>IF(OR(AB1811="",A1811=""),"",IF(COUNTIFS($A$6:A1811,A1811,$AB$6:AB1811,"&gt;0")=1,1,""))</f>
        <v/>
      </c>
      <c r="AH1811" s="70" t="str">
        <f>IF(AB1811="","",ROUND(N(W1811)*N(J1811)*(1-N(K1811)),2))</f>
        <v/>
      </c>
      <c r="AI1811" s="70" t="str">
        <f>IF(OR(J1811="",N(T1811)&lt;=0,V1811="Oui"),"",ROUND(N(T1811)*J1811*(1-N(K1811)),2))</f>
        <v/>
      </c>
    </row>
    <row r="1812">
      <c r="A1812" s="63" t="n"/>
      <c r="B1812" s="64" t="n"/>
      <c r="C1812" s="65" t="n"/>
      <c r="D1812" s="66" t="str">
        <f>IF(C1812="","",IFERROR(INDEX(sup_name,MATCH($C1812,sup_code,0))&amp;"","Fournisseur inconnu"))</f>
        <v/>
      </c>
      <c r="E1812" s="63" t="n"/>
      <c r="F1812" s="66" t="str">
        <f>IF(E1812="","",IFERROR(INDEX(art_des,MATCH($E1812,art_ref,0))&amp;"","Article inconnu"))</f>
        <v/>
      </c>
      <c r="G1812" s="67" t="str">
        <f>IF(E1812="","",IFERROR(INDEX(art_unit,MATCH($E1812,art_ref,0))&amp;"",""))</f>
        <v/>
      </c>
      <c r="H1812" s="68" t="n"/>
      <c r="I1812" s="69" t="n"/>
      <c r="J1812" s="70" t="str">
        <f>IF(E1812="","",IF(ISNUMBER(I1812),I1812,IFERROR(IF(ISNUMBER(INDEX(art_price,MATCH($E1812,art_ref,0))),INDEX(art_price,MATCH($E1812,art_ref,0)),""),"")))</f>
        <v/>
      </c>
      <c r="K1812" s="71" t="n"/>
      <c r="L1812" s="72" t="n"/>
      <c r="M1812" s="72" t="str">
        <f>IF(E1812="","",IF(L1812&lt;&gt;"",L1812,IFERROR(IF(ISNUMBER(INDEX(art_tva,MATCH($E1812,art_ref,0))),INDEX(art_tva,MATCH($E1812,art_ref,0)),""),"")))</f>
        <v/>
      </c>
      <c r="N1812" s="70" t="str">
        <f>IF(OR(E1812="",J1812=""),"",ROUND(N(H1812)*J1812*(1-N(K1812)),2))</f>
        <v/>
      </c>
      <c r="O1812" s="70" t="str">
        <f>IF(OR(N1812="",NOT(ISNUMBER(M1812))),"",ROUND(N1812*M1812,2))</f>
        <v/>
      </c>
      <c r="P1812" s="70" t="str">
        <f>IF(N1812="","",N1812+N(O1812))</f>
        <v/>
      </c>
      <c r="Q1812" s="64" t="n"/>
      <c r="R1812" s="73" t="str">
        <f>IF(N(Q1812)&gt;0,Q1812,IF(OR(N(B1812)=0,ISNA(MATCH($C1812,sup_code,0))),"",IF(ISNUMBER(INDEX(sup_delay,MATCH($C1812,sup_code,0))),B1812+INDEX(sup_delay,MATCH($C1812,sup_code,0)),"")))</f>
        <v/>
      </c>
      <c r="S1812" s="64" t="n"/>
      <c r="T1812" s="68" t="n"/>
      <c r="U1812" s="64" t="n"/>
      <c r="V1812" s="65" t="n"/>
      <c r="W1812" s="74" t="str">
        <f>IF(AND(A1812="",E1812=""),"",IF(V1812="Oui",0,MAX(0,ROUND(N(H1812)-N(T1812),6))))</f>
        <v/>
      </c>
      <c r="X1812" s="67" t="str">
        <f>IF(AND(A1812="",E1812=""),"",IF(V1812="Oui","Annulé",IF(AND(N(H1812)&gt;0,N(T1812)&gt;=N(H1812)),"Reçu",IF(N(S1812)=0,"Brouillon",IF(AND(ISNUMBER(R1812),R1812&lt;p_today),"En retard",IF(N(T1812)&gt;0,"Partiel","Envoyé"))))))</f>
        <v/>
      </c>
      <c r="Y1812" s="75" t="str">
        <f>IF(X1812="En retard",p_today-R1812,IF(AND(X1812="Reçu",ISNUMBER(R1812)),MAX(0,N(U1812)-R1812),""))</f>
        <v/>
      </c>
      <c r="Z1812" s="67" t="str">
        <f>IF(AND(A1812="",E1812=""),"",IF(A1812="","N° de bon manquant",IF(N(B1812)=0,"Date de commande manquante",IF(C1812="","Fournisseur manquant",IF(ISNA(MATCH($C1812,sup_code,0)),"Fournisseur inconnu",IF(E1812="","Article manquant",IF(ISNA(MATCH($E1812,art_ref,0)),"Article inconnu",IF(N(H1812)&lt;=0,"Quantité invalide",IF(J1812="","Prix manquant",IF(OR(N(K1812)&lt;0,N(K1812)&gt;=1),"Remise invalide",IF(M1812="","TVA manquante",IF(ISNA(MATCH(M1812,p_tva,0)),"Taux de TVA inconnu",IF(COUNTIFS(po_num,A1812,po_sup,"&lt;&gt;"&amp;C1812)&gt;0,"Fournisseur différent sur ce bon",IF(COUNTIFS(po_num,A1812,po_date,"&lt;&gt;"&amp;B1812)&gt;0,"Date différente sur ce bon",IF(COUNTIF(po_num,A1812)&gt;25,"Plus de 25 lignes sur ce bon",IF(R1812="","Date de livraison manquante",IF(R1812&lt;B1812,"Livraison avant la commande",IF(AND(N(T1812)&gt;0,N(S1812)=0),"Date d'envoi manquante",IF(N(T1812)&gt;N(H1812),"Reçu plus que commandé",IF(AND(N(T1812)&gt;0,N(U1812)=0),"Date de réception manquante",IF(AND(N(U1812)&gt;0,U1812&lt;B1812),"Réception avant la commande","OK")))))))))))))))))))))</f>
        <v/>
      </c>
      <c r="AA1812" s="66" t="str">
        <f>IF(AND(X1812="Reçu",ISNUMBER(R1812)),IF(N(U1812)&lt;=R1812,1,0),"")</f>
        <v/>
      </c>
      <c r="AB1812" s="76" t="str">
        <f>IF(OR(X1812="Envoyé",X1812="Partiel",X1812="En retard"),IF(ISNUMBER(R1812),R1812,100000)+ROW()/100000,"")</f>
        <v/>
      </c>
      <c r="AC1812" s="66" t="str">
        <f>IF(A1812="","",IF(COUNTIF($A$6:A1812,A1812)=1,1,""))</f>
        <v/>
      </c>
      <c r="AD1812" s="66" t="str">
        <f>IF(AC1812=1,COUNT($AC$6:AC1812),"")</f>
        <v/>
      </c>
      <c r="AE1812" s="66" t="str">
        <f>IFERROR(INDEX(po_num,MATCH(1807,po_seq,0))&amp;"","")</f>
        <v/>
      </c>
      <c r="AF1812" s="66" t="str">
        <f>IF(OR(A1812="",p_po=""),"",IF(A1812&amp;""=p_po,COUNTIF($A$6:A1812,A1812),""))</f>
        <v/>
      </c>
      <c r="AG1812" s="66" t="str">
        <f>IF(OR(AB1812="",A1812=""),"",IF(COUNTIFS($A$6:A1812,A1812,$AB$6:AB1812,"&gt;0")=1,1,""))</f>
        <v/>
      </c>
      <c r="AH1812" s="70" t="str">
        <f>IF(AB1812="","",ROUND(N(W1812)*N(J1812)*(1-N(K1812)),2))</f>
        <v/>
      </c>
      <c r="AI1812" s="70" t="str">
        <f>IF(OR(J1812="",N(T1812)&lt;=0,V1812="Oui"),"",ROUND(N(T1812)*J1812*(1-N(K1812)),2))</f>
        <v/>
      </c>
    </row>
    <row r="1813">
      <c r="A1813" s="63" t="n"/>
      <c r="B1813" s="64" t="n"/>
      <c r="C1813" s="65" t="n"/>
      <c r="D1813" s="66" t="str">
        <f>IF(C1813="","",IFERROR(INDEX(sup_name,MATCH($C1813,sup_code,0))&amp;"","Fournisseur inconnu"))</f>
        <v/>
      </c>
      <c r="E1813" s="63" t="n"/>
      <c r="F1813" s="66" t="str">
        <f>IF(E1813="","",IFERROR(INDEX(art_des,MATCH($E1813,art_ref,0))&amp;"","Article inconnu"))</f>
        <v/>
      </c>
      <c r="G1813" s="67" t="str">
        <f>IF(E1813="","",IFERROR(INDEX(art_unit,MATCH($E1813,art_ref,0))&amp;"",""))</f>
        <v/>
      </c>
      <c r="H1813" s="68" t="n"/>
      <c r="I1813" s="69" t="n"/>
      <c r="J1813" s="70" t="str">
        <f>IF(E1813="","",IF(ISNUMBER(I1813),I1813,IFERROR(IF(ISNUMBER(INDEX(art_price,MATCH($E1813,art_ref,0))),INDEX(art_price,MATCH($E1813,art_ref,0)),""),"")))</f>
        <v/>
      </c>
      <c r="K1813" s="71" t="n"/>
      <c r="L1813" s="72" t="n"/>
      <c r="M1813" s="72" t="str">
        <f>IF(E1813="","",IF(L1813&lt;&gt;"",L1813,IFERROR(IF(ISNUMBER(INDEX(art_tva,MATCH($E1813,art_ref,0))),INDEX(art_tva,MATCH($E1813,art_ref,0)),""),"")))</f>
        <v/>
      </c>
      <c r="N1813" s="70" t="str">
        <f>IF(OR(E1813="",J1813=""),"",ROUND(N(H1813)*J1813*(1-N(K1813)),2))</f>
        <v/>
      </c>
      <c r="O1813" s="70" t="str">
        <f>IF(OR(N1813="",NOT(ISNUMBER(M1813))),"",ROUND(N1813*M1813,2))</f>
        <v/>
      </c>
      <c r="P1813" s="70" t="str">
        <f>IF(N1813="","",N1813+N(O1813))</f>
        <v/>
      </c>
      <c r="Q1813" s="64" t="n"/>
      <c r="R1813" s="73" t="str">
        <f>IF(N(Q1813)&gt;0,Q1813,IF(OR(N(B1813)=0,ISNA(MATCH($C1813,sup_code,0))),"",IF(ISNUMBER(INDEX(sup_delay,MATCH($C1813,sup_code,0))),B1813+INDEX(sup_delay,MATCH($C1813,sup_code,0)),"")))</f>
        <v/>
      </c>
      <c r="S1813" s="64" t="n"/>
      <c r="T1813" s="68" t="n"/>
      <c r="U1813" s="64" t="n"/>
      <c r="V1813" s="65" t="n"/>
      <c r="W1813" s="74" t="str">
        <f>IF(AND(A1813="",E1813=""),"",IF(V1813="Oui",0,MAX(0,ROUND(N(H1813)-N(T1813),6))))</f>
        <v/>
      </c>
      <c r="X1813" s="67" t="str">
        <f>IF(AND(A1813="",E1813=""),"",IF(V1813="Oui","Annulé",IF(AND(N(H1813)&gt;0,N(T1813)&gt;=N(H1813)),"Reçu",IF(N(S1813)=0,"Brouillon",IF(AND(ISNUMBER(R1813),R1813&lt;p_today),"En retard",IF(N(T1813)&gt;0,"Partiel","Envoyé"))))))</f>
        <v/>
      </c>
      <c r="Y1813" s="75" t="str">
        <f>IF(X1813="En retard",p_today-R1813,IF(AND(X1813="Reçu",ISNUMBER(R1813)),MAX(0,N(U1813)-R1813),""))</f>
        <v/>
      </c>
      <c r="Z1813" s="67" t="str">
        <f>IF(AND(A1813="",E1813=""),"",IF(A1813="","N° de bon manquant",IF(N(B1813)=0,"Date de commande manquante",IF(C1813="","Fournisseur manquant",IF(ISNA(MATCH($C1813,sup_code,0)),"Fournisseur inconnu",IF(E1813="","Article manquant",IF(ISNA(MATCH($E1813,art_ref,0)),"Article inconnu",IF(N(H1813)&lt;=0,"Quantité invalide",IF(J1813="","Prix manquant",IF(OR(N(K1813)&lt;0,N(K1813)&gt;=1),"Remise invalide",IF(M1813="","TVA manquante",IF(ISNA(MATCH(M1813,p_tva,0)),"Taux de TVA inconnu",IF(COUNTIFS(po_num,A1813,po_sup,"&lt;&gt;"&amp;C1813)&gt;0,"Fournisseur différent sur ce bon",IF(COUNTIFS(po_num,A1813,po_date,"&lt;&gt;"&amp;B1813)&gt;0,"Date différente sur ce bon",IF(COUNTIF(po_num,A1813)&gt;25,"Plus de 25 lignes sur ce bon",IF(R1813="","Date de livraison manquante",IF(R1813&lt;B1813,"Livraison avant la commande",IF(AND(N(T1813)&gt;0,N(S1813)=0),"Date d'envoi manquante",IF(N(T1813)&gt;N(H1813),"Reçu plus que commandé",IF(AND(N(T1813)&gt;0,N(U1813)=0),"Date de réception manquante",IF(AND(N(U1813)&gt;0,U1813&lt;B1813),"Réception avant la commande","OK")))))))))))))))))))))</f>
        <v/>
      </c>
      <c r="AA1813" s="66" t="str">
        <f>IF(AND(X1813="Reçu",ISNUMBER(R1813)),IF(N(U1813)&lt;=R1813,1,0),"")</f>
        <v/>
      </c>
      <c r="AB1813" s="76" t="str">
        <f>IF(OR(X1813="Envoyé",X1813="Partiel",X1813="En retard"),IF(ISNUMBER(R1813),R1813,100000)+ROW()/100000,"")</f>
        <v/>
      </c>
      <c r="AC1813" s="66" t="str">
        <f>IF(A1813="","",IF(COUNTIF($A$6:A1813,A1813)=1,1,""))</f>
        <v/>
      </c>
      <c r="AD1813" s="66" t="str">
        <f>IF(AC1813=1,COUNT($AC$6:AC1813),"")</f>
        <v/>
      </c>
      <c r="AE1813" s="66" t="str">
        <f>IFERROR(INDEX(po_num,MATCH(1808,po_seq,0))&amp;"","")</f>
        <v/>
      </c>
      <c r="AF1813" s="66" t="str">
        <f>IF(OR(A1813="",p_po=""),"",IF(A1813&amp;""=p_po,COUNTIF($A$6:A1813,A1813),""))</f>
        <v/>
      </c>
      <c r="AG1813" s="66" t="str">
        <f>IF(OR(AB1813="",A1813=""),"",IF(COUNTIFS($A$6:A1813,A1813,$AB$6:AB1813,"&gt;0")=1,1,""))</f>
        <v/>
      </c>
      <c r="AH1813" s="70" t="str">
        <f>IF(AB1813="","",ROUND(N(W1813)*N(J1813)*(1-N(K1813)),2))</f>
        <v/>
      </c>
      <c r="AI1813" s="70" t="str">
        <f>IF(OR(J1813="",N(T1813)&lt;=0,V1813="Oui"),"",ROUND(N(T1813)*J1813*(1-N(K1813)),2))</f>
        <v/>
      </c>
    </row>
    <row r="1814">
      <c r="A1814" s="63" t="n"/>
      <c r="B1814" s="64" t="n"/>
      <c r="C1814" s="65" t="n"/>
      <c r="D1814" s="66" t="str">
        <f>IF(C1814="","",IFERROR(INDEX(sup_name,MATCH($C1814,sup_code,0))&amp;"","Fournisseur inconnu"))</f>
        <v/>
      </c>
      <c r="E1814" s="63" t="n"/>
      <c r="F1814" s="66" t="str">
        <f>IF(E1814="","",IFERROR(INDEX(art_des,MATCH($E1814,art_ref,0))&amp;"","Article inconnu"))</f>
        <v/>
      </c>
      <c r="G1814" s="67" t="str">
        <f>IF(E1814="","",IFERROR(INDEX(art_unit,MATCH($E1814,art_ref,0))&amp;"",""))</f>
        <v/>
      </c>
      <c r="H1814" s="68" t="n"/>
      <c r="I1814" s="69" t="n"/>
      <c r="J1814" s="70" t="str">
        <f>IF(E1814="","",IF(ISNUMBER(I1814),I1814,IFERROR(IF(ISNUMBER(INDEX(art_price,MATCH($E1814,art_ref,0))),INDEX(art_price,MATCH($E1814,art_ref,0)),""),"")))</f>
        <v/>
      </c>
      <c r="K1814" s="71" t="n"/>
      <c r="L1814" s="72" t="n"/>
      <c r="M1814" s="72" t="str">
        <f>IF(E1814="","",IF(L1814&lt;&gt;"",L1814,IFERROR(IF(ISNUMBER(INDEX(art_tva,MATCH($E1814,art_ref,0))),INDEX(art_tva,MATCH($E1814,art_ref,0)),""),"")))</f>
        <v/>
      </c>
      <c r="N1814" s="70" t="str">
        <f>IF(OR(E1814="",J1814=""),"",ROUND(N(H1814)*J1814*(1-N(K1814)),2))</f>
        <v/>
      </c>
      <c r="O1814" s="70" t="str">
        <f>IF(OR(N1814="",NOT(ISNUMBER(M1814))),"",ROUND(N1814*M1814,2))</f>
        <v/>
      </c>
      <c r="P1814" s="70" t="str">
        <f>IF(N1814="","",N1814+N(O1814))</f>
        <v/>
      </c>
      <c r="Q1814" s="64" t="n"/>
      <c r="R1814" s="73" t="str">
        <f>IF(N(Q1814)&gt;0,Q1814,IF(OR(N(B1814)=0,ISNA(MATCH($C1814,sup_code,0))),"",IF(ISNUMBER(INDEX(sup_delay,MATCH($C1814,sup_code,0))),B1814+INDEX(sup_delay,MATCH($C1814,sup_code,0)),"")))</f>
        <v/>
      </c>
      <c r="S1814" s="64" t="n"/>
      <c r="T1814" s="68" t="n"/>
      <c r="U1814" s="64" t="n"/>
      <c r="V1814" s="65" t="n"/>
      <c r="W1814" s="74" t="str">
        <f>IF(AND(A1814="",E1814=""),"",IF(V1814="Oui",0,MAX(0,ROUND(N(H1814)-N(T1814),6))))</f>
        <v/>
      </c>
      <c r="X1814" s="67" t="str">
        <f>IF(AND(A1814="",E1814=""),"",IF(V1814="Oui","Annulé",IF(AND(N(H1814)&gt;0,N(T1814)&gt;=N(H1814)),"Reçu",IF(N(S1814)=0,"Brouillon",IF(AND(ISNUMBER(R1814),R1814&lt;p_today),"En retard",IF(N(T1814)&gt;0,"Partiel","Envoyé"))))))</f>
        <v/>
      </c>
      <c r="Y1814" s="75" t="str">
        <f>IF(X1814="En retard",p_today-R1814,IF(AND(X1814="Reçu",ISNUMBER(R1814)),MAX(0,N(U1814)-R1814),""))</f>
        <v/>
      </c>
      <c r="Z1814" s="67" t="str">
        <f>IF(AND(A1814="",E1814=""),"",IF(A1814="","N° de bon manquant",IF(N(B1814)=0,"Date de commande manquante",IF(C1814="","Fournisseur manquant",IF(ISNA(MATCH($C1814,sup_code,0)),"Fournisseur inconnu",IF(E1814="","Article manquant",IF(ISNA(MATCH($E1814,art_ref,0)),"Article inconnu",IF(N(H1814)&lt;=0,"Quantité invalide",IF(J1814="","Prix manquant",IF(OR(N(K1814)&lt;0,N(K1814)&gt;=1),"Remise invalide",IF(M1814="","TVA manquante",IF(ISNA(MATCH(M1814,p_tva,0)),"Taux de TVA inconnu",IF(COUNTIFS(po_num,A1814,po_sup,"&lt;&gt;"&amp;C1814)&gt;0,"Fournisseur différent sur ce bon",IF(COUNTIFS(po_num,A1814,po_date,"&lt;&gt;"&amp;B1814)&gt;0,"Date différente sur ce bon",IF(COUNTIF(po_num,A1814)&gt;25,"Plus de 25 lignes sur ce bon",IF(R1814="","Date de livraison manquante",IF(R1814&lt;B1814,"Livraison avant la commande",IF(AND(N(T1814)&gt;0,N(S1814)=0),"Date d'envoi manquante",IF(N(T1814)&gt;N(H1814),"Reçu plus que commandé",IF(AND(N(T1814)&gt;0,N(U1814)=0),"Date de réception manquante",IF(AND(N(U1814)&gt;0,U1814&lt;B1814),"Réception avant la commande","OK")))))))))))))))))))))</f>
        <v/>
      </c>
      <c r="AA1814" s="66" t="str">
        <f>IF(AND(X1814="Reçu",ISNUMBER(R1814)),IF(N(U1814)&lt;=R1814,1,0),"")</f>
        <v/>
      </c>
      <c r="AB1814" s="76" t="str">
        <f>IF(OR(X1814="Envoyé",X1814="Partiel",X1814="En retard"),IF(ISNUMBER(R1814),R1814,100000)+ROW()/100000,"")</f>
        <v/>
      </c>
      <c r="AC1814" s="66" t="str">
        <f>IF(A1814="","",IF(COUNTIF($A$6:A1814,A1814)=1,1,""))</f>
        <v/>
      </c>
      <c r="AD1814" s="66" t="str">
        <f>IF(AC1814=1,COUNT($AC$6:AC1814),"")</f>
        <v/>
      </c>
      <c r="AE1814" s="66" t="str">
        <f>IFERROR(INDEX(po_num,MATCH(1809,po_seq,0))&amp;"","")</f>
        <v/>
      </c>
      <c r="AF1814" s="66" t="str">
        <f>IF(OR(A1814="",p_po=""),"",IF(A1814&amp;""=p_po,COUNTIF($A$6:A1814,A1814),""))</f>
        <v/>
      </c>
      <c r="AG1814" s="66" t="str">
        <f>IF(OR(AB1814="",A1814=""),"",IF(COUNTIFS($A$6:A1814,A1814,$AB$6:AB1814,"&gt;0")=1,1,""))</f>
        <v/>
      </c>
      <c r="AH1814" s="70" t="str">
        <f>IF(AB1814="","",ROUND(N(W1814)*N(J1814)*(1-N(K1814)),2))</f>
        <v/>
      </c>
      <c r="AI1814" s="70" t="str">
        <f>IF(OR(J1814="",N(T1814)&lt;=0,V1814="Oui"),"",ROUND(N(T1814)*J1814*(1-N(K1814)),2))</f>
        <v/>
      </c>
    </row>
    <row r="1815">
      <c r="A1815" s="63" t="n"/>
      <c r="B1815" s="64" t="n"/>
      <c r="C1815" s="65" t="n"/>
      <c r="D1815" s="66" t="str">
        <f>IF(C1815="","",IFERROR(INDEX(sup_name,MATCH($C1815,sup_code,0))&amp;"","Fournisseur inconnu"))</f>
        <v/>
      </c>
      <c r="E1815" s="63" t="n"/>
      <c r="F1815" s="66" t="str">
        <f>IF(E1815="","",IFERROR(INDEX(art_des,MATCH($E1815,art_ref,0))&amp;"","Article inconnu"))</f>
        <v/>
      </c>
      <c r="G1815" s="67" t="str">
        <f>IF(E1815="","",IFERROR(INDEX(art_unit,MATCH($E1815,art_ref,0))&amp;"",""))</f>
        <v/>
      </c>
      <c r="H1815" s="68" t="n"/>
      <c r="I1815" s="69" t="n"/>
      <c r="J1815" s="70" t="str">
        <f>IF(E1815="","",IF(ISNUMBER(I1815),I1815,IFERROR(IF(ISNUMBER(INDEX(art_price,MATCH($E1815,art_ref,0))),INDEX(art_price,MATCH($E1815,art_ref,0)),""),"")))</f>
        <v/>
      </c>
      <c r="K1815" s="71" t="n"/>
      <c r="L1815" s="72" t="n"/>
      <c r="M1815" s="72" t="str">
        <f>IF(E1815="","",IF(L1815&lt;&gt;"",L1815,IFERROR(IF(ISNUMBER(INDEX(art_tva,MATCH($E1815,art_ref,0))),INDEX(art_tva,MATCH($E1815,art_ref,0)),""),"")))</f>
        <v/>
      </c>
      <c r="N1815" s="70" t="str">
        <f>IF(OR(E1815="",J1815=""),"",ROUND(N(H1815)*J1815*(1-N(K1815)),2))</f>
        <v/>
      </c>
      <c r="O1815" s="70" t="str">
        <f>IF(OR(N1815="",NOT(ISNUMBER(M1815))),"",ROUND(N1815*M1815,2))</f>
        <v/>
      </c>
      <c r="P1815" s="70" t="str">
        <f>IF(N1815="","",N1815+N(O1815))</f>
        <v/>
      </c>
      <c r="Q1815" s="64" t="n"/>
      <c r="R1815" s="73" t="str">
        <f>IF(N(Q1815)&gt;0,Q1815,IF(OR(N(B1815)=0,ISNA(MATCH($C1815,sup_code,0))),"",IF(ISNUMBER(INDEX(sup_delay,MATCH($C1815,sup_code,0))),B1815+INDEX(sup_delay,MATCH($C1815,sup_code,0)),"")))</f>
        <v/>
      </c>
      <c r="S1815" s="64" t="n"/>
      <c r="T1815" s="68" t="n"/>
      <c r="U1815" s="64" t="n"/>
      <c r="V1815" s="65" t="n"/>
      <c r="W1815" s="74" t="str">
        <f>IF(AND(A1815="",E1815=""),"",IF(V1815="Oui",0,MAX(0,ROUND(N(H1815)-N(T1815),6))))</f>
        <v/>
      </c>
      <c r="X1815" s="67" t="str">
        <f>IF(AND(A1815="",E1815=""),"",IF(V1815="Oui","Annulé",IF(AND(N(H1815)&gt;0,N(T1815)&gt;=N(H1815)),"Reçu",IF(N(S1815)=0,"Brouillon",IF(AND(ISNUMBER(R1815),R1815&lt;p_today),"En retard",IF(N(T1815)&gt;0,"Partiel","Envoyé"))))))</f>
        <v/>
      </c>
      <c r="Y1815" s="75" t="str">
        <f>IF(X1815="En retard",p_today-R1815,IF(AND(X1815="Reçu",ISNUMBER(R1815)),MAX(0,N(U1815)-R1815),""))</f>
        <v/>
      </c>
      <c r="Z1815" s="67" t="str">
        <f>IF(AND(A1815="",E1815=""),"",IF(A1815="","N° de bon manquant",IF(N(B1815)=0,"Date de commande manquante",IF(C1815="","Fournisseur manquant",IF(ISNA(MATCH($C1815,sup_code,0)),"Fournisseur inconnu",IF(E1815="","Article manquant",IF(ISNA(MATCH($E1815,art_ref,0)),"Article inconnu",IF(N(H1815)&lt;=0,"Quantité invalide",IF(J1815="","Prix manquant",IF(OR(N(K1815)&lt;0,N(K1815)&gt;=1),"Remise invalide",IF(M1815="","TVA manquante",IF(ISNA(MATCH(M1815,p_tva,0)),"Taux de TVA inconnu",IF(COUNTIFS(po_num,A1815,po_sup,"&lt;&gt;"&amp;C1815)&gt;0,"Fournisseur différent sur ce bon",IF(COUNTIFS(po_num,A1815,po_date,"&lt;&gt;"&amp;B1815)&gt;0,"Date différente sur ce bon",IF(COUNTIF(po_num,A1815)&gt;25,"Plus de 25 lignes sur ce bon",IF(R1815="","Date de livraison manquante",IF(R1815&lt;B1815,"Livraison avant la commande",IF(AND(N(T1815)&gt;0,N(S1815)=0),"Date d'envoi manquante",IF(N(T1815)&gt;N(H1815),"Reçu plus que commandé",IF(AND(N(T1815)&gt;0,N(U1815)=0),"Date de réception manquante",IF(AND(N(U1815)&gt;0,U1815&lt;B1815),"Réception avant la commande","OK")))))))))))))))))))))</f>
        <v/>
      </c>
      <c r="AA1815" s="66" t="str">
        <f>IF(AND(X1815="Reçu",ISNUMBER(R1815)),IF(N(U1815)&lt;=R1815,1,0),"")</f>
        <v/>
      </c>
      <c r="AB1815" s="76" t="str">
        <f>IF(OR(X1815="Envoyé",X1815="Partiel",X1815="En retard"),IF(ISNUMBER(R1815),R1815,100000)+ROW()/100000,"")</f>
        <v/>
      </c>
      <c r="AC1815" s="66" t="str">
        <f>IF(A1815="","",IF(COUNTIF($A$6:A1815,A1815)=1,1,""))</f>
        <v/>
      </c>
      <c r="AD1815" s="66" t="str">
        <f>IF(AC1815=1,COUNT($AC$6:AC1815),"")</f>
        <v/>
      </c>
      <c r="AE1815" s="66" t="str">
        <f>IFERROR(INDEX(po_num,MATCH(1810,po_seq,0))&amp;"","")</f>
        <v/>
      </c>
      <c r="AF1815" s="66" t="str">
        <f>IF(OR(A1815="",p_po=""),"",IF(A1815&amp;""=p_po,COUNTIF($A$6:A1815,A1815),""))</f>
        <v/>
      </c>
      <c r="AG1815" s="66" t="str">
        <f>IF(OR(AB1815="",A1815=""),"",IF(COUNTIFS($A$6:A1815,A1815,$AB$6:AB1815,"&gt;0")=1,1,""))</f>
        <v/>
      </c>
      <c r="AH1815" s="70" t="str">
        <f>IF(AB1815="","",ROUND(N(W1815)*N(J1815)*(1-N(K1815)),2))</f>
        <v/>
      </c>
      <c r="AI1815" s="70" t="str">
        <f>IF(OR(J1815="",N(T1815)&lt;=0,V1815="Oui"),"",ROUND(N(T1815)*J1815*(1-N(K1815)),2))</f>
        <v/>
      </c>
    </row>
    <row r="1816">
      <c r="A1816" s="63" t="n"/>
      <c r="B1816" s="64" t="n"/>
      <c r="C1816" s="65" t="n"/>
      <c r="D1816" s="66" t="str">
        <f>IF(C1816="","",IFERROR(INDEX(sup_name,MATCH($C1816,sup_code,0))&amp;"","Fournisseur inconnu"))</f>
        <v/>
      </c>
      <c r="E1816" s="63" t="n"/>
      <c r="F1816" s="66" t="str">
        <f>IF(E1816="","",IFERROR(INDEX(art_des,MATCH($E1816,art_ref,0))&amp;"","Article inconnu"))</f>
        <v/>
      </c>
      <c r="G1816" s="67" t="str">
        <f>IF(E1816="","",IFERROR(INDEX(art_unit,MATCH($E1816,art_ref,0))&amp;"",""))</f>
        <v/>
      </c>
      <c r="H1816" s="68" t="n"/>
      <c r="I1816" s="69" t="n"/>
      <c r="J1816" s="70" t="str">
        <f>IF(E1816="","",IF(ISNUMBER(I1816),I1816,IFERROR(IF(ISNUMBER(INDEX(art_price,MATCH($E1816,art_ref,0))),INDEX(art_price,MATCH($E1816,art_ref,0)),""),"")))</f>
        <v/>
      </c>
      <c r="K1816" s="71" t="n"/>
      <c r="L1816" s="72" t="n"/>
      <c r="M1816" s="72" t="str">
        <f>IF(E1816="","",IF(L1816&lt;&gt;"",L1816,IFERROR(IF(ISNUMBER(INDEX(art_tva,MATCH($E1816,art_ref,0))),INDEX(art_tva,MATCH($E1816,art_ref,0)),""),"")))</f>
        <v/>
      </c>
      <c r="N1816" s="70" t="str">
        <f>IF(OR(E1816="",J1816=""),"",ROUND(N(H1816)*J1816*(1-N(K1816)),2))</f>
        <v/>
      </c>
      <c r="O1816" s="70" t="str">
        <f>IF(OR(N1816="",NOT(ISNUMBER(M1816))),"",ROUND(N1816*M1816,2))</f>
        <v/>
      </c>
      <c r="P1816" s="70" t="str">
        <f>IF(N1816="","",N1816+N(O1816))</f>
        <v/>
      </c>
      <c r="Q1816" s="64" t="n"/>
      <c r="R1816" s="73" t="str">
        <f>IF(N(Q1816)&gt;0,Q1816,IF(OR(N(B1816)=0,ISNA(MATCH($C1816,sup_code,0))),"",IF(ISNUMBER(INDEX(sup_delay,MATCH($C1816,sup_code,0))),B1816+INDEX(sup_delay,MATCH($C1816,sup_code,0)),"")))</f>
        <v/>
      </c>
      <c r="S1816" s="64" t="n"/>
      <c r="T1816" s="68" t="n"/>
      <c r="U1816" s="64" t="n"/>
      <c r="V1816" s="65" t="n"/>
      <c r="W1816" s="74" t="str">
        <f>IF(AND(A1816="",E1816=""),"",IF(V1816="Oui",0,MAX(0,ROUND(N(H1816)-N(T1816),6))))</f>
        <v/>
      </c>
      <c r="X1816" s="67" t="str">
        <f>IF(AND(A1816="",E1816=""),"",IF(V1816="Oui","Annulé",IF(AND(N(H1816)&gt;0,N(T1816)&gt;=N(H1816)),"Reçu",IF(N(S1816)=0,"Brouillon",IF(AND(ISNUMBER(R1816),R1816&lt;p_today),"En retard",IF(N(T1816)&gt;0,"Partiel","Envoyé"))))))</f>
        <v/>
      </c>
      <c r="Y1816" s="75" t="str">
        <f>IF(X1816="En retard",p_today-R1816,IF(AND(X1816="Reçu",ISNUMBER(R1816)),MAX(0,N(U1816)-R1816),""))</f>
        <v/>
      </c>
      <c r="Z1816" s="67" t="str">
        <f>IF(AND(A1816="",E1816=""),"",IF(A1816="","N° de bon manquant",IF(N(B1816)=0,"Date de commande manquante",IF(C1816="","Fournisseur manquant",IF(ISNA(MATCH($C1816,sup_code,0)),"Fournisseur inconnu",IF(E1816="","Article manquant",IF(ISNA(MATCH($E1816,art_ref,0)),"Article inconnu",IF(N(H1816)&lt;=0,"Quantité invalide",IF(J1816="","Prix manquant",IF(OR(N(K1816)&lt;0,N(K1816)&gt;=1),"Remise invalide",IF(M1816="","TVA manquante",IF(ISNA(MATCH(M1816,p_tva,0)),"Taux de TVA inconnu",IF(COUNTIFS(po_num,A1816,po_sup,"&lt;&gt;"&amp;C1816)&gt;0,"Fournisseur différent sur ce bon",IF(COUNTIFS(po_num,A1816,po_date,"&lt;&gt;"&amp;B1816)&gt;0,"Date différente sur ce bon",IF(COUNTIF(po_num,A1816)&gt;25,"Plus de 25 lignes sur ce bon",IF(R1816="","Date de livraison manquante",IF(R1816&lt;B1816,"Livraison avant la commande",IF(AND(N(T1816)&gt;0,N(S1816)=0),"Date d'envoi manquante",IF(N(T1816)&gt;N(H1816),"Reçu plus que commandé",IF(AND(N(T1816)&gt;0,N(U1816)=0),"Date de réception manquante",IF(AND(N(U1816)&gt;0,U1816&lt;B1816),"Réception avant la commande","OK")))))))))))))))))))))</f>
        <v/>
      </c>
      <c r="AA1816" s="66" t="str">
        <f>IF(AND(X1816="Reçu",ISNUMBER(R1816)),IF(N(U1816)&lt;=R1816,1,0),"")</f>
        <v/>
      </c>
      <c r="AB1816" s="76" t="str">
        <f>IF(OR(X1816="Envoyé",X1816="Partiel",X1816="En retard"),IF(ISNUMBER(R1816),R1816,100000)+ROW()/100000,"")</f>
        <v/>
      </c>
      <c r="AC1816" s="66" t="str">
        <f>IF(A1816="","",IF(COUNTIF($A$6:A1816,A1816)=1,1,""))</f>
        <v/>
      </c>
      <c r="AD1816" s="66" t="str">
        <f>IF(AC1816=1,COUNT($AC$6:AC1816),"")</f>
        <v/>
      </c>
      <c r="AE1816" s="66" t="str">
        <f>IFERROR(INDEX(po_num,MATCH(1811,po_seq,0))&amp;"","")</f>
        <v/>
      </c>
      <c r="AF1816" s="66" t="str">
        <f>IF(OR(A1816="",p_po=""),"",IF(A1816&amp;""=p_po,COUNTIF($A$6:A1816,A1816),""))</f>
        <v/>
      </c>
      <c r="AG1816" s="66" t="str">
        <f>IF(OR(AB1816="",A1816=""),"",IF(COUNTIFS($A$6:A1816,A1816,$AB$6:AB1816,"&gt;0")=1,1,""))</f>
        <v/>
      </c>
      <c r="AH1816" s="70" t="str">
        <f>IF(AB1816="","",ROUND(N(W1816)*N(J1816)*(1-N(K1816)),2))</f>
        <v/>
      </c>
      <c r="AI1816" s="70" t="str">
        <f>IF(OR(J1816="",N(T1816)&lt;=0,V1816="Oui"),"",ROUND(N(T1816)*J1816*(1-N(K1816)),2))</f>
        <v/>
      </c>
    </row>
    <row r="1817">
      <c r="A1817" s="63" t="n"/>
      <c r="B1817" s="64" t="n"/>
      <c r="C1817" s="65" t="n"/>
      <c r="D1817" s="66" t="str">
        <f>IF(C1817="","",IFERROR(INDEX(sup_name,MATCH($C1817,sup_code,0))&amp;"","Fournisseur inconnu"))</f>
        <v/>
      </c>
      <c r="E1817" s="63" t="n"/>
      <c r="F1817" s="66" t="str">
        <f>IF(E1817="","",IFERROR(INDEX(art_des,MATCH($E1817,art_ref,0))&amp;"","Article inconnu"))</f>
        <v/>
      </c>
      <c r="G1817" s="67" t="str">
        <f>IF(E1817="","",IFERROR(INDEX(art_unit,MATCH($E1817,art_ref,0))&amp;"",""))</f>
        <v/>
      </c>
      <c r="H1817" s="68" t="n"/>
      <c r="I1817" s="69" t="n"/>
      <c r="J1817" s="70" t="str">
        <f>IF(E1817="","",IF(ISNUMBER(I1817),I1817,IFERROR(IF(ISNUMBER(INDEX(art_price,MATCH($E1817,art_ref,0))),INDEX(art_price,MATCH($E1817,art_ref,0)),""),"")))</f>
        <v/>
      </c>
      <c r="K1817" s="71" t="n"/>
      <c r="L1817" s="72" t="n"/>
      <c r="M1817" s="72" t="str">
        <f>IF(E1817="","",IF(L1817&lt;&gt;"",L1817,IFERROR(IF(ISNUMBER(INDEX(art_tva,MATCH($E1817,art_ref,0))),INDEX(art_tva,MATCH($E1817,art_ref,0)),""),"")))</f>
        <v/>
      </c>
      <c r="N1817" s="70" t="str">
        <f>IF(OR(E1817="",J1817=""),"",ROUND(N(H1817)*J1817*(1-N(K1817)),2))</f>
        <v/>
      </c>
      <c r="O1817" s="70" t="str">
        <f>IF(OR(N1817="",NOT(ISNUMBER(M1817))),"",ROUND(N1817*M1817,2))</f>
        <v/>
      </c>
      <c r="P1817" s="70" t="str">
        <f>IF(N1817="","",N1817+N(O1817))</f>
        <v/>
      </c>
      <c r="Q1817" s="64" t="n"/>
      <c r="R1817" s="73" t="str">
        <f>IF(N(Q1817)&gt;0,Q1817,IF(OR(N(B1817)=0,ISNA(MATCH($C1817,sup_code,0))),"",IF(ISNUMBER(INDEX(sup_delay,MATCH($C1817,sup_code,0))),B1817+INDEX(sup_delay,MATCH($C1817,sup_code,0)),"")))</f>
        <v/>
      </c>
      <c r="S1817" s="64" t="n"/>
      <c r="T1817" s="68" t="n"/>
      <c r="U1817" s="64" t="n"/>
      <c r="V1817" s="65" t="n"/>
      <c r="W1817" s="74" t="str">
        <f>IF(AND(A1817="",E1817=""),"",IF(V1817="Oui",0,MAX(0,ROUND(N(H1817)-N(T1817),6))))</f>
        <v/>
      </c>
      <c r="X1817" s="67" t="str">
        <f>IF(AND(A1817="",E1817=""),"",IF(V1817="Oui","Annulé",IF(AND(N(H1817)&gt;0,N(T1817)&gt;=N(H1817)),"Reçu",IF(N(S1817)=0,"Brouillon",IF(AND(ISNUMBER(R1817),R1817&lt;p_today),"En retard",IF(N(T1817)&gt;0,"Partiel","Envoyé"))))))</f>
        <v/>
      </c>
      <c r="Y1817" s="75" t="str">
        <f>IF(X1817="En retard",p_today-R1817,IF(AND(X1817="Reçu",ISNUMBER(R1817)),MAX(0,N(U1817)-R1817),""))</f>
        <v/>
      </c>
      <c r="Z1817" s="67" t="str">
        <f>IF(AND(A1817="",E1817=""),"",IF(A1817="","N° de bon manquant",IF(N(B1817)=0,"Date de commande manquante",IF(C1817="","Fournisseur manquant",IF(ISNA(MATCH($C1817,sup_code,0)),"Fournisseur inconnu",IF(E1817="","Article manquant",IF(ISNA(MATCH($E1817,art_ref,0)),"Article inconnu",IF(N(H1817)&lt;=0,"Quantité invalide",IF(J1817="","Prix manquant",IF(OR(N(K1817)&lt;0,N(K1817)&gt;=1),"Remise invalide",IF(M1817="","TVA manquante",IF(ISNA(MATCH(M1817,p_tva,0)),"Taux de TVA inconnu",IF(COUNTIFS(po_num,A1817,po_sup,"&lt;&gt;"&amp;C1817)&gt;0,"Fournisseur différent sur ce bon",IF(COUNTIFS(po_num,A1817,po_date,"&lt;&gt;"&amp;B1817)&gt;0,"Date différente sur ce bon",IF(COUNTIF(po_num,A1817)&gt;25,"Plus de 25 lignes sur ce bon",IF(R1817="","Date de livraison manquante",IF(R1817&lt;B1817,"Livraison avant la commande",IF(AND(N(T1817)&gt;0,N(S1817)=0),"Date d'envoi manquante",IF(N(T1817)&gt;N(H1817),"Reçu plus que commandé",IF(AND(N(T1817)&gt;0,N(U1817)=0),"Date de réception manquante",IF(AND(N(U1817)&gt;0,U1817&lt;B1817),"Réception avant la commande","OK")))))))))))))))))))))</f>
        <v/>
      </c>
      <c r="AA1817" s="66" t="str">
        <f>IF(AND(X1817="Reçu",ISNUMBER(R1817)),IF(N(U1817)&lt;=R1817,1,0),"")</f>
        <v/>
      </c>
      <c r="AB1817" s="76" t="str">
        <f>IF(OR(X1817="Envoyé",X1817="Partiel",X1817="En retard"),IF(ISNUMBER(R1817),R1817,100000)+ROW()/100000,"")</f>
        <v/>
      </c>
      <c r="AC1817" s="66" t="str">
        <f>IF(A1817="","",IF(COUNTIF($A$6:A1817,A1817)=1,1,""))</f>
        <v/>
      </c>
      <c r="AD1817" s="66" t="str">
        <f>IF(AC1817=1,COUNT($AC$6:AC1817),"")</f>
        <v/>
      </c>
      <c r="AE1817" s="66" t="str">
        <f>IFERROR(INDEX(po_num,MATCH(1812,po_seq,0))&amp;"","")</f>
        <v/>
      </c>
      <c r="AF1817" s="66" t="str">
        <f>IF(OR(A1817="",p_po=""),"",IF(A1817&amp;""=p_po,COUNTIF($A$6:A1817,A1817),""))</f>
        <v/>
      </c>
      <c r="AG1817" s="66" t="str">
        <f>IF(OR(AB1817="",A1817=""),"",IF(COUNTIFS($A$6:A1817,A1817,$AB$6:AB1817,"&gt;0")=1,1,""))</f>
        <v/>
      </c>
      <c r="AH1817" s="70" t="str">
        <f>IF(AB1817="","",ROUND(N(W1817)*N(J1817)*(1-N(K1817)),2))</f>
        <v/>
      </c>
      <c r="AI1817" s="70" t="str">
        <f>IF(OR(J1817="",N(T1817)&lt;=0,V1817="Oui"),"",ROUND(N(T1817)*J1817*(1-N(K1817)),2))</f>
        <v/>
      </c>
    </row>
    <row r="1818">
      <c r="A1818" s="63" t="n"/>
      <c r="B1818" s="64" t="n"/>
      <c r="C1818" s="65" t="n"/>
      <c r="D1818" s="66" t="str">
        <f>IF(C1818="","",IFERROR(INDEX(sup_name,MATCH($C1818,sup_code,0))&amp;"","Fournisseur inconnu"))</f>
        <v/>
      </c>
      <c r="E1818" s="63" t="n"/>
      <c r="F1818" s="66" t="str">
        <f>IF(E1818="","",IFERROR(INDEX(art_des,MATCH($E1818,art_ref,0))&amp;"","Article inconnu"))</f>
        <v/>
      </c>
      <c r="G1818" s="67" t="str">
        <f>IF(E1818="","",IFERROR(INDEX(art_unit,MATCH($E1818,art_ref,0))&amp;"",""))</f>
        <v/>
      </c>
      <c r="H1818" s="68" t="n"/>
      <c r="I1818" s="69" t="n"/>
      <c r="J1818" s="70" t="str">
        <f>IF(E1818="","",IF(ISNUMBER(I1818),I1818,IFERROR(IF(ISNUMBER(INDEX(art_price,MATCH($E1818,art_ref,0))),INDEX(art_price,MATCH($E1818,art_ref,0)),""),"")))</f>
        <v/>
      </c>
      <c r="K1818" s="71" t="n"/>
      <c r="L1818" s="72" t="n"/>
      <c r="M1818" s="72" t="str">
        <f>IF(E1818="","",IF(L1818&lt;&gt;"",L1818,IFERROR(IF(ISNUMBER(INDEX(art_tva,MATCH($E1818,art_ref,0))),INDEX(art_tva,MATCH($E1818,art_ref,0)),""),"")))</f>
        <v/>
      </c>
      <c r="N1818" s="70" t="str">
        <f>IF(OR(E1818="",J1818=""),"",ROUND(N(H1818)*J1818*(1-N(K1818)),2))</f>
        <v/>
      </c>
      <c r="O1818" s="70" t="str">
        <f>IF(OR(N1818="",NOT(ISNUMBER(M1818))),"",ROUND(N1818*M1818,2))</f>
        <v/>
      </c>
      <c r="P1818" s="70" t="str">
        <f>IF(N1818="","",N1818+N(O1818))</f>
        <v/>
      </c>
      <c r="Q1818" s="64" t="n"/>
      <c r="R1818" s="73" t="str">
        <f>IF(N(Q1818)&gt;0,Q1818,IF(OR(N(B1818)=0,ISNA(MATCH($C1818,sup_code,0))),"",IF(ISNUMBER(INDEX(sup_delay,MATCH($C1818,sup_code,0))),B1818+INDEX(sup_delay,MATCH($C1818,sup_code,0)),"")))</f>
        <v/>
      </c>
      <c r="S1818" s="64" t="n"/>
      <c r="T1818" s="68" t="n"/>
      <c r="U1818" s="64" t="n"/>
      <c r="V1818" s="65" t="n"/>
      <c r="W1818" s="74" t="str">
        <f>IF(AND(A1818="",E1818=""),"",IF(V1818="Oui",0,MAX(0,ROUND(N(H1818)-N(T1818),6))))</f>
        <v/>
      </c>
      <c r="X1818" s="67" t="str">
        <f>IF(AND(A1818="",E1818=""),"",IF(V1818="Oui","Annulé",IF(AND(N(H1818)&gt;0,N(T1818)&gt;=N(H1818)),"Reçu",IF(N(S1818)=0,"Brouillon",IF(AND(ISNUMBER(R1818),R1818&lt;p_today),"En retard",IF(N(T1818)&gt;0,"Partiel","Envoyé"))))))</f>
        <v/>
      </c>
      <c r="Y1818" s="75" t="str">
        <f>IF(X1818="En retard",p_today-R1818,IF(AND(X1818="Reçu",ISNUMBER(R1818)),MAX(0,N(U1818)-R1818),""))</f>
        <v/>
      </c>
      <c r="Z1818" s="67" t="str">
        <f>IF(AND(A1818="",E1818=""),"",IF(A1818="","N° de bon manquant",IF(N(B1818)=0,"Date de commande manquante",IF(C1818="","Fournisseur manquant",IF(ISNA(MATCH($C1818,sup_code,0)),"Fournisseur inconnu",IF(E1818="","Article manquant",IF(ISNA(MATCH($E1818,art_ref,0)),"Article inconnu",IF(N(H1818)&lt;=0,"Quantité invalide",IF(J1818="","Prix manquant",IF(OR(N(K1818)&lt;0,N(K1818)&gt;=1),"Remise invalide",IF(M1818="","TVA manquante",IF(ISNA(MATCH(M1818,p_tva,0)),"Taux de TVA inconnu",IF(COUNTIFS(po_num,A1818,po_sup,"&lt;&gt;"&amp;C1818)&gt;0,"Fournisseur différent sur ce bon",IF(COUNTIFS(po_num,A1818,po_date,"&lt;&gt;"&amp;B1818)&gt;0,"Date différente sur ce bon",IF(COUNTIF(po_num,A1818)&gt;25,"Plus de 25 lignes sur ce bon",IF(R1818="","Date de livraison manquante",IF(R1818&lt;B1818,"Livraison avant la commande",IF(AND(N(T1818)&gt;0,N(S1818)=0),"Date d'envoi manquante",IF(N(T1818)&gt;N(H1818),"Reçu plus que commandé",IF(AND(N(T1818)&gt;0,N(U1818)=0),"Date de réception manquante",IF(AND(N(U1818)&gt;0,U1818&lt;B1818),"Réception avant la commande","OK")))))))))))))))))))))</f>
        <v/>
      </c>
      <c r="AA1818" s="66" t="str">
        <f>IF(AND(X1818="Reçu",ISNUMBER(R1818)),IF(N(U1818)&lt;=R1818,1,0),"")</f>
        <v/>
      </c>
      <c r="AB1818" s="76" t="str">
        <f>IF(OR(X1818="Envoyé",X1818="Partiel",X1818="En retard"),IF(ISNUMBER(R1818),R1818,100000)+ROW()/100000,"")</f>
        <v/>
      </c>
      <c r="AC1818" s="66" t="str">
        <f>IF(A1818="","",IF(COUNTIF($A$6:A1818,A1818)=1,1,""))</f>
        <v/>
      </c>
      <c r="AD1818" s="66" t="str">
        <f>IF(AC1818=1,COUNT($AC$6:AC1818),"")</f>
        <v/>
      </c>
      <c r="AE1818" s="66" t="str">
        <f>IFERROR(INDEX(po_num,MATCH(1813,po_seq,0))&amp;"","")</f>
        <v/>
      </c>
      <c r="AF1818" s="66" t="str">
        <f>IF(OR(A1818="",p_po=""),"",IF(A1818&amp;""=p_po,COUNTIF($A$6:A1818,A1818),""))</f>
        <v/>
      </c>
      <c r="AG1818" s="66" t="str">
        <f>IF(OR(AB1818="",A1818=""),"",IF(COUNTIFS($A$6:A1818,A1818,$AB$6:AB1818,"&gt;0")=1,1,""))</f>
        <v/>
      </c>
      <c r="AH1818" s="70" t="str">
        <f>IF(AB1818="","",ROUND(N(W1818)*N(J1818)*(1-N(K1818)),2))</f>
        <v/>
      </c>
      <c r="AI1818" s="70" t="str">
        <f>IF(OR(J1818="",N(T1818)&lt;=0,V1818="Oui"),"",ROUND(N(T1818)*J1818*(1-N(K1818)),2))</f>
        <v/>
      </c>
    </row>
    <row r="1819">
      <c r="A1819" s="63" t="n"/>
      <c r="B1819" s="64" t="n"/>
      <c r="C1819" s="65" t="n"/>
      <c r="D1819" s="66" t="str">
        <f>IF(C1819="","",IFERROR(INDEX(sup_name,MATCH($C1819,sup_code,0))&amp;"","Fournisseur inconnu"))</f>
        <v/>
      </c>
      <c r="E1819" s="63" t="n"/>
      <c r="F1819" s="66" t="str">
        <f>IF(E1819="","",IFERROR(INDEX(art_des,MATCH($E1819,art_ref,0))&amp;"","Article inconnu"))</f>
        <v/>
      </c>
      <c r="G1819" s="67" t="str">
        <f>IF(E1819="","",IFERROR(INDEX(art_unit,MATCH($E1819,art_ref,0))&amp;"",""))</f>
        <v/>
      </c>
      <c r="H1819" s="68" t="n"/>
      <c r="I1819" s="69" t="n"/>
      <c r="J1819" s="70" t="str">
        <f>IF(E1819="","",IF(ISNUMBER(I1819),I1819,IFERROR(IF(ISNUMBER(INDEX(art_price,MATCH($E1819,art_ref,0))),INDEX(art_price,MATCH($E1819,art_ref,0)),""),"")))</f>
        <v/>
      </c>
      <c r="K1819" s="71" t="n"/>
      <c r="L1819" s="72" t="n"/>
      <c r="M1819" s="72" t="str">
        <f>IF(E1819="","",IF(L1819&lt;&gt;"",L1819,IFERROR(IF(ISNUMBER(INDEX(art_tva,MATCH($E1819,art_ref,0))),INDEX(art_tva,MATCH($E1819,art_ref,0)),""),"")))</f>
        <v/>
      </c>
      <c r="N1819" s="70" t="str">
        <f>IF(OR(E1819="",J1819=""),"",ROUND(N(H1819)*J1819*(1-N(K1819)),2))</f>
        <v/>
      </c>
      <c r="O1819" s="70" t="str">
        <f>IF(OR(N1819="",NOT(ISNUMBER(M1819))),"",ROUND(N1819*M1819,2))</f>
        <v/>
      </c>
      <c r="P1819" s="70" t="str">
        <f>IF(N1819="","",N1819+N(O1819))</f>
        <v/>
      </c>
      <c r="Q1819" s="64" t="n"/>
      <c r="R1819" s="73" t="str">
        <f>IF(N(Q1819)&gt;0,Q1819,IF(OR(N(B1819)=0,ISNA(MATCH($C1819,sup_code,0))),"",IF(ISNUMBER(INDEX(sup_delay,MATCH($C1819,sup_code,0))),B1819+INDEX(sup_delay,MATCH($C1819,sup_code,0)),"")))</f>
        <v/>
      </c>
      <c r="S1819" s="64" t="n"/>
      <c r="T1819" s="68" t="n"/>
      <c r="U1819" s="64" t="n"/>
      <c r="V1819" s="65" t="n"/>
      <c r="W1819" s="74" t="str">
        <f>IF(AND(A1819="",E1819=""),"",IF(V1819="Oui",0,MAX(0,ROUND(N(H1819)-N(T1819),6))))</f>
        <v/>
      </c>
      <c r="X1819" s="67" t="str">
        <f>IF(AND(A1819="",E1819=""),"",IF(V1819="Oui","Annulé",IF(AND(N(H1819)&gt;0,N(T1819)&gt;=N(H1819)),"Reçu",IF(N(S1819)=0,"Brouillon",IF(AND(ISNUMBER(R1819),R1819&lt;p_today),"En retard",IF(N(T1819)&gt;0,"Partiel","Envoyé"))))))</f>
        <v/>
      </c>
      <c r="Y1819" s="75" t="str">
        <f>IF(X1819="En retard",p_today-R1819,IF(AND(X1819="Reçu",ISNUMBER(R1819)),MAX(0,N(U1819)-R1819),""))</f>
        <v/>
      </c>
      <c r="Z1819" s="67" t="str">
        <f>IF(AND(A1819="",E1819=""),"",IF(A1819="","N° de bon manquant",IF(N(B1819)=0,"Date de commande manquante",IF(C1819="","Fournisseur manquant",IF(ISNA(MATCH($C1819,sup_code,0)),"Fournisseur inconnu",IF(E1819="","Article manquant",IF(ISNA(MATCH($E1819,art_ref,0)),"Article inconnu",IF(N(H1819)&lt;=0,"Quantité invalide",IF(J1819="","Prix manquant",IF(OR(N(K1819)&lt;0,N(K1819)&gt;=1),"Remise invalide",IF(M1819="","TVA manquante",IF(ISNA(MATCH(M1819,p_tva,0)),"Taux de TVA inconnu",IF(COUNTIFS(po_num,A1819,po_sup,"&lt;&gt;"&amp;C1819)&gt;0,"Fournisseur différent sur ce bon",IF(COUNTIFS(po_num,A1819,po_date,"&lt;&gt;"&amp;B1819)&gt;0,"Date différente sur ce bon",IF(COUNTIF(po_num,A1819)&gt;25,"Plus de 25 lignes sur ce bon",IF(R1819="","Date de livraison manquante",IF(R1819&lt;B1819,"Livraison avant la commande",IF(AND(N(T1819)&gt;0,N(S1819)=0),"Date d'envoi manquante",IF(N(T1819)&gt;N(H1819),"Reçu plus que commandé",IF(AND(N(T1819)&gt;0,N(U1819)=0),"Date de réception manquante",IF(AND(N(U1819)&gt;0,U1819&lt;B1819),"Réception avant la commande","OK")))))))))))))))))))))</f>
        <v/>
      </c>
      <c r="AA1819" s="66" t="str">
        <f>IF(AND(X1819="Reçu",ISNUMBER(R1819)),IF(N(U1819)&lt;=R1819,1,0),"")</f>
        <v/>
      </c>
      <c r="AB1819" s="76" t="str">
        <f>IF(OR(X1819="Envoyé",X1819="Partiel",X1819="En retard"),IF(ISNUMBER(R1819),R1819,100000)+ROW()/100000,"")</f>
        <v/>
      </c>
      <c r="AC1819" s="66" t="str">
        <f>IF(A1819="","",IF(COUNTIF($A$6:A1819,A1819)=1,1,""))</f>
        <v/>
      </c>
      <c r="AD1819" s="66" t="str">
        <f>IF(AC1819=1,COUNT($AC$6:AC1819),"")</f>
        <v/>
      </c>
      <c r="AE1819" s="66" t="str">
        <f>IFERROR(INDEX(po_num,MATCH(1814,po_seq,0))&amp;"","")</f>
        <v/>
      </c>
      <c r="AF1819" s="66" t="str">
        <f>IF(OR(A1819="",p_po=""),"",IF(A1819&amp;""=p_po,COUNTIF($A$6:A1819,A1819),""))</f>
        <v/>
      </c>
      <c r="AG1819" s="66" t="str">
        <f>IF(OR(AB1819="",A1819=""),"",IF(COUNTIFS($A$6:A1819,A1819,$AB$6:AB1819,"&gt;0")=1,1,""))</f>
        <v/>
      </c>
      <c r="AH1819" s="70" t="str">
        <f>IF(AB1819="","",ROUND(N(W1819)*N(J1819)*(1-N(K1819)),2))</f>
        <v/>
      </c>
      <c r="AI1819" s="70" t="str">
        <f>IF(OR(J1819="",N(T1819)&lt;=0,V1819="Oui"),"",ROUND(N(T1819)*J1819*(1-N(K1819)),2))</f>
        <v/>
      </c>
    </row>
    <row r="1820">
      <c r="A1820" s="63" t="n"/>
      <c r="B1820" s="64" t="n"/>
      <c r="C1820" s="65" t="n"/>
      <c r="D1820" s="66" t="str">
        <f>IF(C1820="","",IFERROR(INDEX(sup_name,MATCH($C1820,sup_code,0))&amp;"","Fournisseur inconnu"))</f>
        <v/>
      </c>
      <c r="E1820" s="63" t="n"/>
      <c r="F1820" s="66" t="str">
        <f>IF(E1820="","",IFERROR(INDEX(art_des,MATCH($E1820,art_ref,0))&amp;"","Article inconnu"))</f>
        <v/>
      </c>
      <c r="G1820" s="67" t="str">
        <f>IF(E1820="","",IFERROR(INDEX(art_unit,MATCH($E1820,art_ref,0))&amp;"",""))</f>
        <v/>
      </c>
      <c r="H1820" s="68" t="n"/>
      <c r="I1820" s="69" t="n"/>
      <c r="J1820" s="70" t="str">
        <f>IF(E1820="","",IF(ISNUMBER(I1820),I1820,IFERROR(IF(ISNUMBER(INDEX(art_price,MATCH($E1820,art_ref,0))),INDEX(art_price,MATCH($E1820,art_ref,0)),""),"")))</f>
        <v/>
      </c>
      <c r="K1820" s="71" t="n"/>
      <c r="L1820" s="72" t="n"/>
      <c r="M1820" s="72" t="str">
        <f>IF(E1820="","",IF(L1820&lt;&gt;"",L1820,IFERROR(IF(ISNUMBER(INDEX(art_tva,MATCH($E1820,art_ref,0))),INDEX(art_tva,MATCH($E1820,art_ref,0)),""),"")))</f>
        <v/>
      </c>
      <c r="N1820" s="70" t="str">
        <f>IF(OR(E1820="",J1820=""),"",ROUND(N(H1820)*J1820*(1-N(K1820)),2))</f>
        <v/>
      </c>
      <c r="O1820" s="70" t="str">
        <f>IF(OR(N1820="",NOT(ISNUMBER(M1820))),"",ROUND(N1820*M1820,2))</f>
        <v/>
      </c>
      <c r="P1820" s="70" t="str">
        <f>IF(N1820="","",N1820+N(O1820))</f>
        <v/>
      </c>
      <c r="Q1820" s="64" t="n"/>
      <c r="R1820" s="73" t="str">
        <f>IF(N(Q1820)&gt;0,Q1820,IF(OR(N(B1820)=0,ISNA(MATCH($C1820,sup_code,0))),"",IF(ISNUMBER(INDEX(sup_delay,MATCH($C1820,sup_code,0))),B1820+INDEX(sup_delay,MATCH($C1820,sup_code,0)),"")))</f>
        <v/>
      </c>
      <c r="S1820" s="64" t="n"/>
      <c r="T1820" s="68" t="n"/>
      <c r="U1820" s="64" t="n"/>
      <c r="V1820" s="65" t="n"/>
      <c r="W1820" s="74" t="str">
        <f>IF(AND(A1820="",E1820=""),"",IF(V1820="Oui",0,MAX(0,ROUND(N(H1820)-N(T1820),6))))</f>
        <v/>
      </c>
      <c r="X1820" s="67" t="str">
        <f>IF(AND(A1820="",E1820=""),"",IF(V1820="Oui","Annulé",IF(AND(N(H1820)&gt;0,N(T1820)&gt;=N(H1820)),"Reçu",IF(N(S1820)=0,"Brouillon",IF(AND(ISNUMBER(R1820),R1820&lt;p_today),"En retard",IF(N(T1820)&gt;0,"Partiel","Envoyé"))))))</f>
        <v/>
      </c>
      <c r="Y1820" s="75" t="str">
        <f>IF(X1820="En retard",p_today-R1820,IF(AND(X1820="Reçu",ISNUMBER(R1820)),MAX(0,N(U1820)-R1820),""))</f>
        <v/>
      </c>
      <c r="Z1820" s="67" t="str">
        <f>IF(AND(A1820="",E1820=""),"",IF(A1820="","N° de bon manquant",IF(N(B1820)=0,"Date de commande manquante",IF(C1820="","Fournisseur manquant",IF(ISNA(MATCH($C1820,sup_code,0)),"Fournisseur inconnu",IF(E1820="","Article manquant",IF(ISNA(MATCH($E1820,art_ref,0)),"Article inconnu",IF(N(H1820)&lt;=0,"Quantité invalide",IF(J1820="","Prix manquant",IF(OR(N(K1820)&lt;0,N(K1820)&gt;=1),"Remise invalide",IF(M1820="","TVA manquante",IF(ISNA(MATCH(M1820,p_tva,0)),"Taux de TVA inconnu",IF(COUNTIFS(po_num,A1820,po_sup,"&lt;&gt;"&amp;C1820)&gt;0,"Fournisseur différent sur ce bon",IF(COUNTIFS(po_num,A1820,po_date,"&lt;&gt;"&amp;B1820)&gt;0,"Date différente sur ce bon",IF(COUNTIF(po_num,A1820)&gt;25,"Plus de 25 lignes sur ce bon",IF(R1820="","Date de livraison manquante",IF(R1820&lt;B1820,"Livraison avant la commande",IF(AND(N(T1820)&gt;0,N(S1820)=0),"Date d'envoi manquante",IF(N(T1820)&gt;N(H1820),"Reçu plus que commandé",IF(AND(N(T1820)&gt;0,N(U1820)=0),"Date de réception manquante",IF(AND(N(U1820)&gt;0,U1820&lt;B1820),"Réception avant la commande","OK")))))))))))))))))))))</f>
        <v/>
      </c>
      <c r="AA1820" s="66" t="str">
        <f>IF(AND(X1820="Reçu",ISNUMBER(R1820)),IF(N(U1820)&lt;=R1820,1,0),"")</f>
        <v/>
      </c>
      <c r="AB1820" s="76" t="str">
        <f>IF(OR(X1820="Envoyé",X1820="Partiel",X1820="En retard"),IF(ISNUMBER(R1820),R1820,100000)+ROW()/100000,"")</f>
        <v/>
      </c>
      <c r="AC1820" s="66" t="str">
        <f>IF(A1820="","",IF(COUNTIF($A$6:A1820,A1820)=1,1,""))</f>
        <v/>
      </c>
      <c r="AD1820" s="66" t="str">
        <f>IF(AC1820=1,COUNT($AC$6:AC1820),"")</f>
        <v/>
      </c>
      <c r="AE1820" s="66" t="str">
        <f>IFERROR(INDEX(po_num,MATCH(1815,po_seq,0))&amp;"","")</f>
        <v/>
      </c>
      <c r="AF1820" s="66" t="str">
        <f>IF(OR(A1820="",p_po=""),"",IF(A1820&amp;""=p_po,COUNTIF($A$6:A1820,A1820),""))</f>
        <v/>
      </c>
      <c r="AG1820" s="66" t="str">
        <f>IF(OR(AB1820="",A1820=""),"",IF(COUNTIFS($A$6:A1820,A1820,$AB$6:AB1820,"&gt;0")=1,1,""))</f>
        <v/>
      </c>
      <c r="AH1820" s="70" t="str">
        <f>IF(AB1820="","",ROUND(N(W1820)*N(J1820)*(1-N(K1820)),2))</f>
        <v/>
      </c>
      <c r="AI1820" s="70" t="str">
        <f>IF(OR(J1820="",N(T1820)&lt;=0,V1820="Oui"),"",ROUND(N(T1820)*J1820*(1-N(K1820)),2))</f>
        <v/>
      </c>
    </row>
    <row r="1821">
      <c r="A1821" s="63" t="n"/>
      <c r="B1821" s="64" t="n"/>
      <c r="C1821" s="65" t="n"/>
      <c r="D1821" s="66" t="str">
        <f>IF(C1821="","",IFERROR(INDEX(sup_name,MATCH($C1821,sup_code,0))&amp;"","Fournisseur inconnu"))</f>
        <v/>
      </c>
      <c r="E1821" s="63" t="n"/>
      <c r="F1821" s="66" t="str">
        <f>IF(E1821="","",IFERROR(INDEX(art_des,MATCH($E1821,art_ref,0))&amp;"","Article inconnu"))</f>
        <v/>
      </c>
      <c r="G1821" s="67" t="str">
        <f>IF(E1821="","",IFERROR(INDEX(art_unit,MATCH($E1821,art_ref,0))&amp;"",""))</f>
        <v/>
      </c>
      <c r="H1821" s="68" t="n"/>
      <c r="I1821" s="69" t="n"/>
      <c r="J1821" s="70" t="str">
        <f>IF(E1821="","",IF(ISNUMBER(I1821),I1821,IFERROR(IF(ISNUMBER(INDEX(art_price,MATCH($E1821,art_ref,0))),INDEX(art_price,MATCH($E1821,art_ref,0)),""),"")))</f>
        <v/>
      </c>
      <c r="K1821" s="71" t="n"/>
      <c r="L1821" s="72" t="n"/>
      <c r="M1821" s="72" t="str">
        <f>IF(E1821="","",IF(L1821&lt;&gt;"",L1821,IFERROR(IF(ISNUMBER(INDEX(art_tva,MATCH($E1821,art_ref,0))),INDEX(art_tva,MATCH($E1821,art_ref,0)),""),"")))</f>
        <v/>
      </c>
      <c r="N1821" s="70" t="str">
        <f>IF(OR(E1821="",J1821=""),"",ROUND(N(H1821)*J1821*(1-N(K1821)),2))</f>
        <v/>
      </c>
      <c r="O1821" s="70" t="str">
        <f>IF(OR(N1821="",NOT(ISNUMBER(M1821))),"",ROUND(N1821*M1821,2))</f>
        <v/>
      </c>
      <c r="P1821" s="70" t="str">
        <f>IF(N1821="","",N1821+N(O1821))</f>
        <v/>
      </c>
      <c r="Q1821" s="64" t="n"/>
      <c r="R1821" s="73" t="str">
        <f>IF(N(Q1821)&gt;0,Q1821,IF(OR(N(B1821)=0,ISNA(MATCH($C1821,sup_code,0))),"",IF(ISNUMBER(INDEX(sup_delay,MATCH($C1821,sup_code,0))),B1821+INDEX(sup_delay,MATCH($C1821,sup_code,0)),"")))</f>
        <v/>
      </c>
      <c r="S1821" s="64" t="n"/>
      <c r="T1821" s="68" t="n"/>
      <c r="U1821" s="64" t="n"/>
      <c r="V1821" s="65" t="n"/>
      <c r="W1821" s="74" t="str">
        <f>IF(AND(A1821="",E1821=""),"",IF(V1821="Oui",0,MAX(0,ROUND(N(H1821)-N(T1821),6))))</f>
        <v/>
      </c>
      <c r="X1821" s="67" t="str">
        <f>IF(AND(A1821="",E1821=""),"",IF(V1821="Oui","Annulé",IF(AND(N(H1821)&gt;0,N(T1821)&gt;=N(H1821)),"Reçu",IF(N(S1821)=0,"Brouillon",IF(AND(ISNUMBER(R1821),R1821&lt;p_today),"En retard",IF(N(T1821)&gt;0,"Partiel","Envoyé"))))))</f>
        <v/>
      </c>
      <c r="Y1821" s="75" t="str">
        <f>IF(X1821="En retard",p_today-R1821,IF(AND(X1821="Reçu",ISNUMBER(R1821)),MAX(0,N(U1821)-R1821),""))</f>
        <v/>
      </c>
      <c r="Z1821" s="67" t="str">
        <f>IF(AND(A1821="",E1821=""),"",IF(A1821="","N° de bon manquant",IF(N(B1821)=0,"Date de commande manquante",IF(C1821="","Fournisseur manquant",IF(ISNA(MATCH($C1821,sup_code,0)),"Fournisseur inconnu",IF(E1821="","Article manquant",IF(ISNA(MATCH($E1821,art_ref,0)),"Article inconnu",IF(N(H1821)&lt;=0,"Quantité invalide",IF(J1821="","Prix manquant",IF(OR(N(K1821)&lt;0,N(K1821)&gt;=1),"Remise invalide",IF(M1821="","TVA manquante",IF(ISNA(MATCH(M1821,p_tva,0)),"Taux de TVA inconnu",IF(COUNTIFS(po_num,A1821,po_sup,"&lt;&gt;"&amp;C1821)&gt;0,"Fournisseur différent sur ce bon",IF(COUNTIFS(po_num,A1821,po_date,"&lt;&gt;"&amp;B1821)&gt;0,"Date différente sur ce bon",IF(COUNTIF(po_num,A1821)&gt;25,"Plus de 25 lignes sur ce bon",IF(R1821="","Date de livraison manquante",IF(R1821&lt;B1821,"Livraison avant la commande",IF(AND(N(T1821)&gt;0,N(S1821)=0),"Date d'envoi manquante",IF(N(T1821)&gt;N(H1821),"Reçu plus que commandé",IF(AND(N(T1821)&gt;0,N(U1821)=0),"Date de réception manquante",IF(AND(N(U1821)&gt;0,U1821&lt;B1821),"Réception avant la commande","OK")))))))))))))))))))))</f>
        <v/>
      </c>
      <c r="AA1821" s="66" t="str">
        <f>IF(AND(X1821="Reçu",ISNUMBER(R1821)),IF(N(U1821)&lt;=R1821,1,0),"")</f>
        <v/>
      </c>
      <c r="AB1821" s="76" t="str">
        <f>IF(OR(X1821="Envoyé",X1821="Partiel",X1821="En retard"),IF(ISNUMBER(R1821),R1821,100000)+ROW()/100000,"")</f>
        <v/>
      </c>
      <c r="AC1821" s="66" t="str">
        <f>IF(A1821="","",IF(COUNTIF($A$6:A1821,A1821)=1,1,""))</f>
        <v/>
      </c>
      <c r="AD1821" s="66" t="str">
        <f>IF(AC1821=1,COUNT($AC$6:AC1821),"")</f>
        <v/>
      </c>
      <c r="AE1821" s="66" t="str">
        <f>IFERROR(INDEX(po_num,MATCH(1816,po_seq,0))&amp;"","")</f>
        <v/>
      </c>
      <c r="AF1821" s="66" t="str">
        <f>IF(OR(A1821="",p_po=""),"",IF(A1821&amp;""=p_po,COUNTIF($A$6:A1821,A1821),""))</f>
        <v/>
      </c>
      <c r="AG1821" s="66" t="str">
        <f>IF(OR(AB1821="",A1821=""),"",IF(COUNTIFS($A$6:A1821,A1821,$AB$6:AB1821,"&gt;0")=1,1,""))</f>
        <v/>
      </c>
      <c r="AH1821" s="70" t="str">
        <f>IF(AB1821="","",ROUND(N(W1821)*N(J1821)*(1-N(K1821)),2))</f>
        <v/>
      </c>
      <c r="AI1821" s="70" t="str">
        <f>IF(OR(J1821="",N(T1821)&lt;=0,V1821="Oui"),"",ROUND(N(T1821)*J1821*(1-N(K1821)),2))</f>
        <v/>
      </c>
    </row>
    <row r="1822">
      <c r="A1822" s="63" t="n"/>
      <c r="B1822" s="64" t="n"/>
      <c r="C1822" s="65" t="n"/>
      <c r="D1822" s="66" t="str">
        <f>IF(C1822="","",IFERROR(INDEX(sup_name,MATCH($C1822,sup_code,0))&amp;"","Fournisseur inconnu"))</f>
        <v/>
      </c>
      <c r="E1822" s="63" t="n"/>
      <c r="F1822" s="66" t="str">
        <f>IF(E1822="","",IFERROR(INDEX(art_des,MATCH($E1822,art_ref,0))&amp;"","Article inconnu"))</f>
        <v/>
      </c>
      <c r="G1822" s="67" t="str">
        <f>IF(E1822="","",IFERROR(INDEX(art_unit,MATCH($E1822,art_ref,0))&amp;"",""))</f>
        <v/>
      </c>
      <c r="H1822" s="68" t="n"/>
      <c r="I1822" s="69" t="n"/>
      <c r="J1822" s="70" t="str">
        <f>IF(E1822="","",IF(ISNUMBER(I1822),I1822,IFERROR(IF(ISNUMBER(INDEX(art_price,MATCH($E1822,art_ref,0))),INDEX(art_price,MATCH($E1822,art_ref,0)),""),"")))</f>
        <v/>
      </c>
      <c r="K1822" s="71" t="n"/>
      <c r="L1822" s="72" t="n"/>
      <c r="M1822" s="72" t="str">
        <f>IF(E1822="","",IF(L1822&lt;&gt;"",L1822,IFERROR(IF(ISNUMBER(INDEX(art_tva,MATCH($E1822,art_ref,0))),INDEX(art_tva,MATCH($E1822,art_ref,0)),""),"")))</f>
        <v/>
      </c>
      <c r="N1822" s="70" t="str">
        <f>IF(OR(E1822="",J1822=""),"",ROUND(N(H1822)*J1822*(1-N(K1822)),2))</f>
        <v/>
      </c>
      <c r="O1822" s="70" t="str">
        <f>IF(OR(N1822="",NOT(ISNUMBER(M1822))),"",ROUND(N1822*M1822,2))</f>
        <v/>
      </c>
      <c r="P1822" s="70" t="str">
        <f>IF(N1822="","",N1822+N(O1822))</f>
        <v/>
      </c>
      <c r="Q1822" s="64" t="n"/>
      <c r="R1822" s="73" t="str">
        <f>IF(N(Q1822)&gt;0,Q1822,IF(OR(N(B1822)=0,ISNA(MATCH($C1822,sup_code,0))),"",IF(ISNUMBER(INDEX(sup_delay,MATCH($C1822,sup_code,0))),B1822+INDEX(sup_delay,MATCH($C1822,sup_code,0)),"")))</f>
        <v/>
      </c>
      <c r="S1822" s="64" t="n"/>
      <c r="T1822" s="68" t="n"/>
      <c r="U1822" s="64" t="n"/>
      <c r="V1822" s="65" t="n"/>
      <c r="W1822" s="74" t="str">
        <f>IF(AND(A1822="",E1822=""),"",IF(V1822="Oui",0,MAX(0,ROUND(N(H1822)-N(T1822),6))))</f>
        <v/>
      </c>
      <c r="X1822" s="67" t="str">
        <f>IF(AND(A1822="",E1822=""),"",IF(V1822="Oui","Annulé",IF(AND(N(H1822)&gt;0,N(T1822)&gt;=N(H1822)),"Reçu",IF(N(S1822)=0,"Brouillon",IF(AND(ISNUMBER(R1822),R1822&lt;p_today),"En retard",IF(N(T1822)&gt;0,"Partiel","Envoyé"))))))</f>
        <v/>
      </c>
      <c r="Y1822" s="75" t="str">
        <f>IF(X1822="En retard",p_today-R1822,IF(AND(X1822="Reçu",ISNUMBER(R1822)),MAX(0,N(U1822)-R1822),""))</f>
        <v/>
      </c>
      <c r="Z1822" s="67" t="str">
        <f>IF(AND(A1822="",E1822=""),"",IF(A1822="","N° de bon manquant",IF(N(B1822)=0,"Date de commande manquante",IF(C1822="","Fournisseur manquant",IF(ISNA(MATCH($C1822,sup_code,0)),"Fournisseur inconnu",IF(E1822="","Article manquant",IF(ISNA(MATCH($E1822,art_ref,0)),"Article inconnu",IF(N(H1822)&lt;=0,"Quantité invalide",IF(J1822="","Prix manquant",IF(OR(N(K1822)&lt;0,N(K1822)&gt;=1),"Remise invalide",IF(M1822="","TVA manquante",IF(ISNA(MATCH(M1822,p_tva,0)),"Taux de TVA inconnu",IF(COUNTIFS(po_num,A1822,po_sup,"&lt;&gt;"&amp;C1822)&gt;0,"Fournisseur différent sur ce bon",IF(COUNTIFS(po_num,A1822,po_date,"&lt;&gt;"&amp;B1822)&gt;0,"Date différente sur ce bon",IF(COUNTIF(po_num,A1822)&gt;25,"Plus de 25 lignes sur ce bon",IF(R1822="","Date de livraison manquante",IF(R1822&lt;B1822,"Livraison avant la commande",IF(AND(N(T1822)&gt;0,N(S1822)=0),"Date d'envoi manquante",IF(N(T1822)&gt;N(H1822),"Reçu plus que commandé",IF(AND(N(T1822)&gt;0,N(U1822)=0),"Date de réception manquante",IF(AND(N(U1822)&gt;0,U1822&lt;B1822),"Réception avant la commande","OK")))))))))))))))))))))</f>
        <v/>
      </c>
      <c r="AA1822" s="66" t="str">
        <f>IF(AND(X1822="Reçu",ISNUMBER(R1822)),IF(N(U1822)&lt;=R1822,1,0),"")</f>
        <v/>
      </c>
      <c r="AB1822" s="76" t="str">
        <f>IF(OR(X1822="Envoyé",X1822="Partiel",X1822="En retard"),IF(ISNUMBER(R1822),R1822,100000)+ROW()/100000,"")</f>
        <v/>
      </c>
      <c r="AC1822" s="66" t="str">
        <f>IF(A1822="","",IF(COUNTIF($A$6:A1822,A1822)=1,1,""))</f>
        <v/>
      </c>
      <c r="AD1822" s="66" t="str">
        <f>IF(AC1822=1,COUNT($AC$6:AC1822),"")</f>
        <v/>
      </c>
      <c r="AE1822" s="66" t="str">
        <f>IFERROR(INDEX(po_num,MATCH(1817,po_seq,0))&amp;"","")</f>
        <v/>
      </c>
      <c r="AF1822" s="66" t="str">
        <f>IF(OR(A1822="",p_po=""),"",IF(A1822&amp;""=p_po,COUNTIF($A$6:A1822,A1822),""))</f>
        <v/>
      </c>
      <c r="AG1822" s="66" t="str">
        <f>IF(OR(AB1822="",A1822=""),"",IF(COUNTIFS($A$6:A1822,A1822,$AB$6:AB1822,"&gt;0")=1,1,""))</f>
        <v/>
      </c>
      <c r="AH1822" s="70" t="str">
        <f>IF(AB1822="","",ROUND(N(W1822)*N(J1822)*(1-N(K1822)),2))</f>
        <v/>
      </c>
      <c r="AI1822" s="70" t="str">
        <f>IF(OR(J1822="",N(T1822)&lt;=0,V1822="Oui"),"",ROUND(N(T1822)*J1822*(1-N(K1822)),2))</f>
        <v/>
      </c>
    </row>
    <row r="1823">
      <c r="A1823" s="63" t="n"/>
      <c r="B1823" s="64" t="n"/>
      <c r="C1823" s="65" t="n"/>
      <c r="D1823" s="66" t="str">
        <f>IF(C1823="","",IFERROR(INDEX(sup_name,MATCH($C1823,sup_code,0))&amp;"","Fournisseur inconnu"))</f>
        <v/>
      </c>
      <c r="E1823" s="63" t="n"/>
      <c r="F1823" s="66" t="str">
        <f>IF(E1823="","",IFERROR(INDEX(art_des,MATCH($E1823,art_ref,0))&amp;"","Article inconnu"))</f>
        <v/>
      </c>
      <c r="G1823" s="67" t="str">
        <f>IF(E1823="","",IFERROR(INDEX(art_unit,MATCH($E1823,art_ref,0))&amp;"",""))</f>
        <v/>
      </c>
      <c r="H1823" s="68" t="n"/>
      <c r="I1823" s="69" t="n"/>
      <c r="J1823" s="70" t="str">
        <f>IF(E1823="","",IF(ISNUMBER(I1823),I1823,IFERROR(IF(ISNUMBER(INDEX(art_price,MATCH($E1823,art_ref,0))),INDEX(art_price,MATCH($E1823,art_ref,0)),""),"")))</f>
        <v/>
      </c>
      <c r="K1823" s="71" t="n"/>
      <c r="L1823" s="72" t="n"/>
      <c r="M1823" s="72" t="str">
        <f>IF(E1823="","",IF(L1823&lt;&gt;"",L1823,IFERROR(IF(ISNUMBER(INDEX(art_tva,MATCH($E1823,art_ref,0))),INDEX(art_tva,MATCH($E1823,art_ref,0)),""),"")))</f>
        <v/>
      </c>
      <c r="N1823" s="70" t="str">
        <f>IF(OR(E1823="",J1823=""),"",ROUND(N(H1823)*J1823*(1-N(K1823)),2))</f>
        <v/>
      </c>
      <c r="O1823" s="70" t="str">
        <f>IF(OR(N1823="",NOT(ISNUMBER(M1823))),"",ROUND(N1823*M1823,2))</f>
        <v/>
      </c>
      <c r="P1823" s="70" t="str">
        <f>IF(N1823="","",N1823+N(O1823))</f>
        <v/>
      </c>
      <c r="Q1823" s="64" t="n"/>
      <c r="R1823" s="73" t="str">
        <f>IF(N(Q1823)&gt;0,Q1823,IF(OR(N(B1823)=0,ISNA(MATCH($C1823,sup_code,0))),"",IF(ISNUMBER(INDEX(sup_delay,MATCH($C1823,sup_code,0))),B1823+INDEX(sup_delay,MATCH($C1823,sup_code,0)),"")))</f>
        <v/>
      </c>
      <c r="S1823" s="64" t="n"/>
      <c r="T1823" s="68" t="n"/>
      <c r="U1823" s="64" t="n"/>
      <c r="V1823" s="65" t="n"/>
      <c r="W1823" s="74" t="str">
        <f>IF(AND(A1823="",E1823=""),"",IF(V1823="Oui",0,MAX(0,ROUND(N(H1823)-N(T1823),6))))</f>
        <v/>
      </c>
      <c r="X1823" s="67" t="str">
        <f>IF(AND(A1823="",E1823=""),"",IF(V1823="Oui","Annulé",IF(AND(N(H1823)&gt;0,N(T1823)&gt;=N(H1823)),"Reçu",IF(N(S1823)=0,"Brouillon",IF(AND(ISNUMBER(R1823),R1823&lt;p_today),"En retard",IF(N(T1823)&gt;0,"Partiel","Envoyé"))))))</f>
        <v/>
      </c>
      <c r="Y1823" s="75" t="str">
        <f>IF(X1823="En retard",p_today-R1823,IF(AND(X1823="Reçu",ISNUMBER(R1823)),MAX(0,N(U1823)-R1823),""))</f>
        <v/>
      </c>
      <c r="Z1823" s="67" t="str">
        <f>IF(AND(A1823="",E1823=""),"",IF(A1823="","N° de bon manquant",IF(N(B1823)=0,"Date de commande manquante",IF(C1823="","Fournisseur manquant",IF(ISNA(MATCH($C1823,sup_code,0)),"Fournisseur inconnu",IF(E1823="","Article manquant",IF(ISNA(MATCH($E1823,art_ref,0)),"Article inconnu",IF(N(H1823)&lt;=0,"Quantité invalide",IF(J1823="","Prix manquant",IF(OR(N(K1823)&lt;0,N(K1823)&gt;=1),"Remise invalide",IF(M1823="","TVA manquante",IF(ISNA(MATCH(M1823,p_tva,0)),"Taux de TVA inconnu",IF(COUNTIFS(po_num,A1823,po_sup,"&lt;&gt;"&amp;C1823)&gt;0,"Fournisseur différent sur ce bon",IF(COUNTIFS(po_num,A1823,po_date,"&lt;&gt;"&amp;B1823)&gt;0,"Date différente sur ce bon",IF(COUNTIF(po_num,A1823)&gt;25,"Plus de 25 lignes sur ce bon",IF(R1823="","Date de livraison manquante",IF(R1823&lt;B1823,"Livraison avant la commande",IF(AND(N(T1823)&gt;0,N(S1823)=0),"Date d'envoi manquante",IF(N(T1823)&gt;N(H1823),"Reçu plus que commandé",IF(AND(N(T1823)&gt;0,N(U1823)=0),"Date de réception manquante",IF(AND(N(U1823)&gt;0,U1823&lt;B1823),"Réception avant la commande","OK")))))))))))))))))))))</f>
        <v/>
      </c>
      <c r="AA1823" s="66" t="str">
        <f>IF(AND(X1823="Reçu",ISNUMBER(R1823)),IF(N(U1823)&lt;=R1823,1,0),"")</f>
        <v/>
      </c>
      <c r="AB1823" s="76" t="str">
        <f>IF(OR(X1823="Envoyé",X1823="Partiel",X1823="En retard"),IF(ISNUMBER(R1823),R1823,100000)+ROW()/100000,"")</f>
        <v/>
      </c>
      <c r="AC1823" s="66" t="str">
        <f>IF(A1823="","",IF(COUNTIF($A$6:A1823,A1823)=1,1,""))</f>
        <v/>
      </c>
      <c r="AD1823" s="66" t="str">
        <f>IF(AC1823=1,COUNT($AC$6:AC1823),"")</f>
        <v/>
      </c>
      <c r="AE1823" s="66" t="str">
        <f>IFERROR(INDEX(po_num,MATCH(1818,po_seq,0))&amp;"","")</f>
        <v/>
      </c>
      <c r="AF1823" s="66" t="str">
        <f>IF(OR(A1823="",p_po=""),"",IF(A1823&amp;""=p_po,COUNTIF($A$6:A1823,A1823),""))</f>
        <v/>
      </c>
      <c r="AG1823" s="66" t="str">
        <f>IF(OR(AB1823="",A1823=""),"",IF(COUNTIFS($A$6:A1823,A1823,$AB$6:AB1823,"&gt;0")=1,1,""))</f>
        <v/>
      </c>
      <c r="AH1823" s="70" t="str">
        <f>IF(AB1823="","",ROUND(N(W1823)*N(J1823)*(1-N(K1823)),2))</f>
        <v/>
      </c>
      <c r="AI1823" s="70" t="str">
        <f>IF(OR(J1823="",N(T1823)&lt;=0,V1823="Oui"),"",ROUND(N(T1823)*J1823*(1-N(K1823)),2))</f>
        <v/>
      </c>
    </row>
    <row r="1824">
      <c r="A1824" s="63" t="n"/>
      <c r="B1824" s="64" t="n"/>
      <c r="C1824" s="65" t="n"/>
      <c r="D1824" s="66" t="str">
        <f>IF(C1824="","",IFERROR(INDEX(sup_name,MATCH($C1824,sup_code,0))&amp;"","Fournisseur inconnu"))</f>
        <v/>
      </c>
      <c r="E1824" s="63" t="n"/>
      <c r="F1824" s="66" t="str">
        <f>IF(E1824="","",IFERROR(INDEX(art_des,MATCH($E1824,art_ref,0))&amp;"","Article inconnu"))</f>
        <v/>
      </c>
      <c r="G1824" s="67" t="str">
        <f>IF(E1824="","",IFERROR(INDEX(art_unit,MATCH($E1824,art_ref,0))&amp;"",""))</f>
        <v/>
      </c>
      <c r="H1824" s="68" t="n"/>
      <c r="I1824" s="69" t="n"/>
      <c r="J1824" s="70" t="str">
        <f>IF(E1824="","",IF(ISNUMBER(I1824),I1824,IFERROR(IF(ISNUMBER(INDEX(art_price,MATCH($E1824,art_ref,0))),INDEX(art_price,MATCH($E1824,art_ref,0)),""),"")))</f>
        <v/>
      </c>
      <c r="K1824" s="71" t="n"/>
      <c r="L1824" s="72" t="n"/>
      <c r="M1824" s="72" t="str">
        <f>IF(E1824="","",IF(L1824&lt;&gt;"",L1824,IFERROR(IF(ISNUMBER(INDEX(art_tva,MATCH($E1824,art_ref,0))),INDEX(art_tva,MATCH($E1824,art_ref,0)),""),"")))</f>
        <v/>
      </c>
      <c r="N1824" s="70" t="str">
        <f>IF(OR(E1824="",J1824=""),"",ROUND(N(H1824)*J1824*(1-N(K1824)),2))</f>
        <v/>
      </c>
      <c r="O1824" s="70" t="str">
        <f>IF(OR(N1824="",NOT(ISNUMBER(M1824))),"",ROUND(N1824*M1824,2))</f>
        <v/>
      </c>
      <c r="P1824" s="70" t="str">
        <f>IF(N1824="","",N1824+N(O1824))</f>
        <v/>
      </c>
      <c r="Q1824" s="64" t="n"/>
      <c r="R1824" s="73" t="str">
        <f>IF(N(Q1824)&gt;0,Q1824,IF(OR(N(B1824)=0,ISNA(MATCH($C1824,sup_code,0))),"",IF(ISNUMBER(INDEX(sup_delay,MATCH($C1824,sup_code,0))),B1824+INDEX(sup_delay,MATCH($C1824,sup_code,0)),"")))</f>
        <v/>
      </c>
      <c r="S1824" s="64" t="n"/>
      <c r="T1824" s="68" t="n"/>
      <c r="U1824" s="64" t="n"/>
      <c r="V1824" s="65" t="n"/>
      <c r="W1824" s="74" t="str">
        <f>IF(AND(A1824="",E1824=""),"",IF(V1824="Oui",0,MAX(0,ROUND(N(H1824)-N(T1824),6))))</f>
        <v/>
      </c>
      <c r="X1824" s="67" t="str">
        <f>IF(AND(A1824="",E1824=""),"",IF(V1824="Oui","Annulé",IF(AND(N(H1824)&gt;0,N(T1824)&gt;=N(H1824)),"Reçu",IF(N(S1824)=0,"Brouillon",IF(AND(ISNUMBER(R1824),R1824&lt;p_today),"En retard",IF(N(T1824)&gt;0,"Partiel","Envoyé"))))))</f>
        <v/>
      </c>
      <c r="Y1824" s="75" t="str">
        <f>IF(X1824="En retard",p_today-R1824,IF(AND(X1824="Reçu",ISNUMBER(R1824)),MAX(0,N(U1824)-R1824),""))</f>
        <v/>
      </c>
      <c r="Z1824" s="67" t="str">
        <f>IF(AND(A1824="",E1824=""),"",IF(A1824="","N° de bon manquant",IF(N(B1824)=0,"Date de commande manquante",IF(C1824="","Fournisseur manquant",IF(ISNA(MATCH($C1824,sup_code,0)),"Fournisseur inconnu",IF(E1824="","Article manquant",IF(ISNA(MATCH($E1824,art_ref,0)),"Article inconnu",IF(N(H1824)&lt;=0,"Quantité invalide",IF(J1824="","Prix manquant",IF(OR(N(K1824)&lt;0,N(K1824)&gt;=1),"Remise invalide",IF(M1824="","TVA manquante",IF(ISNA(MATCH(M1824,p_tva,0)),"Taux de TVA inconnu",IF(COUNTIFS(po_num,A1824,po_sup,"&lt;&gt;"&amp;C1824)&gt;0,"Fournisseur différent sur ce bon",IF(COUNTIFS(po_num,A1824,po_date,"&lt;&gt;"&amp;B1824)&gt;0,"Date différente sur ce bon",IF(COUNTIF(po_num,A1824)&gt;25,"Plus de 25 lignes sur ce bon",IF(R1824="","Date de livraison manquante",IF(R1824&lt;B1824,"Livraison avant la commande",IF(AND(N(T1824)&gt;0,N(S1824)=0),"Date d'envoi manquante",IF(N(T1824)&gt;N(H1824),"Reçu plus que commandé",IF(AND(N(T1824)&gt;0,N(U1824)=0),"Date de réception manquante",IF(AND(N(U1824)&gt;0,U1824&lt;B1824),"Réception avant la commande","OK")))))))))))))))))))))</f>
        <v/>
      </c>
      <c r="AA1824" s="66" t="str">
        <f>IF(AND(X1824="Reçu",ISNUMBER(R1824)),IF(N(U1824)&lt;=R1824,1,0),"")</f>
        <v/>
      </c>
      <c r="AB1824" s="76" t="str">
        <f>IF(OR(X1824="Envoyé",X1824="Partiel",X1824="En retard"),IF(ISNUMBER(R1824),R1824,100000)+ROW()/100000,"")</f>
        <v/>
      </c>
      <c r="AC1824" s="66" t="str">
        <f>IF(A1824="","",IF(COUNTIF($A$6:A1824,A1824)=1,1,""))</f>
        <v/>
      </c>
      <c r="AD1824" s="66" t="str">
        <f>IF(AC1824=1,COUNT($AC$6:AC1824),"")</f>
        <v/>
      </c>
      <c r="AE1824" s="66" t="str">
        <f>IFERROR(INDEX(po_num,MATCH(1819,po_seq,0))&amp;"","")</f>
        <v/>
      </c>
      <c r="AF1824" s="66" t="str">
        <f>IF(OR(A1824="",p_po=""),"",IF(A1824&amp;""=p_po,COUNTIF($A$6:A1824,A1824),""))</f>
        <v/>
      </c>
      <c r="AG1824" s="66" t="str">
        <f>IF(OR(AB1824="",A1824=""),"",IF(COUNTIFS($A$6:A1824,A1824,$AB$6:AB1824,"&gt;0")=1,1,""))</f>
        <v/>
      </c>
      <c r="AH1824" s="70" t="str">
        <f>IF(AB1824="","",ROUND(N(W1824)*N(J1824)*(1-N(K1824)),2))</f>
        <v/>
      </c>
      <c r="AI1824" s="70" t="str">
        <f>IF(OR(J1824="",N(T1824)&lt;=0,V1824="Oui"),"",ROUND(N(T1824)*J1824*(1-N(K1824)),2))</f>
        <v/>
      </c>
    </row>
    <row r="1825">
      <c r="A1825" s="63" t="n"/>
      <c r="B1825" s="64" t="n"/>
      <c r="C1825" s="65" t="n"/>
      <c r="D1825" s="66" t="str">
        <f>IF(C1825="","",IFERROR(INDEX(sup_name,MATCH($C1825,sup_code,0))&amp;"","Fournisseur inconnu"))</f>
        <v/>
      </c>
      <c r="E1825" s="63" t="n"/>
      <c r="F1825" s="66" t="str">
        <f>IF(E1825="","",IFERROR(INDEX(art_des,MATCH($E1825,art_ref,0))&amp;"","Article inconnu"))</f>
        <v/>
      </c>
      <c r="G1825" s="67" t="str">
        <f>IF(E1825="","",IFERROR(INDEX(art_unit,MATCH($E1825,art_ref,0))&amp;"",""))</f>
        <v/>
      </c>
      <c r="H1825" s="68" t="n"/>
      <c r="I1825" s="69" t="n"/>
      <c r="J1825" s="70" t="str">
        <f>IF(E1825="","",IF(ISNUMBER(I1825),I1825,IFERROR(IF(ISNUMBER(INDEX(art_price,MATCH($E1825,art_ref,0))),INDEX(art_price,MATCH($E1825,art_ref,0)),""),"")))</f>
        <v/>
      </c>
      <c r="K1825" s="71" t="n"/>
      <c r="L1825" s="72" t="n"/>
      <c r="M1825" s="72" t="str">
        <f>IF(E1825="","",IF(L1825&lt;&gt;"",L1825,IFERROR(IF(ISNUMBER(INDEX(art_tva,MATCH($E1825,art_ref,0))),INDEX(art_tva,MATCH($E1825,art_ref,0)),""),"")))</f>
        <v/>
      </c>
      <c r="N1825" s="70" t="str">
        <f>IF(OR(E1825="",J1825=""),"",ROUND(N(H1825)*J1825*(1-N(K1825)),2))</f>
        <v/>
      </c>
      <c r="O1825" s="70" t="str">
        <f>IF(OR(N1825="",NOT(ISNUMBER(M1825))),"",ROUND(N1825*M1825,2))</f>
        <v/>
      </c>
      <c r="P1825" s="70" t="str">
        <f>IF(N1825="","",N1825+N(O1825))</f>
        <v/>
      </c>
      <c r="Q1825" s="64" t="n"/>
      <c r="R1825" s="73" t="str">
        <f>IF(N(Q1825)&gt;0,Q1825,IF(OR(N(B1825)=0,ISNA(MATCH($C1825,sup_code,0))),"",IF(ISNUMBER(INDEX(sup_delay,MATCH($C1825,sup_code,0))),B1825+INDEX(sup_delay,MATCH($C1825,sup_code,0)),"")))</f>
        <v/>
      </c>
      <c r="S1825" s="64" t="n"/>
      <c r="T1825" s="68" t="n"/>
      <c r="U1825" s="64" t="n"/>
      <c r="V1825" s="65" t="n"/>
      <c r="W1825" s="74" t="str">
        <f>IF(AND(A1825="",E1825=""),"",IF(V1825="Oui",0,MAX(0,ROUND(N(H1825)-N(T1825),6))))</f>
        <v/>
      </c>
      <c r="X1825" s="67" t="str">
        <f>IF(AND(A1825="",E1825=""),"",IF(V1825="Oui","Annulé",IF(AND(N(H1825)&gt;0,N(T1825)&gt;=N(H1825)),"Reçu",IF(N(S1825)=0,"Brouillon",IF(AND(ISNUMBER(R1825),R1825&lt;p_today),"En retard",IF(N(T1825)&gt;0,"Partiel","Envoyé"))))))</f>
        <v/>
      </c>
      <c r="Y1825" s="75" t="str">
        <f>IF(X1825="En retard",p_today-R1825,IF(AND(X1825="Reçu",ISNUMBER(R1825)),MAX(0,N(U1825)-R1825),""))</f>
        <v/>
      </c>
      <c r="Z1825" s="67" t="str">
        <f>IF(AND(A1825="",E1825=""),"",IF(A1825="","N° de bon manquant",IF(N(B1825)=0,"Date de commande manquante",IF(C1825="","Fournisseur manquant",IF(ISNA(MATCH($C1825,sup_code,0)),"Fournisseur inconnu",IF(E1825="","Article manquant",IF(ISNA(MATCH($E1825,art_ref,0)),"Article inconnu",IF(N(H1825)&lt;=0,"Quantité invalide",IF(J1825="","Prix manquant",IF(OR(N(K1825)&lt;0,N(K1825)&gt;=1),"Remise invalide",IF(M1825="","TVA manquante",IF(ISNA(MATCH(M1825,p_tva,0)),"Taux de TVA inconnu",IF(COUNTIFS(po_num,A1825,po_sup,"&lt;&gt;"&amp;C1825)&gt;0,"Fournisseur différent sur ce bon",IF(COUNTIFS(po_num,A1825,po_date,"&lt;&gt;"&amp;B1825)&gt;0,"Date différente sur ce bon",IF(COUNTIF(po_num,A1825)&gt;25,"Plus de 25 lignes sur ce bon",IF(R1825="","Date de livraison manquante",IF(R1825&lt;B1825,"Livraison avant la commande",IF(AND(N(T1825)&gt;0,N(S1825)=0),"Date d'envoi manquante",IF(N(T1825)&gt;N(H1825),"Reçu plus que commandé",IF(AND(N(T1825)&gt;0,N(U1825)=0),"Date de réception manquante",IF(AND(N(U1825)&gt;0,U1825&lt;B1825),"Réception avant la commande","OK")))))))))))))))))))))</f>
        <v/>
      </c>
      <c r="AA1825" s="66" t="str">
        <f>IF(AND(X1825="Reçu",ISNUMBER(R1825)),IF(N(U1825)&lt;=R1825,1,0),"")</f>
        <v/>
      </c>
      <c r="AB1825" s="76" t="str">
        <f>IF(OR(X1825="Envoyé",X1825="Partiel",X1825="En retard"),IF(ISNUMBER(R1825),R1825,100000)+ROW()/100000,"")</f>
        <v/>
      </c>
      <c r="AC1825" s="66" t="str">
        <f>IF(A1825="","",IF(COUNTIF($A$6:A1825,A1825)=1,1,""))</f>
        <v/>
      </c>
      <c r="AD1825" s="66" t="str">
        <f>IF(AC1825=1,COUNT($AC$6:AC1825),"")</f>
        <v/>
      </c>
      <c r="AE1825" s="66" t="str">
        <f>IFERROR(INDEX(po_num,MATCH(1820,po_seq,0))&amp;"","")</f>
        <v/>
      </c>
      <c r="AF1825" s="66" t="str">
        <f>IF(OR(A1825="",p_po=""),"",IF(A1825&amp;""=p_po,COUNTIF($A$6:A1825,A1825),""))</f>
        <v/>
      </c>
      <c r="AG1825" s="66" t="str">
        <f>IF(OR(AB1825="",A1825=""),"",IF(COUNTIFS($A$6:A1825,A1825,$AB$6:AB1825,"&gt;0")=1,1,""))</f>
        <v/>
      </c>
      <c r="AH1825" s="70" t="str">
        <f>IF(AB1825="","",ROUND(N(W1825)*N(J1825)*(1-N(K1825)),2))</f>
        <v/>
      </c>
      <c r="AI1825" s="70" t="str">
        <f>IF(OR(J1825="",N(T1825)&lt;=0,V1825="Oui"),"",ROUND(N(T1825)*J1825*(1-N(K1825)),2))</f>
        <v/>
      </c>
    </row>
    <row r="1826">
      <c r="A1826" s="63" t="n"/>
      <c r="B1826" s="64" t="n"/>
      <c r="C1826" s="65" t="n"/>
      <c r="D1826" s="66" t="str">
        <f>IF(C1826="","",IFERROR(INDEX(sup_name,MATCH($C1826,sup_code,0))&amp;"","Fournisseur inconnu"))</f>
        <v/>
      </c>
      <c r="E1826" s="63" t="n"/>
      <c r="F1826" s="66" t="str">
        <f>IF(E1826="","",IFERROR(INDEX(art_des,MATCH($E1826,art_ref,0))&amp;"","Article inconnu"))</f>
        <v/>
      </c>
      <c r="G1826" s="67" t="str">
        <f>IF(E1826="","",IFERROR(INDEX(art_unit,MATCH($E1826,art_ref,0))&amp;"",""))</f>
        <v/>
      </c>
      <c r="H1826" s="68" t="n"/>
      <c r="I1826" s="69" t="n"/>
      <c r="J1826" s="70" t="str">
        <f>IF(E1826="","",IF(ISNUMBER(I1826),I1826,IFERROR(IF(ISNUMBER(INDEX(art_price,MATCH($E1826,art_ref,0))),INDEX(art_price,MATCH($E1826,art_ref,0)),""),"")))</f>
        <v/>
      </c>
      <c r="K1826" s="71" t="n"/>
      <c r="L1826" s="72" t="n"/>
      <c r="M1826" s="72" t="str">
        <f>IF(E1826="","",IF(L1826&lt;&gt;"",L1826,IFERROR(IF(ISNUMBER(INDEX(art_tva,MATCH($E1826,art_ref,0))),INDEX(art_tva,MATCH($E1826,art_ref,0)),""),"")))</f>
        <v/>
      </c>
      <c r="N1826" s="70" t="str">
        <f>IF(OR(E1826="",J1826=""),"",ROUND(N(H1826)*J1826*(1-N(K1826)),2))</f>
        <v/>
      </c>
      <c r="O1826" s="70" t="str">
        <f>IF(OR(N1826="",NOT(ISNUMBER(M1826))),"",ROUND(N1826*M1826,2))</f>
        <v/>
      </c>
      <c r="P1826" s="70" t="str">
        <f>IF(N1826="","",N1826+N(O1826))</f>
        <v/>
      </c>
      <c r="Q1826" s="64" t="n"/>
      <c r="R1826" s="73" t="str">
        <f>IF(N(Q1826)&gt;0,Q1826,IF(OR(N(B1826)=0,ISNA(MATCH($C1826,sup_code,0))),"",IF(ISNUMBER(INDEX(sup_delay,MATCH($C1826,sup_code,0))),B1826+INDEX(sup_delay,MATCH($C1826,sup_code,0)),"")))</f>
        <v/>
      </c>
      <c r="S1826" s="64" t="n"/>
      <c r="T1826" s="68" t="n"/>
      <c r="U1826" s="64" t="n"/>
      <c r="V1826" s="65" t="n"/>
      <c r="W1826" s="74" t="str">
        <f>IF(AND(A1826="",E1826=""),"",IF(V1826="Oui",0,MAX(0,ROUND(N(H1826)-N(T1826),6))))</f>
        <v/>
      </c>
      <c r="X1826" s="67" t="str">
        <f>IF(AND(A1826="",E1826=""),"",IF(V1826="Oui","Annulé",IF(AND(N(H1826)&gt;0,N(T1826)&gt;=N(H1826)),"Reçu",IF(N(S1826)=0,"Brouillon",IF(AND(ISNUMBER(R1826),R1826&lt;p_today),"En retard",IF(N(T1826)&gt;0,"Partiel","Envoyé"))))))</f>
        <v/>
      </c>
      <c r="Y1826" s="75" t="str">
        <f>IF(X1826="En retard",p_today-R1826,IF(AND(X1826="Reçu",ISNUMBER(R1826)),MAX(0,N(U1826)-R1826),""))</f>
        <v/>
      </c>
      <c r="Z1826" s="67" t="str">
        <f>IF(AND(A1826="",E1826=""),"",IF(A1826="","N° de bon manquant",IF(N(B1826)=0,"Date de commande manquante",IF(C1826="","Fournisseur manquant",IF(ISNA(MATCH($C1826,sup_code,0)),"Fournisseur inconnu",IF(E1826="","Article manquant",IF(ISNA(MATCH($E1826,art_ref,0)),"Article inconnu",IF(N(H1826)&lt;=0,"Quantité invalide",IF(J1826="","Prix manquant",IF(OR(N(K1826)&lt;0,N(K1826)&gt;=1),"Remise invalide",IF(M1826="","TVA manquante",IF(ISNA(MATCH(M1826,p_tva,0)),"Taux de TVA inconnu",IF(COUNTIFS(po_num,A1826,po_sup,"&lt;&gt;"&amp;C1826)&gt;0,"Fournisseur différent sur ce bon",IF(COUNTIFS(po_num,A1826,po_date,"&lt;&gt;"&amp;B1826)&gt;0,"Date différente sur ce bon",IF(COUNTIF(po_num,A1826)&gt;25,"Plus de 25 lignes sur ce bon",IF(R1826="","Date de livraison manquante",IF(R1826&lt;B1826,"Livraison avant la commande",IF(AND(N(T1826)&gt;0,N(S1826)=0),"Date d'envoi manquante",IF(N(T1826)&gt;N(H1826),"Reçu plus que commandé",IF(AND(N(T1826)&gt;0,N(U1826)=0),"Date de réception manquante",IF(AND(N(U1826)&gt;0,U1826&lt;B1826),"Réception avant la commande","OK")))))))))))))))))))))</f>
        <v/>
      </c>
      <c r="AA1826" s="66" t="str">
        <f>IF(AND(X1826="Reçu",ISNUMBER(R1826)),IF(N(U1826)&lt;=R1826,1,0),"")</f>
        <v/>
      </c>
      <c r="AB1826" s="76" t="str">
        <f>IF(OR(X1826="Envoyé",X1826="Partiel",X1826="En retard"),IF(ISNUMBER(R1826),R1826,100000)+ROW()/100000,"")</f>
        <v/>
      </c>
      <c r="AC1826" s="66" t="str">
        <f>IF(A1826="","",IF(COUNTIF($A$6:A1826,A1826)=1,1,""))</f>
        <v/>
      </c>
      <c r="AD1826" s="66" t="str">
        <f>IF(AC1826=1,COUNT($AC$6:AC1826),"")</f>
        <v/>
      </c>
      <c r="AE1826" s="66" t="str">
        <f>IFERROR(INDEX(po_num,MATCH(1821,po_seq,0))&amp;"","")</f>
        <v/>
      </c>
      <c r="AF1826" s="66" t="str">
        <f>IF(OR(A1826="",p_po=""),"",IF(A1826&amp;""=p_po,COUNTIF($A$6:A1826,A1826),""))</f>
        <v/>
      </c>
      <c r="AG1826" s="66" t="str">
        <f>IF(OR(AB1826="",A1826=""),"",IF(COUNTIFS($A$6:A1826,A1826,$AB$6:AB1826,"&gt;0")=1,1,""))</f>
        <v/>
      </c>
      <c r="AH1826" s="70" t="str">
        <f>IF(AB1826="","",ROUND(N(W1826)*N(J1826)*(1-N(K1826)),2))</f>
        <v/>
      </c>
      <c r="AI1826" s="70" t="str">
        <f>IF(OR(J1826="",N(T1826)&lt;=0,V1826="Oui"),"",ROUND(N(T1826)*J1826*(1-N(K1826)),2))</f>
        <v/>
      </c>
    </row>
    <row r="1827">
      <c r="A1827" s="63" t="n"/>
      <c r="B1827" s="64" t="n"/>
      <c r="C1827" s="65" t="n"/>
      <c r="D1827" s="66" t="str">
        <f>IF(C1827="","",IFERROR(INDEX(sup_name,MATCH($C1827,sup_code,0))&amp;"","Fournisseur inconnu"))</f>
        <v/>
      </c>
      <c r="E1827" s="63" t="n"/>
      <c r="F1827" s="66" t="str">
        <f>IF(E1827="","",IFERROR(INDEX(art_des,MATCH($E1827,art_ref,0))&amp;"","Article inconnu"))</f>
        <v/>
      </c>
      <c r="G1827" s="67" t="str">
        <f>IF(E1827="","",IFERROR(INDEX(art_unit,MATCH($E1827,art_ref,0))&amp;"",""))</f>
        <v/>
      </c>
      <c r="H1827" s="68" t="n"/>
      <c r="I1827" s="69" t="n"/>
      <c r="J1827" s="70" t="str">
        <f>IF(E1827="","",IF(ISNUMBER(I1827),I1827,IFERROR(IF(ISNUMBER(INDEX(art_price,MATCH($E1827,art_ref,0))),INDEX(art_price,MATCH($E1827,art_ref,0)),""),"")))</f>
        <v/>
      </c>
      <c r="K1827" s="71" t="n"/>
      <c r="L1827" s="72" t="n"/>
      <c r="M1827" s="72" t="str">
        <f>IF(E1827="","",IF(L1827&lt;&gt;"",L1827,IFERROR(IF(ISNUMBER(INDEX(art_tva,MATCH($E1827,art_ref,0))),INDEX(art_tva,MATCH($E1827,art_ref,0)),""),"")))</f>
        <v/>
      </c>
      <c r="N1827" s="70" t="str">
        <f>IF(OR(E1827="",J1827=""),"",ROUND(N(H1827)*J1827*(1-N(K1827)),2))</f>
        <v/>
      </c>
      <c r="O1827" s="70" t="str">
        <f>IF(OR(N1827="",NOT(ISNUMBER(M1827))),"",ROUND(N1827*M1827,2))</f>
        <v/>
      </c>
      <c r="P1827" s="70" t="str">
        <f>IF(N1827="","",N1827+N(O1827))</f>
        <v/>
      </c>
      <c r="Q1827" s="64" t="n"/>
      <c r="R1827" s="73" t="str">
        <f>IF(N(Q1827)&gt;0,Q1827,IF(OR(N(B1827)=0,ISNA(MATCH($C1827,sup_code,0))),"",IF(ISNUMBER(INDEX(sup_delay,MATCH($C1827,sup_code,0))),B1827+INDEX(sup_delay,MATCH($C1827,sup_code,0)),"")))</f>
        <v/>
      </c>
      <c r="S1827" s="64" t="n"/>
      <c r="T1827" s="68" t="n"/>
      <c r="U1827" s="64" t="n"/>
      <c r="V1827" s="65" t="n"/>
      <c r="W1827" s="74" t="str">
        <f>IF(AND(A1827="",E1827=""),"",IF(V1827="Oui",0,MAX(0,ROUND(N(H1827)-N(T1827),6))))</f>
        <v/>
      </c>
      <c r="X1827" s="67" t="str">
        <f>IF(AND(A1827="",E1827=""),"",IF(V1827="Oui","Annulé",IF(AND(N(H1827)&gt;0,N(T1827)&gt;=N(H1827)),"Reçu",IF(N(S1827)=0,"Brouillon",IF(AND(ISNUMBER(R1827),R1827&lt;p_today),"En retard",IF(N(T1827)&gt;0,"Partiel","Envoyé"))))))</f>
        <v/>
      </c>
      <c r="Y1827" s="75" t="str">
        <f>IF(X1827="En retard",p_today-R1827,IF(AND(X1827="Reçu",ISNUMBER(R1827)),MAX(0,N(U1827)-R1827),""))</f>
        <v/>
      </c>
      <c r="Z1827" s="67" t="str">
        <f>IF(AND(A1827="",E1827=""),"",IF(A1827="","N° de bon manquant",IF(N(B1827)=0,"Date de commande manquante",IF(C1827="","Fournisseur manquant",IF(ISNA(MATCH($C1827,sup_code,0)),"Fournisseur inconnu",IF(E1827="","Article manquant",IF(ISNA(MATCH($E1827,art_ref,0)),"Article inconnu",IF(N(H1827)&lt;=0,"Quantité invalide",IF(J1827="","Prix manquant",IF(OR(N(K1827)&lt;0,N(K1827)&gt;=1),"Remise invalide",IF(M1827="","TVA manquante",IF(ISNA(MATCH(M1827,p_tva,0)),"Taux de TVA inconnu",IF(COUNTIFS(po_num,A1827,po_sup,"&lt;&gt;"&amp;C1827)&gt;0,"Fournisseur différent sur ce bon",IF(COUNTIFS(po_num,A1827,po_date,"&lt;&gt;"&amp;B1827)&gt;0,"Date différente sur ce bon",IF(COUNTIF(po_num,A1827)&gt;25,"Plus de 25 lignes sur ce bon",IF(R1827="","Date de livraison manquante",IF(R1827&lt;B1827,"Livraison avant la commande",IF(AND(N(T1827)&gt;0,N(S1827)=0),"Date d'envoi manquante",IF(N(T1827)&gt;N(H1827),"Reçu plus que commandé",IF(AND(N(T1827)&gt;0,N(U1827)=0),"Date de réception manquante",IF(AND(N(U1827)&gt;0,U1827&lt;B1827),"Réception avant la commande","OK")))))))))))))))))))))</f>
        <v/>
      </c>
      <c r="AA1827" s="66" t="str">
        <f>IF(AND(X1827="Reçu",ISNUMBER(R1827)),IF(N(U1827)&lt;=R1827,1,0),"")</f>
        <v/>
      </c>
      <c r="AB1827" s="76" t="str">
        <f>IF(OR(X1827="Envoyé",X1827="Partiel",X1827="En retard"),IF(ISNUMBER(R1827),R1827,100000)+ROW()/100000,"")</f>
        <v/>
      </c>
      <c r="AC1827" s="66" t="str">
        <f>IF(A1827="","",IF(COUNTIF($A$6:A1827,A1827)=1,1,""))</f>
        <v/>
      </c>
      <c r="AD1827" s="66" t="str">
        <f>IF(AC1827=1,COUNT($AC$6:AC1827),"")</f>
        <v/>
      </c>
      <c r="AE1827" s="66" t="str">
        <f>IFERROR(INDEX(po_num,MATCH(1822,po_seq,0))&amp;"","")</f>
        <v/>
      </c>
      <c r="AF1827" s="66" t="str">
        <f>IF(OR(A1827="",p_po=""),"",IF(A1827&amp;""=p_po,COUNTIF($A$6:A1827,A1827),""))</f>
        <v/>
      </c>
      <c r="AG1827" s="66" t="str">
        <f>IF(OR(AB1827="",A1827=""),"",IF(COUNTIFS($A$6:A1827,A1827,$AB$6:AB1827,"&gt;0")=1,1,""))</f>
        <v/>
      </c>
      <c r="AH1827" s="70" t="str">
        <f>IF(AB1827="","",ROUND(N(W1827)*N(J1827)*(1-N(K1827)),2))</f>
        <v/>
      </c>
      <c r="AI1827" s="70" t="str">
        <f>IF(OR(J1827="",N(T1827)&lt;=0,V1827="Oui"),"",ROUND(N(T1827)*J1827*(1-N(K1827)),2))</f>
        <v/>
      </c>
    </row>
    <row r="1828">
      <c r="A1828" s="63" t="n"/>
      <c r="B1828" s="64" t="n"/>
      <c r="C1828" s="65" t="n"/>
      <c r="D1828" s="66" t="str">
        <f>IF(C1828="","",IFERROR(INDEX(sup_name,MATCH($C1828,sup_code,0))&amp;"","Fournisseur inconnu"))</f>
        <v/>
      </c>
      <c r="E1828" s="63" t="n"/>
      <c r="F1828" s="66" t="str">
        <f>IF(E1828="","",IFERROR(INDEX(art_des,MATCH($E1828,art_ref,0))&amp;"","Article inconnu"))</f>
        <v/>
      </c>
      <c r="G1828" s="67" t="str">
        <f>IF(E1828="","",IFERROR(INDEX(art_unit,MATCH($E1828,art_ref,0))&amp;"",""))</f>
        <v/>
      </c>
      <c r="H1828" s="68" t="n"/>
      <c r="I1828" s="69" t="n"/>
      <c r="J1828" s="70" t="str">
        <f>IF(E1828="","",IF(ISNUMBER(I1828),I1828,IFERROR(IF(ISNUMBER(INDEX(art_price,MATCH($E1828,art_ref,0))),INDEX(art_price,MATCH($E1828,art_ref,0)),""),"")))</f>
        <v/>
      </c>
      <c r="K1828" s="71" t="n"/>
      <c r="L1828" s="72" t="n"/>
      <c r="M1828" s="72" t="str">
        <f>IF(E1828="","",IF(L1828&lt;&gt;"",L1828,IFERROR(IF(ISNUMBER(INDEX(art_tva,MATCH($E1828,art_ref,0))),INDEX(art_tva,MATCH($E1828,art_ref,0)),""),"")))</f>
        <v/>
      </c>
      <c r="N1828" s="70" t="str">
        <f>IF(OR(E1828="",J1828=""),"",ROUND(N(H1828)*J1828*(1-N(K1828)),2))</f>
        <v/>
      </c>
      <c r="O1828" s="70" t="str">
        <f>IF(OR(N1828="",NOT(ISNUMBER(M1828))),"",ROUND(N1828*M1828,2))</f>
        <v/>
      </c>
      <c r="P1828" s="70" t="str">
        <f>IF(N1828="","",N1828+N(O1828))</f>
        <v/>
      </c>
      <c r="Q1828" s="64" t="n"/>
      <c r="R1828" s="73" t="str">
        <f>IF(N(Q1828)&gt;0,Q1828,IF(OR(N(B1828)=0,ISNA(MATCH($C1828,sup_code,0))),"",IF(ISNUMBER(INDEX(sup_delay,MATCH($C1828,sup_code,0))),B1828+INDEX(sup_delay,MATCH($C1828,sup_code,0)),"")))</f>
        <v/>
      </c>
      <c r="S1828" s="64" t="n"/>
      <c r="T1828" s="68" t="n"/>
      <c r="U1828" s="64" t="n"/>
      <c r="V1828" s="65" t="n"/>
      <c r="W1828" s="74" t="str">
        <f>IF(AND(A1828="",E1828=""),"",IF(V1828="Oui",0,MAX(0,ROUND(N(H1828)-N(T1828),6))))</f>
        <v/>
      </c>
      <c r="X1828" s="67" t="str">
        <f>IF(AND(A1828="",E1828=""),"",IF(V1828="Oui","Annulé",IF(AND(N(H1828)&gt;0,N(T1828)&gt;=N(H1828)),"Reçu",IF(N(S1828)=0,"Brouillon",IF(AND(ISNUMBER(R1828),R1828&lt;p_today),"En retard",IF(N(T1828)&gt;0,"Partiel","Envoyé"))))))</f>
        <v/>
      </c>
      <c r="Y1828" s="75" t="str">
        <f>IF(X1828="En retard",p_today-R1828,IF(AND(X1828="Reçu",ISNUMBER(R1828)),MAX(0,N(U1828)-R1828),""))</f>
        <v/>
      </c>
      <c r="Z1828" s="67" t="str">
        <f>IF(AND(A1828="",E1828=""),"",IF(A1828="","N° de bon manquant",IF(N(B1828)=0,"Date de commande manquante",IF(C1828="","Fournisseur manquant",IF(ISNA(MATCH($C1828,sup_code,0)),"Fournisseur inconnu",IF(E1828="","Article manquant",IF(ISNA(MATCH($E1828,art_ref,0)),"Article inconnu",IF(N(H1828)&lt;=0,"Quantité invalide",IF(J1828="","Prix manquant",IF(OR(N(K1828)&lt;0,N(K1828)&gt;=1),"Remise invalide",IF(M1828="","TVA manquante",IF(ISNA(MATCH(M1828,p_tva,0)),"Taux de TVA inconnu",IF(COUNTIFS(po_num,A1828,po_sup,"&lt;&gt;"&amp;C1828)&gt;0,"Fournisseur différent sur ce bon",IF(COUNTIFS(po_num,A1828,po_date,"&lt;&gt;"&amp;B1828)&gt;0,"Date différente sur ce bon",IF(COUNTIF(po_num,A1828)&gt;25,"Plus de 25 lignes sur ce bon",IF(R1828="","Date de livraison manquante",IF(R1828&lt;B1828,"Livraison avant la commande",IF(AND(N(T1828)&gt;0,N(S1828)=0),"Date d'envoi manquante",IF(N(T1828)&gt;N(H1828),"Reçu plus que commandé",IF(AND(N(T1828)&gt;0,N(U1828)=0),"Date de réception manquante",IF(AND(N(U1828)&gt;0,U1828&lt;B1828),"Réception avant la commande","OK")))))))))))))))))))))</f>
        <v/>
      </c>
      <c r="AA1828" s="66" t="str">
        <f>IF(AND(X1828="Reçu",ISNUMBER(R1828)),IF(N(U1828)&lt;=R1828,1,0),"")</f>
        <v/>
      </c>
      <c r="AB1828" s="76" t="str">
        <f>IF(OR(X1828="Envoyé",X1828="Partiel",X1828="En retard"),IF(ISNUMBER(R1828),R1828,100000)+ROW()/100000,"")</f>
        <v/>
      </c>
      <c r="AC1828" s="66" t="str">
        <f>IF(A1828="","",IF(COUNTIF($A$6:A1828,A1828)=1,1,""))</f>
        <v/>
      </c>
      <c r="AD1828" s="66" t="str">
        <f>IF(AC1828=1,COUNT($AC$6:AC1828),"")</f>
        <v/>
      </c>
      <c r="AE1828" s="66" t="str">
        <f>IFERROR(INDEX(po_num,MATCH(1823,po_seq,0))&amp;"","")</f>
        <v/>
      </c>
      <c r="AF1828" s="66" t="str">
        <f>IF(OR(A1828="",p_po=""),"",IF(A1828&amp;""=p_po,COUNTIF($A$6:A1828,A1828),""))</f>
        <v/>
      </c>
      <c r="AG1828" s="66" t="str">
        <f>IF(OR(AB1828="",A1828=""),"",IF(COUNTIFS($A$6:A1828,A1828,$AB$6:AB1828,"&gt;0")=1,1,""))</f>
        <v/>
      </c>
      <c r="AH1828" s="70" t="str">
        <f>IF(AB1828="","",ROUND(N(W1828)*N(J1828)*(1-N(K1828)),2))</f>
        <v/>
      </c>
      <c r="AI1828" s="70" t="str">
        <f>IF(OR(J1828="",N(T1828)&lt;=0,V1828="Oui"),"",ROUND(N(T1828)*J1828*(1-N(K1828)),2))</f>
        <v/>
      </c>
    </row>
    <row r="1829">
      <c r="A1829" s="63" t="n"/>
      <c r="B1829" s="64" t="n"/>
      <c r="C1829" s="65" t="n"/>
      <c r="D1829" s="66" t="str">
        <f>IF(C1829="","",IFERROR(INDEX(sup_name,MATCH($C1829,sup_code,0))&amp;"","Fournisseur inconnu"))</f>
        <v/>
      </c>
      <c r="E1829" s="63" t="n"/>
      <c r="F1829" s="66" t="str">
        <f>IF(E1829="","",IFERROR(INDEX(art_des,MATCH($E1829,art_ref,0))&amp;"","Article inconnu"))</f>
        <v/>
      </c>
      <c r="G1829" s="67" t="str">
        <f>IF(E1829="","",IFERROR(INDEX(art_unit,MATCH($E1829,art_ref,0))&amp;"",""))</f>
        <v/>
      </c>
      <c r="H1829" s="68" t="n"/>
      <c r="I1829" s="69" t="n"/>
      <c r="J1829" s="70" t="str">
        <f>IF(E1829="","",IF(ISNUMBER(I1829),I1829,IFERROR(IF(ISNUMBER(INDEX(art_price,MATCH($E1829,art_ref,0))),INDEX(art_price,MATCH($E1829,art_ref,0)),""),"")))</f>
        <v/>
      </c>
      <c r="K1829" s="71" t="n"/>
      <c r="L1829" s="72" t="n"/>
      <c r="M1829" s="72" t="str">
        <f>IF(E1829="","",IF(L1829&lt;&gt;"",L1829,IFERROR(IF(ISNUMBER(INDEX(art_tva,MATCH($E1829,art_ref,0))),INDEX(art_tva,MATCH($E1829,art_ref,0)),""),"")))</f>
        <v/>
      </c>
      <c r="N1829" s="70" t="str">
        <f>IF(OR(E1829="",J1829=""),"",ROUND(N(H1829)*J1829*(1-N(K1829)),2))</f>
        <v/>
      </c>
      <c r="O1829" s="70" t="str">
        <f>IF(OR(N1829="",NOT(ISNUMBER(M1829))),"",ROUND(N1829*M1829,2))</f>
        <v/>
      </c>
      <c r="P1829" s="70" t="str">
        <f>IF(N1829="","",N1829+N(O1829))</f>
        <v/>
      </c>
      <c r="Q1829" s="64" t="n"/>
      <c r="R1829" s="73" t="str">
        <f>IF(N(Q1829)&gt;0,Q1829,IF(OR(N(B1829)=0,ISNA(MATCH($C1829,sup_code,0))),"",IF(ISNUMBER(INDEX(sup_delay,MATCH($C1829,sup_code,0))),B1829+INDEX(sup_delay,MATCH($C1829,sup_code,0)),"")))</f>
        <v/>
      </c>
      <c r="S1829" s="64" t="n"/>
      <c r="T1829" s="68" t="n"/>
      <c r="U1829" s="64" t="n"/>
      <c r="V1829" s="65" t="n"/>
      <c r="W1829" s="74" t="str">
        <f>IF(AND(A1829="",E1829=""),"",IF(V1829="Oui",0,MAX(0,ROUND(N(H1829)-N(T1829),6))))</f>
        <v/>
      </c>
      <c r="X1829" s="67" t="str">
        <f>IF(AND(A1829="",E1829=""),"",IF(V1829="Oui","Annulé",IF(AND(N(H1829)&gt;0,N(T1829)&gt;=N(H1829)),"Reçu",IF(N(S1829)=0,"Brouillon",IF(AND(ISNUMBER(R1829),R1829&lt;p_today),"En retard",IF(N(T1829)&gt;0,"Partiel","Envoyé"))))))</f>
        <v/>
      </c>
      <c r="Y1829" s="75" t="str">
        <f>IF(X1829="En retard",p_today-R1829,IF(AND(X1829="Reçu",ISNUMBER(R1829)),MAX(0,N(U1829)-R1829),""))</f>
        <v/>
      </c>
      <c r="Z1829" s="67" t="str">
        <f>IF(AND(A1829="",E1829=""),"",IF(A1829="","N° de bon manquant",IF(N(B1829)=0,"Date de commande manquante",IF(C1829="","Fournisseur manquant",IF(ISNA(MATCH($C1829,sup_code,0)),"Fournisseur inconnu",IF(E1829="","Article manquant",IF(ISNA(MATCH($E1829,art_ref,0)),"Article inconnu",IF(N(H1829)&lt;=0,"Quantité invalide",IF(J1829="","Prix manquant",IF(OR(N(K1829)&lt;0,N(K1829)&gt;=1),"Remise invalide",IF(M1829="","TVA manquante",IF(ISNA(MATCH(M1829,p_tva,0)),"Taux de TVA inconnu",IF(COUNTIFS(po_num,A1829,po_sup,"&lt;&gt;"&amp;C1829)&gt;0,"Fournisseur différent sur ce bon",IF(COUNTIFS(po_num,A1829,po_date,"&lt;&gt;"&amp;B1829)&gt;0,"Date différente sur ce bon",IF(COUNTIF(po_num,A1829)&gt;25,"Plus de 25 lignes sur ce bon",IF(R1829="","Date de livraison manquante",IF(R1829&lt;B1829,"Livraison avant la commande",IF(AND(N(T1829)&gt;0,N(S1829)=0),"Date d'envoi manquante",IF(N(T1829)&gt;N(H1829),"Reçu plus que commandé",IF(AND(N(T1829)&gt;0,N(U1829)=0),"Date de réception manquante",IF(AND(N(U1829)&gt;0,U1829&lt;B1829),"Réception avant la commande","OK")))))))))))))))))))))</f>
        <v/>
      </c>
      <c r="AA1829" s="66" t="str">
        <f>IF(AND(X1829="Reçu",ISNUMBER(R1829)),IF(N(U1829)&lt;=R1829,1,0),"")</f>
        <v/>
      </c>
      <c r="AB1829" s="76" t="str">
        <f>IF(OR(X1829="Envoyé",X1829="Partiel",X1829="En retard"),IF(ISNUMBER(R1829),R1829,100000)+ROW()/100000,"")</f>
        <v/>
      </c>
      <c r="AC1829" s="66" t="str">
        <f>IF(A1829="","",IF(COUNTIF($A$6:A1829,A1829)=1,1,""))</f>
        <v/>
      </c>
      <c r="AD1829" s="66" t="str">
        <f>IF(AC1829=1,COUNT($AC$6:AC1829),"")</f>
        <v/>
      </c>
      <c r="AE1829" s="66" t="str">
        <f>IFERROR(INDEX(po_num,MATCH(1824,po_seq,0))&amp;"","")</f>
        <v/>
      </c>
      <c r="AF1829" s="66" t="str">
        <f>IF(OR(A1829="",p_po=""),"",IF(A1829&amp;""=p_po,COUNTIF($A$6:A1829,A1829),""))</f>
        <v/>
      </c>
      <c r="AG1829" s="66" t="str">
        <f>IF(OR(AB1829="",A1829=""),"",IF(COUNTIFS($A$6:A1829,A1829,$AB$6:AB1829,"&gt;0")=1,1,""))</f>
        <v/>
      </c>
      <c r="AH1829" s="70" t="str">
        <f>IF(AB1829="","",ROUND(N(W1829)*N(J1829)*(1-N(K1829)),2))</f>
        <v/>
      </c>
      <c r="AI1829" s="70" t="str">
        <f>IF(OR(J1829="",N(T1829)&lt;=0,V1829="Oui"),"",ROUND(N(T1829)*J1829*(1-N(K1829)),2))</f>
        <v/>
      </c>
    </row>
    <row r="1830">
      <c r="A1830" s="63" t="n"/>
      <c r="B1830" s="64" t="n"/>
      <c r="C1830" s="65" t="n"/>
      <c r="D1830" s="66" t="str">
        <f>IF(C1830="","",IFERROR(INDEX(sup_name,MATCH($C1830,sup_code,0))&amp;"","Fournisseur inconnu"))</f>
        <v/>
      </c>
      <c r="E1830" s="63" t="n"/>
      <c r="F1830" s="66" t="str">
        <f>IF(E1830="","",IFERROR(INDEX(art_des,MATCH($E1830,art_ref,0))&amp;"","Article inconnu"))</f>
        <v/>
      </c>
      <c r="G1830" s="67" t="str">
        <f>IF(E1830="","",IFERROR(INDEX(art_unit,MATCH($E1830,art_ref,0))&amp;"",""))</f>
        <v/>
      </c>
      <c r="H1830" s="68" t="n"/>
      <c r="I1830" s="69" t="n"/>
      <c r="J1830" s="70" t="str">
        <f>IF(E1830="","",IF(ISNUMBER(I1830),I1830,IFERROR(IF(ISNUMBER(INDEX(art_price,MATCH($E1830,art_ref,0))),INDEX(art_price,MATCH($E1830,art_ref,0)),""),"")))</f>
        <v/>
      </c>
      <c r="K1830" s="71" t="n"/>
      <c r="L1830" s="72" t="n"/>
      <c r="M1830" s="72" t="str">
        <f>IF(E1830="","",IF(L1830&lt;&gt;"",L1830,IFERROR(IF(ISNUMBER(INDEX(art_tva,MATCH($E1830,art_ref,0))),INDEX(art_tva,MATCH($E1830,art_ref,0)),""),"")))</f>
        <v/>
      </c>
      <c r="N1830" s="70" t="str">
        <f>IF(OR(E1830="",J1830=""),"",ROUND(N(H1830)*J1830*(1-N(K1830)),2))</f>
        <v/>
      </c>
      <c r="O1830" s="70" t="str">
        <f>IF(OR(N1830="",NOT(ISNUMBER(M1830))),"",ROUND(N1830*M1830,2))</f>
        <v/>
      </c>
      <c r="P1830" s="70" t="str">
        <f>IF(N1830="","",N1830+N(O1830))</f>
        <v/>
      </c>
      <c r="Q1830" s="64" t="n"/>
      <c r="R1830" s="73" t="str">
        <f>IF(N(Q1830)&gt;0,Q1830,IF(OR(N(B1830)=0,ISNA(MATCH($C1830,sup_code,0))),"",IF(ISNUMBER(INDEX(sup_delay,MATCH($C1830,sup_code,0))),B1830+INDEX(sup_delay,MATCH($C1830,sup_code,0)),"")))</f>
        <v/>
      </c>
      <c r="S1830" s="64" t="n"/>
      <c r="T1830" s="68" t="n"/>
      <c r="U1830" s="64" t="n"/>
      <c r="V1830" s="65" t="n"/>
      <c r="W1830" s="74" t="str">
        <f>IF(AND(A1830="",E1830=""),"",IF(V1830="Oui",0,MAX(0,ROUND(N(H1830)-N(T1830),6))))</f>
        <v/>
      </c>
      <c r="X1830" s="67" t="str">
        <f>IF(AND(A1830="",E1830=""),"",IF(V1830="Oui","Annulé",IF(AND(N(H1830)&gt;0,N(T1830)&gt;=N(H1830)),"Reçu",IF(N(S1830)=0,"Brouillon",IF(AND(ISNUMBER(R1830),R1830&lt;p_today),"En retard",IF(N(T1830)&gt;0,"Partiel","Envoyé"))))))</f>
        <v/>
      </c>
      <c r="Y1830" s="75" t="str">
        <f>IF(X1830="En retard",p_today-R1830,IF(AND(X1830="Reçu",ISNUMBER(R1830)),MAX(0,N(U1830)-R1830),""))</f>
        <v/>
      </c>
      <c r="Z1830" s="67" t="str">
        <f>IF(AND(A1830="",E1830=""),"",IF(A1830="","N° de bon manquant",IF(N(B1830)=0,"Date de commande manquante",IF(C1830="","Fournisseur manquant",IF(ISNA(MATCH($C1830,sup_code,0)),"Fournisseur inconnu",IF(E1830="","Article manquant",IF(ISNA(MATCH($E1830,art_ref,0)),"Article inconnu",IF(N(H1830)&lt;=0,"Quantité invalide",IF(J1830="","Prix manquant",IF(OR(N(K1830)&lt;0,N(K1830)&gt;=1),"Remise invalide",IF(M1830="","TVA manquante",IF(ISNA(MATCH(M1830,p_tva,0)),"Taux de TVA inconnu",IF(COUNTIFS(po_num,A1830,po_sup,"&lt;&gt;"&amp;C1830)&gt;0,"Fournisseur différent sur ce bon",IF(COUNTIFS(po_num,A1830,po_date,"&lt;&gt;"&amp;B1830)&gt;0,"Date différente sur ce bon",IF(COUNTIF(po_num,A1830)&gt;25,"Plus de 25 lignes sur ce bon",IF(R1830="","Date de livraison manquante",IF(R1830&lt;B1830,"Livraison avant la commande",IF(AND(N(T1830)&gt;0,N(S1830)=0),"Date d'envoi manquante",IF(N(T1830)&gt;N(H1830),"Reçu plus que commandé",IF(AND(N(T1830)&gt;0,N(U1830)=0),"Date de réception manquante",IF(AND(N(U1830)&gt;0,U1830&lt;B1830),"Réception avant la commande","OK")))))))))))))))))))))</f>
        <v/>
      </c>
      <c r="AA1830" s="66" t="str">
        <f>IF(AND(X1830="Reçu",ISNUMBER(R1830)),IF(N(U1830)&lt;=R1830,1,0),"")</f>
        <v/>
      </c>
      <c r="AB1830" s="76" t="str">
        <f>IF(OR(X1830="Envoyé",X1830="Partiel",X1830="En retard"),IF(ISNUMBER(R1830),R1830,100000)+ROW()/100000,"")</f>
        <v/>
      </c>
      <c r="AC1830" s="66" t="str">
        <f>IF(A1830="","",IF(COUNTIF($A$6:A1830,A1830)=1,1,""))</f>
        <v/>
      </c>
      <c r="AD1830" s="66" t="str">
        <f>IF(AC1830=1,COUNT($AC$6:AC1830),"")</f>
        <v/>
      </c>
      <c r="AE1830" s="66" t="str">
        <f>IFERROR(INDEX(po_num,MATCH(1825,po_seq,0))&amp;"","")</f>
        <v/>
      </c>
      <c r="AF1830" s="66" t="str">
        <f>IF(OR(A1830="",p_po=""),"",IF(A1830&amp;""=p_po,COUNTIF($A$6:A1830,A1830),""))</f>
        <v/>
      </c>
      <c r="AG1830" s="66" t="str">
        <f>IF(OR(AB1830="",A1830=""),"",IF(COUNTIFS($A$6:A1830,A1830,$AB$6:AB1830,"&gt;0")=1,1,""))</f>
        <v/>
      </c>
      <c r="AH1830" s="70" t="str">
        <f>IF(AB1830="","",ROUND(N(W1830)*N(J1830)*(1-N(K1830)),2))</f>
        <v/>
      </c>
      <c r="AI1830" s="70" t="str">
        <f>IF(OR(J1830="",N(T1830)&lt;=0,V1830="Oui"),"",ROUND(N(T1830)*J1830*(1-N(K1830)),2))</f>
        <v/>
      </c>
    </row>
    <row r="1831">
      <c r="A1831" s="63" t="n"/>
      <c r="B1831" s="64" t="n"/>
      <c r="C1831" s="65" t="n"/>
      <c r="D1831" s="66" t="str">
        <f>IF(C1831="","",IFERROR(INDEX(sup_name,MATCH($C1831,sup_code,0))&amp;"","Fournisseur inconnu"))</f>
        <v/>
      </c>
      <c r="E1831" s="63" t="n"/>
      <c r="F1831" s="66" t="str">
        <f>IF(E1831="","",IFERROR(INDEX(art_des,MATCH($E1831,art_ref,0))&amp;"","Article inconnu"))</f>
        <v/>
      </c>
      <c r="G1831" s="67" t="str">
        <f>IF(E1831="","",IFERROR(INDEX(art_unit,MATCH($E1831,art_ref,0))&amp;"",""))</f>
        <v/>
      </c>
      <c r="H1831" s="68" t="n"/>
      <c r="I1831" s="69" t="n"/>
      <c r="J1831" s="70" t="str">
        <f>IF(E1831="","",IF(ISNUMBER(I1831),I1831,IFERROR(IF(ISNUMBER(INDEX(art_price,MATCH($E1831,art_ref,0))),INDEX(art_price,MATCH($E1831,art_ref,0)),""),"")))</f>
        <v/>
      </c>
      <c r="K1831" s="71" t="n"/>
      <c r="L1831" s="72" t="n"/>
      <c r="M1831" s="72" t="str">
        <f>IF(E1831="","",IF(L1831&lt;&gt;"",L1831,IFERROR(IF(ISNUMBER(INDEX(art_tva,MATCH($E1831,art_ref,0))),INDEX(art_tva,MATCH($E1831,art_ref,0)),""),"")))</f>
        <v/>
      </c>
      <c r="N1831" s="70" t="str">
        <f>IF(OR(E1831="",J1831=""),"",ROUND(N(H1831)*J1831*(1-N(K1831)),2))</f>
        <v/>
      </c>
      <c r="O1831" s="70" t="str">
        <f>IF(OR(N1831="",NOT(ISNUMBER(M1831))),"",ROUND(N1831*M1831,2))</f>
        <v/>
      </c>
      <c r="P1831" s="70" t="str">
        <f>IF(N1831="","",N1831+N(O1831))</f>
        <v/>
      </c>
      <c r="Q1831" s="64" t="n"/>
      <c r="R1831" s="73" t="str">
        <f>IF(N(Q1831)&gt;0,Q1831,IF(OR(N(B1831)=0,ISNA(MATCH($C1831,sup_code,0))),"",IF(ISNUMBER(INDEX(sup_delay,MATCH($C1831,sup_code,0))),B1831+INDEX(sup_delay,MATCH($C1831,sup_code,0)),"")))</f>
        <v/>
      </c>
      <c r="S1831" s="64" t="n"/>
      <c r="T1831" s="68" t="n"/>
      <c r="U1831" s="64" t="n"/>
      <c r="V1831" s="65" t="n"/>
      <c r="W1831" s="74" t="str">
        <f>IF(AND(A1831="",E1831=""),"",IF(V1831="Oui",0,MAX(0,ROUND(N(H1831)-N(T1831),6))))</f>
        <v/>
      </c>
      <c r="X1831" s="67" t="str">
        <f>IF(AND(A1831="",E1831=""),"",IF(V1831="Oui","Annulé",IF(AND(N(H1831)&gt;0,N(T1831)&gt;=N(H1831)),"Reçu",IF(N(S1831)=0,"Brouillon",IF(AND(ISNUMBER(R1831),R1831&lt;p_today),"En retard",IF(N(T1831)&gt;0,"Partiel","Envoyé"))))))</f>
        <v/>
      </c>
      <c r="Y1831" s="75" t="str">
        <f>IF(X1831="En retard",p_today-R1831,IF(AND(X1831="Reçu",ISNUMBER(R1831)),MAX(0,N(U1831)-R1831),""))</f>
        <v/>
      </c>
      <c r="Z1831" s="67" t="str">
        <f>IF(AND(A1831="",E1831=""),"",IF(A1831="","N° de bon manquant",IF(N(B1831)=0,"Date de commande manquante",IF(C1831="","Fournisseur manquant",IF(ISNA(MATCH($C1831,sup_code,0)),"Fournisseur inconnu",IF(E1831="","Article manquant",IF(ISNA(MATCH($E1831,art_ref,0)),"Article inconnu",IF(N(H1831)&lt;=0,"Quantité invalide",IF(J1831="","Prix manquant",IF(OR(N(K1831)&lt;0,N(K1831)&gt;=1),"Remise invalide",IF(M1831="","TVA manquante",IF(ISNA(MATCH(M1831,p_tva,0)),"Taux de TVA inconnu",IF(COUNTIFS(po_num,A1831,po_sup,"&lt;&gt;"&amp;C1831)&gt;0,"Fournisseur différent sur ce bon",IF(COUNTIFS(po_num,A1831,po_date,"&lt;&gt;"&amp;B1831)&gt;0,"Date différente sur ce bon",IF(COUNTIF(po_num,A1831)&gt;25,"Plus de 25 lignes sur ce bon",IF(R1831="","Date de livraison manquante",IF(R1831&lt;B1831,"Livraison avant la commande",IF(AND(N(T1831)&gt;0,N(S1831)=0),"Date d'envoi manquante",IF(N(T1831)&gt;N(H1831),"Reçu plus que commandé",IF(AND(N(T1831)&gt;0,N(U1831)=0),"Date de réception manquante",IF(AND(N(U1831)&gt;0,U1831&lt;B1831),"Réception avant la commande","OK")))))))))))))))))))))</f>
        <v/>
      </c>
      <c r="AA1831" s="66" t="str">
        <f>IF(AND(X1831="Reçu",ISNUMBER(R1831)),IF(N(U1831)&lt;=R1831,1,0),"")</f>
        <v/>
      </c>
      <c r="AB1831" s="76" t="str">
        <f>IF(OR(X1831="Envoyé",X1831="Partiel",X1831="En retard"),IF(ISNUMBER(R1831),R1831,100000)+ROW()/100000,"")</f>
        <v/>
      </c>
      <c r="AC1831" s="66" t="str">
        <f>IF(A1831="","",IF(COUNTIF($A$6:A1831,A1831)=1,1,""))</f>
        <v/>
      </c>
      <c r="AD1831" s="66" t="str">
        <f>IF(AC1831=1,COUNT($AC$6:AC1831),"")</f>
        <v/>
      </c>
      <c r="AE1831" s="66" t="str">
        <f>IFERROR(INDEX(po_num,MATCH(1826,po_seq,0))&amp;"","")</f>
        <v/>
      </c>
      <c r="AF1831" s="66" t="str">
        <f>IF(OR(A1831="",p_po=""),"",IF(A1831&amp;""=p_po,COUNTIF($A$6:A1831,A1831),""))</f>
        <v/>
      </c>
      <c r="AG1831" s="66" t="str">
        <f>IF(OR(AB1831="",A1831=""),"",IF(COUNTIFS($A$6:A1831,A1831,$AB$6:AB1831,"&gt;0")=1,1,""))</f>
        <v/>
      </c>
      <c r="AH1831" s="70" t="str">
        <f>IF(AB1831="","",ROUND(N(W1831)*N(J1831)*(1-N(K1831)),2))</f>
        <v/>
      </c>
      <c r="AI1831" s="70" t="str">
        <f>IF(OR(J1831="",N(T1831)&lt;=0,V1831="Oui"),"",ROUND(N(T1831)*J1831*(1-N(K1831)),2))</f>
        <v/>
      </c>
    </row>
    <row r="1832">
      <c r="A1832" s="63" t="n"/>
      <c r="B1832" s="64" t="n"/>
      <c r="C1832" s="65" t="n"/>
      <c r="D1832" s="66" t="str">
        <f>IF(C1832="","",IFERROR(INDEX(sup_name,MATCH($C1832,sup_code,0))&amp;"","Fournisseur inconnu"))</f>
        <v/>
      </c>
      <c r="E1832" s="63" t="n"/>
      <c r="F1832" s="66" t="str">
        <f>IF(E1832="","",IFERROR(INDEX(art_des,MATCH($E1832,art_ref,0))&amp;"","Article inconnu"))</f>
        <v/>
      </c>
      <c r="G1832" s="67" t="str">
        <f>IF(E1832="","",IFERROR(INDEX(art_unit,MATCH($E1832,art_ref,0))&amp;"",""))</f>
        <v/>
      </c>
      <c r="H1832" s="68" t="n"/>
      <c r="I1832" s="69" t="n"/>
      <c r="J1832" s="70" t="str">
        <f>IF(E1832="","",IF(ISNUMBER(I1832),I1832,IFERROR(IF(ISNUMBER(INDEX(art_price,MATCH($E1832,art_ref,0))),INDEX(art_price,MATCH($E1832,art_ref,0)),""),"")))</f>
        <v/>
      </c>
      <c r="K1832" s="71" t="n"/>
      <c r="L1832" s="72" t="n"/>
      <c r="M1832" s="72" t="str">
        <f>IF(E1832="","",IF(L1832&lt;&gt;"",L1832,IFERROR(IF(ISNUMBER(INDEX(art_tva,MATCH($E1832,art_ref,0))),INDEX(art_tva,MATCH($E1832,art_ref,0)),""),"")))</f>
        <v/>
      </c>
      <c r="N1832" s="70" t="str">
        <f>IF(OR(E1832="",J1832=""),"",ROUND(N(H1832)*J1832*(1-N(K1832)),2))</f>
        <v/>
      </c>
      <c r="O1832" s="70" t="str">
        <f>IF(OR(N1832="",NOT(ISNUMBER(M1832))),"",ROUND(N1832*M1832,2))</f>
        <v/>
      </c>
      <c r="P1832" s="70" t="str">
        <f>IF(N1832="","",N1832+N(O1832))</f>
        <v/>
      </c>
      <c r="Q1832" s="64" t="n"/>
      <c r="R1832" s="73" t="str">
        <f>IF(N(Q1832)&gt;0,Q1832,IF(OR(N(B1832)=0,ISNA(MATCH($C1832,sup_code,0))),"",IF(ISNUMBER(INDEX(sup_delay,MATCH($C1832,sup_code,0))),B1832+INDEX(sup_delay,MATCH($C1832,sup_code,0)),"")))</f>
        <v/>
      </c>
      <c r="S1832" s="64" t="n"/>
      <c r="T1832" s="68" t="n"/>
      <c r="U1832" s="64" t="n"/>
      <c r="V1832" s="65" t="n"/>
      <c r="W1832" s="74" t="str">
        <f>IF(AND(A1832="",E1832=""),"",IF(V1832="Oui",0,MAX(0,ROUND(N(H1832)-N(T1832),6))))</f>
        <v/>
      </c>
      <c r="X1832" s="67" t="str">
        <f>IF(AND(A1832="",E1832=""),"",IF(V1832="Oui","Annulé",IF(AND(N(H1832)&gt;0,N(T1832)&gt;=N(H1832)),"Reçu",IF(N(S1832)=0,"Brouillon",IF(AND(ISNUMBER(R1832),R1832&lt;p_today),"En retard",IF(N(T1832)&gt;0,"Partiel","Envoyé"))))))</f>
        <v/>
      </c>
      <c r="Y1832" s="75" t="str">
        <f>IF(X1832="En retard",p_today-R1832,IF(AND(X1832="Reçu",ISNUMBER(R1832)),MAX(0,N(U1832)-R1832),""))</f>
        <v/>
      </c>
      <c r="Z1832" s="67" t="str">
        <f>IF(AND(A1832="",E1832=""),"",IF(A1832="","N° de bon manquant",IF(N(B1832)=0,"Date de commande manquante",IF(C1832="","Fournisseur manquant",IF(ISNA(MATCH($C1832,sup_code,0)),"Fournisseur inconnu",IF(E1832="","Article manquant",IF(ISNA(MATCH($E1832,art_ref,0)),"Article inconnu",IF(N(H1832)&lt;=0,"Quantité invalide",IF(J1832="","Prix manquant",IF(OR(N(K1832)&lt;0,N(K1832)&gt;=1),"Remise invalide",IF(M1832="","TVA manquante",IF(ISNA(MATCH(M1832,p_tva,0)),"Taux de TVA inconnu",IF(COUNTIFS(po_num,A1832,po_sup,"&lt;&gt;"&amp;C1832)&gt;0,"Fournisseur différent sur ce bon",IF(COUNTIFS(po_num,A1832,po_date,"&lt;&gt;"&amp;B1832)&gt;0,"Date différente sur ce bon",IF(COUNTIF(po_num,A1832)&gt;25,"Plus de 25 lignes sur ce bon",IF(R1832="","Date de livraison manquante",IF(R1832&lt;B1832,"Livraison avant la commande",IF(AND(N(T1832)&gt;0,N(S1832)=0),"Date d'envoi manquante",IF(N(T1832)&gt;N(H1832),"Reçu plus que commandé",IF(AND(N(T1832)&gt;0,N(U1832)=0),"Date de réception manquante",IF(AND(N(U1832)&gt;0,U1832&lt;B1832),"Réception avant la commande","OK")))))))))))))))))))))</f>
        <v/>
      </c>
      <c r="AA1832" s="66" t="str">
        <f>IF(AND(X1832="Reçu",ISNUMBER(R1832)),IF(N(U1832)&lt;=R1832,1,0),"")</f>
        <v/>
      </c>
      <c r="AB1832" s="76" t="str">
        <f>IF(OR(X1832="Envoyé",X1832="Partiel",X1832="En retard"),IF(ISNUMBER(R1832),R1832,100000)+ROW()/100000,"")</f>
        <v/>
      </c>
      <c r="AC1832" s="66" t="str">
        <f>IF(A1832="","",IF(COUNTIF($A$6:A1832,A1832)=1,1,""))</f>
        <v/>
      </c>
      <c r="AD1832" s="66" t="str">
        <f>IF(AC1832=1,COUNT($AC$6:AC1832),"")</f>
        <v/>
      </c>
      <c r="AE1832" s="66" t="str">
        <f>IFERROR(INDEX(po_num,MATCH(1827,po_seq,0))&amp;"","")</f>
        <v/>
      </c>
      <c r="AF1832" s="66" t="str">
        <f>IF(OR(A1832="",p_po=""),"",IF(A1832&amp;""=p_po,COUNTIF($A$6:A1832,A1832),""))</f>
        <v/>
      </c>
      <c r="AG1832" s="66" t="str">
        <f>IF(OR(AB1832="",A1832=""),"",IF(COUNTIFS($A$6:A1832,A1832,$AB$6:AB1832,"&gt;0")=1,1,""))</f>
        <v/>
      </c>
      <c r="AH1832" s="70" t="str">
        <f>IF(AB1832="","",ROUND(N(W1832)*N(J1832)*(1-N(K1832)),2))</f>
        <v/>
      </c>
      <c r="AI1832" s="70" t="str">
        <f>IF(OR(J1832="",N(T1832)&lt;=0,V1832="Oui"),"",ROUND(N(T1832)*J1832*(1-N(K1832)),2))</f>
        <v/>
      </c>
    </row>
    <row r="1833">
      <c r="A1833" s="63" t="n"/>
      <c r="B1833" s="64" t="n"/>
      <c r="C1833" s="65" t="n"/>
      <c r="D1833" s="66" t="str">
        <f>IF(C1833="","",IFERROR(INDEX(sup_name,MATCH($C1833,sup_code,0))&amp;"","Fournisseur inconnu"))</f>
        <v/>
      </c>
      <c r="E1833" s="63" t="n"/>
      <c r="F1833" s="66" t="str">
        <f>IF(E1833="","",IFERROR(INDEX(art_des,MATCH($E1833,art_ref,0))&amp;"","Article inconnu"))</f>
        <v/>
      </c>
      <c r="G1833" s="67" t="str">
        <f>IF(E1833="","",IFERROR(INDEX(art_unit,MATCH($E1833,art_ref,0))&amp;"",""))</f>
        <v/>
      </c>
      <c r="H1833" s="68" t="n"/>
      <c r="I1833" s="69" t="n"/>
      <c r="J1833" s="70" t="str">
        <f>IF(E1833="","",IF(ISNUMBER(I1833),I1833,IFERROR(IF(ISNUMBER(INDEX(art_price,MATCH($E1833,art_ref,0))),INDEX(art_price,MATCH($E1833,art_ref,0)),""),"")))</f>
        <v/>
      </c>
      <c r="K1833" s="71" t="n"/>
      <c r="L1833" s="72" t="n"/>
      <c r="M1833" s="72" t="str">
        <f>IF(E1833="","",IF(L1833&lt;&gt;"",L1833,IFERROR(IF(ISNUMBER(INDEX(art_tva,MATCH($E1833,art_ref,0))),INDEX(art_tva,MATCH($E1833,art_ref,0)),""),"")))</f>
        <v/>
      </c>
      <c r="N1833" s="70" t="str">
        <f>IF(OR(E1833="",J1833=""),"",ROUND(N(H1833)*J1833*(1-N(K1833)),2))</f>
        <v/>
      </c>
      <c r="O1833" s="70" t="str">
        <f>IF(OR(N1833="",NOT(ISNUMBER(M1833))),"",ROUND(N1833*M1833,2))</f>
        <v/>
      </c>
      <c r="P1833" s="70" t="str">
        <f>IF(N1833="","",N1833+N(O1833))</f>
        <v/>
      </c>
      <c r="Q1833" s="64" t="n"/>
      <c r="R1833" s="73" t="str">
        <f>IF(N(Q1833)&gt;0,Q1833,IF(OR(N(B1833)=0,ISNA(MATCH($C1833,sup_code,0))),"",IF(ISNUMBER(INDEX(sup_delay,MATCH($C1833,sup_code,0))),B1833+INDEX(sup_delay,MATCH($C1833,sup_code,0)),"")))</f>
        <v/>
      </c>
      <c r="S1833" s="64" t="n"/>
      <c r="T1833" s="68" t="n"/>
      <c r="U1833" s="64" t="n"/>
      <c r="V1833" s="65" t="n"/>
      <c r="W1833" s="74" t="str">
        <f>IF(AND(A1833="",E1833=""),"",IF(V1833="Oui",0,MAX(0,ROUND(N(H1833)-N(T1833),6))))</f>
        <v/>
      </c>
      <c r="X1833" s="67" t="str">
        <f>IF(AND(A1833="",E1833=""),"",IF(V1833="Oui","Annulé",IF(AND(N(H1833)&gt;0,N(T1833)&gt;=N(H1833)),"Reçu",IF(N(S1833)=0,"Brouillon",IF(AND(ISNUMBER(R1833),R1833&lt;p_today),"En retard",IF(N(T1833)&gt;0,"Partiel","Envoyé"))))))</f>
        <v/>
      </c>
      <c r="Y1833" s="75" t="str">
        <f>IF(X1833="En retard",p_today-R1833,IF(AND(X1833="Reçu",ISNUMBER(R1833)),MAX(0,N(U1833)-R1833),""))</f>
        <v/>
      </c>
      <c r="Z1833" s="67" t="str">
        <f>IF(AND(A1833="",E1833=""),"",IF(A1833="","N° de bon manquant",IF(N(B1833)=0,"Date de commande manquante",IF(C1833="","Fournisseur manquant",IF(ISNA(MATCH($C1833,sup_code,0)),"Fournisseur inconnu",IF(E1833="","Article manquant",IF(ISNA(MATCH($E1833,art_ref,0)),"Article inconnu",IF(N(H1833)&lt;=0,"Quantité invalide",IF(J1833="","Prix manquant",IF(OR(N(K1833)&lt;0,N(K1833)&gt;=1),"Remise invalide",IF(M1833="","TVA manquante",IF(ISNA(MATCH(M1833,p_tva,0)),"Taux de TVA inconnu",IF(COUNTIFS(po_num,A1833,po_sup,"&lt;&gt;"&amp;C1833)&gt;0,"Fournisseur différent sur ce bon",IF(COUNTIFS(po_num,A1833,po_date,"&lt;&gt;"&amp;B1833)&gt;0,"Date différente sur ce bon",IF(COUNTIF(po_num,A1833)&gt;25,"Plus de 25 lignes sur ce bon",IF(R1833="","Date de livraison manquante",IF(R1833&lt;B1833,"Livraison avant la commande",IF(AND(N(T1833)&gt;0,N(S1833)=0),"Date d'envoi manquante",IF(N(T1833)&gt;N(H1833),"Reçu plus que commandé",IF(AND(N(T1833)&gt;0,N(U1833)=0),"Date de réception manquante",IF(AND(N(U1833)&gt;0,U1833&lt;B1833),"Réception avant la commande","OK")))))))))))))))))))))</f>
        <v/>
      </c>
      <c r="AA1833" s="66" t="str">
        <f>IF(AND(X1833="Reçu",ISNUMBER(R1833)),IF(N(U1833)&lt;=R1833,1,0),"")</f>
        <v/>
      </c>
      <c r="AB1833" s="76" t="str">
        <f>IF(OR(X1833="Envoyé",X1833="Partiel",X1833="En retard"),IF(ISNUMBER(R1833),R1833,100000)+ROW()/100000,"")</f>
        <v/>
      </c>
      <c r="AC1833" s="66" t="str">
        <f>IF(A1833="","",IF(COUNTIF($A$6:A1833,A1833)=1,1,""))</f>
        <v/>
      </c>
      <c r="AD1833" s="66" t="str">
        <f>IF(AC1833=1,COUNT($AC$6:AC1833),"")</f>
        <v/>
      </c>
      <c r="AE1833" s="66" t="str">
        <f>IFERROR(INDEX(po_num,MATCH(1828,po_seq,0))&amp;"","")</f>
        <v/>
      </c>
      <c r="AF1833" s="66" t="str">
        <f>IF(OR(A1833="",p_po=""),"",IF(A1833&amp;""=p_po,COUNTIF($A$6:A1833,A1833),""))</f>
        <v/>
      </c>
      <c r="AG1833" s="66" t="str">
        <f>IF(OR(AB1833="",A1833=""),"",IF(COUNTIFS($A$6:A1833,A1833,$AB$6:AB1833,"&gt;0")=1,1,""))</f>
        <v/>
      </c>
      <c r="AH1833" s="70" t="str">
        <f>IF(AB1833="","",ROUND(N(W1833)*N(J1833)*(1-N(K1833)),2))</f>
        <v/>
      </c>
      <c r="AI1833" s="70" t="str">
        <f>IF(OR(J1833="",N(T1833)&lt;=0,V1833="Oui"),"",ROUND(N(T1833)*J1833*(1-N(K1833)),2))</f>
        <v/>
      </c>
    </row>
    <row r="1834">
      <c r="A1834" s="63" t="n"/>
      <c r="B1834" s="64" t="n"/>
      <c r="C1834" s="65" t="n"/>
      <c r="D1834" s="66" t="str">
        <f>IF(C1834="","",IFERROR(INDEX(sup_name,MATCH($C1834,sup_code,0))&amp;"","Fournisseur inconnu"))</f>
        <v/>
      </c>
      <c r="E1834" s="63" t="n"/>
      <c r="F1834" s="66" t="str">
        <f>IF(E1834="","",IFERROR(INDEX(art_des,MATCH($E1834,art_ref,0))&amp;"","Article inconnu"))</f>
        <v/>
      </c>
      <c r="G1834" s="67" t="str">
        <f>IF(E1834="","",IFERROR(INDEX(art_unit,MATCH($E1834,art_ref,0))&amp;"",""))</f>
        <v/>
      </c>
      <c r="H1834" s="68" t="n"/>
      <c r="I1834" s="69" t="n"/>
      <c r="J1834" s="70" t="str">
        <f>IF(E1834="","",IF(ISNUMBER(I1834),I1834,IFERROR(IF(ISNUMBER(INDEX(art_price,MATCH($E1834,art_ref,0))),INDEX(art_price,MATCH($E1834,art_ref,0)),""),"")))</f>
        <v/>
      </c>
      <c r="K1834" s="71" t="n"/>
      <c r="L1834" s="72" t="n"/>
      <c r="M1834" s="72" t="str">
        <f>IF(E1834="","",IF(L1834&lt;&gt;"",L1834,IFERROR(IF(ISNUMBER(INDEX(art_tva,MATCH($E1834,art_ref,0))),INDEX(art_tva,MATCH($E1834,art_ref,0)),""),"")))</f>
        <v/>
      </c>
      <c r="N1834" s="70" t="str">
        <f>IF(OR(E1834="",J1834=""),"",ROUND(N(H1834)*J1834*(1-N(K1834)),2))</f>
        <v/>
      </c>
      <c r="O1834" s="70" t="str">
        <f>IF(OR(N1834="",NOT(ISNUMBER(M1834))),"",ROUND(N1834*M1834,2))</f>
        <v/>
      </c>
      <c r="P1834" s="70" t="str">
        <f>IF(N1834="","",N1834+N(O1834))</f>
        <v/>
      </c>
      <c r="Q1834" s="64" t="n"/>
      <c r="R1834" s="73" t="str">
        <f>IF(N(Q1834)&gt;0,Q1834,IF(OR(N(B1834)=0,ISNA(MATCH($C1834,sup_code,0))),"",IF(ISNUMBER(INDEX(sup_delay,MATCH($C1834,sup_code,0))),B1834+INDEX(sup_delay,MATCH($C1834,sup_code,0)),"")))</f>
        <v/>
      </c>
      <c r="S1834" s="64" t="n"/>
      <c r="T1834" s="68" t="n"/>
      <c r="U1834" s="64" t="n"/>
      <c r="V1834" s="65" t="n"/>
      <c r="W1834" s="74" t="str">
        <f>IF(AND(A1834="",E1834=""),"",IF(V1834="Oui",0,MAX(0,ROUND(N(H1834)-N(T1834),6))))</f>
        <v/>
      </c>
      <c r="X1834" s="67" t="str">
        <f>IF(AND(A1834="",E1834=""),"",IF(V1834="Oui","Annulé",IF(AND(N(H1834)&gt;0,N(T1834)&gt;=N(H1834)),"Reçu",IF(N(S1834)=0,"Brouillon",IF(AND(ISNUMBER(R1834),R1834&lt;p_today),"En retard",IF(N(T1834)&gt;0,"Partiel","Envoyé"))))))</f>
        <v/>
      </c>
      <c r="Y1834" s="75" t="str">
        <f>IF(X1834="En retard",p_today-R1834,IF(AND(X1834="Reçu",ISNUMBER(R1834)),MAX(0,N(U1834)-R1834),""))</f>
        <v/>
      </c>
      <c r="Z1834" s="67" t="str">
        <f>IF(AND(A1834="",E1834=""),"",IF(A1834="","N° de bon manquant",IF(N(B1834)=0,"Date de commande manquante",IF(C1834="","Fournisseur manquant",IF(ISNA(MATCH($C1834,sup_code,0)),"Fournisseur inconnu",IF(E1834="","Article manquant",IF(ISNA(MATCH($E1834,art_ref,0)),"Article inconnu",IF(N(H1834)&lt;=0,"Quantité invalide",IF(J1834="","Prix manquant",IF(OR(N(K1834)&lt;0,N(K1834)&gt;=1),"Remise invalide",IF(M1834="","TVA manquante",IF(ISNA(MATCH(M1834,p_tva,0)),"Taux de TVA inconnu",IF(COUNTIFS(po_num,A1834,po_sup,"&lt;&gt;"&amp;C1834)&gt;0,"Fournisseur différent sur ce bon",IF(COUNTIFS(po_num,A1834,po_date,"&lt;&gt;"&amp;B1834)&gt;0,"Date différente sur ce bon",IF(COUNTIF(po_num,A1834)&gt;25,"Plus de 25 lignes sur ce bon",IF(R1834="","Date de livraison manquante",IF(R1834&lt;B1834,"Livraison avant la commande",IF(AND(N(T1834)&gt;0,N(S1834)=0),"Date d'envoi manquante",IF(N(T1834)&gt;N(H1834),"Reçu plus que commandé",IF(AND(N(T1834)&gt;0,N(U1834)=0),"Date de réception manquante",IF(AND(N(U1834)&gt;0,U1834&lt;B1834),"Réception avant la commande","OK")))))))))))))))))))))</f>
        <v/>
      </c>
      <c r="AA1834" s="66" t="str">
        <f>IF(AND(X1834="Reçu",ISNUMBER(R1834)),IF(N(U1834)&lt;=R1834,1,0),"")</f>
        <v/>
      </c>
      <c r="AB1834" s="76" t="str">
        <f>IF(OR(X1834="Envoyé",X1834="Partiel",X1834="En retard"),IF(ISNUMBER(R1834),R1834,100000)+ROW()/100000,"")</f>
        <v/>
      </c>
      <c r="AC1834" s="66" t="str">
        <f>IF(A1834="","",IF(COUNTIF($A$6:A1834,A1834)=1,1,""))</f>
        <v/>
      </c>
      <c r="AD1834" s="66" t="str">
        <f>IF(AC1834=1,COUNT($AC$6:AC1834),"")</f>
        <v/>
      </c>
      <c r="AE1834" s="66" t="str">
        <f>IFERROR(INDEX(po_num,MATCH(1829,po_seq,0))&amp;"","")</f>
        <v/>
      </c>
      <c r="AF1834" s="66" t="str">
        <f>IF(OR(A1834="",p_po=""),"",IF(A1834&amp;""=p_po,COUNTIF($A$6:A1834,A1834),""))</f>
        <v/>
      </c>
      <c r="AG1834" s="66" t="str">
        <f>IF(OR(AB1834="",A1834=""),"",IF(COUNTIFS($A$6:A1834,A1834,$AB$6:AB1834,"&gt;0")=1,1,""))</f>
        <v/>
      </c>
      <c r="AH1834" s="70" t="str">
        <f>IF(AB1834="","",ROUND(N(W1834)*N(J1834)*(1-N(K1834)),2))</f>
        <v/>
      </c>
      <c r="AI1834" s="70" t="str">
        <f>IF(OR(J1834="",N(T1834)&lt;=0,V1834="Oui"),"",ROUND(N(T1834)*J1834*(1-N(K1834)),2))</f>
        <v/>
      </c>
    </row>
    <row r="1835">
      <c r="A1835" s="63" t="n"/>
      <c r="B1835" s="64" t="n"/>
      <c r="C1835" s="65" t="n"/>
      <c r="D1835" s="66" t="str">
        <f>IF(C1835="","",IFERROR(INDEX(sup_name,MATCH($C1835,sup_code,0))&amp;"","Fournisseur inconnu"))</f>
        <v/>
      </c>
      <c r="E1835" s="63" t="n"/>
      <c r="F1835" s="66" t="str">
        <f>IF(E1835="","",IFERROR(INDEX(art_des,MATCH($E1835,art_ref,0))&amp;"","Article inconnu"))</f>
        <v/>
      </c>
      <c r="G1835" s="67" t="str">
        <f>IF(E1835="","",IFERROR(INDEX(art_unit,MATCH($E1835,art_ref,0))&amp;"",""))</f>
        <v/>
      </c>
      <c r="H1835" s="68" t="n"/>
      <c r="I1835" s="69" t="n"/>
      <c r="J1835" s="70" t="str">
        <f>IF(E1835="","",IF(ISNUMBER(I1835),I1835,IFERROR(IF(ISNUMBER(INDEX(art_price,MATCH($E1835,art_ref,0))),INDEX(art_price,MATCH($E1835,art_ref,0)),""),"")))</f>
        <v/>
      </c>
      <c r="K1835" s="71" t="n"/>
      <c r="L1835" s="72" t="n"/>
      <c r="M1835" s="72" t="str">
        <f>IF(E1835="","",IF(L1835&lt;&gt;"",L1835,IFERROR(IF(ISNUMBER(INDEX(art_tva,MATCH($E1835,art_ref,0))),INDEX(art_tva,MATCH($E1835,art_ref,0)),""),"")))</f>
        <v/>
      </c>
      <c r="N1835" s="70" t="str">
        <f>IF(OR(E1835="",J1835=""),"",ROUND(N(H1835)*J1835*(1-N(K1835)),2))</f>
        <v/>
      </c>
      <c r="O1835" s="70" t="str">
        <f>IF(OR(N1835="",NOT(ISNUMBER(M1835))),"",ROUND(N1835*M1835,2))</f>
        <v/>
      </c>
      <c r="P1835" s="70" t="str">
        <f>IF(N1835="","",N1835+N(O1835))</f>
        <v/>
      </c>
      <c r="Q1835" s="64" t="n"/>
      <c r="R1835" s="73" t="str">
        <f>IF(N(Q1835)&gt;0,Q1835,IF(OR(N(B1835)=0,ISNA(MATCH($C1835,sup_code,0))),"",IF(ISNUMBER(INDEX(sup_delay,MATCH($C1835,sup_code,0))),B1835+INDEX(sup_delay,MATCH($C1835,sup_code,0)),"")))</f>
        <v/>
      </c>
      <c r="S1835" s="64" t="n"/>
      <c r="T1835" s="68" t="n"/>
      <c r="U1835" s="64" t="n"/>
      <c r="V1835" s="65" t="n"/>
      <c r="W1835" s="74" t="str">
        <f>IF(AND(A1835="",E1835=""),"",IF(V1835="Oui",0,MAX(0,ROUND(N(H1835)-N(T1835),6))))</f>
        <v/>
      </c>
      <c r="X1835" s="67" t="str">
        <f>IF(AND(A1835="",E1835=""),"",IF(V1835="Oui","Annulé",IF(AND(N(H1835)&gt;0,N(T1835)&gt;=N(H1835)),"Reçu",IF(N(S1835)=0,"Brouillon",IF(AND(ISNUMBER(R1835),R1835&lt;p_today),"En retard",IF(N(T1835)&gt;0,"Partiel","Envoyé"))))))</f>
        <v/>
      </c>
      <c r="Y1835" s="75" t="str">
        <f>IF(X1835="En retard",p_today-R1835,IF(AND(X1835="Reçu",ISNUMBER(R1835)),MAX(0,N(U1835)-R1835),""))</f>
        <v/>
      </c>
      <c r="Z1835" s="67" t="str">
        <f>IF(AND(A1835="",E1835=""),"",IF(A1835="","N° de bon manquant",IF(N(B1835)=0,"Date de commande manquante",IF(C1835="","Fournisseur manquant",IF(ISNA(MATCH($C1835,sup_code,0)),"Fournisseur inconnu",IF(E1835="","Article manquant",IF(ISNA(MATCH($E1835,art_ref,0)),"Article inconnu",IF(N(H1835)&lt;=0,"Quantité invalide",IF(J1835="","Prix manquant",IF(OR(N(K1835)&lt;0,N(K1835)&gt;=1),"Remise invalide",IF(M1835="","TVA manquante",IF(ISNA(MATCH(M1835,p_tva,0)),"Taux de TVA inconnu",IF(COUNTIFS(po_num,A1835,po_sup,"&lt;&gt;"&amp;C1835)&gt;0,"Fournisseur différent sur ce bon",IF(COUNTIFS(po_num,A1835,po_date,"&lt;&gt;"&amp;B1835)&gt;0,"Date différente sur ce bon",IF(COUNTIF(po_num,A1835)&gt;25,"Plus de 25 lignes sur ce bon",IF(R1835="","Date de livraison manquante",IF(R1835&lt;B1835,"Livraison avant la commande",IF(AND(N(T1835)&gt;0,N(S1835)=0),"Date d'envoi manquante",IF(N(T1835)&gt;N(H1835),"Reçu plus que commandé",IF(AND(N(T1835)&gt;0,N(U1835)=0),"Date de réception manquante",IF(AND(N(U1835)&gt;0,U1835&lt;B1835),"Réception avant la commande","OK")))))))))))))))))))))</f>
        <v/>
      </c>
      <c r="AA1835" s="66" t="str">
        <f>IF(AND(X1835="Reçu",ISNUMBER(R1835)),IF(N(U1835)&lt;=R1835,1,0),"")</f>
        <v/>
      </c>
      <c r="AB1835" s="76" t="str">
        <f>IF(OR(X1835="Envoyé",X1835="Partiel",X1835="En retard"),IF(ISNUMBER(R1835),R1835,100000)+ROW()/100000,"")</f>
        <v/>
      </c>
      <c r="AC1835" s="66" t="str">
        <f>IF(A1835="","",IF(COUNTIF($A$6:A1835,A1835)=1,1,""))</f>
        <v/>
      </c>
      <c r="AD1835" s="66" t="str">
        <f>IF(AC1835=1,COUNT($AC$6:AC1835),"")</f>
        <v/>
      </c>
      <c r="AE1835" s="66" t="str">
        <f>IFERROR(INDEX(po_num,MATCH(1830,po_seq,0))&amp;"","")</f>
        <v/>
      </c>
      <c r="AF1835" s="66" t="str">
        <f>IF(OR(A1835="",p_po=""),"",IF(A1835&amp;""=p_po,COUNTIF($A$6:A1835,A1835),""))</f>
        <v/>
      </c>
      <c r="AG1835" s="66" t="str">
        <f>IF(OR(AB1835="",A1835=""),"",IF(COUNTIFS($A$6:A1835,A1835,$AB$6:AB1835,"&gt;0")=1,1,""))</f>
        <v/>
      </c>
      <c r="AH1835" s="70" t="str">
        <f>IF(AB1835="","",ROUND(N(W1835)*N(J1835)*(1-N(K1835)),2))</f>
        <v/>
      </c>
      <c r="AI1835" s="70" t="str">
        <f>IF(OR(J1835="",N(T1835)&lt;=0,V1835="Oui"),"",ROUND(N(T1835)*J1835*(1-N(K1835)),2))</f>
        <v/>
      </c>
    </row>
    <row r="1836">
      <c r="A1836" s="63" t="n"/>
      <c r="B1836" s="64" t="n"/>
      <c r="C1836" s="65" t="n"/>
      <c r="D1836" s="66" t="str">
        <f>IF(C1836="","",IFERROR(INDEX(sup_name,MATCH($C1836,sup_code,0))&amp;"","Fournisseur inconnu"))</f>
        <v/>
      </c>
      <c r="E1836" s="63" t="n"/>
      <c r="F1836" s="66" t="str">
        <f>IF(E1836="","",IFERROR(INDEX(art_des,MATCH($E1836,art_ref,0))&amp;"","Article inconnu"))</f>
        <v/>
      </c>
      <c r="G1836" s="67" t="str">
        <f>IF(E1836="","",IFERROR(INDEX(art_unit,MATCH($E1836,art_ref,0))&amp;"",""))</f>
        <v/>
      </c>
      <c r="H1836" s="68" t="n"/>
      <c r="I1836" s="69" t="n"/>
      <c r="J1836" s="70" t="str">
        <f>IF(E1836="","",IF(ISNUMBER(I1836),I1836,IFERROR(IF(ISNUMBER(INDEX(art_price,MATCH($E1836,art_ref,0))),INDEX(art_price,MATCH($E1836,art_ref,0)),""),"")))</f>
        <v/>
      </c>
      <c r="K1836" s="71" t="n"/>
      <c r="L1836" s="72" t="n"/>
      <c r="M1836" s="72" t="str">
        <f>IF(E1836="","",IF(L1836&lt;&gt;"",L1836,IFERROR(IF(ISNUMBER(INDEX(art_tva,MATCH($E1836,art_ref,0))),INDEX(art_tva,MATCH($E1836,art_ref,0)),""),"")))</f>
        <v/>
      </c>
      <c r="N1836" s="70" t="str">
        <f>IF(OR(E1836="",J1836=""),"",ROUND(N(H1836)*J1836*(1-N(K1836)),2))</f>
        <v/>
      </c>
      <c r="O1836" s="70" t="str">
        <f>IF(OR(N1836="",NOT(ISNUMBER(M1836))),"",ROUND(N1836*M1836,2))</f>
        <v/>
      </c>
      <c r="P1836" s="70" t="str">
        <f>IF(N1836="","",N1836+N(O1836))</f>
        <v/>
      </c>
      <c r="Q1836" s="64" t="n"/>
      <c r="R1836" s="73" t="str">
        <f>IF(N(Q1836)&gt;0,Q1836,IF(OR(N(B1836)=0,ISNA(MATCH($C1836,sup_code,0))),"",IF(ISNUMBER(INDEX(sup_delay,MATCH($C1836,sup_code,0))),B1836+INDEX(sup_delay,MATCH($C1836,sup_code,0)),"")))</f>
        <v/>
      </c>
      <c r="S1836" s="64" t="n"/>
      <c r="T1836" s="68" t="n"/>
      <c r="U1836" s="64" t="n"/>
      <c r="V1836" s="65" t="n"/>
      <c r="W1836" s="74" t="str">
        <f>IF(AND(A1836="",E1836=""),"",IF(V1836="Oui",0,MAX(0,ROUND(N(H1836)-N(T1836),6))))</f>
        <v/>
      </c>
      <c r="X1836" s="67" t="str">
        <f>IF(AND(A1836="",E1836=""),"",IF(V1836="Oui","Annulé",IF(AND(N(H1836)&gt;0,N(T1836)&gt;=N(H1836)),"Reçu",IF(N(S1836)=0,"Brouillon",IF(AND(ISNUMBER(R1836),R1836&lt;p_today),"En retard",IF(N(T1836)&gt;0,"Partiel","Envoyé"))))))</f>
        <v/>
      </c>
      <c r="Y1836" s="75" t="str">
        <f>IF(X1836="En retard",p_today-R1836,IF(AND(X1836="Reçu",ISNUMBER(R1836)),MAX(0,N(U1836)-R1836),""))</f>
        <v/>
      </c>
      <c r="Z1836" s="67" t="str">
        <f>IF(AND(A1836="",E1836=""),"",IF(A1836="","N° de bon manquant",IF(N(B1836)=0,"Date de commande manquante",IF(C1836="","Fournisseur manquant",IF(ISNA(MATCH($C1836,sup_code,0)),"Fournisseur inconnu",IF(E1836="","Article manquant",IF(ISNA(MATCH($E1836,art_ref,0)),"Article inconnu",IF(N(H1836)&lt;=0,"Quantité invalide",IF(J1836="","Prix manquant",IF(OR(N(K1836)&lt;0,N(K1836)&gt;=1),"Remise invalide",IF(M1836="","TVA manquante",IF(ISNA(MATCH(M1836,p_tva,0)),"Taux de TVA inconnu",IF(COUNTIFS(po_num,A1836,po_sup,"&lt;&gt;"&amp;C1836)&gt;0,"Fournisseur différent sur ce bon",IF(COUNTIFS(po_num,A1836,po_date,"&lt;&gt;"&amp;B1836)&gt;0,"Date différente sur ce bon",IF(COUNTIF(po_num,A1836)&gt;25,"Plus de 25 lignes sur ce bon",IF(R1836="","Date de livraison manquante",IF(R1836&lt;B1836,"Livraison avant la commande",IF(AND(N(T1836)&gt;0,N(S1836)=0),"Date d'envoi manquante",IF(N(T1836)&gt;N(H1836),"Reçu plus que commandé",IF(AND(N(T1836)&gt;0,N(U1836)=0),"Date de réception manquante",IF(AND(N(U1836)&gt;0,U1836&lt;B1836),"Réception avant la commande","OK")))))))))))))))))))))</f>
        <v/>
      </c>
      <c r="AA1836" s="66" t="str">
        <f>IF(AND(X1836="Reçu",ISNUMBER(R1836)),IF(N(U1836)&lt;=R1836,1,0),"")</f>
        <v/>
      </c>
      <c r="AB1836" s="76" t="str">
        <f>IF(OR(X1836="Envoyé",X1836="Partiel",X1836="En retard"),IF(ISNUMBER(R1836),R1836,100000)+ROW()/100000,"")</f>
        <v/>
      </c>
      <c r="AC1836" s="66" t="str">
        <f>IF(A1836="","",IF(COUNTIF($A$6:A1836,A1836)=1,1,""))</f>
        <v/>
      </c>
      <c r="AD1836" s="66" t="str">
        <f>IF(AC1836=1,COUNT($AC$6:AC1836),"")</f>
        <v/>
      </c>
      <c r="AE1836" s="66" t="str">
        <f>IFERROR(INDEX(po_num,MATCH(1831,po_seq,0))&amp;"","")</f>
        <v/>
      </c>
      <c r="AF1836" s="66" t="str">
        <f>IF(OR(A1836="",p_po=""),"",IF(A1836&amp;""=p_po,COUNTIF($A$6:A1836,A1836),""))</f>
        <v/>
      </c>
      <c r="AG1836" s="66" t="str">
        <f>IF(OR(AB1836="",A1836=""),"",IF(COUNTIFS($A$6:A1836,A1836,$AB$6:AB1836,"&gt;0")=1,1,""))</f>
        <v/>
      </c>
      <c r="AH1836" s="70" t="str">
        <f>IF(AB1836="","",ROUND(N(W1836)*N(J1836)*(1-N(K1836)),2))</f>
        <v/>
      </c>
      <c r="AI1836" s="70" t="str">
        <f>IF(OR(J1836="",N(T1836)&lt;=0,V1836="Oui"),"",ROUND(N(T1836)*J1836*(1-N(K1836)),2))</f>
        <v/>
      </c>
    </row>
    <row r="1837">
      <c r="A1837" s="63" t="n"/>
      <c r="B1837" s="64" t="n"/>
      <c r="C1837" s="65" t="n"/>
      <c r="D1837" s="66" t="str">
        <f>IF(C1837="","",IFERROR(INDEX(sup_name,MATCH($C1837,sup_code,0))&amp;"","Fournisseur inconnu"))</f>
        <v/>
      </c>
      <c r="E1837" s="63" t="n"/>
      <c r="F1837" s="66" t="str">
        <f>IF(E1837="","",IFERROR(INDEX(art_des,MATCH($E1837,art_ref,0))&amp;"","Article inconnu"))</f>
        <v/>
      </c>
      <c r="G1837" s="67" t="str">
        <f>IF(E1837="","",IFERROR(INDEX(art_unit,MATCH($E1837,art_ref,0))&amp;"",""))</f>
        <v/>
      </c>
      <c r="H1837" s="68" t="n"/>
      <c r="I1837" s="69" t="n"/>
      <c r="J1837" s="70" t="str">
        <f>IF(E1837="","",IF(ISNUMBER(I1837),I1837,IFERROR(IF(ISNUMBER(INDEX(art_price,MATCH($E1837,art_ref,0))),INDEX(art_price,MATCH($E1837,art_ref,0)),""),"")))</f>
        <v/>
      </c>
      <c r="K1837" s="71" t="n"/>
      <c r="L1837" s="72" t="n"/>
      <c r="M1837" s="72" t="str">
        <f>IF(E1837="","",IF(L1837&lt;&gt;"",L1837,IFERROR(IF(ISNUMBER(INDEX(art_tva,MATCH($E1837,art_ref,0))),INDEX(art_tva,MATCH($E1837,art_ref,0)),""),"")))</f>
        <v/>
      </c>
      <c r="N1837" s="70" t="str">
        <f>IF(OR(E1837="",J1837=""),"",ROUND(N(H1837)*J1837*(1-N(K1837)),2))</f>
        <v/>
      </c>
      <c r="O1837" s="70" t="str">
        <f>IF(OR(N1837="",NOT(ISNUMBER(M1837))),"",ROUND(N1837*M1837,2))</f>
        <v/>
      </c>
      <c r="P1837" s="70" t="str">
        <f>IF(N1837="","",N1837+N(O1837))</f>
        <v/>
      </c>
      <c r="Q1837" s="64" t="n"/>
      <c r="R1837" s="73" t="str">
        <f>IF(N(Q1837)&gt;0,Q1837,IF(OR(N(B1837)=0,ISNA(MATCH($C1837,sup_code,0))),"",IF(ISNUMBER(INDEX(sup_delay,MATCH($C1837,sup_code,0))),B1837+INDEX(sup_delay,MATCH($C1837,sup_code,0)),"")))</f>
        <v/>
      </c>
      <c r="S1837" s="64" t="n"/>
      <c r="T1837" s="68" t="n"/>
      <c r="U1837" s="64" t="n"/>
      <c r="V1837" s="65" t="n"/>
      <c r="W1837" s="74" t="str">
        <f>IF(AND(A1837="",E1837=""),"",IF(V1837="Oui",0,MAX(0,ROUND(N(H1837)-N(T1837),6))))</f>
        <v/>
      </c>
      <c r="X1837" s="67" t="str">
        <f>IF(AND(A1837="",E1837=""),"",IF(V1837="Oui","Annulé",IF(AND(N(H1837)&gt;0,N(T1837)&gt;=N(H1837)),"Reçu",IF(N(S1837)=0,"Brouillon",IF(AND(ISNUMBER(R1837),R1837&lt;p_today),"En retard",IF(N(T1837)&gt;0,"Partiel","Envoyé"))))))</f>
        <v/>
      </c>
      <c r="Y1837" s="75" t="str">
        <f>IF(X1837="En retard",p_today-R1837,IF(AND(X1837="Reçu",ISNUMBER(R1837)),MAX(0,N(U1837)-R1837),""))</f>
        <v/>
      </c>
      <c r="Z1837" s="67" t="str">
        <f>IF(AND(A1837="",E1837=""),"",IF(A1837="","N° de bon manquant",IF(N(B1837)=0,"Date de commande manquante",IF(C1837="","Fournisseur manquant",IF(ISNA(MATCH($C1837,sup_code,0)),"Fournisseur inconnu",IF(E1837="","Article manquant",IF(ISNA(MATCH($E1837,art_ref,0)),"Article inconnu",IF(N(H1837)&lt;=0,"Quantité invalide",IF(J1837="","Prix manquant",IF(OR(N(K1837)&lt;0,N(K1837)&gt;=1),"Remise invalide",IF(M1837="","TVA manquante",IF(ISNA(MATCH(M1837,p_tva,0)),"Taux de TVA inconnu",IF(COUNTIFS(po_num,A1837,po_sup,"&lt;&gt;"&amp;C1837)&gt;0,"Fournisseur différent sur ce bon",IF(COUNTIFS(po_num,A1837,po_date,"&lt;&gt;"&amp;B1837)&gt;0,"Date différente sur ce bon",IF(COUNTIF(po_num,A1837)&gt;25,"Plus de 25 lignes sur ce bon",IF(R1837="","Date de livraison manquante",IF(R1837&lt;B1837,"Livraison avant la commande",IF(AND(N(T1837)&gt;0,N(S1837)=0),"Date d'envoi manquante",IF(N(T1837)&gt;N(H1837),"Reçu plus que commandé",IF(AND(N(T1837)&gt;0,N(U1837)=0),"Date de réception manquante",IF(AND(N(U1837)&gt;0,U1837&lt;B1837),"Réception avant la commande","OK")))))))))))))))))))))</f>
        <v/>
      </c>
      <c r="AA1837" s="66" t="str">
        <f>IF(AND(X1837="Reçu",ISNUMBER(R1837)),IF(N(U1837)&lt;=R1837,1,0),"")</f>
        <v/>
      </c>
      <c r="AB1837" s="76" t="str">
        <f>IF(OR(X1837="Envoyé",X1837="Partiel",X1837="En retard"),IF(ISNUMBER(R1837),R1837,100000)+ROW()/100000,"")</f>
        <v/>
      </c>
      <c r="AC1837" s="66" t="str">
        <f>IF(A1837="","",IF(COUNTIF($A$6:A1837,A1837)=1,1,""))</f>
        <v/>
      </c>
      <c r="AD1837" s="66" t="str">
        <f>IF(AC1837=1,COUNT($AC$6:AC1837),"")</f>
        <v/>
      </c>
      <c r="AE1837" s="66" t="str">
        <f>IFERROR(INDEX(po_num,MATCH(1832,po_seq,0))&amp;"","")</f>
        <v/>
      </c>
      <c r="AF1837" s="66" t="str">
        <f>IF(OR(A1837="",p_po=""),"",IF(A1837&amp;""=p_po,COUNTIF($A$6:A1837,A1837),""))</f>
        <v/>
      </c>
      <c r="AG1837" s="66" t="str">
        <f>IF(OR(AB1837="",A1837=""),"",IF(COUNTIFS($A$6:A1837,A1837,$AB$6:AB1837,"&gt;0")=1,1,""))</f>
        <v/>
      </c>
      <c r="AH1837" s="70" t="str">
        <f>IF(AB1837="","",ROUND(N(W1837)*N(J1837)*(1-N(K1837)),2))</f>
        <v/>
      </c>
      <c r="AI1837" s="70" t="str">
        <f>IF(OR(J1837="",N(T1837)&lt;=0,V1837="Oui"),"",ROUND(N(T1837)*J1837*(1-N(K1837)),2))</f>
        <v/>
      </c>
    </row>
    <row r="1838">
      <c r="A1838" s="63" t="n"/>
      <c r="B1838" s="64" t="n"/>
      <c r="C1838" s="65" t="n"/>
      <c r="D1838" s="66" t="str">
        <f>IF(C1838="","",IFERROR(INDEX(sup_name,MATCH($C1838,sup_code,0))&amp;"","Fournisseur inconnu"))</f>
        <v/>
      </c>
      <c r="E1838" s="63" t="n"/>
      <c r="F1838" s="66" t="str">
        <f>IF(E1838="","",IFERROR(INDEX(art_des,MATCH($E1838,art_ref,0))&amp;"","Article inconnu"))</f>
        <v/>
      </c>
      <c r="G1838" s="67" t="str">
        <f>IF(E1838="","",IFERROR(INDEX(art_unit,MATCH($E1838,art_ref,0))&amp;"",""))</f>
        <v/>
      </c>
      <c r="H1838" s="68" t="n"/>
      <c r="I1838" s="69" t="n"/>
      <c r="J1838" s="70" t="str">
        <f>IF(E1838="","",IF(ISNUMBER(I1838),I1838,IFERROR(IF(ISNUMBER(INDEX(art_price,MATCH($E1838,art_ref,0))),INDEX(art_price,MATCH($E1838,art_ref,0)),""),"")))</f>
        <v/>
      </c>
      <c r="K1838" s="71" t="n"/>
      <c r="L1838" s="72" t="n"/>
      <c r="M1838" s="72" t="str">
        <f>IF(E1838="","",IF(L1838&lt;&gt;"",L1838,IFERROR(IF(ISNUMBER(INDEX(art_tva,MATCH($E1838,art_ref,0))),INDEX(art_tva,MATCH($E1838,art_ref,0)),""),"")))</f>
        <v/>
      </c>
      <c r="N1838" s="70" t="str">
        <f>IF(OR(E1838="",J1838=""),"",ROUND(N(H1838)*J1838*(1-N(K1838)),2))</f>
        <v/>
      </c>
      <c r="O1838" s="70" t="str">
        <f>IF(OR(N1838="",NOT(ISNUMBER(M1838))),"",ROUND(N1838*M1838,2))</f>
        <v/>
      </c>
      <c r="P1838" s="70" t="str">
        <f>IF(N1838="","",N1838+N(O1838))</f>
        <v/>
      </c>
      <c r="Q1838" s="64" t="n"/>
      <c r="R1838" s="73" t="str">
        <f>IF(N(Q1838)&gt;0,Q1838,IF(OR(N(B1838)=0,ISNA(MATCH($C1838,sup_code,0))),"",IF(ISNUMBER(INDEX(sup_delay,MATCH($C1838,sup_code,0))),B1838+INDEX(sup_delay,MATCH($C1838,sup_code,0)),"")))</f>
        <v/>
      </c>
      <c r="S1838" s="64" t="n"/>
      <c r="T1838" s="68" t="n"/>
      <c r="U1838" s="64" t="n"/>
      <c r="V1838" s="65" t="n"/>
      <c r="W1838" s="74" t="str">
        <f>IF(AND(A1838="",E1838=""),"",IF(V1838="Oui",0,MAX(0,ROUND(N(H1838)-N(T1838),6))))</f>
        <v/>
      </c>
      <c r="X1838" s="67" t="str">
        <f>IF(AND(A1838="",E1838=""),"",IF(V1838="Oui","Annulé",IF(AND(N(H1838)&gt;0,N(T1838)&gt;=N(H1838)),"Reçu",IF(N(S1838)=0,"Brouillon",IF(AND(ISNUMBER(R1838),R1838&lt;p_today),"En retard",IF(N(T1838)&gt;0,"Partiel","Envoyé"))))))</f>
        <v/>
      </c>
      <c r="Y1838" s="75" t="str">
        <f>IF(X1838="En retard",p_today-R1838,IF(AND(X1838="Reçu",ISNUMBER(R1838)),MAX(0,N(U1838)-R1838),""))</f>
        <v/>
      </c>
      <c r="Z1838" s="67" t="str">
        <f>IF(AND(A1838="",E1838=""),"",IF(A1838="","N° de bon manquant",IF(N(B1838)=0,"Date de commande manquante",IF(C1838="","Fournisseur manquant",IF(ISNA(MATCH($C1838,sup_code,0)),"Fournisseur inconnu",IF(E1838="","Article manquant",IF(ISNA(MATCH($E1838,art_ref,0)),"Article inconnu",IF(N(H1838)&lt;=0,"Quantité invalide",IF(J1838="","Prix manquant",IF(OR(N(K1838)&lt;0,N(K1838)&gt;=1),"Remise invalide",IF(M1838="","TVA manquante",IF(ISNA(MATCH(M1838,p_tva,0)),"Taux de TVA inconnu",IF(COUNTIFS(po_num,A1838,po_sup,"&lt;&gt;"&amp;C1838)&gt;0,"Fournisseur différent sur ce bon",IF(COUNTIFS(po_num,A1838,po_date,"&lt;&gt;"&amp;B1838)&gt;0,"Date différente sur ce bon",IF(COUNTIF(po_num,A1838)&gt;25,"Plus de 25 lignes sur ce bon",IF(R1838="","Date de livraison manquante",IF(R1838&lt;B1838,"Livraison avant la commande",IF(AND(N(T1838)&gt;0,N(S1838)=0),"Date d'envoi manquante",IF(N(T1838)&gt;N(H1838),"Reçu plus que commandé",IF(AND(N(T1838)&gt;0,N(U1838)=0),"Date de réception manquante",IF(AND(N(U1838)&gt;0,U1838&lt;B1838),"Réception avant la commande","OK")))))))))))))))))))))</f>
        <v/>
      </c>
      <c r="AA1838" s="66" t="str">
        <f>IF(AND(X1838="Reçu",ISNUMBER(R1838)),IF(N(U1838)&lt;=R1838,1,0),"")</f>
        <v/>
      </c>
      <c r="AB1838" s="76" t="str">
        <f>IF(OR(X1838="Envoyé",X1838="Partiel",X1838="En retard"),IF(ISNUMBER(R1838),R1838,100000)+ROW()/100000,"")</f>
        <v/>
      </c>
      <c r="AC1838" s="66" t="str">
        <f>IF(A1838="","",IF(COUNTIF($A$6:A1838,A1838)=1,1,""))</f>
        <v/>
      </c>
      <c r="AD1838" s="66" t="str">
        <f>IF(AC1838=1,COUNT($AC$6:AC1838),"")</f>
        <v/>
      </c>
      <c r="AE1838" s="66" t="str">
        <f>IFERROR(INDEX(po_num,MATCH(1833,po_seq,0))&amp;"","")</f>
        <v/>
      </c>
      <c r="AF1838" s="66" t="str">
        <f>IF(OR(A1838="",p_po=""),"",IF(A1838&amp;""=p_po,COUNTIF($A$6:A1838,A1838),""))</f>
        <v/>
      </c>
      <c r="AG1838" s="66" t="str">
        <f>IF(OR(AB1838="",A1838=""),"",IF(COUNTIFS($A$6:A1838,A1838,$AB$6:AB1838,"&gt;0")=1,1,""))</f>
        <v/>
      </c>
      <c r="AH1838" s="70" t="str">
        <f>IF(AB1838="","",ROUND(N(W1838)*N(J1838)*(1-N(K1838)),2))</f>
        <v/>
      </c>
      <c r="AI1838" s="70" t="str">
        <f>IF(OR(J1838="",N(T1838)&lt;=0,V1838="Oui"),"",ROUND(N(T1838)*J1838*(1-N(K1838)),2))</f>
        <v/>
      </c>
    </row>
    <row r="1839">
      <c r="A1839" s="63" t="n"/>
      <c r="B1839" s="64" t="n"/>
      <c r="C1839" s="65" t="n"/>
      <c r="D1839" s="66" t="str">
        <f>IF(C1839="","",IFERROR(INDEX(sup_name,MATCH($C1839,sup_code,0))&amp;"","Fournisseur inconnu"))</f>
        <v/>
      </c>
      <c r="E1839" s="63" t="n"/>
      <c r="F1839" s="66" t="str">
        <f>IF(E1839="","",IFERROR(INDEX(art_des,MATCH($E1839,art_ref,0))&amp;"","Article inconnu"))</f>
        <v/>
      </c>
      <c r="G1839" s="67" t="str">
        <f>IF(E1839="","",IFERROR(INDEX(art_unit,MATCH($E1839,art_ref,0))&amp;"",""))</f>
        <v/>
      </c>
      <c r="H1839" s="68" t="n"/>
      <c r="I1839" s="69" t="n"/>
      <c r="J1839" s="70" t="str">
        <f>IF(E1839="","",IF(ISNUMBER(I1839),I1839,IFERROR(IF(ISNUMBER(INDEX(art_price,MATCH($E1839,art_ref,0))),INDEX(art_price,MATCH($E1839,art_ref,0)),""),"")))</f>
        <v/>
      </c>
      <c r="K1839" s="71" t="n"/>
      <c r="L1839" s="72" t="n"/>
      <c r="M1839" s="72" t="str">
        <f>IF(E1839="","",IF(L1839&lt;&gt;"",L1839,IFERROR(IF(ISNUMBER(INDEX(art_tva,MATCH($E1839,art_ref,0))),INDEX(art_tva,MATCH($E1839,art_ref,0)),""),"")))</f>
        <v/>
      </c>
      <c r="N1839" s="70" t="str">
        <f>IF(OR(E1839="",J1839=""),"",ROUND(N(H1839)*J1839*(1-N(K1839)),2))</f>
        <v/>
      </c>
      <c r="O1839" s="70" t="str">
        <f>IF(OR(N1839="",NOT(ISNUMBER(M1839))),"",ROUND(N1839*M1839,2))</f>
        <v/>
      </c>
      <c r="P1839" s="70" t="str">
        <f>IF(N1839="","",N1839+N(O1839))</f>
        <v/>
      </c>
      <c r="Q1839" s="64" t="n"/>
      <c r="R1839" s="73" t="str">
        <f>IF(N(Q1839)&gt;0,Q1839,IF(OR(N(B1839)=0,ISNA(MATCH($C1839,sup_code,0))),"",IF(ISNUMBER(INDEX(sup_delay,MATCH($C1839,sup_code,0))),B1839+INDEX(sup_delay,MATCH($C1839,sup_code,0)),"")))</f>
        <v/>
      </c>
      <c r="S1839" s="64" t="n"/>
      <c r="T1839" s="68" t="n"/>
      <c r="U1839" s="64" t="n"/>
      <c r="V1839" s="65" t="n"/>
      <c r="W1839" s="74" t="str">
        <f>IF(AND(A1839="",E1839=""),"",IF(V1839="Oui",0,MAX(0,ROUND(N(H1839)-N(T1839),6))))</f>
        <v/>
      </c>
      <c r="X1839" s="67" t="str">
        <f>IF(AND(A1839="",E1839=""),"",IF(V1839="Oui","Annulé",IF(AND(N(H1839)&gt;0,N(T1839)&gt;=N(H1839)),"Reçu",IF(N(S1839)=0,"Brouillon",IF(AND(ISNUMBER(R1839),R1839&lt;p_today),"En retard",IF(N(T1839)&gt;0,"Partiel","Envoyé"))))))</f>
        <v/>
      </c>
      <c r="Y1839" s="75" t="str">
        <f>IF(X1839="En retard",p_today-R1839,IF(AND(X1839="Reçu",ISNUMBER(R1839)),MAX(0,N(U1839)-R1839),""))</f>
        <v/>
      </c>
      <c r="Z1839" s="67" t="str">
        <f>IF(AND(A1839="",E1839=""),"",IF(A1839="","N° de bon manquant",IF(N(B1839)=0,"Date de commande manquante",IF(C1839="","Fournisseur manquant",IF(ISNA(MATCH($C1839,sup_code,0)),"Fournisseur inconnu",IF(E1839="","Article manquant",IF(ISNA(MATCH($E1839,art_ref,0)),"Article inconnu",IF(N(H1839)&lt;=0,"Quantité invalide",IF(J1839="","Prix manquant",IF(OR(N(K1839)&lt;0,N(K1839)&gt;=1),"Remise invalide",IF(M1839="","TVA manquante",IF(ISNA(MATCH(M1839,p_tva,0)),"Taux de TVA inconnu",IF(COUNTIFS(po_num,A1839,po_sup,"&lt;&gt;"&amp;C1839)&gt;0,"Fournisseur différent sur ce bon",IF(COUNTIFS(po_num,A1839,po_date,"&lt;&gt;"&amp;B1839)&gt;0,"Date différente sur ce bon",IF(COUNTIF(po_num,A1839)&gt;25,"Plus de 25 lignes sur ce bon",IF(R1839="","Date de livraison manquante",IF(R1839&lt;B1839,"Livraison avant la commande",IF(AND(N(T1839)&gt;0,N(S1839)=0),"Date d'envoi manquante",IF(N(T1839)&gt;N(H1839),"Reçu plus que commandé",IF(AND(N(T1839)&gt;0,N(U1839)=0),"Date de réception manquante",IF(AND(N(U1839)&gt;0,U1839&lt;B1839),"Réception avant la commande","OK")))))))))))))))))))))</f>
        <v/>
      </c>
      <c r="AA1839" s="66" t="str">
        <f>IF(AND(X1839="Reçu",ISNUMBER(R1839)),IF(N(U1839)&lt;=R1839,1,0),"")</f>
        <v/>
      </c>
      <c r="AB1839" s="76" t="str">
        <f>IF(OR(X1839="Envoyé",X1839="Partiel",X1839="En retard"),IF(ISNUMBER(R1839),R1839,100000)+ROW()/100000,"")</f>
        <v/>
      </c>
      <c r="AC1839" s="66" t="str">
        <f>IF(A1839="","",IF(COUNTIF($A$6:A1839,A1839)=1,1,""))</f>
        <v/>
      </c>
      <c r="AD1839" s="66" t="str">
        <f>IF(AC1839=1,COUNT($AC$6:AC1839),"")</f>
        <v/>
      </c>
      <c r="AE1839" s="66" t="str">
        <f>IFERROR(INDEX(po_num,MATCH(1834,po_seq,0))&amp;"","")</f>
        <v/>
      </c>
      <c r="AF1839" s="66" t="str">
        <f>IF(OR(A1839="",p_po=""),"",IF(A1839&amp;""=p_po,COUNTIF($A$6:A1839,A1839),""))</f>
        <v/>
      </c>
      <c r="AG1839" s="66" t="str">
        <f>IF(OR(AB1839="",A1839=""),"",IF(COUNTIFS($A$6:A1839,A1839,$AB$6:AB1839,"&gt;0")=1,1,""))</f>
        <v/>
      </c>
      <c r="AH1839" s="70" t="str">
        <f>IF(AB1839="","",ROUND(N(W1839)*N(J1839)*(1-N(K1839)),2))</f>
        <v/>
      </c>
      <c r="AI1839" s="70" t="str">
        <f>IF(OR(J1839="",N(T1839)&lt;=0,V1839="Oui"),"",ROUND(N(T1839)*J1839*(1-N(K1839)),2))</f>
        <v/>
      </c>
    </row>
    <row r="1840">
      <c r="A1840" s="63" t="n"/>
      <c r="B1840" s="64" t="n"/>
      <c r="C1840" s="65" t="n"/>
      <c r="D1840" s="66" t="str">
        <f>IF(C1840="","",IFERROR(INDEX(sup_name,MATCH($C1840,sup_code,0))&amp;"","Fournisseur inconnu"))</f>
        <v/>
      </c>
      <c r="E1840" s="63" t="n"/>
      <c r="F1840" s="66" t="str">
        <f>IF(E1840="","",IFERROR(INDEX(art_des,MATCH($E1840,art_ref,0))&amp;"","Article inconnu"))</f>
        <v/>
      </c>
      <c r="G1840" s="67" t="str">
        <f>IF(E1840="","",IFERROR(INDEX(art_unit,MATCH($E1840,art_ref,0))&amp;"",""))</f>
        <v/>
      </c>
      <c r="H1840" s="68" t="n"/>
      <c r="I1840" s="69" t="n"/>
      <c r="J1840" s="70" t="str">
        <f>IF(E1840="","",IF(ISNUMBER(I1840),I1840,IFERROR(IF(ISNUMBER(INDEX(art_price,MATCH($E1840,art_ref,0))),INDEX(art_price,MATCH($E1840,art_ref,0)),""),"")))</f>
        <v/>
      </c>
      <c r="K1840" s="71" t="n"/>
      <c r="L1840" s="72" t="n"/>
      <c r="M1840" s="72" t="str">
        <f>IF(E1840="","",IF(L1840&lt;&gt;"",L1840,IFERROR(IF(ISNUMBER(INDEX(art_tva,MATCH($E1840,art_ref,0))),INDEX(art_tva,MATCH($E1840,art_ref,0)),""),"")))</f>
        <v/>
      </c>
      <c r="N1840" s="70" t="str">
        <f>IF(OR(E1840="",J1840=""),"",ROUND(N(H1840)*J1840*(1-N(K1840)),2))</f>
        <v/>
      </c>
      <c r="O1840" s="70" t="str">
        <f>IF(OR(N1840="",NOT(ISNUMBER(M1840))),"",ROUND(N1840*M1840,2))</f>
        <v/>
      </c>
      <c r="P1840" s="70" t="str">
        <f>IF(N1840="","",N1840+N(O1840))</f>
        <v/>
      </c>
      <c r="Q1840" s="64" t="n"/>
      <c r="R1840" s="73" t="str">
        <f>IF(N(Q1840)&gt;0,Q1840,IF(OR(N(B1840)=0,ISNA(MATCH($C1840,sup_code,0))),"",IF(ISNUMBER(INDEX(sup_delay,MATCH($C1840,sup_code,0))),B1840+INDEX(sup_delay,MATCH($C1840,sup_code,0)),"")))</f>
        <v/>
      </c>
      <c r="S1840" s="64" t="n"/>
      <c r="T1840" s="68" t="n"/>
      <c r="U1840" s="64" t="n"/>
      <c r="V1840" s="65" t="n"/>
      <c r="W1840" s="74" t="str">
        <f>IF(AND(A1840="",E1840=""),"",IF(V1840="Oui",0,MAX(0,ROUND(N(H1840)-N(T1840),6))))</f>
        <v/>
      </c>
      <c r="X1840" s="67" t="str">
        <f>IF(AND(A1840="",E1840=""),"",IF(V1840="Oui","Annulé",IF(AND(N(H1840)&gt;0,N(T1840)&gt;=N(H1840)),"Reçu",IF(N(S1840)=0,"Brouillon",IF(AND(ISNUMBER(R1840),R1840&lt;p_today),"En retard",IF(N(T1840)&gt;0,"Partiel","Envoyé"))))))</f>
        <v/>
      </c>
      <c r="Y1840" s="75" t="str">
        <f>IF(X1840="En retard",p_today-R1840,IF(AND(X1840="Reçu",ISNUMBER(R1840)),MAX(0,N(U1840)-R1840),""))</f>
        <v/>
      </c>
      <c r="Z1840" s="67" t="str">
        <f>IF(AND(A1840="",E1840=""),"",IF(A1840="","N° de bon manquant",IF(N(B1840)=0,"Date de commande manquante",IF(C1840="","Fournisseur manquant",IF(ISNA(MATCH($C1840,sup_code,0)),"Fournisseur inconnu",IF(E1840="","Article manquant",IF(ISNA(MATCH($E1840,art_ref,0)),"Article inconnu",IF(N(H1840)&lt;=0,"Quantité invalide",IF(J1840="","Prix manquant",IF(OR(N(K1840)&lt;0,N(K1840)&gt;=1),"Remise invalide",IF(M1840="","TVA manquante",IF(ISNA(MATCH(M1840,p_tva,0)),"Taux de TVA inconnu",IF(COUNTIFS(po_num,A1840,po_sup,"&lt;&gt;"&amp;C1840)&gt;0,"Fournisseur différent sur ce bon",IF(COUNTIFS(po_num,A1840,po_date,"&lt;&gt;"&amp;B1840)&gt;0,"Date différente sur ce bon",IF(COUNTIF(po_num,A1840)&gt;25,"Plus de 25 lignes sur ce bon",IF(R1840="","Date de livraison manquante",IF(R1840&lt;B1840,"Livraison avant la commande",IF(AND(N(T1840)&gt;0,N(S1840)=0),"Date d'envoi manquante",IF(N(T1840)&gt;N(H1840),"Reçu plus que commandé",IF(AND(N(T1840)&gt;0,N(U1840)=0),"Date de réception manquante",IF(AND(N(U1840)&gt;0,U1840&lt;B1840),"Réception avant la commande","OK")))))))))))))))))))))</f>
        <v/>
      </c>
      <c r="AA1840" s="66" t="str">
        <f>IF(AND(X1840="Reçu",ISNUMBER(R1840)),IF(N(U1840)&lt;=R1840,1,0),"")</f>
        <v/>
      </c>
      <c r="AB1840" s="76" t="str">
        <f>IF(OR(X1840="Envoyé",X1840="Partiel",X1840="En retard"),IF(ISNUMBER(R1840),R1840,100000)+ROW()/100000,"")</f>
        <v/>
      </c>
      <c r="AC1840" s="66" t="str">
        <f>IF(A1840="","",IF(COUNTIF($A$6:A1840,A1840)=1,1,""))</f>
        <v/>
      </c>
      <c r="AD1840" s="66" t="str">
        <f>IF(AC1840=1,COUNT($AC$6:AC1840),"")</f>
        <v/>
      </c>
      <c r="AE1840" s="66" t="str">
        <f>IFERROR(INDEX(po_num,MATCH(1835,po_seq,0))&amp;"","")</f>
        <v/>
      </c>
      <c r="AF1840" s="66" t="str">
        <f>IF(OR(A1840="",p_po=""),"",IF(A1840&amp;""=p_po,COUNTIF($A$6:A1840,A1840),""))</f>
        <v/>
      </c>
      <c r="AG1840" s="66" t="str">
        <f>IF(OR(AB1840="",A1840=""),"",IF(COUNTIFS($A$6:A1840,A1840,$AB$6:AB1840,"&gt;0")=1,1,""))</f>
        <v/>
      </c>
      <c r="AH1840" s="70" t="str">
        <f>IF(AB1840="","",ROUND(N(W1840)*N(J1840)*(1-N(K1840)),2))</f>
        <v/>
      </c>
      <c r="AI1840" s="70" t="str">
        <f>IF(OR(J1840="",N(T1840)&lt;=0,V1840="Oui"),"",ROUND(N(T1840)*J1840*(1-N(K1840)),2))</f>
        <v/>
      </c>
    </row>
    <row r="1841">
      <c r="A1841" s="63" t="n"/>
      <c r="B1841" s="64" t="n"/>
      <c r="C1841" s="65" t="n"/>
      <c r="D1841" s="66" t="str">
        <f>IF(C1841="","",IFERROR(INDEX(sup_name,MATCH($C1841,sup_code,0))&amp;"","Fournisseur inconnu"))</f>
        <v/>
      </c>
      <c r="E1841" s="63" t="n"/>
      <c r="F1841" s="66" t="str">
        <f>IF(E1841="","",IFERROR(INDEX(art_des,MATCH($E1841,art_ref,0))&amp;"","Article inconnu"))</f>
        <v/>
      </c>
      <c r="G1841" s="67" t="str">
        <f>IF(E1841="","",IFERROR(INDEX(art_unit,MATCH($E1841,art_ref,0))&amp;"",""))</f>
        <v/>
      </c>
      <c r="H1841" s="68" t="n"/>
      <c r="I1841" s="69" t="n"/>
      <c r="J1841" s="70" t="str">
        <f>IF(E1841="","",IF(ISNUMBER(I1841),I1841,IFERROR(IF(ISNUMBER(INDEX(art_price,MATCH($E1841,art_ref,0))),INDEX(art_price,MATCH($E1841,art_ref,0)),""),"")))</f>
        <v/>
      </c>
      <c r="K1841" s="71" t="n"/>
      <c r="L1841" s="72" t="n"/>
      <c r="M1841" s="72" t="str">
        <f>IF(E1841="","",IF(L1841&lt;&gt;"",L1841,IFERROR(IF(ISNUMBER(INDEX(art_tva,MATCH($E1841,art_ref,0))),INDEX(art_tva,MATCH($E1841,art_ref,0)),""),"")))</f>
        <v/>
      </c>
      <c r="N1841" s="70" t="str">
        <f>IF(OR(E1841="",J1841=""),"",ROUND(N(H1841)*J1841*(1-N(K1841)),2))</f>
        <v/>
      </c>
      <c r="O1841" s="70" t="str">
        <f>IF(OR(N1841="",NOT(ISNUMBER(M1841))),"",ROUND(N1841*M1841,2))</f>
        <v/>
      </c>
      <c r="P1841" s="70" t="str">
        <f>IF(N1841="","",N1841+N(O1841))</f>
        <v/>
      </c>
      <c r="Q1841" s="64" t="n"/>
      <c r="R1841" s="73" t="str">
        <f>IF(N(Q1841)&gt;0,Q1841,IF(OR(N(B1841)=0,ISNA(MATCH($C1841,sup_code,0))),"",IF(ISNUMBER(INDEX(sup_delay,MATCH($C1841,sup_code,0))),B1841+INDEX(sup_delay,MATCH($C1841,sup_code,0)),"")))</f>
        <v/>
      </c>
      <c r="S1841" s="64" t="n"/>
      <c r="T1841" s="68" t="n"/>
      <c r="U1841" s="64" t="n"/>
      <c r="V1841" s="65" t="n"/>
      <c r="W1841" s="74" t="str">
        <f>IF(AND(A1841="",E1841=""),"",IF(V1841="Oui",0,MAX(0,ROUND(N(H1841)-N(T1841),6))))</f>
        <v/>
      </c>
      <c r="X1841" s="67" t="str">
        <f>IF(AND(A1841="",E1841=""),"",IF(V1841="Oui","Annulé",IF(AND(N(H1841)&gt;0,N(T1841)&gt;=N(H1841)),"Reçu",IF(N(S1841)=0,"Brouillon",IF(AND(ISNUMBER(R1841),R1841&lt;p_today),"En retard",IF(N(T1841)&gt;0,"Partiel","Envoyé"))))))</f>
        <v/>
      </c>
      <c r="Y1841" s="75" t="str">
        <f>IF(X1841="En retard",p_today-R1841,IF(AND(X1841="Reçu",ISNUMBER(R1841)),MAX(0,N(U1841)-R1841),""))</f>
        <v/>
      </c>
      <c r="Z1841" s="67" t="str">
        <f>IF(AND(A1841="",E1841=""),"",IF(A1841="","N° de bon manquant",IF(N(B1841)=0,"Date de commande manquante",IF(C1841="","Fournisseur manquant",IF(ISNA(MATCH($C1841,sup_code,0)),"Fournisseur inconnu",IF(E1841="","Article manquant",IF(ISNA(MATCH($E1841,art_ref,0)),"Article inconnu",IF(N(H1841)&lt;=0,"Quantité invalide",IF(J1841="","Prix manquant",IF(OR(N(K1841)&lt;0,N(K1841)&gt;=1),"Remise invalide",IF(M1841="","TVA manquante",IF(ISNA(MATCH(M1841,p_tva,0)),"Taux de TVA inconnu",IF(COUNTIFS(po_num,A1841,po_sup,"&lt;&gt;"&amp;C1841)&gt;0,"Fournisseur différent sur ce bon",IF(COUNTIFS(po_num,A1841,po_date,"&lt;&gt;"&amp;B1841)&gt;0,"Date différente sur ce bon",IF(COUNTIF(po_num,A1841)&gt;25,"Plus de 25 lignes sur ce bon",IF(R1841="","Date de livraison manquante",IF(R1841&lt;B1841,"Livraison avant la commande",IF(AND(N(T1841)&gt;0,N(S1841)=0),"Date d'envoi manquante",IF(N(T1841)&gt;N(H1841),"Reçu plus que commandé",IF(AND(N(T1841)&gt;0,N(U1841)=0),"Date de réception manquante",IF(AND(N(U1841)&gt;0,U1841&lt;B1841),"Réception avant la commande","OK")))))))))))))))))))))</f>
        <v/>
      </c>
      <c r="AA1841" s="66" t="str">
        <f>IF(AND(X1841="Reçu",ISNUMBER(R1841)),IF(N(U1841)&lt;=R1841,1,0),"")</f>
        <v/>
      </c>
      <c r="AB1841" s="76" t="str">
        <f>IF(OR(X1841="Envoyé",X1841="Partiel",X1841="En retard"),IF(ISNUMBER(R1841),R1841,100000)+ROW()/100000,"")</f>
        <v/>
      </c>
      <c r="AC1841" s="66" t="str">
        <f>IF(A1841="","",IF(COUNTIF($A$6:A1841,A1841)=1,1,""))</f>
        <v/>
      </c>
      <c r="AD1841" s="66" t="str">
        <f>IF(AC1841=1,COUNT($AC$6:AC1841),"")</f>
        <v/>
      </c>
      <c r="AE1841" s="66" t="str">
        <f>IFERROR(INDEX(po_num,MATCH(1836,po_seq,0))&amp;"","")</f>
        <v/>
      </c>
      <c r="AF1841" s="66" t="str">
        <f>IF(OR(A1841="",p_po=""),"",IF(A1841&amp;""=p_po,COUNTIF($A$6:A1841,A1841),""))</f>
        <v/>
      </c>
      <c r="AG1841" s="66" t="str">
        <f>IF(OR(AB1841="",A1841=""),"",IF(COUNTIFS($A$6:A1841,A1841,$AB$6:AB1841,"&gt;0")=1,1,""))</f>
        <v/>
      </c>
      <c r="AH1841" s="70" t="str">
        <f>IF(AB1841="","",ROUND(N(W1841)*N(J1841)*(1-N(K1841)),2))</f>
        <v/>
      </c>
      <c r="AI1841" s="70" t="str">
        <f>IF(OR(J1841="",N(T1841)&lt;=0,V1841="Oui"),"",ROUND(N(T1841)*J1841*(1-N(K1841)),2))</f>
        <v/>
      </c>
    </row>
    <row r="1842">
      <c r="A1842" s="63" t="n"/>
      <c r="B1842" s="64" t="n"/>
      <c r="C1842" s="65" t="n"/>
      <c r="D1842" s="66" t="str">
        <f>IF(C1842="","",IFERROR(INDEX(sup_name,MATCH($C1842,sup_code,0))&amp;"","Fournisseur inconnu"))</f>
        <v/>
      </c>
      <c r="E1842" s="63" t="n"/>
      <c r="F1842" s="66" t="str">
        <f>IF(E1842="","",IFERROR(INDEX(art_des,MATCH($E1842,art_ref,0))&amp;"","Article inconnu"))</f>
        <v/>
      </c>
      <c r="G1842" s="67" t="str">
        <f>IF(E1842="","",IFERROR(INDEX(art_unit,MATCH($E1842,art_ref,0))&amp;"",""))</f>
        <v/>
      </c>
      <c r="H1842" s="68" t="n"/>
      <c r="I1842" s="69" t="n"/>
      <c r="J1842" s="70" t="str">
        <f>IF(E1842="","",IF(ISNUMBER(I1842),I1842,IFERROR(IF(ISNUMBER(INDEX(art_price,MATCH($E1842,art_ref,0))),INDEX(art_price,MATCH($E1842,art_ref,0)),""),"")))</f>
        <v/>
      </c>
      <c r="K1842" s="71" t="n"/>
      <c r="L1842" s="72" t="n"/>
      <c r="M1842" s="72" t="str">
        <f>IF(E1842="","",IF(L1842&lt;&gt;"",L1842,IFERROR(IF(ISNUMBER(INDEX(art_tva,MATCH($E1842,art_ref,0))),INDEX(art_tva,MATCH($E1842,art_ref,0)),""),"")))</f>
        <v/>
      </c>
      <c r="N1842" s="70" t="str">
        <f>IF(OR(E1842="",J1842=""),"",ROUND(N(H1842)*J1842*(1-N(K1842)),2))</f>
        <v/>
      </c>
      <c r="O1842" s="70" t="str">
        <f>IF(OR(N1842="",NOT(ISNUMBER(M1842))),"",ROUND(N1842*M1842,2))</f>
        <v/>
      </c>
      <c r="P1842" s="70" t="str">
        <f>IF(N1842="","",N1842+N(O1842))</f>
        <v/>
      </c>
      <c r="Q1842" s="64" t="n"/>
      <c r="R1842" s="73" t="str">
        <f>IF(N(Q1842)&gt;0,Q1842,IF(OR(N(B1842)=0,ISNA(MATCH($C1842,sup_code,0))),"",IF(ISNUMBER(INDEX(sup_delay,MATCH($C1842,sup_code,0))),B1842+INDEX(sup_delay,MATCH($C1842,sup_code,0)),"")))</f>
        <v/>
      </c>
      <c r="S1842" s="64" t="n"/>
      <c r="T1842" s="68" t="n"/>
      <c r="U1842" s="64" t="n"/>
      <c r="V1842" s="65" t="n"/>
      <c r="W1842" s="74" t="str">
        <f>IF(AND(A1842="",E1842=""),"",IF(V1842="Oui",0,MAX(0,ROUND(N(H1842)-N(T1842),6))))</f>
        <v/>
      </c>
      <c r="X1842" s="67" t="str">
        <f>IF(AND(A1842="",E1842=""),"",IF(V1842="Oui","Annulé",IF(AND(N(H1842)&gt;0,N(T1842)&gt;=N(H1842)),"Reçu",IF(N(S1842)=0,"Brouillon",IF(AND(ISNUMBER(R1842),R1842&lt;p_today),"En retard",IF(N(T1842)&gt;0,"Partiel","Envoyé"))))))</f>
        <v/>
      </c>
      <c r="Y1842" s="75" t="str">
        <f>IF(X1842="En retard",p_today-R1842,IF(AND(X1842="Reçu",ISNUMBER(R1842)),MAX(0,N(U1842)-R1842),""))</f>
        <v/>
      </c>
      <c r="Z1842" s="67" t="str">
        <f>IF(AND(A1842="",E1842=""),"",IF(A1842="","N° de bon manquant",IF(N(B1842)=0,"Date de commande manquante",IF(C1842="","Fournisseur manquant",IF(ISNA(MATCH($C1842,sup_code,0)),"Fournisseur inconnu",IF(E1842="","Article manquant",IF(ISNA(MATCH($E1842,art_ref,0)),"Article inconnu",IF(N(H1842)&lt;=0,"Quantité invalide",IF(J1842="","Prix manquant",IF(OR(N(K1842)&lt;0,N(K1842)&gt;=1),"Remise invalide",IF(M1842="","TVA manquante",IF(ISNA(MATCH(M1842,p_tva,0)),"Taux de TVA inconnu",IF(COUNTIFS(po_num,A1842,po_sup,"&lt;&gt;"&amp;C1842)&gt;0,"Fournisseur différent sur ce bon",IF(COUNTIFS(po_num,A1842,po_date,"&lt;&gt;"&amp;B1842)&gt;0,"Date différente sur ce bon",IF(COUNTIF(po_num,A1842)&gt;25,"Plus de 25 lignes sur ce bon",IF(R1842="","Date de livraison manquante",IF(R1842&lt;B1842,"Livraison avant la commande",IF(AND(N(T1842)&gt;0,N(S1842)=0),"Date d'envoi manquante",IF(N(T1842)&gt;N(H1842),"Reçu plus que commandé",IF(AND(N(T1842)&gt;0,N(U1842)=0),"Date de réception manquante",IF(AND(N(U1842)&gt;0,U1842&lt;B1842),"Réception avant la commande","OK")))))))))))))))))))))</f>
        <v/>
      </c>
      <c r="AA1842" s="66" t="str">
        <f>IF(AND(X1842="Reçu",ISNUMBER(R1842)),IF(N(U1842)&lt;=R1842,1,0),"")</f>
        <v/>
      </c>
      <c r="AB1842" s="76" t="str">
        <f>IF(OR(X1842="Envoyé",X1842="Partiel",X1842="En retard"),IF(ISNUMBER(R1842),R1842,100000)+ROW()/100000,"")</f>
        <v/>
      </c>
      <c r="AC1842" s="66" t="str">
        <f>IF(A1842="","",IF(COUNTIF($A$6:A1842,A1842)=1,1,""))</f>
        <v/>
      </c>
      <c r="AD1842" s="66" t="str">
        <f>IF(AC1842=1,COUNT($AC$6:AC1842),"")</f>
        <v/>
      </c>
      <c r="AE1842" s="66" t="str">
        <f>IFERROR(INDEX(po_num,MATCH(1837,po_seq,0))&amp;"","")</f>
        <v/>
      </c>
      <c r="AF1842" s="66" t="str">
        <f>IF(OR(A1842="",p_po=""),"",IF(A1842&amp;""=p_po,COUNTIF($A$6:A1842,A1842),""))</f>
        <v/>
      </c>
      <c r="AG1842" s="66" t="str">
        <f>IF(OR(AB1842="",A1842=""),"",IF(COUNTIFS($A$6:A1842,A1842,$AB$6:AB1842,"&gt;0")=1,1,""))</f>
        <v/>
      </c>
      <c r="AH1842" s="70" t="str">
        <f>IF(AB1842="","",ROUND(N(W1842)*N(J1842)*(1-N(K1842)),2))</f>
        <v/>
      </c>
      <c r="AI1842" s="70" t="str">
        <f>IF(OR(J1842="",N(T1842)&lt;=0,V1842="Oui"),"",ROUND(N(T1842)*J1842*(1-N(K1842)),2))</f>
        <v/>
      </c>
    </row>
    <row r="1843">
      <c r="A1843" s="63" t="n"/>
      <c r="B1843" s="64" t="n"/>
      <c r="C1843" s="65" t="n"/>
      <c r="D1843" s="66" t="str">
        <f>IF(C1843="","",IFERROR(INDEX(sup_name,MATCH($C1843,sup_code,0))&amp;"","Fournisseur inconnu"))</f>
        <v/>
      </c>
      <c r="E1843" s="63" t="n"/>
      <c r="F1843" s="66" t="str">
        <f>IF(E1843="","",IFERROR(INDEX(art_des,MATCH($E1843,art_ref,0))&amp;"","Article inconnu"))</f>
        <v/>
      </c>
      <c r="G1843" s="67" t="str">
        <f>IF(E1843="","",IFERROR(INDEX(art_unit,MATCH($E1843,art_ref,0))&amp;"",""))</f>
        <v/>
      </c>
      <c r="H1843" s="68" t="n"/>
      <c r="I1843" s="69" t="n"/>
      <c r="J1843" s="70" t="str">
        <f>IF(E1843="","",IF(ISNUMBER(I1843),I1843,IFERROR(IF(ISNUMBER(INDEX(art_price,MATCH($E1843,art_ref,0))),INDEX(art_price,MATCH($E1843,art_ref,0)),""),"")))</f>
        <v/>
      </c>
      <c r="K1843" s="71" t="n"/>
      <c r="L1843" s="72" t="n"/>
      <c r="M1843" s="72" t="str">
        <f>IF(E1843="","",IF(L1843&lt;&gt;"",L1843,IFERROR(IF(ISNUMBER(INDEX(art_tva,MATCH($E1843,art_ref,0))),INDEX(art_tva,MATCH($E1843,art_ref,0)),""),"")))</f>
        <v/>
      </c>
      <c r="N1843" s="70" t="str">
        <f>IF(OR(E1843="",J1843=""),"",ROUND(N(H1843)*J1843*(1-N(K1843)),2))</f>
        <v/>
      </c>
      <c r="O1843" s="70" t="str">
        <f>IF(OR(N1843="",NOT(ISNUMBER(M1843))),"",ROUND(N1843*M1843,2))</f>
        <v/>
      </c>
      <c r="P1843" s="70" t="str">
        <f>IF(N1843="","",N1843+N(O1843))</f>
        <v/>
      </c>
      <c r="Q1843" s="64" t="n"/>
      <c r="R1843" s="73" t="str">
        <f>IF(N(Q1843)&gt;0,Q1843,IF(OR(N(B1843)=0,ISNA(MATCH($C1843,sup_code,0))),"",IF(ISNUMBER(INDEX(sup_delay,MATCH($C1843,sup_code,0))),B1843+INDEX(sup_delay,MATCH($C1843,sup_code,0)),"")))</f>
        <v/>
      </c>
      <c r="S1843" s="64" t="n"/>
      <c r="T1843" s="68" t="n"/>
      <c r="U1843" s="64" t="n"/>
      <c r="V1843" s="65" t="n"/>
      <c r="W1843" s="74" t="str">
        <f>IF(AND(A1843="",E1843=""),"",IF(V1843="Oui",0,MAX(0,ROUND(N(H1843)-N(T1843),6))))</f>
        <v/>
      </c>
      <c r="X1843" s="67" t="str">
        <f>IF(AND(A1843="",E1843=""),"",IF(V1843="Oui","Annulé",IF(AND(N(H1843)&gt;0,N(T1843)&gt;=N(H1843)),"Reçu",IF(N(S1843)=0,"Brouillon",IF(AND(ISNUMBER(R1843),R1843&lt;p_today),"En retard",IF(N(T1843)&gt;0,"Partiel","Envoyé"))))))</f>
        <v/>
      </c>
      <c r="Y1843" s="75" t="str">
        <f>IF(X1843="En retard",p_today-R1843,IF(AND(X1843="Reçu",ISNUMBER(R1843)),MAX(0,N(U1843)-R1843),""))</f>
        <v/>
      </c>
      <c r="Z1843" s="67" t="str">
        <f>IF(AND(A1843="",E1843=""),"",IF(A1843="","N° de bon manquant",IF(N(B1843)=0,"Date de commande manquante",IF(C1843="","Fournisseur manquant",IF(ISNA(MATCH($C1843,sup_code,0)),"Fournisseur inconnu",IF(E1843="","Article manquant",IF(ISNA(MATCH($E1843,art_ref,0)),"Article inconnu",IF(N(H1843)&lt;=0,"Quantité invalide",IF(J1843="","Prix manquant",IF(OR(N(K1843)&lt;0,N(K1843)&gt;=1),"Remise invalide",IF(M1843="","TVA manquante",IF(ISNA(MATCH(M1843,p_tva,0)),"Taux de TVA inconnu",IF(COUNTIFS(po_num,A1843,po_sup,"&lt;&gt;"&amp;C1843)&gt;0,"Fournisseur différent sur ce bon",IF(COUNTIFS(po_num,A1843,po_date,"&lt;&gt;"&amp;B1843)&gt;0,"Date différente sur ce bon",IF(COUNTIF(po_num,A1843)&gt;25,"Plus de 25 lignes sur ce bon",IF(R1843="","Date de livraison manquante",IF(R1843&lt;B1843,"Livraison avant la commande",IF(AND(N(T1843)&gt;0,N(S1843)=0),"Date d'envoi manquante",IF(N(T1843)&gt;N(H1843),"Reçu plus que commandé",IF(AND(N(T1843)&gt;0,N(U1843)=0),"Date de réception manquante",IF(AND(N(U1843)&gt;0,U1843&lt;B1843),"Réception avant la commande","OK")))))))))))))))))))))</f>
        <v/>
      </c>
      <c r="AA1843" s="66" t="str">
        <f>IF(AND(X1843="Reçu",ISNUMBER(R1843)),IF(N(U1843)&lt;=R1843,1,0),"")</f>
        <v/>
      </c>
      <c r="AB1843" s="76" t="str">
        <f>IF(OR(X1843="Envoyé",X1843="Partiel",X1843="En retard"),IF(ISNUMBER(R1843),R1843,100000)+ROW()/100000,"")</f>
        <v/>
      </c>
      <c r="AC1843" s="66" t="str">
        <f>IF(A1843="","",IF(COUNTIF($A$6:A1843,A1843)=1,1,""))</f>
        <v/>
      </c>
      <c r="AD1843" s="66" t="str">
        <f>IF(AC1843=1,COUNT($AC$6:AC1843),"")</f>
        <v/>
      </c>
      <c r="AE1843" s="66" t="str">
        <f>IFERROR(INDEX(po_num,MATCH(1838,po_seq,0))&amp;"","")</f>
        <v/>
      </c>
      <c r="AF1843" s="66" t="str">
        <f>IF(OR(A1843="",p_po=""),"",IF(A1843&amp;""=p_po,COUNTIF($A$6:A1843,A1843),""))</f>
        <v/>
      </c>
      <c r="AG1843" s="66" t="str">
        <f>IF(OR(AB1843="",A1843=""),"",IF(COUNTIFS($A$6:A1843,A1843,$AB$6:AB1843,"&gt;0")=1,1,""))</f>
        <v/>
      </c>
      <c r="AH1843" s="70" t="str">
        <f>IF(AB1843="","",ROUND(N(W1843)*N(J1843)*(1-N(K1843)),2))</f>
        <v/>
      </c>
      <c r="AI1843" s="70" t="str">
        <f>IF(OR(J1843="",N(T1843)&lt;=0,V1843="Oui"),"",ROUND(N(T1843)*J1843*(1-N(K1843)),2))</f>
        <v/>
      </c>
    </row>
    <row r="1844">
      <c r="A1844" s="63" t="n"/>
      <c r="B1844" s="64" t="n"/>
      <c r="C1844" s="65" t="n"/>
      <c r="D1844" s="66" t="str">
        <f>IF(C1844="","",IFERROR(INDEX(sup_name,MATCH($C1844,sup_code,0))&amp;"","Fournisseur inconnu"))</f>
        <v/>
      </c>
      <c r="E1844" s="63" t="n"/>
      <c r="F1844" s="66" t="str">
        <f>IF(E1844="","",IFERROR(INDEX(art_des,MATCH($E1844,art_ref,0))&amp;"","Article inconnu"))</f>
        <v/>
      </c>
      <c r="G1844" s="67" t="str">
        <f>IF(E1844="","",IFERROR(INDEX(art_unit,MATCH($E1844,art_ref,0))&amp;"",""))</f>
        <v/>
      </c>
      <c r="H1844" s="68" t="n"/>
      <c r="I1844" s="69" t="n"/>
      <c r="J1844" s="70" t="str">
        <f>IF(E1844="","",IF(ISNUMBER(I1844),I1844,IFERROR(IF(ISNUMBER(INDEX(art_price,MATCH($E1844,art_ref,0))),INDEX(art_price,MATCH($E1844,art_ref,0)),""),"")))</f>
        <v/>
      </c>
      <c r="K1844" s="71" t="n"/>
      <c r="L1844" s="72" t="n"/>
      <c r="M1844" s="72" t="str">
        <f>IF(E1844="","",IF(L1844&lt;&gt;"",L1844,IFERROR(IF(ISNUMBER(INDEX(art_tva,MATCH($E1844,art_ref,0))),INDEX(art_tva,MATCH($E1844,art_ref,0)),""),"")))</f>
        <v/>
      </c>
      <c r="N1844" s="70" t="str">
        <f>IF(OR(E1844="",J1844=""),"",ROUND(N(H1844)*J1844*(1-N(K1844)),2))</f>
        <v/>
      </c>
      <c r="O1844" s="70" t="str">
        <f>IF(OR(N1844="",NOT(ISNUMBER(M1844))),"",ROUND(N1844*M1844,2))</f>
        <v/>
      </c>
      <c r="P1844" s="70" t="str">
        <f>IF(N1844="","",N1844+N(O1844))</f>
        <v/>
      </c>
      <c r="Q1844" s="64" t="n"/>
      <c r="R1844" s="73" t="str">
        <f>IF(N(Q1844)&gt;0,Q1844,IF(OR(N(B1844)=0,ISNA(MATCH($C1844,sup_code,0))),"",IF(ISNUMBER(INDEX(sup_delay,MATCH($C1844,sup_code,0))),B1844+INDEX(sup_delay,MATCH($C1844,sup_code,0)),"")))</f>
        <v/>
      </c>
      <c r="S1844" s="64" t="n"/>
      <c r="T1844" s="68" t="n"/>
      <c r="U1844" s="64" t="n"/>
      <c r="V1844" s="65" t="n"/>
      <c r="W1844" s="74" t="str">
        <f>IF(AND(A1844="",E1844=""),"",IF(V1844="Oui",0,MAX(0,ROUND(N(H1844)-N(T1844),6))))</f>
        <v/>
      </c>
      <c r="X1844" s="67" t="str">
        <f>IF(AND(A1844="",E1844=""),"",IF(V1844="Oui","Annulé",IF(AND(N(H1844)&gt;0,N(T1844)&gt;=N(H1844)),"Reçu",IF(N(S1844)=0,"Brouillon",IF(AND(ISNUMBER(R1844),R1844&lt;p_today),"En retard",IF(N(T1844)&gt;0,"Partiel","Envoyé"))))))</f>
        <v/>
      </c>
      <c r="Y1844" s="75" t="str">
        <f>IF(X1844="En retard",p_today-R1844,IF(AND(X1844="Reçu",ISNUMBER(R1844)),MAX(0,N(U1844)-R1844),""))</f>
        <v/>
      </c>
      <c r="Z1844" s="67" t="str">
        <f>IF(AND(A1844="",E1844=""),"",IF(A1844="","N° de bon manquant",IF(N(B1844)=0,"Date de commande manquante",IF(C1844="","Fournisseur manquant",IF(ISNA(MATCH($C1844,sup_code,0)),"Fournisseur inconnu",IF(E1844="","Article manquant",IF(ISNA(MATCH($E1844,art_ref,0)),"Article inconnu",IF(N(H1844)&lt;=0,"Quantité invalide",IF(J1844="","Prix manquant",IF(OR(N(K1844)&lt;0,N(K1844)&gt;=1),"Remise invalide",IF(M1844="","TVA manquante",IF(ISNA(MATCH(M1844,p_tva,0)),"Taux de TVA inconnu",IF(COUNTIFS(po_num,A1844,po_sup,"&lt;&gt;"&amp;C1844)&gt;0,"Fournisseur différent sur ce bon",IF(COUNTIFS(po_num,A1844,po_date,"&lt;&gt;"&amp;B1844)&gt;0,"Date différente sur ce bon",IF(COUNTIF(po_num,A1844)&gt;25,"Plus de 25 lignes sur ce bon",IF(R1844="","Date de livraison manquante",IF(R1844&lt;B1844,"Livraison avant la commande",IF(AND(N(T1844)&gt;0,N(S1844)=0),"Date d'envoi manquante",IF(N(T1844)&gt;N(H1844),"Reçu plus que commandé",IF(AND(N(T1844)&gt;0,N(U1844)=0),"Date de réception manquante",IF(AND(N(U1844)&gt;0,U1844&lt;B1844),"Réception avant la commande","OK")))))))))))))))))))))</f>
        <v/>
      </c>
      <c r="AA1844" s="66" t="str">
        <f>IF(AND(X1844="Reçu",ISNUMBER(R1844)),IF(N(U1844)&lt;=R1844,1,0),"")</f>
        <v/>
      </c>
      <c r="AB1844" s="76" t="str">
        <f>IF(OR(X1844="Envoyé",X1844="Partiel",X1844="En retard"),IF(ISNUMBER(R1844),R1844,100000)+ROW()/100000,"")</f>
        <v/>
      </c>
      <c r="AC1844" s="66" t="str">
        <f>IF(A1844="","",IF(COUNTIF($A$6:A1844,A1844)=1,1,""))</f>
        <v/>
      </c>
      <c r="AD1844" s="66" t="str">
        <f>IF(AC1844=1,COUNT($AC$6:AC1844),"")</f>
        <v/>
      </c>
      <c r="AE1844" s="66" t="str">
        <f>IFERROR(INDEX(po_num,MATCH(1839,po_seq,0))&amp;"","")</f>
        <v/>
      </c>
      <c r="AF1844" s="66" t="str">
        <f>IF(OR(A1844="",p_po=""),"",IF(A1844&amp;""=p_po,COUNTIF($A$6:A1844,A1844),""))</f>
        <v/>
      </c>
      <c r="AG1844" s="66" t="str">
        <f>IF(OR(AB1844="",A1844=""),"",IF(COUNTIFS($A$6:A1844,A1844,$AB$6:AB1844,"&gt;0")=1,1,""))</f>
        <v/>
      </c>
      <c r="AH1844" s="70" t="str">
        <f>IF(AB1844="","",ROUND(N(W1844)*N(J1844)*(1-N(K1844)),2))</f>
        <v/>
      </c>
      <c r="AI1844" s="70" t="str">
        <f>IF(OR(J1844="",N(T1844)&lt;=0,V1844="Oui"),"",ROUND(N(T1844)*J1844*(1-N(K1844)),2))</f>
        <v/>
      </c>
    </row>
    <row r="1845">
      <c r="A1845" s="63" t="n"/>
      <c r="B1845" s="64" t="n"/>
      <c r="C1845" s="65" t="n"/>
      <c r="D1845" s="66" t="str">
        <f>IF(C1845="","",IFERROR(INDEX(sup_name,MATCH($C1845,sup_code,0))&amp;"","Fournisseur inconnu"))</f>
        <v/>
      </c>
      <c r="E1845" s="63" t="n"/>
      <c r="F1845" s="66" t="str">
        <f>IF(E1845="","",IFERROR(INDEX(art_des,MATCH($E1845,art_ref,0))&amp;"","Article inconnu"))</f>
        <v/>
      </c>
      <c r="G1845" s="67" t="str">
        <f>IF(E1845="","",IFERROR(INDEX(art_unit,MATCH($E1845,art_ref,0))&amp;"",""))</f>
        <v/>
      </c>
      <c r="H1845" s="68" t="n"/>
      <c r="I1845" s="69" t="n"/>
      <c r="J1845" s="70" t="str">
        <f>IF(E1845="","",IF(ISNUMBER(I1845),I1845,IFERROR(IF(ISNUMBER(INDEX(art_price,MATCH($E1845,art_ref,0))),INDEX(art_price,MATCH($E1845,art_ref,0)),""),"")))</f>
        <v/>
      </c>
      <c r="K1845" s="71" t="n"/>
      <c r="L1845" s="72" t="n"/>
      <c r="M1845" s="72" t="str">
        <f>IF(E1845="","",IF(L1845&lt;&gt;"",L1845,IFERROR(IF(ISNUMBER(INDEX(art_tva,MATCH($E1845,art_ref,0))),INDEX(art_tva,MATCH($E1845,art_ref,0)),""),"")))</f>
        <v/>
      </c>
      <c r="N1845" s="70" t="str">
        <f>IF(OR(E1845="",J1845=""),"",ROUND(N(H1845)*J1845*(1-N(K1845)),2))</f>
        <v/>
      </c>
      <c r="O1845" s="70" t="str">
        <f>IF(OR(N1845="",NOT(ISNUMBER(M1845))),"",ROUND(N1845*M1845,2))</f>
        <v/>
      </c>
      <c r="P1845" s="70" t="str">
        <f>IF(N1845="","",N1845+N(O1845))</f>
        <v/>
      </c>
      <c r="Q1845" s="64" t="n"/>
      <c r="R1845" s="73" t="str">
        <f>IF(N(Q1845)&gt;0,Q1845,IF(OR(N(B1845)=0,ISNA(MATCH($C1845,sup_code,0))),"",IF(ISNUMBER(INDEX(sup_delay,MATCH($C1845,sup_code,0))),B1845+INDEX(sup_delay,MATCH($C1845,sup_code,0)),"")))</f>
        <v/>
      </c>
      <c r="S1845" s="64" t="n"/>
      <c r="T1845" s="68" t="n"/>
      <c r="U1845" s="64" t="n"/>
      <c r="V1845" s="65" t="n"/>
      <c r="W1845" s="74" t="str">
        <f>IF(AND(A1845="",E1845=""),"",IF(V1845="Oui",0,MAX(0,ROUND(N(H1845)-N(T1845),6))))</f>
        <v/>
      </c>
      <c r="X1845" s="67" t="str">
        <f>IF(AND(A1845="",E1845=""),"",IF(V1845="Oui","Annulé",IF(AND(N(H1845)&gt;0,N(T1845)&gt;=N(H1845)),"Reçu",IF(N(S1845)=0,"Brouillon",IF(AND(ISNUMBER(R1845),R1845&lt;p_today),"En retard",IF(N(T1845)&gt;0,"Partiel","Envoyé"))))))</f>
        <v/>
      </c>
      <c r="Y1845" s="75" t="str">
        <f>IF(X1845="En retard",p_today-R1845,IF(AND(X1845="Reçu",ISNUMBER(R1845)),MAX(0,N(U1845)-R1845),""))</f>
        <v/>
      </c>
      <c r="Z1845" s="67" t="str">
        <f>IF(AND(A1845="",E1845=""),"",IF(A1845="","N° de bon manquant",IF(N(B1845)=0,"Date de commande manquante",IF(C1845="","Fournisseur manquant",IF(ISNA(MATCH($C1845,sup_code,0)),"Fournisseur inconnu",IF(E1845="","Article manquant",IF(ISNA(MATCH($E1845,art_ref,0)),"Article inconnu",IF(N(H1845)&lt;=0,"Quantité invalide",IF(J1845="","Prix manquant",IF(OR(N(K1845)&lt;0,N(K1845)&gt;=1),"Remise invalide",IF(M1845="","TVA manquante",IF(ISNA(MATCH(M1845,p_tva,0)),"Taux de TVA inconnu",IF(COUNTIFS(po_num,A1845,po_sup,"&lt;&gt;"&amp;C1845)&gt;0,"Fournisseur différent sur ce bon",IF(COUNTIFS(po_num,A1845,po_date,"&lt;&gt;"&amp;B1845)&gt;0,"Date différente sur ce bon",IF(COUNTIF(po_num,A1845)&gt;25,"Plus de 25 lignes sur ce bon",IF(R1845="","Date de livraison manquante",IF(R1845&lt;B1845,"Livraison avant la commande",IF(AND(N(T1845)&gt;0,N(S1845)=0),"Date d'envoi manquante",IF(N(T1845)&gt;N(H1845),"Reçu plus que commandé",IF(AND(N(T1845)&gt;0,N(U1845)=0),"Date de réception manquante",IF(AND(N(U1845)&gt;0,U1845&lt;B1845),"Réception avant la commande","OK")))))))))))))))))))))</f>
        <v/>
      </c>
      <c r="AA1845" s="66" t="str">
        <f>IF(AND(X1845="Reçu",ISNUMBER(R1845)),IF(N(U1845)&lt;=R1845,1,0),"")</f>
        <v/>
      </c>
      <c r="AB1845" s="76" t="str">
        <f>IF(OR(X1845="Envoyé",X1845="Partiel",X1845="En retard"),IF(ISNUMBER(R1845),R1845,100000)+ROW()/100000,"")</f>
        <v/>
      </c>
      <c r="AC1845" s="66" t="str">
        <f>IF(A1845="","",IF(COUNTIF($A$6:A1845,A1845)=1,1,""))</f>
        <v/>
      </c>
      <c r="AD1845" s="66" t="str">
        <f>IF(AC1845=1,COUNT($AC$6:AC1845),"")</f>
        <v/>
      </c>
      <c r="AE1845" s="66" t="str">
        <f>IFERROR(INDEX(po_num,MATCH(1840,po_seq,0))&amp;"","")</f>
        <v/>
      </c>
      <c r="AF1845" s="66" t="str">
        <f>IF(OR(A1845="",p_po=""),"",IF(A1845&amp;""=p_po,COUNTIF($A$6:A1845,A1845),""))</f>
        <v/>
      </c>
      <c r="AG1845" s="66" t="str">
        <f>IF(OR(AB1845="",A1845=""),"",IF(COUNTIFS($A$6:A1845,A1845,$AB$6:AB1845,"&gt;0")=1,1,""))</f>
        <v/>
      </c>
      <c r="AH1845" s="70" t="str">
        <f>IF(AB1845="","",ROUND(N(W1845)*N(J1845)*(1-N(K1845)),2))</f>
        <v/>
      </c>
      <c r="AI1845" s="70" t="str">
        <f>IF(OR(J1845="",N(T1845)&lt;=0,V1845="Oui"),"",ROUND(N(T1845)*J1845*(1-N(K1845)),2))</f>
        <v/>
      </c>
    </row>
    <row r="1846">
      <c r="A1846" s="63" t="n"/>
      <c r="B1846" s="64" t="n"/>
      <c r="C1846" s="65" t="n"/>
      <c r="D1846" s="66" t="str">
        <f>IF(C1846="","",IFERROR(INDEX(sup_name,MATCH($C1846,sup_code,0))&amp;"","Fournisseur inconnu"))</f>
        <v/>
      </c>
      <c r="E1846" s="63" t="n"/>
      <c r="F1846" s="66" t="str">
        <f>IF(E1846="","",IFERROR(INDEX(art_des,MATCH($E1846,art_ref,0))&amp;"","Article inconnu"))</f>
        <v/>
      </c>
      <c r="G1846" s="67" t="str">
        <f>IF(E1846="","",IFERROR(INDEX(art_unit,MATCH($E1846,art_ref,0))&amp;"",""))</f>
        <v/>
      </c>
      <c r="H1846" s="68" t="n"/>
      <c r="I1846" s="69" t="n"/>
      <c r="J1846" s="70" t="str">
        <f>IF(E1846="","",IF(ISNUMBER(I1846),I1846,IFERROR(IF(ISNUMBER(INDEX(art_price,MATCH($E1846,art_ref,0))),INDEX(art_price,MATCH($E1846,art_ref,0)),""),"")))</f>
        <v/>
      </c>
      <c r="K1846" s="71" t="n"/>
      <c r="L1846" s="72" t="n"/>
      <c r="M1846" s="72" t="str">
        <f>IF(E1846="","",IF(L1846&lt;&gt;"",L1846,IFERROR(IF(ISNUMBER(INDEX(art_tva,MATCH($E1846,art_ref,0))),INDEX(art_tva,MATCH($E1846,art_ref,0)),""),"")))</f>
        <v/>
      </c>
      <c r="N1846" s="70" t="str">
        <f>IF(OR(E1846="",J1846=""),"",ROUND(N(H1846)*J1846*(1-N(K1846)),2))</f>
        <v/>
      </c>
      <c r="O1846" s="70" t="str">
        <f>IF(OR(N1846="",NOT(ISNUMBER(M1846))),"",ROUND(N1846*M1846,2))</f>
        <v/>
      </c>
      <c r="P1846" s="70" t="str">
        <f>IF(N1846="","",N1846+N(O1846))</f>
        <v/>
      </c>
      <c r="Q1846" s="64" t="n"/>
      <c r="R1846" s="73" t="str">
        <f>IF(N(Q1846)&gt;0,Q1846,IF(OR(N(B1846)=0,ISNA(MATCH($C1846,sup_code,0))),"",IF(ISNUMBER(INDEX(sup_delay,MATCH($C1846,sup_code,0))),B1846+INDEX(sup_delay,MATCH($C1846,sup_code,0)),"")))</f>
        <v/>
      </c>
      <c r="S1846" s="64" t="n"/>
      <c r="T1846" s="68" t="n"/>
      <c r="U1846" s="64" t="n"/>
      <c r="V1846" s="65" t="n"/>
      <c r="W1846" s="74" t="str">
        <f>IF(AND(A1846="",E1846=""),"",IF(V1846="Oui",0,MAX(0,ROUND(N(H1846)-N(T1846),6))))</f>
        <v/>
      </c>
      <c r="X1846" s="67" t="str">
        <f>IF(AND(A1846="",E1846=""),"",IF(V1846="Oui","Annulé",IF(AND(N(H1846)&gt;0,N(T1846)&gt;=N(H1846)),"Reçu",IF(N(S1846)=0,"Brouillon",IF(AND(ISNUMBER(R1846),R1846&lt;p_today),"En retard",IF(N(T1846)&gt;0,"Partiel","Envoyé"))))))</f>
        <v/>
      </c>
      <c r="Y1846" s="75" t="str">
        <f>IF(X1846="En retard",p_today-R1846,IF(AND(X1846="Reçu",ISNUMBER(R1846)),MAX(0,N(U1846)-R1846),""))</f>
        <v/>
      </c>
      <c r="Z1846" s="67" t="str">
        <f>IF(AND(A1846="",E1846=""),"",IF(A1846="","N° de bon manquant",IF(N(B1846)=0,"Date de commande manquante",IF(C1846="","Fournisseur manquant",IF(ISNA(MATCH($C1846,sup_code,0)),"Fournisseur inconnu",IF(E1846="","Article manquant",IF(ISNA(MATCH($E1846,art_ref,0)),"Article inconnu",IF(N(H1846)&lt;=0,"Quantité invalide",IF(J1846="","Prix manquant",IF(OR(N(K1846)&lt;0,N(K1846)&gt;=1),"Remise invalide",IF(M1846="","TVA manquante",IF(ISNA(MATCH(M1846,p_tva,0)),"Taux de TVA inconnu",IF(COUNTIFS(po_num,A1846,po_sup,"&lt;&gt;"&amp;C1846)&gt;0,"Fournisseur différent sur ce bon",IF(COUNTIFS(po_num,A1846,po_date,"&lt;&gt;"&amp;B1846)&gt;0,"Date différente sur ce bon",IF(COUNTIF(po_num,A1846)&gt;25,"Plus de 25 lignes sur ce bon",IF(R1846="","Date de livraison manquante",IF(R1846&lt;B1846,"Livraison avant la commande",IF(AND(N(T1846)&gt;0,N(S1846)=0),"Date d'envoi manquante",IF(N(T1846)&gt;N(H1846),"Reçu plus que commandé",IF(AND(N(T1846)&gt;0,N(U1846)=0),"Date de réception manquante",IF(AND(N(U1846)&gt;0,U1846&lt;B1846),"Réception avant la commande","OK")))))))))))))))))))))</f>
        <v/>
      </c>
      <c r="AA1846" s="66" t="str">
        <f>IF(AND(X1846="Reçu",ISNUMBER(R1846)),IF(N(U1846)&lt;=R1846,1,0),"")</f>
        <v/>
      </c>
      <c r="AB1846" s="76" t="str">
        <f>IF(OR(X1846="Envoyé",X1846="Partiel",X1846="En retard"),IF(ISNUMBER(R1846),R1846,100000)+ROW()/100000,"")</f>
        <v/>
      </c>
      <c r="AC1846" s="66" t="str">
        <f>IF(A1846="","",IF(COUNTIF($A$6:A1846,A1846)=1,1,""))</f>
        <v/>
      </c>
      <c r="AD1846" s="66" t="str">
        <f>IF(AC1846=1,COUNT($AC$6:AC1846),"")</f>
        <v/>
      </c>
      <c r="AE1846" s="66" t="str">
        <f>IFERROR(INDEX(po_num,MATCH(1841,po_seq,0))&amp;"","")</f>
        <v/>
      </c>
      <c r="AF1846" s="66" t="str">
        <f>IF(OR(A1846="",p_po=""),"",IF(A1846&amp;""=p_po,COUNTIF($A$6:A1846,A1846),""))</f>
        <v/>
      </c>
      <c r="AG1846" s="66" t="str">
        <f>IF(OR(AB1846="",A1846=""),"",IF(COUNTIFS($A$6:A1846,A1846,$AB$6:AB1846,"&gt;0")=1,1,""))</f>
        <v/>
      </c>
      <c r="AH1846" s="70" t="str">
        <f>IF(AB1846="","",ROUND(N(W1846)*N(J1846)*(1-N(K1846)),2))</f>
        <v/>
      </c>
      <c r="AI1846" s="70" t="str">
        <f>IF(OR(J1846="",N(T1846)&lt;=0,V1846="Oui"),"",ROUND(N(T1846)*J1846*(1-N(K1846)),2))</f>
        <v/>
      </c>
    </row>
    <row r="1847">
      <c r="A1847" s="63" t="n"/>
      <c r="B1847" s="64" t="n"/>
      <c r="C1847" s="65" t="n"/>
      <c r="D1847" s="66" t="str">
        <f>IF(C1847="","",IFERROR(INDEX(sup_name,MATCH($C1847,sup_code,0))&amp;"","Fournisseur inconnu"))</f>
        <v/>
      </c>
      <c r="E1847" s="63" t="n"/>
      <c r="F1847" s="66" t="str">
        <f>IF(E1847="","",IFERROR(INDEX(art_des,MATCH($E1847,art_ref,0))&amp;"","Article inconnu"))</f>
        <v/>
      </c>
      <c r="G1847" s="67" t="str">
        <f>IF(E1847="","",IFERROR(INDEX(art_unit,MATCH($E1847,art_ref,0))&amp;"",""))</f>
        <v/>
      </c>
      <c r="H1847" s="68" t="n"/>
      <c r="I1847" s="69" t="n"/>
      <c r="J1847" s="70" t="str">
        <f>IF(E1847="","",IF(ISNUMBER(I1847),I1847,IFERROR(IF(ISNUMBER(INDEX(art_price,MATCH($E1847,art_ref,0))),INDEX(art_price,MATCH($E1847,art_ref,0)),""),"")))</f>
        <v/>
      </c>
      <c r="K1847" s="71" t="n"/>
      <c r="L1847" s="72" t="n"/>
      <c r="M1847" s="72" t="str">
        <f>IF(E1847="","",IF(L1847&lt;&gt;"",L1847,IFERROR(IF(ISNUMBER(INDEX(art_tva,MATCH($E1847,art_ref,0))),INDEX(art_tva,MATCH($E1847,art_ref,0)),""),"")))</f>
        <v/>
      </c>
      <c r="N1847" s="70" t="str">
        <f>IF(OR(E1847="",J1847=""),"",ROUND(N(H1847)*J1847*(1-N(K1847)),2))</f>
        <v/>
      </c>
      <c r="O1847" s="70" t="str">
        <f>IF(OR(N1847="",NOT(ISNUMBER(M1847))),"",ROUND(N1847*M1847,2))</f>
        <v/>
      </c>
      <c r="P1847" s="70" t="str">
        <f>IF(N1847="","",N1847+N(O1847))</f>
        <v/>
      </c>
      <c r="Q1847" s="64" t="n"/>
      <c r="R1847" s="73" t="str">
        <f>IF(N(Q1847)&gt;0,Q1847,IF(OR(N(B1847)=0,ISNA(MATCH($C1847,sup_code,0))),"",IF(ISNUMBER(INDEX(sup_delay,MATCH($C1847,sup_code,0))),B1847+INDEX(sup_delay,MATCH($C1847,sup_code,0)),"")))</f>
        <v/>
      </c>
      <c r="S1847" s="64" t="n"/>
      <c r="T1847" s="68" t="n"/>
      <c r="U1847" s="64" t="n"/>
      <c r="V1847" s="65" t="n"/>
      <c r="W1847" s="74" t="str">
        <f>IF(AND(A1847="",E1847=""),"",IF(V1847="Oui",0,MAX(0,ROUND(N(H1847)-N(T1847),6))))</f>
        <v/>
      </c>
      <c r="X1847" s="67" t="str">
        <f>IF(AND(A1847="",E1847=""),"",IF(V1847="Oui","Annulé",IF(AND(N(H1847)&gt;0,N(T1847)&gt;=N(H1847)),"Reçu",IF(N(S1847)=0,"Brouillon",IF(AND(ISNUMBER(R1847),R1847&lt;p_today),"En retard",IF(N(T1847)&gt;0,"Partiel","Envoyé"))))))</f>
        <v/>
      </c>
      <c r="Y1847" s="75" t="str">
        <f>IF(X1847="En retard",p_today-R1847,IF(AND(X1847="Reçu",ISNUMBER(R1847)),MAX(0,N(U1847)-R1847),""))</f>
        <v/>
      </c>
      <c r="Z1847" s="67" t="str">
        <f>IF(AND(A1847="",E1847=""),"",IF(A1847="","N° de bon manquant",IF(N(B1847)=0,"Date de commande manquante",IF(C1847="","Fournisseur manquant",IF(ISNA(MATCH($C1847,sup_code,0)),"Fournisseur inconnu",IF(E1847="","Article manquant",IF(ISNA(MATCH($E1847,art_ref,0)),"Article inconnu",IF(N(H1847)&lt;=0,"Quantité invalide",IF(J1847="","Prix manquant",IF(OR(N(K1847)&lt;0,N(K1847)&gt;=1),"Remise invalide",IF(M1847="","TVA manquante",IF(ISNA(MATCH(M1847,p_tva,0)),"Taux de TVA inconnu",IF(COUNTIFS(po_num,A1847,po_sup,"&lt;&gt;"&amp;C1847)&gt;0,"Fournisseur différent sur ce bon",IF(COUNTIFS(po_num,A1847,po_date,"&lt;&gt;"&amp;B1847)&gt;0,"Date différente sur ce bon",IF(COUNTIF(po_num,A1847)&gt;25,"Plus de 25 lignes sur ce bon",IF(R1847="","Date de livraison manquante",IF(R1847&lt;B1847,"Livraison avant la commande",IF(AND(N(T1847)&gt;0,N(S1847)=0),"Date d'envoi manquante",IF(N(T1847)&gt;N(H1847),"Reçu plus que commandé",IF(AND(N(T1847)&gt;0,N(U1847)=0),"Date de réception manquante",IF(AND(N(U1847)&gt;0,U1847&lt;B1847),"Réception avant la commande","OK")))))))))))))))))))))</f>
        <v/>
      </c>
      <c r="AA1847" s="66" t="str">
        <f>IF(AND(X1847="Reçu",ISNUMBER(R1847)),IF(N(U1847)&lt;=R1847,1,0),"")</f>
        <v/>
      </c>
      <c r="AB1847" s="76" t="str">
        <f>IF(OR(X1847="Envoyé",X1847="Partiel",X1847="En retard"),IF(ISNUMBER(R1847),R1847,100000)+ROW()/100000,"")</f>
        <v/>
      </c>
      <c r="AC1847" s="66" t="str">
        <f>IF(A1847="","",IF(COUNTIF($A$6:A1847,A1847)=1,1,""))</f>
        <v/>
      </c>
      <c r="AD1847" s="66" t="str">
        <f>IF(AC1847=1,COUNT($AC$6:AC1847),"")</f>
        <v/>
      </c>
      <c r="AE1847" s="66" t="str">
        <f>IFERROR(INDEX(po_num,MATCH(1842,po_seq,0))&amp;"","")</f>
        <v/>
      </c>
      <c r="AF1847" s="66" t="str">
        <f>IF(OR(A1847="",p_po=""),"",IF(A1847&amp;""=p_po,COUNTIF($A$6:A1847,A1847),""))</f>
        <v/>
      </c>
      <c r="AG1847" s="66" t="str">
        <f>IF(OR(AB1847="",A1847=""),"",IF(COUNTIFS($A$6:A1847,A1847,$AB$6:AB1847,"&gt;0")=1,1,""))</f>
        <v/>
      </c>
      <c r="AH1847" s="70" t="str">
        <f>IF(AB1847="","",ROUND(N(W1847)*N(J1847)*(1-N(K1847)),2))</f>
        <v/>
      </c>
      <c r="AI1847" s="70" t="str">
        <f>IF(OR(J1847="",N(T1847)&lt;=0,V1847="Oui"),"",ROUND(N(T1847)*J1847*(1-N(K1847)),2))</f>
        <v/>
      </c>
    </row>
    <row r="1848">
      <c r="A1848" s="63" t="n"/>
      <c r="B1848" s="64" t="n"/>
      <c r="C1848" s="65" t="n"/>
      <c r="D1848" s="66" t="str">
        <f>IF(C1848="","",IFERROR(INDEX(sup_name,MATCH($C1848,sup_code,0))&amp;"","Fournisseur inconnu"))</f>
        <v/>
      </c>
      <c r="E1848" s="63" t="n"/>
      <c r="F1848" s="66" t="str">
        <f>IF(E1848="","",IFERROR(INDEX(art_des,MATCH($E1848,art_ref,0))&amp;"","Article inconnu"))</f>
        <v/>
      </c>
      <c r="G1848" s="67" t="str">
        <f>IF(E1848="","",IFERROR(INDEX(art_unit,MATCH($E1848,art_ref,0))&amp;"",""))</f>
        <v/>
      </c>
      <c r="H1848" s="68" t="n"/>
      <c r="I1848" s="69" t="n"/>
      <c r="J1848" s="70" t="str">
        <f>IF(E1848="","",IF(ISNUMBER(I1848),I1848,IFERROR(IF(ISNUMBER(INDEX(art_price,MATCH($E1848,art_ref,0))),INDEX(art_price,MATCH($E1848,art_ref,0)),""),"")))</f>
        <v/>
      </c>
      <c r="K1848" s="71" t="n"/>
      <c r="L1848" s="72" t="n"/>
      <c r="M1848" s="72" t="str">
        <f>IF(E1848="","",IF(L1848&lt;&gt;"",L1848,IFERROR(IF(ISNUMBER(INDEX(art_tva,MATCH($E1848,art_ref,0))),INDEX(art_tva,MATCH($E1848,art_ref,0)),""),"")))</f>
        <v/>
      </c>
      <c r="N1848" s="70" t="str">
        <f>IF(OR(E1848="",J1848=""),"",ROUND(N(H1848)*J1848*(1-N(K1848)),2))</f>
        <v/>
      </c>
      <c r="O1848" s="70" t="str">
        <f>IF(OR(N1848="",NOT(ISNUMBER(M1848))),"",ROUND(N1848*M1848,2))</f>
        <v/>
      </c>
      <c r="P1848" s="70" t="str">
        <f>IF(N1848="","",N1848+N(O1848))</f>
        <v/>
      </c>
      <c r="Q1848" s="64" t="n"/>
      <c r="R1848" s="73" t="str">
        <f>IF(N(Q1848)&gt;0,Q1848,IF(OR(N(B1848)=0,ISNA(MATCH($C1848,sup_code,0))),"",IF(ISNUMBER(INDEX(sup_delay,MATCH($C1848,sup_code,0))),B1848+INDEX(sup_delay,MATCH($C1848,sup_code,0)),"")))</f>
        <v/>
      </c>
      <c r="S1848" s="64" t="n"/>
      <c r="T1848" s="68" t="n"/>
      <c r="U1848" s="64" t="n"/>
      <c r="V1848" s="65" t="n"/>
      <c r="W1848" s="74" t="str">
        <f>IF(AND(A1848="",E1848=""),"",IF(V1848="Oui",0,MAX(0,ROUND(N(H1848)-N(T1848),6))))</f>
        <v/>
      </c>
      <c r="X1848" s="67" t="str">
        <f>IF(AND(A1848="",E1848=""),"",IF(V1848="Oui","Annulé",IF(AND(N(H1848)&gt;0,N(T1848)&gt;=N(H1848)),"Reçu",IF(N(S1848)=0,"Brouillon",IF(AND(ISNUMBER(R1848),R1848&lt;p_today),"En retard",IF(N(T1848)&gt;0,"Partiel","Envoyé"))))))</f>
        <v/>
      </c>
      <c r="Y1848" s="75" t="str">
        <f>IF(X1848="En retard",p_today-R1848,IF(AND(X1848="Reçu",ISNUMBER(R1848)),MAX(0,N(U1848)-R1848),""))</f>
        <v/>
      </c>
      <c r="Z1848" s="67" t="str">
        <f>IF(AND(A1848="",E1848=""),"",IF(A1848="","N° de bon manquant",IF(N(B1848)=0,"Date de commande manquante",IF(C1848="","Fournisseur manquant",IF(ISNA(MATCH($C1848,sup_code,0)),"Fournisseur inconnu",IF(E1848="","Article manquant",IF(ISNA(MATCH($E1848,art_ref,0)),"Article inconnu",IF(N(H1848)&lt;=0,"Quantité invalide",IF(J1848="","Prix manquant",IF(OR(N(K1848)&lt;0,N(K1848)&gt;=1),"Remise invalide",IF(M1848="","TVA manquante",IF(ISNA(MATCH(M1848,p_tva,0)),"Taux de TVA inconnu",IF(COUNTIFS(po_num,A1848,po_sup,"&lt;&gt;"&amp;C1848)&gt;0,"Fournisseur différent sur ce bon",IF(COUNTIFS(po_num,A1848,po_date,"&lt;&gt;"&amp;B1848)&gt;0,"Date différente sur ce bon",IF(COUNTIF(po_num,A1848)&gt;25,"Plus de 25 lignes sur ce bon",IF(R1848="","Date de livraison manquante",IF(R1848&lt;B1848,"Livraison avant la commande",IF(AND(N(T1848)&gt;0,N(S1848)=0),"Date d'envoi manquante",IF(N(T1848)&gt;N(H1848),"Reçu plus que commandé",IF(AND(N(T1848)&gt;0,N(U1848)=0),"Date de réception manquante",IF(AND(N(U1848)&gt;0,U1848&lt;B1848),"Réception avant la commande","OK")))))))))))))))))))))</f>
        <v/>
      </c>
      <c r="AA1848" s="66" t="str">
        <f>IF(AND(X1848="Reçu",ISNUMBER(R1848)),IF(N(U1848)&lt;=R1848,1,0),"")</f>
        <v/>
      </c>
      <c r="AB1848" s="76" t="str">
        <f>IF(OR(X1848="Envoyé",X1848="Partiel",X1848="En retard"),IF(ISNUMBER(R1848),R1848,100000)+ROW()/100000,"")</f>
        <v/>
      </c>
      <c r="AC1848" s="66" t="str">
        <f>IF(A1848="","",IF(COUNTIF($A$6:A1848,A1848)=1,1,""))</f>
        <v/>
      </c>
      <c r="AD1848" s="66" t="str">
        <f>IF(AC1848=1,COUNT($AC$6:AC1848),"")</f>
        <v/>
      </c>
      <c r="AE1848" s="66" t="str">
        <f>IFERROR(INDEX(po_num,MATCH(1843,po_seq,0))&amp;"","")</f>
        <v/>
      </c>
      <c r="AF1848" s="66" t="str">
        <f>IF(OR(A1848="",p_po=""),"",IF(A1848&amp;""=p_po,COUNTIF($A$6:A1848,A1848),""))</f>
        <v/>
      </c>
      <c r="AG1848" s="66" t="str">
        <f>IF(OR(AB1848="",A1848=""),"",IF(COUNTIFS($A$6:A1848,A1848,$AB$6:AB1848,"&gt;0")=1,1,""))</f>
        <v/>
      </c>
      <c r="AH1848" s="70" t="str">
        <f>IF(AB1848="","",ROUND(N(W1848)*N(J1848)*(1-N(K1848)),2))</f>
        <v/>
      </c>
      <c r="AI1848" s="70" t="str">
        <f>IF(OR(J1848="",N(T1848)&lt;=0,V1848="Oui"),"",ROUND(N(T1848)*J1848*(1-N(K1848)),2))</f>
        <v/>
      </c>
    </row>
    <row r="1849">
      <c r="A1849" s="63" t="n"/>
      <c r="B1849" s="64" t="n"/>
      <c r="C1849" s="65" t="n"/>
      <c r="D1849" s="66" t="str">
        <f>IF(C1849="","",IFERROR(INDEX(sup_name,MATCH($C1849,sup_code,0))&amp;"","Fournisseur inconnu"))</f>
        <v/>
      </c>
      <c r="E1849" s="63" t="n"/>
      <c r="F1849" s="66" t="str">
        <f>IF(E1849="","",IFERROR(INDEX(art_des,MATCH($E1849,art_ref,0))&amp;"","Article inconnu"))</f>
        <v/>
      </c>
      <c r="G1849" s="67" t="str">
        <f>IF(E1849="","",IFERROR(INDEX(art_unit,MATCH($E1849,art_ref,0))&amp;"",""))</f>
        <v/>
      </c>
      <c r="H1849" s="68" t="n"/>
      <c r="I1849" s="69" t="n"/>
      <c r="J1849" s="70" t="str">
        <f>IF(E1849="","",IF(ISNUMBER(I1849),I1849,IFERROR(IF(ISNUMBER(INDEX(art_price,MATCH($E1849,art_ref,0))),INDEX(art_price,MATCH($E1849,art_ref,0)),""),"")))</f>
        <v/>
      </c>
      <c r="K1849" s="71" t="n"/>
      <c r="L1849" s="72" t="n"/>
      <c r="M1849" s="72" t="str">
        <f>IF(E1849="","",IF(L1849&lt;&gt;"",L1849,IFERROR(IF(ISNUMBER(INDEX(art_tva,MATCH($E1849,art_ref,0))),INDEX(art_tva,MATCH($E1849,art_ref,0)),""),"")))</f>
        <v/>
      </c>
      <c r="N1849" s="70" t="str">
        <f>IF(OR(E1849="",J1849=""),"",ROUND(N(H1849)*J1849*(1-N(K1849)),2))</f>
        <v/>
      </c>
      <c r="O1849" s="70" t="str">
        <f>IF(OR(N1849="",NOT(ISNUMBER(M1849))),"",ROUND(N1849*M1849,2))</f>
        <v/>
      </c>
      <c r="P1849" s="70" t="str">
        <f>IF(N1849="","",N1849+N(O1849))</f>
        <v/>
      </c>
      <c r="Q1849" s="64" t="n"/>
      <c r="R1849" s="73" t="str">
        <f>IF(N(Q1849)&gt;0,Q1849,IF(OR(N(B1849)=0,ISNA(MATCH($C1849,sup_code,0))),"",IF(ISNUMBER(INDEX(sup_delay,MATCH($C1849,sup_code,0))),B1849+INDEX(sup_delay,MATCH($C1849,sup_code,0)),"")))</f>
        <v/>
      </c>
      <c r="S1849" s="64" t="n"/>
      <c r="T1849" s="68" t="n"/>
      <c r="U1849" s="64" t="n"/>
      <c r="V1849" s="65" t="n"/>
      <c r="W1849" s="74" t="str">
        <f>IF(AND(A1849="",E1849=""),"",IF(V1849="Oui",0,MAX(0,ROUND(N(H1849)-N(T1849),6))))</f>
        <v/>
      </c>
      <c r="X1849" s="67" t="str">
        <f>IF(AND(A1849="",E1849=""),"",IF(V1849="Oui","Annulé",IF(AND(N(H1849)&gt;0,N(T1849)&gt;=N(H1849)),"Reçu",IF(N(S1849)=0,"Brouillon",IF(AND(ISNUMBER(R1849),R1849&lt;p_today),"En retard",IF(N(T1849)&gt;0,"Partiel","Envoyé"))))))</f>
        <v/>
      </c>
      <c r="Y1849" s="75" t="str">
        <f>IF(X1849="En retard",p_today-R1849,IF(AND(X1849="Reçu",ISNUMBER(R1849)),MAX(0,N(U1849)-R1849),""))</f>
        <v/>
      </c>
      <c r="Z1849" s="67" t="str">
        <f>IF(AND(A1849="",E1849=""),"",IF(A1849="","N° de bon manquant",IF(N(B1849)=0,"Date de commande manquante",IF(C1849="","Fournisseur manquant",IF(ISNA(MATCH($C1849,sup_code,0)),"Fournisseur inconnu",IF(E1849="","Article manquant",IF(ISNA(MATCH($E1849,art_ref,0)),"Article inconnu",IF(N(H1849)&lt;=0,"Quantité invalide",IF(J1849="","Prix manquant",IF(OR(N(K1849)&lt;0,N(K1849)&gt;=1),"Remise invalide",IF(M1849="","TVA manquante",IF(ISNA(MATCH(M1849,p_tva,0)),"Taux de TVA inconnu",IF(COUNTIFS(po_num,A1849,po_sup,"&lt;&gt;"&amp;C1849)&gt;0,"Fournisseur différent sur ce bon",IF(COUNTIFS(po_num,A1849,po_date,"&lt;&gt;"&amp;B1849)&gt;0,"Date différente sur ce bon",IF(COUNTIF(po_num,A1849)&gt;25,"Plus de 25 lignes sur ce bon",IF(R1849="","Date de livraison manquante",IF(R1849&lt;B1849,"Livraison avant la commande",IF(AND(N(T1849)&gt;0,N(S1849)=0),"Date d'envoi manquante",IF(N(T1849)&gt;N(H1849),"Reçu plus que commandé",IF(AND(N(T1849)&gt;0,N(U1849)=0),"Date de réception manquante",IF(AND(N(U1849)&gt;0,U1849&lt;B1849),"Réception avant la commande","OK")))))))))))))))))))))</f>
        <v/>
      </c>
      <c r="AA1849" s="66" t="str">
        <f>IF(AND(X1849="Reçu",ISNUMBER(R1849)),IF(N(U1849)&lt;=R1849,1,0),"")</f>
        <v/>
      </c>
      <c r="AB1849" s="76" t="str">
        <f>IF(OR(X1849="Envoyé",X1849="Partiel",X1849="En retard"),IF(ISNUMBER(R1849),R1849,100000)+ROW()/100000,"")</f>
        <v/>
      </c>
      <c r="AC1849" s="66" t="str">
        <f>IF(A1849="","",IF(COUNTIF($A$6:A1849,A1849)=1,1,""))</f>
        <v/>
      </c>
      <c r="AD1849" s="66" t="str">
        <f>IF(AC1849=1,COUNT($AC$6:AC1849),"")</f>
        <v/>
      </c>
      <c r="AE1849" s="66" t="str">
        <f>IFERROR(INDEX(po_num,MATCH(1844,po_seq,0))&amp;"","")</f>
        <v/>
      </c>
      <c r="AF1849" s="66" t="str">
        <f>IF(OR(A1849="",p_po=""),"",IF(A1849&amp;""=p_po,COUNTIF($A$6:A1849,A1849),""))</f>
        <v/>
      </c>
      <c r="AG1849" s="66" t="str">
        <f>IF(OR(AB1849="",A1849=""),"",IF(COUNTIFS($A$6:A1849,A1849,$AB$6:AB1849,"&gt;0")=1,1,""))</f>
        <v/>
      </c>
      <c r="AH1849" s="70" t="str">
        <f>IF(AB1849="","",ROUND(N(W1849)*N(J1849)*(1-N(K1849)),2))</f>
        <v/>
      </c>
      <c r="AI1849" s="70" t="str">
        <f>IF(OR(J1849="",N(T1849)&lt;=0,V1849="Oui"),"",ROUND(N(T1849)*J1849*(1-N(K1849)),2))</f>
        <v/>
      </c>
    </row>
    <row r="1850">
      <c r="A1850" s="63" t="n"/>
      <c r="B1850" s="64" t="n"/>
      <c r="C1850" s="65" t="n"/>
      <c r="D1850" s="66" t="str">
        <f>IF(C1850="","",IFERROR(INDEX(sup_name,MATCH($C1850,sup_code,0))&amp;"","Fournisseur inconnu"))</f>
        <v/>
      </c>
      <c r="E1850" s="63" t="n"/>
      <c r="F1850" s="66" t="str">
        <f>IF(E1850="","",IFERROR(INDEX(art_des,MATCH($E1850,art_ref,0))&amp;"","Article inconnu"))</f>
        <v/>
      </c>
      <c r="G1850" s="67" t="str">
        <f>IF(E1850="","",IFERROR(INDEX(art_unit,MATCH($E1850,art_ref,0))&amp;"",""))</f>
        <v/>
      </c>
      <c r="H1850" s="68" t="n"/>
      <c r="I1850" s="69" t="n"/>
      <c r="J1850" s="70" t="str">
        <f>IF(E1850="","",IF(ISNUMBER(I1850),I1850,IFERROR(IF(ISNUMBER(INDEX(art_price,MATCH($E1850,art_ref,0))),INDEX(art_price,MATCH($E1850,art_ref,0)),""),"")))</f>
        <v/>
      </c>
      <c r="K1850" s="71" t="n"/>
      <c r="L1850" s="72" t="n"/>
      <c r="M1850" s="72" t="str">
        <f>IF(E1850="","",IF(L1850&lt;&gt;"",L1850,IFERROR(IF(ISNUMBER(INDEX(art_tva,MATCH($E1850,art_ref,0))),INDEX(art_tva,MATCH($E1850,art_ref,0)),""),"")))</f>
        <v/>
      </c>
      <c r="N1850" s="70" t="str">
        <f>IF(OR(E1850="",J1850=""),"",ROUND(N(H1850)*J1850*(1-N(K1850)),2))</f>
        <v/>
      </c>
      <c r="O1850" s="70" t="str">
        <f>IF(OR(N1850="",NOT(ISNUMBER(M1850))),"",ROUND(N1850*M1850,2))</f>
        <v/>
      </c>
      <c r="P1850" s="70" t="str">
        <f>IF(N1850="","",N1850+N(O1850))</f>
        <v/>
      </c>
      <c r="Q1850" s="64" t="n"/>
      <c r="R1850" s="73" t="str">
        <f>IF(N(Q1850)&gt;0,Q1850,IF(OR(N(B1850)=0,ISNA(MATCH($C1850,sup_code,0))),"",IF(ISNUMBER(INDEX(sup_delay,MATCH($C1850,sup_code,0))),B1850+INDEX(sup_delay,MATCH($C1850,sup_code,0)),"")))</f>
        <v/>
      </c>
      <c r="S1850" s="64" t="n"/>
      <c r="T1850" s="68" t="n"/>
      <c r="U1850" s="64" t="n"/>
      <c r="V1850" s="65" t="n"/>
      <c r="W1850" s="74" t="str">
        <f>IF(AND(A1850="",E1850=""),"",IF(V1850="Oui",0,MAX(0,ROUND(N(H1850)-N(T1850),6))))</f>
        <v/>
      </c>
      <c r="X1850" s="67" t="str">
        <f>IF(AND(A1850="",E1850=""),"",IF(V1850="Oui","Annulé",IF(AND(N(H1850)&gt;0,N(T1850)&gt;=N(H1850)),"Reçu",IF(N(S1850)=0,"Brouillon",IF(AND(ISNUMBER(R1850),R1850&lt;p_today),"En retard",IF(N(T1850)&gt;0,"Partiel","Envoyé"))))))</f>
        <v/>
      </c>
      <c r="Y1850" s="75" t="str">
        <f>IF(X1850="En retard",p_today-R1850,IF(AND(X1850="Reçu",ISNUMBER(R1850)),MAX(0,N(U1850)-R1850),""))</f>
        <v/>
      </c>
      <c r="Z1850" s="67" t="str">
        <f>IF(AND(A1850="",E1850=""),"",IF(A1850="","N° de bon manquant",IF(N(B1850)=0,"Date de commande manquante",IF(C1850="","Fournisseur manquant",IF(ISNA(MATCH($C1850,sup_code,0)),"Fournisseur inconnu",IF(E1850="","Article manquant",IF(ISNA(MATCH($E1850,art_ref,0)),"Article inconnu",IF(N(H1850)&lt;=0,"Quantité invalide",IF(J1850="","Prix manquant",IF(OR(N(K1850)&lt;0,N(K1850)&gt;=1),"Remise invalide",IF(M1850="","TVA manquante",IF(ISNA(MATCH(M1850,p_tva,0)),"Taux de TVA inconnu",IF(COUNTIFS(po_num,A1850,po_sup,"&lt;&gt;"&amp;C1850)&gt;0,"Fournisseur différent sur ce bon",IF(COUNTIFS(po_num,A1850,po_date,"&lt;&gt;"&amp;B1850)&gt;0,"Date différente sur ce bon",IF(COUNTIF(po_num,A1850)&gt;25,"Plus de 25 lignes sur ce bon",IF(R1850="","Date de livraison manquante",IF(R1850&lt;B1850,"Livraison avant la commande",IF(AND(N(T1850)&gt;0,N(S1850)=0),"Date d'envoi manquante",IF(N(T1850)&gt;N(H1850),"Reçu plus que commandé",IF(AND(N(T1850)&gt;0,N(U1850)=0),"Date de réception manquante",IF(AND(N(U1850)&gt;0,U1850&lt;B1850),"Réception avant la commande","OK")))))))))))))))))))))</f>
        <v/>
      </c>
      <c r="AA1850" s="66" t="str">
        <f>IF(AND(X1850="Reçu",ISNUMBER(R1850)),IF(N(U1850)&lt;=R1850,1,0),"")</f>
        <v/>
      </c>
      <c r="AB1850" s="76" t="str">
        <f>IF(OR(X1850="Envoyé",X1850="Partiel",X1850="En retard"),IF(ISNUMBER(R1850),R1850,100000)+ROW()/100000,"")</f>
        <v/>
      </c>
      <c r="AC1850" s="66" t="str">
        <f>IF(A1850="","",IF(COUNTIF($A$6:A1850,A1850)=1,1,""))</f>
        <v/>
      </c>
      <c r="AD1850" s="66" t="str">
        <f>IF(AC1850=1,COUNT($AC$6:AC1850),"")</f>
        <v/>
      </c>
      <c r="AE1850" s="66" t="str">
        <f>IFERROR(INDEX(po_num,MATCH(1845,po_seq,0))&amp;"","")</f>
        <v/>
      </c>
      <c r="AF1850" s="66" t="str">
        <f>IF(OR(A1850="",p_po=""),"",IF(A1850&amp;""=p_po,COUNTIF($A$6:A1850,A1850),""))</f>
        <v/>
      </c>
      <c r="AG1850" s="66" t="str">
        <f>IF(OR(AB1850="",A1850=""),"",IF(COUNTIFS($A$6:A1850,A1850,$AB$6:AB1850,"&gt;0")=1,1,""))</f>
        <v/>
      </c>
      <c r="AH1850" s="70" t="str">
        <f>IF(AB1850="","",ROUND(N(W1850)*N(J1850)*(1-N(K1850)),2))</f>
        <v/>
      </c>
      <c r="AI1850" s="70" t="str">
        <f>IF(OR(J1850="",N(T1850)&lt;=0,V1850="Oui"),"",ROUND(N(T1850)*J1850*(1-N(K1850)),2))</f>
        <v/>
      </c>
    </row>
    <row r="1851">
      <c r="A1851" s="63" t="n"/>
      <c r="B1851" s="64" t="n"/>
      <c r="C1851" s="65" t="n"/>
      <c r="D1851" s="66" t="str">
        <f>IF(C1851="","",IFERROR(INDEX(sup_name,MATCH($C1851,sup_code,0))&amp;"","Fournisseur inconnu"))</f>
        <v/>
      </c>
      <c r="E1851" s="63" t="n"/>
      <c r="F1851" s="66" t="str">
        <f>IF(E1851="","",IFERROR(INDEX(art_des,MATCH($E1851,art_ref,0))&amp;"","Article inconnu"))</f>
        <v/>
      </c>
      <c r="G1851" s="67" t="str">
        <f>IF(E1851="","",IFERROR(INDEX(art_unit,MATCH($E1851,art_ref,0))&amp;"",""))</f>
        <v/>
      </c>
      <c r="H1851" s="68" t="n"/>
      <c r="I1851" s="69" t="n"/>
      <c r="J1851" s="70" t="str">
        <f>IF(E1851="","",IF(ISNUMBER(I1851),I1851,IFERROR(IF(ISNUMBER(INDEX(art_price,MATCH($E1851,art_ref,0))),INDEX(art_price,MATCH($E1851,art_ref,0)),""),"")))</f>
        <v/>
      </c>
      <c r="K1851" s="71" t="n"/>
      <c r="L1851" s="72" t="n"/>
      <c r="M1851" s="72" t="str">
        <f>IF(E1851="","",IF(L1851&lt;&gt;"",L1851,IFERROR(IF(ISNUMBER(INDEX(art_tva,MATCH($E1851,art_ref,0))),INDEX(art_tva,MATCH($E1851,art_ref,0)),""),"")))</f>
        <v/>
      </c>
      <c r="N1851" s="70" t="str">
        <f>IF(OR(E1851="",J1851=""),"",ROUND(N(H1851)*J1851*(1-N(K1851)),2))</f>
        <v/>
      </c>
      <c r="O1851" s="70" t="str">
        <f>IF(OR(N1851="",NOT(ISNUMBER(M1851))),"",ROUND(N1851*M1851,2))</f>
        <v/>
      </c>
      <c r="P1851" s="70" t="str">
        <f>IF(N1851="","",N1851+N(O1851))</f>
        <v/>
      </c>
      <c r="Q1851" s="64" t="n"/>
      <c r="R1851" s="73" t="str">
        <f>IF(N(Q1851)&gt;0,Q1851,IF(OR(N(B1851)=0,ISNA(MATCH($C1851,sup_code,0))),"",IF(ISNUMBER(INDEX(sup_delay,MATCH($C1851,sup_code,0))),B1851+INDEX(sup_delay,MATCH($C1851,sup_code,0)),"")))</f>
        <v/>
      </c>
      <c r="S1851" s="64" t="n"/>
      <c r="T1851" s="68" t="n"/>
      <c r="U1851" s="64" t="n"/>
      <c r="V1851" s="65" t="n"/>
      <c r="W1851" s="74" t="str">
        <f>IF(AND(A1851="",E1851=""),"",IF(V1851="Oui",0,MAX(0,ROUND(N(H1851)-N(T1851),6))))</f>
        <v/>
      </c>
      <c r="X1851" s="67" t="str">
        <f>IF(AND(A1851="",E1851=""),"",IF(V1851="Oui","Annulé",IF(AND(N(H1851)&gt;0,N(T1851)&gt;=N(H1851)),"Reçu",IF(N(S1851)=0,"Brouillon",IF(AND(ISNUMBER(R1851),R1851&lt;p_today),"En retard",IF(N(T1851)&gt;0,"Partiel","Envoyé"))))))</f>
        <v/>
      </c>
      <c r="Y1851" s="75" t="str">
        <f>IF(X1851="En retard",p_today-R1851,IF(AND(X1851="Reçu",ISNUMBER(R1851)),MAX(0,N(U1851)-R1851),""))</f>
        <v/>
      </c>
      <c r="Z1851" s="67" t="str">
        <f>IF(AND(A1851="",E1851=""),"",IF(A1851="","N° de bon manquant",IF(N(B1851)=0,"Date de commande manquante",IF(C1851="","Fournisseur manquant",IF(ISNA(MATCH($C1851,sup_code,0)),"Fournisseur inconnu",IF(E1851="","Article manquant",IF(ISNA(MATCH($E1851,art_ref,0)),"Article inconnu",IF(N(H1851)&lt;=0,"Quantité invalide",IF(J1851="","Prix manquant",IF(OR(N(K1851)&lt;0,N(K1851)&gt;=1),"Remise invalide",IF(M1851="","TVA manquante",IF(ISNA(MATCH(M1851,p_tva,0)),"Taux de TVA inconnu",IF(COUNTIFS(po_num,A1851,po_sup,"&lt;&gt;"&amp;C1851)&gt;0,"Fournisseur différent sur ce bon",IF(COUNTIFS(po_num,A1851,po_date,"&lt;&gt;"&amp;B1851)&gt;0,"Date différente sur ce bon",IF(COUNTIF(po_num,A1851)&gt;25,"Plus de 25 lignes sur ce bon",IF(R1851="","Date de livraison manquante",IF(R1851&lt;B1851,"Livraison avant la commande",IF(AND(N(T1851)&gt;0,N(S1851)=0),"Date d'envoi manquante",IF(N(T1851)&gt;N(H1851),"Reçu plus que commandé",IF(AND(N(T1851)&gt;0,N(U1851)=0),"Date de réception manquante",IF(AND(N(U1851)&gt;0,U1851&lt;B1851),"Réception avant la commande","OK")))))))))))))))))))))</f>
        <v/>
      </c>
      <c r="AA1851" s="66" t="str">
        <f>IF(AND(X1851="Reçu",ISNUMBER(R1851)),IF(N(U1851)&lt;=R1851,1,0),"")</f>
        <v/>
      </c>
      <c r="AB1851" s="76" t="str">
        <f>IF(OR(X1851="Envoyé",X1851="Partiel",X1851="En retard"),IF(ISNUMBER(R1851),R1851,100000)+ROW()/100000,"")</f>
        <v/>
      </c>
      <c r="AC1851" s="66" t="str">
        <f>IF(A1851="","",IF(COUNTIF($A$6:A1851,A1851)=1,1,""))</f>
        <v/>
      </c>
      <c r="AD1851" s="66" t="str">
        <f>IF(AC1851=1,COUNT($AC$6:AC1851),"")</f>
        <v/>
      </c>
      <c r="AE1851" s="66" t="str">
        <f>IFERROR(INDEX(po_num,MATCH(1846,po_seq,0))&amp;"","")</f>
        <v/>
      </c>
      <c r="AF1851" s="66" t="str">
        <f>IF(OR(A1851="",p_po=""),"",IF(A1851&amp;""=p_po,COUNTIF($A$6:A1851,A1851),""))</f>
        <v/>
      </c>
      <c r="AG1851" s="66" t="str">
        <f>IF(OR(AB1851="",A1851=""),"",IF(COUNTIFS($A$6:A1851,A1851,$AB$6:AB1851,"&gt;0")=1,1,""))</f>
        <v/>
      </c>
      <c r="AH1851" s="70" t="str">
        <f>IF(AB1851="","",ROUND(N(W1851)*N(J1851)*(1-N(K1851)),2))</f>
        <v/>
      </c>
      <c r="AI1851" s="70" t="str">
        <f>IF(OR(J1851="",N(T1851)&lt;=0,V1851="Oui"),"",ROUND(N(T1851)*J1851*(1-N(K1851)),2))</f>
        <v/>
      </c>
    </row>
    <row r="1852">
      <c r="A1852" s="63" t="n"/>
      <c r="B1852" s="64" t="n"/>
      <c r="C1852" s="65" t="n"/>
      <c r="D1852" s="66" t="str">
        <f>IF(C1852="","",IFERROR(INDEX(sup_name,MATCH($C1852,sup_code,0))&amp;"","Fournisseur inconnu"))</f>
        <v/>
      </c>
      <c r="E1852" s="63" t="n"/>
      <c r="F1852" s="66" t="str">
        <f>IF(E1852="","",IFERROR(INDEX(art_des,MATCH($E1852,art_ref,0))&amp;"","Article inconnu"))</f>
        <v/>
      </c>
      <c r="G1852" s="67" t="str">
        <f>IF(E1852="","",IFERROR(INDEX(art_unit,MATCH($E1852,art_ref,0))&amp;"",""))</f>
        <v/>
      </c>
      <c r="H1852" s="68" t="n"/>
      <c r="I1852" s="69" t="n"/>
      <c r="J1852" s="70" t="str">
        <f>IF(E1852="","",IF(ISNUMBER(I1852),I1852,IFERROR(IF(ISNUMBER(INDEX(art_price,MATCH($E1852,art_ref,0))),INDEX(art_price,MATCH($E1852,art_ref,0)),""),"")))</f>
        <v/>
      </c>
      <c r="K1852" s="71" t="n"/>
      <c r="L1852" s="72" t="n"/>
      <c r="M1852" s="72" t="str">
        <f>IF(E1852="","",IF(L1852&lt;&gt;"",L1852,IFERROR(IF(ISNUMBER(INDEX(art_tva,MATCH($E1852,art_ref,0))),INDEX(art_tva,MATCH($E1852,art_ref,0)),""),"")))</f>
        <v/>
      </c>
      <c r="N1852" s="70" t="str">
        <f>IF(OR(E1852="",J1852=""),"",ROUND(N(H1852)*J1852*(1-N(K1852)),2))</f>
        <v/>
      </c>
      <c r="O1852" s="70" t="str">
        <f>IF(OR(N1852="",NOT(ISNUMBER(M1852))),"",ROUND(N1852*M1852,2))</f>
        <v/>
      </c>
      <c r="P1852" s="70" t="str">
        <f>IF(N1852="","",N1852+N(O1852))</f>
        <v/>
      </c>
      <c r="Q1852" s="64" t="n"/>
      <c r="R1852" s="73" t="str">
        <f>IF(N(Q1852)&gt;0,Q1852,IF(OR(N(B1852)=0,ISNA(MATCH($C1852,sup_code,0))),"",IF(ISNUMBER(INDEX(sup_delay,MATCH($C1852,sup_code,0))),B1852+INDEX(sup_delay,MATCH($C1852,sup_code,0)),"")))</f>
        <v/>
      </c>
      <c r="S1852" s="64" t="n"/>
      <c r="T1852" s="68" t="n"/>
      <c r="U1852" s="64" t="n"/>
      <c r="V1852" s="65" t="n"/>
      <c r="W1852" s="74" t="str">
        <f>IF(AND(A1852="",E1852=""),"",IF(V1852="Oui",0,MAX(0,ROUND(N(H1852)-N(T1852),6))))</f>
        <v/>
      </c>
      <c r="X1852" s="67" t="str">
        <f>IF(AND(A1852="",E1852=""),"",IF(V1852="Oui","Annulé",IF(AND(N(H1852)&gt;0,N(T1852)&gt;=N(H1852)),"Reçu",IF(N(S1852)=0,"Brouillon",IF(AND(ISNUMBER(R1852),R1852&lt;p_today),"En retard",IF(N(T1852)&gt;0,"Partiel","Envoyé"))))))</f>
        <v/>
      </c>
      <c r="Y1852" s="75" t="str">
        <f>IF(X1852="En retard",p_today-R1852,IF(AND(X1852="Reçu",ISNUMBER(R1852)),MAX(0,N(U1852)-R1852),""))</f>
        <v/>
      </c>
      <c r="Z1852" s="67" t="str">
        <f>IF(AND(A1852="",E1852=""),"",IF(A1852="","N° de bon manquant",IF(N(B1852)=0,"Date de commande manquante",IF(C1852="","Fournisseur manquant",IF(ISNA(MATCH($C1852,sup_code,0)),"Fournisseur inconnu",IF(E1852="","Article manquant",IF(ISNA(MATCH($E1852,art_ref,0)),"Article inconnu",IF(N(H1852)&lt;=0,"Quantité invalide",IF(J1852="","Prix manquant",IF(OR(N(K1852)&lt;0,N(K1852)&gt;=1),"Remise invalide",IF(M1852="","TVA manquante",IF(ISNA(MATCH(M1852,p_tva,0)),"Taux de TVA inconnu",IF(COUNTIFS(po_num,A1852,po_sup,"&lt;&gt;"&amp;C1852)&gt;0,"Fournisseur différent sur ce bon",IF(COUNTIFS(po_num,A1852,po_date,"&lt;&gt;"&amp;B1852)&gt;0,"Date différente sur ce bon",IF(COUNTIF(po_num,A1852)&gt;25,"Plus de 25 lignes sur ce bon",IF(R1852="","Date de livraison manquante",IF(R1852&lt;B1852,"Livraison avant la commande",IF(AND(N(T1852)&gt;0,N(S1852)=0),"Date d'envoi manquante",IF(N(T1852)&gt;N(H1852),"Reçu plus que commandé",IF(AND(N(T1852)&gt;0,N(U1852)=0),"Date de réception manquante",IF(AND(N(U1852)&gt;0,U1852&lt;B1852),"Réception avant la commande","OK")))))))))))))))))))))</f>
        <v/>
      </c>
      <c r="AA1852" s="66" t="str">
        <f>IF(AND(X1852="Reçu",ISNUMBER(R1852)),IF(N(U1852)&lt;=R1852,1,0),"")</f>
        <v/>
      </c>
      <c r="AB1852" s="76" t="str">
        <f>IF(OR(X1852="Envoyé",X1852="Partiel",X1852="En retard"),IF(ISNUMBER(R1852),R1852,100000)+ROW()/100000,"")</f>
        <v/>
      </c>
      <c r="AC1852" s="66" t="str">
        <f>IF(A1852="","",IF(COUNTIF($A$6:A1852,A1852)=1,1,""))</f>
        <v/>
      </c>
      <c r="AD1852" s="66" t="str">
        <f>IF(AC1852=1,COUNT($AC$6:AC1852),"")</f>
        <v/>
      </c>
      <c r="AE1852" s="66" t="str">
        <f>IFERROR(INDEX(po_num,MATCH(1847,po_seq,0))&amp;"","")</f>
        <v/>
      </c>
      <c r="AF1852" s="66" t="str">
        <f>IF(OR(A1852="",p_po=""),"",IF(A1852&amp;""=p_po,COUNTIF($A$6:A1852,A1852),""))</f>
        <v/>
      </c>
      <c r="AG1852" s="66" t="str">
        <f>IF(OR(AB1852="",A1852=""),"",IF(COUNTIFS($A$6:A1852,A1852,$AB$6:AB1852,"&gt;0")=1,1,""))</f>
        <v/>
      </c>
      <c r="AH1852" s="70" t="str">
        <f>IF(AB1852="","",ROUND(N(W1852)*N(J1852)*(1-N(K1852)),2))</f>
        <v/>
      </c>
      <c r="AI1852" s="70" t="str">
        <f>IF(OR(J1852="",N(T1852)&lt;=0,V1852="Oui"),"",ROUND(N(T1852)*J1852*(1-N(K1852)),2))</f>
        <v/>
      </c>
    </row>
    <row r="1853">
      <c r="A1853" s="63" t="n"/>
      <c r="B1853" s="64" t="n"/>
      <c r="C1853" s="65" t="n"/>
      <c r="D1853" s="66" t="str">
        <f>IF(C1853="","",IFERROR(INDEX(sup_name,MATCH($C1853,sup_code,0))&amp;"","Fournisseur inconnu"))</f>
        <v/>
      </c>
      <c r="E1853" s="63" t="n"/>
      <c r="F1853" s="66" t="str">
        <f>IF(E1853="","",IFERROR(INDEX(art_des,MATCH($E1853,art_ref,0))&amp;"","Article inconnu"))</f>
        <v/>
      </c>
      <c r="G1853" s="67" t="str">
        <f>IF(E1853="","",IFERROR(INDEX(art_unit,MATCH($E1853,art_ref,0))&amp;"",""))</f>
        <v/>
      </c>
      <c r="H1853" s="68" t="n"/>
      <c r="I1853" s="69" t="n"/>
      <c r="J1853" s="70" t="str">
        <f>IF(E1853="","",IF(ISNUMBER(I1853),I1853,IFERROR(IF(ISNUMBER(INDEX(art_price,MATCH($E1853,art_ref,0))),INDEX(art_price,MATCH($E1853,art_ref,0)),""),"")))</f>
        <v/>
      </c>
      <c r="K1853" s="71" t="n"/>
      <c r="L1853" s="72" t="n"/>
      <c r="M1853" s="72" t="str">
        <f>IF(E1853="","",IF(L1853&lt;&gt;"",L1853,IFERROR(IF(ISNUMBER(INDEX(art_tva,MATCH($E1853,art_ref,0))),INDEX(art_tva,MATCH($E1853,art_ref,0)),""),"")))</f>
        <v/>
      </c>
      <c r="N1853" s="70" t="str">
        <f>IF(OR(E1853="",J1853=""),"",ROUND(N(H1853)*J1853*(1-N(K1853)),2))</f>
        <v/>
      </c>
      <c r="O1853" s="70" t="str">
        <f>IF(OR(N1853="",NOT(ISNUMBER(M1853))),"",ROUND(N1853*M1853,2))</f>
        <v/>
      </c>
      <c r="P1853" s="70" t="str">
        <f>IF(N1853="","",N1853+N(O1853))</f>
        <v/>
      </c>
      <c r="Q1853" s="64" t="n"/>
      <c r="R1853" s="73" t="str">
        <f>IF(N(Q1853)&gt;0,Q1853,IF(OR(N(B1853)=0,ISNA(MATCH($C1853,sup_code,0))),"",IF(ISNUMBER(INDEX(sup_delay,MATCH($C1853,sup_code,0))),B1853+INDEX(sup_delay,MATCH($C1853,sup_code,0)),"")))</f>
        <v/>
      </c>
      <c r="S1853" s="64" t="n"/>
      <c r="T1853" s="68" t="n"/>
      <c r="U1853" s="64" t="n"/>
      <c r="V1853" s="65" t="n"/>
      <c r="W1853" s="74" t="str">
        <f>IF(AND(A1853="",E1853=""),"",IF(V1853="Oui",0,MAX(0,ROUND(N(H1853)-N(T1853),6))))</f>
        <v/>
      </c>
      <c r="X1853" s="67" t="str">
        <f>IF(AND(A1853="",E1853=""),"",IF(V1853="Oui","Annulé",IF(AND(N(H1853)&gt;0,N(T1853)&gt;=N(H1853)),"Reçu",IF(N(S1853)=0,"Brouillon",IF(AND(ISNUMBER(R1853),R1853&lt;p_today),"En retard",IF(N(T1853)&gt;0,"Partiel","Envoyé"))))))</f>
        <v/>
      </c>
      <c r="Y1853" s="75" t="str">
        <f>IF(X1853="En retard",p_today-R1853,IF(AND(X1853="Reçu",ISNUMBER(R1853)),MAX(0,N(U1853)-R1853),""))</f>
        <v/>
      </c>
      <c r="Z1853" s="67" t="str">
        <f>IF(AND(A1853="",E1853=""),"",IF(A1853="","N° de bon manquant",IF(N(B1853)=0,"Date de commande manquante",IF(C1853="","Fournisseur manquant",IF(ISNA(MATCH($C1853,sup_code,0)),"Fournisseur inconnu",IF(E1853="","Article manquant",IF(ISNA(MATCH($E1853,art_ref,0)),"Article inconnu",IF(N(H1853)&lt;=0,"Quantité invalide",IF(J1853="","Prix manquant",IF(OR(N(K1853)&lt;0,N(K1853)&gt;=1),"Remise invalide",IF(M1853="","TVA manquante",IF(ISNA(MATCH(M1853,p_tva,0)),"Taux de TVA inconnu",IF(COUNTIFS(po_num,A1853,po_sup,"&lt;&gt;"&amp;C1853)&gt;0,"Fournisseur différent sur ce bon",IF(COUNTIFS(po_num,A1853,po_date,"&lt;&gt;"&amp;B1853)&gt;0,"Date différente sur ce bon",IF(COUNTIF(po_num,A1853)&gt;25,"Plus de 25 lignes sur ce bon",IF(R1853="","Date de livraison manquante",IF(R1853&lt;B1853,"Livraison avant la commande",IF(AND(N(T1853)&gt;0,N(S1853)=0),"Date d'envoi manquante",IF(N(T1853)&gt;N(H1853),"Reçu plus que commandé",IF(AND(N(T1853)&gt;0,N(U1853)=0),"Date de réception manquante",IF(AND(N(U1853)&gt;0,U1853&lt;B1853),"Réception avant la commande","OK")))))))))))))))))))))</f>
        <v/>
      </c>
      <c r="AA1853" s="66" t="str">
        <f>IF(AND(X1853="Reçu",ISNUMBER(R1853)),IF(N(U1853)&lt;=R1853,1,0),"")</f>
        <v/>
      </c>
      <c r="AB1853" s="76" t="str">
        <f>IF(OR(X1853="Envoyé",X1853="Partiel",X1853="En retard"),IF(ISNUMBER(R1853),R1853,100000)+ROW()/100000,"")</f>
        <v/>
      </c>
      <c r="AC1853" s="66" t="str">
        <f>IF(A1853="","",IF(COUNTIF($A$6:A1853,A1853)=1,1,""))</f>
        <v/>
      </c>
      <c r="AD1853" s="66" t="str">
        <f>IF(AC1853=1,COUNT($AC$6:AC1853),"")</f>
        <v/>
      </c>
      <c r="AE1853" s="66" t="str">
        <f>IFERROR(INDEX(po_num,MATCH(1848,po_seq,0))&amp;"","")</f>
        <v/>
      </c>
      <c r="AF1853" s="66" t="str">
        <f>IF(OR(A1853="",p_po=""),"",IF(A1853&amp;""=p_po,COUNTIF($A$6:A1853,A1853),""))</f>
        <v/>
      </c>
      <c r="AG1853" s="66" t="str">
        <f>IF(OR(AB1853="",A1853=""),"",IF(COUNTIFS($A$6:A1853,A1853,$AB$6:AB1853,"&gt;0")=1,1,""))</f>
        <v/>
      </c>
      <c r="AH1853" s="70" t="str">
        <f>IF(AB1853="","",ROUND(N(W1853)*N(J1853)*(1-N(K1853)),2))</f>
        <v/>
      </c>
      <c r="AI1853" s="70" t="str">
        <f>IF(OR(J1853="",N(T1853)&lt;=0,V1853="Oui"),"",ROUND(N(T1853)*J1853*(1-N(K1853)),2))</f>
        <v/>
      </c>
    </row>
    <row r="1854">
      <c r="A1854" s="63" t="n"/>
      <c r="B1854" s="64" t="n"/>
      <c r="C1854" s="65" t="n"/>
      <c r="D1854" s="66" t="str">
        <f>IF(C1854="","",IFERROR(INDEX(sup_name,MATCH($C1854,sup_code,0))&amp;"","Fournisseur inconnu"))</f>
        <v/>
      </c>
      <c r="E1854" s="63" t="n"/>
      <c r="F1854" s="66" t="str">
        <f>IF(E1854="","",IFERROR(INDEX(art_des,MATCH($E1854,art_ref,0))&amp;"","Article inconnu"))</f>
        <v/>
      </c>
      <c r="G1854" s="67" t="str">
        <f>IF(E1854="","",IFERROR(INDEX(art_unit,MATCH($E1854,art_ref,0))&amp;"",""))</f>
        <v/>
      </c>
      <c r="H1854" s="68" t="n"/>
      <c r="I1854" s="69" t="n"/>
      <c r="J1854" s="70" t="str">
        <f>IF(E1854="","",IF(ISNUMBER(I1854),I1854,IFERROR(IF(ISNUMBER(INDEX(art_price,MATCH($E1854,art_ref,0))),INDEX(art_price,MATCH($E1854,art_ref,0)),""),"")))</f>
        <v/>
      </c>
      <c r="K1854" s="71" t="n"/>
      <c r="L1854" s="72" t="n"/>
      <c r="M1854" s="72" t="str">
        <f>IF(E1854="","",IF(L1854&lt;&gt;"",L1854,IFERROR(IF(ISNUMBER(INDEX(art_tva,MATCH($E1854,art_ref,0))),INDEX(art_tva,MATCH($E1854,art_ref,0)),""),"")))</f>
        <v/>
      </c>
      <c r="N1854" s="70" t="str">
        <f>IF(OR(E1854="",J1854=""),"",ROUND(N(H1854)*J1854*(1-N(K1854)),2))</f>
        <v/>
      </c>
      <c r="O1854" s="70" t="str">
        <f>IF(OR(N1854="",NOT(ISNUMBER(M1854))),"",ROUND(N1854*M1854,2))</f>
        <v/>
      </c>
      <c r="P1854" s="70" t="str">
        <f>IF(N1854="","",N1854+N(O1854))</f>
        <v/>
      </c>
      <c r="Q1854" s="64" t="n"/>
      <c r="R1854" s="73" t="str">
        <f>IF(N(Q1854)&gt;0,Q1854,IF(OR(N(B1854)=0,ISNA(MATCH($C1854,sup_code,0))),"",IF(ISNUMBER(INDEX(sup_delay,MATCH($C1854,sup_code,0))),B1854+INDEX(sup_delay,MATCH($C1854,sup_code,0)),"")))</f>
        <v/>
      </c>
      <c r="S1854" s="64" t="n"/>
      <c r="T1854" s="68" t="n"/>
      <c r="U1854" s="64" t="n"/>
      <c r="V1854" s="65" t="n"/>
      <c r="W1854" s="74" t="str">
        <f>IF(AND(A1854="",E1854=""),"",IF(V1854="Oui",0,MAX(0,ROUND(N(H1854)-N(T1854),6))))</f>
        <v/>
      </c>
      <c r="X1854" s="67" t="str">
        <f>IF(AND(A1854="",E1854=""),"",IF(V1854="Oui","Annulé",IF(AND(N(H1854)&gt;0,N(T1854)&gt;=N(H1854)),"Reçu",IF(N(S1854)=0,"Brouillon",IF(AND(ISNUMBER(R1854),R1854&lt;p_today),"En retard",IF(N(T1854)&gt;0,"Partiel","Envoyé"))))))</f>
        <v/>
      </c>
      <c r="Y1854" s="75" t="str">
        <f>IF(X1854="En retard",p_today-R1854,IF(AND(X1854="Reçu",ISNUMBER(R1854)),MAX(0,N(U1854)-R1854),""))</f>
        <v/>
      </c>
      <c r="Z1854" s="67" t="str">
        <f>IF(AND(A1854="",E1854=""),"",IF(A1854="","N° de bon manquant",IF(N(B1854)=0,"Date de commande manquante",IF(C1854="","Fournisseur manquant",IF(ISNA(MATCH($C1854,sup_code,0)),"Fournisseur inconnu",IF(E1854="","Article manquant",IF(ISNA(MATCH($E1854,art_ref,0)),"Article inconnu",IF(N(H1854)&lt;=0,"Quantité invalide",IF(J1854="","Prix manquant",IF(OR(N(K1854)&lt;0,N(K1854)&gt;=1),"Remise invalide",IF(M1854="","TVA manquante",IF(ISNA(MATCH(M1854,p_tva,0)),"Taux de TVA inconnu",IF(COUNTIFS(po_num,A1854,po_sup,"&lt;&gt;"&amp;C1854)&gt;0,"Fournisseur différent sur ce bon",IF(COUNTIFS(po_num,A1854,po_date,"&lt;&gt;"&amp;B1854)&gt;0,"Date différente sur ce bon",IF(COUNTIF(po_num,A1854)&gt;25,"Plus de 25 lignes sur ce bon",IF(R1854="","Date de livraison manquante",IF(R1854&lt;B1854,"Livraison avant la commande",IF(AND(N(T1854)&gt;0,N(S1854)=0),"Date d'envoi manquante",IF(N(T1854)&gt;N(H1854),"Reçu plus que commandé",IF(AND(N(T1854)&gt;0,N(U1854)=0),"Date de réception manquante",IF(AND(N(U1854)&gt;0,U1854&lt;B1854),"Réception avant la commande","OK")))))))))))))))))))))</f>
        <v/>
      </c>
      <c r="AA1854" s="66" t="str">
        <f>IF(AND(X1854="Reçu",ISNUMBER(R1854)),IF(N(U1854)&lt;=R1854,1,0),"")</f>
        <v/>
      </c>
      <c r="AB1854" s="76" t="str">
        <f>IF(OR(X1854="Envoyé",X1854="Partiel",X1854="En retard"),IF(ISNUMBER(R1854),R1854,100000)+ROW()/100000,"")</f>
        <v/>
      </c>
      <c r="AC1854" s="66" t="str">
        <f>IF(A1854="","",IF(COUNTIF($A$6:A1854,A1854)=1,1,""))</f>
        <v/>
      </c>
      <c r="AD1854" s="66" t="str">
        <f>IF(AC1854=1,COUNT($AC$6:AC1854),"")</f>
        <v/>
      </c>
      <c r="AE1854" s="66" t="str">
        <f>IFERROR(INDEX(po_num,MATCH(1849,po_seq,0))&amp;"","")</f>
        <v/>
      </c>
      <c r="AF1854" s="66" t="str">
        <f>IF(OR(A1854="",p_po=""),"",IF(A1854&amp;""=p_po,COUNTIF($A$6:A1854,A1854),""))</f>
        <v/>
      </c>
      <c r="AG1854" s="66" t="str">
        <f>IF(OR(AB1854="",A1854=""),"",IF(COUNTIFS($A$6:A1854,A1854,$AB$6:AB1854,"&gt;0")=1,1,""))</f>
        <v/>
      </c>
      <c r="AH1854" s="70" t="str">
        <f>IF(AB1854="","",ROUND(N(W1854)*N(J1854)*(1-N(K1854)),2))</f>
        <v/>
      </c>
      <c r="AI1854" s="70" t="str">
        <f>IF(OR(J1854="",N(T1854)&lt;=0,V1854="Oui"),"",ROUND(N(T1854)*J1854*(1-N(K1854)),2))</f>
        <v/>
      </c>
    </row>
    <row r="1855">
      <c r="A1855" s="63" t="n"/>
      <c r="B1855" s="64" t="n"/>
      <c r="C1855" s="65" t="n"/>
      <c r="D1855" s="66" t="str">
        <f>IF(C1855="","",IFERROR(INDEX(sup_name,MATCH($C1855,sup_code,0))&amp;"","Fournisseur inconnu"))</f>
        <v/>
      </c>
      <c r="E1855" s="63" t="n"/>
      <c r="F1855" s="66" t="str">
        <f>IF(E1855="","",IFERROR(INDEX(art_des,MATCH($E1855,art_ref,0))&amp;"","Article inconnu"))</f>
        <v/>
      </c>
      <c r="G1855" s="67" t="str">
        <f>IF(E1855="","",IFERROR(INDEX(art_unit,MATCH($E1855,art_ref,0))&amp;"",""))</f>
        <v/>
      </c>
      <c r="H1855" s="68" t="n"/>
      <c r="I1855" s="69" t="n"/>
      <c r="J1855" s="70" t="str">
        <f>IF(E1855="","",IF(ISNUMBER(I1855),I1855,IFERROR(IF(ISNUMBER(INDEX(art_price,MATCH($E1855,art_ref,0))),INDEX(art_price,MATCH($E1855,art_ref,0)),""),"")))</f>
        <v/>
      </c>
      <c r="K1855" s="71" t="n"/>
      <c r="L1855" s="72" t="n"/>
      <c r="M1855" s="72" t="str">
        <f>IF(E1855="","",IF(L1855&lt;&gt;"",L1855,IFERROR(IF(ISNUMBER(INDEX(art_tva,MATCH($E1855,art_ref,0))),INDEX(art_tva,MATCH($E1855,art_ref,0)),""),"")))</f>
        <v/>
      </c>
      <c r="N1855" s="70" t="str">
        <f>IF(OR(E1855="",J1855=""),"",ROUND(N(H1855)*J1855*(1-N(K1855)),2))</f>
        <v/>
      </c>
      <c r="O1855" s="70" t="str">
        <f>IF(OR(N1855="",NOT(ISNUMBER(M1855))),"",ROUND(N1855*M1855,2))</f>
        <v/>
      </c>
      <c r="P1855" s="70" t="str">
        <f>IF(N1855="","",N1855+N(O1855))</f>
        <v/>
      </c>
      <c r="Q1855" s="64" t="n"/>
      <c r="R1855" s="73" t="str">
        <f>IF(N(Q1855)&gt;0,Q1855,IF(OR(N(B1855)=0,ISNA(MATCH($C1855,sup_code,0))),"",IF(ISNUMBER(INDEX(sup_delay,MATCH($C1855,sup_code,0))),B1855+INDEX(sup_delay,MATCH($C1855,sup_code,0)),"")))</f>
        <v/>
      </c>
      <c r="S1855" s="64" t="n"/>
      <c r="T1855" s="68" t="n"/>
      <c r="U1855" s="64" t="n"/>
      <c r="V1855" s="65" t="n"/>
      <c r="W1855" s="74" t="str">
        <f>IF(AND(A1855="",E1855=""),"",IF(V1855="Oui",0,MAX(0,ROUND(N(H1855)-N(T1855),6))))</f>
        <v/>
      </c>
      <c r="X1855" s="67" t="str">
        <f>IF(AND(A1855="",E1855=""),"",IF(V1855="Oui","Annulé",IF(AND(N(H1855)&gt;0,N(T1855)&gt;=N(H1855)),"Reçu",IF(N(S1855)=0,"Brouillon",IF(AND(ISNUMBER(R1855),R1855&lt;p_today),"En retard",IF(N(T1855)&gt;0,"Partiel","Envoyé"))))))</f>
        <v/>
      </c>
      <c r="Y1855" s="75" t="str">
        <f>IF(X1855="En retard",p_today-R1855,IF(AND(X1855="Reçu",ISNUMBER(R1855)),MAX(0,N(U1855)-R1855),""))</f>
        <v/>
      </c>
      <c r="Z1855" s="67" t="str">
        <f>IF(AND(A1855="",E1855=""),"",IF(A1855="","N° de bon manquant",IF(N(B1855)=0,"Date de commande manquante",IF(C1855="","Fournisseur manquant",IF(ISNA(MATCH($C1855,sup_code,0)),"Fournisseur inconnu",IF(E1855="","Article manquant",IF(ISNA(MATCH($E1855,art_ref,0)),"Article inconnu",IF(N(H1855)&lt;=0,"Quantité invalide",IF(J1855="","Prix manquant",IF(OR(N(K1855)&lt;0,N(K1855)&gt;=1),"Remise invalide",IF(M1855="","TVA manquante",IF(ISNA(MATCH(M1855,p_tva,0)),"Taux de TVA inconnu",IF(COUNTIFS(po_num,A1855,po_sup,"&lt;&gt;"&amp;C1855)&gt;0,"Fournisseur différent sur ce bon",IF(COUNTIFS(po_num,A1855,po_date,"&lt;&gt;"&amp;B1855)&gt;0,"Date différente sur ce bon",IF(COUNTIF(po_num,A1855)&gt;25,"Plus de 25 lignes sur ce bon",IF(R1855="","Date de livraison manquante",IF(R1855&lt;B1855,"Livraison avant la commande",IF(AND(N(T1855)&gt;0,N(S1855)=0),"Date d'envoi manquante",IF(N(T1855)&gt;N(H1855),"Reçu plus que commandé",IF(AND(N(T1855)&gt;0,N(U1855)=0),"Date de réception manquante",IF(AND(N(U1855)&gt;0,U1855&lt;B1855),"Réception avant la commande","OK")))))))))))))))))))))</f>
        <v/>
      </c>
      <c r="AA1855" s="66" t="str">
        <f>IF(AND(X1855="Reçu",ISNUMBER(R1855)),IF(N(U1855)&lt;=R1855,1,0),"")</f>
        <v/>
      </c>
      <c r="AB1855" s="76" t="str">
        <f>IF(OR(X1855="Envoyé",X1855="Partiel",X1855="En retard"),IF(ISNUMBER(R1855),R1855,100000)+ROW()/100000,"")</f>
        <v/>
      </c>
      <c r="AC1855" s="66" t="str">
        <f>IF(A1855="","",IF(COUNTIF($A$6:A1855,A1855)=1,1,""))</f>
        <v/>
      </c>
      <c r="AD1855" s="66" t="str">
        <f>IF(AC1855=1,COUNT($AC$6:AC1855),"")</f>
        <v/>
      </c>
      <c r="AE1855" s="66" t="str">
        <f>IFERROR(INDEX(po_num,MATCH(1850,po_seq,0))&amp;"","")</f>
        <v/>
      </c>
      <c r="AF1855" s="66" t="str">
        <f>IF(OR(A1855="",p_po=""),"",IF(A1855&amp;""=p_po,COUNTIF($A$6:A1855,A1855),""))</f>
        <v/>
      </c>
      <c r="AG1855" s="66" t="str">
        <f>IF(OR(AB1855="",A1855=""),"",IF(COUNTIFS($A$6:A1855,A1855,$AB$6:AB1855,"&gt;0")=1,1,""))</f>
        <v/>
      </c>
      <c r="AH1855" s="70" t="str">
        <f>IF(AB1855="","",ROUND(N(W1855)*N(J1855)*(1-N(K1855)),2))</f>
        <v/>
      </c>
      <c r="AI1855" s="70" t="str">
        <f>IF(OR(J1855="",N(T1855)&lt;=0,V1855="Oui"),"",ROUND(N(T1855)*J1855*(1-N(K1855)),2))</f>
        <v/>
      </c>
    </row>
    <row r="1856">
      <c r="A1856" s="63" t="n"/>
      <c r="B1856" s="64" t="n"/>
      <c r="C1856" s="65" t="n"/>
      <c r="D1856" s="66" t="str">
        <f>IF(C1856="","",IFERROR(INDEX(sup_name,MATCH($C1856,sup_code,0))&amp;"","Fournisseur inconnu"))</f>
        <v/>
      </c>
      <c r="E1856" s="63" t="n"/>
      <c r="F1856" s="66" t="str">
        <f>IF(E1856="","",IFERROR(INDEX(art_des,MATCH($E1856,art_ref,0))&amp;"","Article inconnu"))</f>
        <v/>
      </c>
      <c r="G1856" s="67" t="str">
        <f>IF(E1856="","",IFERROR(INDEX(art_unit,MATCH($E1856,art_ref,0))&amp;"",""))</f>
        <v/>
      </c>
      <c r="H1856" s="68" t="n"/>
      <c r="I1856" s="69" t="n"/>
      <c r="J1856" s="70" t="str">
        <f>IF(E1856="","",IF(ISNUMBER(I1856),I1856,IFERROR(IF(ISNUMBER(INDEX(art_price,MATCH($E1856,art_ref,0))),INDEX(art_price,MATCH($E1856,art_ref,0)),""),"")))</f>
        <v/>
      </c>
      <c r="K1856" s="71" t="n"/>
      <c r="L1856" s="72" t="n"/>
      <c r="M1856" s="72" t="str">
        <f>IF(E1856="","",IF(L1856&lt;&gt;"",L1856,IFERROR(IF(ISNUMBER(INDEX(art_tva,MATCH($E1856,art_ref,0))),INDEX(art_tva,MATCH($E1856,art_ref,0)),""),"")))</f>
        <v/>
      </c>
      <c r="N1856" s="70" t="str">
        <f>IF(OR(E1856="",J1856=""),"",ROUND(N(H1856)*J1856*(1-N(K1856)),2))</f>
        <v/>
      </c>
      <c r="O1856" s="70" t="str">
        <f>IF(OR(N1856="",NOT(ISNUMBER(M1856))),"",ROUND(N1856*M1856,2))</f>
        <v/>
      </c>
      <c r="P1856" s="70" t="str">
        <f>IF(N1856="","",N1856+N(O1856))</f>
        <v/>
      </c>
      <c r="Q1856" s="64" t="n"/>
      <c r="R1856" s="73" t="str">
        <f>IF(N(Q1856)&gt;0,Q1856,IF(OR(N(B1856)=0,ISNA(MATCH($C1856,sup_code,0))),"",IF(ISNUMBER(INDEX(sup_delay,MATCH($C1856,sup_code,0))),B1856+INDEX(sup_delay,MATCH($C1856,sup_code,0)),"")))</f>
        <v/>
      </c>
      <c r="S1856" s="64" t="n"/>
      <c r="T1856" s="68" t="n"/>
      <c r="U1856" s="64" t="n"/>
      <c r="V1856" s="65" t="n"/>
      <c r="W1856" s="74" t="str">
        <f>IF(AND(A1856="",E1856=""),"",IF(V1856="Oui",0,MAX(0,ROUND(N(H1856)-N(T1856),6))))</f>
        <v/>
      </c>
      <c r="X1856" s="67" t="str">
        <f>IF(AND(A1856="",E1856=""),"",IF(V1856="Oui","Annulé",IF(AND(N(H1856)&gt;0,N(T1856)&gt;=N(H1856)),"Reçu",IF(N(S1856)=0,"Brouillon",IF(AND(ISNUMBER(R1856),R1856&lt;p_today),"En retard",IF(N(T1856)&gt;0,"Partiel","Envoyé"))))))</f>
        <v/>
      </c>
      <c r="Y1856" s="75" t="str">
        <f>IF(X1856="En retard",p_today-R1856,IF(AND(X1856="Reçu",ISNUMBER(R1856)),MAX(0,N(U1856)-R1856),""))</f>
        <v/>
      </c>
      <c r="Z1856" s="67" t="str">
        <f>IF(AND(A1856="",E1856=""),"",IF(A1856="","N° de bon manquant",IF(N(B1856)=0,"Date de commande manquante",IF(C1856="","Fournisseur manquant",IF(ISNA(MATCH($C1856,sup_code,0)),"Fournisseur inconnu",IF(E1856="","Article manquant",IF(ISNA(MATCH($E1856,art_ref,0)),"Article inconnu",IF(N(H1856)&lt;=0,"Quantité invalide",IF(J1856="","Prix manquant",IF(OR(N(K1856)&lt;0,N(K1856)&gt;=1),"Remise invalide",IF(M1856="","TVA manquante",IF(ISNA(MATCH(M1856,p_tva,0)),"Taux de TVA inconnu",IF(COUNTIFS(po_num,A1856,po_sup,"&lt;&gt;"&amp;C1856)&gt;0,"Fournisseur différent sur ce bon",IF(COUNTIFS(po_num,A1856,po_date,"&lt;&gt;"&amp;B1856)&gt;0,"Date différente sur ce bon",IF(COUNTIF(po_num,A1856)&gt;25,"Plus de 25 lignes sur ce bon",IF(R1856="","Date de livraison manquante",IF(R1856&lt;B1856,"Livraison avant la commande",IF(AND(N(T1856)&gt;0,N(S1856)=0),"Date d'envoi manquante",IF(N(T1856)&gt;N(H1856),"Reçu plus que commandé",IF(AND(N(T1856)&gt;0,N(U1856)=0),"Date de réception manquante",IF(AND(N(U1856)&gt;0,U1856&lt;B1856),"Réception avant la commande","OK")))))))))))))))))))))</f>
        <v/>
      </c>
      <c r="AA1856" s="66" t="str">
        <f>IF(AND(X1856="Reçu",ISNUMBER(R1856)),IF(N(U1856)&lt;=R1856,1,0),"")</f>
        <v/>
      </c>
      <c r="AB1856" s="76" t="str">
        <f>IF(OR(X1856="Envoyé",X1856="Partiel",X1856="En retard"),IF(ISNUMBER(R1856),R1856,100000)+ROW()/100000,"")</f>
        <v/>
      </c>
      <c r="AC1856" s="66" t="str">
        <f>IF(A1856="","",IF(COUNTIF($A$6:A1856,A1856)=1,1,""))</f>
        <v/>
      </c>
      <c r="AD1856" s="66" t="str">
        <f>IF(AC1856=1,COUNT($AC$6:AC1856),"")</f>
        <v/>
      </c>
      <c r="AE1856" s="66" t="str">
        <f>IFERROR(INDEX(po_num,MATCH(1851,po_seq,0))&amp;"","")</f>
        <v/>
      </c>
      <c r="AF1856" s="66" t="str">
        <f>IF(OR(A1856="",p_po=""),"",IF(A1856&amp;""=p_po,COUNTIF($A$6:A1856,A1856),""))</f>
        <v/>
      </c>
      <c r="AG1856" s="66" t="str">
        <f>IF(OR(AB1856="",A1856=""),"",IF(COUNTIFS($A$6:A1856,A1856,$AB$6:AB1856,"&gt;0")=1,1,""))</f>
        <v/>
      </c>
      <c r="AH1856" s="70" t="str">
        <f>IF(AB1856="","",ROUND(N(W1856)*N(J1856)*(1-N(K1856)),2))</f>
        <v/>
      </c>
      <c r="AI1856" s="70" t="str">
        <f>IF(OR(J1856="",N(T1856)&lt;=0,V1856="Oui"),"",ROUND(N(T1856)*J1856*(1-N(K1856)),2))</f>
        <v/>
      </c>
    </row>
    <row r="1857">
      <c r="A1857" s="63" t="n"/>
      <c r="B1857" s="64" t="n"/>
      <c r="C1857" s="65" t="n"/>
      <c r="D1857" s="66" t="str">
        <f>IF(C1857="","",IFERROR(INDEX(sup_name,MATCH($C1857,sup_code,0))&amp;"","Fournisseur inconnu"))</f>
        <v/>
      </c>
      <c r="E1857" s="63" t="n"/>
      <c r="F1857" s="66" t="str">
        <f>IF(E1857="","",IFERROR(INDEX(art_des,MATCH($E1857,art_ref,0))&amp;"","Article inconnu"))</f>
        <v/>
      </c>
      <c r="G1857" s="67" t="str">
        <f>IF(E1857="","",IFERROR(INDEX(art_unit,MATCH($E1857,art_ref,0))&amp;"",""))</f>
        <v/>
      </c>
      <c r="H1857" s="68" t="n"/>
      <c r="I1857" s="69" t="n"/>
      <c r="J1857" s="70" t="str">
        <f>IF(E1857="","",IF(ISNUMBER(I1857),I1857,IFERROR(IF(ISNUMBER(INDEX(art_price,MATCH($E1857,art_ref,0))),INDEX(art_price,MATCH($E1857,art_ref,0)),""),"")))</f>
        <v/>
      </c>
      <c r="K1857" s="71" t="n"/>
      <c r="L1857" s="72" t="n"/>
      <c r="M1857" s="72" t="str">
        <f>IF(E1857="","",IF(L1857&lt;&gt;"",L1857,IFERROR(IF(ISNUMBER(INDEX(art_tva,MATCH($E1857,art_ref,0))),INDEX(art_tva,MATCH($E1857,art_ref,0)),""),"")))</f>
        <v/>
      </c>
      <c r="N1857" s="70" t="str">
        <f>IF(OR(E1857="",J1857=""),"",ROUND(N(H1857)*J1857*(1-N(K1857)),2))</f>
        <v/>
      </c>
      <c r="O1857" s="70" t="str">
        <f>IF(OR(N1857="",NOT(ISNUMBER(M1857))),"",ROUND(N1857*M1857,2))</f>
        <v/>
      </c>
      <c r="P1857" s="70" t="str">
        <f>IF(N1857="","",N1857+N(O1857))</f>
        <v/>
      </c>
      <c r="Q1857" s="64" t="n"/>
      <c r="R1857" s="73" t="str">
        <f>IF(N(Q1857)&gt;0,Q1857,IF(OR(N(B1857)=0,ISNA(MATCH($C1857,sup_code,0))),"",IF(ISNUMBER(INDEX(sup_delay,MATCH($C1857,sup_code,0))),B1857+INDEX(sup_delay,MATCH($C1857,sup_code,0)),"")))</f>
        <v/>
      </c>
      <c r="S1857" s="64" t="n"/>
      <c r="T1857" s="68" t="n"/>
      <c r="U1857" s="64" t="n"/>
      <c r="V1857" s="65" t="n"/>
      <c r="W1857" s="74" t="str">
        <f>IF(AND(A1857="",E1857=""),"",IF(V1857="Oui",0,MAX(0,ROUND(N(H1857)-N(T1857),6))))</f>
        <v/>
      </c>
      <c r="X1857" s="67" t="str">
        <f>IF(AND(A1857="",E1857=""),"",IF(V1857="Oui","Annulé",IF(AND(N(H1857)&gt;0,N(T1857)&gt;=N(H1857)),"Reçu",IF(N(S1857)=0,"Brouillon",IF(AND(ISNUMBER(R1857),R1857&lt;p_today),"En retard",IF(N(T1857)&gt;0,"Partiel","Envoyé"))))))</f>
        <v/>
      </c>
      <c r="Y1857" s="75" t="str">
        <f>IF(X1857="En retard",p_today-R1857,IF(AND(X1857="Reçu",ISNUMBER(R1857)),MAX(0,N(U1857)-R1857),""))</f>
        <v/>
      </c>
      <c r="Z1857" s="67" t="str">
        <f>IF(AND(A1857="",E1857=""),"",IF(A1857="","N° de bon manquant",IF(N(B1857)=0,"Date de commande manquante",IF(C1857="","Fournisseur manquant",IF(ISNA(MATCH($C1857,sup_code,0)),"Fournisseur inconnu",IF(E1857="","Article manquant",IF(ISNA(MATCH($E1857,art_ref,0)),"Article inconnu",IF(N(H1857)&lt;=0,"Quantité invalide",IF(J1857="","Prix manquant",IF(OR(N(K1857)&lt;0,N(K1857)&gt;=1),"Remise invalide",IF(M1857="","TVA manquante",IF(ISNA(MATCH(M1857,p_tva,0)),"Taux de TVA inconnu",IF(COUNTIFS(po_num,A1857,po_sup,"&lt;&gt;"&amp;C1857)&gt;0,"Fournisseur différent sur ce bon",IF(COUNTIFS(po_num,A1857,po_date,"&lt;&gt;"&amp;B1857)&gt;0,"Date différente sur ce bon",IF(COUNTIF(po_num,A1857)&gt;25,"Plus de 25 lignes sur ce bon",IF(R1857="","Date de livraison manquante",IF(R1857&lt;B1857,"Livraison avant la commande",IF(AND(N(T1857)&gt;0,N(S1857)=0),"Date d'envoi manquante",IF(N(T1857)&gt;N(H1857),"Reçu plus que commandé",IF(AND(N(T1857)&gt;0,N(U1857)=0),"Date de réception manquante",IF(AND(N(U1857)&gt;0,U1857&lt;B1857),"Réception avant la commande","OK")))))))))))))))))))))</f>
        <v/>
      </c>
      <c r="AA1857" s="66" t="str">
        <f>IF(AND(X1857="Reçu",ISNUMBER(R1857)),IF(N(U1857)&lt;=R1857,1,0),"")</f>
        <v/>
      </c>
      <c r="AB1857" s="76" t="str">
        <f>IF(OR(X1857="Envoyé",X1857="Partiel",X1857="En retard"),IF(ISNUMBER(R1857),R1857,100000)+ROW()/100000,"")</f>
        <v/>
      </c>
      <c r="AC1857" s="66" t="str">
        <f>IF(A1857="","",IF(COUNTIF($A$6:A1857,A1857)=1,1,""))</f>
        <v/>
      </c>
      <c r="AD1857" s="66" t="str">
        <f>IF(AC1857=1,COUNT($AC$6:AC1857),"")</f>
        <v/>
      </c>
      <c r="AE1857" s="66" t="str">
        <f>IFERROR(INDEX(po_num,MATCH(1852,po_seq,0))&amp;"","")</f>
        <v/>
      </c>
      <c r="AF1857" s="66" t="str">
        <f>IF(OR(A1857="",p_po=""),"",IF(A1857&amp;""=p_po,COUNTIF($A$6:A1857,A1857),""))</f>
        <v/>
      </c>
      <c r="AG1857" s="66" t="str">
        <f>IF(OR(AB1857="",A1857=""),"",IF(COUNTIFS($A$6:A1857,A1857,$AB$6:AB1857,"&gt;0")=1,1,""))</f>
        <v/>
      </c>
      <c r="AH1857" s="70" t="str">
        <f>IF(AB1857="","",ROUND(N(W1857)*N(J1857)*(1-N(K1857)),2))</f>
        <v/>
      </c>
      <c r="AI1857" s="70" t="str">
        <f>IF(OR(J1857="",N(T1857)&lt;=0,V1857="Oui"),"",ROUND(N(T1857)*J1857*(1-N(K1857)),2))</f>
        <v/>
      </c>
    </row>
    <row r="1858">
      <c r="A1858" s="63" t="n"/>
      <c r="B1858" s="64" t="n"/>
      <c r="C1858" s="65" t="n"/>
      <c r="D1858" s="66" t="str">
        <f>IF(C1858="","",IFERROR(INDEX(sup_name,MATCH($C1858,sup_code,0))&amp;"","Fournisseur inconnu"))</f>
        <v/>
      </c>
      <c r="E1858" s="63" t="n"/>
      <c r="F1858" s="66" t="str">
        <f>IF(E1858="","",IFERROR(INDEX(art_des,MATCH($E1858,art_ref,0))&amp;"","Article inconnu"))</f>
        <v/>
      </c>
      <c r="G1858" s="67" t="str">
        <f>IF(E1858="","",IFERROR(INDEX(art_unit,MATCH($E1858,art_ref,0))&amp;"",""))</f>
        <v/>
      </c>
      <c r="H1858" s="68" t="n"/>
      <c r="I1858" s="69" t="n"/>
      <c r="J1858" s="70" t="str">
        <f>IF(E1858="","",IF(ISNUMBER(I1858),I1858,IFERROR(IF(ISNUMBER(INDEX(art_price,MATCH($E1858,art_ref,0))),INDEX(art_price,MATCH($E1858,art_ref,0)),""),"")))</f>
        <v/>
      </c>
      <c r="K1858" s="71" t="n"/>
      <c r="L1858" s="72" t="n"/>
      <c r="M1858" s="72" t="str">
        <f>IF(E1858="","",IF(L1858&lt;&gt;"",L1858,IFERROR(IF(ISNUMBER(INDEX(art_tva,MATCH($E1858,art_ref,0))),INDEX(art_tva,MATCH($E1858,art_ref,0)),""),"")))</f>
        <v/>
      </c>
      <c r="N1858" s="70" t="str">
        <f>IF(OR(E1858="",J1858=""),"",ROUND(N(H1858)*J1858*(1-N(K1858)),2))</f>
        <v/>
      </c>
      <c r="O1858" s="70" t="str">
        <f>IF(OR(N1858="",NOT(ISNUMBER(M1858))),"",ROUND(N1858*M1858,2))</f>
        <v/>
      </c>
      <c r="P1858" s="70" t="str">
        <f>IF(N1858="","",N1858+N(O1858))</f>
        <v/>
      </c>
      <c r="Q1858" s="64" t="n"/>
      <c r="R1858" s="73" t="str">
        <f>IF(N(Q1858)&gt;0,Q1858,IF(OR(N(B1858)=0,ISNA(MATCH($C1858,sup_code,0))),"",IF(ISNUMBER(INDEX(sup_delay,MATCH($C1858,sup_code,0))),B1858+INDEX(sup_delay,MATCH($C1858,sup_code,0)),"")))</f>
        <v/>
      </c>
      <c r="S1858" s="64" t="n"/>
      <c r="T1858" s="68" t="n"/>
      <c r="U1858" s="64" t="n"/>
      <c r="V1858" s="65" t="n"/>
      <c r="W1858" s="74" t="str">
        <f>IF(AND(A1858="",E1858=""),"",IF(V1858="Oui",0,MAX(0,ROUND(N(H1858)-N(T1858),6))))</f>
        <v/>
      </c>
      <c r="X1858" s="67" t="str">
        <f>IF(AND(A1858="",E1858=""),"",IF(V1858="Oui","Annulé",IF(AND(N(H1858)&gt;0,N(T1858)&gt;=N(H1858)),"Reçu",IF(N(S1858)=0,"Brouillon",IF(AND(ISNUMBER(R1858),R1858&lt;p_today),"En retard",IF(N(T1858)&gt;0,"Partiel","Envoyé"))))))</f>
        <v/>
      </c>
      <c r="Y1858" s="75" t="str">
        <f>IF(X1858="En retard",p_today-R1858,IF(AND(X1858="Reçu",ISNUMBER(R1858)),MAX(0,N(U1858)-R1858),""))</f>
        <v/>
      </c>
      <c r="Z1858" s="67" t="str">
        <f>IF(AND(A1858="",E1858=""),"",IF(A1858="","N° de bon manquant",IF(N(B1858)=0,"Date de commande manquante",IF(C1858="","Fournisseur manquant",IF(ISNA(MATCH($C1858,sup_code,0)),"Fournisseur inconnu",IF(E1858="","Article manquant",IF(ISNA(MATCH($E1858,art_ref,0)),"Article inconnu",IF(N(H1858)&lt;=0,"Quantité invalide",IF(J1858="","Prix manquant",IF(OR(N(K1858)&lt;0,N(K1858)&gt;=1),"Remise invalide",IF(M1858="","TVA manquante",IF(ISNA(MATCH(M1858,p_tva,0)),"Taux de TVA inconnu",IF(COUNTIFS(po_num,A1858,po_sup,"&lt;&gt;"&amp;C1858)&gt;0,"Fournisseur différent sur ce bon",IF(COUNTIFS(po_num,A1858,po_date,"&lt;&gt;"&amp;B1858)&gt;0,"Date différente sur ce bon",IF(COUNTIF(po_num,A1858)&gt;25,"Plus de 25 lignes sur ce bon",IF(R1858="","Date de livraison manquante",IF(R1858&lt;B1858,"Livraison avant la commande",IF(AND(N(T1858)&gt;0,N(S1858)=0),"Date d'envoi manquante",IF(N(T1858)&gt;N(H1858),"Reçu plus que commandé",IF(AND(N(T1858)&gt;0,N(U1858)=0),"Date de réception manquante",IF(AND(N(U1858)&gt;0,U1858&lt;B1858),"Réception avant la commande","OK")))))))))))))))))))))</f>
        <v/>
      </c>
      <c r="AA1858" s="66" t="str">
        <f>IF(AND(X1858="Reçu",ISNUMBER(R1858)),IF(N(U1858)&lt;=R1858,1,0),"")</f>
        <v/>
      </c>
      <c r="AB1858" s="76" t="str">
        <f>IF(OR(X1858="Envoyé",X1858="Partiel",X1858="En retard"),IF(ISNUMBER(R1858),R1858,100000)+ROW()/100000,"")</f>
        <v/>
      </c>
      <c r="AC1858" s="66" t="str">
        <f>IF(A1858="","",IF(COUNTIF($A$6:A1858,A1858)=1,1,""))</f>
        <v/>
      </c>
      <c r="AD1858" s="66" t="str">
        <f>IF(AC1858=1,COUNT($AC$6:AC1858),"")</f>
        <v/>
      </c>
      <c r="AE1858" s="66" t="str">
        <f>IFERROR(INDEX(po_num,MATCH(1853,po_seq,0))&amp;"","")</f>
        <v/>
      </c>
      <c r="AF1858" s="66" t="str">
        <f>IF(OR(A1858="",p_po=""),"",IF(A1858&amp;""=p_po,COUNTIF($A$6:A1858,A1858),""))</f>
        <v/>
      </c>
      <c r="AG1858" s="66" t="str">
        <f>IF(OR(AB1858="",A1858=""),"",IF(COUNTIFS($A$6:A1858,A1858,$AB$6:AB1858,"&gt;0")=1,1,""))</f>
        <v/>
      </c>
      <c r="AH1858" s="70" t="str">
        <f>IF(AB1858="","",ROUND(N(W1858)*N(J1858)*(1-N(K1858)),2))</f>
        <v/>
      </c>
      <c r="AI1858" s="70" t="str">
        <f>IF(OR(J1858="",N(T1858)&lt;=0,V1858="Oui"),"",ROUND(N(T1858)*J1858*(1-N(K1858)),2))</f>
        <v/>
      </c>
    </row>
    <row r="1859">
      <c r="A1859" s="63" t="n"/>
      <c r="B1859" s="64" t="n"/>
      <c r="C1859" s="65" t="n"/>
      <c r="D1859" s="66" t="str">
        <f>IF(C1859="","",IFERROR(INDEX(sup_name,MATCH($C1859,sup_code,0))&amp;"","Fournisseur inconnu"))</f>
        <v/>
      </c>
      <c r="E1859" s="63" t="n"/>
      <c r="F1859" s="66" t="str">
        <f>IF(E1859="","",IFERROR(INDEX(art_des,MATCH($E1859,art_ref,0))&amp;"","Article inconnu"))</f>
        <v/>
      </c>
      <c r="G1859" s="67" t="str">
        <f>IF(E1859="","",IFERROR(INDEX(art_unit,MATCH($E1859,art_ref,0))&amp;"",""))</f>
        <v/>
      </c>
      <c r="H1859" s="68" t="n"/>
      <c r="I1859" s="69" t="n"/>
      <c r="J1859" s="70" t="str">
        <f>IF(E1859="","",IF(ISNUMBER(I1859),I1859,IFERROR(IF(ISNUMBER(INDEX(art_price,MATCH($E1859,art_ref,0))),INDEX(art_price,MATCH($E1859,art_ref,0)),""),"")))</f>
        <v/>
      </c>
      <c r="K1859" s="71" t="n"/>
      <c r="L1859" s="72" t="n"/>
      <c r="M1859" s="72" t="str">
        <f>IF(E1859="","",IF(L1859&lt;&gt;"",L1859,IFERROR(IF(ISNUMBER(INDEX(art_tva,MATCH($E1859,art_ref,0))),INDEX(art_tva,MATCH($E1859,art_ref,0)),""),"")))</f>
        <v/>
      </c>
      <c r="N1859" s="70" t="str">
        <f>IF(OR(E1859="",J1859=""),"",ROUND(N(H1859)*J1859*(1-N(K1859)),2))</f>
        <v/>
      </c>
      <c r="O1859" s="70" t="str">
        <f>IF(OR(N1859="",NOT(ISNUMBER(M1859))),"",ROUND(N1859*M1859,2))</f>
        <v/>
      </c>
      <c r="P1859" s="70" t="str">
        <f>IF(N1859="","",N1859+N(O1859))</f>
        <v/>
      </c>
      <c r="Q1859" s="64" t="n"/>
      <c r="R1859" s="73" t="str">
        <f>IF(N(Q1859)&gt;0,Q1859,IF(OR(N(B1859)=0,ISNA(MATCH($C1859,sup_code,0))),"",IF(ISNUMBER(INDEX(sup_delay,MATCH($C1859,sup_code,0))),B1859+INDEX(sup_delay,MATCH($C1859,sup_code,0)),"")))</f>
        <v/>
      </c>
      <c r="S1859" s="64" t="n"/>
      <c r="T1859" s="68" t="n"/>
      <c r="U1859" s="64" t="n"/>
      <c r="V1859" s="65" t="n"/>
      <c r="W1859" s="74" t="str">
        <f>IF(AND(A1859="",E1859=""),"",IF(V1859="Oui",0,MAX(0,ROUND(N(H1859)-N(T1859),6))))</f>
        <v/>
      </c>
      <c r="X1859" s="67" t="str">
        <f>IF(AND(A1859="",E1859=""),"",IF(V1859="Oui","Annulé",IF(AND(N(H1859)&gt;0,N(T1859)&gt;=N(H1859)),"Reçu",IF(N(S1859)=0,"Brouillon",IF(AND(ISNUMBER(R1859),R1859&lt;p_today),"En retard",IF(N(T1859)&gt;0,"Partiel","Envoyé"))))))</f>
        <v/>
      </c>
      <c r="Y1859" s="75" t="str">
        <f>IF(X1859="En retard",p_today-R1859,IF(AND(X1859="Reçu",ISNUMBER(R1859)),MAX(0,N(U1859)-R1859),""))</f>
        <v/>
      </c>
      <c r="Z1859" s="67" t="str">
        <f>IF(AND(A1859="",E1859=""),"",IF(A1859="","N° de bon manquant",IF(N(B1859)=0,"Date de commande manquante",IF(C1859="","Fournisseur manquant",IF(ISNA(MATCH($C1859,sup_code,0)),"Fournisseur inconnu",IF(E1859="","Article manquant",IF(ISNA(MATCH($E1859,art_ref,0)),"Article inconnu",IF(N(H1859)&lt;=0,"Quantité invalide",IF(J1859="","Prix manquant",IF(OR(N(K1859)&lt;0,N(K1859)&gt;=1),"Remise invalide",IF(M1859="","TVA manquante",IF(ISNA(MATCH(M1859,p_tva,0)),"Taux de TVA inconnu",IF(COUNTIFS(po_num,A1859,po_sup,"&lt;&gt;"&amp;C1859)&gt;0,"Fournisseur différent sur ce bon",IF(COUNTIFS(po_num,A1859,po_date,"&lt;&gt;"&amp;B1859)&gt;0,"Date différente sur ce bon",IF(COUNTIF(po_num,A1859)&gt;25,"Plus de 25 lignes sur ce bon",IF(R1859="","Date de livraison manquante",IF(R1859&lt;B1859,"Livraison avant la commande",IF(AND(N(T1859)&gt;0,N(S1859)=0),"Date d'envoi manquante",IF(N(T1859)&gt;N(H1859),"Reçu plus que commandé",IF(AND(N(T1859)&gt;0,N(U1859)=0),"Date de réception manquante",IF(AND(N(U1859)&gt;0,U1859&lt;B1859),"Réception avant la commande","OK")))))))))))))))))))))</f>
        <v/>
      </c>
      <c r="AA1859" s="66" t="str">
        <f>IF(AND(X1859="Reçu",ISNUMBER(R1859)),IF(N(U1859)&lt;=R1859,1,0),"")</f>
        <v/>
      </c>
      <c r="AB1859" s="76" t="str">
        <f>IF(OR(X1859="Envoyé",X1859="Partiel",X1859="En retard"),IF(ISNUMBER(R1859),R1859,100000)+ROW()/100000,"")</f>
        <v/>
      </c>
      <c r="AC1859" s="66" t="str">
        <f>IF(A1859="","",IF(COUNTIF($A$6:A1859,A1859)=1,1,""))</f>
        <v/>
      </c>
      <c r="AD1859" s="66" t="str">
        <f>IF(AC1859=1,COUNT($AC$6:AC1859),"")</f>
        <v/>
      </c>
      <c r="AE1859" s="66" t="str">
        <f>IFERROR(INDEX(po_num,MATCH(1854,po_seq,0))&amp;"","")</f>
        <v/>
      </c>
      <c r="AF1859" s="66" t="str">
        <f>IF(OR(A1859="",p_po=""),"",IF(A1859&amp;""=p_po,COUNTIF($A$6:A1859,A1859),""))</f>
        <v/>
      </c>
      <c r="AG1859" s="66" t="str">
        <f>IF(OR(AB1859="",A1859=""),"",IF(COUNTIFS($A$6:A1859,A1859,$AB$6:AB1859,"&gt;0")=1,1,""))</f>
        <v/>
      </c>
      <c r="AH1859" s="70" t="str">
        <f>IF(AB1859="","",ROUND(N(W1859)*N(J1859)*(1-N(K1859)),2))</f>
        <v/>
      </c>
      <c r="AI1859" s="70" t="str">
        <f>IF(OR(J1859="",N(T1859)&lt;=0,V1859="Oui"),"",ROUND(N(T1859)*J1859*(1-N(K1859)),2))</f>
        <v/>
      </c>
    </row>
    <row r="1860">
      <c r="A1860" s="63" t="n"/>
      <c r="B1860" s="64" t="n"/>
      <c r="C1860" s="65" t="n"/>
      <c r="D1860" s="66" t="str">
        <f>IF(C1860="","",IFERROR(INDEX(sup_name,MATCH($C1860,sup_code,0))&amp;"","Fournisseur inconnu"))</f>
        <v/>
      </c>
      <c r="E1860" s="63" t="n"/>
      <c r="F1860" s="66" t="str">
        <f>IF(E1860="","",IFERROR(INDEX(art_des,MATCH($E1860,art_ref,0))&amp;"","Article inconnu"))</f>
        <v/>
      </c>
      <c r="G1860" s="67" t="str">
        <f>IF(E1860="","",IFERROR(INDEX(art_unit,MATCH($E1860,art_ref,0))&amp;"",""))</f>
        <v/>
      </c>
      <c r="H1860" s="68" t="n"/>
      <c r="I1860" s="69" t="n"/>
      <c r="J1860" s="70" t="str">
        <f>IF(E1860="","",IF(ISNUMBER(I1860),I1860,IFERROR(IF(ISNUMBER(INDEX(art_price,MATCH($E1860,art_ref,0))),INDEX(art_price,MATCH($E1860,art_ref,0)),""),"")))</f>
        <v/>
      </c>
      <c r="K1860" s="71" t="n"/>
      <c r="L1860" s="72" t="n"/>
      <c r="M1860" s="72" t="str">
        <f>IF(E1860="","",IF(L1860&lt;&gt;"",L1860,IFERROR(IF(ISNUMBER(INDEX(art_tva,MATCH($E1860,art_ref,0))),INDEX(art_tva,MATCH($E1860,art_ref,0)),""),"")))</f>
        <v/>
      </c>
      <c r="N1860" s="70" t="str">
        <f>IF(OR(E1860="",J1860=""),"",ROUND(N(H1860)*J1860*(1-N(K1860)),2))</f>
        <v/>
      </c>
      <c r="O1860" s="70" t="str">
        <f>IF(OR(N1860="",NOT(ISNUMBER(M1860))),"",ROUND(N1860*M1860,2))</f>
        <v/>
      </c>
      <c r="P1860" s="70" t="str">
        <f>IF(N1860="","",N1860+N(O1860))</f>
        <v/>
      </c>
      <c r="Q1860" s="64" t="n"/>
      <c r="R1860" s="73" t="str">
        <f>IF(N(Q1860)&gt;0,Q1860,IF(OR(N(B1860)=0,ISNA(MATCH($C1860,sup_code,0))),"",IF(ISNUMBER(INDEX(sup_delay,MATCH($C1860,sup_code,0))),B1860+INDEX(sup_delay,MATCH($C1860,sup_code,0)),"")))</f>
        <v/>
      </c>
      <c r="S1860" s="64" t="n"/>
      <c r="T1860" s="68" t="n"/>
      <c r="U1860" s="64" t="n"/>
      <c r="V1860" s="65" t="n"/>
      <c r="W1860" s="74" t="str">
        <f>IF(AND(A1860="",E1860=""),"",IF(V1860="Oui",0,MAX(0,ROUND(N(H1860)-N(T1860),6))))</f>
        <v/>
      </c>
      <c r="X1860" s="67" t="str">
        <f>IF(AND(A1860="",E1860=""),"",IF(V1860="Oui","Annulé",IF(AND(N(H1860)&gt;0,N(T1860)&gt;=N(H1860)),"Reçu",IF(N(S1860)=0,"Brouillon",IF(AND(ISNUMBER(R1860),R1860&lt;p_today),"En retard",IF(N(T1860)&gt;0,"Partiel","Envoyé"))))))</f>
        <v/>
      </c>
      <c r="Y1860" s="75" t="str">
        <f>IF(X1860="En retard",p_today-R1860,IF(AND(X1860="Reçu",ISNUMBER(R1860)),MAX(0,N(U1860)-R1860),""))</f>
        <v/>
      </c>
      <c r="Z1860" s="67" t="str">
        <f>IF(AND(A1860="",E1860=""),"",IF(A1860="","N° de bon manquant",IF(N(B1860)=0,"Date de commande manquante",IF(C1860="","Fournisseur manquant",IF(ISNA(MATCH($C1860,sup_code,0)),"Fournisseur inconnu",IF(E1860="","Article manquant",IF(ISNA(MATCH($E1860,art_ref,0)),"Article inconnu",IF(N(H1860)&lt;=0,"Quantité invalide",IF(J1860="","Prix manquant",IF(OR(N(K1860)&lt;0,N(K1860)&gt;=1),"Remise invalide",IF(M1860="","TVA manquante",IF(ISNA(MATCH(M1860,p_tva,0)),"Taux de TVA inconnu",IF(COUNTIFS(po_num,A1860,po_sup,"&lt;&gt;"&amp;C1860)&gt;0,"Fournisseur différent sur ce bon",IF(COUNTIFS(po_num,A1860,po_date,"&lt;&gt;"&amp;B1860)&gt;0,"Date différente sur ce bon",IF(COUNTIF(po_num,A1860)&gt;25,"Plus de 25 lignes sur ce bon",IF(R1860="","Date de livraison manquante",IF(R1860&lt;B1860,"Livraison avant la commande",IF(AND(N(T1860)&gt;0,N(S1860)=0),"Date d'envoi manquante",IF(N(T1860)&gt;N(H1860),"Reçu plus que commandé",IF(AND(N(T1860)&gt;0,N(U1860)=0),"Date de réception manquante",IF(AND(N(U1860)&gt;0,U1860&lt;B1860),"Réception avant la commande","OK")))))))))))))))))))))</f>
        <v/>
      </c>
      <c r="AA1860" s="66" t="str">
        <f>IF(AND(X1860="Reçu",ISNUMBER(R1860)),IF(N(U1860)&lt;=R1860,1,0),"")</f>
        <v/>
      </c>
      <c r="AB1860" s="76" t="str">
        <f>IF(OR(X1860="Envoyé",X1860="Partiel",X1860="En retard"),IF(ISNUMBER(R1860),R1860,100000)+ROW()/100000,"")</f>
        <v/>
      </c>
      <c r="AC1860" s="66" t="str">
        <f>IF(A1860="","",IF(COUNTIF($A$6:A1860,A1860)=1,1,""))</f>
        <v/>
      </c>
      <c r="AD1860" s="66" t="str">
        <f>IF(AC1860=1,COUNT($AC$6:AC1860),"")</f>
        <v/>
      </c>
      <c r="AE1860" s="66" t="str">
        <f>IFERROR(INDEX(po_num,MATCH(1855,po_seq,0))&amp;"","")</f>
        <v/>
      </c>
      <c r="AF1860" s="66" t="str">
        <f>IF(OR(A1860="",p_po=""),"",IF(A1860&amp;""=p_po,COUNTIF($A$6:A1860,A1860),""))</f>
        <v/>
      </c>
      <c r="AG1860" s="66" t="str">
        <f>IF(OR(AB1860="",A1860=""),"",IF(COUNTIFS($A$6:A1860,A1860,$AB$6:AB1860,"&gt;0")=1,1,""))</f>
        <v/>
      </c>
      <c r="AH1860" s="70" t="str">
        <f>IF(AB1860="","",ROUND(N(W1860)*N(J1860)*(1-N(K1860)),2))</f>
        <v/>
      </c>
      <c r="AI1860" s="70" t="str">
        <f>IF(OR(J1860="",N(T1860)&lt;=0,V1860="Oui"),"",ROUND(N(T1860)*J1860*(1-N(K1860)),2))</f>
        <v/>
      </c>
    </row>
    <row r="1861">
      <c r="A1861" s="63" t="n"/>
      <c r="B1861" s="64" t="n"/>
      <c r="C1861" s="65" t="n"/>
      <c r="D1861" s="66" t="str">
        <f>IF(C1861="","",IFERROR(INDEX(sup_name,MATCH($C1861,sup_code,0))&amp;"","Fournisseur inconnu"))</f>
        <v/>
      </c>
      <c r="E1861" s="63" t="n"/>
      <c r="F1861" s="66" t="str">
        <f>IF(E1861="","",IFERROR(INDEX(art_des,MATCH($E1861,art_ref,0))&amp;"","Article inconnu"))</f>
        <v/>
      </c>
      <c r="G1861" s="67" t="str">
        <f>IF(E1861="","",IFERROR(INDEX(art_unit,MATCH($E1861,art_ref,0))&amp;"",""))</f>
        <v/>
      </c>
      <c r="H1861" s="68" t="n"/>
      <c r="I1861" s="69" t="n"/>
      <c r="J1861" s="70" t="str">
        <f>IF(E1861="","",IF(ISNUMBER(I1861),I1861,IFERROR(IF(ISNUMBER(INDEX(art_price,MATCH($E1861,art_ref,0))),INDEX(art_price,MATCH($E1861,art_ref,0)),""),"")))</f>
        <v/>
      </c>
      <c r="K1861" s="71" t="n"/>
      <c r="L1861" s="72" t="n"/>
      <c r="M1861" s="72" t="str">
        <f>IF(E1861="","",IF(L1861&lt;&gt;"",L1861,IFERROR(IF(ISNUMBER(INDEX(art_tva,MATCH($E1861,art_ref,0))),INDEX(art_tva,MATCH($E1861,art_ref,0)),""),"")))</f>
        <v/>
      </c>
      <c r="N1861" s="70" t="str">
        <f>IF(OR(E1861="",J1861=""),"",ROUND(N(H1861)*J1861*(1-N(K1861)),2))</f>
        <v/>
      </c>
      <c r="O1861" s="70" t="str">
        <f>IF(OR(N1861="",NOT(ISNUMBER(M1861))),"",ROUND(N1861*M1861,2))</f>
        <v/>
      </c>
      <c r="P1861" s="70" t="str">
        <f>IF(N1861="","",N1861+N(O1861))</f>
        <v/>
      </c>
      <c r="Q1861" s="64" t="n"/>
      <c r="R1861" s="73" t="str">
        <f>IF(N(Q1861)&gt;0,Q1861,IF(OR(N(B1861)=0,ISNA(MATCH($C1861,sup_code,0))),"",IF(ISNUMBER(INDEX(sup_delay,MATCH($C1861,sup_code,0))),B1861+INDEX(sup_delay,MATCH($C1861,sup_code,0)),"")))</f>
        <v/>
      </c>
      <c r="S1861" s="64" t="n"/>
      <c r="T1861" s="68" t="n"/>
      <c r="U1861" s="64" t="n"/>
      <c r="V1861" s="65" t="n"/>
      <c r="W1861" s="74" t="str">
        <f>IF(AND(A1861="",E1861=""),"",IF(V1861="Oui",0,MAX(0,ROUND(N(H1861)-N(T1861),6))))</f>
        <v/>
      </c>
      <c r="X1861" s="67" t="str">
        <f>IF(AND(A1861="",E1861=""),"",IF(V1861="Oui","Annulé",IF(AND(N(H1861)&gt;0,N(T1861)&gt;=N(H1861)),"Reçu",IF(N(S1861)=0,"Brouillon",IF(AND(ISNUMBER(R1861),R1861&lt;p_today),"En retard",IF(N(T1861)&gt;0,"Partiel","Envoyé"))))))</f>
        <v/>
      </c>
      <c r="Y1861" s="75" t="str">
        <f>IF(X1861="En retard",p_today-R1861,IF(AND(X1861="Reçu",ISNUMBER(R1861)),MAX(0,N(U1861)-R1861),""))</f>
        <v/>
      </c>
      <c r="Z1861" s="67" t="str">
        <f>IF(AND(A1861="",E1861=""),"",IF(A1861="","N° de bon manquant",IF(N(B1861)=0,"Date de commande manquante",IF(C1861="","Fournisseur manquant",IF(ISNA(MATCH($C1861,sup_code,0)),"Fournisseur inconnu",IF(E1861="","Article manquant",IF(ISNA(MATCH($E1861,art_ref,0)),"Article inconnu",IF(N(H1861)&lt;=0,"Quantité invalide",IF(J1861="","Prix manquant",IF(OR(N(K1861)&lt;0,N(K1861)&gt;=1),"Remise invalide",IF(M1861="","TVA manquante",IF(ISNA(MATCH(M1861,p_tva,0)),"Taux de TVA inconnu",IF(COUNTIFS(po_num,A1861,po_sup,"&lt;&gt;"&amp;C1861)&gt;0,"Fournisseur différent sur ce bon",IF(COUNTIFS(po_num,A1861,po_date,"&lt;&gt;"&amp;B1861)&gt;0,"Date différente sur ce bon",IF(COUNTIF(po_num,A1861)&gt;25,"Plus de 25 lignes sur ce bon",IF(R1861="","Date de livraison manquante",IF(R1861&lt;B1861,"Livraison avant la commande",IF(AND(N(T1861)&gt;0,N(S1861)=0),"Date d'envoi manquante",IF(N(T1861)&gt;N(H1861),"Reçu plus que commandé",IF(AND(N(T1861)&gt;0,N(U1861)=0),"Date de réception manquante",IF(AND(N(U1861)&gt;0,U1861&lt;B1861),"Réception avant la commande","OK")))))))))))))))))))))</f>
        <v/>
      </c>
      <c r="AA1861" s="66" t="str">
        <f>IF(AND(X1861="Reçu",ISNUMBER(R1861)),IF(N(U1861)&lt;=R1861,1,0),"")</f>
        <v/>
      </c>
      <c r="AB1861" s="76" t="str">
        <f>IF(OR(X1861="Envoyé",X1861="Partiel",X1861="En retard"),IF(ISNUMBER(R1861),R1861,100000)+ROW()/100000,"")</f>
        <v/>
      </c>
      <c r="AC1861" s="66" t="str">
        <f>IF(A1861="","",IF(COUNTIF($A$6:A1861,A1861)=1,1,""))</f>
        <v/>
      </c>
      <c r="AD1861" s="66" t="str">
        <f>IF(AC1861=1,COUNT($AC$6:AC1861),"")</f>
        <v/>
      </c>
      <c r="AE1861" s="66" t="str">
        <f>IFERROR(INDEX(po_num,MATCH(1856,po_seq,0))&amp;"","")</f>
        <v/>
      </c>
      <c r="AF1861" s="66" t="str">
        <f>IF(OR(A1861="",p_po=""),"",IF(A1861&amp;""=p_po,COUNTIF($A$6:A1861,A1861),""))</f>
        <v/>
      </c>
      <c r="AG1861" s="66" t="str">
        <f>IF(OR(AB1861="",A1861=""),"",IF(COUNTIFS($A$6:A1861,A1861,$AB$6:AB1861,"&gt;0")=1,1,""))</f>
        <v/>
      </c>
      <c r="AH1861" s="70" t="str">
        <f>IF(AB1861="","",ROUND(N(W1861)*N(J1861)*(1-N(K1861)),2))</f>
        <v/>
      </c>
      <c r="AI1861" s="70" t="str">
        <f>IF(OR(J1861="",N(T1861)&lt;=0,V1861="Oui"),"",ROUND(N(T1861)*J1861*(1-N(K1861)),2))</f>
        <v/>
      </c>
    </row>
    <row r="1862">
      <c r="A1862" s="63" t="n"/>
      <c r="B1862" s="64" t="n"/>
      <c r="C1862" s="65" t="n"/>
      <c r="D1862" s="66" t="str">
        <f>IF(C1862="","",IFERROR(INDEX(sup_name,MATCH($C1862,sup_code,0))&amp;"","Fournisseur inconnu"))</f>
        <v/>
      </c>
      <c r="E1862" s="63" t="n"/>
      <c r="F1862" s="66" t="str">
        <f>IF(E1862="","",IFERROR(INDEX(art_des,MATCH($E1862,art_ref,0))&amp;"","Article inconnu"))</f>
        <v/>
      </c>
      <c r="G1862" s="67" t="str">
        <f>IF(E1862="","",IFERROR(INDEX(art_unit,MATCH($E1862,art_ref,0))&amp;"",""))</f>
        <v/>
      </c>
      <c r="H1862" s="68" t="n"/>
      <c r="I1862" s="69" t="n"/>
      <c r="J1862" s="70" t="str">
        <f>IF(E1862="","",IF(ISNUMBER(I1862),I1862,IFERROR(IF(ISNUMBER(INDEX(art_price,MATCH($E1862,art_ref,0))),INDEX(art_price,MATCH($E1862,art_ref,0)),""),"")))</f>
        <v/>
      </c>
      <c r="K1862" s="71" t="n"/>
      <c r="L1862" s="72" t="n"/>
      <c r="M1862" s="72" t="str">
        <f>IF(E1862="","",IF(L1862&lt;&gt;"",L1862,IFERROR(IF(ISNUMBER(INDEX(art_tva,MATCH($E1862,art_ref,0))),INDEX(art_tva,MATCH($E1862,art_ref,0)),""),"")))</f>
        <v/>
      </c>
      <c r="N1862" s="70" t="str">
        <f>IF(OR(E1862="",J1862=""),"",ROUND(N(H1862)*J1862*(1-N(K1862)),2))</f>
        <v/>
      </c>
      <c r="O1862" s="70" t="str">
        <f>IF(OR(N1862="",NOT(ISNUMBER(M1862))),"",ROUND(N1862*M1862,2))</f>
        <v/>
      </c>
      <c r="P1862" s="70" t="str">
        <f>IF(N1862="","",N1862+N(O1862))</f>
        <v/>
      </c>
      <c r="Q1862" s="64" t="n"/>
      <c r="R1862" s="73" t="str">
        <f>IF(N(Q1862)&gt;0,Q1862,IF(OR(N(B1862)=0,ISNA(MATCH($C1862,sup_code,0))),"",IF(ISNUMBER(INDEX(sup_delay,MATCH($C1862,sup_code,0))),B1862+INDEX(sup_delay,MATCH($C1862,sup_code,0)),"")))</f>
        <v/>
      </c>
      <c r="S1862" s="64" t="n"/>
      <c r="T1862" s="68" t="n"/>
      <c r="U1862" s="64" t="n"/>
      <c r="V1862" s="65" t="n"/>
      <c r="W1862" s="74" t="str">
        <f>IF(AND(A1862="",E1862=""),"",IF(V1862="Oui",0,MAX(0,ROUND(N(H1862)-N(T1862),6))))</f>
        <v/>
      </c>
      <c r="X1862" s="67" t="str">
        <f>IF(AND(A1862="",E1862=""),"",IF(V1862="Oui","Annulé",IF(AND(N(H1862)&gt;0,N(T1862)&gt;=N(H1862)),"Reçu",IF(N(S1862)=0,"Brouillon",IF(AND(ISNUMBER(R1862),R1862&lt;p_today),"En retard",IF(N(T1862)&gt;0,"Partiel","Envoyé"))))))</f>
        <v/>
      </c>
      <c r="Y1862" s="75" t="str">
        <f>IF(X1862="En retard",p_today-R1862,IF(AND(X1862="Reçu",ISNUMBER(R1862)),MAX(0,N(U1862)-R1862),""))</f>
        <v/>
      </c>
      <c r="Z1862" s="67" t="str">
        <f>IF(AND(A1862="",E1862=""),"",IF(A1862="","N° de bon manquant",IF(N(B1862)=0,"Date de commande manquante",IF(C1862="","Fournisseur manquant",IF(ISNA(MATCH($C1862,sup_code,0)),"Fournisseur inconnu",IF(E1862="","Article manquant",IF(ISNA(MATCH($E1862,art_ref,0)),"Article inconnu",IF(N(H1862)&lt;=0,"Quantité invalide",IF(J1862="","Prix manquant",IF(OR(N(K1862)&lt;0,N(K1862)&gt;=1),"Remise invalide",IF(M1862="","TVA manquante",IF(ISNA(MATCH(M1862,p_tva,0)),"Taux de TVA inconnu",IF(COUNTIFS(po_num,A1862,po_sup,"&lt;&gt;"&amp;C1862)&gt;0,"Fournisseur différent sur ce bon",IF(COUNTIFS(po_num,A1862,po_date,"&lt;&gt;"&amp;B1862)&gt;0,"Date différente sur ce bon",IF(COUNTIF(po_num,A1862)&gt;25,"Plus de 25 lignes sur ce bon",IF(R1862="","Date de livraison manquante",IF(R1862&lt;B1862,"Livraison avant la commande",IF(AND(N(T1862)&gt;0,N(S1862)=0),"Date d'envoi manquante",IF(N(T1862)&gt;N(H1862),"Reçu plus que commandé",IF(AND(N(T1862)&gt;0,N(U1862)=0),"Date de réception manquante",IF(AND(N(U1862)&gt;0,U1862&lt;B1862),"Réception avant la commande","OK")))))))))))))))))))))</f>
        <v/>
      </c>
      <c r="AA1862" s="66" t="str">
        <f>IF(AND(X1862="Reçu",ISNUMBER(R1862)),IF(N(U1862)&lt;=R1862,1,0),"")</f>
        <v/>
      </c>
      <c r="AB1862" s="76" t="str">
        <f>IF(OR(X1862="Envoyé",X1862="Partiel",X1862="En retard"),IF(ISNUMBER(R1862),R1862,100000)+ROW()/100000,"")</f>
        <v/>
      </c>
      <c r="AC1862" s="66" t="str">
        <f>IF(A1862="","",IF(COUNTIF($A$6:A1862,A1862)=1,1,""))</f>
        <v/>
      </c>
      <c r="AD1862" s="66" t="str">
        <f>IF(AC1862=1,COUNT($AC$6:AC1862),"")</f>
        <v/>
      </c>
      <c r="AE1862" s="66" t="str">
        <f>IFERROR(INDEX(po_num,MATCH(1857,po_seq,0))&amp;"","")</f>
        <v/>
      </c>
      <c r="AF1862" s="66" t="str">
        <f>IF(OR(A1862="",p_po=""),"",IF(A1862&amp;""=p_po,COUNTIF($A$6:A1862,A1862),""))</f>
        <v/>
      </c>
      <c r="AG1862" s="66" t="str">
        <f>IF(OR(AB1862="",A1862=""),"",IF(COUNTIFS($A$6:A1862,A1862,$AB$6:AB1862,"&gt;0")=1,1,""))</f>
        <v/>
      </c>
      <c r="AH1862" s="70" t="str">
        <f>IF(AB1862="","",ROUND(N(W1862)*N(J1862)*(1-N(K1862)),2))</f>
        <v/>
      </c>
      <c r="AI1862" s="70" t="str">
        <f>IF(OR(J1862="",N(T1862)&lt;=0,V1862="Oui"),"",ROUND(N(T1862)*J1862*(1-N(K1862)),2))</f>
        <v/>
      </c>
    </row>
    <row r="1863">
      <c r="A1863" s="63" t="n"/>
      <c r="B1863" s="64" t="n"/>
      <c r="C1863" s="65" t="n"/>
      <c r="D1863" s="66" t="str">
        <f>IF(C1863="","",IFERROR(INDEX(sup_name,MATCH($C1863,sup_code,0))&amp;"","Fournisseur inconnu"))</f>
        <v/>
      </c>
      <c r="E1863" s="63" t="n"/>
      <c r="F1863" s="66" t="str">
        <f>IF(E1863="","",IFERROR(INDEX(art_des,MATCH($E1863,art_ref,0))&amp;"","Article inconnu"))</f>
        <v/>
      </c>
      <c r="G1863" s="67" t="str">
        <f>IF(E1863="","",IFERROR(INDEX(art_unit,MATCH($E1863,art_ref,0))&amp;"",""))</f>
        <v/>
      </c>
      <c r="H1863" s="68" t="n"/>
      <c r="I1863" s="69" t="n"/>
      <c r="J1863" s="70" t="str">
        <f>IF(E1863="","",IF(ISNUMBER(I1863),I1863,IFERROR(IF(ISNUMBER(INDEX(art_price,MATCH($E1863,art_ref,0))),INDEX(art_price,MATCH($E1863,art_ref,0)),""),"")))</f>
        <v/>
      </c>
      <c r="K1863" s="71" t="n"/>
      <c r="L1863" s="72" t="n"/>
      <c r="M1863" s="72" t="str">
        <f>IF(E1863="","",IF(L1863&lt;&gt;"",L1863,IFERROR(IF(ISNUMBER(INDEX(art_tva,MATCH($E1863,art_ref,0))),INDEX(art_tva,MATCH($E1863,art_ref,0)),""),"")))</f>
        <v/>
      </c>
      <c r="N1863" s="70" t="str">
        <f>IF(OR(E1863="",J1863=""),"",ROUND(N(H1863)*J1863*(1-N(K1863)),2))</f>
        <v/>
      </c>
      <c r="O1863" s="70" t="str">
        <f>IF(OR(N1863="",NOT(ISNUMBER(M1863))),"",ROUND(N1863*M1863,2))</f>
        <v/>
      </c>
      <c r="P1863" s="70" t="str">
        <f>IF(N1863="","",N1863+N(O1863))</f>
        <v/>
      </c>
      <c r="Q1863" s="64" t="n"/>
      <c r="R1863" s="73" t="str">
        <f>IF(N(Q1863)&gt;0,Q1863,IF(OR(N(B1863)=0,ISNA(MATCH($C1863,sup_code,0))),"",IF(ISNUMBER(INDEX(sup_delay,MATCH($C1863,sup_code,0))),B1863+INDEX(sup_delay,MATCH($C1863,sup_code,0)),"")))</f>
        <v/>
      </c>
      <c r="S1863" s="64" t="n"/>
      <c r="T1863" s="68" t="n"/>
      <c r="U1863" s="64" t="n"/>
      <c r="V1863" s="65" t="n"/>
      <c r="W1863" s="74" t="str">
        <f>IF(AND(A1863="",E1863=""),"",IF(V1863="Oui",0,MAX(0,ROUND(N(H1863)-N(T1863),6))))</f>
        <v/>
      </c>
      <c r="X1863" s="67" t="str">
        <f>IF(AND(A1863="",E1863=""),"",IF(V1863="Oui","Annulé",IF(AND(N(H1863)&gt;0,N(T1863)&gt;=N(H1863)),"Reçu",IF(N(S1863)=0,"Brouillon",IF(AND(ISNUMBER(R1863),R1863&lt;p_today),"En retard",IF(N(T1863)&gt;0,"Partiel","Envoyé"))))))</f>
        <v/>
      </c>
      <c r="Y1863" s="75" t="str">
        <f>IF(X1863="En retard",p_today-R1863,IF(AND(X1863="Reçu",ISNUMBER(R1863)),MAX(0,N(U1863)-R1863),""))</f>
        <v/>
      </c>
      <c r="Z1863" s="67" t="str">
        <f>IF(AND(A1863="",E1863=""),"",IF(A1863="","N° de bon manquant",IF(N(B1863)=0,"Date de commande manquante",IF(C1863="","Fournisseur manquant",IF(ISNA(MATCH($C1863,sup_code,0)),"Fournisseur inconnu",IF(E1863="","Article manquant",IF(ISNA(MATCH($E1863,art_ref,0)),"Article inconnu",IF(N(H1863)&lt;=0,"Quantité invalide",IF(J1863="","Prix manquant",IF(OR(N(K1863)&lt;0,N(K1863)&gt;=1),"Remise invalide",IF(M1863="","TVA manquante",IF(ISNA(MATCH(M1863,p_tva,0)),"Taux de TVA inconnu",IF(COUNTIFS(po_num,A1863,po_sup,"&lt;&gt;"&amp;C1863)&gt;0,"Fournisseur différent sur ce bon",IF(COUNTIFS(po_num,A1863,po_date,"&lt;&gt;"&amp;B1863)&gt;0,"Date différente sur ce bon",IF(COUNTIF(po_num,A1863)&gt;25,"Plus de 25 lignes sur ce bon",IF(R1863="","Date de livraison manquante",IF(R1863&lt;B1863,"Livraison avant la commande",IF(AND(N(T1863)&gt;0,N(S1863)=0),"Date d'envoi manquante",IF(N(T1863)&gt;N(H1863),"Reçu plus que commandé",IF(AND(N(T1863)&gt;0,N(U1863)=0),"Date de réception manquante",IF(AND(N(U1863)&gt;0,U1863&lt;B1863),"Réception avant la commande","OK")))))))))))))))))))))</f>
        <v/>
      </c>
      <c r="AA1863" s="66" t="str">
        <f>IF(AND(X1863="Reçu",ISNUMBER(R1863)),IF(N(U1863)&lt;=R1863,1,0),"")</f>
        <v/>
      </c>
      <c r="AB1863" s="76" t="str">
        <f>IF(OR(X1863="Envoyé",X1863="Partiel",X1863="En retard"),IF(ISNUMBER(R1863),R1863,100000)+ROW()/100000,"")</f>
        <v/>
      </c>
      <c r="AC1863" s="66" t="str">
        <f>IF(A1863="","",IF(COUNTIF($A$6:A1863,A1863)=1,1,""))</f>
        <v/>
      </c>
      <c r="AD1863" s="66" t="str">
        <f>IF(AC1863=1,COUNT($AC$6:AC1863),"")</f>
        <v/>
      </c>
      <c r="AE1863" s="66" t="str">
        <f>IFERROR(INDEX(po_num,MATCH(1858,po_seq,0))&amp;"","")</f>
        <v/>
      </c>
      <c r="AF1863" s="66" t="str">
        <f>IF(OR(A1863="",p_po=""),"",IF(A1863&amp;""=p_po,COUNTIF($A$6:A1863,A1863),""))</f>
        <v/>
      </c>
      <c r="AG1863" s="66" t="str">
        <f>IF(OR(AB1863="",A1863=""),"",IF(COUNTIFS($A$6:A1863,A1863,$AB$6:AB1863,"&gt;0")=1,1,""))</f>
        <v/>
      </c>
      <c r="AH1863" s="70" t="str">
        <f>IF(AB1863="","",ROUND(N(W1863)*N(J1863)*(1-N(K1863)),2))</f>
        <v/>
      </c>
      <c r="AI1863" s="70" t="str">
        <f>IF(OR(J1863="",N(T1863)&lt;=0,V1863="Oui"),"",ROUND(N(T1863)*J1863*(1-N(K1863)),2))</f>
        <v/>
      </c>
    </row>
    <row r="1864">
      <c r="A1864" s="63" t="n"/>
      <c r="B1864" s="64" t="n"/>
      <c r="C1864" s="65" t="n"/>
      <c r="D1864" s="66" t="str">
        <f>IF(C1864="","",IFERROR(INDEX(sup_name,MATCH($C1864,sup_code,0))&amp;"","Fournisseur inconnu"))</f>
        <v/>
      </c>
      <c r="E1864" s="63" t="n"/>
      <c r="F1864" s="66" t="str">
        <f>IF(E1864="","",IFERROR(INDEX(art_des,MATCH($E1864,art_ref,0))&amp;"","Article inconnu"))</f>
        <v/>
      </c>
      <c r="G1864" s="67" t="str">
        <f>IF(E1864="","",IFERROR(INDEX(art_unit,MATCH($E1864,art_ref,0))&amp;"",""))</f>
        <v/>
      </c>
      <c r="H1864" s="68" t="n"/>
      <c r="I1864" s="69" t="n"/>
      <c r="J1864" s="70" t="str">
        <f>IF(E1864="","",IF(ISNUMBER(I1864),I1864,IFERROR(IF(ISNUMBER(INDEX(art_price,MATCH($E1864,art_ref,0))),INDEX(art_price,MATCH($E1864,art_ref,0)),""),"")))</f>
        <v/>
      </c>
      <c r="K1864" s="71" t="n"/>
      <c r="L1864" s="72" t="n"/>
      <c r="M1864" s="72" t="str">
        <f>IF(E1864="","",IF(L1864&lt;&gt;"",L1864,IFERROR(IF(ISNUMBER(INDEX(art_tva,MATCH($E1864,art_ref,0))),INDEX(art_tva,MATCH($E1864,art_ref,0)),""),"")))</f>
        <v/>
      </c>
      <c r="N1864" s="70" t="str">
        <f>IF(OR(E1864="",J1864=""),"",ROUND(N(H1864)*J1864*(1-N(K1864)),2))</f>
        <v/>
      </c>
      <c r="O1864" s="70" t="str">
        <f>IF(OR(N1864="",NOT(ISNUMBER(M1864))),"",ROUND(N1864*M1864,2))</f>
        <v/>
      </c>
      <c r="P1864" s="70" t="str">
        <f>IF(N1864="","",N1864+N(O1864))</f>
        <v/>
      </c>
      <c r="Q1864" s="64" t="n"/>
      <c r="R1864" s="73" t="str">
        <f>IF(N(Q1864)&gt;0,Q1864,IF(OR(N(B1864)=0,ISNA(MATCH($C1864,sup_code,0))),"",IF(ISNUMBER(INDEX(sup_delay,MATCH($C1864,sup_code,0))),B1864+INDEX(sup_delay,MATCH($C1864,sup_code,0)),"")))</f>
        <v/>
      </c>
      <c r="S1864" s="64" t="n"/>
      <c r="T1864" s="68" t="n"/>
      <c r="U1864" s="64" t="n"/>
      <c r="V1864" s="65" t="n"/>
      <c r="W1864" s="74" t="str">
        <f>IF(AND(A1864="",E1864=""),"",IF(V1864="Oui",0,MAX(0,ROUND(N(H1864)-N(T1864),6))))</f>
        <v/>
      </c>
      <c r="X1864" s="67" t="str">
        <f>IF(AND(A1864="",E1864=""),"",IF(V1864="Oui","Annulé",IF(AND(N(H1864)&gt;0,N(T1864)&gt;=N(H1864)),"Reçu",IF(N(S1864)=0,"Brouillon",IF(AND(ISNUMBER(R1864),R1864&lt;p_today),"En retard",IF(N(T1864)&gt;0,"Partiel","Envoyé"))))))</f>
        <v/>
      </c>
      <c r="Y1864" s="75" t="str">
        <f>IF(X1864="En retard",p_today-R1864,IF(AND(X1864="Reçu",ISNUMBER(R1864)),MAX(0,N(U1864)-R1864),""))</f>
        <v/>
      </c>
      <c r="Z1864" s="67" t="str">
        <f>IF(AND(A1864="",E1864=""),"",IF(A1864="","N° de bon manquant",IF(N(B1864)=0,"Date de commande manquante",IF(C1864="","Fournisseur manquant",IF(ISNA(MATCH($C1864,sup_code,0)),"Fournisseur inconnu",IF(E1864="","Article manquant",IF(ISNA(MATCH($E1864,art_ref,0)),"Article inconnu",IF(N(H1864)&lt;=0,"Quantité invalide",IF(J1864="","Prix manquant",IF(OR(N(K1864)&lt;0,N(K1864)&gt;=1),"Remise invalide",IF(M1864="","TVA manquante",IF(ISNA(MATCH(M1864,p_tva,0)),"Taux de TVA inconnu",IF(COUNTIFS(po_num,A1864,po_sup,"&lt;&gt;"&amp;C1864)&gt;0,"Fournisseur différent sur ce bon",IF(COUNTIFS(po_num,A1864,po_date,"&lt;&gt;"&amp;B1864)&gt;0,"Date différente sur ce bon",IF(COUNTIF(po_num,A1864)&gt;25,"Plus de 25 lignes sur ce bon",IF(R1864="","Date de livraison manquante",IF(R1864&lt;B1864,"Livraison avant la commande",IF(AND(N(T1864)&gt;0,N(S1864)=0),"Date d'envoi manquante",IF(N(T1864)&gt;N(H1864),"Reçu plus que commandé",IF(AND(N(T1864)&gt;0,N(U1864)=0),"Date de réception manquante",IF(AND(N(U1864)&gt;0,U1864&lt;B1864),"Réception avant la commande","OK")))))))))))))))))))))</f>
        <v/>
      </c>
      <c r="AA1864" s="66" t="str">
        <f>IF(AND(X1864="Reçu",ISNUMBER(R1864)),IF(N(U1864)&lt;=R1864,1,0),"")</f>
        <v/>
      </c>
      <c r="AB1864" s="76" t="str">
        <f>IF(OR(X1864="Envoyé",X1864="Partiel",X1864="En retard"),IF(ISNUMBER(R1864),R1864,100000)+ROW()/100000,"")</f>
        <v/>
      </c>
      <c r="AC1864" s="66" t="str">
        <f>IF(A1864="","",IF(COUNTIF($A$6:A1864,A1864)=1,1,""))</f>
        <v/>
      </c>
      <c r="AD1864" s="66" t="str">
        <f>IF(AC1864=1,COUNT($AC$6:AC1864),"")</f>
        <v/>
      </c>
      <c r="AE1864" s="66" t="str">
        <f>IFERROR(INDEX(po_num,MATCH(1859,po_seq,0))&amp;"","")</f>
        <v/>
      </c>
      <c r="AF1864" s="66" t="str">
        <f>IF(OR(A1864="",p_po=""),"",IF(A1864&amp;""=p_po,COUNTIF($A$6:A1864,A1864),""))</f>
        <v/>
      </c>
      <c r="AG1864" s="66" t="str">
        <f>IF(OR(AB1864="",A1864=""),"",IF(COUNTIFS($A$6:A1864,A1864,$AB$6:AB1864,"&gt;0")=1,1,""))</f>
        <v/>
      </c>
      <c r="AH1864" s="70" t="str">
        <f>IF(AB1864="","",ROUND(N(W1864)*N(J1864)*(1-N(K1864)),2))</f>
        <v/>
      </c>
      <c r="AI1864" s="70" t="str">
        <f>IF(OR(J1864="",N(T1864)&lt;=0,V1864="Oui"),"",ROUND(N(T1864)*J1864*(1-N(K1864)),2))</f>
        <v/>
      </c>
    </row>
    <row r="1865">
      <c r="A1865" s="63" t="n"/>
      <c r="B1865" s="64" t="n"/>
      <c r="C1865" s="65" t="n"/>
      <c r="D1865" s="66" t="str">
        <f>IF(C1865="","",IFERROR(INDEX(sup_name,MATCH($C1865,sup_code,0))&amp;"","Fournisseur inconnu"))</f>
        <v/>
      </c>
      <c r="E1865" s="63" t="n"/>
      <c r="F1865" s="66" t="str">
        <f>IF(E1865="","",IFERROR(INDEX(art_des,MATCH($E1865,art_ref,0))&amp;"","Article inconnu"))</f>
        <v/>
      </c>
      <c r="G1865" s="67" t="str">
        <f>IF(E1865="","",IFERROR(INDEX(art_unit,MATCH($E1865,art_ref,0))&amp;"",""))</f>
        <v/>
      </c>
      <c r="H1865" s="68" t="n"/>
      <c r="I1865" s="69" t="n"/>
      <c r="J1865" s="70" t="str">
        <f>IF(E1865="","",IF(ISNUMBER(I1865),I1865,IFERROR(IF(ISNUMBER(INDEX(art_price,MATCH($E1865,art_ref,0))),INDEX(art_price,MATCH($E1865,art_ref,0)),""),"")))</f>
        <v/>
      </c>
      <c r="K1865" s="71" t="n"/>
      <c r="L1865" s="72" t="n"/>
      <c r="M1865" s="72" t="str">
        <f>IF(E1865="","",IF(L1865&lt;&gt;"",L1865,IFERROR(IF(ISNUMBER(INDEX(art_tva,MATCH($E1865,art_ref,0))),INDEX(art_tva,MATCH($E1865,art_ref,0)),""),"")))</f>
        <v/>
      </c>
      <c r="N1865" s="70" t="str">
        <f>IF(OR(E1865="",J1865=""),"",ROUND(N(H1865)*J1865*(1-N(K1865)),2))</f>
        <v/>
      </c>
      <c r="O1865" s="70" t="str">
        <f>IF(OR(N1865="",NOT(ISNUMBER(M1865))),"",ROUND(N1865*M1865,2))</f>
        <v/>
      </c>
      <c r="P1865" s="70" t="str">
        <f>IF(N1865="","",N1865+N(O1865))</f>
        <v/>
      </c>
      <c r="Q1865" s="64" t="n"/>
      <c r="R1865" s="73" t="str">
        <f>IF(N(Q1865)&gt;0,Q1865,IF(OR(N(B1865)=0,ISNA(MATCH($C1865,sup_code,0))),"",IF(ISNUMBER(INDEX(sup_delay,MATCH($C1865,sup_code,0))),B1865+INDEX(sup_delay,MATCH($C1865,sup_code,0)),"")))</f>
        <v/>
      </c>
      <c r="S1865" s="64" t="n"/>
      <c r="T1865" s="68" t="n"/>
      <c r="U1865" s="64" t="n"/>
      <c r="V1865" s="65" t="n"/>
      <c r="W1865" s="74" t="str">
        <f>IF(AND(A1865="",E1865=""),"",IF(V1865="Oui",0,MAX(0,ROUND(N(H1865)-N(T1865),6))))</f>
        <v/>
      </c>
      <c r="X1865" s="67" t="str">
        <f>IF(AND(A1865="",E1865=""),"",IF(V1865="Oui","Annulé",IF(AND(N(H1865)&gt;0,N(T1865)&gt;=N(H1865)),"Reçu",IF(N(S1865)=0,"Brouillon",IF(AND(ISNUMBER(R1865),R1865&lt;p_today),"En retard",IF(N(T1865)&gt;0,"Partiel","Envoyé"))))))</f>
        <v/>
      </c>
      <c r="Y1865" s="75" t="str">
        <f>IF(X1865="En retard",p_today-R1865,IF(AND(X1865="Reçu",ISNUMBER(R1865)),MAX(0,N(U1865)-R1865),""))</f>
        <v/>
      </c>
      <c r="Z1865" s="67" t="str">
        <f>IF(AND(A1865="",E1865=""),"",IF(A1865="","N° de bon manquant",IF(N(B1865)=0,"Date de commande manquante",IF(C1865="","Fournisseur manquant",IF(ISNA(MATCH($C1865,sup_code,0)),"Fournisseur inconnu",IF(E1865="","Article manquant",IF(ISNA(MATCH($E1865,art_ref,0)),"Article inconnu",IF(N(H1865)&lt;=0,"Quantité invalide",IF(J1865="","Prix manquant",IF(OR(N(K1865)&lt;0,N(K1865)&gt;=1),"Remise invalide",IF(M1865="","TVA manquante",IF(ISNA(MATCH(M1865,p_tva,0)),"Taux de TVA inconnu",IF(COUNTIFS(po_num,A1865,po_sup,"&lt;&gt;"&amp;C1865)&gt;0,"Fournisseur différent sur ce bon",IF(COUNTIFS(po_num,A1865,po_date,"&lt;&gt;"&amp;B1865)&gt;0,"Date différente sur ce bon",IF(COUNTIF(po_num,A1865)&gt;25,"Plus de 25 lignes sur ce bon",IF(R1865="","Date de livraison manquante",IF(R1865&lt;B1865,"Livraison avant la commande",IF(AND(N(T1865)&gt;0,N(S1865)=0),"Date d'envoi manquante",IF(N(T1865)&gt;N(H1865),"Reçu plus que commandé",IF(AND(N(T1865)&gt;0,N(U1865)=0),"Date de réception manquante",IF(AND(N(U1865)&gt;0,U1865&lt;B1865),"Réception avant la commande","OK")))))))))))))))))))))</f>
        <v/>
      </c>
      <c r="AA1865" s="66" t="str">
        <f>IF(AND(X1865="Reçu",ISNUMBER(R1865)),IF(N(U1865)&lt;=R1865,1,0),"")</f>
        <v/>
      </c>
      <c r="AB1865" s="76" t="str">
        <f>IF(OR(X1865="Envoyé",X1865="Partiel",X1865="En retard"),IF(ISNUMBER(R1865),R1865,100000)+ROW()/100000,"")</f>
        <v/>
      </c>
      <c r="AC1865" s="66" t="str">
        <f>IF(A1865="","",IF(COUNTIF($A$6:A1865,A1865)=1,1,""))</f>
        <v/>
      </c>
      <c r="AD1865" s="66" t="str">
        <f>IF(AC1865=1,COUNT($AC$6:AC1865),"")</f>
        <v/>
      </c>
      <c r="AE1865" s="66" t="str">
        <f>IFERROR(INDEX(po_num,MATCH(1860,po_seq,0))&amp;"","")</f>
        <v/>
      </c>
      <c r="AF1865" s="66" t="str">
        <f>IF(OR(A1865="",p_po=""),"",IF(A1865&amp;""=p_po,COUNTIF($A$6:A1865,A1865),""))</f>
        <v/>
      </c>
      <c r="AG1865" s="66" t="str">
        <f>IF(OR(AB1865="",A1865=""),"",IF(COUNTIFS($A$6:A1865,A1865,$AB$6:AB1865,"&gt;0")=1,1,""))</f>
        <v/>
      </c>
      <c r="AH1865" s="70" t="str">
        <f>IF(AB1865="","",ROUND(N(W1865)*N(J1865)*(1-N(K1865)),2))</f>
        <v/>
      </c>
      <c r="AI1865" s="70" t="str">
        <f>IF(OR(J1865="",N(T1865)&lt;=0,V1865="Oui"),"",ROUND(N(T1865)*J1865*(1-N(K1865)),2))</f>
        <v/>
      </c>
    </row>
    <row r="1866">
      <c r="A1866" s="63" t="n"/>
      <c r="B1866" s="64" t="n"/>
      <c r="C1866" s="65" t="n"/>
      <c r="D1866" s="66" t="str">
        <f>IF(C1866="","",IFERROR(INDEX(sup_name,MATCH($C1866,sup_code,0))&amp;"","Fournisseur inconnu"))</f>
        <v/>
      </c>
      <c r="E1866" s="63" t="n"/>
      <c r="F1866" s="66" t="str">
        <f>IF(E1866="","",IFERROR(INDEX(art_des,MATCH($E1866,art_ref,0))&amp;"","Article inconnu"))</f>
        <v/>
      </c>
      <c r="G1866" s="67" t="str">
        <f>IF(E1866="","",IFERROR(INDEX(art_unit,MATCH($E1866,art_ref,0))&amp;"",""))</f>
        <v/>
      </c>
      <c r="H1866" s="68" t="n"/>
      <c r="I1866" s="69" t="n"/>
      <c r="J1866" s="70" t="str">
        <f>IF(E1866="","",IF(ISNUMBER(I1866),I1866,IFERROR(IF(ISNUMBER(INDEX(art_price,MATCH($E1866,art_ref,0))),INDEX(art_price,MATCH($E1866,art_ref,0)),""),"")))</f>
        <v/>
      </c>
      <c r="K1866" s="71" t="n"/>
      <c r="L1866" s="72" t="n"/>
      <c r="M1866" s="72" t="str">
        <f>IF(E1866="","",IF(L1866&lt;&gt;"",L1866,IFERROR(IF(ISNUMBER(INDEX(art_tva,MATCH($E1866,art_ref,0))),INDEX(art_tva,MATCH($E1866,art_ref,0)),""),"")))</f>
        <v/>
      </c>
      <c r="N1866" s="70" t="str">
        <f>IF(OR(E1866="",J1866=""),"",ROUND(N(H1866)*J1866*(1-N(K1866)),2))</f>
        <v/>
      </c>
      <c r="O1866" s="70" t="str">
        <f>IF(OR(N1866="",NOT(ISNUMBER(M1866))),"",ROUND(N1866*M1866,2))</f>
        <v/>
      </c>
      <c r="P1866" s="70" t="str">
        <f>IF(N1866="","",N1866+N(O1866))</f>
        <v/>
      </c>
      <c r="Q1866" s="64" t="n"/>
      <c r="R1866" s="73" t="str">
        <f>IF(N(Q1866)&gt;0,Q1866,IF(OR(N(B1866)=0,ISNA(MATCH($C1866,sup_code,0))),"",IF(ISNUMBER(INDEX(sup_delay,MATCH($C1866,sup_code,0))),B1866+INDEX(sup_delay,MATCH($C1866,sup_code,0)),"")))</f>
        <v/>
      </c>
      <c r="S1866" s="64" t="n"/>
      <c r="T1866" s="68" t="n"/>
      <c r="U1866" s="64" t="n"/>
      <c r="V1866" s="65" t="n"/>
      <c r="W1866" s="74" t="str">
        <f>IF(AND(A1866="",E1866=""),"",IF(V1866="Oui",0,MAX(0,ROUND(N(H1866)-N(T1866),6))))</f>
        <v/>
      </c>
      <c r="X1866" s="67" t="str">
        <f>IF(AND(A1866="",E1866=""),"",IF(V1866="Oui","Annulé",IF(AND(N(H1866)&gt;0,N(T1866)&gt;=N(H1866)),"Reçu",IF(N(S1866)=0,"Brouillon",IF(AND(ISNUMBER(R1866),R1866&lt;p_today),"En retard",IF(N(T1866)&gt;0,"Partiel","Envoyé"))))))</f>
        <v/>
      </c>
      <c r="Y1866" s="75" t="str">
        <f>IF(X1866="En retard",p_today-R1866,IF(AND(X1866="Reçu",ISNUMBER(R1866)),MAX(0,N(U1866)-R1866),""))</f>
        <v/>
      </c>
      <c r="Z1866" s="67" t="str">
        <f>IF(AND(A1866="",E1866=""),"",IF(A1866="","N° de bon manquant",IF(N(B1866)=0,"Date de commande manquante",IF(C1866="","Fournisseur manquant",IF(ISNA(MATCH($C1866,sup_code,0)),"Fournisseur inconnu",IF(E1866="","Article manquant",IF(ISNA(MATCH($E1866,art_ref,0)),"Article inconnu",IF(N(H1866)&lt;=0,"Quantité invalide",IF(J1866="","Prix manquant",IF(OR(N(K1866)&lt;0,N(K1866)&gt;=1),"Remise invalide",IF(M1866="","TVA manquante",IF(ISNA(MATCH(M1866,p_tva,0)),"Taux de TVA inconnu",IF(COUNTIFS(po_num,A1866,po_sup,"&lt;&gt;"&amp;C1866)&gt;0,"Fournisseur différent sur ce bon",IF(COUNTIFS(po_num,A1866,po_date,"&lt;&gt;"&amp;B1866)&gt;0,"Date différente sur ce bon",IF(COUNTIF(po_num,A1866)&gt;25,"Plus de 25 lignes sur ce bon",IF(R1866="","Date de livraison manquante",IF(R1866&lt;B1866,"Livraison avant la commande",IF(AND(N(T1866)&gt;0,N(S1866)=0),"Date d'envoi manquante",IF(N(T1866)&gt;N(H1866),"Reçu plus que commandé",IF(AND(N(T1866)&gt;0,N(U1866)=0),"Date de réception manquante",IF(AND(N(U1866)&gt;0,U1866&lt;B1866),"Réception avant la commande","OK")))))))))))))))))))))</f>
        <v/>
      </c>
      <c r="AA1866" s="66" t="str">
        <f>IF(AND(X1866="Reçu",ISNUMBER(R1866)),IF(N(U1866)&lt;=R1866,1,0),"")</f>
        <v/>
      </c>
      <c r="AB1866" s="76" t="str">
        <f>IF(OR(X1866="Envoyé",X1866="Partiel",X1866="En retard"),IF(ISNUMBER(R1866),R1866,100000)+ROW()/100000,"")</f>
        <v/>
      </c>
      <c r="AC1866" s="66" t="str">
        <f>IF(A1866="","",IF(COUNTIF($A$6:A1866,A1866)=1,1,""))</f>
        <v/>
      </c>
      <c r="AD1866" s="66" t="str">
        <f>IF(AC1866=1,COUNT($AC$6:AC1866),"")</f>
        <v/>
      </c>
      <c r="AE1866" s="66" t="str">
        <f>IFERROR(INDEX(po_num,MATCH(1861,po_seq,0))&amp;"","")</f>
        <v/>
      </c>
      <c r="AF1866" s="66" t="str">
        <f>IF(OR(A1866="",p_po=""),"",IF(A1866&amp;""=p_po,COUNTIF($A$6:A1866,A1866),""))</f>
        <v/>
      </c>
      <c r="AG1866" s="66" t="str">
        <f>IF(OR(AB1866="",A1866=""),"",IF(COUNTIFS($A$6:A1866,A1866,$AB$6:AB1866,"&gt;0")=1,1,""))</f>
        <v/>
      </c>
      <c r="AH1866" s="70" t="str">
        <f>IF(AB1866="","",ROUND(N(W1866)*N(J1866)*(1-N(K1866)),2))</f>
        <v/>
      </c>
      <c r="AI1866" s="70" t="str">
        <f>IF(OR(J1866="",N(T1866)&lt;=0,V1866="Oui"),"",ROUND(N(T1866)*J1866*(1-N(K1866)),2))</f>
        <v/>
      </c>
    </row>
    <row r="1867">
      <c r="A1867" s="63" t="n"/>
      <c r="B1867" s="64" t="n"/>
      <c r="C1867" s="65" t="n"/>
      <c r="D1867" s="66" t="str">
        <f>IF(C1867="","",IFERROR(INDEX(sup_name,MATCH($C1867,sup_code,0))&amp;"","Fournisseur inconnu"))</f>
        <v/>
      </c>
      <c r="E1867" s="63" t="n"/>
      <c r="F1867" s="66" t="str">
        <f>IF(E1867="","",IFERROR(INDEX(art_des,MATCH($E1867,art_ref,0))&amp;"","Article inconnu"))</f>
        <v/>
      </c>
      <c r="G1867" s="67" t="str">
        <f>IF(E1867="","",IFERROR(INDEX(art_unit,MATCH($E1867,art_ref,0))&amp;"",""))</f>
        <v/>
      </c>
      <c r="H1867" s="68" t="n"/>
      <c r="I1867" s="69" t="n"/>
      <c r="J1867" s="70" t="str">
        <f>IF(E1867="","",IF(ISNUMBER(I1867),I1867,IFERROR(IF(ISNUMBER(INDEX(art_price,MATCH($E1867,art_ref,0))),INDEX(art_price,MATCH($E1867,art_ref,0)),""),"")))</f>
        <v/>
      </c>
      <c r="K1867" s="71" t="n"/>
      <c r="L1867" s="72" t="n"/>
      <c r="M1867" s="72" t="str">
        <f>IF(E1867="","",IF(L1867&lt;&gt;"",L1867,IFERROR(IF(ISNUMBER(INDEX(art_tva,MATCH($E1867,art_ref,0))),INDEX(art_tva,MATCH($E1867,art_ref,0)),""),"")))</f>
        <v/>
      </c>
      <c r="N1867" s="70" t="str">
        <f>IF(OR(E1867="",J1867=""),"",ROUND(N(H1867)*J1867*(1-N(K1867)),2))</f>
        <v/>
      </c>
      <c r="O1867" s="70" t="str">
        <f>IF(OR(N1867="",NOT(ISNUMBER(M1867))),"",ROUND(N1867*M1867,2))</f>
        <v/>
      </c>
      <c r="P1867" s="70" t="str">
        <f>IF(N1867="","",N1867+N(O1867))</f>
        <v/>
      </c>
      <c r="Q1867" s="64" t="n"/>
      <c r="R1867" s="73" t="str">
        <f>IF(N(Q1867)&gt;0,Q1867,IF(OR(N(B1867)=0,ISNA(MATCH($C1867,sup_code,0))),"",IF(ISNUMBER(INDEX(sup_delay,MATCH($C1867,sup_code,0))),B1867+INDEX(sup_delay,MATCH($C1867,sup_code,0)),"")))</f>
        <v/>
      </c>
      <c r="S1867" s="64" t="n"/>
      <c r="T1867" s="68" t="n"/>
      <c r="U1867" s="64" t="n"/>
      <c r="V1867" s="65" t="n"/>
      <c r="W1867" s="74" t="str">
        <f>IF(AND(A1867="",E1867=""),"",IF(V1867="Oui",0,MAX(0,ROUND(N(H1867)-N(T1867),6))))</f>
        <v/>
      </c>
      <c r="X1867" s="67" t="str">
        <f>IF(AND(A1867="",E1867=""),"",IF(V1867="Oui","Annulé",IF(AND(N(H1867)&gt;0,N(T1867)&gt;=N(H1867)),"Reçu",IF(N(S1867)=0,"Brouillon",IF(AND(ISNUMBER(R1867),R1867&lt;p_today),"En retard",IF(N(T1867)&gt;0,"Partiel","Envoyé"))))))</f>
        <v/>
      </c>
      <c r="Y1867" s="75" t="str">
        <f>IF(X1867="En retard",p_today-R1867,IF(AND(X1867="Reçu",ISNUMBER(R1867)),MAX(0,N(U1867)-R1867),""))</f>
        <v/>
      </c>
      <c r="Z1867" s="67" t="str">
        <f>IF(AND(A1867="",E1867=""),"",IF(A1867="","N° de bon manquant",IF(N(B1867)=0,"Date de commande manquante",IF(C1867="","Fournisseur manquant",IF(ISNA(MATCH($C1867,sup_code,0)),"Fournisseur inconnu",IF(E1867="","Article manquant",IF(ISNA(MATCH($E1867,art_ref,0)),"Article inconnu",IF(N(H1867)&lt;=0,"Quantité invalide",IF(J1867="","Prix manquant",IF(OR(N(K1867)&lt;0,N(K1867)&gt;=1),"Remise invalide",IF(M1867="","TVA manquante",IF(ISNA(MATCH(M1867,p_tva,0)),"Taux de TVA inconnu",IF(COUNTIFS(po_num,A1867,po_sup,"&lt;&gt;"&amp;C1867)&gt;0,"Fournisseur différent sur ce bon",IF(COUNTIFS(po_num,A1867,po_date,"&lt;&gt;"&amp;B1867)&gt;0,"Date différente sur ce bon",IF(COUNTIF(po_num,A1867)&gt;25,"Plus de 25 lignes sur ce bon",IF(R1867="","Date de livraison manquante",IF(R1867&lt;B1867,"Livraison avant la commande",IF(AND(N(T1867)&gt;0,N(S1867)=0),"Date d'envoi manquante",IF(N(T1867)&gt;N(H1867),"Reçu plus que commandé",IF(AND(N(T1867)&gt;0,N(U1867)=0),"Date de réception manquante",IF(AND(N(U1867)&gt;0,U1867&lt;B1867),"Réception avant la commande","OK")))))))))))))))))))))</f>
        <v/>
      </c>
      <c r="AA1867" s="66" t="str">
        <f>IF(AND(X1867="Reçu",ISNUMBER(R1867)),IF(N(U1867)&lt;=R1867,1,0),"")</f>
        <v/>
      </c>
      <c r="AB1867" s="76" t="str">
        <f>IF(OR(X1867="Envoyé",X1867="Partiel",X1867="En retard"),IF(ISNUMBER(R1867),R1867,100000)+ROW()/100000,"")</f>
        <v/>
      </c>
      <c r="AC1867" s="66" t="str">
        <f>IF(A1867="","",IF(COUNTIF($A$6:A1867,A1867)=1,1,""))</f>
        <v/>
      </c>
      <c r="AD1867" s="66" t="str">
        <f>IF(AC1867=1,COUNT($AC$6:AC1867),"")</f>
        <v/>
      </c>
      <c r="AE1867" s="66" t="str">
        <f>IFERROR(INDEX(po_num,MATCH(1862,po_seq,0))&amp;"","")</f>
        <v/>
      </c>
      <c r="AF1867" s="66" t="str">
        <f>IF(OR(A1867="",p_po=""),"",IF(A1867&amp;""=p_po,COUNTIF($A$6:A1867,A1867),""))</f>
        <v/>
      </c>
      <c r="AG1867" s="66" t="str">
        <f>IF(OR(AB1867="",A1867=""),"",IF(COUNTIFS($A$6:A1867,A1867,$AB$6:AB1867,"&gt;0")=1,1,""))</f>
        <v/>
      </c>
      <c r="AH1867" s="70" t="str">
        <f>IF(AB1867="","",ROUND(N(W1867)*N(J1867)*(1-N(K1867)),2))</f>
        <v/>
      </c>
      <c r="AI1867" s="70" t="str">
        <f>IF(OR(J1867="",N(T1867)&lt;=0,V1867="Oui"),"",ROUND(N(T1867)*J1867*(1-N(K1867)),2))</f>
        <v/>
      </c>
    </row>
    <row r="1868">
      <c r="A1868" s="63" t="n"/>
      <c r="B1868" s="64" t="n"/>
      <c r="C1868" s="65" t="n"/>
      <c r="D1868" s="66" t="str">
        <f>IF(C1868="","",IFERROR(INDEX(sup_name,MATCH($C1868,sup_code,0))&amp;"","Fournisseur inconnu"))</f>
        <v/>
      </c>
      <c r="E1868" s="63" t="n"/>
      <c r="F1868" s="66" t="str">
        <f>IF(E1868="","",IFERROR(INDEX(art_des,MATCH($E1868,art_ref,0))&amp;"","Article inconnu"))</f>
        <v/>
      </c>
      <c r="G1868" s="67" t="str">
        <f>IF(E1868="","",IFERROR(INDEX(art_unit,MATCH($E1868,art_ref,0))&amp;"",""))</f>
        <v/>
      </c>
      <c r="H1868" s="68" t="n"/>
      <c r="I1868" s="69" t="n"/>
      <c r="J1868" s="70" t="str">
        <f>IF(E1868="","",IF(ISNUMBER(I1868),I1868,IFERROR(IF(ISNUMBER(INDEX(art_price,MATCH($E1868,art_ref,0))),INDEX(art_price,MATCH($E1868,art_ref,0)),""),"")))</f>
        <v/>
      </c>
      <c r="K1868" s="71" t="n"/>
      <c r="L1868" s="72" t="n"/>
      <c r="M1868" s="72" t="str">
        <f>IF(E1868="","",IF(L1868&lt;&gt;"",L1868,IFERROR(IF(ISNUMBER(INDEX(art_tva,MATCH($E1868,art_ref,0))),INDEX(art_tva,MATCH($E1868,art_ref,0)),""),"")))</f>
        <v/>
      </c>
      <c r="N1868" s="70" t="str">
        <f>IF(OR(E1868="",J1868=""),"",ROUND(N(H1868)*J1868*(1-N(K1868)),2))</f>
        <v/>
      </c>
      <c r="O1868" s="70" t="str">
        <f>IF(OR(N1868="",NOT(ISNUMBER(M1868))),"",ROUND(N1868*M1868,2))</f>
        <v/>
      </c>
      <c r="P1868" s="70" t="str">
        <f>IF(N1868="","",N1868+N(O1868))</f>
        <v/>
      </c>
      <c r="Q1868" s="64" t="n"/>
      <c r="R1868" s="73" t="str">
        <f>IF(N(Q1868)&gt;0,Q1868,IF(OR(N(B1868)=0,ISNA(MATCH($C1868,sup_code,0))),"",IF(ISNUMBER(INDEX(sup_delay,MATCH($C1868,sup_code,0))),B1868+INDEX(sup_delay,MATCH($C1868,sup_code,0)),"")))</f>
        <v/>
      </c>
      <c r="S1868" s="64" t="n"/>
      <c r="T1868" s="68" t="n"/>
      <c r="U1868" s="64" t="n"/>
      <c r="V1868" s="65" t="n"/>
      <c r="W1868" s="74" t="str">
        <f>IF(AND(A1868="",E1868=""),"",IF(V1868="Oui",0,MAX(0,ROUND(N(H1868)-N(T1868),6))))</f>
        <v/>
      </c>
      <c r="X1868" s="67" t="str">
        <f>IF(AND(A1868="",E1868=""),"",IF(V1868="Oui","Annulé",IF(AND(N(H1868)&gt;0,N(T1868)&gt;=N(H1868)),"Reçu",IF(N(S1868)=0,"Brouillon",IF(AND(ISNUMBER(R1868),R1868&lt;p_today),"En retard",IF(N(T1868)&gt;0,"Partiel","Envoyé"))))))</f>
        <v/>
      </c>
      <c r="Y1868" s="75" t="str">
        <f>IF(X1868="En retard",p_today-R1868,IF(AND(X1868="Reçu",ISNUMBER(R1868)),MAX(0,N(U1868)-R1868),""))</f>
        <v/>
      </c>
      <c r="Z1868" s="67" t="str">
        <f>IF(AND(A1868="",E1868=""),"",IF(A1868="","N° de bon manquant",IF(N(B1868)=0,"Date de commande manquante",IF(C1868="","Fournisseur manquant",IF(ISNA(MATCH($C1868,sup_code,0)),"Fournisseur inconnu",IF(E1868="","Article manquant",IF(ISNA(MATCH($E1868,art_ref,0)),"Article inconnu",IF(N(H1868)&lt;=0,"Quantité invalide",IF(J1868="","Prix manquant",IF(OR(N(K1868)&lt;0,N(K1868)&gt;=1),"Remise invalide",IF(M1868="","TVA manquante",IF(ISNA(MATCH(M1868,p_tva,0)),"Taux de TVA inconnu",IF(COUNTIFS(po_num,A1868,po_sup,"&lt;&gt;"&amp;C1868)&gt;0,"Fournisseur différent sur ce bon",IF(COUNTIFS(po_num,A1868,po_date,"&lt;&gt;"&amp;B1868)&gt;0,"Date différente sur ce bon",IF(COUNTIF(po_num,A1868)&gt;25,"Plus de 25 lignes sur ce bon",IF(R1868="","Date de livraison manquante",IF(R1868&lt;B1868,"Livraison avant la commande",IF(AND(N(T1868)&gt;0,N(S1868)=0),"Date d'envoi manquante",IF(N(T1868)&gt;N(H1868),"Reçu plus que commandé",IF(AND(N(T1868)&gt;0,N(U1868)=0),"Date de réception manquante",IF(AND(N(U1868)&gt;0,U1868&lt;B1868),"Réception avant la commande","OK")))))))))))))))))))))</f>
        <v/>
      </c>
      <c r="AA1868" s="66" t="str">
        <f>IF(AND(X1868="Reçu",ISNUMBER(R1868)),IF(N(U1868)&lt;=R1868,1,0),"")</f>
        <v/>
      </c>
      <c r="AB1868" s="76" t="str">
        <f>IF(OR(X1868="Envoyé",X1868="Partiel",X1868="En retard"),IF(ISNUMBER(R1868),R1868,100000)+ROW()/100000,"")</f>
        <v/>
      </c>
      <c r="AC1868" s="66" t="str">
        <f>IF(A1868="","",IF(COUNTIF($A$6:A1868,A1868)=1,1,""))</f>
        <v/>
      </c>
      <c r="AD1868" s="66" t="str">
        <f>IF(AC1868=1,COUNT($AC$6:AC1868),"")</f>
        <v/>
      </c>
      <c r="AE1868" s="66" t="str">
        <f>IFERROR(INDEX(po_num,MATCH(1863,po_seq,0))&amp;"","")</f>
        <v/>
      </c>
      <c r="AF1868" s="66" t="str">
        <f>IF(OR(A1868="",p_po=""),"",IF(A1868&amp;""=p_po,COUNTIF($A$6:A1868,A1868),""))</f>
        <v/>
      </c>
      <c r="AG1868" s="66" t="str">
        <f>IF(OR(AB1868="",A1868=""),"",IF(COUNTIFS($A$6:A1868,A1868,$AB$6:AB1868,"&gt;0")=1,1,""))</f>
        <v/>
      </c>
      <c r="AH1868" s="70" t="str">
        <f>IF(AB1868="","",ROUND(N(W1868)*N(J1868)*(1-N(K1868)),2))</f>
        <v/>
      </c>
      <c r="AI1868" s="70" t="str">
        <f>IF(OR(J1868="",N(T1868)&lt;=0,V1868="Oui"),"",ROUND(N(T1868)*J1868*(1-N(K1868)),2))</f>
        <v/>
      </c>
    </row>
    <row r="1869">
      <c r="A1869" s="63" t="n"/>
      <c r="B1869" s="64" t="n"/>
      <c r="C1869" s="65" t="n"/>
      <c r="D1869" s="66" t="str">
        <f>IF(C1869="","",IFERROR(INDEX(sup_name,MATCH($C1869,sup_code,0))&amp;"","Fournisseur inconnu"))</f>
        <v/>
      </c>
      <c r="E1869" s="63" t="n"/>
      <c r="F1869" s="66" t="str">
        <f>IF(E1869="","",IFERROR(INDEX(art_des,MATCH($E1869,art_ref,0))&amp;"","Article inconnu"))</f>
        <v/>
      </c>
      <c r="G1869" s="67" t="str">
        <f>IF(E1869="","",IFERROR(INDEX(art_unit,MATCH($E1869,art_ref,0))&amp;"",""))</f>
        <v/>
      </c>
      <c r="H1869" s="68" t="n"/>
      <c r="I1869" s="69" t="n"/>
      <c r="J1869" s="70" t="str">
        <f>IF(E1869="","",IF(ISNUMBER(I1869),I1869,IFERROR(IF(ISNUMBER(INDEX(art_price,MATCH($E1869,art_ref,0))),INDEX(art_price,MATCH($E1869,art_ref,0)),""),"")))</f>
        <v/>
      </c>
      <c r="K1869" s="71" t="n"/>
      <c r="L1869" s="72" t="n"/>
      <c r="M1869" s="72" t="str">
        <f>IF(E1869="","",IF(L1869&lt;&gt;"",L1869,IFERROR(IF(ISNUMBER(INDEX(art_tva,MATCH($E1869,art_ref,0))),INDEX(art_tva,MATCH($E1869,art_ref,0)),""),"")))</f>
        <v/>
      </c>
      <c r="N1869" s="70" t="str">
        <f>IF(OR(E1869="",J1869=""),"",ROUND(N(H1869)*J1869*(1-N(K1869)),2))</f>
        <v/>
      </c>
      <c r="O1869" s="70" t="str">
        <f>IF(OR(N1869="",NOT(ISNUMBER(M1869))),"",ROUND(N1869*M1869,2))</f>
        <v/>
      </c>
      <c r="P1869" s="70" t="str">
        <f>IF(N1869="","",N1869+N(O1869))</f>
        <v/>
      </c>
      <c r="Q1869" s="64" t="n"/>
      <c r="R1869" s="73" t="str">
        <f>IF(N(Q1869)&gt;0,Q1869,IF(OR(N(B1869)=0,ISNA(MATCH($C1869,sup_code,0))),"",IF(ISNUMBER(INDEX(sup_delay,MATCH($C1869,sup_code,0))),B1869+INDEX(sup_delay,MATCH($C1869,sup_code,0)),"")))</f>
        <v/>
      </c>
      <c r="S1869" s="64" t="n"/>
      <c r="T1869" s="68" t="n"/>
      <c r="U1869" s="64" t="n"/>
      <c r="V1869" s="65" t="n"/>
      <c r="W1869" s="74" t="str">
        <f>IF(AND(A1869="",E1869=""),"",IF(V1869="Oui",0,MAX(0,ROUND(N(H1869)-N(T1869),6))))</f>
        <v/>
      </c>
      <c r="X1869" s="67" t="str">
        <f>IF(AND(A1869="",E1869=""),"",IF(V1869="Oui","Annulé",IF(AND(N(H1869)&gt;0,N(T1869)&gt;=N(H1869)),"Reçu",IF(N(S1869)=0,"Brouillon",IF(AND(ISNUMBER(R1869),R1869&lt;p_today),"En retard",IF(N(T1869)&gt;0,"Partiel","Envoyé"))))))</f>
        <v/>
      </c>
      <c r="Y1869" s="75" t="str">
        <f>IF(X1869="En retard",p_today-R1869,IF(AND(X1869="Reçu",ISNUMBER(R1869)),MAX(0,N(U1869)-R1869),""))</f>
        <v/>
      </c>
      <c r="Z1869" s="67" t="str">
        <f>IF(AND(A1869="",E1869=""),"",IF(A1869="","N° de bon manquant",IF(N(B1869)=0,"Date de commande manquante",IF(C1869="","Fournisseur manquant",IF(ISNA(MATCH($C1869,sup_code,0)),"Fournisseur inconnu",IF(E1869="","Article manquant",IF(ISNA(MATCH($E1869,art_ref,0)),"Article inconnu",IF(N(H1869)&lt;=0,"Quantité invalide",IF(J1869="","Prix manquant",IF(OR(N(K1869)&lt;0,N(K1869)&gt;=1),"Remise invalide",IF(M1869="","TVA manquante",IF(ISNA(MATCH(M1869,p_tva,0)),"Taux de TVA inconnu",IF(COUNTIFS(po_num,A1869,po_sup,"&lt;&gt;"&amp;C1869)&gt;0,"Fournisseur différent sur ce bon",IF(COUNTIFS(po_num,A1869,po_date,"&lt;&gt;"&amp;B1869)&gt;0,"Date différente sur ce bon",IF(COUNTIF(po_num,A1869)&gt;25,"Plus de 25 lignes sur ce bon",IF(R1869="","Date de livraison manquante",IF(R1869&lt;B1869,"Livraison avant la commande",IF(AND(N(T1869)&gt;0,N(S1869)=0),"Date d'envoi manquante",IF(N(T1869)&gt;N(H1869),"Reçu plus que commandé",IF(AND(N(T1869)&gt;0,N(U1869)=0),"Date de réception manquante",IF(AND(N(U1869)&gt;0,U1869&lt;B1869),"Réception avant la commande","OK")))))))))))))))))))))</f>
        <v/>
      </c>
      <c r="AA1869" s="66" t="str">
        <f>IF(AND(X1869="Reçu",ISNUMBER(R1869)),IF(N(U1869)&lt;=R1869,1,0),"")</f>
        <v/>
      </c>
      <c r="AB1869" s="76" t="str">
        <f>IF(OR(X1869="Envoyé",X1869="Partiel",X1869="En retard"),IF(ISNUMBER(R1869),R1869,100000)+ROW()/100000,"")</f>
        <v/>
      </c>
      <c r="AC1869" s="66" t="str">
        <f>IF(A1869="","",IF(COUNTIF($A$6:A1869,A1869)=1,1,""))</f>
        <v/>
      </c>
      <c r="AD1869" s="66" t="str">
        <f>IF(AC1869=1,COUNT($AC$6:AC1869),"")</f>
        <v/>
      </c>
      <c r="AE1869" s="66" t="str">
        <f>IFERROR(INDEX(po_num,MATCH(1864,po_seq,0))&amp;"","")</f>
        <v/>
      </c>
      <c r="AF1869" s="66" t="str">
        <f>IF(OR(A1869="",p_po=""),"",IF(A1869&amp;""=p_po,COUNTIF($A$6:A1869,A1869),""))</f>
        <v/>
      </c>
      <c r="AG1869" s="66" t="str">
        <f>IF(OR(AB1869="",A1869=""),"",IF(COUNTIFS($A$6:A1869,A1869,$AB$6:AB1869,"&gt;0")=1,1,""))</f>
        <v/>
      </c>
      <c r="AH1869" s="70" t="str">
        <f>IF(AB1869="","",ROUND(N(W1869)*N(J1869)*(1-N(K1869)),2))</f>
        <v/>
      </c>
      <c r="AI1869" s="70" t="str">
        <f>IF(OR(J1869="",N(T1869)&lt;=0,V1869="Oui"),"",ROUND(N(T1869)*J1869*(1-N(K1869)),2))</f>
        <v/>
      </c>
    </row>
    <row r="1870">
      <c r="A1870" s="63" t="n"/>
      <c r="B1870" s="64" t="n"/>
      <c r="C1870" s="65" t="n"/>
      <c r="D1870" s="66" t="str">
        <f>IF(C1870="","",IFERROR(INDEX(sup_name,MATCH($C1870,sup_code,0))&amp;"","Fournisseur inconnu"))</f>
        <v/>
      </c>
      <c r="E1870" s="63" t="n"/>
      <c r="F1870" s="66" t="str">
        <f>IF(E1870="","",IFERROR(INDEX(art_des,MATCH($E1870,art_ref,0))&amp;"","Article inconnu"))</f>
        <v/>
      </c>
      <c r="G1870" s="67" t="str">
        <f>IF(E1870="","",IFERROR(INDEX(art_unit,MATCH($E1870,art_ref,0))&amp;"",""))</f>
        <v/>
      </c>
      <c r="H1870" s="68" t="n"/>
      <c r="I1870" s="69" t="n"/>
      <c r="J1870" s="70" t="str">
        <f>IF(E1870="","",IF(ISNUMBER(I1870),I1870,IFERROR(IF(ISNUMBER(INDEX(art_price,MATCH($E1870,art_ref,0))),INDEX(art_price,MATCH($E1870,art_ref,0)),""),"")))</f>
        <v/>
      </c>
      <c r="K1870" s="71" t="n"/>
      <c r="L1870" s="72" t="n"/>
      <c r="M1870" s="72" t="str">
        <f>IF(E1870="","",IF(L1870&lt;&gt;"",L1870,IFERROR(IF(ISNUMBER(INDEX(art_tva,MATCH($E1870,art_ref,0))),INDEX(art_tva,MATCH($E1870,art_ref,0)),""),"")))</f>
        <v/>
      </c>
      <c r="N1870" s="70" t="str">
        <f>IF(OR(E1870="",J1870=""),"",ROUND(N(H1870)*J1870*(1-N(K1870)),2))</f>
        <v/>
      </c>
      <c r="O1870" s="70" t="str">
        <f>IF(OR(N1870="",NOT(ISNUMBER(M1870))),"",ROUND(N1870*M1870,2))</f>
        <v/>
      </c>
      <c r="P1870" s="70" t="str">
        <f>IF(N1870="","",N1870+N(O1870))</f>
        <v/>
      </c>
      <c r="Q1870" s="64" t="n"/>
      <c r="R1870" s="73" t="str">
        <f>IF(N(Q1870)&gt;0,Q1870,IF(OR(N(B1870)=0,ISNA(MATCH($C1870,sup_code,0))),"",IF(ISNUMBER(INDEX(sup_delay,MATCH($C1870,sup_code,0))),B1870+INDEX(sup_delay,MATCH($C1870,sup_code,0)),"")))</f>
        <v/>
      </c>
      <c r="S1870" s="64" t="n"/>
      <c r="T1870" s="68" t="n"/>
      <c r="U1870" s="64" t="n"/>
      <c r="V1870" s="65" t="n"/>
      <c r="W1870" s="74" t="str">
        <f>IF(AND(A1870="",E1870=""),"",IF(V1870="Oui",0,MAX(0,ROUND(N(H1870)-N(T1870),6))))</f>
        <v/>
      </c>
      <c r="X1870" s="67" t="str">
        <f>IF(AND(A1870="",E1870=""),"",IF(V1870="Oui","Annulé",IF(AND(N(H1870)&gt;0,N(T1870)&gt;=N(H1870)),"Reçu",IF(N(S1870)=0,"Brouillon",IF(AND(ISNUMBER(R1870),R1870&lt;p_today),"En retard",IF(N(T1870)&gt;0,"Partiel","Envoyé"))))))</f>
        <v/>
      </c>
      <c r="Y1870" s="75" t="str">
        <f>IF(X1870="En retard",p_today-R1870,IF(AND(X1870="Reçu",ISNUMBER(R1870)),MAX(0,N(U1870)-R1870),""))</f>
        <v/>
      </c>
      <c r="Z1870" s="67" t="str">
        <f>IF(AND(A1870="",E1870=""),"",IF(A1870="","N° de bon manquant",IF(N(B1870)=0,"Date de commande manquante",IF(C1870="","Fournisseur manquant",IF(ISNA(MATCH($C1870,sup_code,0)),"Fournisseur inconnu",IF(E1870="","Article manquant",IF(ISNA(MATCH($E1870,art_ref,0)),"Article inconnu",IF(N(H1870)&lt;=0,"Quantité invalide",IF(J1870="","Prix manquant",IF(OR(N(K1870)&lt;0,N(K1870)&gt;=1),"Remise invalide",IF(M1870="","TVA manquante",IF(ISNA(MATCH(M1870,p_tva,0)),"Taux de TVA inconnu",IF(COUNTIFS(po_num,A1870,po_sup,"&lt;&gt;"&amp;C1870)&gt;0,"Fournisseur différent sur ce bon",IF(COUNTIFS(po_num,A1870,po_date,"&lt;&gt;"&amp;B1870)&gt;0,"Date différente sur ce bon",IF(COUNTIF(po_num,A1870)&gt;25,"Plus de 25 lignes sur ce bon",IF(R1870="","Date de livraison manquante",IF(R1870&lt;B1870,"Livraison avant la commande",IF(AND(N(T1870)&gt;0,N(S1870)=0),"Date d'envoi manquante",IF(N(T1870)&gt;N(H1870),"Reçu plus que commandé",IF(AND(N(T1870)&gt;0,N(U1870)=0),"Date de réception manquante",IF(AND(N(U1870)&gt;0,U1870&lt;B1870),"Réception avant la commande","OK")))))))))))))))))))))</f>
        <v/>
      </c>
      <c r="AA1870" s="66" t="str">
        <f>IF(AND(X1870="Reçu",ISNUMBER(R1870)),IF(N(U1870)&lt;=R1870,1,0),"")</f>
        <v/>
      </c>
      <c r="AB1870" s="76" t="str">
        <f>IF(OR(X1870="Envoyé",X1870="Partiel",X1870="En retard"),IF(ISNUMBER(R1870),R1870,100000)+ROW()/100000,"")</f>
        <v/>
      </c>
      <c r="AC1870" s="66" t="str">
        <f>IF(A1870="","",IF(COUNTIF($A$6:A1870,A1870)=1,1,""))</f>
        <v/>
      </c>
      <c r="AD1870" s="66" t="str">
        <f>IF(AC1870=1,COUNT($AC$6:AC1870),"")</f>
        <v/>
      </c>
      <c r="AE1870" s="66" t="str">
        <f>IFERROR(INDEX(po_num,MATCH(1865,po_seq,0))&amp;"","")</f>
        <v/>
      </c>
      <c r="AF1870" s="66" t="str">
        <f>IF(OR(A1870="",p_po=""),"",IF(A1870&amp;""=p_po,COUNTIF($A$6:A1870,A1870),""))</f>
        <v/>
      </c>
      <c r="AG1870" s="66" t="str">
        <f>IF(OR(AB1870="",A1870=""),"",IF(COUNTIFS($A$6:A1870,A1870,$AB$6:AB1870,"&gt;0")=1,1,""))</f>
        <v/>
      </c>
      <c r="AH1870" s="70" t="str">
        <f>IF(AB1870="","",ROUND(N(W1870)*N(J1870)*(1-N(K1870)),2))</f>
        <v/>
      </c>
      <c r="AI1870" s="70" t="str">
        <f>IF(OR(J1870="",N(T1870)&lt;=0,V1870="Oui"),"",ROUND(N(T1870)*J1870*(1-N(K1870)),2))</f>
        <v/>
      </c>
    </row>
    <row r="1871">
      <c r="A1871" s="63" t="n"/>
      <c r="B1871" s="64" t="n"/>
      <c r="C1871" s="65" t="n"/>
      <c r="D1871" s="66" t="str">
        <f>IF(C1871="","",IFERROR(INDEX(sup_name,MATCH($C1871,sup_code,0))&amp;"","Fournisseur inconnu"))</f>
        <v/>
      </c>
      <c r="E1871" s="63" t="n"/>
      <c r="F1871" s="66" t="str">
        <f>IF(E1871="","",IFERROR(INDEX(art_des,MATCH($E1871,art_ref,0))&amp;"","Article inconnu"))</f>
        <v/>
      </c>
      <c r="G1871" s="67" t="str">
        <f>IF(E1871="","",IFERROR(INDEX(art_unit,MATCH($E1871,art_ref,0))&amp;"",""))</f>
        <v/>
      </c>
      <c r="H1871" s="68" t="n"/>
      <c r="I1871" s="69" t="n"/>
      <c r="J1871" s="70" t="str">
        <f>IF(E1871="","",IF(ISNUMBER(I1871),I1871,IFERROR(IF(ISNUMBER(INDEX(art_price,MATCH($E1871,art_ref,0))),INDEX(art_price,MATCH($E1871,art_ref,0)),""),"")))</f>
        <v/>
      </c>
      <c r="K1871" s="71" t="n"/>
      <c r="L1871" s="72" t="n"/>
      <c r="M1871" s="72" t="str">
        <f>IF(E1871="","",IF(L1871&lt;&gt;"",L1871,IFERROR(IF(ISNUMBER(INDEX(art_tva,MATCH($E1871,art_ref,0))),INDEX(art_tva,MATCH($E1871,art_ref,0)),""),"")))</f>
        <v/>
      </c>
      <c r="N1871" s="70" t="str">
        <f>IF(OR(E1871="",J1871=""),"",ROUND(N(H1871)*J1871*(1-N(K1871)),2))</f>
        <v/>
      </c>
      <c r="O1871" s="70" t="str">
        <f>IF(OR(N1871="",NOT(ISNUMBER(M1871))),"",ROUND(N1871*M1871,2))</f>
        <v/>
      </c>
      <c r="P1871" s="70" t="str">
        <f>IF(N1871="","",N1871+N(O1871))</f>
        <v/>
      </c>
      <c r="Q1871" s="64" t="n"/>
      <c r="R1871" s="73" t="str">
        <f>IF(N(Q1871)&gt;0,Q1871,IF(OR(N(B1871)=0,ISNA(MATCH($C1871,sup_code,0))),"",IF(ISNUMBER(INDEX(sup_delay,MATCH($C1871,sup_code,0))),B1871+INDEX(sup_delay,MATCH($C1871,sup_code,0)),"")))</f>
        <v/>
      </c>
      <c r="S1871" s="64" t="n"/>
      <c r="T1871" s="68" t="n"/>
      <c r="U1871" s="64" t="n"/>
      <c r="V1871" s="65" t="n"/>
      <c r="W1871" s="74" t="str">
        <f>IF(AND(A1871="",E1871=""),"",IF(V1871="Oui",0,MAX(0,ROUND(N(H1871)-N(T1871),6))))</f>
        <v/>
      </c>
      <c r="X1871" s="67" t="str">
        <f>IF(AND(A1871="",E1871=""),"",IF(V1871="Oui","Annulé",IF(AND(N(H1871)&gt;0,N(T1871)&gt;=N(H1871)),"Reçu",IF(N(S1871)=0,"Brouillon",IF(AND(ISNUMBER(R1871),R1871&lt;p_today),"En retard",IF(N(T1871)&gt;0,"Partiel","Envoyé"))))))</f>
        <v/>
      </c>
      <c r="Y1871" s="75" t="str">
        <f>IF(X1871="En retard",p_today-R1871,IF(AND(X1871="Reçu",ISNUMBER(R1871)),MAX(0,N(U1871)-R1871),""))</f>
        <v/>
      </c>
      <c r="Z1871" s="67" t="str">
        <f>IF(AND(A1871="",E1871=""),"",IF(A1871="","N° de bon manquant",IF(N(B1871)=0,"Date de commande manquante",IF(C1871="","Fournisseur manquant",IF(ISNA(MATCH($C1871,sup_code,0)),"Fournisseur inconnu",IF(E1871="","Article manquant",IF(ISNA(MATCH($E1871,art_ref,0)),"Article inconnu",IF(N(H1871)&lt;=0,"Quantité invalide",IF(J1871="","Prix manquant",IF(OR(N(K1871)&lt;0,N(K1871)&gt;=1),"Remise invalide",IF(M1871="","TVA manquante",IF(ISNA(MATCH(M1871,p_tva,0)),"Taux de TVA inconnu",IF(COUNTIFS(po_num,A1871,po_sup,"&lt;&gt;"&amp;C1871)&gt;0,"Fournisseur différent sur ce bon",IF(COUNTIFS(po_num,A1871,po_date,"&lt;&gt;"&amp;B1871)&gt;0,"Date différente sur ce bon",IF(COUNTIF(po_num,A1871)&gt;25,"Plus de 25 lignes sur ce bon",IF(R1871="","Date de livraison manquante",IF(R1871&lt;B1871,"Livraison avant la commande",IF(AND(N(T1871)&gt;0,N(S1871)=0),"Date d'envoi manquante",IF(N(T1871)&gt;N(H1871),"Reçu plus que commandé",IF(AND(N(T1871)&gt;0,N(U1871)=0),"Date de réception manquante",IF(AND(N(U1871)&gt;0,U1871&lt;B1871),"Réception avant la commande","OK")))))))))))))))))))))</f>
        <v/>
      </c>
      <c r="AA1871" s="66" t="str">
        <f>IF(AND(X1871="Reçu",ISNUMBER(R1871)),IF(N(U1871)&lt;=R1871,1,0),"")</f>
        <v/>
      </c>
      <c r="AB1871" s="76" t="str">
        <f>IF(OR(X1871="Envoyé",X1871="Partiel",X1871="En retard"),IF(ISNUMBER(R1871),R1871,100000)+ROW()/100000,"")</f>
        <v/>
      </c>
      <c r="AC1871" s="66" t="str">
        <f>IF(A1871="","",IF(COUNTIF($A$6:A1871,A1871)=1,1,""))</f>
        <v/>
      </c>
      <c r="AD1871" s="66" t="str">
        <f>IF(AC1871=1,COUNT($AC$6:AC1871),"")</f>
        <v/>
      </c>
      <c r="AE1871" s="66" t="str">
        <f>IFERROR(INDEX(po_num,MATCH(1866,po_seq,0))&amp;"","")</f>
        <v/>
      </c>
      <c r="AF1871" s="66" t="str">
        <f>IF(OR(A1871="",p_po=""),"",IF(A1871&amp;""=p_po,COUNTIF($A$6:A1871,A1871),""))</f>
        <v/>
      </c>
      <c r="AG1871" s="66" t="str">
        <f>IF(OR(AB1871="",A1871=""),"",IF(COUNTIFS($A$6:A1871,A1871,$AB$6:AB1871,"&gt;0")=1,1,""))</f>
        <v/>
      </c>
      <c r="AH1871" s="70" t="str">
        <f>IF(AB1871="","",ROUND(N(W1871)*N(J1871)*(1-N(K1871)),2))</f>
        <v/>
      </c>
      <c r="AI1871" s="70" t="str">
        <f>IF(OR(J1871="",N(T1871)&lt;=0,V1871="Oui"),"",ROUND(N(T1871)*J1871*(1-N(K1871)),2))</f>
        <v/>
      </c>
    </row>
    <row r="1872">
      <c r="A1872" s="63" t="n"/>
      <c r="B1872" s="64" t="n"/>
      <c r="C1872" s="65" t="n"/>
      <c r="D1872" s="66" t="str">
        <f>IF(C1872="","",IFERROR(INDEX(sup_name,MATCH($C1872,sup_code,0))&amp;"","Fournisseur inconnu"))</f>
        <v/>
      </c>
      <c r="E1872" s="63" t="n"/>
      <c r="F1872" s="66" t="str">
        <f>IF(E1872="","",IFERROR(INDEX(art_des,MATCH($E1872,art_ref,0))&amp;"","Article inconnu"))</f>
        <v/>
      </c>
      <c r="G1872" s="67" t="str">
        <f>IF(E1872="","",IFERROR(INDEX(art_unit,MATCH($E1872,art_ref,0))&amp;"",""))</f>
        <v/>
      </c>
      <c r="H1872" s="68" t="n"/>
      <c r="I1872" s="69" t="n"/>
      <c r="J1872" s="70" t="str">
        <f>IF(E1872="","",IF(ISNUMBER(I1872),I1872,IFERROR(IF(ISNUMBER(INDEX(art_price,MATCH($E1872,art_ref,0))),INDEX(art_price,MATCH($E1872,art_ref,0)),""),"")))</f>
        <v/>
      </c>
      <c r="K1872" s="71" t="n"/>
      <c r="L1872" s="72" t="n"/>
      <c r="M1872" s="72" t="str">
        <f>IF(E1872="","",IF(L1872&lt;&gt;"",L1872,IFERROR(IF(ISNUMBER(INDEX(art_tva,MATCH($E1872,art_ref,0))),INDEX(art_tva,MATCH($E1872,art_ref,0)),""),"")))</f>
        <v/>
      </c>
      <c r="N1872" s="70" t="str">
        <f>IF(OR(E1872="",J1872=""),"",ROUND(N(H1872)*J1872*(1-N(K1872)),2))</f>
        <v/>
      </c>
      <c r="O1872" s="70" t="str">
        <f>IF(OR(N1872="",NOT(ISNUMBER(M1872))),"",ROUND(N1872*M1872,2))</f>
        <v/>
      </c>
      <c r="P1872" s="70" t="str">
        <f>IF(N1872="","",N1872+N(O1872))</f>
        <v/>
      </c>
      <c r="Q1872" s="64" t="n"/>
      <c r="R1872" s="73" t="str">
        <f>IF(N(Q1872)&gt;0,Q1872,IF(OR(N(B1872)=0,ISNA(MATCH($C1872,sup_code,0))),"",IF(ISNUMBER(INDEX(sup_delay,MATCH($C1872,sup_code,0))),B1872+INDEX(sup_delay,MATCH($C1872,sup_code,0)),"")))</f>
        <v/>
      </c>
      <c r="S1872" s="64" t="n"/>
      <c r="T1872" s="68" t="n"/>
      <c r="U1872" s="64" t="n"/>
      <c r="V1872" s="65" t="n"/>
      <c r="W1872" s="74" t="str">
        <f>IF(AND(A1872="",E1872=""),"",IF(V1872="Oui",0,MAX(0,ROUND(N(H1872)-N(T1872),6))))</f>
        <v/>
      </c>
      <c r="X1872" s="67" t="str">
        <f>IF(AND(A1872="",E1872=""),"",IF(V1872="Oui","Annulé",IF(AND(N(H1872)&gt;0,N(T1872)&gt;=N(H1872)),"Reçu",IF(N(S1872)=0,"Brouillon",IF(AND(ISNUMBER(R1872),R1872&lt;p_today),"En retard",IF(N(T1872)&gt;0,"Partiel","Envoyé"))))))</f>
        <v/>
      </c>
      <c r="Y1872" s="75" t="str">
        <f>IF(X1872="En retard",p_today-R1872,IF(AND(X1872="Reçu",ISNUMBER(R1872)),MAX(0,N(U1872)-R1872),""))</f>
        <v/>
      </c>
      <c r="Z1872" s="67" t="str">
        <f>IF(AND(A1872="",E1872=""),"",IF(A1872="","N° de bon manquant",IF(N(B1872)=0,"Date de commande manquante",IF(C1872="","Fournisseur manquant",IF(ISNA(MATCH($C1872,sup_code,0)),"Fournisseur inconnu",IF(E1872="","Article manquant",IF(ISNA(MATCH($E1872,art_ref,0)),"Article inconnu",IF(N(H1872)&lt;=0,"Quantité invalide",IF(J1872="","Prix manquant",IF(OR(N(K1872)&lt;0,N(K1872)&gt;=1),"Remise invalide",IF(M1872="","TVA manquante",IF(ISNA(MATCH(M1872,p_tva,0)),"Taux de TVA inconnu",IF(COUNTIFS(po_num,A1872,po_sup,"&lt;&gt;"&amp;C1872)&gt;0,"Fournisseur différent sur ce bon",IF(COUNTIFS(po_num,A1872,po_date,"&lt;&gt;"&amp;B1872)&gt;0,"Date différente sur ce bon",IF(COUNTIF(po_num,A1872)&gt;25,"Plus de 25 lignes sur ce bon",IF(R1872="","Date de livraison manquante",IF(R1872&lt;B1872,"Livraison avant la commande",IF(AND(N(T1872)&gt;0,N(S1872)=0),"Date d'envoi manquante",IF(N(T1872)&gt;N(H1872),"Reçu plus que commandé",IF(AND(N(T1872)&gt;0,N(U1872)=0),"Date de réception manquante",IF(AND(N(U1872)&gt;0,U1872&lt;B1872),"Réception avant la commande","OK")))))))))))))))))))))</f>
        <v/>
      </c>
      <c r="AA1872" s="66" t="str">
        <f>IF(AND(X1872="Reçu",ISNUMBER(R1872)),IF(N(U1872)&lt;=R1872,1,0),"")</f>
        <v/>
      </c>
      <c r="AB1872" s="76" t="str">
        <f>IF(OR(X1872="Envoyé",X1872="Partiel",X1872="En retard"),IF(ISNUMBER(R1872),R1872,100000)+ROW()/100000,"")</f>
        <v/>
      </c>
      <c r="AC1872" s="66" t="str">
        <f>IF(A1872="","",IF(COUNTIF($A$6:A1872,A1872)=1,1,""))</f>
        <v/>
      </c>
      <c r="AD1872" s="66" t="str">
        <f>IF(AC1872=1,COUNT($AC$6:AC1872),"")</f>
        <v/>
      </c>
      <c r="AE1872" s="66" t="str">
        <f>IFERROR(INDEX(po_num,MATCH(1867,po_seq,0))&amp;"","")</f>
        <v/>
      </c>
      <c r="AF1872" s="66" t="str">
        <f>IF(OR(A1872="",p_po=""),"",IF(A1872&amp;""=p_po,COUNTIF($A$6:A1872,A1872),""))</f>
        <v/>
      </c>
      <c r="AG1872" s="66" t="str">
        <f>IF(OR(AB1872="",A1872=""),"",IF(COUNTIFS($A$6:A1872,A1872,$AB$6:AB1872,"&gt;0")=1,1,""))</f>
        <v/>
      </c>
      <c r="AH1872" s="70" t="str">
        <f>IF(AB1872="","",ROUND(N(W1872)*N(J1872)*(1-N(K1872)),2))</f>
        <v/>
      </c>
      <c r="AI1872" s="70" t="str">
        <f>IF(OR(J1872="",N(T1872)&lt;=0,V1872="Oui"),"",ROUND(N(T1872)*J1872*(1-N(K1872)),2))</f>
        <v/>
      </c>
    </row>
    <row r="1873">
      <c r="A1873" s="63" t="n"/>
      <c r="B1873" s="64" t="n"/>
      <c r="C1873" s="65" t="n"/>
      <c r="D1873" s="66" t="str">
        <f>IF(C1873="","",IFERROR(INDEX(sup_name,MATCH($C1873,sup_code,0))&amp;"","Fournisseur inconnu"))</f>
        <v/>
      </c>
      <c r="E1873" s="63" t="n"/>
      <c r="F1873" s="66" t="str">
        <f>IF(E1873="","",IFERROR(INDEX(art_des,MATCH($E1873,art_ref,0))&amp;"","Article inconnu"))</f>
        <v/>
      </c>
      <c r="G1873" s="67" t="str">
        <f>IF(E1873="","",IFERROR(INDEX(art_unit,MATCH($E1873,art_ref,0))&amp;"",""))</f>
        <v/>
      </c>
      <c r="H1873" s="68" t="n"/>
      <c r="I1873" s="69" t="n"/>
      <c r="J1873" s="70" t="str">
        <f>IF(E1873="","",IF(ISNUMBER(I1873),I1873,IFERROR(IF(ISNUMBER(INDEX(art_price,MATCH($E1873,art_ref,0))),INDEX(art_price,MATCH($E1873,art_ref,0)),""),"")))</f>
        <v/>
      </c>
      <c r="K1873" s="71" t="n"/>
      <c r="L1873" s="72" t="n"/>
      <c r="M1873" s="72" t="str">
        <f>IF(E1873="","",IF(L1873&lt;&gt;"",L1873,IFERROR(IF(ISNUMBER(INDEX(art_tva,MATCH($E1873,art_ref,0))),INDEX(art_tva,MATCH($E1873,art_ref,0)),""),"")))</f>
        <v/>
      </c>
      <c r="N1873" s="70" t="str">
        <f>IF(OR(E1873="",J1873=""),"",ROUND(N(H1873)*J1873*(1-N(K1873)),2))</f>
        <v/>
      </c>
      <c r="O1873" s="70" t="str">
        <f>IF(OR(N1873="",NOT(ISNUMBER(M1873))),"",ROUND(N1873*M1873,2))</f>
        <v/>
      </c>
      <c r="P1873" s="70" t="str">
        <f>IF(N1873="","",N1873+N(O1873))</f>
        <v/>
      </c>
      <c r="Q1873" s="64" t="n"/>
      <c r="R1873" s="73" t="str">
        <f>IF(N(Q1873)&gt;0,Q1873,IF(OR(N(B1873)=0,ISNA(MATCH($C1873,sup_code,0))),"",IF(ISNUMBER(INDEX(sup_delay,MATCH($C1873,sup_code,0))),B1873+INDEX(sup_delay,MATCH($C1873,sup_code,0)),"")))</f>
        <v/>
      </c>
      <c r="S1873" s="64" t="n"/>
      <c r="T1873" s="68" t="n"/>
      <c r="U1873" s="64" t="n"/>
      <c r="V1873" s="65" t="n"/>
      <c r="W1873" s="74" t="str">
        <f>IF(AND(A1873="",E1873=""),"",IF(V1873="Oui",0,MAX(0,ROUND(N(H1873)-N(T1873),6))))</f>
        <v/>
      </c>
      <c r="X1873" s="67" t="str">
        <f>IF(AND(A1873="",E1873=""),"",IF(V1873="Oui","Annulé",IF(AND(N(H1873)&gt;0,N(T1873)&gt;=N(H1873)),"Reçu",IF(N(S1873)=0,"Brouillon",IF(AND(ISNUMBER(R1873),R1873&lt;p_today),"En retard",IF(N(T1873)&gt;0,"Partiel","Envoyé"))))))</f>
        <v/>
      </c>
      <c r="Y1873" s="75" t="str">
        <f>IF(X1873="En retard",p_today-R1873,IF(AND(X1873="Reçu",ISNUMBER(R1873)),MAX(0,N(U1873)-R1873),""))</f>
        <v/>
      </c>
      <c r="Z1873" s="67" t="str">
        <f>IF(AND(A1873="",E1873=""),"",IF(A1873="","N° de bon manquant",IF(N(B1873)=0,"Date de commande manquante",IF(C1873="","Fournisseur manquant",IF(ISNA(MATCH($C1873,sup_code,0)),"Fournisseur inconnu",IF(E1873="","Article manquant",IF(ISNA(MATCH($E1873,art_ref,0)),"Article inconnu",IF(N(H1873)&lt;=0,"Quantité invalide",IF(J1873="","Prix manquant",IF(OR(N(K1873)&lt;0,N(K1873)&gt;=1),"Remise invalide",IF(M1873="","TVA manquante",IF(ISNA(MATCH(M1873,p_tva,0)),"Taux de TVA inconnu",IF(COUNTIFS(po_num,A1873,po_sup,"&lt;&gt;"&amp;C1873)&gt;0,"Fournisseur différent sur ce bon",IF(COUNTIFS(po_num,A1873,po_date,"&lt;&gt;"&amp;B1873)&gt;0,"Date différente sur ce bon",IF(COUNTIF(po_num,A1873)&gt;25,"Plus de 25 lignes sur ce bon",IF(R1873="","Date de livraison manquante",IF(R1873&lt;B1873,"Livraison avant la commande",IF(AND(N(T1873)&gt;0,N(S1873)=0),"Date d'envoi manquante",IF(N(T1873)&gt;N(H1873),"Reçu plus que commandé",IF(AND(N(T1873)&gt;0,N(U1873)=0),"Date de réception manquante",IF(AND(N(U1873)&gt;0,U1873&lt;B1873),"Réception avant la commande","OK")))))))))))))))))))))</f>
        <v/>
      </c>
      <c r="AA1873" s="66" t="str">
        <f>IF(AND(X1873="Reçu",ISNUMBER(R1873)),IF(N(U1873)&lt;=R1873,1,0),"")</f>
        <v/>
      </c>
      <c r="AB1873" s="76" t="str">
        <f>IF(OR(X1873="Envoyé",X1873="Partiel",X1873="En retard"),IF(ISNUMBER(R1873),R1873,100000)+ROW()/100000,"")</f>
        <v/>
      </c>
      <c r="AC1873" s="66" t="str">
        <f>IF(A1873="","",IF(COUNTIF($A$6:A1873,A1873)=1,1,""))</f>
        <v/>
      </c>
      <c r="AD1873" s="66" t="str">
        <f>IF(AC1873=1,COUNT($AC$6:AC1873),"")</f>
        <v/>
      </c>
      <c r="AE1873" s="66" t="str">
        <f>IFERROR(INDEX(po_num,MATCH(1868,po_seq,0))&amp;"","")</f>
        <v/>
      </c>
      <c r="AF1873" s="66" t="str">
        <f>IF(OR(A1873="",p_po=""),"",IF(A1873&amp;""=p_po,COUNTIF($A$6:A1873,A1873),""))</f>
        <v/>
      </c>
      <c r="AG1873" s="66" t="str">
        <f>IF(OR(AB1873="",A1873=""),"",IF(COUNTIFS($A$6:A1873,A1873,$AB$6:AB1873,"&gt;0")=1,1,""))</f>
        <v/>
      </c>
      <c r="AH1873" s="70" t="str">
        <f>IF(AB1873="","",ROUND(N(W1873)*N(J1873)*(1-N(K1873)),2))</f>
        <v/>
      </c>
      <c r="AI1873" s="70" t="str">
        <f>IF(OR(J1873="",N(T1873)&lt;=0,V1873="Oui"),"",ROUND(N(T1873)*J1873*(1-N(K1873)),2))</f>
        <v/>
      </c>
    </row>
    <row r="1874">
      <c r="A1874" s="63" t="n"/>
      <c r="B1874" s="64" t="n"/>
      <c r="C1874" s="65" t="n"/>
      <c r="D1874" s="66" t="str">
        <f>IF(C1874="","",IFERROR(INDEX(sup_name,MATCH($C1874,sup_code,0))&amp;"","Fournisseur inconnu"))</f>
        <v/>
      </c>
      <c r="E1874" s="63" t="n"/>
      <c r="F1874" s="66" t="str">
        <f>IF(E1874="","",IFERROR(INDEX(art_des,MATCH($E1874,art_ref,0))&amp;"","Article inconnu"))</f>
        <v/>
      </c>
      <c r="G1874" s="67" t="str">
        <f>IF(E1874="","",IFERROR(INDEX(art_unit,MATCH($E1874,art_ref,0))&amp;"",""))</f>
        <v/>
      </c>
      <c r="H1874" s="68" t="n"/>
      <c r="I1874" s="69" t="n"/>
      <c r="J1874" s="70" t="str">
        <f>IF(E1874="","",IF(ISNUMBER(I1874),I1874,IFERROR(IF(ISNUMBER(INDEX(art_price,MATCH($E1874,art_ref,0))),INDEX(art_price,MATCH($E1874,art_ref,0)),""),"")))</f>
        <v/>
      </c>
      <c r="K1874" s="71" t="n"/>
      <c r="L1874" s="72" t="n"/>
      <c r="M1874" s="72" t="str">
        <f>IF(E1874="","",IF(L1874&lt;&gt;"",L1874,IFERROR(IF(ISNUMBER(INDEX(art_tva,MATCH($E1874,art_ref,0))),INDEX(art_tva,MATCH($E1874,art_ref,0)),""),"")))</f>
        <v/>
      </c>
      <c r="N1874" s="70" t="str">
        <f>IF(OR(E1874="",J1874=""),"",ROUND(N(H1874)*J1874*(1-N(K1874)),2))</f>
        <v/>
      </c>
      <c r="O1874" s="70" t="str">
        <f>IF(OR(N1874="",NOT(ISNUMBER(M1874))),"",ROUND(N1874*M1874,2))</f>
        <v/>
      </c>
      <c r="P1874" s="70" t="str">
        <f>IF(N1874="","",N1874+N(O1874))</f>
        <v/>
      </c>
      <c r="Q1874" s="64" t="n"/>
      <c r="R1874" s="73" t="str">
        <f>IF(N(Q1874)&gt;0,Q1874,IF(OR(N(B1874)=0,ISNA(MATCH($C1874,sup_code,0))),"",IF(ISNUMBER(INDEX(sup_delay,MATCH($C1874,sup_code,0))),B1874+INDEX(sup_delay,MATCH($C1874,sup_code,0)),"")))</f>
        <v/>
      </c>
      <c r="S1874" s="64" t="n"/>
      <c r="T1874" s="68" t="n"/>
      <c r="U1874" s="64" t="n"/>
      <c r="V1874" s="65" t="n"/>
      <c r="W1874" s="74" t="str">
        <f>IF(AND(A1874="",E1874=""),"",IF(V1874="Oui",0,MAX(0,ROUND(N(H1874)-N(T1874),6))))</f>
        <v/>
      </c>
      <c r="X1874" s="67" t="str">
        <f>IF(AND(A1874="",E1874=""),"",IF(V1874="Oui","Annulé",IF(AND(N(H1874)&gt;0,N(T1874)&gt;=N(H1874)),"Reçu",IF(N(S1874)=0,"Brouillon",IF(AND(ISNUMBER(R1874),R1874&lt;p_today),"En retard",IF(N(T1874)&gt;0,"Partiel","Envoyé"))))))</f>
        <v/>
      </c>
      <c r="Y1874" s="75" t="str">
        <f>IF(X1874="En retard",p_today-R1874,IF(AND(X1874="Reçu",ISNUMBER(R1874)),MAX(0,N(U1874)-R1874),""))</f>
        <v/>
      </c>
      <c r="Z1874" s="67" t="str">
        <f>IF(AND(A1874="",E1874=""),"",IF(A1874="","N° de bon manquant",IF(N(B1874)=0,"Date de commande manquante",IF(C1874="","Fournisseur manquant",IF(ISNA(MATCH($C1874,sup_code,0)),"Fournisseur inconnu",IF(E1874="","Article manquant",IF(ISNA(MATCH($E1874,art_ref,0)),"Article inconnu",IF(N(H1874)&lt;=0,"Quantité invalide",IF(J1874="","Prix manquant",IF(OR(N(K1874)&lt;0,N(K1874)&gt;=1),"Remise invalide",IF(M1874="","TVA manquante",IF(ISNA(MATCH(M1874,p_tva,0)),"Taux de TVA inconnu",IF(COUNTIFS(po_num,A1874,po_sup,"&lt;&gt;"&amp;C1874)&gt;0,"Fournisseur différent sur ce bon",IF(COUNTIFS(po_num,A1874,po_date,"&lt;&gt;"&amp;B1874)&gt;0,"Date différente sur ce bon",IF(COUNTIF(po_num,A1874)&gt;25,"Plus de 25 lignes sur ce bon",IF(R1874="","Date de livraison manquante",IF(R1874&lt;B1874,"Livraison avant la commande",IF(AND(N(T1874)&gt;0,N(S1874)=0),"Date d'envoi manquante",IF(N(T1874)&gt;N(H1874),"Reçu plus que commandé",IF(AND(N(T1874)&gt;0,N(U1874)=0),"Date de réception manquante",IF(AND(N(U1874)&gt;0,U1874&lt;B1874),"Réception avant la commande","OK")))))))))))))))))))))</f>
        <v/>
      </c>
      <c r="AA1874" s="66" t="str">
        <f>IF(AND(X1874="Reçu",ISNUMBER(R1874)),IF(N(U1874)&lt;=R1874,1,0),"")</f>
        <v/>
      </c>
      <c r="AB1874" s="76" t="str">
        <f>IF(OR(X1874="Envoyé",X1874="Partiel",X1874="En retard"),IF(ISNUMBER(R1874),R1874,100000)+ROW()/100000,"")</f>
        <v/>
      </c>
      <c r="AC1874" s="66" t="str">
        <f>IF(A1874="","",IF(COUNTIF($A$6:A1874,A1874)=1,1,""))</f>
        <v/>
      </c>
      <c r="AD1874" s="66" t="str">
        <f>IF(AC1874=1,COUNT($AC$6:AC1874),"")</f>
        <v/>
      </c>
      <c r="AE1874" s="66" t="str">
        <f>IFERROR(INDEX(po_num,MATCH(1869,po_seq,0))&amp;"","")</f>
        <v/>
      </c>
      <c r="AF1874" s="66" t="str">
        <f>IF(OR(A1874="",p_po=""),"",IF(A1874&amp;""=p_po,COUNTIF($A$6:A1874,A1874),""))</f>
        <v/>
      </c>
      <c r="AG1874" s="66" t="str">
        <f>IF(OR(AB1874="",A1874=""),"",IF(COUNTIFS($A$6:A1874,A1874,$AB$6:AB1874,"&gt;0")=1,1,""))</f>
        <v/>
      </c>
      <c r="AH1874" s="70" t="str">
        <f>IF(AB1874="","",ROUND(N(W1874)*N(J1874)*(1-N(K1874)),2))</f>
        <v/>
      </c>
      <c r="AI1874" s="70" t="str">
        <f>IF(OR(J1874="",N(T1874)&lt;=0,V1874="Oui"),"",ROUND(N(T1874)*J1874*(1-N(K1874)),2))</f>
        <v/>
      </c>
    </row>
    <row r="1875">
      <c r="A1875" s="63" t="n"/>
      <c r="B1875" s="64" t="n"/>
      <c r="C1875" s="65" t="n"/>
      <c r="D1875" s="66" t="str">
        <f>IF(C1875="","",IFERROR(INDEX(sup_name,MATCH($C1875,sup_code,0))&amp;"","Fournisseur inconnu"))</f>
        <v/>
      </c>
      <c r="E1875" s="63" t="n"/>
      <c r="F1875" s="66" t="str">
        <f>IF(E1875="","",IFERROR(INDEX(art_des,MATCH($E1875,art_ref,0))&amp;"","Article inconnu"))</f>
        <v/>
      </c>
      <c r="G1875" s="67" t="str">
        <f>IF(E1875="","",IFERROR(INDEX(art_unit,MATCH($E1875,art_ref,0))&amp;"",""))</f>
        <v/>
      </c>
      <c r="H1875" s="68" t="n"/>
      <c r="I1875" s="69" t="n"/>
      <c r="J1875" s="70" t="str">
        <f>IF(E1875="","",IF(ISNUMBER(I1875),I1875,IFERROR(IF(ISNUMBER(INDEX(art_price,MATCH($E1875,art_ref,0))),INDEX(art_price,MATCH($E1875,art_ref,0)),""),"")))</f>
        <v/>
      </c>
      <c r="K1875" s="71" t="n"/>
      <c r="L1875" s="72" t="n"/>
      <c r="M1875" s="72" t="str">
        <f>IF(E1875="","",IF(L1875&lt;&gt;"",L1875,IFERROR(IF(ISNUMBER(INDEX(art_tva,MATCH($E1875,art_ref,0))),INDEX(art_tva,MATCH($E1875,art_ref,0)),""),"")))</f>
        <v/>
      </c>
      <c r="N1875" s="70" t="str">
        <f>IF(OR(E1875="",J1875=""),"",ROUND(N(H1875)*J1875*(1-N(K1875)),2))</f>
        <v/>
      </c>
      <c r="O1875" s="70" t="str">
        <f>IF(OR(N1875="",NOT(ISNUMBER(M1875))),"",ROUND(N1875*M1875,2))</f>
        <v/>
      </c>
      <c r="P1875" s="70" t="str">
        <f>IF(N1875="","",N1875+N(O1875))</f>
        <v/>
      </c>
      <c r="Q1875" s="64" t="n"/>
      <c r="R1875" s="73" t="str">
        <f>IF(N(Q1875)&gt;0,Q1875,IF(OR(N(B1875)=0,ISNA(MATCH($C1875,sup_code,0))),"",IF(ISNUMBER(INDEX(sup_delay,MATCH($C1875,sup_code,0))),B1875+INDEX(sup_delay,MATCH($C1875,sup_code,0)),"")))</f>
        <v/>
      </c>
      <c r="S1875" s="64" t="n"/>
      <c r="T1875" s="68" t="n"/>
      <c r="U1875" s="64" t="n"/>
      <c r="V1875" s="65" t="n"/>
      <c r="W1875" s="74" t="str">
        <f>IF(AND(A1875="",E1875=""),"",IF(V1875="Oui",0,MAX(0,ROUND(N(H1875)-N(T1875),6))))</f>
        <v/>
      </c>
      <c r="X1875" s="67" t="str">
        <f>IF(AND(A1875="",E1875=""),"",IF(V1875="Oui","Annulé",IF(AND(N(H1875)&gt;0,N(T1875)&gt;=N(H1875)),"Reçu",IF(N(S1875)=0,"Brouillon",IF(AND(ISNUMBER(R1875),R1875&lt;p_today),"En retard",IF(N(T1875)&gt;0,"Partiel","Envoyé"))))))</f>
        <v/>
      </c>
      <c r="Y1875" s="75" t="str">
        <f>IF(X1875="En retard",p_today-R1875,IF(AND(X1875="Reçu",ISNUMBER(R1875)),MAX(0,N(U1875)-R1875),""))</f>
        <v/>
      </c>
      <c r="Z1875" s="67" t="str">
        <f>IF(AND(A1875="",E1875=""),"",IF(A1875="","N° de bon manquant",IF(N(B1875)=0,"Date de commande manquante",IF(C1875="","Fournisseur manquant",IF(ISNA(MATCH($C1875,sup_code,0)),"Fournisseur inconnu",IF(E1875="","Article manquant",IF(ISNA(MATCH($E1875,art_ref,0)),"Article inconnu",IF(N(H1875)&lt;=0,"Quantité invalide",IF(J1875="","Prix manquant",IF(OR(N(K1875)&lt;0,N(K1875)&gt;=1),"Remise invalide",IF(M1875="","TVA manquante",IF(ISNA(MATCH(M1875,p_tva,0)),"Taux de TVA inconnu",IF(COUNTIFS(po_num,A1875,po_sup,"&lt;&gt;"&amp;C1875)&gt;0,"Fournisseur différent sur ce bon",IF(COUNTIFS(po_num,A1875,po_date,"&lt;&gt;"&amp;B1875)&gt;0,"Date différente sur ce bon",IF(COUNTIF(po_num,A1875)&gt;25,"Plus de 25 lignes sur ce bon",IF(R1875="","Date de livraison manquante",IF(R1875&lt;B1875,"Livraison avant la commande",IF(AND(N(T1875)&gt;0,N(S1875)=0),"Date d'envoi manquante",IF(N(T1875)&gt;N(H1875),"Reçu plus que commandé",IF(AND(N(T1875)&gt;0,N(U1875)=0),"Date de réception manquante",IF(AND(N(U1875)&gt;0,U1875&lt;B1875),"Réception avant la commande","OK")))))))))))))))))))))</f>
        <v/>
      </c>
      <c r="AA1875" s="66" t="str">
        <f>IF(AND(X1875="Reçu",ISNUMBER(R1875)),IF(N(U1875)&lt;=R1875,1,0),"")</f>
        <v/>
      </c>
      <c r="AB1875" s="76" t="str">
        <f>IF(OR(X1875="Envoyé",X1875="Partiel",X1875="En retard"),IF(ISNUMBER(R1875),R1875,100000)+ROW()/100000,"")</f>
        <v/>
      </c>
      <c r="AC1875" s="66" t="str">
        <f>IF(A1875="","",IF(COUNTIF($A$6:A1875,A1875)=1,1,""))</f>
        <v/>
      </c>
      <c r="AD1875" s="66" t="str">
        <f>IF(AC1875=1,COUNT($AC$6:AC1875),"")</f>
        <v/>
      </c>
      <c r="AE1875" s="66" t="str">
        <f>IFERROR(INDEX(po_num,MATCH(1870,po_seq,0))&amp;"","")</f>
        <v/>
      </c>
      <c r="AF1875" s="66" t="str">
        <f>IF(OR(A1875="",p_po=""),"",IF(A1875&amp;""=p_po,COUNTIF($A$6:A1875,A1875),""))</f>
        <v/>
      </c>
      <c r="AG1875" s="66" t="str">
        <f>IF(OR(AB1875="",A1875=""),"",IF(COUNTIFS($A$6:A1875,A1875,$AB$6:AB1875,"&gt;0")=1,1,""))</f>
        <v/>
      </c>
      <c r="AH1875" s="70" t="str">
        <f>IF(AB1875="","",ROUND(N(W1875)*N(J1875)*(1-N(K1875)),2))</f>
        <v/>
      </c>
      <c r="AI1875" s="70" t="str">
        <f>IF(OR(J1875="",N(T1875)&lt;=0,V1875="Oui"),"",ROUND(N(T1875)*J1875*(1-N(K1875)),2))</f>
        <v/>
      </c>
    </row>
    <row r="1876">
      <c r="A1876" s="63" t="n"/>
      <c r="B1876" s="64" t="n"/>
      <c r="C1876" s="65" t="n"/>
      <c r="D1876" s="66" t="str">
        <f>IF(C1876="","",IFERROR(INDEX(sup_name,MATCH($C1876,sup_code,0))&amp;"","Fournisseur inconnu"))</f>
        <v/>
      </c>
      <c r="E1876" s="63" t="n"/>
      <c r="F1876" s="66" t="str">
        <f>IF(E1876="","",IFERROR(INDEX(art_des,MATCH($E1876,art_ref,0))&amp;"","Article inconnu"))</f>
        <v/>
      </c>
      <c r="G1876" s="67" t="str">
        <f>IF(E1876="","",IFERROR(INDEX(art_unit,MATCH($E1876,art_ref,0))&amp;"",""))</f>
        <v/>
      </c>
      <c r="H1876" s="68" t="n"/>
      <c r="I1876" s="69" t="n"/>
      <c r="J1876" s="70" t="str">
        <f>IF(E1876="","",IF(ISNUMBER(I1876),I1876,IFERROR(IF(ISNUMBER(INDEX(art_price,MATCH($E1876,art_ref,0))),INDEX(art_price,MATCH($E1876,art_ref,0)),""),"")))</f>
        <v/>
      </c>
      <c r="K1876" s="71" t="n"/>
      <c r="L1876" s="72" t="n"/>
      <c r="M1876" s="72" t="str">
        <f>IF(E1876="","",IF(L1876&lt;&gt;"",L1876,IFERROR(IF(ISNUMBER(INDEX(art_tva,MATCH($E1876,art_ref,0))),INDEX(art_tva,MATCH($E1876,art_ref,0)),""),"")))</f>
        <v/>
      </c>
      <c r="N1876" s="70" t="str">
        <f>IF(OR(E1876="",J1876=""),"",ROUND(N(H1876)*J1876*(1-N(K1876)),2))</f>
        <v/>
      </c>
      <c r="O1876" s="70" t="str">
        <f>IF(OR(N1876="",NOT(ISNUMBER(M1876))),"",ROUND(N1876*M1876,2))</f>
        <v/>
      </c>
      <c r="P1876" s="70" t="str">
        <f>IF(N1876="","",N1876+N(O1876))</f>
        <v/>
      </c>
      <c r="Q1876" s="64" t="n"/>
      <c r="R1876" s="73" t="str">
        <f>IF(N(Q1876)&gt;0,Q1876,IF(OR(N(B1876)=0,ISNA(MATCH($C1876,sup_code,0))),"",IF(ISNUMBER(INDEX(sup_delay,MATCH($C1876,sup_code,0))),B1876+INDEX(sup_delay,MATCH($C1876,sup_code,0)),"")))</f>
        <v/>
      </c>
      <c r="S1876" s="64" t="n"/>
      <c r="T1876" s="68" t="n"/>
      <c r="U1876" s="64" t="n"/>
      <c r="V1876" s="65" t="n"/>
      <c r="W1876" s="74" t="str">
        <f>IF(AND(A1876="",E1876=""),"",IF(V1876="Oui",0,MAX(0,ROUND(N(H1876)-N(T1876),6))))</f>
        <v/>
      </c>
      <c r="X1876" s="67" t="str">
        <f>IF(AND(A1876="",E1876=""),"",IF(V1876="Oui","Annulé",IF(AND(N(H1876)&gt;0,N(T1876)&gt;=N(H1876)),"Reçu",IF(N(S1876)=0,"Brouillon",IF(AND(ISNUMBER(R1876),R1876&lt;p_today),"En retard",IF(N(T1876)&gt;0,"Partiel","Envoyé"))))))</f>
        <v/>
      </c>
      <c r="Y1876" s="75" t="str">
        <f>IF(X1876="En retard",p_today-R1876,IF(AND(X1876="Reçu",ISNUMBER(R1876)),MAX(0,N(U1876)-R1876),""))</f>
        <v/>
      </c>
      <c r="Z1876" s="67" t="str">
        <f>IF(AND(A1876="",E1876=""),"",IF(A1876="","N° de bon manquant",IF(N(B1876)=0,"Date de commande manquante",IF(C1876="","Fournisseur manquant",IF(ISNA(MATCH($C1876,sup_code,0)),"Fournisseur inconnu",IF(E1876="","Article manquant",IF(ISNA(MATCH($E1876,art_ref,0)),"Article inconnu",IF(N(H1876)&lt;=0,"Quantité invalide",IF(J1876="","Prix manquant",IF(OR(N(K1876)&lt;0,N(K1876)&gt;=1),"Remise invalide",IF(M1876="","TVA manquante",IF(ISNA(MATCH(M1876,p_tva,0)),"Taux de TVA inconnu",IF(COUNTIFS(po_num,A1876,po_sup,"&lt;&gt;"&amp;C1876)&gt;0,"Fournisseur différent sur ce bon",IF(COUNTIFS(po_num,A1876,po_date,"&lt;&gt;"&amp;B1876)&gt;0,"Date différente sur ce bon",IF(COUNTIF(po_num,A1876)&gt;25,"Plus de 25 lignes sur ce bon",IF(R1876="","Date de livraison manquante",IF(R1876&lt;B1876,"Livraison avant la commande",IF(AND(N(T1876)&gt;0,N(S1876)=0),"Date d'envoi manquante",IF(N(T1876)&gt;N(H1876),"Reçu plus que commandé",IF(AND(N(T1876)&gt;0,N(U1876)=0),"Date de réception manquante",IF(AND(N(U1876)&gt;0,U1876&lt;B1876),"Réception avant la commande","OK")))))))))))))))))))))</f>
        <v/>
      </c>
      <c r="AA1876" s="66" t="str">
        <f>IF(AND(X1876="Reçu",ISNUMBER(R1876)),IF(N(U1876)&lt;=R1876,1,0),"")</f>
        <v/>
      </c>
      <c r="AB1876" s="76" t="str">
        <f>IF(OR(X1876="Envoyé",X1876="Partiel",X1876="En retard"),IF(ISNUMBER(R1876),R1876,100000)+ROW()/100000,"")</f>
        <v/>
      </c>
      <c r="AC1876" s="66" t="str">
        <f>IF(A1876="","",IF(COUNTIF($A$6:A1876,A1876)=1,1,""))</f>
        <v/>
      </c>
      <c r="AD1876" s="66" t="str">
        <f>IF(AC1876=1,COUNT($AC$6:AC1876),"")</f>
        <v/>
      </c>
      <c r="AE1876" s="66" t="str">
        <f>IFERROR(INDEX(po_num,MATCH(1871,po_seq,0))&amp;"","")</f>
        <v/>
      </c>
      <c r="AF1876" s="66" t="str">
        <f>IF(OR(A1876="",p_po=""),"",IF(A1876&amp;""=p_po,COUNTIF($A$6:A1876,A1876),""))</f>
        <v/>
      </c>
      <c r="AG1876" s="66" t="str">
        <f>IF(OR(AB1876="",A1876=""),"",IF(COUNTIFS($A$6:A1876,A1876,$AB$6:AB1876,"&gt;0")=1,1,""))</f>
        <v/>
      </c>
      <c r="AH1876" s="70" t="str">
        <f>IF(AB1876="","",ROUND(N(W1876)*N(J1876)*(1-N(K1876)),2))</f>
        <v/>
      </c>
      <c r="AI1876" s="70" t="str">
        <f>IF(OR(J1876="",N(T1876)&lt;=0,V1876="Oui"),"",ROUND(N(T1876)*J1876*(1-N(K1876)),2))</f>
        <v/>
      </c>
    </row>
    <row r="1877">
      <c r="A1877" s="63" t="n"/>
      <c r="B1877" s="64" t="n"/>
      <c r="C1877" s="65" t="n"/>
      <c r="D1877" s="66" t="str">
        <f>IF(C1877="","",IFERROR(INDEX(sup_name,MATCH($C1877,sup_code,0))&amp;"","Fournisseur inconnu"))</f>
        <v/>
      </c>
      <c r="E1877" s="63" t="n"/>
      <c r="F1877" s="66" t="str">
        <f>IF(E1877="","",IFERROR(INDEX(art_des,MATCH($E1877,art_ref,0))&amp;"","Article inconnu"))</f>
        <v/>
      </c>
      <c r="G1877" s="67" t="str">
        <f>IF(E1877="","",IFERROR(INDEX(art_unit,MATCH($E1877,art_ref,0))&amp;"",""))</f>
        <v/>
      </c>
      <c r="H1877" s="68" t="n"/>
      <c r="I1877" s="69" t="n"/>
      <c r="J1877" s="70" t="str">
        <f>IF(E1877="","",IF(ISNUMBER(I1877),I1877,IFERROR(IF(ISNUMBER(INDEX(art_price,MATCH($E1877,art_ref,0))),INDEX(art_price,MATCH($E1877,art_ref,0)),""),"")))</f>
        <v/>
      </c>
      <c r="K1877" s="71" t="n"/>
      <c r="L1877" s="72" t="n"/>
      <c r="M1877" s="72" t="str">
        <f>IF(E1877="","",IF(L1877&lt;&gt;"",L1877,IFERROR(IF(ISNUMBER(INDEX(art_tva,MATCH($E1877,art_ref,0))),INDEX(art_tva,MATCH($E1877,art_ref,0)),""),"")))</f>
        <v/>
      </c>
      <c r="N1877" s="70" t="str">
        <f>IF(OR(E1877="",J1877=""),"",ROUND(N(H1877)*J1877*(1-N(K1877)),2))</f>
        <v/>
      </c>
      <c r="O1877" s="70" t="str">
        <f>IF(OR(N1877="",NOT(ISNUMBER(M1877))),"",ROUND(N1877*M1877,2))</f>
        <v/>
      </c>
      <c r="P1877" s="70" t="str">
        <f>IF(N1877="","",N1877+N(O1877))</f>
        <v/>
      </c>
      <c r="Q1877" s="64" t="n"/>
      <c r="R1877" s="73" t="str">
        <f>IF(N(Q1877)&gt;0,Q1877,IF(OR(N(B1877)=0,ISNA(MATCH($C1877,sup_code,0))),"",IF(ISNUMBER(INDEX(sup_delay,MATCH($C1877,sup_code,0))),B1877+INDEX(sup_delay,MATCH($C1877,sup_code,0)),"")))</f>
        <v/>
      </c>
      <c r="S1877" s="64" t="n"/>
      <c r="T1877" s="68" t="n"/>
      <c r="U1877" s="64" t="n"/>
      <c r="V1877" s="65" t="n"/>
      <c r="W1877" s="74" t="str">
        <f>IF(AND(A1877="",E1877=""),"",IF(V1877="Oui",0,MAX(0,ROUND(N(H1877)-N(T1877),6))))</f>
        <v/>
      </c>
      <c r="X1877" s="67" t="str">
        <f>IF(AND(A1877="",E1877=""),"",IF(V1877="Oui","Annulé",IF(AND(N(H1877)&gt;0,N(T1877)&gt;=N(H1877)),"Reçu",IF(N(S1877)=0,"Brouillon",IF(AND(ISNUMBER(R1877),R1877&lt;p_today),"En retard",IF(N(T1877)&gt;0,"Partiel","Envoyé"))))))</f>
        <v/>
      </c>
      <c r="Y1877" s="75" t="str">
        <f>IF(X1877="En retard",p_today-R1877,IF(AND(X1877="Reçu",ISNUMBER(R1877)),MAX(0,N(U1877)-R1877),""))</f>
        <v/>
      </c>
      <c r="Z1877" s="67" t="str">
        <f>IF(AND(A1877="",E1877=""),"",IF(A1877="","N° de bon manquant",IF(N(B1877)=0,"Date de commande manquante",IF(C1877="","Fournisseur manquant",IF(ISNA(MATCH($C1877,sup_code,0)),"Fournisseur inconnu",IF(E1877="","Article manquant",IF(ISNA(MATCH($E1877,art_ref,0)),"Article inconnu",IF(N(H1877)&lt;=0,"Quantité invalide",IF(J1877="","Prix manquant",IF(OR(N(K1877)&lt;0,N(K1877)&gt;=1),"Remise invalide",IF(M1877="","TVA manquante",IF(ISNA(MATCH(M1877,p_tva,0)),"Taux de TVA inconnu",IF(COUNTIFS(po_num,A1877,po_sup,"&lt;&gt;"&amp;C1877)&gt;0,"Fournisseur différent sur ce bon",IF(COUNTIFS(po_num,A1877,po_date,"&lt;&gt;"&amp;B1877)&gt;0,"Date différente sur ce bon",IF(COUNTIF(po_num,A1877)&gt;25,"Plus de 25 lignes sur ce bon",IF(R1877="","Date de livraison manquante",IF(R1877&lt;B1877,"Livraison avant la commande",IF(AND(N(T1877)&gt;0,N(S1877)=0),"Date d'envoi manquante",IF(N(T1877)&gt;N(H1877),"Reçu plus que commandé",IF(AND(N(T1877)&gt;0,N(U1877)=0),"Date de réception manquante",IF(AND(N(U1877)&gt;0,U1877&lt;B1877),"Réception avant la commande","OK")))))))))))))))))))))</f>
        <v/>
      </c>
      <c r="AA1877" s="66" t="str">
        <f>IF(AND(X1877="Reçu",ISNUMBER(R1877)),IF(N(U1877)&lt;=R1877,1,0),"")</f>
        <v/>
      </c>
      <c r="AB1877" s="76" t="str">
        <f>IF(OR(X1877="Envoyé",X1877="Partiel",X1877="En retard"),IF(ISNUMBER(R1877),R1877,100000)+ROW()/100000,"")</f>
        <v/>
      </c>
      <c r="AC1877" s="66" t="str">
        <f>IF(A1877="","",IF(COUNTIF($A$6:A1877,A1877)=1,1,""))</f>
        <v/>
      </c>
      <c r="AD1877" s="66" t="str">
        <f>IF(AC1877=1,COUNT($AC$6:AC1877),"")</f>
        <v/>
      </c>
      <c r="AE1877" s="66" t="str">
        <f>IFERROR(INDEX(po_num,MATCH(1872,po_seq,0))&amp;"","")</f>
        <v/>
      </c>
      <c r="AF1877" s="66" t="str">
        <f>IF(OR(A1877="",p_po=""),"",IF(A1877&amp;""=p_po,COUNTIF($A$6:A1877,A1877),""))</f>
        <v/>
      </c>
      <c r="AG1877" s="66" t="str">
        <f>IF(OR(AB1877="",A1877=""),"",IF(COUNTIFS($A$6:A1877,A1877,$AB$6:AB1877,"&gt;0")=1,1,""))</f>
        <v/>
      </c>
      <c r="AH1877" s="70" t="str">
        <f>IF(AB1877="","",ROUND(N(W1877)*N(J1877)*(1-N(K1877)),2))</f>
        <v/>
      </c>
      <c r="AI1877" s="70" t="str">
        <f>IF(OR(J1877="",N(T1877)&lt;=0,V1877="Oui"),"",ROUND(N(T1877)*J1877*(1-N(K1877)),2))</f>
        <v/>
      </c>
    </row>
    <row r="1878">
      <c r="A1878" s="63" t="n"/>
      <c r="B1878" s="64" t="n"/>
      <c r="C1878" s="65" t="n"/>
      <c r="D1878" s="66" t="str">
        <f>IF(C1878="","",IFERROR(INDEX(sup_name,MATCH($C1878,sup_code,0))&amp;"","Fournisseur inconnu"))</f>
        <v/>
      </c>
      <c r="E1878" s="63" t="n"/>
      <c r="F1878" s="66" t="str">
        <f>IF(E1878="","",IFERROR(INDEX(art_des,MATCH($E1878,art_ref,0))&amp;"","Article inconnu"))</f>
        <v/>
      </c>
      <c r="G1878" s="67" t="str">
        <f>IF(E1878="","",IFERROR(INDEX(art_unit,MATCH($E1878,art_ref,0))&amp;"",""))</f>
        <v/>
      </c>
      <c r="H1878" s="68" t="n"/>
      <c r="I1878" s="69" t="n"/>
      <c r="J1878" s="70" t="str">
        <f>IF(E1878="","",IF(ISNUMBER(I1878),I1878,IFERROR(IF(ISNUMBER(INDEX(art_price,MATCH($E1878,art_ref,0))),INDEX(art_price,MATCH($E1878,art_ref,0)),""),"")))</f>
        <v/>
      </c>
      <c r="K1878" s="71" t="n"/>
      <c r="L1878" s="72" t="n"/>
      <c r="M1878" s="72" t="str">
        <f>IF(E1878="","",IF(L1878&lt;&gt;"",L1878,IFERROR(IF(ISNUMBER(INDEX(art_tva,MATCH($E1878,art_ref,0))),INDEX(art_tva,MATCH($E1878,art_ref,0)),""),"")))</f>
        <v/>
      </c>
      <c r="N1878" s="70" t="str">
        <f>IF(OR(E1878="",J1878=""),"",ROUND(N(H1878)*J1878*(1-N(K1878)),2))</f>
        <v/>
      </c>
      <c r="O1878" s="70" t="str">
        <f>IF(OR(N1878="",NOT(ISNUMBER(M1878))),"",ROUND(N1878*M1878,2))</f>
        <v/>
      </c>
      <c r="P1878" s="70" t="str">
        <f>IF(N1878="","",N1878+N(O1878))</f>
        <v/>
      </c>
      <c r="Q1878" s="64" t="n"/>
      <c r="R1878" s="73" t="str">
        <f>IF(N(Q1878)&gt;0,Q1878,IF(OR(N(B1878)=0,ISNA(MATCH($C1878,sup_code,0))),"",IF(ISNUMBER(INDEX(sup_delay,MATCH($C1878,sup_code,0))),B1878+INDEX(sup_delay,MATCH($C1878,sup_code,0)),"")))</f>
        <v/>
      </c>
      <c r="S1878" s="64" t="n"/>
      <c r="T1878" s="68" t="n"/>
      <c r="U1878" s="64" t="n"/>
      <c r="V1878" s="65" t="n"/>
      <c r="W1878" s="74" t="str">
        <f>IF(AND(A1878="",E1878=""),"",IF(V1878="Oui",0,MAX(0,ROUND(N(H1878)-N(T1878),6))))</f>
        <v/>
      </c>
      <c r="X1878" s="67" t="str">
        <f>IF(AND(A1878="",E1878=""),"",IF(V1878="Oui","Annulé",IF(AND(N(H1878)&gt;0,N(T1878)&gt;=N(H1878)),"Reçu",IF(N(S1878)=0,"Brouillon",IF(AND(ISNUMBER(R1878),R1878&lt;p_today),"En retard",IF(N(T1878)&gt;0,"Partiel","Envoyé"))))))</f>
        <v/>
      </c>
      <c r="Y1878" s="75" t="str">
        <f>IF(X1878="En retard",p_today-R1878,IF(AND(X1878="Reçu",ISNUMBER(R1878)),MAX(0,N(U1878)-R1878),""))</f>
        <v/>
      </c>
      <c r="Z1878" s="67" t="str">
        <f>IF(AND(A1878="",E1878=""),"",IF(A1878="","N° de bon manquant",IF(N(B1878)=0,"Date de commande manquante",IF(C1878="","Fournisseur manquant",IF(ISNA(MATCH($C1878,sup_code,0)),"Fournisseur inconnu",IF(E1878="","Article manquant",IF(ISNA(MATCH($E1878,art_ref,0)),"Article inconnu",IF(N(H1878)&lt;=0,"Quantité invalide",IF(J1878="","Prix manquant",IF(OR(N(K1878)&lt;0,N(K1878)&gt;=1),"Remise invalide",IF(M1878="","TVA manquante",IF(ISNA(MATCH(M1878,p_tva,0)),"Taux de TVA inconnu",IF(COUNTIFS(po_num,A1878,po_sup,"&lt;&gt;"&amp;C1878)&gt;0,"Fournisseur différent sur ce bon",IF(COUNTIFS(po_num,A1878,po_date,"&lt;&gt;"&amp;B1878)&gt;0,"Date différente sur ce bon",IF(COUNTIF(po_num,A1878)&gt;25,"Plus de 25 lignes sur ce bon",IF(R1878="","Date de livraison manquante",IF(R1878&lt;B1878,"Livraison avant la commande",IF(AND(N(T1878)&gt;0,N(S1878)=0),"Date d'envoi manquante",IF(N(T1878)&gt;N(H1878),"Reçu plus que commandé",IF(AND(N(T1878)&gt;0,N(U1878)=0),"Date de réception manquante",IF(AND(N(U1878)&gt;0,U1878&lt;B1878),"Réception avant la commande","OK")))))))))))))))))))))</f>
        <v/>
      </c>
      <c r="AA1878" s="66" t="str">
        <f>IF(AND(X1878="Reçu",ISNUMBER(R1878)),IF(N(U1878)&lt;=R1878,1,0),"")</f>
        <v/>
      </c>
      <c r="AB1878" s="76" t="str">
        <f>IF(OR(X1878="Envoyé",X1878="Partiel",X1878="En retard"),IF(ISNUMBER(R1878),R1878,100000)+ROW()/100000,"")</f>
        <v/>
      </c>
      <c r="AC1878" s="66" t="str">
        <f>IF(A1878="","",IF(COUNTIF($A$6:A1878,A1878)=1,1,""))</f>
        <v/>
      </c>
      <c r="AD1878" s="66" t="str">
        <f>IF(AC1878=1,COUNT($AC$6:AC1878),"")</f>
        <v/>
      </c>
      <c r="AE1878" s="66" t="str">
        <f>IFERROR(INDEX(po_num,MATCH(1873,po_seq,0))&amp;"","")</f>
        <v/>
      </c>
      <c r="AF1878" s="66" t="str">
        <f>IF(OR(A1878="",p_po=""),"",IF(A1878&amp;""=p_po,COUNTIF($A$6:A1878,A1878),""))</f>
        <v/>
      </c>
      <c r="AG1878" s="66" t="str">
        <f>IF(OR(AB1878="",A1878=""),"",IF(COUNTIFS($A$6:A1878,A1878,$AB$6:AB1878,"&gt;0")=1,1,""))</f>
        <v/>
      </c>
      <c r="AH1878" s="70" t="str">
        <f>IF(AB1878="","",ROUND(N(W1878)*N(J1878)*(1-N(K1878)),2))</f>
        <v/>
      </c>
      <c r="AI1878" s="70" t="str">
        <f>IF(OR(J1878="",N(T1878)&lt;=0,V1878="Oui"),"",ROUND(N(T1878)*J1878*(1-N(K1878)),2))</f>
        <v/>
      </c>
    </row>
    <row r="1879">
      <c r="A1879" s="63" t="n"/>
      <c r="B1879" s="64" t="n"/>
      <c r="C1879" s="65" t="n"/>
      <c r="D1879" s="66" t="str">
        <f>IF(C1879="","",IFERROR(INDEX(sup_name,MATCH($C1879,sup_code,0))&amp;"","Fournisseur inconnu"))</f>
        <v/>
      </c>
      <c r="E1879" s="63" t="n"/>
      <c r="F1879" s="66" t="str">
        <f>IF(E1879="","",IFERROR(INDEX(art_des,MATCH($E1879,art_ref,0))&amp;"","Article inconnu"))</f>
        <v/>
      </c>
      <c r="G1879" s="67" t="str">
        <f>IF(E1879="","",IFERROR(INDEX(art_unit,MATCH($E1879,art_ref,0))&amp;"",""))</f>
        <v/>
      </c>
      <c r="H1879" s="68" t="n"/>
      <c r="I1879" s="69" t="n"/>
      <c r="J1879" s="70" t="str">
        <f>IF(E1879="","",IF(ISNUMBER(I1879),I1879,IFERROR(IF(ISNUMBER(INDEX(art_price,MATCH($E1879,art_ref,0))),INDEX(art_price,MATCH($E1879,art_ref,0)),""),"")))</f>
        <v/>
      </c>
      <c r="K1879" s="71" t="n"/>
      <c r="L1879" s="72" t="n"/>
      <c r="M1879" s="72" t="str">
        <f>IF(E1879="","",IF(L1879&lt;&gt;"",L1879,IFERROR(IF(ISNUMBER(INDEX(art_tva,MATCH($E1879,art_ref,0))),INDEX(art_tva,MATCH($E1879,art_ref,0)),""),"")))</f>
        <v/>
      </c>
      <c r="N1879" s="70" t="str">
        <f>IF(OR(E1879="",J1879=""),"",ROUND(N(H1879)*J1879*(1-N(K1879)),2))</f>
        <v/>
      </c>
      <c r="O1879" s="70" t="str">
        <f>IF(OR(N1879="",NOT(ISNUMBER(M1879))),"",ROUND(N1879*M1879,2))</f>
        <v/>
      </c>
      <c r="P1879" s="70" t="str">
        <f>IF(N1879="","",N1879+N(O1879))</f>
        <v/>
      </c>
      <c r="Q1879" s="64" t="n"/>
      <c r="R1879" s="73" t="str">
        <f>IF(N(Q1879)&gt;0,Q1879,IF(OR(N(B1879)=0,ISNA(MATCH($C1879,sup_code,0))),"",IF(ISNUMBER(INDEX(sup_delay,MATCH($C1879,sup_code,0))),B1879+INDEX(sup_delay,MATCH($C1879,sup_code,0)),"")))</f>
        <v/>
      </c>
      <c r="S1879" s="64" t="n"/>
      <c r="T1879" s="68" t="n"/>
      <c r="U1879" s="64" t="n"/>
      <c r="V1879" s="65" t="n"/>
      <c r="W1879" s="74" t="str">
        <f>IF(AND(A1879="",E1879=""),"",IF(V1879="Oui",0,MAX(0,ROUND(N(H1879)-N(T1879),6))))</f>
        <v/>
      </c>
      <c r="X1879" s="67" t="str">
        <f>IF(AND(A1879="",E1879=""),"",IF(V1879="Oui","Annulé",IF(AND(N(H1879)&gt;0,N(T1879)&gt;=N(H1879)),"Reçu",IF(N(S1879)=0,"Brouillon",IF(AND(ISNUMBER(R1879),R1879&lt;p_today),"En retard",IF(N(T1879)&gt;0,"Partiel","Envoyé"))))))</f>
        <v/>
      </c>
      <c r="Y1879" s="75" t="str">
        <f>IF(X1879="En retard",p_today-R1879,IF(AND(X1879="Reçu",ISNUMBER(R1879)),MAX(0,N(U1879)-R1879),""))</f>
        <v/>
      </c>
      <c r="Z1879" s="67" t="str">
        <f>IF(AND(A1879="",E1879=""),"",IF(A1879="","N° de bon manquant",IF(N(B1879)=0,"Date de commande manquante",IF(C1879="","Fournisseur manquant",IF(ISNA(MATCH($C1879,sup_code,0)),"Fournisseur inconnu",IF(E1879="","Article manquant",IF(ISNA(MATCH($E1879,art_ref,0)),"Article inconnu",IF(N(H1879)&lt;=0,"Quantité invalide",IF(J1879="","Prix manquant",IF(OR(N(K1879)&lt;0,N(K1879)&gt;=1),"Remise invalide",IF(M1879="","TVA manquante",IF(ISNA(MATCH(M1879,p_tva,0)),"Taux de TVA inconnu",IF(COUNTIFS(po_num,A1879,po_sup,"&lt;&gt;"&amp;C1879)&gt;0,"Fournisseur différent sur ce bon",IF(COUNTIFS(po_num,A1879,po_date,"&lt;&gt;"&amp;B1879)&gt;0,"Date différente sur ce bon",IF(COUNTIF(po_num,A1879)&gt;25,"Plus de 25 lignes sur ce bon",IF(R1879="","Date de livraison manquante",IF(R1879&lt;B1879,"Livraison avant la commande",IF(AND(N(T1879)&gt;0,N(S1879)=0),"Date d'envoi manquante",IF(N(T1879)&gt;N(H1879),"Reçu plus que commandé",IF(AND(N(T1879)&gt;0,N(U1879)=0),"Date de réception manquante",IF(AND(N(U1879)&gt;0,U1879&lt;B1879),"Réception avant la commande","OK")))))))))))))))))))))</f>
        <v/>
      </c>
      <c r="AA1879" s="66" t="str">
        <f>IF(AND(X1879="Reçu",ISNUMBER(R1879)),IF(N(U1879)&lt;=R1879,1,0),"")</f>
        <v/>
      </c>
      <c r="AB1879" s="76" t="str">
        <f>IF(OR(X1879="Envoyé",X1879="Partiel",X1879="En retard"),IF(ISNUMBER(R1879),R1879,100000)+ROW()/100000,"")</f>
        <v/>
      </c>
      <c r="AC1879" s="66" t="str">
        <f>IF(A1879="","",IF(COUNTIF($A$6:A1879,A1879)=1,1,""))</f>
        <v/>
      </c>
      <c r="AD1879" s="66" t="str">
        <f>IF(AC1879=1,COUNT($AC$6:AC1879),"")</f>
        <v/>
      </c>
      <c r="AE1879" s="66" t="str">
        <f>IFERROR(INDEX(po_num,MATCH(1874,po_seq,0))&amp;"","")</f>
        <v/>
      </c>
      <c r="AF1879" s="66" t="str">
        <f>IF(OR(A1879="",p_po=""),"",IF(A1879&amp;""=p_po,COUNTIF($A$6:A1879,A1879),""))</f>
        <v/>
      </c>
      <c r="AG1879" s="66" t="str">
        <f>IF(OR(AB1879="",A1879=""),"",IF(COUNTIFS($A$6:A1879,A1879,$AB$6:AB1879,"&gt;0")=1,1,""))</f>
        <v/>
      </c>
      <c r="AH1879" s="70" t="str">
        <f>IF(AB1879="","",ROUND(N(W1879)*N(J1879)*(1-N(K1879)),2))</f>
        <v/>
      </c>
      <c r="AI1879" s="70" t="str">
        <f>IF(OR(J1879="",N(T1879)&lt;=0,V1879="Oui"),"",ROUND(N(T1879)*J1879*(1-N(K1879)),2))</f>
        <v/>
      </c>
    </row>
    <row r="1880">
      <c r="A1880" s="63" t="n"/>
      <c r="B1880" s="64" t="n"/>
      <c r="C1880" s="65" t="n"/>
      <c r="D1880" s="66" t="str">
        <f>IF(C1880="","",IFERROR(INDEX(sup_name,MATCH($C1880,sup_code,0))&amp;"","Fournisseur inconnu"))</f>
        <v/>
      </c>
      <c r="E1880" s="63" t="n"/>
      <c r="F1880" s="66" t="str">
        <f>IF(E1880="","",IFERROR(INDEX(art_des,MATCH($E1880,art_ref,0))&amp;"","Article inconnu"))</f>
        <v/>
      </c>
      <c r="G1880" s="67" t="str">
        <f>IF(E1880="","",IFERROR(INDEX(art_unit,MATCH($E1880,art_ref,0))&amp;"",""))</f>
        <v/>
      </c>
      <c r="H1880" s="68" t="n"/>
      <c r="I1880" s="69" t="n"/>
      <c r="J1880" s="70" t="str">
        <f>IF(E1880="","",IF(ISNUMBER(I1880),I1880,IFERROR(IF(ISNUMBER(INDEX(art_price,MATCH($E1880,art_ref,0))),INDEX(art_price,MATCH($E1880,art_ref,0)),""),"")))</f>
        <v/>
      </c>
      <c r="K1880" s="71" t="n"/>
      <c r="L1880" s="72" t="n"/>
      <c r="M1880" s="72" t="str">
        <f>IF(E1880="","",IF(L1880&lt;&gt;"",L1880,IFERROR(IF(ISNUMBER(INDEX(art_tva,MATCH($E1880,art_ref,0))),INDEX(art_tva,MATCH($E1880,art_ref,0)),""),"")))</f>
        <v/>
      </c>
      <c r="N1880" s="70" t="str">
        <f>IF(OR(E1880="",J1880=""),"",ROUND(N(H1880)*J1880*(1-N(K1880)),2))</f>
        <v/>
      </c>
      <c r="O1880" s="70" t="str">
        <f>IF(OR(N1880="",NOT(ISNUMBER(M1880))),"",ROUND(N1880*M1880,2))</f>
        <v/>
      </c>
      <c r="P1880" s="70" t="str">
        <f>IF(N1880="","",N1880+N(O1880))</f>
        <v/>
      </c>
      <c r="Q1880" s="64" t="n"/>
      <c r="R1880" s="73" t="str">
        <f>IF(N(Q1880)&gt;0,Q1880,IF(OR(N(B1880)=0,ISNA(MATCH($C1880,sup_code,0))),"",IF(ISNUMBER(INDEX(sup_delay,MATCH($C1880,sup_code,0))),B1880+INDEX(sup_delay,MATCH($C1880,sup_code,0)),"")))</f>
        <v/>
      </c>
      <c r="S1880" s="64" t="n"/>
      <c r="T1880" s="68" t="n"/>
      <c r="U1880" s="64" t="n"/>
      <c r="V1880" s="65" t="n"/>
      <c r="W1880" s="74" t="str">
        <f>IF(AND(A1880="",E1880=""),"",IF(V1880="Oui",0,MAX(0,ROUND(N(H1880)-N(T1880),6))))</f>
        <v/>
      </c>
      <c r="X1880" s="67" t="str">
        <f>IF(AND(A1880="",E1880=""),"",IF(V1880="Oui","Annulé",IF(AND(N(H1880)&gt;0,N(T1880)&gt;=N(H1880)),"Reçu",IF(N(S1880)=0,"Brouillon",IF(AND(ISNUMBER(R1880),R1880&lt;p_today),"En retard",IF(N(T1880)&gt;0,"Partiel","Envoyé"))))))</f>
        <v/>
      </c>
      <c r="Y1880" s="75" t="str">
        <f>IF(X1880="En retard",p_today-R1880,IF(AND(X1880="Reçu",ISNUMBER(R1880)),MAX(0,N(U1880)-R1880),""))</f>
        <v/>
      </c>
      <c r="Z1880" s="67" t="str">
        <f>IF(AND(A1880="",E1880=""),"",IF(A1880="","N° de bon manquant",IF(N(B1880)=0,"Date de commande manquante",IF(C1880="","Fournisseur manquant",IF(ISNA(MATCH($C1880,sup_code,0)),"Fournisseur inconnu",IF(E1880="","Article manquant",IF(ISNA(MATCH($E1880,art_ref,0)),"Article inconnu",IF(N(H1880)&lt;=0,"Quantité invalide",IF(J1880="","Prix manquant",IF(OR(N(K1880)&lt;0,N(K1880)&gt;=1),"Remise invalide",IF(M1880="","TVA manquante",IF(ISNA(MATCH(M1880,p_tva,0)),"Taux de TVA inconnu",IF(COUNTIFS(po_num,A1880,po_sup,"&lt;&gt;"&amp;C1880)&gt;0,"Fournisseur différent sur ce bon",IF(COUNTIFS(po_num,A1880,po_date,"&lt;&gt;"&amp;B1880)&gt;0,"Date différente sur ce bon",IF(COUNTIF(po_num,A1880)&gt;25,"Plus de 25 lignes sur ce bon",IF(R1880="","Date de livraison manquante",IF(R1880&lt;B1880,"Livraison avant la commande",IF(AND(N(T1880)&gt;0,N(S1880)=0),"Date d'envoi manquante",IF(N(T1880)&gt;N(H1880),"Reçu plus que commandé",IF(AND(N(T1880)&gt;0,N(U1880)=0),"Date de réception manquante",IF(AND(N(U1880)&gt;0,U1880&lt;B1880),"Réception avant la commande","OK")))))))))))))))))))))</f>
        <v/>
      </c>
      <c r="AA1880" s="66" t="str">
        <f>IF(AND(X1880="Reçu",ISNUMBER(R1880)),IF(N(U1880)&lt;=R1880,1,0),"")</f>
        <v/>
      </c>
      <c r="AB1880" s="76" t="str">
        <f>IF(OR(X1880="Envoyé",X1880="Partiel",X1880="En retard"),IF(ISNUMBER(R1880),R1880,100000)+ROW()/100000,"")</f>
        <v/>
      </c>
      <c r="AC1880" s="66" t="str">
        <f>IF(A1880="","",IF(COUNTIF($A$6:A1880,A1880)=1,1,""))</f>
        <v/>
      </c>
      <c r="AD1880" s="66" t="str">
        <f>IF(AC1880=1,COUNT($AC$6:AC1880),"")</f>
        <v/>
      </c>
      <c r="AE1880" s="66" t="str">
        <f>IFERROR(INDEX(po_num,MATCH(1875,po_seq,0))&amp;"","")</f>
        <v/>
      </c>
      <c r="AF1880" s="66" t="str">
        <f>IF(OR(A1880="",p_po=""),"",IF(A1880&amp;""=p_po,COUNTIF($A$6:A1880,A1880),""))</f>
        <v/>
      </c>
      <c r="AG1880" s="66" t="str">
        <f>IF(OR(AB1880="",A1880=""),"",IF(COUNTIFS($A$6:A1880,A1880,$AB$6:AB1880,"&gt;0")=1,1,""))</f>
        <v/>
      </c>
      <c r="AH1880" s="70" t="str">
        <f>IF(AB1880="","",ROUND(N(W1880)*N(J1880)*(1-N(K1880)),2))</f>
        <v/>
      </c>
      <c r="AI1880" s="70" t="str">
        <f>IF(OR(J1880="",N(T1880)&lt;=0,V1880="Oui"),"",ROUND(N(T1880)*J1880*(1-N(K1880)),2))</f>
        <v/>
      </c>
    </row>
    <row r="1881">
      <c r="A1881" s="63" t="n"/>
      <c r="B1881" s="64" t="n"/>
      <c r="C1881" s="65" t="n"/>
      <c r="D1881" s="66" t="str">
        <f>IF(C1881="","",IFERROR(INDEX(sup_name,MATCH($C1881,sup_code,0))&amp;"","Fournisseur inconnu"))</f>
        <v/>
      </c>
      <c r="E1881" s="63" t="n"/>
      <c r="F1881" s="66" t="str">
        <f>IF(E1881="","",IFERROR(INDEX(art_des,MATCH($E1881,art_ref,0))&amp;"","Article inconnu"))</f>
        <v/>
      </c>
      <c r="G1881" s="67" t="str">
        <f>IF(E1881="","",IFERROR(INDEX(art_unit,MATCH($E1881,art_ref,0))&amp;"",""))</f>
        <v/>
      </c>
      <c r="H1881" s="68" t="n"/>
      <c r="I1881" s="69" t="n"/>
      <c r="J1881" s="70" t="str">
        <f>IF(E1881="","",IF(ISNUMBER(I1881),I1881,IFERROR(IF(ISNUMBER(INDEX(art_price,MATCH($E1881,art_ref,0))),INDEX(art_price,MATCH($E1881,art_ref,0)),""),"")))</f>
        <v/>
      </c>
      <c r="K1881" s="71" t="n"/>
      <c r="L1881" s="72" t="n"/>
      <c r="M1881" s="72" t="str">
        <f>IF(E1881="","",IF(L1881&lt;&gt;"",L1881,IFERROR(IF(ISNUMBER(INDEX(art_tva,MATCH($E1881,art_ref,0))),INDEX(art_tva,MATCH($E1881,art_ref,0)),""),"")))</f>
        <v/>
      </c>
      <c r="N1881" s="70" t="str">
        <f>IF(OR(E1881="",J1881=""),"",ROUND(N(H1881)*J1881*(1-N(K1881)),2))</f>
        <v/>
      </c>
      <c r="O1881" s="70" t="str">
        <f>IF(OR(N1881="",NOT(ISNUMBER(M1881))),"",ROUND(N1881*M1881,2))</f>
        <v/>
      </c>
      <c r="P1881" s="70" t="str">
        <f>IF(N1881="","",N1881+N(O1881))</f>
        <v/>
      </c>
      <c r="Q1881" s="64" t="n"/>
      <c r="R1881" s="73" t="str">
        <f>IF(N(Q1881)&gt;0,Q1881,IF(OR(N(B1881)=0,ISNA(MATCH($C1881,sup_code,0))),"",IF(ISNUMBER(INDEX(sup_delay,MATCH($C1881,sup_code,0))),B1881+INDEX(sup_delay,MATCH($C1881,sup_code,0)),"")))</f>
        <v/>
      </c>
      <c r="S1881" s="64" t="n"/>
      <c r="T1881" s="68" t="n"/>
      <c r="U1881" s="64" t="n"/>
      <c r="V1881" s="65" t="n"/>
      <c r="W1881" s="74" t="str">
        <f>IF(AND(A1881="",E1881=""),"",IF(V1881="Oui",0,MAX(0,ROUND(N(H1881)-N(T1881),6))))</f>
        <v/>
      </c>
      <c r="X1881" s="67" t="str">
        <f>IF(AND(A1881="",E1881=""),"",IF(V1881="Oui","Annulé",IF(AND(N(H1881)&gt;0,N(T1881)&gt;=N(H1881)),"Reçu",IF(N(S1881)=0,"Brouillon",IF(AND(ISNUMBER(R1881),R1881&lt;p_today),"En retard",IF(N(T1881)&gt;0,"Partiel","Envoyé"))))))</f>
        <v/>
      </c>
      <c r="Y1881" s="75" t="str">
        <f>IF(X1881="En retard",p_today-R1881,IF(AND(X1881="Reçu",ISNUMBER(R1881)),MAX(0,N(U1881)-R1881),""))</f>
        <v/>
      </c>
      <c r="Z1881" s="67" t="str">
        <f>IF(AND(A1881="",E1881=""),"",IF(A1881="","N° de bon manquant",IF(N(B1881)=0,"Date de commande manquante",IF(C1881="","Fournisseur manquant",IF(ISNA(MATCH($C1881,sup_code,0)),"Fournisseur inconnu",IF(E1881="","Article manquant",IF(ISNA(MATCH($E1881,art_ref,0)),"Article inconnu",IF(N(H1881)&lt;=0,"Quantité invalide",IF(J1881="","Prix manquant",IF(OR(N(K1881)&lt;0,N(K1881)&gt;=1),"Remise invalide",IF(M1881="","TVA manquante",IF(ISNA(MATCH(M1881,p_tva,0)),"Taux de TVA inconnu",IF(COUNTIFS(po_num,A1881,po_sup,"&lt;&gt;"&amp;C1881)&gt;0,"Fournisseur différent sur ce bon",IF(COUNTIFS(po_num,A1881,po_date,"&lt;&gt;"&amp;B1881)&gt;0,"Date différente sur ce bon",IF(COUNTIF(po_num,A1881)&gt;25,"Plus de 25 lignes sur ce bon",IF(R1881="","Date de livraison manquante",IF(R1881&lt;B1881,"Livraison avant la commande",IF(AND(N(T1881)&gt;0,N(S1881)=0),"Date d'envoi manquante",IF(N(T1881)&gt;N(H1881),"Reçu plus que commandé",IF(AND(N(T1881)&gt;0,N(U1881)=0),"Date de réception manquante",IF(AND(N(U1881)&gt;0,U1881&lt;B1881),"Réception avant la commande","OK")))))))))))))))))))))</f>
        <v/>
      </c>
      <c r="AA1881" s="66" t="str">
        <f>IF(AND(X1881="Reçu",ISNUMBER(R1881)),IF(N(U1881)&lt;=R1881,1,0),"")</f>
        <v/>
      </c>
      <c r="AB1881" s="76" t="str">
        <f>IF(OR(X1881="Envoyé",X1881="Partiel",X1881="En retard"),IF(ISNUMBER(R1881),R1881,100000)+ROW()/100000,"")</f>
        <v/>
      </c>
      <c r="AC1881" s="66" t="str">
        <f>IF(A1881="","",IF(COUNTIF($A$6:A1881,A1881)=1,1,""))</f>
        <v/>
      </c>
      <c r="AD1881" s="66" t="str">
        <f>IF(AC1881=1,COUNT($AC$6:AC1881),"")</f>
        <v/>
      </c>
      <c r="AE1881" s="66" t="str">
        <f>IFERROR(INDEX(po_num,MATCH(1876,po_seq,0))&amp;"","")</f>
        <v/>
      </c>
      <c r="AF1881" s="66" t="str">
        <f>IF(OR(A1881="",p_po=""),"",IF(A1881&amp;""=p_po,COUNTIF($A$6:A1881,A1881),""))</f>
        <v/>
      </c>
      <c r="AG1881" s="66" t="str">
        <f>IF(OR(AB1881="",A1881=""),"",IF(COUNTIFS($A$6:A1881,A1881,$AB$6:AB1881,"&gt;0")=1,1,""))</f>
        <v/>
      </c>
      <c r="AH1881" s="70" t="str">
        <f>IF(AB1881="","",ROUND(N(W1881)*N(J1881)*(1-N(K1881)),2))</f>
        <v/>
      </c>
      <c r="AI1881" s="70" t="str">
        <f>IF(OR(J1881="",N(T1881)&lt;=0,V1881="Oui"),"",ROUND(N(T1881)*J1881*(1-N(K1881)),2))</f>
        <v/>
      </c>
    </row>
    <row r="1882">
      <c r="A1882" s="63" t="n"/>
      <c r="B1882" s="64" t="n"/>
      <c r="C1882" s="65" t="n"/>
      <c r="D1882" s="66" t="str">
        <f>IF(C1882="","",IFERROR(INDEX(sup_name,MATCH($C1882,sup_code,0))&amp;"","Fournisseur inconnu"))</f>
        <v/>
      </c>
      <c r="E1882" s="63" t="n"/>
      <c r="F1882" s="66" t="str">
        <f>IF(E1882="","",IFERROR(INDEX(art_des,MATCH($E1882,art_ref,0))&amp;"","Article inconnu"))</f>
        <v/>
      </c>
      <c r="G1882" s="67" t="str">
        <f>IF(E1882="","",IFERROR(INDEX(art_unit,MATCH($E1882,art_ref,0))&amp;"",""))</f>
        <v/>
      </c>
      <c r="H1882" s="68" t="n"/>
      <c r="I1882" s="69" t="n"/>
      <c r="J1882" s="70" t="str">
        <f>IF(E1882="","",IF(ISNUMBER(I1882),I1882,IFERROR(IF(ISNUMBER(INDEX(art_price,MATCH($E1882,art_ref,0))),INDEX(art_price,MATCH($E1882,art_ref,0)),""),"")))</f>
        <v/>
      </c>
      <c r="K1882" s="71" t="n"/>
      <c r="L1882" s="72" t="n"/>
      <c r="M1882" s="72" t="str">
        <f>IF(E1882="","",IF(L1882&lt;&gt;"",L1882,IFERROR(IF(ISNUMBER(INDEX(art_tva,MATCH($E1882,art_ref,0))),INDEX(art_tva,MATCH($E1882,art_ref,0)),""),"")))</f>
        <v/>
      </c>
      <c r="N1882" s="70" t="str">
        <f>IF(OR(E1882="",J1882=""),"",ROUND(N(H1882)*J1882*(1-N(K1882)),2))</f>
        <v/>
      </c>
      <c r="O1882" s="70" t="str">
        <f>IF(OR(N1882="",NOT(ISNUMBER(M1882))),"",ROUND(N1882*M1882,2))</f>
        <v/>
      </c>
      <c r="P1882" s="70" t="str">
        <f>IF(N1882="","",N1882+N(O1882))</f>
        <v/>
      </c>
      <c r="Q1882" s="64" t="n"/>
      <c r="R1882" s="73" t="str">
        <f>IF(N(Q1882)&gt;0,Q1882,IF(OR(N(B1882)=0,ISNA(MATCH($C1882,sup_code,0))),"",IF(ISNUMBER(INDEX(sup_delay,MATCH($C1882,sup_code,0))),B1882+INDEX(sup_delay,MATCH($C1882,sup_code,0)),"")))</f>
        <v/>
      </c>
      <c r="S1882" s="64" t="n"/>
      <c r="T1882" s="68" t="n"/>
      <c r="U1882" s="64" t="n"/>
      <c r="V1882" s="65" t="n"/>
      <c r="W1882" s="74" t="str">
        <f>IF(AND(A1882="",E1882=""),"",IF(V1882="Oui",0,MAX(0,ROUND(N(H1882)-N(T1882),6))))</f>
        <v/>
      </c>
      <c r="X1882" s="67" t="str">
        <f>IF(AND(A1882="",E1882=""),"",IF(V1882="Oui","Annulé",IF(AND(N(H1882)&gt;0,N(T1882)&gt;=N(H1882)),"Reçu",IF(N(S1882)=0,"Brouillon",IF(AND(ISNUMBER(R1882),R1882&lt;p_today),"En retard",IF(N(T1882)&gt;0,"Partiel","Envoyé"))))))</f>
        <v/>
      </c>
      <c r="Y1882" s="75" t="str">
        <f>IF(X1882="En retard",p_today-R1882,IF(AND(X1882="Reçu",ISNUMBER(R1882)),MAX(0,N(U1882)-R1882),""))</f>
        <v/>
      </c>
      <c r="Z1882" s="67" t="str">
        <f>IF(AND(A1882="",E1882=""),"",IF(A1882="","N° de bon manquant",IF(N(B1882)=0,"Date de commande manquante",IF(C1882="","Fournisseur manquant",IF(ISNA(MATCH($C1882,sup_code,0)),"Fournisseur inconnu",IF(E1882="","Article manquant",IF(ISNA(MATCH($E1882,art_ref,0)),"Article inconnu",IF(N(H1882)&lt;=0,"Quantité invalide",IF(J1882="","Prix manquant",IF(OR(N(K1882)&lt;0,N(K1882)&gt;=1),"Remise invalide",IF(M1882="","TVA manquante",IF(ISNA(MATCH(M1882,p_tva,0)),"Taux de TVA inconnu",IF(COUNTIFS(po_num,A1882,po_sup,"&lt;&gt;"&amp;C1882)&gt;0,"Fournisseur différent sur ce bon",IF(COUNTIFS(po_num,A1882,po_date,"&lt;&gt;"&amp;B1882)&gt;0,"Date différente sur ce bon",IF(COUNTIF(po_num,A1882)&gt;25,"Plus de 25 lignes sur ce bon",IF(R1882="","Date de livraison manquante",IF(R1882&lt;B1882,"Livraison avant la commande",IF(AND(N(T1882)&gt;0,N(S1882)=0),"Date d'envoi manquante",IF(N(T1882)&gt;N(H1882),"Reçu plus que commandé",IF(AND(N(T1882)&gt;0,N(U1882)=0),"Date de réception manquante",IF(AND(N(U1882)&gt;0,U1882&lt;B1882),"Réception avant la commande","OK")))))))))))))))))))))</f>
        <v/>
      </c>
      <c r="AA1882" s="66" t="str">
        <f>IF(AND(X1882="Reçu",ISNUMBER(R1882)),IF(N(U1882)&lt;=R1882,1,0),"")</f>
        <v/>
      </c>
      <c r="AB1882" s="76" t="str">
        <f>IF(OR(X1882="Envoyé",X1882="Partiel",X1882="En retard"),IF(ISNUMBER(R1882),R1882,100000)+ROW()/100000,"")</f>
        <v/>
      </c>
      <c r="AC1882" s="66" t="str">
        <f>IF(A1882="","",IF(COUNTIF($A$6:A1882,A1882)=1,1,""))</f>
        <v/>
      </c>
      <c r="AD1882" s="66" t="str">
        <f>IF(AC1882=1,COUNT($AC$6:AC1882),"")</f>
        <v/>
      </c>
      <c r="AE1882" s="66" t="str">
        <f>IFERROR(INDEX(po_num,MATCH(1877,po_seq,0))&amp;"","")</f>
        <v/>
      </c>
      <c r="AF1882" s="66" t="str">
        <f>IF(OR(A1882="",p_po=""),"",IF(A1882&amp;""=p_po,COUNTIF($A$6:A1882,A1882),""))</f>
        <v/>
      </c>
      <c r="AG1882" s="66" t="str">
        <f>IF(OR(AB1882="",A1882=""),"",IF(COUNTIFS($A$6:A1882,A1882,$AB$6:AB1882,"&gt;0")=1,1,""))</f>
        <v/>
      </c>
      <c r="AH1882" s="70" t="str">
        <f>IF(AB1882="","",ROUND(N(W1882)*N(J1882)*(1-N(K1882)),2))</f>
        <v/>
      </c>
      <c r="AI1882" s="70" t="str">
        <f>IF(OR(J1882="",N(T1882)&lt;=0,V1882="Oui"),"",ROUND(N(T1882)*J1882*(1-N(K1882)),2))</f>
        <v/>
      </c>
    </row>
    <row r="1883">
      <c r="A1883" s="63" t="n"/>
      <c r="B1883" s="64" t="n"/>
      <c r="C1883" s="65" t="n"/>
      <c r="D1883" s="66" t="str">
        <f>IF(C1883="","",IFERROR(INDEX(sup_name,MATCH($C1883,sup_code,0))&amp;"","Fournisseur inconnu"))</f>
        <v/>
      </c>
      <c r="E1883" s="63" t="n"/>
      <c r="F1883" s="66" t="str">
        <f>IF(E1883="","",IFERROR(INDEX(art_des,MATCH($E1883,art_ref,0))&amp;"","Article inconnu"))</f>
        <v/>
      </c>
      <c r="G1883" s="67" t="str">
        <f>IF(E1883="","",IFERROR(INDEX(art_unit,MATCH($E1883,art_ref,0))&amp;"",""))</f>
        <v/>
      </c>
      <c r="H1883" s="68" t="n"/>
      <c r="I1883" s="69" t="n"/>
      <c r="J1883" s="70" t="str">
        <f>IF(E1883="","",IF(ISNUMBER(I1883),I1883,IFERROR(IF(ISNUMBER(INDEX(art_price,MATCH($E1883,art_ref,0))),INDEX(art_price,MATCH($E1883,art_ref,0)),""),"")))</f>
        <v/>
      </c>
      <c r="K1883" s="71" t="n"/>
      <c r="L1883" s="72" t="n"/>
      <c r="M1883" s="72" t="str">
        <f>IF(E1883="","",IF(L1883&lt;&gt;"",L1883,IFERROR(IF(ISNUMBER(INDEX(art_tva,MATCH($E1883,art_ref,0))),INDEX(art_tva,MATCH($E1883,art_ref,0)),""),"")))</f>
        <v/>
      </c>
      <c r="N1883" s="70" t="str">
        <f>IF(OR(E1883="",J1883=""),"",ROUND(N(H1883)*J1883*(1-N(K1883)),2))</f>
        <v/>
      </c>
      <c r="O1883" s="70" t="str">
        <f>IF(OR(N1883="",NOT(ISNUMBER(M1883))),"",ROUND(N1883*M1883,2))</f>
        <v/>
      </c>
      <c r="P1883" s="70" t="str">
        <f>IF(N1883="","",N1883+N(O1883))</f>
        <v/>
      </c>
      <c r="Q1883" s="64" t="n"/>
      <c r="R1883" s="73" t="str">
        <f>IF(N(Q1883)&gt;0,Q1883,IF(OR(N(B1883)=0,ISNA(MATCH($C1883,sup_code,0))),"",IF(ISNUMBER(INDEX(sup_delay,MATCH($C1883,sup_code,0))),B1883+INDEX(sup_delay,MATCH($C1883,sup_code,0)),"")))</f>
        <v/>
      </c>
      <c r="S1883" s="64" t="n"/>
      <c r="T1883" s="68" t="n"/>
      <c r="U1883" s="64" t="n"/>
      <c r="V1883" s="65" t="n"/>
      <c r="W1883" s="74" t="str">
        <f>IF(AND(A1883="",E1883=""),"",IF(V1883="Oui",0,MAX(0,ROUND(N(H1883)-N(T1883),6))))</f>
        <v/>
      </c>
      <c r="X1883" s="67" t="str">
        <f>IF(AND(A1883="",E1883=""),"",IF(V1883="Oui","Annulé",IF(AND(N(H1883)&gt;0,N(T1883)&gt;=N(H1883)),"Reçu",IF(N(S1883)=0,"Brouillon",IF(AND(ISNUMBER(R1883),R1883&lt;p_today),"En retard",IF(N(T1883)&gt;0,"Partiel","Envoyé"))))))</f>
        <v/>
      </c>
      <c r="Y1883" s="75" t="str">
        <f>IF(X1883="En retard",p_today-R1883,IF(AND(X1883="Reçu",ISNUMBER(R1883)),MAX(0,N(U1883)-R1883),""))</f>
        <v/>
      </c>
      <c r="Z1883" s="67" t="str">
        <f>IF(AND(A1883="",E1883=""),"",IF(A1883="","N° de bon manquant",IF(N(B1883)=0,"Date de commande manquante",IF(C1883="","Fournisseur manquant",IF(ISNA(MATCH($C1883,sup_code,0)),"Fournisseur inconnu",IF(E1883="","Article manquant",IF(ISNA(MATCH($E1883,art_ref,0)),"Article inconnu",IF(N(H1883)&lt;=0,"Quantité invalide",IF(J1883="","Prix manquant",IF(OR(N(K1883)&lt;0,N(K1883)&gt;=1),"Remise invalide",IF(M1883="","TVA manquante",IF(ISNA(MATCH(M1883,p_tva,0)),"Taux de TVA inconnu",IF(COUNTIFS(po_num,A1883,po_sup,"&lt;&gt;"&amp;C1883)&gt;0,"Fournisseur différent sur ce bon",IF(COUNTIFS(po_num,A1883,po_date,"&lt;&gt;"&amp;B1883)&gt;0,"Date différente sur ce bon",IF(COUNTIF(po_num,A1883)&gt;25,"Plus de 25 lignes sur ce bon",IF(R1883="","Date de livraison manquante",IF(R1883&lt;B1883,"Livraison avant la commande",IF(AND(N(T1883)&gt;0,N(S1883)=0),"Date d'envoi manquante",IF(N(T1883)&gt;N(H1883),"Reçu plus que commandé",IF(AND(N(T1883)&gt;0,N(U1883)=0),"Date de réception manquante",IF(AND(N(U1883)&gt;0,U1883&lt;B1883),"Réception avant la commande","OK")))))))))))))))))))))</f>
        <v/>
      </c>
      <c r="AA1883" s="66" t="str">
        <f>IF(AND(X1883="Reçu",ISNUMBER(R1883)),IF(N(U1883)&lt;=R1883,1,0),"")</f>
        <v/>
      </c>
      <c r="AB1883" s="76" t="str">
        <f>IF(OR(X1883="Envoyé",X1883="Partiel",X1883="En retard"),IF(ISNUMBER(R1883),R1883,100000)+ROW()/100000,"")</f>
        <v/>
      </c>
      <c r="AC1883" s="66" t="str">
        <f>IF(A1883="","",IF(COUNTIF($A$6:A1883,A1883)=1,1,""))</f>
        <v/>
      </c>
      <c r="AD1883" s="66" t="str">
        <f>IF(AC1883=1,COUNT($AC$6:AC1883),"")</f>
        <v/>
      </c>
      <c r="AE1883" s="66" t="str">
        <f>IFERROR(INDEX(po_num,MATCH(1878,po_seq,0))&amp;"","")</f>
        <v/>
      </c>
      <c r="AF1883" s="66" t="str">
        <f>IF(OR(A1883="",p_po=""),"",IF(A1883&amp;""=p_po,COUNTIF($A$6:A1883,A1883),""))</f>
        <v/>
      </c>
      <c r="AG1883" s="66" t="str">
        <f>IF(OR(AB1883="",A1883=""),"",IF(COUNTIFS($A$6:A1883,A1883,$AB$6:AB1883,"&gt;0")=1,1,""))</f>
        <v/>
      </c>
      <c r="AH1883" s="70" t="str">
        <f>IF(AB1883="","",ROUND(N(W1883)*N(J1883)*(1-N(K1883)),2))</f>
        <v/>
      </c>
      <c r="AI1883" s="70" t="str">
        <f>IF(OR(J1883="",N(T1883)&lt;=0,V1883="Oui"),"",ROUND(N(T1883)*J1883*(1-N(K1883)),2))</f>
        <v/>
      </c>
    </row>
    <row r="1884">
      <c r="A1884" s="63" t="n"/>
      <c r="B1884" s="64" t="n"/>
      <c r="C1884" s="65" t="n"/>
      <c r="D1884" s="66" t="str">
        <f>IF(C1884="","",IFERROR(INDEX(sup_name,MATCH($C1884,sup_code,0))&amp;"","Fournisseur inconnu"))</f>
        <v/>
      </c>
      <c r="E1884" s="63" t="n"/>
      <c r="F1884" s="66" t="str">
        <f>IF(E1884="","",IFERROR(INDEX(art_des,MATCH($E1884,art_ref,0))&amp;"","Article inconnu"))</f>
        <v/>
      </c>
      <c r="G1884" s="67" t="str">
        <f>IF(E1884="","",IFERROR(INDEX(art_unit,MATCH($E1884,art_ref,0))&amp;"",""))</f>
        <v/>
      </c>
      <c r="H1884" s="68" t="n"/>
      <c r="I1884" s="69" t="n"/>
      <c r="J1884" s="70" t="str">
        <f>IF(E1884="","",IF(ISNUMBER(I1884),I1884,IFERROR(IF(ISNUMBER(INDEX(art_price,MATCH($E1884,art_ref,0))),INDEX(art_price,MATCH($E1884,art_ref,0)),""),"")))</f>
        <v/>
      </c>
      <c r="K1884" s="71" t="n"/>
      <c r="L1884" s="72" t="n"/>
      <c r="M1884" s="72" t="str">
        <f>IF(E1884="","",IF(L1884&lt;&gt;"",L1884,IFERROR(IF(ISNUMBER(INDEX(art_tva,MATCH($E1884,art_ref,0))),INDEX(art_tva,MATCH($E1884,art_ref,0)),""),"")))</f>
        <v/>
      </c>
      <c r="N1884" s="70" t="str">
        <f>IF(OR(E1884="",J1884=""),"",ROUND(N(H1884)*J1884*(1-N(K1884)),2))</f>
        <v/>
      </c>
      <c r="O1884" s="70" t="str">
        <f>IF(OR(N1884="",NOT(ISNUMBER(M1884))),"",ROUND(N1884*M1884,2))</f>
        <v/>
      </c>
      <c r="P1884" s="70" t="str">
        <f>IF(N1884="","",N1884+N(O1884))</f>
        <v/>
      </c>
      <c r="Q1884" s="64" t="n"/>
      <c r="R1884" s="73" t="str">
        <f>IF(N(Q1884)&gt;0,Q1884,IF(OR(N(B1884)=0,ISNA(MATCH($C1884,sup_code,0))),"",IF(ISNUMBER(INDEX(sup_delay,MATCH($C1884,sup_code,0))),B1884+INDEX(sup_delay,MATCH($C1884,sup_code,0)),"")))</f>
        <v/>
      </c>
      <c r="S1884" s="64" t="n"/>
      <c r="T1884" s="68" t="n"/>
      <c r="U1884" s="64" t="n"/>
      <c r="V1884" s="65" t="n"/>
      <c r="W1884" s="74" t="str">
        <f>IF(AND(A1884="",E1884=""),"",IF(V1884="Oui",0,MAX(0,ROUND(N(H1884)-N(T1884),6))))</f>
        <v/>
      </c>
      <c r="X1884" s="67" t="str">
        <f>IF(AND(A1884="",E1884=""),"",IF(V1884="Oui","Annulé",IF(AND(N(H1884)&gt;0,N(T1884)&gt;=N(H1884)),"Reçu",IF(N(S1884)=0,"Brouillon",IF(AND(ISNUMBER(R1884),R1884&lt;p_today),"En retard",IF(N(T1884)&gt;0,"Partiel","Envoyé"))))))</f>
        <v/>
      </c>
      <c r="Y1884" s="75" t="str">
        <f>IF(X1884="En retard",p_today-R1884,IF(AND(X1884="Reçu",ISNUMBER(R1884)),MAX(0,N(U1884)-R1884),""))</f>
        <v/>
      </c>
      <c r="Z1884" s="67" t="str">
        <f>IF(AND(A1884="",E1884=""),"",IF(A1884="","N° de bon manquant",IF(N(B1884)=0,"Date de commande manquante",IF(C1884="","Fournisseur manquant",IF(ISNA(MATCH($C1884,sup_code,0)),"Fournisseur inconnu",IF(E1884="","Article manquant",IF(ISNA(MATCH($E1884,art_ref,0)),"Article inconnu",IF(N(H1884)&lt;=0,"Quantité invalide",IF(J1884="","Prix manquant",IF(OR(N(K1884)&lt;0,N(K1884)&gt;=1),"Remise invalide",IF(M1884="","TVA manquante",IF(ISNA(MATCH(M1884,p_tva,0)),"Taux de TVA inconnu",IF(COUNTIFS(po_num,A1884,po_sup,"&lt;&gt;"&amp;C1884)&gt;0,"Fournisseur différent sur ce bon",IF(COUNTIFS(po_num,A1884,po_date,"&lt;&gt;"&amp;B1884)&gt;0,"Date différente sur ce bon",IF(COUNTIF(po_num,A1884)&gt;25,"Plus de 25 lignes sur ce bon",IF(R1884="","Date de livraison manquante",IF(R1884&lt;B1884,"Livraison avant la commande",IF(AND(N(T1884)&gt;0,N(S1884)=0),"Date d'envoi manquante",IF(N(T1884)&gt;N(H1884),"Reçu plus que commandé",IF(AND(N(T1884)&gt;0,N(U1884)=0),"Date de réception manquante",IF(AND(N(U1884)&gt;0,U1884&lt;B1884),"Réception avant la commande","OK")))))))))))))))))))))</f>
        <v/>
      </c>
      <c r="AA1884" s="66" t="str">
        <f>IF(AND(X1884="Reçu",ISNUMBER(R1884)),IF(N(U1884)&lt;=R1884,1,0),"")</f>
        <v/>
      </c>
      <c r="AB1884" s="76" t="str">
        <f>IF(OR(X1884="Envoyé",X1884="Partiel",X1884="En retard"),IF(ISNUMBER(R1884),R1884,100000)+ROW()/100000,"")</f>
        <v/>
      </c>
      <c r="AC1884" s="66" t="str">
        <f>IF(A1884="","",IF(COUNTIF($A$6:A1884,A1884)=1,1,""))</f>
        <v/>
      </c>
      <c r="AD1884" s="66" t="str">
        <f>IF(AC1884=1,COUNT($AC$6:AC1884),"")</f>
        <v/>
      </c>
      <c r="AE1884" s="66" t="str">
        <f>IFERROR(INDEX(po_num,MATCH(1879,po_seq,0))&amp;"","")</f>
        <v/>
      </c>
      <c r="AF1884" s="66" t="str">
        <f>IF(OR(A1884="",p_po=""),"",IF(A1884&amp;""=p_po,COUNTIF($A$6:A1884,A1884),""))</f>
        <v/>
      </c>
      <c r="AG1884" s="66" t="str">
        <f>IF(OR(AB1884="",A1884=""),"",IF(COUNTIFS($A$6:A1884,A1884,$AB$6:AB1884,"&gt;0")=1,1,""))</f>
        <v/>
      </c>
      <c r="AH1884" s="70" t="str">
        <f>IF(AB1884="","",ROUND(N(W1884)*N(J1884)*(1-N(K1884)),2))</f>
        <v/>
      </c>
      <c r="AI1884" s="70" t="str">
        <f>IF(OR(J1884="",N(T1884)&lt;=0,V1884="Oui"),"",ROUND(N(T1884)*J1884*(1-N(K1884)),2))</f>
        <v/>
      </c>
    </row>
    <row r="1885">
      <c r="A1885" s="63" t="n"/>
      <c r="B1885" s="64" t="n"/>
      <c r="C1885" s="65" t="n"/>
      <c r="D1885" s="66" t="str">
        <f>IF(C1885="","",IFERROR(INDEX(sup_name,MATCH($C1885,sup_code,0))&amp;"","Fournisseur inconnu"))</f>
        <v/>
      </c>
      <c r="E1885" s="63" t="n"/>
      <c r="F1885" s="66" t="str">
        <f>IF(E1885="","",IFERROR(INDEX(art_des,MATCH($E1885,art_ref,0))&amp;"","Article inconnu"))</f>
        <v/>
      </c>
      <c r="G1885" s="67" t="str">
        <f>IF(E1885="","",IFERROR(INDEX(art_unit,MATCH($E1885,art_ref,0))&amp;"",""))</f>
        <v/>
      </c>
      <c r="H1885" s="68" t="n"/>
      <c r="I1885" s="69" t="n"/>
      <c r="J1885" s="70" t="str">
        <f>IF(E1885="","",IF(ISNUMBER(I1885),I1885,IFERROR(IF(ISNUMBER(INDEX(art_price,MATCH($E1885,art_ref,0))),INDEX(art_price,MATCH($E1885,art_ref,0)),""),"")))</f>
        <v/>
      </c>
      <c r="K1885" s="71" t="n"/>
      <c r="L1885" s="72" t="n"/>
      <c r="M1885" s="72" t="str">
        <f>IF(E1885="","",IF(L1885&lt;&gt;"",L1885,IFERROR(IF(ISNUMBER(INDEX(art_tva,MATCH($E1885,art_ref,0))),INDEX(art_tva,MATCH($E1885,art_ref,0)),""),"")))</f>
        <v/>
      </c>
      <c r="N1885" s="70" t="str">
        <f>IF(OR(E1885="",J1885=""),"",ROUND(N(H1885)*J1885*(1-N(K1885)),2))</f>
        <v/>
      </c>
      <c r="O1885" s="70" t="str">
        <f>IF(OR(N1885="",NOT(ISNUMBER(M1885))),"",ROUND(N1885*M1885,2))</f>
        <v/>
      </c>
      <c r="P1885" s="70" t="str">
        <f>IF(N1885="","",N1885+N(O1885))</f>
        <v/>
      </c>
      <c r="Q1885" s="64" t="n"/>
      <c r="R1885" s="73" t="str">
        <f>IF(N(Q1885)&gt;0,Q1885,IF(OR(N(B1885)=0,ISNA(MATCH($C1885,sup_code,0))),"",IF(ISNUMBER(INDEX(sup_delay,MATCH($C1885,sup_code,0))),B1885+INDEX(sup_delay,MATCH($C1885,sup_code,0)),"")))</f>
        <v/>
      </c>
      <c r="S1885" s="64" t="n"/>
      <c r="T1885" s="68" t="n"/>
      <c r="U1885" s="64" t="n"/>
      <c r="V1885" s="65" t="n"/>
      <c r="W1885" s="74" t="str">
        <f>IF(AND(A1885="",E1885=""),"",IF(V1885="Oui",0,MAX(0,ROUND(N(H1885)-N(T1885),6))))</f>
        <v/>
      </c>
      <c r="X1885" s="67" t="str">
        <f>IF(AND(A1885="",E1885=""),"",IF(V1885="Oui","Annulé",IF(AND(N(H1885)&gt;0,N(T1885)&gt;=N(H1885)),"Reçu",IF(N(S1885)=0,"Brouillon",IF(AND(ISNUMBER(R1885),R1885&lt;p_today),"En retard",IF(N(T1885)&gt;0,"Partiel","Envoyé"))))))</f>
        <v/>
      </c>
      <c r="Y1885" s="75" t="str">
        <f>IF(X1885="En retard",p_today-R1885,IF(AND(X1885="Reçu",ISNUMBER(R1885)),MAX(0,N(U1885)-R1885),""))</f>
        <v/>
      </c>
      <c r="Z1885" s="67" t="str">
        <f>IF(AND(A1885="",E1885=""),"",IF(A1885="","N° de bon manquant",IF(N(B1885)=0,"Date de commande manquante",IF(C1885="","Fournisseur manquant",IF(ISNA(MATCH($C1885,sup_code,0)),"Fournisseur inconnu",IF(E1885="","Article manquant",IF(ISNA(MATCH($E1885,art_ref,0)),"Article inconnu",IF(N(H1885)&lt;=0,"Quantité invalide",IF(J1885="","Prix manquant",IF(OR(N(K1885)&lt;0,N(K1885)&gt;=1),"Remise invalide",IF(M1885="","TVA manquante",IF(ISNA(MATCH(M1885,p_tva,0)),"Taux de TVA inconnu",IF(COUNTIFS(po_num,A1885,po_sup,"&lt;&gt;"&amp;C1885)&gt;0,"Fournisseur différent sur ce bon",IF(COUNTIFS(po_num,A1885,po_date,"&lt;&gt;"&amp;B1885)&gt;0,"Date différente sur ce bon",IF(COUNTIF(po_num,A1885)&gt;25,"Plus de 25 lignes sur ce bon",IF(R1885="","Date de livraison manquante",IF(R1885&lt;B1885,"Livraison avant la commande",IF(AND(N(T1885)&gt;0,N(S1885)=0),"Date d'envoi manquante",IF(N(T1885)&gt;N(H1885),"Reçu plus que commandé",IF(AND(N(T1885)&gt;0,N(U1885)=0),"Date de réception manquante",IF(AND(N(U1885)&gt;0,U1885&lt;B1885),"Réception avant la commande","OK")))))))))))))))))))))</f>
        <v/>
      </c>
      <c r="AA1885" s="66" t="str">
        <f>IF(AND(X1885="Reçu",ISNUMBER(R1885)),IF(N(U1885)&lt;=R1885,1,0),"")</f>
        <v/>
      </c>
      <c r="AB1885" s="76" t="str">
        <f>IF(OR(X1885="Envoyé",X1885="Partiel",X1885="En retard"),IF(ISNUMBER(R1885),R1885,100000)+ROW()/100000,"")</f>
        <v/>
      </c>
      <c r="AC1885" s="66" t="str">
        <f>IF(A1885="","",IF(COUNTIF($A$6:A1885,A1885)=1,1,""))</f>
        <v/>
      </c>
      <c r="AD1885" s="66" t="str">
        <f>IF(AC1885=1,COUNT($AC$6:AC1885),"")</f>
        <v/>
      </c>
      <c r="AE1885" s="66" t="str">
        <f>IFERROR(INDEX(po_num,MATCH(1880,po_seq,0))&amp;"","")</f>
        <v/>
      </c>
      <c r="AF1885" s="66" t="str">
        <f>IF(OR(A1885="",p_po=""),"",IF(A1885&amp;""=p_po,COUNTIF($A$6:A1885,A1885),""))</f>
        <v/>
      </c>
      <c r="AG1885" s="66" t="str">
        <f>IF(OR(AB1885="",A1885=""),"",IF(COUNTIFS($A$6:A1885,A1885,$AB$6:AB1885,"&gt;0")=1,1,""))</f>
        <v/>
      </c>
      <c r="AH1885" s="70" t="str">
        <f>IF(AB1885="","",ROUND(N(W1885)*N(J1885)*(1-N(K1885)),2))</f>
        <v/>
      </c>
      <c r="AI1885" s="70" t="str">
        <f>IF(OR(J1885="",N(T1885)&lt;=0,V1885="Oui"),"",ROUND(N(T1885)*J1885*(1-N(K1885)),2))</f>
        <v/>
      </c>
    </row>
    <row r="1886">
      <c r="A1886" s="63" t="n"/>
      <c r="B1886" s="64" t="n"/>
      <c r="C1886" s="65" t="n"/>
      <c r="D1886" s="66" t="str">
        <f>IF(C1886="","",IFERROR(INDEX(sup_name,MATCH($C1886,sup_code,0))&amp;"","Fournisseur inconnu"))</f>
        <v/>
      </c>
      <c r="E1886" s="63" t="n"/>
      <c r="F1886" s="66" t="str">
        <f>IF(E1886="","",IFERROR(INDEX(art_des,MATCH($E1886,art_ref,0))&amp;"","Article inconnu"))</f>
        <v/>
      </c>
      <c r="G1886" s="67" t="str">
        <f>IF(E1886="","",IFERROR(INDEX(art_unit,MATCH($E1886,art_ref,0))&amp;"",""))</f>
        <v/>
      </c>
      <c r="H1886" s="68" t="n"/>
      <c r="I1886" s="69" t="n"/>
      <c r="J1886" s="70" t="str">
        <f>IF(E1886="","",IF(ISNUMBER(I1886),I1886,IFERROR(IF(ISNUMBER(INDEX(art_price,MATCH($E1886,art_ref,0))),INDEX(art_price,MATCH($E1886,art_ref,0)),""),"")))</f>
        <v/>
      </c>
      <c r="K1886" s="71" t="n"/>
      <c r="L1886" s="72" t="n"/>
      <c r="M1886" s="72" t="str">
        <f>IF(E1886="","",IF(L1886&lt;&gt;"",L1886,IFERROR(IF(ISNUMBER(INDEX(art_tva,MATCH($E1886,art_ref,0))),INDEX(art_tva,MATCH($E1886,art_ref,0)),""),"")))</f>
        <v/>
      </c>
      <c r="N1886" s="70" t="str">
        <f>IF(OR(E1886="",J1886=""),"",ROUND(N(H1886)*J1886*(1-N(K1886)),2))</f>
        <v/>
      </c>
      <c r="O1886" s="70" t="str">
        <f>IF(OR(N1886="",NOT(ISNUMBER(M1886))),"",ROUND(N1886*M1886,2))</f>
        <v/>
      </c>
      <c r="P1886" s="70" t="str">
        <f>IF(N1886="","",N1886+N(O1886))</f>
        <v/>
      </c>
      <c r="Q1886" s="64" t="n"/>
      <c r="R1886" s="73" t="str">
        <f>IF(N(Q1886)&gt;0,Q1886,IF(OR(N(B1886)=0,ISNA(MATCH($C1886,sup_code,0))),"",IF(ISNUMBER(INDEX(sup_delay,MATCH($C1886,sup_code,0))),B1886+INDEX(sup_delay,MATCH($C1886,sup_code,0)),"")))</f>
        <v/>
      </c>
      <c r="S1886" s="64" t="n"/>
      <c r="T1886" s="68" t="n"/>
      <c r="U1886" s="64" t="n"/>
      <c r="V1886" s="65" t="n"/>
      <c r="W1886" s="74" t="str">
        <f>IF(AND(A1886="",E1886=""),"",IF(V1886="Oui",0,MAX(0,ROUND(N(H1886)-N(T1886),6))))</f>
        <v/>
      </c>
      <c r="X1886" s="67" t="str">
        <f>IF(AND(A1886="",E1886=""),"",IF(V1886="Oui","Annulé",IF(AND(N(H1886)&gt;0,N(T1886)&gt;=N(H1886)),"Reçu",IF(N(S1886)=0,"Brouillon",IF(AND(ISNUMBER(R1886),R1886&lt;p_today),"En retard",IF(N(T1886)&gt;0,"Partiel","Envoyé"))))))</f>
        <v/>
      </c>
      <c r="Y1886" s="75" t="str">
        <f>IF(X1886="En retard",p_today-R1886,IF(AND(X1886="Reçu",ISNUMBER(R1886)),MAX(0,N(U1886)-R1886),""))</f>
        <v/>
      </c>
      <c r="Z1886" s="67" t="str">
        <f>IF(AND(A1886="",E1886=""),"",IF(A1886="","N° de bon manquant",IF(N(B1886)=0,"Date de commande manquante",IF(C1886="","Fournisseur manquant",IF(ISNA(MATCH($C1886,sup_code,0)),"Fournisseur inconnu",IF(E1886="","Article manquant",IF(ISNA(MATCH($E1886,art_ref,0)),"Article inconnu",IF(N(H1886)&lt;=0,"Quantité invalide",IF(J1886="","Prix manquant",IF(OR(N(K1886)&lt;0,N(K1886)&gt;=1),"Remise invalide",IF(M1886="","TVA manquante",IF(ISNA(MATCH(M1886,p_tva,0)),"Taux de TVA inconnu",IF(COUNTIFS(po_num,A1886,po_sup,"&lt;&gt;"&amp;C1886)&gt;0,"Fournisseur différent sur ce bon",IF(COUNTIFS(po_num,A1886,po_date,"&lt;&gt;"&amp;B1886)&gt;0,"Date différente sur ce bon",IF(COUNTIF(po_num,A1886)&gt;25,"Plus de 25 lignes sur ce bon",IF(R1886="","Date de livraison manquante",IF(R1886&lt;B1886,"Livraison avant la commande",IF(AND(N(T1886)&gt;0,N(S1886)=0),"Date d'envoi manquante",IF(N(T1886)&gt;N(H1886),"Reçu plus que commandé",IF(AND(N(T1886)&gt;0,N(U1886)=0),"Date de réception manquante",IF(AND(N(U1886)&gt;0,U1886&lt;B1886),"Réception avant la commande","OK")))))))))))))))))))))</f>
        <v/>
      </c>
      <c r="AA1886" s="66" t="str">
        <f>IF(AND(X1886="Reçu",ISNUMBER(R1886)),IF(N(U1886)&lt;=R1886,1,0),"")</f>
        <v/>
      </c>
      <c r="AB1886" s="76" t="str">
        <f>IF(OR(X1886="Envoyé",X1886="Partiel",X1886="En retard"),IF(ISNUMBER(R1886),R1886,100000)+ROW()/100000,"")</f>
        <v/>
      </c>
      <c r="AC1886" s="66" t="str">
        <f>IF(A1886="","",IF(COUNTIF($A$6:A1886,A1886)=1,1,""))</f>
        <v/>
      </c>
      <c r="AD1886" s="66" t="str">
        <f>IF(AC1886=1,COUNT($AC$6:AC1886),"")</f>
        <v/>
      </c>
      <c r="AE1886" s="66" t="str">
        <f>IFERROR(INDEX(po_num,MATCH(1881,po_seq,0))&amp;"","")</f>
        <v/>
      </c>
      <c r="AF1886" s="66" t="str">
        <f>IF(OR(A1886="",p_po=""),"",IF(A1886&amp;""=p_po,COUNTIF($A$6:A1886,A1886),""))</f>
        <v/>
      </c>
      <c r="AG1886" s="66" t="str">
        <f>IF(OR(AB1886="",A1886=""),"",IF(COUNTIFS($A$6:A1886,A1886,$AB$6:AB1886,"&gt;0")=1,1,""))</f>
        <v/>
      </c>
      <c r="AH1886" s="70" t="str">
        <f>IF(AB1886="","",ROUND(N(W1886)*N(J1886)*(1-N(K1886)),2))</f>
        <v/>
      </c>
      <c r="AI1886" s="70" t="str">
        <f>IF(OR(J1886="",N(T1886)&lt;=0,V1886="Oui"),"",ROUND(N(T1886)*J1886*(1-N(K1886)),2))</f>
        <v/>
      </c>
    </row>
    <row r="1887">
      <c r="A1887" s="63" t="n"/>
      <c r="B1887" s="64" t="n"/>
      <c r="C1887" s="65" t="n"/>
      <c r="D1887" s="66" t="str">
        <f>IF(C1887="","",IFERROR(INDEX(sup_name,MATCH($C1887,sup_code,0))&amp;"","Fournisseur inconnu"))</f>
        <v/>
      </c>
      <c r="E1887" s="63" t="n"/>
      <c r="F1887" s="66" t="str">
        <f>IF(E1887="","",IFERROR(INDEX(art_des,MATCH($E1887,art_ref,0))&amp;"","Article inconnu"))</f>
        <v/>
      </c>
      <c r="G1887" s="67" t="str">
        <f>IF(E1887="","",IFERROR(INDEX(art_unit,MATCH($E1887,art_ref,0))&amp;"",""))</f>
        <v/>
      </c>
      <c r="H1887" s="68" t="n"/>
      <c r="I1887" s="69" t="n"/>
      <c r="J1887" s="70" t="str">
        <f>IF(E1887="","",IF(ISNUMBER(I1887),I1887,IFERROR(IF(ISNUMBER(INDEX(art_price,MATCH($E1887,art_ref,0))),INDEX(art_price,MATCH($E1887,art_ref,0)),""),"")))</f>
        <v/>
      </c>
      <c r="K1887" s="71" t="n"/>
      <c r="L1887" s="72" t="n"/>
      <c r="M1887" s="72" t="str">
        <f>IF(E1887="","",IF(L1887&lt;&gt;"",L1887,IFERROR(IF(ISNUMBER(INDEX(art_tva,MATCH($E1887,art_ref,0))),INDEX(art_tva,MATCH($E1887,art_ref,0)),""),"")))</f>
        <v/>
      </c>
      <c r="N1887" s="70" t="str">
        <f>IF(OR(E1887="",J1887=""),"",ROUND(N(H1887)*J1887*(1-N(K1887)),2))</f>
        <v/>
      </c>
      <c r="O1887" s="70" t="str">
        <f>IF(OR(N1887="",NOT(ISNUMBER(M1887))),"",ROUND(N1887*M1887,2))</f>
        <v/>
      </c>
      <c r="P1887" s="70" t="str">
        <f>IF(N1887="","",N1887+N(O1887))</f>
        <v/>
      </c>
      <c r="Q1887" s="64" t="n"/>
      <c r="R1887" s="73" t="str">
        <f>IF(N(Q1887)&gt;0,Q1887,IF(OR(N(B1887)=0,ISNA(MATCH($C1887,sup_code,0))),"",IF(ISNUMBER(INDEX(sup_delay,MATCH($C1887,sup_code,0))),B1887+INDEX(sup_delay,MATCH($C1887,sup_code,0)),"")))</f>
        <v/>
      </c>
      <c r="S1887" s="64" t="n"/>
      <c r="T1887" s="68" t="n"/>
      <c r="U1887" s="64" t="n"/>
      <c r="V1887" s="65" t="n"/>
      <c r="W1887" s="74" t="str">
        <f>IF(AND(A1887="",E1887=""),"",IF(V1887="Oui",0,MAX(0,ROUND(N(H1887)-N(T1887),6))))</f>
        <v/>
      </c>
      <c r="X1887" s="67" t="str">
        <f>IF(AND(A1887="",E1887=""),"",IF(V1887="Oui","Annulé",IF(AND(N(H1887)&gt;0,N(T1887)&gt;=N(H1887)),"Reçu",IF(N(S1887)=0,"Brouillon",IF(AND(ISNUMBER(R1887),R1887&lt;p_today),"En retard",IF(N(T1887)&gt;0,"Partiel","Envoyé"))))))</f>
        <v/>
      </c>
      <c r="Y1887" s="75" t="str">
        <f>IF(X1887="En retard",p_today-R1887,IF(AND(X1887="Reçu",ISNUMBER(R1887)),MAX(0,N(U1887)-R1887),""))</f>
        <v/>
      </c>
      <c r="Z1887" s="67" t="str">
        <f>IF(AND(A1887="",E1887=""),"",IF(A1887="","N° de bon manquant",IF(N(B1887)=0,"Date de commande manquante",IF(C1887="","Fournisseur manquant",IF(ISNA(MATCH($C1887,sup_code,0)),"Fournisseur inconnu",IF(E1887="","Article manquant",IF(ISNA(MATCH($E1887,art_ref,0)),"Article inconnu",IF(N(H1887)&lt;=0,"Quantité invalide",IF(J1887="","Prix manquant",IF(OR(N(K1887)&lt;0,N(K1887)&gt;=1),"Remise invalide",IF(M1887="","TVA manquante",IF(ISNA(MATCH(M1887,p_tva,0)),"Taux de TVA inconnu",IF(COUNTIFS(po_num,A1887,po_sup,"&lt;&gt;"&amp;C1887)&gt;0,"Fournisseur différent sur ce bon",IF(COUNTIFS(po_num,A1887,po_date,"&lt;&gt;"&amp;B1887)&gt;0,"Date différente sur ce bon",IF(COUNTIF(po_num,A1887)&gt;25,"Plus de 25 lignes sur ce bon",IF(R1887="","Date de livraison manquante",IF(R1887&lt;B1887,"Livraison avant la commande",IF(AND(N(T1887)&gt;0,N(S1887)=0),"Date d'envoi manquante",IF(N(T1887)&gt;N(H1887),"Reçu plus que commandé",IF(AND(N(T1887)&gt;0,N(U1887)=0),"Date de réception manquante",IF(AND(N(U1887)&gt;0,U1887&lt;B1887),"Réception avant la commande","OK")))))))))))))))))))))</f>
        <v/>
      </c>
      <c r="AA1887" s="66" t="str">
        <f>IF(AND(X1887="Reçu",ISNUMBER(R1887)),IF(N(U1887)&lt;=R1887,1,0),"")</f>
        <v/>
      </c>
      <c r="AB1887" s="76" t="str">
        <f>IF(OR(X1887="Envoyé",X1887="Partiel",X1887="En retard"),IF(ISNUMBER(R1887),R1887,100000)+ROW()/100000,"")</f>
        <v/>
      </c>
      <c r="AC1887" s="66" t="str">
        <f>IF(A1887="","",IF(COUNTIF($A$6:A1887,A1887)=1,1,""))</f>
        <v/>
      </c>
      <c r="AD1887" s="66" t="str">
        <f>IF(AC1887=1,COUNT($AC$6:AC1887),"")</f>
        <v/>
      </c>
      <c r="AE1887" s="66" t="str">
        <f>IFERROR(INDEX(po_num,MATCH(1882,po_seq,0))&amp;"","")</f>
        <v/>
      </c>
      <c r="AF1887" s="66" t="str">
        <f>IF(OR(A1887="",p_po=""),"",IF(A1887&amp;""=p_po,COUNTIF($A$6:A1887,A1887),""))</f>
        <v/>
      </c>
      <c r="AG1887" s="66" t="str">
        <f>IF(OR(AB1887="",A1887=""),"",IF(COUNTIFS($A$6:A1887,A1887,$AB$6:AB1887,"&gt;0")=1,1,""))</f>
        <v/>
      </c>
      <c r="AH1887" s="70" t="str">
        <f>IF(AB1887="","",ROUND(N(W1887)*N(J1887)*(1-N(K1887)),2))</f>
        <v/>
      </c>
      <c r="AI1887" s="70" t="str">
        <f>IF(OR(J1887="",N(T1887)&lt;=0,V1887="Oui"),"",ROUND(N(T1887)*J1887*(1-N(K1887)),2))</f>
        <v/>
      </c>
    </row>
    <row r="1888">
      <c r="A1888" s="63" t="n"/>
      <c r="B1888" s="64" t="n"/>
      <c r="C1888" s="65" t="n"/>
      <c r="D1888" s="66" t="str">
        <f>IF(C1888="","",IFERROR(INDEX(sup_name,MATCH($C1888,sup_code,0))&amp;"","Fournisseur inconnu"))</f>
        <v/>
      </c>
      <c r="E1888" s="63" t="n"/>
      <c r="F1888" s="66" t="str">
        <f>IF(E1888="","",IFERROR(INDEX(art_des,MATCH($E1888,art_ref,0))&amp;"","Article inconnu"))</f>
        <v/>
      </c>
      <c r="G1888" s="67" t="str">
        <f>IF(E1888="","",IFERROR(INDEX(art_unit,MATCH($E1888,art_ref,0))&amp;"",""))</f>
        <v/>
      </c>
      <c r="H1888" s="68" t="n"/>
      <c r="I1888" s="69" t="n"/>
      <c r="J1888" s="70" t="str">
        <f>IF(E1888="","",IF(ISNUMBER(I1888),I1888,IFERROR(IF(ISNUMBER(INDEX(art_price,MATCH($E1888,art_ref,0))),INDEX(art_price,MATCH($E1888,art_ref,0)),""),"")))</f>
        <v/>
      </c>
      <c r="K1888" s="71" t="n"/>
      <c r="L1888" s="72" t="n"/>
      <c r="M1888" s="72" t="str">
        <f>IF(E1888="","",IF(L1888&lt;&gt;"",L1888,IFERROR(IF(ISNUMBER(INDEX(art_tva,MATCH($E1888,art_ref,0))),INDEX(art_tva,MATCH($E1888,art_ref,0)),""),"")))</f>
        <v/>
      </c>
      <c r="N1888" s="70" t="str">
        <f>IF(OR(E1888="",J1888=""),"",ROUND(N(H1888)*J1888*(1-N(K1888)),2))</f>
        <v/>
      </c>
      <c r="O1888" s="70" t="str">
        <f>IF(OR(N1888="",NOT(ISNUMBER(M1888))),"",ROUND(N1888*M1888,2))</f>
        <v/>
      </c>
      <c r="P1888" s="70" t="str">
        <f>IF(N1888="","",N1888+N(O1888))</f>
        <v/>
      </c>
      <c r="Q1888" s="64" t="n"/>
      <c r="R1888" s="73" t="str">
        <f>IF(N(Q1888)&gt;0,Q1888,IF(OR(N(B1888)=0,ISNA(MATCH($C1888,sup_code,0))),"",IF(ISNUMBER(INDEX(sup_delay,MATCH($C1888,sup_code,0))),B1888+INDEX(sup_delay,MATCH($C1888,sup_code,0)),"")))</f>
        <v/>
      </c>
      <c r="S1888" s="64" t="n"/>
      <c r="T1888" s="68" t="n"/>
      <c r="U1888" s="64" t="n"/>
      <c r="V1888" s="65" t="n"/>
      <c r="W1888" s="74" t="str">
        <f>IF(AND(A1888="",E1888=""),"",IF(V1888="Oui",0,MAX(0,ROUND(N(H1888)-N(T1888),6))))</f>
        <v/>
      </c>
      <c r="X1888" s="67" t="str">
        <f>IF(AND(A1888="",E1888=""),"",IF(V1888="Oui","Annulé",IF(AND(N(H1888)&gt;0,N(T1888)&gt;=N(H1888)),"Reçu",IF(N(S1888)=0,"Brouillon",IF(AND(ISNUMBER(R1888),R1888&lt;p_today),"En retard",IF(N(T1888)&gt;0,"Partiel","Envoyé"))))))</f>
        <v/>
      </c>
      <c r="Y1888" s="75" t="str">
        <f>IF(X1888="En retard",p_today-R1888,IF(AND(X1888="Reçu",ISNUMBER(R1888)),MAX(0,N(U1888)-R1888),""))</f>
        <v/>
      </c>
      <c r="Z1888" s="67" t="str">
        <f>IF(AND(A1888="",E1888=""),"",IF(A1888="","N° de bon manquant",IF(N(B1888)=0,"Date de commande manquante",IF(C1888="","Fournisseur manquant",IF(ISNA(MATCH($C1888,sup_code,0)),"Fournisseur inconnu",IF(E1888="","Article manquant",IF(ISNA(MATCH($E1888,art_ref,0)),"Article inconnu",IF(N(H1888)&lt;=0,"Quantité invalide",IF(J1888="","Prix manquant",IF(OR(N(K1888)&lt;0,N(K1888)&gt;=1),"Remise invalide",IF(M1888="","TVA manquante",IF(ISNA(MATCH(M1888,p_tva,0)),"Taux de TVA inconnu",IF(COUNTIFS(po_num,A1888,po_sup,"&lt;&gt;"&amp;C1888)&gt;0,"Fournisseur différent sur ce bon",IF(COUNTIFS(po_num,A1888,po_date,"&lt;&gt;"&amp;B1888)&gt;0,"Date différente sur ce bon",IF(COUNTIF(po_num,A1888)&gt;25,"Plus de 25 lignes sur ce bon",IF(R1888="","Date de livraison manquante",IF(R1888&lt;B1888,"Livraison avant la commande",IF(AND(N(T1888)&gt;0,N(S1888)=0),"Date d'envoi manquante",IF(N(T1888)&gt;N(H1888),"Reçu plus que commandé",IF(AND(N(T1888)&gt;0,N(U1888)=0),"Date de réception manquante",IF(AND(N(U1888)&gt;0,U1888&lt;B1888),"Réception avant la commande","OK")))))))))))))))))))))</f>
        <v/>
      </c>
      <c r="AA1888" s="66" t="str">
        <f>IF(AND(X1888="Reçu",ISNUMBER(R1888)),IF(N(U1888)&lt;=R1888,1,0),"")</f>
        <v/>
      </c>
      <c r="AB1888" s="76" t="str">
        <f>IF(OR(X1888="Envoyé",X1888="Partiel",X1888="En retard"),IF(ISNUMBER(R1888),R1888,100000)+ROW()/100000,"")</f>
        <v/>
      </c>
      <c r="AC1888" s="66" t="str">
        <f>IF(A1888="","",IF(COUNTIF($A$6:A1888,A1888)=1,1,""))</f>
        <v/>
      </c>
      <c r="AD1888" s="66" t="str">
        <f>IF(AC1888=1,COUNT($AC$6:AC1888),"")</f>
        <v/>
      </c>
      <c r="AE1888" s="66" t="str">
        <f>IFERROR(INDEX(po_num,MATCH(1883,po_seq,0))&amp;"","")</f>
        <v/>
      </c>
      <c r="AF1888" s="66" t="str">
        <f>IF(OR(A1888="",p_po=""),"",IF(A1888&amp;""=p_po,COUNTIF($A$6:A1888,A1888),""))</f>
        <v/>
      </c>
      <c r="AG1888" s="66" t="str">
        <f>IF(OR(AB1888="",A1888=""),"",IF(COUNTIFS($A$6:A1888,A1888,$AB$6:AB1888,"&gt;0")=1,1,""))</f>
        <v/>
      </c>
      <c r="AH1888" s="70" t="str">
        <f>IF(AB1888="","",ROUND(N(W1888)*N(J1888)*(1-N(K1888)),2))</f>
        <v/>
      </c>
      <c r="AI1888" s="70" t="str">
        <f>IF(OR(J1888="",N(T1888)&lt;=0,V1888="Oui"),"",ROUND(N(T1888)*J1888*(1-N(K1888)),2))</f>
        <v/>
      </c>
    </row>
    <row r="1889">
      <c r="A1889" s="63" t="n"/>
      <c r="B1889" s="64" t="n"/>
      <c r="C1889" s="65" t="n"/>
      <c r="D1889" s="66" t="str">
        <f>IF(C1889="","",IFERROR(INDEX(sup_name,MATCH($C1889,sup_code,0))&amp;"","Fournisseur inconnu"))</f>
        <v/>
      </c>
      <c r="E1889" s="63" t="n"/>
      <c r="F1889" s="66" t="str">
        <f>IF(E1889="","",IFERROR(INDEX(art_des,MATCH($E1889,art_ref,0))&amp;"","Article inconnu"))</f>
        <v/>
      </c>
      <c r="G1889" s="67" t="str">
        <f>IF(E1889="","",IFERROR(INDEX(art_unit,MATCH($E1889,art_ref,0))&amp;"",""))</f>
        <v/>
      </c>
      <c r="H1889" s="68" t="n"/>
      <c r="I1889" s="69" t="n"/>
      <c r="J1889" s="70" t="str">
        <f>IF(E1889="","",IF(ISNUMBER(I1889),I1889,IFERROR(IF(ISNUMBER(INDEX(art_price,MATCH($E1889,art_ref,0))),INDEX(art_price,MATCH($E1889,art_ref,0)),""),"")))</f>
        <v/>
      </c>
      <c r="K1889" s="71" t="n"/>
      <c r="L1889" s="72" t="n"/>
      <c r="M1889" s="72" t="str">
        <f>IF(E1889="","",IF(L1889&lt;&gt;"",L1889,IFERROR(IF(ISNUMBER(INDEX(art_tva,MATCH($E1889,art_ref,0))),INDEX(art_tva,MATCH($E1889,art_ref,0)),""),"")))</f>
        <v/>
      </c>
      <c r="N1889" s="70" t="str">
        <f>IF(OR(E1889="",J1889=""),"",ROUND(N(H1889)*J1889*(1-N(K1889)),2))</f>
        <v/>
      </c>
      <c r="O1889" s="70" t="str">
        <f>IF(OR(N1889="",NOT(ISNUMBER(M1889))),"",ROUND(N1889*M1889,2))</f>
        <v/>
      </c>
      <c r="P1889" s="70" t="str">
        <f>IF(N1889="","",N1889+N(O1889))</f>
        <v/>
      </c>
      <c r="Q1889" s="64" t="n"/>
      <c r="R1889" s="73" t="str">
        <f>IF(N(Q1889)&gt;0,Q1889,IF(OR(N(B1889)=0,ISNA(MATCH($C1889,sup_code,0))),"",IF(ISNUMBER(INDEX(sup_delay,MATCH($C1889,sup_code,0))),B1889+INDEX(sup_delay,MATCH($C1889,sup_code,0)),"")))</f>
        <v/>
      </c>
      <c r="S1889" s="64" t="n"/>
      <c r="T1889" s="68" t="n"/>
      <c r="U1889" s="64" t="n"/>
      <c r="V1889" s="65" t="n"/>
      <c r="W1889" s="74" t="str">
        <f>IF(AND(A1889="",E1889=""),"",IF(V1889="Oui",0,MAX(0,ROUND(N(H1889)-N(T1889),6))))</f>
        <v/>
      </c>
      <c r="X1889" s="67" t="str">
        <f>IF(AND(A1889="",E1889=""),"",IF(V1889="Oui","Annulé",IF(AND(N(H1889)&gt;0,N(T1889)&gt;=N(H1889)),"Reçu",IF(N(S1889)=0,"Brouillon",IF(AND(ISNUMBER(R1889),R1889&lt;p_today),"En retard",IF(N(T1889)&gt;0,"Partiel","Envoyé"))))))</f>
        <v/>
      </c>
      <c r="Y1889" s="75" t="str">
        <f>IF(X1889="En retard",p_today-R1889,IF(AND(X1889="Reçu",ISNUMBER(R1889)),MAX(0,N(U1889)-R1889),""))</f>
        <v/>
      </c>
      <c r="Z1889" s="67" t="str">
        <f>IF(AND(A1889="",E1889=""),"",IF(A1889="","N° de bon manquant",IF(N(B1889)=0,"Date de commande manquante",IF(C1889="","Fournisseur manquant",IF(ISNA(MATCH($C1889,sup_code,0)),"Fournisseur inconnu",IF(E1889="","Article manquant",IF(ISNA(MATCH($E1889,art_ref,0)),"Article inconnu",IF(N(H1889)&lt;=0,"Quantité invalide",IF(J1889="","Prix manquant",IF(OR(N(K1889)&lt;0,N(K1889)&gt;=1),"Remise invalide",IF(M1889="","TVA manquante",IF(ISNA(MATCH(M1889,p_tva,0)),"Taux de TVA inconnu",IF(COUNTIFS(po_num,A1889,po_sup,"&lt;&gt;"&amp;C1889)&gt;0,"Fournisseur différent sur ce bon",IF(COUNTIFS(po_num,A1889,po_date,"&lt;&gt;"&amp;B1889)&gt;0,"Date différente sur ce bon",IF(COUNTIF(po_num,A1889)&gt;25,"Plus de 25 lignes sur ce bon",IF(R1889="","Date de livraison manquante",IF(R1889&lt;B1889,"Livraison avant la commande",IF(AND(N(T1889)&gt;0,N(S1889)=0),"Date d'envoi manquante",IF(N(T1889)&gt;N(H1889),"Reçu plus que commandé",IF(AND(N(T1889)&gt;0,N(U1889)=0),"Date de réception manquante",IF(AND(N(U1889)&gt;0,U1889&lt;B1889),"Réception avant la commande","OK")))))))))))))))))))))</f>
        <v/>
      </c>
      <c r="AA1889" s="66" t="str">
        <f>IF(AND(X1889="Reçu",ISNUMBER(R1889)),IF(N(U1889)&lt;=R1889,1,0),"")</f>
        <v/>
      </c>
      <c r="AB1889" s="76" t="str">
        <f>IF(OR(X1889="Envoyé",X1889="Partiel",X1889="En retard"),IF(ISNUMBER(R1889),R1889,100000)+ROW()/100000,"")</f>
        <v/>
      </c>
      <c r="AC1889" s="66" t="str">
        <f>IF(A1889="","",IF(COUNTIF($A$6:A1889,A1889)=1,1,""))</f>
        <v/>
      </c>
      <c r="AD1889" s="66" t="str">
        <f>IF(AC1889=1,COUNT($AC$6:AC1889),"")</f>
        <v/>
      </c>
      <c r="AE1889" s="66" t="str">
        <f>IFERROR(INDEX(po_num,MATCH(1884,po_seq,0))&amp;"","")</f>
        <v/>
      </c>
      <c r="AF1889" s="66" t="str">
        <f>IF(OR(A1889="",p_po=""),"",IF(A1889&amp;""=p_po,COUNTIF($A$6:A1889,A1889),""))</f>
        <v/>
      </c>
      <c r="AG1889" s="66" t="str">
        <f>IF(OR(AB1889="",A1889=""),"",IF(COUNTIFS($A$6:A1889,A1889,$AB$6:AB1889,"&gt;0")=1,1,""))</f>
        <v/>
      </c>
      <c r="AH1889" s="70" t="str">
        <f>IF(AB1889="","",ROUND(N(W1889)*N(J1889)*(1-N(K1889)),2))</f>
        <v/>
      </c>
      <c r="AI1889" s="70" t="str">
        <f>IF(OR(J1889="",N(T1889)&lt;=0,V1889="Oui"),"",ROUND(N(T1889)*J1889*(1-N(K1889)),2))</f>
        <v/>
      </c>
    </row>
    <row r="1890">
      <c r="A1890" s="63" t="n"/>
      <c r="B1890" s="64" t="n"/>
      <c r="C1890" s="65" t="n"/>
      <c r="D1890" s="66" t="str">
        <f>IF(C1890="","",IFERROR(INDEX(sup_name,MATCH($C1890,sup_code,0))&amp;"","Fournisseur inconnu"))</f>
        <v/>
      </c>
      <c r="E1890" s="63" t="n"/>
      <c r="F1890" s="66" t="str">
        <f>IF(E1890="","",IFERROR(INDEX(art_des,MATCH($E1890,art_ref,0))&amp;"","Article inconnu"))</f>
        <v/>
      </c>
      <c r="G1890" s="67" t="str">
        <f>IF(E1890="","",IFERROR(INDEX(art_unit,MATCH($E1890,art_ref,0))&amp;"",""))</f>
        <v/>
      </c>
      <c r="H1890" s="68" t="n"/>
      <c r="I1890" s="69" t="n"/>
      <c r="J1890" s="70" t="str">
        <f>IF(E1890="","",IF(ISNUMBER(I1890),I1890,IFERROR(IF(ISNUMBER(INDEX(art_price,MATCH($E1890,art_ref,0))),INDEX(art_price,MATCH($E1890,art_ref,0)),""),"")))</f>
        <v/>
      </c>
      <c r="K1890" s="71" t="n"/>
      <c r="L1890" s="72" t="n"/>
      <c r="M1890" s="72" t="str">
        <f>IF(E1890="","",IF(L1890&lt;&gt;"",L1890,IFERROR(IF(ISNUMBER(INDEX(art_tva,MATCH($E1890,art_ref,0))),INDEX(art_tva,MATCH($E1890,art_ref,0)),""),"")))</f>
        <v/>
      </c>
      <c r="N1890" s="70" t="str">
        <f>IF(OR(E1890="",J1890=""),"",ROUND(N(H1890)*J1890*(1-N(K1890)),2))</f>
        <v/>
      </c>
      <c r="O1890" s="70" t="str">
        <f>IF(OR(N1890="",NOT(ISNUMBER(M1890))),"",ROUND(N1890*M1890,2))</f>
        <v/>
      </c>
      <c r="P1890" s="70" t="str">
        <f>IF(N1890="","",N1890+N(O1890))</f>
        <v/>
      </c>
      <c r="Q1890" s="64" t="n"/>
      <c r="R1890" s="73" t="str">
        <f>IF(N(Q1890)&gt;0,Q1890,IF(OR(N(B1890)=0,ISNA(MATCH($C1890,sup_code,0))),"",IF(ISNUMBER(INDEX(sup_delay,MATCH($C1890,sup_code,0))),B1890+INDEX(sup_delay,MATCH($C1890,sup_code,0)),"")))</f>
        <v/>
      </c>
      <c r="S1890" s="64" t="n"/>
      <c r="T1890" s="68" t="n"/>
      <c r="U1890" s="64" t="n"/>
      <c r="V1890" s="65" t="n"/>
      <c r="W1890" s="74" t="str">
        <f>IF(AND(A1890="",E1890=""),"",IF(V1890="Oui",0,MAX(0,ROUND(N(H1890)-N(T1890),6))))</f>
        <v/>
      </c>
      <c r="X1890" s="67" t="str">
        <f>IF(AND(A1890="",E1890=""),"",IF(V1890="Oui","Annulé",IF(AND(N(H1890)&gt;0,N(T1890)&gt;=N(H1890)),"Reçu",IF(N(S1890)=0,"Brouillon",IF(AND(ISNUMBER(R1890),R1890&lt;p_today),"En retard",IF(N(T1890)&gt;0,"Partiel","Envoyé"))))))</f>
        <v/>
      </c>
      <c r="Y1890" s="75" t="str">
        <f>IF(X1890="En retard",p_today-R1890,IF(AND(X1890="Reçu",ISNUMBER(R1890)),MAX(0,N(U1890)-R1890),""))</f>
        <v/>
      </c>
      <c r="Z1890" s="67" t="str">
        <f>IF(AND(A1890="",E1890=""),"",IF(A1890="","N° de bon manquant",IF(N(B1890)=0,"Date de commande manquante",IF(C1890="","Fournisseur manquant",IF(ISNA(MATCH($C1890,sup_code,0)),"Fournisseur inconnu",IF(E1890="","Article manquant",IF(ISNA(MATCH($E1890,art_ref,0)),"Article inconnu",IF(N(H1890)&lt;=0,"Quantité invalide",IF(J1890="","Prix manquant",IF(OR(N(K1890)&lt;0,N(K1890)&gt;=1),"Remise invalide",IF(M1890="","TVA manquante",IF(ISNA(MATCH(M1890,p_tva,0)),"Taux de TVA inconnu",IF(COUNTIFS(po_num,A1890,po_sup,"&lt;&gt;"&amp;C1890)&gt;0,"Fournisseur différent sur ce bon",IF(COUNTIFS(po_num,A1890,po_date,"&lt;&gt;"&amp;B1890)&gt;0,"Date différente sur ce bon",IF(COUNTIF(po_num,A1890)&gt;25,"Plus de 25 lignes sur ce bon",IF(R1890="","Date de livraison manquante",IF(R1890&lt;B1890,"Livraison avant la commande",IF(AND(N(T1890)&gt;0,N(S1890)=0),"Date d'envoi manquante",IF(N(T1890)&gt;N(H1890),"Reçu plus que commandé",IF(AND(N(T1890)&gt;0,N(U1890)=0),"Date de réception manquante",IF(AND(N(U1890)&gt;0,U1890&lt;B1890),"Réception avant la commande","OK")))))))))))))))))))))</f>
        <v/>
      </c>
      <c r="AA1890" s="66" t="str">
        <f>IF(AND(X1890="Reçu",ISNUMBER(R1890)),IF(N(U1890)&lt;=R1890,1,0),"")</f>
        <v/>
      </c>
      <c r="AB1890" s="76" t="str">
        <f>IF(OR(X1890="Envoyé",X1890="Partiel",X1890="En retard"),IF(ISNUMBER(R1890),R1890,100000)+ROW()/100000,"")</f>
        <v/>
      </c>
      <c r="AC1890" s="66" t="str">
        <f>IF(A1890="","",IF(COUNTIF($A$6:A1890,A1890)=1,1,""))</f>
        <v/>
      </c>
      <c r="AD1890" s="66" t="str">
        <f>IF(AC1890=1,COUNT($AC$6:AC1890),"")</f>
        <v/>
      </c>
      <c r="AE1890" s="66" t="str">
        <f>IFERROR(INDEX(po_num,MATCH(1885,po_seq,0))&amp;"","")</f>
        <v/>
      </c>
      <c r="AF1890" s="66" t="str">
        <f>IF(OR(A1890="",p_po=""),"",IF(A1890&amp;""=p_po,COUNTIF($A$6:A1890,A1890),""))</f>
        <v/>
      </c>
      <c r="AG1890" s="66" t="str">
        <f>IF(OR(AB1890="",A1890=""),"",IF(COUNTIFS($A$6:A1890,A1890,$AB$6:AB1890,"&gt;0")=1,1,""))</f>
        <v/>
      </c>
      <c r="AH1890" s="70" t="str">
        <f>IF(AB1890="","",ROUND(N(W1890)*N(J1890)*(1-N(K1890)),2))</f>
        <v/>
      </c>
      <c r="AI1890" s="70" t="str">
        <f>IF(OR(J1890="",N(T1890)&lt;=0,V1890="Oui"),"",ROUND(N(T1890)*J1890*(1-N(K1890)),2))</f>
        <v/>
      </c>
    </row>
    <row r="1891">
      <c r="A1891" s="63" t="n"/>
      <c r="B1891" s="64" t="n"/>
      <c r="C1891" s="65" t="n"/>
      <c r="D1891" s="66" t="str">
        <f>IF(C1891="","",IFERROR(INDEX(sup_name,MATCH($C1891,sup_code,0))&amp;"","Fournisseur inconnu"))</f>
        <v/>
      </c>
      <c r="E1891" s="63" t="n"/>
      <c r="F1891" s="66" t="str">
        <f>IF(E1891="","",IFERROR(INDEX(art_des,MATCH($E1891,art_ref,0))&amp;"","Article inconnu"))</f>
        <v/>
      </c>
      <c r="G1891" s="67" t="str">
        <f>IF(E1891="","",IFERROR(INDEX(art_unit,MATCH($E1891,art_ref,0))&amp;"",""))</f>
        <v/>
      </c>
      <c r="H1891" s="68" t="n"/>
      <c r="I1891" s="69" t="n"/>
      <c r="J1891" s="70" t="str">
        <f>IF(E1891="","",IF(ISNUMBER(I1891),I1891,IFERROR(IF(ISNUMBER(INDEX(art_price,MATCH($E1891,art_ref,0))),INDEX(art_price,MATCH($E1891,art_ref,0)),""),"")))</f>
        <v/>
      </c>
      <c r="K1891" s="71" t="n"/>
      <c r="L1891" s="72" t="n"/>
      <c r="M1891" s="72" t="str">
        <f>IF(E1891="","",IF(L1891&lt;&gt;"",L1891,IFERROR(IF(ISNUMBER(INDEX(art_tva,MATCH($E1891,art_ref,0))),INDEX(art_tva,MATCH($E1891,art_ref,0)),""),"")))</f>
        <v/>
      </c>
      <c r="N1891" s="70" t="str">
        <f>IF(OR(E1891="",J1891=""),"",ROUND(N(H1891)*J1891*(1-N(K1891)),2))</f>
        <v/>
      </c>
      <c r="O1891" s="70" t="str">
        <f>IF(OR(N1891="",NOT(ISNUMBER(M1891))),"",ROUND(N1891*M1891,2))</f>
        <v/>
      </c>
      <c r="P1891" s="70" t="str">
        <f>IF(N1891="","",N1891+N(O1891))</f>
        <v/>
      </c>
      <c r="Q1891" s="64" t="n"/>
      <c r="R1891" s="73" t="str">
        <f>IF(N(Q1891)&gt;0,Q1891,IF(OR(N(B1891)=0,ISNA(MATCH($C1891,sup_code,0))),"",IF(ISNUMBER(INDEX(sup_delay,MATCH($C1891,sup_code,0))),B1891+INDEX(sup_delay,MATCH($C1891,sup_code,0)),"")))</f>
        <v/>
      </c>
      <c r="S1891" s="64" t="n"/>
      <c r="T1891" s="68" t="n"/>
      <c r="U1891" s="64" t="n"/>
      <c r="V1891" s="65" t="n"/>
      <c r="W1891" s="74" t="str">
        <f>IF(AND(A1891="",E1891=""),"",IF(V1891="Oui",0,MAX(0,ROUND(N(H1891)-N(T1891),6))))</f>
        <v/>
      </c>
      <c r="X1891" s="67" t="str">
        <f>IF(AND(A1891="",E1891=""),"",IF(V1891="Oui","Annulé",IF(AND(N(H1891)&gt;0,N(T1891)&gt;=N(H1891)),"Reçu",IF(N(S1891)=0,"Brouillon",IF(AND(ISNUMBER(R1891),R1891&lt;p_today),"En retard",IF(N(T1891)&gt;0,"Partiel","Envoyé"))))))</f>
        <v/>
      </c>
      <c r="Y1891" s="75" t="str">
        <f>IF(X1891="En retard",p_today-R1891,IF(AND(X1891="Reçu",ISNUMBER(R1891)),MAX(0,N(U1891)-R1891),""))</f>
        <v/>
      </c>
      <c r="Z1891" s="67" t="str">
        <f>IF(AND(A1891="",E1891=""),"",IF(A1891="","N° de bon manquant",IF(N(B1891)=0,"Date de commande manquante",IF(C1891="","Fournisseur manquant",IF(ISNA(MATCH($C1891,sup_code,0)),"Fournisseur inconnu",IF(E1891="","Article manquant",IF(ISNA(MATCH($E1891,art_ref,0)),"Article inconnu",IF(N(H1891)&lt;=0,"Quantité invalide",IF(J1891="","Prix manquant",IF(OR(N(K1891)&lt;0,N(K1891)&gt;=1),"Remise invalide",IF(M1891="","TVA manquante",IF(ISNA(MATCH(M1891,p_tva,0)),"Taux de TVA inconnu",IF(COUNTIFS(po_num,A1891,po_sup,"&lt;&gt;"&amp;C1891)&gt;0,"Fournisseur différent sur ce bon",IF(COUNTIFS(po_num,A1891,po_date,"&lt;&gt;"&amp;B1891)&gt;0,"Date différente sur ce bon",IF(COUNTIF(po_num,A1891)&gt;25,"Plus de 25 lignes sur ce bon",IF(R1891="","Date de livraison manquante",IF(R1891&lt;B1891,"Livraison avant la commande",IF(AND(N(T1891)&gt;0,N(S1891)=0),"Date d'envoi manquante",IF(N(T1891)&gt;N(H1891),"Reçu plus que commandé",IF(AND(N(T1891)&gt;0,N(U1891)=0),"Date de réception manquante",IF(AND(N(U1891)&gt;0,U1891&lt;B1891),"Réception avant la commande","OK")))))))))))))))))))))</f>
        <v/>
      </c>
      <c r="AA1891" s="66" t="str">
        <f>IF(AND(X1891="Reçu",ISNUMBER(R1891)),IF(N(U1891)&lt;=R1891,1,0),"")</f>
        <v/>
      </c>
      <c r="AB1891" s="76" t="str">
        <f>IF(OR(X1891="Envoyé",X1891="Partiel",X1891="En retard"),IF(ISNUMBER(R1891),R1891,100000)+ROW()/100000,"")</f>
        <v/>
      </c>
      <c r="AC1891" s="66" t="str">
        <f>IF(A1891="","",IF(COUNTIF($A$6:A1891,A1891)=1,1,""))</f>
        <v/>
      </c>
      <c r="AD1891" s="66" t="str">
        <f>IF(AC1891=1,COUNT($AC$6:AC1891),"")</f>
        <v/>
      </c>
      <c r="AE1891" s="66" t="str">
        <f>IFERROR(INDEX(po_num,MATCH(1886,po_seq,0))&amp;"","")</f>
        <v/>
      </c>
      <c r="AF1891" s="66" t="str">
        <f>IF(OR(A1891="",p_po=""),"",IF(A1891&amp;""=p_po,COUNTIF($A$6:A1891,A1891),""))</f>
        <v/>
      </c>
      <c r="AG1891" s="66" t="str">
        <f>IF(OR(AB1891="",A1891=""),"",IF(COUNTIFS($A$6:A1891,A1891,$AB$6:AB1891,"&gt;0")=1,1,""))</f>
        <v/>
      </c>
      <c r="AH1891" s="70" t="str">
        <f>IF(AB1891="","",ROUND(N(W1891)*N(J1891)*(1-N(K1891)),2))</f>
        <v/>
      </c>
      <c r="AI1891" s="70" t="str">
        <f>IF(OR(J1891="",N(T1891)&lt;=0,V1891="Oui"),"",ROUND(N(T1891)*J1891*(1-N(K1891)),2))</f>
        <v/>
      </c>
    </row>
    <row r="1892">
      <c r="A1892" s="63" t="n"/>
      <c r="B1892" s="64" t="n"/>
      <c r="C1892" s="65" t="n"/>
      <c r="D1892" s="66" t="str">
        <f>IF(C1892="","",IFERROR(INDEX(sup_name,MATCH($C1892,sup_code,0))&amp;"","Fournisseur inconnu"))</f>
        <v/>
      </c>
      <c r="E1892" s="63" t="n"/>
      <c r="F1892" s="66" t="str">
        <f>IF(E1892="","",IFERROR(INDEX(art_des,MATCH($E1892,art_ref,0))&amp;"","Article inconnu"))</f>
        <v/>
      </c>
      <c r="G1892" s="67" t="str">
        <f>IF(E1892="","",IFERROR(INDEX(art_unit,MATCH($E1892,art_ref,0))&amp;"",""))</f>
        <v/>
      </c>
      <c r="H1892" s="68" t="n"/>
      <c r="I1892" s="69" t="n"/>
      <c r="J1892" s="70" t="str">
        <f>IF(E1892="","",IF(ISNUMBER(I1892),I1892,IFERROR(IF(ISNUMBER(INDEX(art_price,MATCH($E1892,art_ref,0))),INDEX(art_price,MATCH($E1892,art_ref,0)),""),"")))</f>
        <v/>
      </c>
      <c r="K1892" s="71" t="n"/>
      <c r="L1892" s="72" t="n"/>
      <c r="M1892" s="72" t="str">
        <f>IF(E1892="","",IF(L1892&lt;&gt;"",L1892,IFERROR(IF(ISNUMBER(INDEX(art_tva,MATCH($E1892,art_ref,0))),INDEX(art_tva,MATCH($E1892,art_ref,0)),""),"")))</f>
        <v/>
      </c>
      <c r="N1892" s="70" t="str">
        <f>IF(OR(E1892="",J1892=""),"",ROUND(N(H1892)*J1892*(1-N(K1892)),2))</f>
        <v/>
      </c>
      <c r="O1892" s="70" t="str">
        <f>IF(OR(N1892="",NOT(ISNUMBER(M1892))),"",ROUND(N1892*M1892,2))</f>
        <v/>
      </c>
      <c r="P1892" s="70" t="str">
        <f>IF(N1892="","",N1892+N(O1892))</f>
        <v/>
      </c>
      <c r="Q1892" s="64" t="n"/>
      <c r="R1892" s="73" t="str">
        <f>IF(N(Q1892)&gt;0,Q1892,IF(OR(N(B1892)=0,ISNA(MATCH($C1892,sup_code,0))),"",IF(ISNUMBER(INDEX(sup_delay,MATCH($C1892,sup_code,0))),B1892+INDEX(sup_delay,MATCH($C1892,sup_code,0)),"")))</f>
        <v/>
      </c>
      <c r="S1892" s="64" t="n"/>
      <c r="T1892" s="68" t="n"/>
      <c r="U1892" s="64" t="n"/>
      <c r="V1892" s="65" t="n"/>
      <c r="W1892" s="74" t="str">
        <f>IF(AND(A1892="",E1892=""),"",IF(V1892="Oui",0,MAX(0,ROUND(N(H1892)-N(T1892),6))))</f>
        <v/>
      </c>
      <c r="X1892" s="67" t="str">
        <f>IF(AND(A1892="",E1892=""),"",IF(V1892="Oui","Annulé",IF(AND(N(H1892)&gt;0,N(T1892)&gt;=N(H1892)),"Reçu",IF(N(S1892)=0,"Brouillon",IF(AND(ISNUMBER(R1892),R1892&lt;p_today),"En retard",IF(N(T1892)&gt;0,"Partiel","Envoyé"))))))</f>
        <v/>
      </c>
      <c r="Y1892" s="75" t="str">
        <f>IF(X1892="En retard",p_today-R1892,IF(AND(X1892="Reçu",ISNUMBER(R1892)),MAX(0,N(U1892)-R1892),""))</f>
        <v/>
      </c>
      <c r="Z1892" s="67" t="str">
        <f>IF(AND(A1892="",E1892=""),"",IF(A1892="","N° de bon manquant",IF(N(B1892)=0,"Date de commande manquante",IF(C1892="","Fournisseur manquant",IF(ISNA(MATCH($C1892,sup_code,0)),"Fournisseur inconnu",IF(E1892="","Article manquant",IF(ISNA(MATCH($E1892,art_ref,0)),"Article inconnu",IF(N(H1892)&lt;=0,"Quantité invalide",IF(J1892="","Prix manquant",IF(OR(N(K1892)&lt;0,N(K1892)&gt;=1),"Remise invalide",IF(M1892="","TVA manquante",IF(ISNA(MATCH(M1892,p_tva,0)),"Taux de TVA inconnu",IF(COUNTIFS(po_num,A1892,po_sup,"&lt;&gt;"&amp;C1892)&gt;0,"Fournisseur différent sur ce bon",IF(COUNTIFS(po_num,A1892,po_date,"&lt;&gt;"&amp;B1892)&gt;0,"Date différente sur ce bon",IF(COUNTIF(po_num,A1892)&gt;25,"Plus de 25 lignes sur ce bon",IF(R1892="","Date de livraison manquante",IF(R1892&lt;B1892,"Livraison avant la commande",IF(AND(N(T1892)&gt;0,N(S1892)=0),"Date d'envoi manquante",IF(N(T1892)&gt;N(H1892),"Reçu plus que commandé",IF(AND(N(T1892)&gt;0,N(U1892)=0),"Date de réception manquante",IF(AND(N(U1892)&gt;0,U1892&lt;B1892),"Réception avant la commande","OK")))))))))))))))))))))</f>
        <v/>
      </c>
      <c r="AA1892" s="66" t="str">
        <f>IF(AND(X1892="Reçu",ISNUMBER(R1892)),IF(N(U1892)&lt;=R1892,1,0),"")</f>
        <v/>
      </c>
      <c r="AB1892" s="76" t="str">
        <f>IF(OR(X1892="Envoyé",X1892="Partiel",X1892="En retard"),IF(ISNUMBER(R1892),R1892,100000)+ROW()/100000,"")</f>
        <v/>
      </c>
      <c r="AC1892" s="66" t="str">
        <f>IF(A1892="","",IF(COUNTIF($A$6:A1892,A1892)=1,1,""))</f>
        <v/>
      </c>
      <c r="AD1892" s="66" t="str">
        <f>IF(AC1892=1,COUNT($AC$6:AC1892),"")</f>
        <v/>
      </c>
      <c r="AE1892" s="66" t="str">
        <f>IFERROR(INDEX(po_num,MATCH(1887,po_seq,0))&amp;"","")</f>
        <v/>
      </c>
      <c r="AF1892" s="66" t="str">
        <f>IF(OR(A1892="",p_po=""),"",IF(A1892&amp;""=p_po,COUNTIF($A$6:A1892,A1892),""))</f>
        <v/>
      </c>
      <c r="AG1892" s="66" t="str">
        <f>IF(OR(AB1892="",A1892=""),"",IF(COUNTIFS($A$6:A1892,A1892,$AB$6:AB1892,"&gt;0")=1,1,""))</f>
        <v/>
      </c>
      <c r="AH1892" s="70" t="str">
        <f>IF(AB1892="","",ROUND(N(W1892)*N(J1892)*(1-N(K1892)),2))</f>
        <v/>
      </c>
      <c r="AI1892" s="70" t="str">
        <f>IF(OR(J1892="",N(T1892)&lt;=0,V1892="Oui"),"",ROUND(N(T1892)*J1892*(1-N(K1892)),2))</f>
        <v/>
      </c>
    </row>
    <row r="1893">
      <c r="A1893" s="63" t="n"/>
      <c r="B1893" s="64" t="n"/>
      <c r="C1893" s="65" t="n"/>
      <c r="D1893" s="66" t="str">
        <f>IF(C1893="","",IFERROR(INDEX(sup_name,MATCH($C1893,sup_code,0))&amp;"","Fournisseur inconnu"))</f>
        <v/>
      </c>
      <c r="E1893" s="63" t="n"/>
      <c r="F1893" s="66" t="str">
        <f>IF(E1893="","",IFERROR(INDEX(art_des,MATCH($E1893,art_ref,0))&amp;"","Article inconnu"))</f>
        <v/>
      </c>
      <c r="G1893" s="67" t="str">
        <f>IF(E1893="","",IFERROR(INDEX(art_unit,MATCH($E1893,art_ref,0))&amp;"",""))</f>
        <v/>
      </c>
      <c r="H1893" s="68" t="n"/>
      <c r="I1893" s="69" t="n"/>
      <c r="J1893" s="70" t="str">
        <f>IF(E1893="","",IF(ISNUMBER(I1893),I1893,IFERROR(IF(ISNUMBER(INDEX(art_price,MATCH($E1893,art_ref,0))),INDEX(art_price,MATCH($E1893,art_ref,0)),""),"")))</f>
        <v/>
      </c>
      <c r="K1893" s="71" t="n"/>
      <c r="L1893" s="72" t="n"/>
      <c r="M1893" s="72" t="str">
        <f>IF(E1893="","",IF(L1893&lt;&gt;"",L1893,IFERROR(IF(ISNUMBER(INDEX(art_tva,MATCH($E1893,art_ref,0))),INDEX(art_tva,MATCH($E1893,art_ref,0)),""),"")))</f>
        <v/>
      </c>
      <c r="N1893" s="70" t="str">
        <f>IF(OR(E1893="",J1893=""),"",ROUND(N(H1893)*J1893*(1-N(K1893)),2))</f>
        <v/>
      </c>
      <c r="O1893" s="70" t="str">
        <f>IF(OR(N1893="",NOT(ISNUMBER(M1893))),"",ROUND(N1893*M1893,2))</f>
        <v/>
      </c>
      <c r="P1893" s="70" t="str">
        <f>IF(N1893="","",N1893+N(O1893))</f>
        <v/>
      </c>
      <c r="Q1893" s="64" t="n"/>
      <c r="R1893" s="73" t="str">
        <f>IF(N(Q1893)&gt;0,Q1893,IF(OR(N(B1893)=0,ISNA(MATCH($C1893,sup_code,0))),"",IF(ISNUMBER(INDEX(sup_delay,MATCH($C1893,sup_code,0))),B1893+INDEX(sup_delay,MATCH($C1893,sup_code,0)),"")))</f>
        <v/>
      </c>
      <c r="S1893" s="64" t="n"/>
      <c r="T1893" s="68" t="n"/>
      <c r="U1893" s="64" t="n"/>
      <c r="V1893" s="65" t="n"/>
      <c r="W1893" s="74" t="str">
        <f>IF(AND(A1893="",E1893=""),"",IF(V1893="Oui",0,MAX(0,ROUND(N(H1893)-N(T1893),6))))</f>
        <v/>
      </c>
      <c r="X1893" s="67" t="str">
        <f>IF(AND(A1893="",E1893=""),"",IF(V1893="Oui","Annulé",IF(AND(N(H1893)&gt;0,N(T1893)&gt;=N(H1893)),"Reçu",IF(N(S1893)=0,"Brouillon",IF(AND(ISNUMBER(R1893),R1893&lt;p_today),"En retard",IF(N(T1893)&gt;0,"Partiel","Envoyé"))))))</f>
        <v/>
      </c>
      <c r="Y1893" s="75" t="str">
        <f>IF(X1893="En retard",p_today-R1893,IF(AND(X1893="Reçu",ISNUMBER(R1893)),MAX(0,N(U1893)-R1893),""))</f>
        <v/>
      </c>
      <c r="Z1893" s="67" t="str">
        <f>IF(AND(A1893="",E1893=""),"",IF(A1893="","N° de bon manquant",IF(N(B1893)=0,"Date de commande manquante",IF(C1893="","Fournisseur manquant",IF(ISNA(MATCH($C1893,sup_code,0)),"Fournisseur inconnu",IF(E1893="","Article manquant",IF(ISNA(MATCH($E1893,art_ref,0)),"Article inconnu",IF(N(H1893)&lt;=0,"Quantité invalide",IF(J1893="","Prix manquant",IF(OR(N(K1893)&lt;0,N(K1893)&gt;=1),"Remise invalide",IF(M1893="","TVA manquante",IF(ISNA(MATCH(M1893,p_tva,0)),"Taux de TVA inconnu",IF(COUNTIFS(po_num,A1893,po_sup,"&lt;&gt;"&amp;C1893)&gt;0,"Fournisseur différent sur ce bon",IF(COUNTIFS(po_num,A1893,po_date,"&lt;&gt;"&amp;B1893)&gt;0,"Date différente sur ce bon",IF(COUNTIF(po_num,A1893)&gt;25,"Plus de 25 lignes sur ce bon",IF(R1893="","Date de livraison manquante",IF(R1893&lt;B1893,"Livraison avant la commande",IF(AND(N(T1893)&gt;0,N(S1893)=0),"Date d'envoi manquante",IF(N(T1893)&gt;N(H1893),"Reçu plus que commandé",IF(AND(N(T1893)&gt;0,N(U1893)=0),"Date de réception manquante",IF(AND(N(U1893)&gt;0,U1893&lt;B1893),"Réception avant la commande","OK")))))))))))))))))))))</f>
        <v/>
      </c>
      <c r="AA1893" s="66" t="str">
        <f>IF(AND(X1893="Reçu",ISNUMBER(R1893)),IF(N(U1893)&lt;=R1893,1,0),"")</f>
        <v/>
      </c>
      <c r="AB1893" s="76" t="str">
        <f>IF(OR(X1893="Envoyé",X1893="Partiel",X1893="En retard"),IF(ISNUMBER(R1893),R1893,100000)+ROW()/100000,"")</f>
        <v/>
      </c>
      <c r="AC1893" s="66" t="str">
        <f>IF(A1893="","",IF(COUNTIF($A$6:A1893,A1893)=1,1,""))</f>
        <v/>
      </c>
      <c r="AD1893" s="66" t="str">
        <f>IF(AC1893=1,COUNT($AC$6:AC1893),"")</f>
        <v/>
      </c>
      <c r="AE1893" s="66" t="str">
        <f>IFERROR(INDEX(po_num,MATCH(1888,po_seq,0))&amp;"","")</f>
        <v/>
      </c>
      <c r="AF1893" s="66" t="str">
        <f>IF(OR(A1893="",p_po=""),"",IF(A1893&amp;""=p_po,COUNTIF($A$6:A1893,A1893),""))</f>
        <v/>
      </c>
      <c r="AG1893" s="66" t="str">
        <f>IF(OR(AB1893="",A1893=""),"",IF(COUNTIFS($A$6:A1893,A1893,$AB$6:AB1893,"&gt;0")=1,1,""))</f>
        <v/>
      </c>
      <c r="AH1893" s="70" t="str">
        <f>IF(AB1893="","",ROUND(N(W1893)*N(J1893)*(1-N(K1893)),2))</f>
        <v/>
      </c>
      <c r="AI1893" s="70" t="str">
        <f>IF(OR(J1893="",N(T1893)&lt;=0,V1893="Oui"),"",ROUND(N(T1893)*J1893*(1-N(K1893)),2))</f>
        <v/>
      </c>
    </row>
    <row r="1894">
      <c r="A1894" s="63" t="n"/>
      <c r="B1894" s="64" t="n"/>
      <c r="C1894" s="65" t="n"/>
      <c r="D1894" s="66" t="str">
        <f>IF(C1894="","",IFERROR(INDEX(sup_name,MATCH($C1894,sup_code,0))&amp;"","Fournisseur inconnu"))</f>
        <v/>
      </c>
      <c r="E1894" s="63" t="n"/>
      <c r="F1894" s="66" t="str">
        <f>IF(E1894="","",IFERROR(INDEX(art_des,MATCH($E1894,art_ref,0))&amp;"","Article inconnu"))</f>
        <v/>
      </c>
      <c r="G1894" s="67" t="str">
        <f>IF(E1894="","",IFERROR(INDEX(art_unit,MATCH($E1894,art_ref,0))&amp;"",""))</f>
        <v/>
      </c>
      <c r="H1894" s="68" t="n"/>
      <c r="I1894" s="69" t="n"/>
      <c r="J1894" s="70" t="str">
        <f>IF(E1894="","",IF(ISNUMBER(I1894),I1894,IFERROR(IF(ISNUMBER(INDEX(art_price,MATCH($E1894,art_ref,0))),INDEX(art_price,MATCH($E1894,art_ref,0)),""),"")))</f>
        <v/>
      </c>
      <c r="K1894" s="71" t="n"/>
      <c r="L1894" s="72" t="n"/>
      <c r="M1894" s="72" t="str">
        <f>IF(E1894="","",IF(L1894&lt;&gt;"",L1894,IFERROR(IF(ISNUMBER(INDEX(art_tva,MATCH($E1894,art_ref,0))),INDEX(art_tva,MATCH($E1894,art_ref,0)),""),"")))</f>
        <v/>
      </c>
      <c r="N1894" s="70" t="str">
        <f>IF(OR(E1894="",J1894=""),"",ROUND(N(H1894)*J1894*(1-N(K1894)),2))</f>
        <v/>
      </c>
      <c r="O1894" s="70" t="str">
        <f>IF(OR(N1894="",NOT(ISNUMBER(M1894))),"",ROUND(N1894*M1894,2))</f>
        <v/>
      </c>
      <c r="P1894" s="70" t="str">
        <f>IF(N1894="","",N1894+N(O1894))</f>
        <v/>
      </c>
      <c r="Q1894" s="64" t="n"/>
      <c r="R1894" s="73" t="str">
        <f>IF(N(Q1894)&gt;0,Q1894,IF(OR(N(B1894)=0,ISNA(MATCH($C1894,sup_code,0))),"",IF(ISNUMBER(INDEX(sup_delay,MATCH($C1894,sup_code,0))),B1894+INDEX(sup_delay,MATCH($C1894,sup_code,0)),"")))</f>
        <v/>
      </c>
      <c r="S1894" s="64" t="n"/>
      <c r="T1894" s="68" t="n"/>
      <c r="U1894" s="64" t="n"/>
      <c r="V1894" s="65" t="n"/>
      <c r="W1894" s="74" t="str">
        <f>IF(AND(A1894="",E1894=""),"",IF(V1894="Oui",0,MAX(0,ROUND(N(H1894)-N(T1894),6))))</f>
        <v/>
      </c>
      <c r="X1894" s="67" t="str">
        <f>IF(AND(A1894="",E1894=""),"",IF(V1894="Oui","Annulé",IF(AND(N(H1894)&gt;0,N(T1894)&gt;=N(H1894)),"Reçu",IF(N(S1894)=0,"Brouillon",IF(AND(ISNUMBER(R1894),R1894&lt;p_today),"En retard",IF(N(T1894)&gt;0,"Partiel","Envoyé"))))))</f>
        <v/>
      </c>
      <c r="Y1894" s="75" t="str">
        <f>IF(X1894="En retard",p_today-R1894,IF(AND(X1894="Reçu",ISNUMBER(R1894)),MAX(0,N(U1894)-R1894),""))</f>
        <v/>
      </c>
      <c r="Z1894" s="67" t="str">
        <f>IF(AND(A1894="",E1894=""),"",IF(A1894="","N° de bon manquant",IF(N(B1894)=0,"Date de commande manquante",IF(C1894="","Fournisseur manquant",IF(ISNA(MATCH($C1894,sup_code,0)),"Fournisseur inconnu",IF(E1894="","Article manquant",IF(ISNA(MATCH($E1894,art_ref,0)),"Article inconnu",IF(N(H1894)&lt;=0,"Quantité invalide",IF(J1894="","Prix manquant",IF(OR(N(K1894)&lt;0,N(K1894)&gt;=1),"Remise invalide",IF(M1894="","TVA manquante",IF(ISNA(MATCH(M1894,p_tva,0)),"Taux de TVA inconnu",IF(COUNTIFS(po_num,A1894,po_sup,"&lt;&gt;"&amp;C1894)&gt;0,"Fournisseur différent sur ce bon",IF(COUNTIFS(po_num,A1894,po_date,"&lt;&gt;"&amp;B1894)&gt;0,"Date différente sur ce bon",IF(COUNTIF(po_num,A1894)&gt;25,"Plus de 25 lignes sur ce bon",IF(R1894="","Date de livraison manquante",IF(R1894&lt;B1894,"Livraison avant la commande",IF(AND(N(T1894)&gt;0,N(S1894)=0),"Date d'envoi manquante",IF(N(T1894)&gt;N(H1894),"Reçu plus que commandé",IF(AND(N(T1894)&gt;0,N(U1894)=0),"Date de réception manquante",IF(AND(N(U1894)&gt;0,U1894&lt;B1894),"Réception avant la commande","OK")))))))))))))))))))))</f>
        <v/>
      </c>
      <c r="AA1894" s="66" t="str">
        <f>IF(AND(X1894="Reçu",ISNUMBER(R1894)),IF(N(U1894)&lt;=R1894,1,0),"")</f>
        <v/>
      </c>
      <c r="AB1894" s="76" t="str">
        <f>IF(OR(X1894="Envoyé",X1894="Partiel",X1894="En retard"),IF(ISNUMBER(R1894),R1894,100000)+ROW()/100000,"")</f>
        <v/>
      </c>
      <c r="AC1894" s="66" t="str">
        <f>IF(A1894="","",IF(COUNTIF($A$6:A1894,A1894)=1,1,""))</f>
        <v/>
      </c>
      <c r="AD1894" s="66" t="str">
        <f>IF(AC1894=1,COUNT($AC$6:AC1894),"")</f>
        <v/>
      </c>
      <c r="AE1894" s="66" t="str">
        <f>IFERROR(INDEX(po_num,MATCH(1889,po_seq,0))&amp;"","")</f>
        <v/>
      </c>
      <c r="AF1894" s="66" t="str">
        <f>IF(OR(A1894="",p_po=""),"",IF(A1894&amp;""=p_po,COUNTIF($A$6:A1894,A1894),""))</f>
        <v/>
      </c>
      <c r="AG1894" s="66" t="str">
        <f>IF(OR(AB1894="",A1894=""),"",IF(COUNTIFS($A$6:A1894,A1894,$AB$6:AB1894,"&gt;0")=1,1,""))</f>
        <v/>
      </c>
      <c r="AH1894" s="70" t="str">
        <f>IF(AB1894="","",ROUND(N(W1894)*N(J1894)*(1-N(K1894)),2))</f>
        <v/>
      </c>
      <c r="AI1894" s="70" t="str">
        <f>IF(OR(J1894="",N(T1894)&lt;=0,V1894="Oui"),"",ROUND(N(T1894)*J1894*(1-N(K1894)),2))</f>
        <v/>
      </c>
    </row>
    <row r="1895">
      <c r="A1895" s="63" t="n"/>
      <c r="B1895" s="64" t="n"/>
      <c r="C1895" s="65" t="n"/>
      <c r="D1895" s="66" t="str">
        <f>IF(C1895="","",IFERROR(INDEX(sup_name,MATCH($C1895,sup_code,0))&amp;"","Fournisseur inconnu"))</f>
        <v/>
      </c>
      <c r="E1895" s="63" t="n"/>
      <c r="F1895" s="66" t="str">
        <f>IF(E1895="","",IFERROR(INDEX(art_des,MATCH($E1895,art_ref,0))&amp;"","Article inconnu"))</f>
        <v/>
      </c>
      <c r="G1895" s="67" t="str">
        <f>IF(E1895="","",IFERROR(INDEX(art_unit,MATCH($E1895,art_ref,0))&amp;"",""))</f>
        <v/>
      </c>
      <c r="H1895" s="68" t="n"/>
      <c r="I1895" s="69" t="n"/>
      <c r="J1895" s="70" t="str">
        <f>IF(E1895="","",IF(ISNUMBER(I1895),I1895,IFERROR(IF(ISNUMBER(INDEX(art_price,MATCH($E1895,art_ref,0))),INDEX(art_price,MATCH($E1895,art_ref,0)),""),"")))</f>
        <v/>
      </c>
      <c r="K1895" s="71" t="n"/>
      <c r="L1895" s="72" t="n"/>
      <c r="M1895" s="72" t="str">
        <f>IF(E1895="","",IF(L1895&lt;&gt;"",L1895,IFERROR(IF(ISNUMBER(INDEX(art_tva,MATCH($E1895,art_ref,0))),INDEX(art_tva,MATCH($E1895,art_ref,0)),""),"")))</f>
        <v/>
      </c>
      <c r="N1895" s="70" t="str">
        <f>IF(OR(E1895="",J1895=""),"",ROUND(N(H1895)*J1895*(1-N(K1895)),2))</f>
        <v/>
      </c>
      <c r="O1895" s="70" t="str">
        <f>IF(OR(N1895="",NOT(ISNUMBER(M1895))),"",ROUND(N1895*M1895,2))</f>
        <v/>
      </c>
      <c r="P1895" s="70" t="str">
        <f>IF(N1895="","",N1895+N(O1895))</f>
        <v/>
      </c>
      <c r="Q1895" s="64" t="n"/>
      <c r="R1895" s="73" t="str">
        <f>IF(N(Q1895)&gt;0,Q1895,IF(OR(N(B1895)=0,ISNA(MATCH($C1895,sup_code,0))),"",IF(ISNUMBER(INDEX(sup_delay,MATCH($C1895,sup_code,0))),B1895+INDEX(sup_delay,MATCH($C1895,sup_code,0)),"")))</f>
        <v/>
      </c>
      <c r="S1895" s="64" t="n"/>
      <c r="T1895" s="68" t="n"/>
      <c r="U1895" s="64" t="n"/>
      <c r="V1895" s="65" t="n"/>
      <c r="W1895" s="74" t="str">
        <f>IF(AND(A1895="",E1895=""),"",IF(V1895="Oui",0,MAX(0,ROUND(N(H1895)-N(T1895),6))))</f>
        <v/>
      </c>
      <c r="X1895" s="67" t="str">
        <f>IF(AND(A1895="",E1895=""),"",IF(V1895="Oui","Annulé",IF(AND(N(H1895)&gt;0,N(T1895)&gt;=N(H1895)),"Reçu",IF(N(S1895)=0,"Brouillon",IF(AND(ISNUMBER(R1895),R1895&lt;p_today),"En retard",IF(N(T1895)&gt;0,"Partiel","Envoyé"))))))</f>
        <v/>
      </c>
      <c r="Y1895" s="75" t="str">
        <f>IF(X1895="En retard",p_today-R1895,IF(AND(X1895="Reçu",ISNUMBER(R1895)),MAX(0,N(U1895)-R1895),""))</f>
        <v/>
      </c>
      <c r="Z1895" s="67" t="str">
        <f>IF(AND(A1895="",E1895=""),"",IF(A1895="","N° de bon manquant",IF(N(B1895)=0,"Date de commande manquante",IF(C1895="","Fournisseur manquant",IF(ISNA(MATCH($C1895,sup_code,0)),"Fournisseur inconnu",IF(E1895="","Article manquant",IF(ISNA(MATCH($E1895,art_ref,0)),"Article inconnu",IF(N(H1895)&lt;=0,"Quantité invalide",IF(J1895="","Prix manquant",IF(OR(N(K1895)&lt;0,N(K1895)&gt;=1),"Remise invalide",IF(M1895="","TVA manquante",IF(ISNA(MATCH(M1895,p_tva,0)),"Taux de TVA inconnu",IF(COUNTIFS(po_num,A1895,po_sup,"&lt;&gt;"&amp;C1895)&gt;0,"Fournisseur différent sur ce bon",IF(COUNTIFS(po_num,A1895,po_date,"&lt;&gt;"&amp;B1895)&gt;0,"Date différente sur ce bon",IF(COUNTIF(po_num,A1895)&gt;25,"Plus de 25 lignes sur ce bon",IF(R1895="","Date de livraison manquante",IF(R1895&lt;B1895,"Livraison avant la commande",IF(AND(N(T1895)&gt;0,N(S1895)=0),"Date d'envoi manquante",IF(N(T1895)&gt;N(H1895),"Reçu plus que commandé",IF(AND(N(T1895)&gt;0,N(U1895)=0),"Date de réception manquante",IF(AND(N(U1895)&gt;0,U1895&lt;B1895),"Réception avant la commande","OK")))))))))))))))))))))</f>
        <v/>
      </c>
      <c r="AA1895" s="66" t="str">
        <f>IF(AND(X1895="Reçu",ISNUMBER(R1895)),IF(N(U1895)&lt;=R1895,1,0),"")</f>
        <v/>
      </c>
      <c r="AB1895" s="76" t="str">
        <f>IF(OR(X1895="Envoyé",X1895="Partiel",X1895="En retard"),IF(ISNUMBER(R1895),R1895,100000)+ROW()/100000,"")</f>
        <v/>
      </c>
      <c r="AC1895" s="66" t="str">
        <f>IF(A1895="","",IF(COUNTIF($A$6:A1895,A1895)=1,1,""))</f>
        <v/>
      </c>
      <c r="AD1895" s="66" t="str">
        <f>IF(AC1895=1,COUNT($AC$6:AC1895),"")</f>
        <v/>
      </c>
      <c r="AE1895" s="66" t="str">
        <f>IFERROR(INDEX(po_num,MATCH(1890,po_seq,0))&amp;"","")</f>
        <v/>
      </c>
      <c r="AF1895" s="66" t="str">
        <f>IF(OR(A1895="",p_po=""),"",IF(A1895&amp;""=p_po,COUNTIF($A$6:A1895,A1895),""))</f>
        <v/>
      </c>
      <c r="AG1895" s="66" t="str">
        <f>IF(OR(AB1895="",A1895=""),"",IF(COUNTIFS($A$6:A1895,A1895,$AB$6:AB1895,"&gt;0")=1,1,""))</f>
        <v/>
      </c>
      <c r="AH1895" s="70" t="str">
        <f>IF(AB1895="","",ROUND(N(W1895)*N(J1895)*(1-N(K1895)),2))</f>
        <v/>
      </c>
      <c r="AI1895" s="70" t="str">
        <f>IF(OR(J1895="",N(T1895)&lt;=0,V1895="Oui"),"",ROUND(N(T1895)*J1895*(1-N(K1895)),2))</f>
        <v/>
      </c>
    </row>
    <row r="1896">
      <c r="A1896" s="63" t="n"/>
      <c r="B1896" s="64" t="n"/>
      <c r="C1896" s="65" t="n"/>
      <c r="D1896" s="66" t="str">
        <f>IF(C1896="","",IFERROR(INDEX(sup_name,MATCH($C1896,sup_code,0))&amp;"","Fournisseur inconnu"))</f>
        <v/>
      </c>
      <c r="E1896" s="63" t="n"/>
      <c r="F1896" s="66" t="str">
        <f>IF(E1896="","",IFERROR(INDEX(art_des,MATCH($E1896,art_ref,0))&amp;"","Article inconnu"))</f>
        <v/>
      </c>
      <c r="G1896" s="67" t="str">
        <f>IF(E1896="","",IFERROR(INDEX(art_unit,MATCH($E1896,art_ref,0))&amp;"",""))</f>
        <v/>
      </c>
      <c r="H1896" s="68" t="n"/>
      <c r="I1896" s="69" t="n"/>
      <c r="J1896" s="70" t="str">
        <f>IF(E1896="","",IF(ISNUMBER(I1896),I1896,IFERROR(IF(ISNUMBER(INDEX(art_price,MATCH($E1896,art_ref,0))),INDEX(art_price,MATCH($E1896,art_ref,0)),""),"")))</f>
        <v/>
      </c>
      <c r="K1896" s="71" t="n"/>
      <c r="L1896" s="72" t="n"/>
      <c r="M1896" s="72" t="str">
        <f>IF(E1896="","",IF(L1896&lt;&gt;"",L1896,IFERROR(IF(ISNUMBER(INDEX(art_tva,MATCH($E1896,art_ref,0))),INDEX(art_tva,MATCH($E1896,art_ref,0)),""),"")))</f>
        <v/>
      </c>
      <c r="N1896" s="70" t="str">
        <f>IF(OR(E1896="",J1896=""),"",ROUND(N(H1896)*J1896*(1-N(K1896)),2))</f>
        <v/>
      </c>
      <c r="O1896" s="70" t="str">
        <f>IF(OR(N1896="",NOT(ISNUMBER(M1896))),"",ROUND(N1896*M1896,2))</f>
        <v/>
      </c>
      <c r="P1896" s="70" t="str">
        <f>IF(N1896="","",N1896+N(O1896))</f>
        <v/>
      </c>
      <c r="Q1896" s="64" t="n"/>
      <c r="R1896" s="73" t="str">
        <f>IF(N(Q1896)&gt;0,Q1896,IF(OR(N(B1896)=0,ISNA(MATCH($C1896,sup_code,0))),"",IF(ISNUMBER(INDEX(sup_delay,MATCH($C1896,sup_code,0))),B1896+INDEX(sup_delay,MATCH($C1896,sup_code,0)),"")))</f>
        <v/>
      </c>
      <c r="S1896" s="64" t="n"/>
      <c r="T1896" s="68" t="n"/>
      <c r="U1896" s="64" t="n"/>
      <c r="V1896" s="65" t="n"/>
      <c r="W1896" s="74" t="str">
        <f>IF(AND(A1896="",E1896=""),"",IF(V1896="Oui",0,MAX(0,ROUND(N(H1896)-N(T1896),6))))</f>
        <v/>
      </c>
      <c r="X1896" s="67" t="str">
        <f>IF(AND(A1896="",E1896=""),"",IF(V1896="Oui","Annulé",IF(AND(N(H1896)&gt;0,N(T1896)&gt;=N(H1896)),"Reçu",IF(N(S1896)=0,"Brouillon",IF(AND(ISNUMBER(R1896),R1896&lt;p_today),"En retard",IF(N(T1896)&gt;0,"Partiel","Envoyé"))))))</f>
        <v/>
      </c>
      <c r="Y1896" s="75" t="str">
        <f>IF(X1896="En retard",p_today-R1896,IF(AND(X1896="Reçu",ISNUMBER(R1896)),MAX(0,N(U1896)-R1896),""))</f>
        <v/>
      </c>
      <c r="Z1896" s="67" t="str">
        <f>IF(AND(A1896="",E1896=""),"",IF(A1896="","N° de bon manquant",IF(N(B1896)=0,"Date de commande manquante",IF(C1896="","Fournisseur manquant",IF(ISNA(MATCH($C1896,sup_code,0)),"Fournisseur inconnu",IF(E1896="","Article manquant",IF(ISNA(MATCH($E1896,art_ref,0)),"Article inconnu",IF(N(H1896)&lt;=0,"Quantité invalide",IF(J1896="","Prix manquant",IF(OR(N(K1896)&lt;0,N(K1896)&gt;=1),"Remise invalide",IF(M1896="","TVA manquante",IF(ISNA(MATCH(M1896,p_tva,0)),"Taux de TVA inconnu",IF(COUNTIFS(po_num,A1896,po_sup,"&lt;&gt;"&amp;C1896)&gt;0,"Fournisseur différent sur ce bon",IF(COUNTIFS(po_num,A1896,po_date,"&lt;&gt;"&amp;B1896)&gt;0,"Date différente sur ce bon",IF(COUNTIF(po_num,A1896)&gt;25,"Plus de 25 lignes sur ce bon",IF(R1896="","Date de livraison manquante",IF(R1896&lt;B1896,"Livraison avant la commande",IF(AND(N(T1896)&gt;0,N(S1896)=0),"Date d'envoi manquante",IF(N(T1896)&gt;N(H1896),"Reçu plus que commandé",IF(AND(N(T1896)&gt;0,N(U1896)=0),"Date de réception manquante",IF(AND(N(U1896)&gt;0,U1896&lt;B1896),"Réception avant la commande","OK")))))))))))))))))))))</f>
        <v/>
      </c>
      <c r="AA1896" s="66" t="str">
        <f>IF(AND(X1896="Reçu",ISNUMBER(R1896)),IF(N(U1896)&lt;=R1896,1,0),"")</f>
        <v/>
      </c>
      <c r="AB1896" s="76" t="str">
        <f>IF(OR(X1896="Envoyé",X1896="Partiel",X1896="En retard"),IF(ISNUMBER(R1896),R1896,100000)+ROW()/100000,"")</f>
        <v/>
      </c>
      <c r="AC1896" s="66" t="str">
        <f>IF(A1896="","",IF(COUNTIF($A$6:A1896,A1896)=1,1,""))</f>
        <v/>
      </c>
      <c r="AD1896" s="66" t="str">
        <f>IF(AC1896=1,COUNT($AC$6:AC1896),"")</f>
        <v/>
      </c>
      <c r="AE1896" s="66" t="str">
        <f>IFERROR(INDEX(po_num,MATCH(1891,po_seq,0))&amp;"","")</f>
        <v/>
      </c>
      <c r="AF1896" s="66" t="str">
        <f>IF(OR(A1896="",p_po=""),"",IF(A1896&amp;""=p_po,COUNTIF($A$6:A1896,A1896),""))</f>
        <v/>
      </c>
      <c r="AG1896" s="66" t="str">
        <f>IF(OR(AB1896="",A1896=""),"",IF(COUNTIFS($A$6:A1896,A1896,$AB$6:AB1896,"&gt;0")=1,1,""))</f>
        <v/>
      </c>
      <c r="AH1896" s="70" t="str">
        <f>IF(AB1896="","",ROUND(N(W1896)*N(J1896)*(1-N(K1896)),2))</f>
        <v/>
      </c>
      <c r="AI1896" s="70" t="str">
        <f>IF(OR(J1896="",N(T1896)&lt;=0,V1896="Oui"),"",ROUND(N(T1896)*J1896*(1-N(K1896)),2))</f>
        <v/>
      </c>
    </row>
    <row r="1897">
      <c r="A1897" s="63" t="n"/>
      <c r="B1897" s="64" t="n"/>
      <c r="C1897" s="65" t="n"/>
      <c r="D1897" s="66" t="str">
        <f>IF(C1897="","",IFERROR(INDEX(sup_name,MATCH($C1897,sup_code,0))&amp;"","Fournisseur inconnu"))</f>
        <v/>
      </c>
      <c r="E1897" s="63" t="n"/>
      <c r="F1897" s="66" t="str">
        <f>IF(E1897="","",IFERROR(INDEX(art_des,MATCH($E1897,art_ref,0))&amp;"","Article inconnu"))</f>
        <v/>
      </c>
      <c r="G1897" s="67" t="str">
        <f>IF(E1897="","",IFERROR(INDEX(art_unit,MATCH($E1897,art_ref,0))&amp;"",""))</f>
        <v/>
      </c>
      <c r="H1897" s="68" t="n"/>
      <c r="I1897" s="69" t="n"/>
      <c r="J1897" s="70" t="str">
        <f>IF(E1897="","",IF(ISNUMBER(I1897),I1897,IFERROR(IF(ISNUMBER(INDEX(art_price,MATCH($E1897,art_ref,0))),INDEX(art_price,MATCH($E1897,art_ref,0)),""),"")))</f>
        <v/>
      </c>
      <c r="K1897" s="71" t="n"/>
      <c r="L1897" s="72" t="n"/>
      <c r="M1897" s="72" t="str">
        <f>IF(E1897="","",IF(L1897&lt;&gt;"",L1897,IFERROR(IF(ISNUMBER(INDEX(art_tva,MATCH($E1897,art_ref,0))),INDEX(art_tva,MATCH($E1897,art_ref,0)),""),"")))</f>
        <v/>
      </c>
      <c r="N1897" s="70" t="str">
        <f>IF(OR(E1897="",J1897=""),"",ROUND(N(H1897)*J1897*(1-N(K1897)),2))</f>
        <v/>
      </c>
      <c r="O1897" s="70" t="str">
        <f>IF(OR(N1897="",NOT(ISNUMBER(M1897))),"",ROUND(N1897*M1897,2))</f>
        <v/>
      </c>
      <c r="P1897" s="70" t="str">
        <f>IF(N1897="","",N1897+N(O1897))</f>
        <v/>
      </c>
      <c r="Q1897" s="64" t="n"/>
      <c r="R1897" s="73" t="str">
        <f>IF(N(Q1897)&gt;0,Q1897,IF(OR(N(B1897)=0,ISNA(MATCH($C1897,sup_code,0))),"",IF(ISNUMBER(INDEX(sup_delay,MATCH($C1897,sup_code,0))),B1897+INDEX(sup_delay,MATCH($C1897,sup_code,0)),"")))</f>
        <v/>
      </c>
      <c r="S1897" s="64" t="n"/>
      <c r="T1897" s="68" t="n"/>
      <c r="U1897" s="64" t="n"/>
      <c r="V1897" s="65" t="n"/>
      <c r="W1897" s="74" t="str">
        <f>IF(AND(A1897="",E1897=""),"",IF(V1897="Oui",0,MAX(0,ROUND(N(H1897)-N(T1897),6))))</f>
        <v/>
      </c>
      <c r="X1897" s="67" t="str">
        <f>IF(AND(A1897="",E1897=""),"",IF(V1897="Oui","Annulé",IF(AND(N(H1897)&gt;0,N(T1897)&gt;=N(H1897)),"Reçu",IF(N(S1897)=0,"Brouillon",IF(AND(ISNUMBER(R1897),R1897&lt;p_today),"En retard",IF(N(T1897)&gt;0,"Partiel","Envoyé"))))))</f>
        <v/>
      </c>
      <c r="Y1897" s="75" t="str">
        <f>IF(X1897="En retard",p_today-R1897,IF(AND(X1897="Reçu",ISNUMBER(R1897)),MAX(0,N(U1897)-R1897),""))</f>
        <v/>
      </c>
      <c r="Z1897" s="67" t="str">
        <f>IF(AND(A1897="",E1897=""),"",IF(A1897="","N° de bon manquant",IF(N(B1897)=0,"Date de commande manquante",IF(C1897="","Fournisseur manquant",IF(ISNA(MATCH($C1897,sup_code,0)),"Fournisseur inconnu",IF(E1897="","Article manquant",IF(ISNA(MATCH($E1897,art_ref,0)),"Article inconnu",IF(N(H1897)&lt;=0,"Quantité invalide",IF(J1897="","Prix manquant",IF(OR(N(K1897)&lt;0,N(K1897)&gt;=1),"Remise invalide",IF(M1897="","TVA manquante",IF(ISNA(MATCH(M1897,p_tva,0)),"Taux de TVA inconnu",IF(COUNTIFS(po_num,A1897,po_sup,"&lt;&gt;"&amp;C1897)&gt;0,"Fournisseur différent sur ce bon",IF(COUNTIFS(po_num,A1897,po_date,"&lt;&gt;"&amp;B1897)&gt;0,"Date différente sur ce bon",IF(COUNTIF(po_num,A1897)&gt;25,"Plus de 25 lignes sur ce bon",IF(R1897="","Date de livraison manquante",IF(R1897&lt;B1897,"Livraison avant la commande",IF(AND(N(T1897)&gt;0,N(S1897)=0),"Date d'envoi manquante",IF(N(T1897)&gt;N(H1897),"Reçu plus que commandé",IF(AND(N(T1897)&gt;0,N(U1897)=0),"Date de réception manquante",IF(AND(N(U1897)&gt;0,U1897&lt;B1897),"Réception avant la commande","OK")))))))))))))))))))))</f>
        <v/>
      </c>
      <c r="AA1897" s="66" t="str">
        <f>IF(AND(X1897="Reçu",ISNUMBER(R1897)),IF(N(U1897)&lt;=R1897,1,0),"")</f>
        <v/>
      </c>
      <c r="AB1897" s="76" t="str">
        <f>IF(OR(X1897="Envoyé",X1897="Partiel",X1897="En retard"),IF(ISNUMBER(R1897),R1897,100000)+ROW()/100000,"")</f>
        <v/>
      </c>
      <c r="AC1897" s="66" t="str">
        <f>IF(A1897="","",IF(COUNTIF($A$6:A1897,A1897)=1,1,""))</f>
        <v/>
      </c>
      <c r="AD1897" s="66" t="str">
        <f>IF(AC1897=1,COUNT($AC$6:AC1897),"")</f>
        <v/>
      </c>
      <c r="AE1897" s="66" t="str">
        <f>IFERROR(INDEX(po_num,MATCH(1892,po_seq,0))&amp;"","")</f>
        <v/>
      </c>
      <c r="AF1897" s="66" t="str">
        <f>IF(OR(A1897="",p_po=""),"",IF(A1897&amp;""=p_po,COUNTIF($A$6:A1897,A1897),""))</f>
        <v/>
      </c>
      <c r="AG1897" s="66" t="str">
        <f>IF(OR(AB1897="",A1897=""),"",IF(COUNTIFS($A$6:A1897,A1897,$AB$6:AB1897,"&gt;0")=1,1,""))</f>
        <v/>
      </c>
      <c r="AH1897" s="70" t="str">
        <f>IF(AB1897="","",ROUND(N(W1897)*N(J1897)*(1-N(K1897)),2))</f>
        <v/>
      </c>
      <c r="AI1897" s="70" t="str">
        <f>IF(OR(J1897="",N(T1897)&lt;=0,V1897="Oui"),"",ROUND(N(T1897)*J1897*(1-N(K1897)),2))</f>
        <v/>
      </c>
    </row>
    <row r="1898">
      <c r="A1898" s="63" t="n"/>
      <c r="B1898" s="64" t="n"/>
      <c r="C1898" s="65" t="n"/>
      <c r="D1898" s="66" t="str">
        <f>IF(C1898="","",IFERROR(INDEX(sup_name,MATCH($C1898,sup_code,0))&amp;"","Fournisseur inconnu"))</f>
        <v/>
      </c>
      <c r="E1898" s="63" t="n"/>
      <c r="F1898" s="66" t="str">
        <f>IF(E1898="","",IFERROR(INDEX(art_des,MATCH($E1898,art_ref,0))&amp;"","Article inconnu"))</f>
        <v/>
      </c>
      <c r="G1898" s="67" t="str">
        <f>IF(E1898="","",IFERROR(INDEX(art_unit,MATCH($E1898,art_ref,0))&amp;"",""))</f>
        <v/>
      </c>
      <c r="H1898" s="68" t="n"/>
      <c r="I1898" s="69" t="n"/>
      <c r="J1898" s="70" t="str">
        <f>IF(E1898="","",IF(ISNUMBER(I1898),I1898,IFERROR(IF(ISNUMBER(INDEX(art_price,MATCH($E1898,art_ref,0))),INDEX(art_price,MATCH($E1898,art_ref,0)),""),"")))</f>
        <v/>
      </c>
      <c r="K1898" s="71" t="n"/>
      <c r="L1898" s="72" t="n"/>
      <c r="M1898" s="72" t="str">
        <f>IF(E1898="","",IF(L1898&lt;&gt;"",L1898,IFERROR(IF(ISNUMBER(INDEX(art_tva,MATCH($E1898,art_ref,0))),INDEX(art_tva,MATCH($E1898,art_ref,0)),""),"")))</f>
        <v/>
      </c>
      <c r="N1898" s="70" t="str">
        <f>IF(OR(E1898="",J1898=""),"",ROUND(N(H1898)*J1898*(1-N(K1898)),2))</f>
        <v/>
      </c>
      <c r="O1898" s="70" t="str">
        <f>IF(OR(N1898="",NOT(ISNUMBER(M1898))),"",ROUND(N1898*M1898,2))</f>
        <v/>
      </c>
      <c r="P1898" s="70" t="str">
        <f>IF(N1898="","",N1898+N(O1898))</f>
        <v/>
      </c>
      <c r="Q1898" s="64" t="n"/>
      <c r="R1898" s="73" t="str">
        <f>IF(N(Q1898)&gt;0,Q1898,IF(OR(N(B1898)=0,ISNA(MATCH($C1898,sup_code,0))),"",IF(ISNUMBER(INDEX(sup_delay,MATCH($C1898,sup_code,0))),B1898+INDEX(sup_delay,MATCH($C1898,sup_code,0)),"")))</f>
        <v/>
      </c>
      <c r="S1898" s="64" t="n"/>
      <c r="T1898" s="68" t="n"/>
      <c r="U1898" s="64" t="n"/>
      <c r="V1898" s="65" t="n"/>
      <c r="W1898" s="74" t="str">
        <f>IF(AND(A1898="",E1898=""),"",IF(V1898="Oui",0,MAX(0,ROUND(N(H1898)-N(T1898),6))))</f>
        <v/>
      </c>
      <c r="X1898" s="67" t="str">
        <f>IF(AND(A1898="",E1898=""),"",IF(V1898="Oui","Annulé",IF(AND(N(H1898)&gt;0,N(T1898)&gt;=N(H1898)),"Reçu",IF(N(S1898)=0,"Brouillon",IF(AND(ISNUMBER(R1898),R1898&lt;p_today),"En retard",IF(N(T1898)&gt;0,"Partiel","Envoyé"))))))</f>
        <v/>
      </c>
      <c r="Y1898" s="75" t="str">
        <f>IF(X1898="En retard",p_today-R1898,IF(AND(X1898="Reçu",ISNUMBER(R1898)),MAX(0,N(U1898)-R1898),""))</f>
        <v/>
      </c>
      <c r="Z1898" s="67" t="str">
        <f>IF(AND(A1898="",E1898=""),"",IF(A1898="","N° de bon manquant",IF(N(B1898)=0,"Date de commande manquante",IF(C1898="","Fournisseur manquant",IF(ISNA(MATCH($C1898,sup_code,0)),"Fournisseur inconnu",IF(E1898="","Article manquant",IF(ISNA(MATCH($E1898,art_ref,0)),"Article inconnu",IF(N(H1898)&lt;=0,"Quantité invalide",IF(J1898="","Prix manquant",IF(OR(N(K1898)&lt;0,N(K1898)&gt;=1),"Remise invalide",IF(M1898="","TVA manquante",IF(ISNA(MATCH(M1898,p_tva,0)),"Taux de TVA inconnu",IF(COUNTIFS(po_num,A1898,po_sup,"&lt;&gt;"&amp;C1898)&gt;0,"Fournisseur différent sur ce bon",IF(COUNTIFS(po_num,A1898,po_date,"&lt;&gt;"&amp;B1898)&gt;0,"Date différente sur ce bon",IF(COUNTIF(po_num,A1898)&gt;25,"Plus de 25 lignes sur ce bon",IF(R1898="","Date de livraison manquante",IF(R1898&lt;B1898,"Livraison avant la commande",IF(AND(N(T1898)&gt;0,N(S1898)=0),"Date d'envoi manquante",IF(N(T1898)&gt;N(H1898),"Reçu plus que commandé",IF(AND(N(T1898)&gt;0,N(U1898)=0),"Date de réception manquante",IF(AND(N(U1898)&gt;0,U1898&lt;B1898),"Réception avant la commande","OK")))))))))))))))))))))</f>
        <v/>
      </c>
      <c r="AA1898" s="66" t="str">
        <f>IF(AND(X1898="Reçu",ISNUMBER(R1898)),IF(N(U1898)&lt;=R1898,1,0),"")</f>
        <v/>
      </c>
      <c r="AB1898" s="76" t="str">
        <f>IF(OR(X1898="Envoyé",X1898="Partiel",X1898="En retard"),IF(ISNUMBER(R1898),R1898,100000)+ROW()/100000,"")</f>
        <v/>
      </c>
      <c r="AC1898" s="66" t="str">
        <f>IF(A1898="","",IF(COUNTIF($A$6:A1898,A1898)=1,1,""))</f>
        <v/>
      </c>
      <c r="AD1898" s="66" t="str">
        <f>IF(AC1898=1,COUNT($AC$6:AC1898),"")</f>
        <v/>
      </c>
      <c r="AE1898" s="66" t="str">
        <f>IFERROR(INDEX(po_num,MATCH(1893,po_seq,0))&amp;"","")</f>
        <v/>
      </c>
      <c r="AF1898" s="66" t="str">
        <f>IF(OR(A1898="",p_po=""),"",IF(A1898&amp;""=p_po,COUNTIF($A$6:A1898,A1898),""))</f>
        <v/>
      </c>
      <c r="AG1898" s="66" t="str">
        <f>IF(OR(AB1898="",A1898=""),"",IF(COUNTIFS($A$6:A1898,A1898,$AB$6:AB1898,"&gt;0")=1,1,""))</f>
        <v/>
      </c>
      <c r="AH1898" s="70" t="str">
        <f>IF(AB1898="","",ROUND(N(W1898)*N(J1898)*(1-N(K1898)),2))</f>
        <v/>
      </c>
      <c r="AI1898" s="70" t="str">
        <f>IF(OR(J1898="",N(T1898)&lt;=0,V1898="Oui"),"",ROUND(N(T1898)*J1898*(1-N(K1898)),2))</f>
        <v/>
      </c>
    </row>
    <row r="1899">
      <c r="A1899" s="63" t="n"/>
      <c r="B1899" s="64" t="n"/>
      <c r="C1899" s="65" t="n"/>
      <c r="D1899" s="66" t="str">
        <f>IF(C1899="","",IFERROR(INDEX(sup_name,MATCH($C1899,sup_code,0))&amp;"","Fournisseur inconnu"))</f>
        <v/>
      </c>
      <c r="E1899" s="63" t="n"/>
      <c r="F1899" s="66" t="str">
        <f>IF(E1899="","",IFERROR(INDEX(art_des,MATCH($E1899,art_ref,0))&amp;"","Article inconnu"))</f>
        <v/>
      </c>
      <c r="G1899" s="67" t="str">
        <f>IF(E1899="","",IFERROR(INDEX(art_unit,MATCH($E1899,art_ref,0))&amp;"",""))</f>
        <v/>
      </c>
      <c r="H1899" s="68" t="n"/>
      <c r="I1899" s="69" t="n"/>
      <c r="J1899" s="70" t="str">
        <f>IF(E1899="","",IF(ISNUMBER(I1899),I1899,IFERROR(IF(ISNUMBER(INDEX(art_price,MATCH($E1899,art_ref,0))),INDEX(art_price,MATCH($E1899,art_ref,0)),""),"")))</f>
        <v/>
      </c>
      <c r="K1899" s="71" t="n"/>
      <c r="L1899" s="72" t="n"/>
      <c r="M1899" s="72" t="str">
        <f>IF(E1899="","",IF(L1899&lt;&gt;"",L1899,IFERROR(IF(ISNUMBER(INDEX(art_tva,MATCH($E1899,art_ref,0))),INDEX(art_tva,MATCH($E1899,art_ref,0)),""),"")))</f>
        <v/>
      </c>
      <c r="N1899" s="70" t="str">
        <f>IF(OR(E1899="",J1899=""),"",ROUND(N(H1899)*J1899*(1-N(K1899)),2))</f>
        <v/>
      </c>
      <c r="O1899" s="70" t="str">
        <f>IF(OR(N1899="",NOT(ISNUMBER(M1899))),"",ROUND(N1899*M1899,2))</f>
        <v/>
      </c>
      <c r="P1899" s="70" t="str">
        <f>IF(N1899="","",N1899+N(O1899))</f>
        <v/>
      </c>
      <c r="Q1899" s="64" t="n"/>
      <c r="R1899" s="73" t="str">
        <f>IF(N(Q1899)&gt;0,Q1899,IF(OR(N(B1899)=0,ISNA(MATCH($C1899,sup_code,0))),"",IF(ISNUMBER(INDEX(sup_delay,MATCH($C1899,sup_code,0))),B1899+INDEX(sup_delay,MATCH($C1899,sup_code,0)),"")))</f>
        <v/>
      </c>
      <c r="S1899" s="64" t="n"/>
      <c r="T1899" s="68" t="n"/>
      <c r="U1899" s="64" t="n"/>
      <c r="V1899" s="65" t="n"/>
      <c r="W1899" s="74" t="str">
        <f>IF(AND(A1899="",E1899=""),"",IF(V1899="Oui",0,MAX(0,ROUND(N(H1899)-N(T1899),6))))</f>
        <v/>
      </c>
      <c r="X1899" s="67" t="str">
        <f>IF(AND(A1899="",E1899=""),"",IF(V1899="Oui","Annulé",IF(AND(N(H1899)&gt;0,N(T1899)&gt;=N(H1899)),"Reçu",IF(N(S1899)=0,"Brouillon",IF(AND(ISNUMBER(R1899),R1899&lt;p_today),"En retard",IF(N(T1899)&gt;0,"Partiel","Envoyé"))))))</f>
        <v/>
      </c>
      <c r="Y1899" s="75" t="str">
        <f>IF(X1899="En retard",p_today-R1899,IF(AND(X1899="Reçu",ISNUMBER(R1899)),MAX(0,N(U1899)-R1899),""))</f>
        <v/>
      </c>
      <c r="Z1899" s="67" t="str">
        <f>IF(AND(A1899="",E1899=""),"",IF(A1899="","N° de bon manquant",IF(N(B1899)=0,"Date de commande manquante",IF(C1899="","Fournisseur manquant",IF(ISNA(MATCH($C1899,sup_code,0)),"Fournisseur inconnu",IF(E1899="","Article manquant",IF(ISNA(MATCH($E1899,art_ref,0)),"Article inconnu",IF(N(H1899)&lt;=0,"Quantité invalide",IF(J1899="","Prix manquant",IF(OR(N(K1899)&lt;0,N(K1899)&gt;=1),"Remise invalide",IF(M1899="","TVA manquante",IF(ISNA(MATCH(M1899,p_tva,0)),"Taux de TVA inconnu",IF(COUNTIFS(po_num,A1899,po_sup,"&lt;&gt;"&amp;C1899)&gt;0,"Fournisseur différent sur ce bon",IF(COUNTIFS(po_num,A1899,po_date,"&lt;&gt;"&amp;B1899)&gt;0,"Date différente sur ce bon",IF(COUNTIF(po_num,A1899)&gt;25,"Plus de 25 lignes sur ce bon",IF(R1899="","Date de livraison manquante",IF(R1899&lt;B1899,"Livraison avant la commande",IF(AND(N(T1899)&gt;0,N(S1899)=0),"Date d'envoi manquante",IF(N(T1899)&gt;N(H1899),"Reçu plus que commandé",IF(AND(N(T1899)&gt;0,N(U1899)=0),"Date de réception manquante",IF(AND(N(U1899)&gt;0,U1899&lt;B1899),"Réception avant la commande","OK")))))))))))))))))))))</f>
        <v/>
      </c>
      <c r="AA1899" s="66" t="str">
        <f>IF(AND(X1899="Reçu",ISNUMBER(R1899)),IF(N(U1899)&lt;=R1899,1,0),"")</f>
        <v/>
      </c>
      <c r="AB1899" s="76" t="str">
        <f>IF(OR(X1899="Envoyé",X1899="Partiel",X1899="En retard"),IF(ISNUMBER(R1899),R1899,100000)+ROW()/100000,"")</f>
        <v/>
      </c>
      <c r="AC1899" s="66" t="str">
        <f>IF(A1899="","",IF(COUNTIF($A$6:A1899,A1899)=1,1,""))</f>
        <v/>
      </c>
      <c r="AD1899" s="66" t="str">
        <f>IF(AC1899=1,COUNT($AC$6:AC1899),"")</f>
        <v/>
      </c>
      <c r="AE1899" s="66" t="str">
        <f>IFERROR(INDEX(po_num,MATCH(1894,po_seq,0))&amp;"","")</f>
        <v/>
      </c>
      <c r="AF1899" s="66" t="str">
        <f>IF(OR(A1899="",p_po=""),"",IF(A1899&amp;""=p_po,COUNTIF($A$6:A1899,A1899),""))</f>
        <v/>
      </c>
      <c r="AG1899" s="66" t="str">
        <f>IF(OR(AB1899="",A1899=""),"",IF(COUNTIFS($A$6:A1899,A1899,$AB$6:AB1899,"&gt;0")=1,1,""))</f>
        <v/>
      </c>
      <c r="AH1899" s="70" t="str">
        <f>IF(AB1899="","",ROUND(N(W1899)*N(J1899)*(1-N(K1899)),2))</f>
        <v/>
      </c>
      <c r="AI1899" s="70" t="str">
        <f>IF(OR(J1899="",N(T1899)&lt;=0,V1899="Oui"),"",ROUND(N(T1899)*J1899*(1-N(K1899)),2))</f>
        <v/>
      </c>
    </row>
    <row r="1900">
      <c r="A1900" s="63" t="n"/>
      <c r="B1900" s="64" t="n"/>
      <c r="C1900" s="65" t="n"/>
      <c r="D1900" s="66" t="str">
        <f>IF(C1900="","",IFERROR(INDEX(sup_name,MATCH($C1900,sup_code,0))&amp;"","Fournisseur inconnu"))</f>
        <v/>
      </c>
      <c r="E1900" s="63" t="n"/>
      <c r="F1900" s="66" t="str">
        <f>IF(E1900="","",IFERROR(INDEX(art_des,MATCH($E1900,art_ref,0))&amp;"","Article inconnu"))</f>
        <v/>
      </c>
      <c r="G1900" s="67" t="str">
        <f>IF(E1900="","",IFERROR(INDEX(art_unit,MATCH($E1900,art_ref,0))&amp;"",""))</f>
        <v/>
      </c>
      <c r="H1900" s="68" t="n"/>
      <c r="I1900" s="69" t="n"/>
      <c r="J1900" s="70" t="str">
        <f>IF(E1900="","",IF(ISNUMBER(I1900),I1900,IFERROR(IF(ISNUMBER(INDEX(art_price,MATCH($E1900,art_ref,0))),INDEX(art_price,MATCH($E1900,art_ref,0)),""),"")))</f>
        <v/>
      </c>
      <c r="K1900" s="71" t="n"/>
      <c r="L1900" s="72" t="n"/>
      <c r="M1900" s="72" t="str">
        <f>IF(E1900="","",IF(L1900&lt;&gt;"",L1900,IFERROR(IF(ISNUMBER(INDEX(art_tva,MATCH($E1900,art_ref,0))),INDEX(art_tva,MATCH($E1900,art_ref,0)),""),"")))</f>
        <v/>
      </c>
      <c r="N1900" s="70" t="str">
        <f>IF(OR(E1900="",J1900=""),"",ROUND(N(H1900)*J1900*(1-N(K1900)),2))</f>
        <v/>
      </c>
      <c r="O1900" s="70" t="str">
        <f>IF(OR(N1900="",NOT(ISNUMBER(M1900))),"",ROUND(N1900*M1900,2))</f>
        <v/>
      </c>
      <c r="P1900" s="70" t="str">
        <f>IF(N1900="","",N1900+N(O1900))</f>
        <v/>
      </c>
      <c r="Q1900" s="64" t="n"/>
      <c r="R1900" s="73" t="str">
        <f>IF(N(Q1900)&gt;0,Q1900,IF(OR(N(B1900)=0,ISNA(MATCH($C1900,sup_code,0))),"",IF(ISNUMBER(INDEX(sup_delay,MATCH($C1900,sup_code,0))),B1900+INDEX(sup_delay,MATCH($C1900,sup_code,0)),"")))</f>
        <v/>
      </c>
      <c r="S1900" s="64" t="n"/>
      <c r="T1900" s="68" t="n"/>
      <c r="U1900" s="64" t="n"/>
      <c r="V1900" s="65" t="n"/>
      <c r="W1900" s="74" t="str">
        <f>IF(AND(A1900="",E1900=""),"",IF(V1900="Oui",0,MAX(0,ROUND(N(H1900)-N(T1900),6))))</f>
        <v/>
      </c>
      <c r="X1900" s="67" t="str">
        <f>IF(AND(A1900="",E1900=""),"",IF(V1900="Oui","Annulé",IF(AND(N(H1900)&gt;0,N(T1900)&gt;=N(H1900)),"Reçu",IF(N(S1900)=0,"Brouillon",IF(AND(ISNUMBER(R1900),R1900&lt;p_today),"En retard",IF(N(T1900)&gt;0,"Partiel","Envoyé"))))))</f>
        <v/>
      </c>
      <c r="Y1900" s="75" t="str">
        <f>IF(X1900="En retard",p_today-R1900,IF(AND(X1900="Reçu",ISNUMBER(R1900)),MAX(0,N(U1900)-R1900),""))</f>
        <v/>
      </c>
      <c r="Z1900" s="67" t="str">
        <f>IF(AND(A1900="",E1900=""),"",IF(A1900="","N° de bon manquant",IF(N(B1900)=0,"Date de commande manquante",IF(C1900="","Fournisseur manquant",IF(ISNA(MATCH($C1900,sup_code,0)),"Fournisseur inconnu",IF(E1900="","Article manquant",IF(ISNA(MATCH($E1900,art_ref,0)),"Article inconnu",IF(N(H1900)&lt;=0,"Quantité invalide",IF(J1900="","Prix manquant",IF(OR(N(K1900)&lt;0,N(K1900)&gt;=1),"Remise invalide",IF(M1900="","TVA manquante",IF(ISNA(MATCH(M1900,p_tva,0)),"Taux de TVA inconnu",IF(COUNTIFS(po_num,A1900,po_sup,"&lt;&gt;"&amp;C1900)&gt;0,"Fournisseur différent sur ce bon",IF(COUNTIFS(po_num,A1900,po_date,"&lt;&gt;"&amp;B1900)&gt;0,"Date différente sur ce bon",IF(COUNTIF(po_num,A1900)&gt;25,"Plus de 25 lignes sur ce bon",IF(R1900="","Date de livraison manquante",IF(R1900&lt;B1900,"Livraison avant la commande",IF(AND(N(T1900)&gt;0,N(S1900)=0),"Date d'envoi manquante",IF(N(T1900)&gt;N(H1900),"Reçu plus que commandé",IF(AND(N(T1900)&gt;0,N(U1900)=0),"Date de réception manquante",IF(AND(N(U1900)&gt;0,U1900&lt;B1900),"Réception avant la commande","OK")))))))))))))))))))))</f>
        <v/>
      </c>
      <c r="AA1900" s="66" t="str">
        <f>IF(AND(X1900="Reçu",ISNUMBER(R1900)),IF(N(U1900)&lt;=R1900,1,0),"")</f>
        <v/>
      </c>
      <c r="AB1900" s="76" t="str">
        <f>IF(OR(X1900="Envoyé",X1900="Partiel",X1900="En retard"),IF(ISNUMBER(R1900),R1900,100000)+ROW()/100000,"")</f>
        <v/>
      </c>
      <c r="AC1900" s="66" t="str">
        <f>IF(A1900="","",IF(COUNTIF($A$6:A1900,A1900)=1,1,""))</f>
        <v/>
      </c>
      <c r="AD1900" s="66" t="str">
        <f>IF(AC1900=1,COUNT($AC$6:AC1900),"")</f>
        <v/>
      </c>
      <c r="AE1900" s="66" t="str">
        <f>IFERROR(INDEX(po_num,MATCH(1895,po_seq,0))&amp;"","")</f>
        <v/>
      </c>
      <c r="AF1900" s="66" t="str">
        <f>IF(OR(A1900="",p_po=""),"",IF(A1900&amp;""=p_po,COUNTIF($A$6:A1900,A1900),""))</f>
        <v/>
      </c>
      <c r="AG1900" s="66" t="str">
        <f>IF(OR(AB1900="",A1900=""),"",IF(COUNTIFS($A$6:A1900,A1900,$AB$6:AB1900,"&gt;0")=1,1,""))</f>
        <v/>
      </c>
      <c r="AH1900" s="70" t="str">
        <f>IF(AB1900="","",ROUND(N(W1900)*N(J1900)*(1-N(K1900)),2))</f>
        <v/>
      </c>
      <c r="AI1900" s="70" t="str">
        <f>IF(OR(J1900="",N(T1900)&lt;=0,V1900="Oui"),"",ROUND(N(T1900)*J1900*(1-N(K1900)),2))</f>
        <v/>
      </c>
    </row>
    <row r="1901">
      <c r="A1901" s="63" t="n"/>
      <c r="B1901" s="64" t="n"/>
      <c r="C1901" s="65" t="n"/>
      <c r="D1901" s="66" t="str">
        <f>IF(C1901="","",IFERROR(INDEX(sup_name,MATCH($C1901,sup_code,0))&amp;"","Fournisseur inconnu"))</f>
        <v/>
      </c>
      <c r="E1901" s="63" t="n"/>
      <c r="F1901" s="66" t="str">
        <f>IF(E1901="","",IFERROR(INDEX(art_des,MATCH($E1901,art_ref,0))&amp;"","Article inconnu"))</f>
        <v/>
      </c>
      <c r="G1901" s="67" t="str">
        <f>IF(E1901="","",IFERROR(INDEX(art_unit,MATCH($E1901,art_ref,0))&amp;"",""))</f>
        <v/>
      </c>
      <c r="H1901" s="68" t="n"/>
      <c r="I1901" s="69" t="n"/>
      <c r="J1901" s="70" t="str">
        <f>IF(E1901="","",IF(ISNUMBER(I1901),I1901,IFERROR(IF(ISNUMBER(INDEX(art_price,MATCH($E1901,art_ref,0))),INDEX(art_price,MATCH($E1901,art_ref,0)),""),"")))</f>
        <v/>
      </c>
      <c r="K1901" s="71" t="n"/>
      <c r="L1901" s="72" t="n"/>
      <c r="M1901" s="72" t="str">
        <f>IF(E1901="","",IF(L1901&lt;&gt;"",L1901,IFERROR(IF(ISNUMBER(INDEX(art_tva,MATCH($E1901,art_ref,0))),INDEX(art_tva,MATCH($E1901,art_ref,0)),""),"")))</f>
        <v/>
      </c>
      <c r="N1901" s="70" t="str">
        <f>IF(OR(E1901="",J1901=""),"",ROUND(N(H1901)*J1901*(1-N(K1901)),2))</f>
        <v/>
      </c>
      <c r="O1901" s="70" t="str">
        <f>IF(OR(N1901="",NOT(ISNUMBER(M1901))),"",ROUND(N1901*M1901,2))</f>
        <v/>
      </c>
      <c r="P1901" s="70" t="str">
        <f>IF(N1901="","",N1901+N(O1901))</f>
        <v/>
      </c>
      <c r="Q1901" s="64" t="n"/>
      <c r="R1901" s="73" t="str">
        <f>IF(N(Q1901)&gt;0,Q1901,IF(OR(N(B1901)=0,ISNA(MATCH($C1901,sup_code,0))),"",IF(ISNUMBER(INDEX(sup_delay,MATCH($C1901,sup_code,0))),B1901+INDEX(sup_delay,MATCH($C1901,sup_code,0)),"")))</f>
        <v/>
      </c>
      <c r="S1901" s="64" t="n"/>
      <c r="T1901" s="68" t="n"/>
      <c r="U1901" s="64" t="n"/>
      <c r="V1901" s="65" t="n"/>
      <c r="W1901" s="74" t="str">
        <f>IF(AND(A1901="",E1901=""),"",IF(V1901="Oui",0,MAX(0,ROUND(N(H1901)-N(T1901),6))))</f>
        <v/>
      </c>
      <c r="X1901" s="67" t="str">
        <f>IF(AND(A1901="",E1901=""),"",IF(V1901="Oui","Annulé",IF(AND(N(H1901)&gt;0,N(T1901)&gt;=N(H1901)),"Reçu",IF(N(S1901)=0,"Brouillon",IF(AND(ISNUMBER(R1901),R1901&lt;p_today),"En retard",IF(N(T1901)&gt;0,"Partiel","Envoyé"))))))</f>
        <v/>
      </c>
      <c r="Y1901" s="75" t="str">
        <f>IF(X1901="En retard",p_today-R1901,IF(AND(X1901="Reçu",ISNUMBER(R1901)),MAX(0,N(U1901)-R1901),""))</f>
        <v/>
      </c>
      <c r="Z1901" s="67" t="str">
        <f>IF(AND(A1901="",E1901=""),"",IF(A1901="","N° de bon manquant",IF(N(B1901)=0,"Date de commande manquante",IF(C1901="","Fournisseur manquant",IF(ISNA(MATCH($C1901,sup_code,0)),"Fournisseur inconnu",IF(E1901="","Article manquant",IF(ISNA(MATCH($E1901,art_ref,0)),"Article inconnu",IF(N(H1901)&lt;=0,"Quantité invalide",IF(J1901="","Prix manquant",IF(OR(N(K1901)&lt;0,N(K1901)&gt;=1),"Remise invalide",IF(M1901="","TVA manquante",IF(ISNA(MATCH(M1901,p_tva,0)),"Taux de TVA inconnu",IF(COUNTIFS(po_num,A1901,po_sup,"&lt;&gt;"&amp;C1901)&gt;0,"Fournisseur différent sur ce bon",IF(COUNTIFS(po_num,A1901,po_date,"&lt;&gt;"&amp;B1901)&gt;0,"Date différente sur ce bon",IF(COUNTIF(po_num,A1901)&gt;25,"Plus de 25 lignes sur ce bon",IF(R1901="","Date de livraison manquante",IF(R1901&lt;B1901,"Livraison avant la commande",IF(AND(N(T1901)&gt;0,N(S1901)=0),"Date d'envoi manquante",IF(N(T1901)&gt;N(H1901),"Reçu plus que commandé",IF(AND(N(T1901)&gt;0,N(U1901)=0),"Date de réception manquante",IF(AND(N(U1901)&gt;0,U1901&lt;B1901),"Réception avant la commande","OK")))))))))))))))))))))</f>
        <v/>
      </c>
      <c r="AA1901" s="66" t="str">
        <f>IF(AND(X1901="Reçu",ISNUMBER(R1901)),IF(N(U1901)&lt;=R1901,1,0),"")</f>
        <v/>
      </c>
      <c r="AB1901" s="76" t="str">
        <f>IF(OR(X1901="Envoyé",X1901="Partiel",X1901="En retard"),IF(ISNUMBER(R1901),R1901,100000)+ROW()/100000,"")</f>
        <v/>
      </c>
      <c r="AC1901" s="66" t="str">
        <f>IF(A1901="","",IF(COUNTIF($A$6:A1901,A1901)=1,1,""))</f>
        <v/>
      </c>
      <c r="AD1901" s="66" t="str">
        <f>IF(AC1901=1,COUNT($AC$6:AC1901),"")</f>
        <v/>
      </c>
      <c r="AE1901" s="66" t="str">
        <f>IFERROR(INDEX(po_num,MATCH(1896,po_seq,0))&amp;"","")</f>
        <v/>
      </c>
      <c r="AF1901" s="66" t="str">
        <f>IF(OR(A1901="",p_po=""),"",IF(A1901&amp;""=p_po,COUNTIF($A$6:A1901,A1901),""))</f>
        <v/>
      </c>
      <c r="AG1901" s="66" t="str">
        <f>IF(OR(AB1901="",A1901=""),"",IF(COUNTIFS($A$6:A1901,A1901,$AB$6:AB1901,"&gt;0")=1,1,""))</f>
        <v/>
      </c>
      <c r="AH1901" s="70" t="str">
        <f>IF(AB1901="","",ROUND(N(W1901)*N(J1901)*(1-N(K1901)),2))</f>
        <v/>
      </c>
      <c r="AI1901" s="70" t="str">
        <f>IF(OR(J1901="",N(T1901)&lt;=0,V1901="Oui"),"",ROUND(N(T1901)*J1901*(1-N(K1901)),2))</f>
        <v/>
      </c>
    </row>
    <row r="1902">
      <c r="A1902" s="63" t="n"/>
      <c r="B1902" s="64" t="n"/>
      <c r="C1902" s="65" t="n"/>
      <c r="D1902" s="66" t="str">
        <f>IF(C1902="","",IFERROR(INDEX(sup_name,MATCH($C1902,sup_code,0))&amp;"","Fournisseur inconnu"))</f>
        <v/>
      </c>
      <c r="E1902" s="63" t="n"/>
      <c r="F1902" s="66" t="str">
        <f>IF(E1902="","",IFERROR(INDEX(art_des,MATCH($E1902,art_ref,0))&amp;"","Article inconnu"))</f>
        <v/>
      </c>
      <c r="G1902" s="67" t="str">
        <f>IF(E1902="","",IFERROR(INDEX(art_unit,MATCH($E1902,art_ref,0))&amp;"",""))</f>
        <v/>
      </c>
      <c r="H1902" s="68" t="n"/>
      <c r="I1902" s="69" t="n"/>
      <c r="J1902" s="70" t="str">
        <f>IF(E1902="","",IF(ISNUMBER(I1902),I1902,IFERROR(IF(ISNUMBER(INDEX(art_price,MATCH($E1902,art_ref,0))),INDEX(art_price,MATCH($E1902,art_ref,0)),""),"")))</f>
        <v/>
      </c>
      <c r="K1902" s="71" t="n"/>
      <c r="L1902" s="72" t="n"/>
      <c r="M1902" s="72" t="str">
        <f>IF(E1902="","",IF(L1902&lt;&gt;"",L1902,IFERROR(IF(ISNUMBER(INDEX(art_tva,MATCH($E1902,art_ref,0))),INDEX(art_tva,MATCH($E1902,art_ref,0)),""),"")))</f>
        <v/>
      </c>
      <c r="N1902" s="70" t="str">
        <f>IF(OR(E1902="",J1902=""),"",ROUND(N(H1902)*J1902*(1-N(K1902)),2))</f>
        <v/>
      </c>
      <c r="O1902" s="70" t="str">
        <f>IF(OR(N1902="",NOT(ISNUMBER(M1902))),"",ROUND(N1902*M1902,2))</f>
        <v/>
      </c>
      <c r="P1902" s="70" t="str">
        <f>IF(N1902="","",N1902+N(O1902))</f>
        <v/>
      </c>
      <c r="Q1902" s="64" t="n"/>
      <c r="R1902" s="73" t="str">
        <f>IF(N(Q1902)&gt;0,Q1902,IF(OR(N(B1902)=0,ISNA(MATCH($C1902,sup_code,0))),"",IF(ISNUMBER(INDEX(sup_delay,MATCH($C1902,sup_code,0))),B1902+INDEX(sup_delay,MATCH($C1902,sup_code,0)),"")))</f>
        <v/>
      </c>
      <c r="S1902" s="64" t="n"/>
      <c r="T1902" s="68" t="n"/>
      <c r="U1902" s="64" t="n"/>
      <c r="V1902" s="65" t="n"/>
      <c r="W1902" s="74" t="str">
        <f>IF(AND(A1902="",E1902=""),"",IF(V1902="Oui",0,MAX(0,ROUND(N(H1902)-N(T1902),6))))</f>
        <v/>
      </c>
      <c r="X1902" s="67" t="str">
        <f>IF(AND(A1902="",E1902=""),"",IF(V1902="Oui","Annulé",IF(AND(N(H1902)&gt;0,N(T1902)&gt;=N(H1902)),"Reçu",IF(N(S1902)=0,"Brouillon",IF(AND(ISNUMBER(R1902),R1902&lt;p_today),"En retard",IF(N(T1902)&gt;0,"Partiel","Envoyé"))))))</f>
        <v/>
      </c>
      <c r="Y1902" s="75" t="str">
        <f>IF(X1902="En retard",p_today-R1902,IF(AND(X1902="Reçu",ISNUMBER(R1902)),MAX(0,N(U1902)-R1902),""))</f>
        <v/>
      </c>
      <c r="Z1902" s="67" t="str">
        <f>IF(AND(A1902="",E1902=""),"",IF(A1902="","N° de bon manquant",IF(N(B1902)=0,"Date de commande manquante",IF(C1902="","Fournisseur manquant",IF(ISNA(MATCH($C1902,sup_code,0)),"Fournisseur inconnu",IF(E1902="","Article manquant",IF(ISNA(MATCH($E1902,art_ref,0)),"Article inconnu",IF(N(H1902)&lt;=0,"Quantité invalide",IF(J1902="","Prix manquant",IF(OR(N(K1902)&lt;0,N(K1902)&gt;=1),"Remise invalide",IF(M1902="","TVA manquante",IF(ISNA(MATCH(M1902,p_tva,0)),"Taux de TVA inconnu",IF(COUNTIFS(po_num,A1902,po_sup,"&lt;&gt;"&amp;C1902)&gt;0,"Fournisseur différent sur ce bon",IF(COUNTIFS(po_num,A1902,po_date,"&lt;&gt;"&amp;B1902)&gt;0,"Date différente sur ce bon",IF(COUNTIF(po_num,A1902)&gt;25,"Plus de 25 lignes sur ce bon",IF(R1902="","Date de livraison manquante",IF(R1902&lt;B1902,"Livraison avant la commande",IF(AND(N(T1902)&gt;0,N(S1902)=0),"Date d'envoi manquante",IF(N(T1902)&gt;N(H1902),"Reçu plus que commandé",IF(AND(N(T1902)&gt;0,N(U1902)=0),"Date de réception manquante",IF(AND(N(U1902)&gt;0,U1902&lt;B1902),"Réception avant la commande","OK")))))))))))))))))))))</f>
        <v/>
      </c>
      <c r="AA1902" s="66" t="str">
        <f>IF(AND(X1902="Reçu",ISNUMBER(R1902)),IF(N(U1902)&lt;=R1902,1,0),"")</f>
        <v/>
      </c>
      <c r="AB1902" s="76" t="str">
        <f>IF(OR(X1902="Envoyé",X1902="Partiel",X1902="En retard"),IF(ISNUMBER(R1902),R1902,100000)+ROW()/100000,"")</f>
        <v/>
      </c>
      <c r="AC1902" s="66" t="str">
        <f>IF(A1902="","",IF(COUNTIF($A$6:A1902,A1902)=1,1,""))</f>
        <v/>
      </c>
      <c r="AD1902" s="66" t="str">
        <f>IF(AC1902=1,COUNT($AC$6:AC1902),"")</f>
        <v/>
      </c>
      <c r="AE1902" s="66" t="str">
        <f>IFERROR(INDEX(po_num,MATCH(1897,po_seq,0))&amp;"","")</f>
        <v/>
      </c>
      <c r="AF1902" s="66" t="str">
        <f>IF(OR(A1902="",p_po=""),"",IF(A1902&amp;""=p_po,COUNTIF($A$6:A1902,A1902),""))</f>
        <v/>
      </c>
      <c r="AG1902" s="66" t="str">
        <f>IF(OR(AB1902="",A1902=""),"",IF(COUNTIFS($A$6:A1902,A1902,$AB$6:AB1902,"&gt;0")=1,1,""))</f>
        <v/>
      </c>
      <c r="AH1902" s="70" t="str">
        <f>IF(AB1902="","",ROUND(N(W1902)*N(J1902)*(1-N(K1902)),2))</f>
        <v/>
      </c>
      <c r="AI1902" s="70" t="str">
        <f>IF(OR(J1902="",N(T1902)&lt;=0,V1902="Oui"),"",ROUND(N(T1902)*J1902*(1-N(K1902)),2))</f>
        <v/>
      </c>
    </row>
    <row r="1903">
      <c r="A1903" s="63" t="n"/>
      <c r="B1903" s="64" t="n"/>
      <c r="C1903" s="65" t="n"/>
      <c r="D1903" s="66" t="str">
        <f>IF(C1903="","",IFERROR(INDEX(sup_name,MATCH($C1903,sup_code,0))&amp;"","Fournisseur inconnu"))</f>
        <v/>
      </c>
      <c r="E1903" s="63" t="n"/>
      <c r="F1903" s="66" t="str">
        <f>IF(E1903="","",IFERROR(INDEX(art_des,MATCH($E1903,art_ref,0))&amp;"","Article inconnu"))</f>
        <v/>
      </c>
      <c r="G1903" s="67" t="str">
        <f>IF(E1903="","",IFERROR(INDEX(art_unit,MATCH($E1903,art_ref,0))&amp;"",""))</f>
        <v/>
      </c>
      <c r="H1903" s="68" t="n"/>
      <c r="I1903" s="69" t="n"/>
      <c r="J1903" s="70" t="str">
        <f>IF(E1903="","",IF(ISNUMBER(I1903),I1903,IFERROR(IF(ISNUMBER(INDEX(art_price,MATCH($E1903,art_ref,0))),INDEX(art_price,MATCH($E1903,art_ref,0)),""),"")))</f>
        <v/>
      </c>
      <c r="K1903" s="71" t="n"/>
      <c r="L1903" s="72" t="n"/>
      <c r="M1903" s="72" t="str">
        <f>IF(E1903="","",IF(L1903&lt;&gt;"",L1903,IFERROR(IF(ISNUMBER(INDEX(art_tva,MATCH($E1903,art_ref,0))),INDEX(art_tva,MATCH($E1903,art_ref,0)),""),"")))</f>
        <v/>
      </c>
      <c r="N1903" s="70" t="str">
        <f>IF(OR(E1903="",J1903=""),"",ROUND(N(H1903)*J1903*(1-N(K1903)),2))</f>
        <v/>
      </c>
      <c r="O1903" s="70" t="str">
        <f>IF(OR(N1903="",NOT(ISNUMBER(M1903))),"",ROUND(N1903*M1903,2))</f>
        <v/>
      </c>
      <c r="P1903" s="70" t="str">
        <f>IF(N1903="","",N1903+N(O1903))</f>
        <v/>
      </c>
      <c r="Q1903" s="64" t="n"/>
      <c r="R1903" s="73" t="str">
        <f>IF(N(Q1903)&gt;0,Q1903,IF(OR(N(B1903)=0,ISNA(MATCH($C1903,sup_code,0))),"",IF(ISNUMBER(INDEX(sup_delay,MATCH($C1903,sup_code,0))),B1903+INDEX(sup_delay,MATCH($C1903,sup_code,0)),"")))</f>
        <v/>
      </c>
      <c r="S1903" s="64" t="n"/>
      <c r="T1903" s="68" t="n"/>
      <c r="U1903" s="64" t="n"/>
      <c r="V1903" s="65" t="n"/>
      <c r="W1903" s="74" t="str">
        <f>IF(AND(A1903="",E1903=""),"",IF(V1903="Oui",0,MAX(0,ROUND(N(H1903)-N(T1903),6))))</f>
        <v/>
      </c>
      <c r="X1903" s="67" t="str">
        <f>IF(AND(A1903="",E1903=""),"",IF(V1903="Oui","Annulé",IF(AND(N(H1903)&gt;0,N(T1903)&gt;=N(H1903)),"Reçu",IF(N(S1903)=0,"Brouillon",IF(AND(ISNUMBER(R1903),R1903&lt;p_today),"En retard",IF(N(T1903)&gt;0,"Partiel","Envoyé"))))))</f>
        <v/>
      </c>
      <c r="Y1903" s="75" t="str">
        <f>IF(X1903="En retard",p_today-R1903,IF(AND(X1903="Reçu",ISNUMBER(R1903)),MAX(0,N(U1903)-R1903),""))</f>
        <v/>
      </c>
      <c r="Z1903" s="67" t="str">
        <f>IF(AND(A1903="",E1903=""),"",IF(A1903="","N° de bon manquant",IF(N(B1903)=0,"Date de commande manquante",IF(C1903="","Fournisseur manquant",IF(ISNA(MATCH($C1903,sup_code,0)),"Fournisseur inconnu",IF(E1903="","Article manquant",IF(ISNA(MATCH($E1903,art_ref,0)),"Article inconnu",IF(N(H1903)&lt;=0,"Quantité invalide",IF(J1903="","Prix manquant",IF(OR(N(K1903)&lt;0,N(K1903)&gt;=1),"Remise invalide",IF(M1903="","TVA manquante",IF(ISNA(MATCH(M1903,p_tva,0)),"Taux de TVA inconnu",IF(COUNTIFS(po_num,A1903,po_sup,"&lt;&gt;"&amp;C1903)&gt;0,"Fournisseur différent sur ce bon",IF(COUNTIFS(po_num,A1903,po_date,"&lt;&gt;"&amp;B1903)&gt;0,"Date différente sur ce bon",IF(COUNTIF(po_num,A1903)&gt;25,"Plus de 25 lignes sur ce bon",IF(R1903="","Date de livraison manquante",IF(R1903&lt;B1903,"Livraison avant la commande",IF(AND(N(T1903)&gt;0,N(S1903)=0),"Date d'envoi manquante",IF(N(T1903)&gt;N(H1903),"Reçu plus que commandé",IF(AND(N(T1903)&gt;0,N(U1903)=0),"Date de réception manquante",IF(AND(N(U1903)&gt;0,U1903&lt;B1903),"Réception avant la commande","OK")))))))))))))))))))))</f>
        <v/>
      </c>
      <c r="AA1903" s="66" t="str">
        <f>IF(AND(X1903="Reçu",ISNUMBER(R1903)),IF(N(U1903)&lt;=R1903,1,0),"")</f>
        <v/>
      </c>
      <c r="AB1903" s="76" t="str">
        <f>IF(OR(X1903="Envoyé",X1903="Partiel",X1903="En retard"),IF(ISNUMBER(R1903),R1903,100000)+ROW()/100000,"")</f>
        <v/>
      </c>
      <c r="AC1903" s="66" t="str">
        <f>IF(A1903="","",IF(COUNTIF($A$6:A1903,A1903)=1,1,""))</f>
        <v/>
      </c>
      <c r="AD1903" s="66" t="str">
        <f>IF(AC1903=1,COUNT($AC$6:AC1903),"")</f>
        <v/>
      </c>
      <c r="AE1903" s="66" t="str">
        <f>IFERROR(INDEX(po_num,MATCH(1898,po_seq,0))&amp;"","")</f>
        <v/>
      </c>
      <c r="AF1903" s="66" t="str">
        <f>IF(OR(A1903="",p_po=""),"",IF(A1903&amp;""=p_po,COUNTIF($A$6:A1903,A1903),""))</f>
        <v/>
      </c>
      <c r="AG1903" s="66" t="str">
        <f>IF(OR(AB1903="",A1903=""),"",IF(COUNTIFS($A$6:A1903,A1903,$AB$6:AB1903,"&gt;0")=1,1,""))</f>
        <v/>
      </c>
      <c r="AH1903" s="70" t="str">
        <f>IF(AB1903="","",ROUND(N(W1903)*N(J1903)*(1-N(K1903)),2))</f>
        <v/>
      </c>
      <c r="AI1903" s="70" t="str">
        <f>IF(OR(J1903="",N(T1903)&lt;=0,V1903="Oui"),"",ROUND(N(T1903)*J1903*(1-N(K1903)),2))</f>
        <v/>
      </c>
    </row>
    <row r="1904">
      <c r="A1904" s="63" t="n"/>
      <c r="B1904" s="64" t="n"/>
      <c r="C1904" s="65" t="n"/>
      <c r="D1904" s="66" t="str">
        <f>IF(C1904="","",IFERROR(INDEX(sup_name,MATCH($C1904,sup_code,0))&amp;"","Fournisseur inconnu"))</f>
        <v/>
      </c>
      <c r="E1904" s="63" t="n"/>
      <c r="F1904" s="66" t="str">
        <f>IF(E1904="","",IFERROR(INDEX(art_des,MATCH($E1904,art_ref,0))&amp;"","Article inconnu"))</f>
        <v/>
      </c>
      <c r="G1904" s="67" t="str">
        <f>IF(E1904="","",IFERROR(INDEX(art_unit,MATCH($E1904,art_ref,0))&amp;"",""))</f>
        <v/>
      </c>
      <c r="H1904" s="68" t="n"/>
      <c r="I1904" s="69" t="n"/>
      <c r="J1904" s="70" t="str">
        <f>IF(E1904="","",IF(ISNUMBER(I1904),I1904,IFERROR(IF(ISNUMBER(INDEX(art_price,MATCH($E1904,art_ref,0))),INDEX(art_price,MATCH($E1904,art_ref,0)),""),"")))</f>
        <v/>
      </c>
      <c r="K1904" s="71" t="n"/>
      <c r="L1904" s="72" t="n"/>
      <c r="M1904" s="72" t="str">
        <f>IF(E1904="","",IF(L1904&lt;&gt;"",L1904,IFERROR(IF(ISNUMBER(INDEX(art_tva,MATCH($E1904,art_ref,0))),INDEX(art_tva,MATCH($E1904,art_ref,0)),""),"")))</f>
        <v/>
      </c>
      <c r="N1904" s="70" t="str">
        <f>IF(OR(E1904="",J1904=""),"",ROUND(N(H1904)*J1904*(1-N(K1904)),2))</f>
        <v/>
      </c>
      <c r="O1904" s="70" t="str">
        <f>IF(OR(N1904="",NOT(ISNUMBER(M1904))),"",ROUND(N1904*M1904,2))</f>
        <v/>
      </c>
      <c r="P1904" s="70" t="str">
        <f>IF(N1904="","",N1904+N(O1904))</f>
        <v/>
      </c>
      <c r="Q1904" s="64" t="n"/>
      <c r="R1904" s="73" t="str">
        <f>IF(N(Q1904)&gt;0,Q1904,IF(OR(N(B1904)=0,ISNA(MATCH($C1904,sup_code,0))),"",IF(ISNUMBER(INDEX(sup_delay,MATCH($C1904,sup_code,0))),B1904+INDEX(sup_delay,MATCH($C1904,sup_code,0)),"")))</f>
        <v/>
      </c>
      <c r="S1904" s="64" t="n"/>
      <c r="T1904" s="68" t="n"/>
      <c r="U1904" s="64" t="n"/>
      <c r="V1904" s="65" t="n"/>
      <c r="W1904" s="74" t="str">
        <f>IF(AND(A1904="",E1904=""),"",IF(V1904="Oui",0,MAX(0,ROUND(N(H1904)-N(T1904),6))))</f>
        <v/>
      </c>
      <c r="X1904" s="67" t="str">
        <f>IF(AND(A1904="",E1904=""),"",IF(V1904="Oui","Annulé",IF(AND(N(H1904)&gt;0,N(T1904)&gt;=N(H1904)),"Reçu",IF(N(S1904)=0,"Brouillon",IF(AND(ISNUMBER(R1904),R1904&lt;p_today),"En retard",IF(N(T1904)&gt;0,"Partiel","Envoyé"))))))</f>
        <v/>
      </c>
      <c r="Y1904" s="75" t="str">
        <f>IF(X1904="En retard",p_today-R1904,IF(AND(X1904="Reçu",ISNUMBER(R1904)),MAX(0,N(U1904)-R1904),""))</f>
        <v/>
      </c>
      <c r="Z1904" s="67" t="str">
        <f>IF(AND(A1904="",E1904=""),"",IF(A1904="","N° de bon manquant",IF(N(B1904)=0,"Date de commande manquante",IF(C1904="","Fournisseur manquant",IF(ISNA(MATCH($C1904,sup_code,0)),"Fournisseur inconnu",IF(E1904="","Article manquant",IF(ISNA(MATCH($E1904,art_ref,0)),"Article inconnu",IF(N(H1904)&lt;=0,"Quantité invalide",IF(J1904="","Prix manquant",IF(OR(N(K1904)&lt;0,N(K1904)&gt;=1),"Remise invalide",IF(M1904="","TVA manquante",IF(ISNA(MATCH(M1904,p_tva,0)),"Taux de TVA inconnu",IF(COUNTIFS(po_num,A1904,po_sup,"&lt;&gt;"&amp;C1904)&gt;0,"Fournisseur différent sur ce bon",IF(COUNTIFS(po_num,A1904,po_date,"&lt;&gt;"&amp;B1904)&gt;0,"Date différente sur ce bon",IF(COUNTIF(po_num,A1904)&gt;25,"Plus de 25 lignes sur ce bon",IF(R1904="","Date de livraison manquante",IF(R1904&lt;B1904,"Livraison avant la commande",IF(AND(N(T1904)&gt;0,N(S1904)=0),"Date d'envoi manquante",IF(N(T1904)&gt;N(H1904),"Reçu plus que commandé",IF(AND(N(T1904)&gt;0,N(U1904)=0),"Date de réception manquante",IF(AND(N(U1904)&gt;0,U1904&lt;B1904),"Réception avant la commande","OK")))))))))))))))))))))</f>
        <v/>
      </c>
      <c r="AA1904" s="66" t="str">
        <f>IF(AND(X1904="Reçu",ISNUMBER(R1904)),IF(N(U1904)&lt;=R1904,1,0),"")</f>
        <v/>
      </c>
      <c r="AB1904" s="76" t="str">
        <f>IF(OR(X1904="Envoyé",X1904="Partiel",X1904="En retard"),IF(ISNUMBER(R1904),R1904,100000)+ROW()/100000,"")</f>
        <v/>
      </c>
      <c r="AC1904" s="66" t="str">
        <f>IF(A1904="","",IF(COUNTIF($A$6:A1904,A1904)=1,1,""))</f>
        <v/>
      </c>
      <c r="AD1904" s="66" t="str">
        <f>IF(AC1904=1,COUNT($AC$6:AC1904),"")</f>
        <v/>
      </c>
      <c r="AE1904" s="66" t="str">
        <f>IFERROR(INDEX(po_num,MATCH(1899,po_seq,0))&amp;"","")</f>
        <v/>
      </c>
      <c r="AF1904" s="66" t="str">
        <f>IF(OR(A1904="",p_po=""),"",IF(A1904&amp;""=p_po,COUNTIF($A$6:A1904,A1904),""))</f>
        <v/>
      </c>
      <c r="AG1904" s="66" t="str">
        <f>IF(OR(AB1904="",A1904=""),"",IF(COUNTIFS($A$6:A1904,A1904,$AB$6:AB1904,"&gt;0")=1,1,""))</f>
        <v/>
      </c>
      <c r="AH1904" s="70" t="str">
        <f>IF(AB1904="","",ROUND(N(W1904)*N(J1904)*(1-N(K1904)),2))</f>
        <v/>
      </c>
      <c r="AI1904" s="70" t="str">
        <f>IF(OR(J1904="",N(T1904)&lt;=0,V1904="Oui"),"",ROUND(N(T1904)*J1904*(1-N(K1904)),2))</f>
        <v/>
      </c>
    </row>
    <row r="1905">
      <c r="A1905" s="63" t="n"/>
      <c r="B1905" s="64" t="n"/>
      <c r="C1905" s="65" t="n"/>
      <c r="D1905" s="66" t="str">
        <f>IF(C1905="","",IFERROR(INDEX(sup_name,MATCH($C1905,sup_code,0))&amp;"","Fournisseur inconnu"))</f>
        <v/>
      </c>
      <c r="E1905" s="63" t="n"/>
      <c r="F1905" s="66" t="str">
        <f>IF(E1905="","",IFERROR(INDEX(art_des,MATCH($E1905,art_ref,0))&amp;"","Article inconnu"))</f>
        <v/>
      </c>
      <c r="G1905" s="67" t="str">
        <f>IF(E1905="","",IFERROR(INDEX(art_unit,MATCH($E1905,art_ref,0))&amp;"",""))</f>
        <v/>
      </c>
      <c r="H1905" s="68" t="n"/>
      <c r="I1905" s="69" t="n"/>
      <c r="J1905" s="70" t="str">
        <f>IF(E1905="","",IF(ISNUMBER(I1905),I1905,IFERROR(IF(ISNUMBER(INDEX(art_price,MATCH($E1905,art_ref,0))),INDEX(art_price,MATCH($E1905,art_ref,0)),""),"")))</f>
        <v/>
      </c>
      <c r="K1905" s="71" t="n"/>
      <c r="L1905" s="72" t="n"/>
      <c r="M1905" s="72" t="str">
        <f>IF(E1905="","",IF(L1905&lt;&gt;"",L1905,IFERROR(IF(ISNUMBER(INDEX(art_tva,MATCH($E1905,art_ref,0))),INDEX(art_tva,MATCH($E1905,art_ref,0)),""),"")))</f>
        <v/>
      </c>
      <c r="N1905" s="70" t="str">
        <f>IF(OR(E1905="",J1905=""),"",ROUND(N(H1905)*J1905*(1-N(K1905)),2))</f>
        <v/>
      </c>
      <c r="O1905" s="70" t="str">
        <f>IF(OR(N1905="",NOT(ISNUMBER(M1905))),"",ROUND(N1905*M1905,2))</f>
        <v/>
      </c>
      <c r="P1905" s="70" t="str">
        <f>IF(N1905="","",N1905+N(O1905))</f>
        <v/>
      </c>
      <c r="Q1905" s="64" t="n"/>
      <c r="R1905" s="73" t="str">
        <f>IF(N(Q1905)&gt;0,Q1905,IF(OR(N(B1905)=0,ISNA(MATCH($C1905,sup_code,0))),"",IF(ISNUMBER(INDEX(sup_delay,MATCH($C1905,sup_code,0))),B1905+INDEX(sup_delay,MATCH($C1905,sup_code,0)),"")))</f>
        <v/>
      </c>
      <c r="S1905" s="64" t="n"/>
      <c r="T1905" s="68" t="n"/>
      <c r="U1905" s="64" t="n"/>
      <c r="V1905" s="65" t="n"/>
      <c r="W1905" s="74" t="str">
        <f>IF(AND(A1905="",E1905=""),"",IF(V1905="Oui",0,MAX(0,ROUND(N(H1905)-N(T1905),6))))</f>
        <v/>
      </c>
      <c r="X1905" s="67" t="str">
        <f>IF(AND(A1905="",E1905=""),"",IF(V1905="Oui","Annulé",IF(AND(N(H1905)&gt;0,N(T1905)&gt;=N(H1905)),"Reçu",IF(N(S1905)=0,"Brouillon",IF(AND(ISNUMBER(R1905),R1905&lt;p_today),"En retard",IF(N(T1905)&gt;0,"Partiel","Envoyé"))))))</f>
        <v/>
      </c>
      <c r="Y1905" s="75" t="str">
        <f>IF(X1905="En retard",p_today-R1905,IF(AND(X1905="Reçu",ISNUMBER(R1905)),MAX(0,N(U1905)-R1905),""))</f>
        <v/>
      </c>
      <c r="Z1905" s="67" t="str">
        <f>IF(AND(A1905="",E1905=""),"",IF(A1905="","N° de bon manquant",IF(N(B1905)=0,"Date de commande manquante",IF(C1905="","Fournisseur manquant",IF(ISNA(MATCH($C1905,sup_code,0)),"Fournisseur inconnu",IF(E1905="","Article manquant",IF(ISNA(MATCH($E1905,art_ref,0)),"Article inconnu",IF(N(H1905)&lt;=0,"Quantité invalide",IF(J1905="","Prix manquant",IF(OR(N(K1905)&lt;0,N(K1905)&gt;=1),"Remise invalide",IF(M1905="","TVA manquante",IF(ISNA(MATCH(M1905,p_tva,0)),"Taux de TVA inconnu",IF(COUNTIFS(po_num,A1905,po_sup,"&lt;&gt;"&amp;C1905)&gt;0,"Fournisseur différent sur ce bon",IF(COUNTIFS(po_num,A1905,po_date,"&lt;&gt;"&amp;B1905)&gt;0,"Date différente sur ce bon",IF(COUNTIF(po_num,A1905)&gt;25,"Plus de 25 lignes sur ce bon",IF(R1905="","Date de livraison manquante",IF(R1905&lt;B1905,"Livraison avant la commande",IF(AND(N(T1905)&gt;0,N(S1905)=0),"Date d'envoi manquante",IF(N(T1905)&gt;N(H1905),"Reçu plus que commandé",IF(AND(N(T1905)&gt;0,N(U1905)=0),"Date de réception manquante",IF(AND(N(U1905)&gt;0,U1905&lt;B1905),"Réception avant la commande","OK")))))))))))))))))))))</f>
        <v/>
      </c>
      <c r="AA1905" s="66" t="str">
        <f>IF(AND(X1905="Reçu",ISNUMBER(R1905)),IF(N(U1905)&lt;=R1905,1,0),"")</f>
        <v/>
      </c>
      <c r="AB1905" s="76" t="str">
        <f>IF(OR(X1905="Envoyé",X1905="Partiel",X1905="En retard"),IF(ISNUMBER(R1905),R1905,100000)+ROW()/100000,"")</f>
        <v/>
      </c>
      <c r="AC1905" s="66" t="str">
        <f>IF(A1905="","",IF(COUNTIF($A$6:A1905,A1905)=1,1,""))</f>
        <v/>
      </c>
      <c r="AD1905" s="66" t="str">
        <f>IF(AC1905=1,COUNT($AC$6:AC1905),"")</f>
        <v/>
      </c>
      <c r="AE1905" s="66" t="str">
        <f>IFERROR(INDEX(po_num,MATCH(1900,po_seq,0))&amp;"","")</f>
        <v/>
      </c>
      <c r="AF1905" s="66" t="str">
        <f>IF(OR(A1905="",p_po=""),"",IF(A1905&amp;""=p_po,COUNTIF($A$6:A1905,A1905),""))</f>
        <v/>
      </c>
      <c r="AG1905" s="66" t="str">
        <f>IF(OR(AB1905="",A1905=""),"",IF(COUNTIFS($A$6:A1905,A1905,$AB$6:AB1905,"&gt;0")=1,1,""))</f>
        <v/>
      </c>
      <c r="AH1905" s="70" t="str">
        <f>IF(AB1905="","",ROUND(N(W1905)*N(J1905)*(1-N(K1905)),2))</f>
        <v/>
      </c>
      <c r="AI1905" s="70" t="str">
        <f>IF(OR(J1905="",N(T1905)&lt;=0,V1905="Oui"),"",ROUND(N(T1905)*J1905*(1-N(K1905)),2))</f>
        <v/>
      </c>
    </row>
    <row r="1906">
      <c r="A1906" s="63" t="n"/>
      <c r="B1906" s="64" t="n"/>
      <c r="C1906" s="65" t="n"/>
      <c r="D1906" s="66" t="str">
        <f>IF(C1906="","",IFERROR(INDEX(sup_name,MATCH($C1906,sup_code,0))&amp;"","Fournisseur inconnu"))</f>
        <v/>
      </c>
      <c r="E1906" s="63" t="n"/>
      <c r="F1906" s="66" t="str">
        <f>IF(E1906="","",IFERROR(INDEX(art_des,MATCH($E1906,art_ref,0))&amp;"","Article inconnu"))</f>
        <v/>
      </c>
      <c r="G1906" s="67" t="str">
        <f>IF(E1906="","",IFERROR(INDEX(art_unit,MATCH($E1906,art_ref,0))&amp;"",""))</f>
        <v/>
      </c>
      <c r="H1906" s="68" t="n"/>
      <c r="I1906" s="69" t="n"/>
      <c r="J1906" s="70" t="str">
        <f>IF(E1906="","",IF(ISNUMBER(I1906),I1906,IFERROR(IF(ISNUMBER(INDEX(art_price,MATCH($E1906,art_ref,0))),INDEX(art_price,MATCH($E1906,art_ref,0)),""),"")))</f>
        <v/>
      </c>
      <c r="K1906" s="71" t="n"/>
      <c r="L1906" s="72" t="n"/>
      <c r="M1906" s="72" t="str">
        <f>IF(E1906="","",IF(L1906&lt;&gt;"",L1906,IFERROR(IF(ISNUMBER(INDEX(art_tva,MATCH($E1906,art_ref,0))),INDEX(art_tva,MATCH($E1906,art_ref,0)),""),"")))</f>
        <v/>
      </c>
      <c r="N1906" s="70" t="str">
        <f>IF(OR(E1906="",J1906=""),"",ROUND(N(H1906)*J1906*(1-N(K1906)),2))</f>
        <v/>
      </c>
      <c r="O1906" s="70" t="str">
        <f>IF(OR(N1906="",NOT(ISNUMBER(M1906))),"",ROUND(N1906*M1906,2))</f>
        <v/>
      </c>
      <c r="P1906" s="70" t="str">
        <f>IF(N1906="","",N1906+N(O1906))</f>
        <v/>
      </c>
      <c r="Q1906" s="64" t="n"/>
      <c r="R1906" s="73" t="str">
        <f>IF(N(Q1906)&gt;0,Q1906,IF(OR(N(B1906)=0,ISNA(MATCH($C1906,sup_code,0))),"",IF(ISNUMBER(INDEX(sup_delay,MATCH($C1906,sup_code,0))),B1906+INDEX(sup_delay,MATCH($C1906,sup_code,0)),"")))</f>
        <v/>
      </c>
      <c r="S1906" s="64" t="n"/>
      <c r="T1906" s="68" t="n"/>
      <c r="U1906" s="64" t="n"/>
      <c r="V1906" s="65" t="n"/>
      <c r="W1906" s="74" t="str">
        <f>IF(AND(A1906="",E1906=""),"",IF(V1906="Oui",0,MAX(0,ROUND(N(H1906)-N(T1906),6))))</f>
        <v/>
      </c>
      <c r="X1906" s="67" t="str">
        <f>IF(AND(A1906="",E1906=""),"",IF(V1906="Oui","Annulé",IF(AND(N(H1906)&gt;0,N(T1906)&gt;=N(H1906)),"Reçu",IF(N(S1906)=0,"Brouillon",IF(AND(ISNUMBER(R1906),R1906&lt;p_today),"En retard",IF(N(T1906)&gt;0,"Partiel","Envoyé"))))))</f>
        <v/>
      </c>
      <c r="Y1906" s="75" t="str">
        <f>IF(X1906="En retard",p_today-R1906,IF(AND(X1906="Reçu",ISNUMBER(R1906)),MAX(0,N(U1906)-R1906),""))</f>
        <v/>
      </c>
      <c r="Z1906" s="67" t="str">
        <f>IF(AND(A1906="",E1906=""),"",IF(A1906="","N° de bon manquant",IF(N(B1906)=0,"Date de commande manquante",IF(C1906="","Fournisseur manquant",IF(ISNA(MATCH($C1906,sup_code,0)),"Fournisseur inconnu",IF(E1906="","Article manquant",IF(ISNA(MATCH($E1906,art_ref,0)),"Article inconnu",IF(N(H1906)&lt;=0,"Quantité invalide",IF(J1906="","Prix manquant",IF(OR(N(K1906)&lt;0,N(K1906)&gt;=1),"Remise invalide",IF(M1906="","TVA manquante",IF(ISNA(MATCH(M1906,p_tva,0)),"Taux de TVA inconnu",IF(COUNTIFS(po_num,A1906,po_sup,"&lt;&gt;"&amp;C1906)&gt;0,"Fournisseur différent sur ce bon",IF(COUNTIFS(po_num,A1906,po_date,"&lt;&gt;"&amp;B1906)&gt;0,"Date différente sur ce bon",IF(COUNTIF(po_num,A1906)&gt;25,"Plus de 25 lignes sur ce bon",IF(R1906="","Date de livraison manquante",IF(R1906&lt;B1906,"Livraison avant la commande",IF(AND(N(T1906)&gt;0,N(S1906)=0),"Date d'envoi manquante",IF(N(T1906)&gt;N(H1906),"Reçu plus que commandé",IF(AND(N(T1906)&gt;0,N(U1906)=0),"Date de réception manquante",IF(AND(N(U1906)&gt;0,U1906&lt;B1906),"Réception avant la commande","OK")))))))))))))))))))))</f>
        <v/>
      </c>
      <c r="AA1906" s="66" t="str">
        <f>IF(AND(X1906="Reçu",ISNUMBER(R1906)),IF(N(U1906)&lt;=R1906,1,0),"")</f>
        <v/>
      </c>
      <c r="AB1906" s="76" t="str">
        <f>IF(OR(X1906="Envoyé",X1906="Partiel",X1906="En retard"),IF(ISNUMBER(R1906),R1906,100000)+ROW()/100000,"")</f>
        <v/>
      </c>
      <c r="AC1906" s="66" t="str">
        <f>IF(A1906="","",IF(COUNTIF($A$6:A1906,A1906)=1,1,""))</f>
        <v/>
      </c>
      <c r="AD1906" s="66" t="str">
        <f>IF(AC1906=1,COUNT($AC$6:AC1906),"")</f>
        <v/>
      </c>
      <c r="AE1906" s="66" t="str">
        <f>IFERROR(INDEX(po_num,MATCH(1901,po_seq,0))&amp;"","")</f>
        <v/>
      </c>
      <c r="AF1906" s="66" t="str">
        <f>IF(OR(A1906="",p_po=""),"",IF(A1906&amp;""=p_po,COUNTIF($A$6:A1906,A1906),""))</f>
        <v/>
      </c>
      <c r="AG1906" s="66" t="str">
        <f>IF(OR(AB1906="",A1906=""),"",IF(COUNTIFS($A$6:A1906,A1906,$AB$6:AB1906,"&gt;0")=1,1,""))</f>
        <v/>
      </c>
      <c r="AH1906" s="70" t="str">
        <f>IF(AB1906="","",ROUND(N(W1906)*N(J1906)*(1-N(K1906)),2))</f>
        <v/>
      </c>
      <c r="AI1906" s="70" t="str">
        <f>IF(OR(J1906="",N(T1906)&lt;=0,V1906="Oui"),"",ROUND(N(T1906)*J1906*(1-N(K1906)),2))</f>
        <v/>
      </c>
    </row>
    <row r="1907">
      <c r="A1907" s="63" t="n"/>
      <c r="B1907" s="64" t="n"/>
      <c r="C1907" s="65" t="n"/>
      <c r="D1907" s="66" t="str">
        <f>IF(C1907="","",IFERROR(INDEX(sup_name,MATCH($C1907,sup_code,0))&amp;"","Fournisseur inconnu"))</f>
        <v/>
      </c>
      <c r="E1907" s="63" t="n"/>
      <c r="F1907" s="66" t="str">
        <f>IF(E1907="","",IFERROR(INDEX(art_des,MATCH($E1907,art_ref,0))&amp;"","Article inconnu"))</f>
        <v/>
      </c>
      <c r="G1907" s="67" t="str">
        <f>IF(E1907="","",IFERROR(INDEX(art_unit,MATCH($E1907,art_ref,0))&amp;"",""))</f>
        <v/>
      </c>
      <c r="H1907" s="68" t="n"/>
      <c r="I1907" s="69" t="n"/>
      <c r="J1907" s="70" t="str">
        <f>IF(E1907="","",IF(ISNUMBER(I1907),I1907,IFERROR(IF(ISNUMBER(INDEX(art_price,MATCH($E1907,art_ref,0))),INDEX(art_price,MATCH($E1907,art_ref,0)),""),"")))</f>
        <v/>
      </c>
      <c r="K1907" s="71" t="n"/>
      <c r="L1907" s="72" t="n"/>
      <c r="M1907" s="72" t="str">
        <f>IF(E1907="","",IF(L1907&lt;&gt;"",L1907,IFERROR(IF(ISNUMBER(INDEX(art_tva,MATCH($E1907,art_ref,0))),INDEX(art_tva,MATCH($E1907,art_ref,0)),""),"")))</f>
        <v/>
      </c>
      <c r="N1907" s="70" t="str">
        <f>IF(OR(E1907="",J1907=""),"",ROUND(N(H1907)*J1907*(1-N(K1907)),2))</f>
        <v/>
      </c>
      <c r="O1907" s="70" t="str">
        <f>IF(OR(N1907="",NOT(ISNUMBER(M1907))),"",ROUND(N1907*M1907,2))</f>
        <v/>
      </c>
      <c r="P1907" s="70" t="str">
        <f>IF(N1907="","",N1907+N(O1907))</f>
        <v/>
      </c>
      <c r="Q1907" s="64" t="n"/>
      <c r="R1907" s="73" t="str">
        <f>IF(N(Q1907)&gt;0,Q1907,IF(OR(N(B1907)=0,ISNA(MATCH($C1907,sup_code,0))),"",IF(ISNUMBER(INDEX(sup_delay,MATCH($C1907,sup_code,0))),B1907+INDEX(sup_delay,MATCH($C1907,sup_code,0)),"")))</f>
        <v/>
      </c>
      <c r="S1907" s="64" t="n"/>
      <c r="T1907" s="68" t="n"/>
      <c r="U1907" s="64" t="n"/>
      <c r="V1907" s="65" t="n"/>
      <c r="W1907" s="74" t="str">
        <f>IF(AND(A1907="",E1907=""),"",IF(V1907="Oui",0,MAX(0,ROUND(N(H1907)-N(T1907),6))))</f>
        <v/>
      </c>
      <c r="X1907" s="67" t="str">
        <f>IF(AND(A1907="",E1907=""),"",IF(V1907="Oui","Annulé",IF(AND(N(H1907)&gt;0,N(T1907)&gt;=N(H1907)),"Reçu",IF(N(S1907)=0,"Brouillon",IF(AND(ISNUMBER(R1907),R1907&lt;p_today),"En retard",IF(N(T1907)&gt;0,"Partiel","Envoyé"))))))</f>
        <v/>
      </c>
      <c r="Y1907" s="75" t="str">
        <f>IF(X1907="En retard",p_today-R1907,IF(AND(X1907="Reçu",ISNUMBER(R1907)),MAX(0,N(U1907)-R1907),""))</f>
        <v/>
      </c>
      <c r="Z1907" s="67" t="str">
        <f>IF(AND(A1907="",E1907=""),"",IF(A1907="","N° de bon manquant",IF(N(B1907)=0,"Date de commande manquante",IF(C1907="","Fournisseur manquant",IF(ISNA(MATCH($C1907,sup_code,0)),"Fournisseur inconnu",IF(E1907="","Article manquant",IF(ISNA(MATCH($E1907,art_ref,0)),"Article inconnu",IF(N(H1907)&lt;=0,"Quantité invalide",IF(J1907="","Prix manquant",IF(OR(N(K1907)&lt;0,N(K1907)&gt;=1),"Remise invalide",IF(M1907="","TVA manquante",IF(ISNA(MATCH(M1907,p_tva,0)),"Taux de TVA inconnu",IF(COUNTIFS(po_num,A1907,po_sup,"&lt;&gt;"&amp;C1907)&gt;0,"Fournisseur différent sur ce bon",IF(COUNTIFS(po_num,A1907,po_date,"&lt;&gt;"&amp;B1907)&gt;0,"Date différente sur ce bon",IF(COUNTIF(po_num,A1907)&gt;25,"Plus de 25 lignes sur ce bon",IF(R1907="","Date de livraison manquante",IF(R1907&lt;B1907,"Livraison avant la commande",IF(AND(N(T1907)&gt;0,N(S1907)=0),"Date d'envoi manquante",IF(N(T1907)&gt;N(H1907),"Reçu plus que commandé",IF(AND(N(T1907)&gt;0,N(U1907)=0),"Date de réception manquante",IF(AND(N(U1907)&gt;0,U1907&lt;B1907),"Réception avant la commande","OK")))))))))))))))))))))</f>
        <v/>
      </c>
      <c r="AA1907" s="66" t="str">
        <f>IF(AND(X1907="Reçu",ISNUMBER(R1907)),IF(N(U1907)&lt;=R1907,1,0),"")</f>
        <v/>
      </c>
      <c r="AB1907" s="76" t="str">
        <f>IF(OR(X1907="Envoyé",X1907="Partiel",X1907="En retard"),IF(ISNUMBER(R1907),R1907,100000)+ROW()/100000,"")</f>
        <v/>
      </c>
      <c r="AC1907" s="66" t="str">
        <f>IF(A1907="","",IF(COUNTIF($A$6:A1907,A1907)=1,1,""))</f>
        <v/>
      </c>
      <c r="AD1907" s="66" t="str">
        <f>IF(AC1907=1,COUNT($AC$6:AC1907),"")</f>
        <v/>
      </c>
      <c r="AE1907" s="66" t="str">
        <f>IFERROR(INDEX(po_num,MATCH(1902,po_seq,0))&amp;"","")</f>
        <v/>
      </c>
      <c r="AF1907" s="66" t="str">
        <f>IF(OR(A1907="",p_po=""),"",IF(A1907&amp;""=p_po,COUNTIF($A$6:A1907,A1907),""))</f>
        <v/>
      </c>
      <c r="AG1907" s="66" t="str">
        <f>IF(OR(AB1907="",A1907=""),"",IF(COUNTIFS($A$6:A1907,A1907,$AB$6:AB1907,"&gt;0")=1,1,""))</f>
        <v/>
      </c>
      <c r="AH1907" s="70" t="str">
        <f>IF(AB1907="","",ROUND(N(W1907)*N(J1907)*(1-N(K1907)),2))</f>
        <v/>
      </c>
      <c r="AI1907" s="70" t="str">
        <f>IF(OR(J1907="",N(T1907)&lt;=0,V1907="Oui"),"",ROUND(N(T1907)*J1907*(1-N(K1907)),2))</f>
        <v/>
      </c>
    </row>
    <row r="1908">
      <c r="A1908" s="63" t="n"/>
      <c r="B1908" s="64" t="n"/>
      <c r="C1908" s="65" t="n"/>
      <c r="D1908" s="66" t="str">
        <f>IF(C1908="","",IFERROR(INDEX(sup_name,MATCH($C1908,sup_code,0))&amp;"","Fournisseur inconnu"))</f>
        <v/>
      </c>
      <c r="E1908" s="63" t="n"/>
      <c r="F1908" s="66" t="str">
        <f>IF(E1908="","",IFERROR(INDEX(art_des,MATCH($E1908,art_ref,0))&amp;"","Article inconnu"))</f>
        <v/>
      </c>
      <c r="G1908" s="67" t="str">
        <f>IF(E1908="","",IFERROR(INDEX(art_unit,MATCH($E1908,art_ref,0))&amp;"",""))</f>
        <v/>
      </c>
      <c r="H1908" s="68" t="n"/>
      <c r="I1908" s="69" t="n"/>
      <c r="J1908" s="70" t="str">
        <f>IF(E1908="","",IF(ISNUMBER(I1908),I1908,IFERROR(IF(ISNUMBER(INDEX(art_price,MATCH($E1908,art_ref,0))),INDEX(art_price,MATCH($E1908,art_ref,0)),""),"")))</f>
        <v/>
      </c>
      <c r="K1908" s="71" t="n"/>
      <c r="L1908" s="72" t="n"/>
      <c r="M1908" s="72" t="str">
        <f>IF(E1908="","",IF(L1908&lt;&gt;"",L1908,IFERROR(IF(ISNUMBER(INDEX(art_tva,MATCH($E1908,art_ref,0))),INDEX(art_tva,MATCH($E1908,art_ref,0)),""),"")))</f>
        <v/>
      </c>
      <c r="N1908" s="70" t="str">
        <f>IF(OR(E1908="",J1908=""),"",ROUND(N(H1908)*J1908*(1-N(K1908)),2))</f>
        <v/>
      </c>
      <c r="O1908" s="70" t="str">
        <f>IF(OR(N1908="",NOT(ISNUMBER(M1908))),"",ROUND(N1908*M1908,2))</f>
        <v/>
      </c>
      <c r="P1908" s="70" t="str">
        <f>IF(N1908="","",N1908+N(O1908))</f>
        <v/>
      </c>
      <c r="Q1908" s="64" t="n"/>
      <c r="R1908" s="73" t="str">
        <f>IF(N(Q1908)&gt;0,Q1908,IF(OR(N(B1908)=0,ISNA(MATCH($C1908,sup_code,0))),"",IF(ISNUMBER(INDEX(sup_delay,MATCH($C1908,sup_code,0))),B1908+INDEX(sup_delay,MATCH($C1908,sup_code,0)),"")))</f>
        <v/>
      </c>
      <c r="S1908" s="64" t="n"/>
      <c r="T1908" s="68" t="n"/>
      <c r="U1908" s="64" t="n"/>
      <c r="V1908" s="65" t="n"/>
      <c r="W1908" s="74" t="str">
        <f>IF(AND(A1908="",E1908=""),"",IF(V1908="Oui",0,MAX(0,ROUND(N(H1908)-N(T1908),6))))</f>
        <v/>
      </c>
      <c r="X1908" s="67" t="str">
        <f>IF(AND(A1908="",E1908=""),"",IF(V1908="Oui","Annulé",IF(AND(N(H1908)&gt;0,N(T1908)&gt;=N(H1908)),"Reçu",IF(N(S1908)=0,"Brouillon",IF(AND(ISNUMBER(R1908),R1908&lt;p_today),"En retard",IF(N(T1908)&gt;0,"Partiel","Envoyé"))))))</f>
        <v/>
      </c>
      <c r="Y1908" s="75" t="str">
        <f>IF(X1908="En retard",p_today-R1908,IF(AND(X1908="Reçu",ISNUMBER(R1908)),MAX(0,N(U1908)-R1908),""))</f>
        <v/>
      </c>
      <c r="Z1908" s="67" t="str">
        <f>IF(AND(A1908="",E1908=""),"",IF(A1908="","N° de bon manquant",IF(N(B1908)=0,"Date de commande manquante",IF(C1908="","Fournisseur manquant",IF(ISNA(MATCH($C1908,sup_code,0)),"Fournisseur inconnu",IF(E1908="","Article manquant",IF(ISNA(MATCH($E1908,art_ref,0)),"Article inconnu",IF(N(H1908)&lt;=0,"Quantité invalide",IF(J1908="","Prix manquant",IF(OR(N(K1908)&lt;0,N(K1908)&gt;=1),"Remise invalide",IF(M1908="","TVA manquante",IF(ISNA(MATCH(M1908,p_tva,0)),"Taux de TVA inconnu",IF(COUNTIFS(po_num,A1908,po_sup,"&lt;&gt;"&amp;C1908)&gt;0,"Fournisseur différent sur ce bon",IF(COUNTIFS(po_num,A1908,po_date,"&lt;&gt;"&amp;B1908)&gt;0,"Date différente sur ce bon",IF(COUNTIF(po_num,A1908)&gt;25,"Plus de 25 lignes sur ce bon",IF(R1908="","Date de livraison manquante",IF(R1908&lt;B1908,"Livraison avant la commande",IF(AND(N(T1908)&gt;0,N(S1908)=0),"Date d'envoi manquante",IF(N(T1908)&gt;N(H1908),"Reçu plus que commandé",IF(AND(N(T1908)&gt;0,N(U1908)=0),"Date de réception manquante",IF(AND(N(U1908)&gt;0,U1908&lt;B1908),"Réception avant la commande","OK")))))))))))))))))))))</f>
        <v/>
      </c>
      <c r="AA1908" s="66" t="str">
        <f>IF(AND(X1908="Reçu",ISNUMBER(R1908)),IF(N(U1908)&lt;=R1908,1,0),"")</f>
        <v/>
      </c>
      <c r="AB1908" s="76" t="str">
        <f>IF(OR(X1908="Envoyé",X1908="Partiel",X1908="En retard"),IF(ISNUMBER(R1908),R1908,100000)+ROW()/100000,"")</f>
        <v/>
      </c>
      <c r="AC1908" s="66" t="str">
        <f>IF(A1908="","",IF(COUNTIF($A$6:A1908,A1908)=1,1,""))</f>
        <v/>
      </c>
      <c r="AD1908" s="66" t="str">
        <f>IF(AC1908=1,COUNT($AC$6:AC1908),"")</f>
        <v/>
      </c>
      <c r="AE1908" s="66" t="str">
        <f>IFERROR(INDEX(po_num,MATCH(1903,po_seq,0))&amp;"","")</f>
        <v/>
      </c>
      <c r="AF1908" s="66" t="str">
        <f>IF(OR(A1908="",p_po=""),"",IF(A1908&amp;""=p_po,COUNTIF($A$6:A1908,A1908),""))</f>
        <v/>
      </c>
      <c r="AG1908" s="66" t="str">
        <f>IF(OR(AB1908="",A1908=""),"",IF(COUNTIFS($A$6:A1908,A1908,$AB$6:AB1908,"&gt;0")=1,1,""))</f>
        <v/>
      </c>
      <c r="AH1908" s="70" t="str">
        <f>IF(AB1908="","",ROUND(N(W1908)*N(J1908)*(1-N(K1908)),2))</f>
        <v/>
      </c>
      <c r="AI1908" s="70" t="str">
        <f>IF(OR(J1908="",N(T1908)&lt;=0,V1908="Oui"),"",ROUND(N(T1908)*J1908*(1-N(K1908)),2))</f>
        <v/>
      </c>
    </row>
    <row r="1909">
      <c r="A1909" s="63" t="n"/>
      <c r="B1909" s="64" t="n"/>
      <c r="C1909" s="65" t="n"/>
      <c r="D1909" s="66" t="str">
        <f>IF(C1909="","",IFERROR(INDEX(sup_name,MATCH($C1909,sup_code,0))&amp;"","Fournisseur inconnu"))</f>
        <v/>
      </c>
      <c r="E1909" s="63" t="n"/>
      <c r="F1909" s="66" t="str">
        <f>IF(E1909="","",IFERROR(INDEX(art_des,MATCH($E1909,art_ref,0))&amp;"","Article inconnu"))</f>
        <v/>
      </c>
      <c r="G1909" s="67" t="str">
        <f>IF(E1909="","",IFERROR(INDEX(art_unit,MATCH($E1909,art_ref,0))&amp;"",""))</f>
        <v/>
      </c>
      <c r="H1909" s="68" t="n"/>
      <c r="I1909" s="69" t="n"/>
      <c r="J1909" s="70" t="str">
        <f>IF(E1909="","",IF(ISNUMBER(I1909),I1909,IFERROR(IF(ISNUMBER(INDEX(art_price,MATCH($E1909,art_ref,0))),INDEX(art_price,MATCH($E1909,art_ref,0)),""),"")))</f>
        <v/>
      </c>
      <c r="K1909" s="71" t="n"/>
      <c r="L1909" s="72" t="n"/>
      <c r="M1909" s="72" t="str">
        <f>IF(E1909="","",IF(L1909&lt;&gt;"",L1909,IFERROR(IF(ISNUMBER(INDEX(art_tva,MATCH($E1909,art_ref,0))),INDEX(art_tva,MATCH($E1909,art_ref,0)),""),"")))</f>
        <v/>
      </c>
      <c r="N1909" s="70" t="str">
        <f>IF(OR(E1909="",J1909=""),"",ROUND(N(H1909)*J1909*(1-N(K1909)),2))</f>
        <v/>
      </c>
      <c r="O1909" s="70" t="str">
        <f>IF(OR(N1909="",NOT(ISNUMBER(M1909))),"",ROUND(N1909*M1909,2))</f>
        <v/>
      </c>
      <c r="P1909" s="70" t="str">
        <f>IF(N1909="","",N1909+N(O1909))</f>
        <v/>
      </c>
      <c r="Q1909" s="64" t="n"/>
      <c r="R1909" s="73" t="str">
        <f>IF(N(Q1909)&gt;0,Q1909,IF(OR(N(B1909)=0,ISNA(MATCH($C1909,sup_code,0))),"",IF(ISNUMBER(INDEX(sup_delay,MATCH($C1909,sup_code,0))),B1909+INDEX(sup_delay,MATCH($C1909,sup_code,0)),"")))</f>
        <v/>
      </c>
      <c r="S1909" s="64" t="n"/>
      <c r="T1909" s="68" t="n"/>
      <c r="U1909" s="64" t="n"/>
      <c r="V1909" s="65" t="n"/>
      <c r="W1909" s="74" t="str">
        <f>IF(AND(A1909="",E1909=""),"",IF(V1909="Oui",0,MAX(0,ROUND(N(H1909)-N(T1909),6))))</f>
        <v/>
      </c>
      <c r="X1909" s="67" t="str">
        <f>IF(AND(A1909="",E1909=""),"",IF(V1909="Oui","Annulé",IF(AND(N(H1909)&gt;0,N(T1909)&gt;=N(H1909)),"Reçu",IF(N(S1909)=0,"Brouillon",IF(AND(ISNUMBER(R1909),R1909&lt;p_today),"En retard",IF(N(T1909)&gt;0,"Partiel","Envoyé"))))))</f>
        <v/>
      </c>
      <c r="Y1909" s="75" t="str">
        <f>IF(X1909="En retard",p_today-R1909,IF(AND(X1909="Reçu",ISNUMBER(R1909)),MAX(0,N(U1909)-R1909),""))</f>
        <v/>
      </c>
      <c r="Z1909" s="67" t="str">
        <f>IF(AND(A1909="",E1909=""),"",IF(A1909="","N° de bon manquant",IF(N(B1909)=0,"Date de commande manquante",IF(C1909="","Fournisseur manquant",IF(ISNA(MATCH($C1909,sup_code,0)),"Fournisseur inconnu",IF(E1909="","Article manquant",IF(ISNA(MATCH($E1909,art_ref,0)),"Article inconnu",IF(N(H1909)&lt;=0,"Quantité invalide",IF(J1909="","Prix manquant",IF(OR(N(K1909)&lt;0,N(K1909)&gt;=1),"Remise invalide",IF(M1909="","TVA manquante",IF(ISNA(MATCH(M1909,p_tva,0)),"Taux de TVA inconnu",IF(COUNTIFS(po_num,A1909,po_sup,"&lt;&gt;"&amp;C1909)&gt;0,"Fournisseur différent sur ce bon",IF(COUNTIFS(po_num,A1909,po_date,"&lt;&gt;"&amp;B1909)&gt;0,"Date différente sur ce bon",IF(COUNTIF(po_num,A1909)&gt;25,"Plus de 25 lignes sur ce bon",IF(R1909="","Date de livraison manquante",IF(R1909&lt;B1909,"Livraison avant la commande",IF(AND(N(T1909)&gt;0,N(S1909)=0),"Date d'envoi manquante",IF(N(T1909)&gt;N(H1909),"Reçu plus que commandé",IF(AND(N(T1909)&gt;0,N(U1909)=0),"Date de réception manquante",IF(AND(N(U1909)&gt;0,U1909&lt;B1909),"Réception avant la commande","OK")))))))))))))))))))))</f>
        <v/>
      </c>
      <c r="AA1909" s="66" t="str">
        <f>IF(AND(X1909="Reçu",ISNUMBER(R1909)),IF(N(U1909)&lt;=R1909,1,0),"")</f>
        <v/>
      </c>
      <c r="AB1909" s="76" t="str">
        <f>IF(OR(X1909="Envoyé",X1909="Partiel",X1909="En retard"),IF(ISNUMBER(R1909),R1909,100000)+ROW()/100000,"")</f>
        <v/>
      </c>
      <c r="AC1909" s="66" t="str">
        <f>IF(A1909="","",IF(COUNTIF($A$6:A1909,A1909)=1,1,""))</f>
        <v/>
      </c>
      <c r="AD1909" s="66" t="str">
        <f>IF(AC1909=1,COUNT($AC$6:AC1909),"")</f>
        <v/>
      </c>
      <c r="AE1909" s="66" t="str">
        <f>IFERROR(INDEX(po_num,MATCH(1904,po_seq,0))&amp;"","")</f>
        <v/>
      </c>
      <c r="AF1909" s="66" t="str">
        <f>IF(OR(A1909="",p_po=""),"",IF(A1909&amp;""=p_po,COUNTIF($A$6:A1909,A1909),""))</f>
        <v/>
      </c>
      <c r="AG1909" s="66" t="str">
        <f>IF(OR(AB1909="",A1909=""),"",IF(COUNTIFS($A$6:A1909,A1909,$AB$6:AB1909,"&gt;0")=1,1,""))</f>
        <v/>
      </c>
      <c r="AH1909" s="70" t="str">
        <f>IF(AB1909="","",ROUND(N(W1909)*N(J1909)*(1-N(K1909)),2))</f>
        <v/>
      </c>
      <c r="AI1909" s="70" t="str">
        <f>IF(OR(J1909="",N(T1909)&lt;=0,V1909="Oui"),"",ROUND(N(T1909)*J1909*(1-N(K1909)),2))</f>
        <v/>
      </c>
    </row>
    <row r="1910">
      <c r="A1910" s="63" t="n"/>
      <c r="B1910" s="64" t="n"/>
      <c r="C1910" s="65" t="n"/>
      <c r="D1910" s="66" t="str">
        <f>IF(C1910="","",IFERROR(INDEX(sup_name,MATCH($C1910,sup_code,0))&amp;"","Fournisseur inconnu"))</f>
        <v/>
      </c>
      <c r="E1910" s="63" t="n"/>
      <c r="F1910" s="66" t="str">
        <f>IF(E1910="","",IFERROR(INDEX(art_des,MATCH($E1910,art_ref,0))&amp;"","Article inconnu"))</f>
        <v/>
      </c>
      <c r="G1910" s="67" t="str">
        <f>IF(E1910="","",IFERROR(INDEX(art_unit,MATCH($E1910,art_ref,0))&amp;"",""))</f>
        <v/>
      </c>
      <c r="H1910" s="68" t="n"/>
      <c r="I1910" s="69" t="n"/>
      <c r="J1910" s="70" t="str">
        <f>IF(E1910="","",IF(ISNUMBER(I1910),I1910,IFERROR(IF(ISNUMBER(INDEX(art_price,MATCH($E1910,art_ref,0))),INDEX(art_price,MATCH($E1910,art_ref,0)),""),"")))</f>
        <v/>
      </c>
      <c r="K1910" s="71" t="n"/>
      <c r="L1910" s="72" t="n"/>
      <c r="M1910" s="72" t="str">
        <f>IF(E1910="","",IF(L1910&lt;&gt;"",L1910,IFERROR(IF(ISNUMBER(INDEX(art_tva,MATCH($E1910,art_ref,0))),INDEX(art_tva,MATCH($E1910,art_ref,0)),""),"")))</f>
        <v/>
      </c>
      <c r="N1910" s="70" t="str">
        <f>IF(OR(E1910="",J1910=""),"",ROUND(N(H1910)*J1910*(1-N(K1910)),2))</f>
        <v/>
      </c>
      <c r="O1910" s="70" t="str">
        <f>IF(OR(N1910="",NOT(ISNUMBER(M1910))),"",ROUND(N1910*M1910,2))</f>
        <v/>
      </c>
      <c r="P1910" s="70" t="str">
        <f>IF(N1910="","",N1910+N(O1910))</f>
        <v/>
      </c>
      <c r="Q1910" s="64" t="n"/>
      <c r="R1910" s="73" t="str">
        <f>IF(N(Q1910)&gt;0,Q1910,IF(OR(N(B1910)=0,ISNA(MATCH($C1910,sup_code,0))),"",IF(ISNUMBER(INDEX(sup_delay,MATCH($C1910,sup_code,0))),B1910+INDEX(sup_delay,MATCH($C1910,sup_code,0)),"")))</f>
        <v/>
      </c>
      <c r="S1910" s="64" t="n"/>
      <c r="T1910" s="68" t="n"/>
      <c r="U1910" s="64" t="n"/>
      <c r="V1910" s="65" t="n"/>
      <c r="W1910" s="74" t="str">
        <f>IF(AND(A1910="",E1910=""),"",IF(V1910="Oui",0,MAX(0,ROUND(N(H1910)-N(T1910),6))))</f>
        <v/>
      </c>
      <c r="X1910" s="67" t="str">
        <f>IF(AND(A1910="",E1910=""),"",IF(V1910="Oui","Annulé",IF(AND(N(H1910)&gt;0,N(T1910)&gt;=N(H1910)),"Reçu",IF(N(S1910)=0,"Brouillon",IF(AND(ISNUMBER(R1910),R1910&lt;p_today),"En retard",IF(N(T1910)&gt;0,"Partiel","Envoyé"))))))</f>
        <v/>
      </c>
      <c r="Y1910" s="75" t="str">
        <f>IF(X1910="En retard",p_today-R1910,IF(AND(X1910="Reçu",ISNUMBER(R1910)),MAX(0,N(U1910)-R1910),""))</f>
        <v/>
      </c>
      <c r="Z1910" s="67" t="str">
        <f>IF(AND(A1910="",E1910=""),"",IF(A1910="","N° de bon manquant",IF(N(B1910)=0,"Date de commande manquante",IF(C1910="","Fournisseur manquant",IF(ISNA(MATCH($C1910,sup_code,0)),"Fournisseur inconnu",IF(E1910="","Article manquant",IF(ISNA(MATCH($E1910,art_ref,0)),"Article inconnu",IF(N(H1910)&lt;=0,"Quantité invalide",IF(J1910="","Prix manquant",IF(OR(N(K1910)&lt;0,N(K1910)&gt;=1),"Remise invalide",IF(M1910="","TVA manquante",IF(ISNA(MATCH(M1910,p_tva,0)),"Taux de TVA inconnu",IF(COUNTIFS(po_num,A1910,po_sup,"&lt;&gt;"&amp;C1910)&gt;0,"Fournisseur différent sur ce bon",IF(COUNTIFS(po_num,A1910,po_date,"&lt;&gt;"&amp;B1910)&gt;0,"Date différente sur ce bon",IF(COUNTIF(po_num,A1910)&gt;25,"Plus de 25 lignes sur ce bon",IF(R1910="","Date de livraison manquante",IF(R1910&lt;B1910,"Livraison avant la commande",IF(AND(N(T1910)&gt;0,N(S1910)=0),"Date d'envoi manquante",IF(N(T1910)&gt;N(H1910),"Reçu plus que commandé",IF(AND(N(T1910)&gt;0,N(U1910)=0),"Date de réception manquante",IF(AND(N(U1910)&gt;0,U1910&lt;B1910),"Réception avant la commande","OK")))))))))))))))))))))</f>
        <v/>
      </c>
      <c r="AA1910" s="66" t="str">
        <f>IF(AND(X1910="Reçu",ISNUMBER(R1910)),IF(N(U1910)&lt;=R1910,1,0),"")</f>
        <v/>
      </c>
      <c r="AB1910" s="76" t="str">
        <f>IF(OR(X1910="Envoyé",X1910="Partiel",X1910="En retard"),IF(ISNUMBER(R1910),R1910,100000)+ROW()/100000,"")</f>
        <v/>
      </c>
      <c r="AC1910" s="66" t="str">
        <f>IF(A1910="","",IF(COUNTIF($A$6:A1910,A1910)=1,1,""))</f>
        <v/>
      </c>
      <c r="AD1910" s="66" t="str">
        <f>IF(AC1910=1,COUNT($AC$6:AC1910),"")</f>
        <v/>
      </c>
      <c r="AE1910" s="66" t="str">
        <f>IFERROR(INDEX(po_num,MATCH(1905,po_seq,0))&amp;"","")</f>
        <v/>
      </c>
      <c r="AF1910" s="66" t="str">
        <f>IF(OR(A1910="",p_po=""),"",IF(A1910&amp;""=p_po,COUNTIF($A$6:A1910,A1910),""))</f>
        <v/>
      </c>
      <c r="AG1910" s="66" t="str">
        <f>IF(OR(AB1910="",A1910=""),"",IF(COUNTIFS($A$6:A1910,A1910,$AB$6:AB1910,"&gt;0")=1,1,""))</f>
        <v/>
      </c>
      <c r="AH1910" s="70" t="str">
        <f>IF(AB1910="","",ROUND(N(W1910)*N(J1910)*(1-N(K1910)),2))</f>
        <v/>
      </c>
      <c r="AI1910" s="70" t="str">
        <f>IF(OR(J1910="",N(T1910)&lt;=0,V1910="Oui"),"",ROUND(N(T1910)*J1910*(1-N(K1910)),2))</f>
        <v/>
      </c>
    </row>
    <row r="1911">
      <c r="A1911" s="63" t="n"/>
      <c r="B1911" s="64" t="n"/>
      <c r="C1911" s="65" t="n"/>
      <c r="D1911" s="66" t="str">
        <f>IF(C1911="","",IFERROR(INDEX(sup_name,MATCH($C1911,sup_code,0))&amp;"","Fournisseur inconnu"))</f>
        <v/>
      </c>
      <c r="E1911" s="63" t="n"/>
      <c r="F1911" s="66" t="str">
        <f>IF(E1911="","",IFERROR(INDEX(art_des,MATCH($E1911,art_ref,0))&amp;"","Article inconnu"))</f>
        <v/>
      </c>
      <c r="G1911" s="67" t="str">
        <f>IF(E1911="","",IFERROR(INDEX(art_unit,MATCH($E1911,art_ref,0))&amp;"",""))</f>
        <v/>
      </c>
      <c r="H1911" s="68" t="n"/>
      <c r="I1911" s="69" t="n"/>
      <c r="J1911" s="70" t="str">
        <f>IF(E1911="","",IF(ISNUMBER(I1911),I1911,IFERROR(IF(ISNUMBER(INDEX(art_price,MATCH($E1911,art_ref,0))),INDEX(art_price,MATCH($E1911,art_ref,0)),""),"")))</f>
        <v/>
      </c>
      <c r="K1911" s="71" t="n"/>
      <c r="L1911" s="72" t="n"/>
      <c r="M1911" s="72" t="str">
        <f>IF(E1911="","",IF(L1911&lt;&gt;"",L1911,IFERROR(IF(ISNUMBER(INDEX(art_tva,MATCH($E1911,art_ref,0))),INDEX(art_tva,MATCH($E1911,art_ref,0)),""),"")))</f>
        <v/>
      </c>
      <c r="N1911" s="70" t="str">
        <f>IF(OR(E1911="",J1911=""),"",ROUND(N(H1911)*J1911*(1-N(K1911)),2))</f>
        <v/>
      </c>
      <c r="O1911" s="70" t="str">
        <f>IF(OR(N1911="",NOT(ISNUMBER(M1911))),"",ROUND(N1911*M1911,2))</f>
        <v/>
      </c>
      <c r="P1911" s="70" t="str">
        <f>IF(N1911="","",N1911+N(O1911))</f>
        <v/>
      </c>
      <c r="Q1911" s="64" t="n"/>
      <c r="R1911" s="73" t="str">
        <f>IF(N(Q1911)&gt;0,Q1911,IF(OR(N(B1911)=0,ISNA(MATCH($C1911,sup_code,0))),"",IF(ISNUMBER(INDEX(sup_delay,MATCH($C1911,sup_code,0))),B1911+INDEX(sup_delay,MATCH($C1911,sup_code,0)),"")))</f>
        <v/>
      </c>
      <c r="S1911" s="64" t="n"/>
      <c r="T1911" s="68" t="n"/>
      <c r="U1911" s="64" t="n"/>
      <c r="V1911" s="65" t="n"/>
      <c r="W1911" s="74" t="str">
        <f>IF(AND(A1911="",E1911=""),"",IF(V1911="Oui",0,MAX(0,ROUND(N(H1911)-N(T1911),6))))</f>
        <v/>
      </c>
      <c r="X1911" s="67" t="str">
        <f>IF(AND(A1911="",E1911=""),"",IF(V1911="Oui","Annulé",IF(AND(N(H1911)&gt;0,N(T1911)&gt;=N(H1911)),"Reçu",IF(N(S1911)=0,"Brouillon",IF(AND(ISNUMBER(R1911),R1911&lt;p_today),"En retard",IF(N(T1911)&gt;0,"Partiel","Envoyé"))))))</f>
        <v/>
      </c>
      <c r="Y1911" s="75" t="str">
        <f>IF(X1911="En retard",p_today-R1911,IF(AND(X1911="Reçu",ISNUMBER(R1911)),MAX(0,N(U1911)-R1911),""))</f>
        <v/>
      </c>
      <c r="Z1911" s="67" t="str">
        <f>IF(AND(A1911="",E1911=""),"",IF(A1911="","N° de bon manquant",IF(N(B1911)=0,"Date de commande manquante",IF(C1911="","Fournisseur manquant",IF(ISNA(MATCH($C1911,sup_code,0)),"Fournisseur inconnu",IF(E1911="","Article manquant",IF(ISNA(MATCH($E1911,art_ref,0)),"Article inconnu",IF(N(H1911)&lt;=0,"Quantité invalide",IF(J1911="","Prix manquant",IF(OR(N(K1911)&lt;0,N(K1911)&gt;=1),"Remise invalide",IF(M1911="","TVA manquante",IF(ISNA(MATCH(M1911,p_tva,0)),"Taux de TVA inconnu",IF(COUNTIFS(po_num,A1911,po_sup,"&lt;&gt;"&amp;C1911)&gt;0,"Fournisseur différent sur ce bon",IF(COUNTIFS(po_num,A1911,po_date,"&lt;&gt;"&amp;B1911)&gt;0,"Date différente sur ce bon",IF(COUNTIF(po_num,A1911)&gt;25,"Plus de 25 lignes sur ce bon",IF(R1911="","Date de livraison manquante",IF(R1911&lt;B1911,"Livraison avant la commande",IF(AND(N(T1911)&gt;0,N(S1911)=0),"Date d'envoi manquante",IF(N(T1911)&gt;N(H1911),"Reçu plus que commandé",IF(AND(N(T1911)&gt;0,N(U1911)=0),"Date de réception manquante",IF(AND(N(U1911)&gt;0,U1911&lt;B1911),"Réception avant la commande","OK")))))))))))))))))))))</f>
        <v/>
      </c>
      <c r="AA1911" s="66" t="str">
        <f>IF(AND(X1911="Reçu",ISNUMBER(R1911)),IF(N(U1911)&lt;=R1911,1,0),"")</f>
        <v/>
      </c>
      <c r="AB1911" s="76" t="str">
        <f>IF(OR(X1911="Envoyé",X1911="Partiel",X1911="En retard"),IF(ISNUMBER(R1911),R1911,100000)+ROW()/100000,"")</f>
        <v/>
      </c>
      <c r="AC1911" s="66" t="str">
        <f>IF(A1911="","",IF(COUNTIF($A$6:A1911,A1911)=1,1,""))</f>
        <v/>
      </c>
      <c r="AD1911" s="66" t="str">
        <f>IF(AC1911=1,COUNT($AC$6:AC1911),"")</f>
        <v/>
      </c>
      <c r="AE1911" s="66" t="str">
        <f>IFERROR(INDEX(po_num,MATCH(1906,po_seq,0))&amp;"","")</f>
        <v/>
      </c>
      <c r="AF1911" s="66" t="str">
        <f>IF(OR(A1911="",p_po=""),"",IF(A1911&amp;""=p_po,COUNTIF($A$6:A1911,A1911),""))</f>
        <v/>
      </c>
      <c r="AG1911" s="66" t="str">
        <f>IF(OR(AB1911="",A1911=""),"",IF(COUNTIFS($A$6:A1911,A1911,$AB$6:AB1911,"&gt;0")=1,1,""))</f>
        <v/>
      </c>
      <c r="AH1911" s="70" t="str">
        <f>IF(AB1911="","",ROUND(N(W1911)*N(J1911)*(1-N(K1911)),2))</f>
        <v/>
      </c>
      <c r="AI1911" s="70" t="str">
        <f>IF(OR(J1911="",N(T1911)&lt;=0,V1911="Oui"),"",ROUND(N(T1911)*J1911*(1-N(K1911)),2))</f>
        <v/>
      </c>
    </row>
    <row r="1912">
      <c r="A1912" s="63" t="n"/>
      <c r="B1912" s="64" t="n"/>
      <c r="C1912" s="65" t="n"/>
      <c r="D1912" s="66" t="str">
        <f>IF(C1912="","",IFERROR(INDEX(sup_name,MATCH($C1912,sup_code,0))&amp;"","Fournisseur inconnu"))</f>
        <v/>
      </c>
      <c r="E1912" s="63" t="n"/>
      <c r="F1912" s="66" t="str">
        <f>IF(E1912="","",IFERROR(INDEX(art_des,MATCH($E1912,art_ref,0))&amp;"","Article inconnu"))</f>
        <v/>
      </c>
      <c r="G1912" s="67" t="str">
        <f>IF(E1912="","",IFERROR(INDEX(art_unit,MATCH($E1912,art_ref,0))&amp;"",""))</f>
        <v/>
      </c>
      <c r="H1912" s="68" t="n"/>
      <c r="I1912" s="69" t="n"/>
      <c r="J1912" s="70" t="str">
        <f>IF(E1912="","",IF(ISNUMBER(I1912),I1912,IFERROR(IF(ISNUMBER(INDEX(art_price,MATCH($E1912,art_ref,0))),INDEX(art_price,MATCH($E1912,art_ref,0)),""),"")))</f>
        <v/>
      </c>
      <c r="K1912" s="71" t="n"/>
      <c r="L1912" s="72" t="n"/>
      <c r="M1912" s="72" t="str">
        <f>IF(E1912="","",IF(L1912&lt;&gt;"",L1912,IFERROR(IF(ISNUMBER(INDEX(art_tva,MATCH($E1912,art_ref,0))),INDEX(art_tva,MATCH($E1912,art_ref,0)),""),"")))</f>
        <v/>
      </c>
      <c r="N1912" s="70" t="str">
        <f>IF(OR(E1912="",J1912=""),"",ROUND(N(H1912)*J1912*(1-N(K1912)),2))</f>
        <v/>
      </c>
      <c r="O1912" s="70" t="str">
        <f>IF(OR(N1912="",NOT(ISNUMBER(M1912))),"",ROUND(N1912*M1912,2))</f>
        <v/>
      </c>
      <c r="P1912" s="70" t="str">
        <f>IF(N1912="","",N1912+N(O1912))</f>
        <v/>
      </c>
      <c r="Q1912" s="64" t="n"/>
      <c r="R1912" s="73" t="str">
        <f>IF(N(Q1912)&gt;0,Q1912,IF(OR(N(B1912)=0,ISNA(MATCH($C1912,sup_code,0))),"",IF(ISNUMBER(INDEX(sup_delay,MATCH($C1912,sup_code,0))),B1912+INDEX(sup_delay,MATCH($C1912,sup_code,0)),"")))</f>
        <v/>
      </c>
      <c r="S1912" s="64" t="n"/>
      <c r="T1912" s="68" t="n"/>
      <c r="U1912" s="64" t="n"/>
      <c r="V1912" s="65" t="n"/>
      <c r="W1912" s="74" t="str">
        <f>IF(AND(A1912="",E1912=""),"",IF(V1912="Oui",0,MAX(0,ROUND(N(H1912)-N(T1912),6))))</f>
        <v/>
      </c>
      <c r="X1912" s="67" t="str">
        <f>IF(AND(A1912="",E1912=""),"",IF(V1912="Oui","Annulé",IF(AND(N(H1912)&gt;0,N(T1912)&gt;=N(H1912)),"Reçu",IF(N(S1912)=0,"Brouillon",IF(AND(ISNUMBER(R1912),R1912&lt;p_today),"En retard",IF(N(T1912)&gt;0,"Partiel","Envoyé"))))))</f>
        <v/>
      </c>
      <c r="Y1912" s="75" t="str">
        <f>IF(X1912="En retard",p_today-R1912,IF(AND(X1912="Reçu",ISNUMBER(R1912)),MAX(0,N(U1912)-R1912),""))</f>
        <v/>
      </c>
      <c r="Z1912" s="67" t="str">
        <f>IF(AND(A1912="",E1912=""),"",IF(A1912="","N° de bon manquant",IF(N(B1912)=0,"Date de commande manquante",IF(C1912="","Fournisseur manquant",IF(ISNA(MATCH($C1912,sup_code,0)),"Fournisseur inconnu",IF(E1912="","Article manquant",IF(ISNA(MATCH($E1912,art_ref,0)),"Article inconnu",IF(N(H1912)&lt;=0,"Quantité invalide",IF(J1912="","Prix manquant",IF(OR(N(K1912)&lt;0,N(K1912)&gt;=1),"Remise invalide",IF(M1912="","TVA manquante",IF(ISNA(MATCH(M1912,p_tva,0)),"Taux de TVA inconnu",IF(COUNTIFS(po_num,A1912,po_sup,"&lt;&gt;"&amp;C1912)&gt;0,"Fournisseur différent sur ce bon",IF(COUNTIFS(po_num,A1912,po_date,"&lt;&gt;"&amp;B1912)&gt;0,"Date différente sur ce bon",IF(COUNTIF(po_num,A1912)&gt;25,"Plus de 25 lignes sur ce bon",IF(R1912="","Date de livraison manquante",IF(R1912&lt;B1912,"Livraison avant la commande",IF(AND(N(T1912)&gt;0,N(S1912)=0),"Date d'envoi manquante",IF(N(T1912)&gt;N(H1912),"Reçu plus que commandé",IF(AND(N(T1912)&gt;0,N(U1912)=0),"Date de réception manquante",IF(AND(N(U1912)&gt;0,U1912&lt;B1912),"Réception avant la commande","OK")))))))))))))))))))))</f>
        <v/>
      </c>
      <c r="AA1912" s="66" t="str">
        <f>IF(AND(X1912="Reçu",ISNUMBER(R1912)),IF(N(U1912)&lt;=R1912,1,0),"")</f>
        <v/>
      </c>
      <c r="AB1912" s="76" t="str">
        <f>IF(OR(X1912="Envoyé",X1912="Partiel",X1912="En retard"),IF(ISNUMBER(R1912),R1912,100000)+ROW()/100000,"")</f>
        <v/>
      </c>
      <c r="AC1912" s="66" t="str">
        <f>IF(A1912="","",IF(COUNTIF($A$6:A1912,A1912)=1,1,""))</f>
        <v/>
      </c>
      <c r="AD1912" s="66" t="str">
        <f>IF(AC1912=1,COUNT($AC$6:AC1912),"")</f>
        <v/>
      </c>
      <c r="AE1912" s="66" t="str">
        <f>IFERROR(INDEX(po_num,MATCH(1907,po_seq,0))&amp;"","")</f>
        <v/>
      </c>
      <c r="AF1912" s="66" t="str">
        <f>IF(OR(A1912="",p_po=""),"",IF(A1912&amp;""=p_po,COUNTIF($A$6:A1912,A1912),""))</f>
        <v/>
      </c>
      <c r="AG1912" s="66" t="str">
        <f>IF(OR(AB1912="",A1912=""),"",IF(COUNTIFS($A$6:A1912,A1912,$AB$6:AB1912,"&gt;0")=1,1,""))</f>
        <v/>
      </c>
      <c r="AH1912" s="70" t="str">
        <f>IF(AB1912="","",ROUND(N(W1912)*N(J1912)*(1-N(K1912)),2))</f>
        <v/>
      </c>
      <c r="AI1912" s="70" t="str">
        <f>IF(OR(J1912="",N(T1912)&lt;=0,V1912="Oui"),"",ROUND(N(T1912)*J1912*(1-N(K1912)),2))</f>
        <v/>
      </c>
    </row>
    <row r="1913">
      <c r="A1913" s="63" t="n"/>
      <c r="B1913" s="64" t="n"/>
      <c r="C1913" s="65" t="n"/>
      <c r="D1913" s="66" t="str">
        <f>IF(C1913="","",IFERROR(INDEX(sup_name,MATCH($C1913,sup_code,0))&amp;"","Fournisseur inconnu"))</f>
        <v/>
      </c>
      <c r="E1913" s="63" t="n"/>
      <c r="F1913" s="66" t="str">
        <f>IF(E1913="","",IFERROR(INDEX(art_des,MATCH($E1913,art_ref,0))&amp;"","Article inconnu"))</f>
        <v/>
      </c>
      <c r="G1913" s="67" t="str">
        <f>IF(E1913="","",IFERROR(INDEX(art_unit,MATCH($E1913,art_ref,0))&amp;"",""))</f>
        <v/>
      </c>
      <c r="H1913" s="68" t="n"/>
      <c r="I1913" s="69" t="n"/>
      <c r="J1913" s="70" t="str">
        <f>IF(E1913="","",IF(ISNUMBER(I1913),I1913,IFERROR(IF(ISNUMBER(INDEX(art_price,MATCH($E1913,art_ref,0))),INDEX(art_price,MATCH($E1913,art_ref,0)),""),"")))</f>
        <v/>
      </c>
      <c r="K1913" s="71" t="n"/>
      <c r="L1913" s="72" t="n"/>
      <c r="M1913" s="72" t="str">
        <f>IF(E1913="","",IF(L1913&lt;&gt;"",L1913,IFERROR(IF(ISNUMBER(INDEX(art_tva,MATCH($E1913,art_ref,0))),INDEX(art_tva,MATCH($E1913,art_ref,0)),""),"")))</f>
        <v/>
      </c>
      <c r="N1913" s="70" t="str">
        <f>IF(OR(E1913="",J1913=""),"",ROUND(N(H1913)*J1913*(1-N(K1913)),2))</f>
        <v/>
      </c>
      <c r="O1913" s="70" t="str">
        <f>IF(OR(N1913="",NOT(ISNUMBER(M1913))),"",ROUND(N1913*M1913,2))</f>
        <v/>
      </c>
      <c r="P1913" s="70" t="str">
        <f>IF(N1913="","",N1913+N(O1913))</f>
        <v/>
      </c>
      <c r="Q1913" s="64" t="n"/>
      <c r="R1913" s="73" t="str">
        <f>IF(N(Q1913)&gt;0,Q1913,IF(OR(N(B1913)=0,ISNA(MATCH($C1913,sup_code,0))),"",IF(ISNUMBER(INDEX(sup_delay,MATCH($C1913,sup_code,0))),B1913+INDEX(sup_delay,MATCH($C1913,sup_code,0)),"")))</f>
        <v/>
      </c>
      <c r="S1913" s="64" t="n"/>
      <c r="T1913" s="68" t="n"/>
      <c r="U1913" s="64" t="n"/>
      <c r="V1913" s="65" t="n"/>
      <c r="W1913" s="74" t="str">
        <f>IF(AND(A1913="",E1913=""),"",IF(V1913="Oui",0,MAX(0,ROUND(N(H1913)-N(T1913),6))))</f>
        <v/>
      </c>
      <c r="X1913" s="67" t="str">
        <f>IF(AND(A1913="",E1913=""),"",IF(V1913="Oui","Annulé",IF(AND(N(H1913)&gt;0,N(T1913)&gt;=N(H1913)),"Reçu",IF(N(S1913)=0,"Brouillon",IF(AND(ISNUMBER(R1913),R1913&lt;p_today),"En retard",IF(N(T1913)&gt;0,"Partiel","Envoyé"))))))</f>
        <v/>
      </c>
      <c r="Y1913" s="75" t="str">
        <f>IF(X1913="En retard",p_today-R1913,IF(AND(X1913="Reçu",ISNUMBER(R1913)),MAX(0,N(U1913)-R1913),""))</f>
        <v/>
      </c>
      <c r="Z1913" s="67" t="str">
        <f>IF(AND(A1913="",E1913=""),"",IF(A1913="","N° de bon manquant",IF(N(B1913)=0,"Date de commande manquante",IF(C1913="","Fournisseur manquant",IF(ISNA(MATCH($C1913,sup_code,0)),"Fournisseur inconnu",IF(E1913="","Article manquant",IF(ISNA(MATCH($E1913,art_ref,0)),"Article inconnu",IF(N(H1913)&lt;=0,"Quantité invalide",IF(J1913="","Prix manquant",IF(OR(N(K1913)&lt;0,N(K1913)&gt;=1),"Remise invalide",IF(M1913="","TVA manquante",IF(ISNA(MATCH(M1913,p_tva,0)),"Taux de TVA inconnu",IF(COUNTIFS(po_num,A1913,po_sup,"&lt;&gt;"&amp;C1913)&gt;0,"Fournisseur différent sur ce bon",IF(COUNTIFS(po_num,A1913,po_date,"&lt;&gt;"&amp;B1913)&gt;0,"Date différente sur ce bon",IF(COUNTIF(po_num,A1913)&gt;25,"Plus de 25 lignes sur ce bon",IF(R1913="","Date de livraison manquante",IF(R1913&lt;B1913,"Livraison avant la commande",IF(AND(N(T1913)&gt;0,N(S1913)=0),"Date d'envoi manquante",IF(N(T1913)&gt;N(H1913),"Reçu plus que commandé",IF(AND(N(T1913)&gt;0,N(U1913)=0),"Date de réception manquante",IF(AND(N(U1913)&gt;0,U1913&lt;B1913),"Réception avant la commande","OK")))))))))))))))))))))</f>
        <v/>
      </c>
      <c r="AA1913" s="66" t="str">
        <f>IF(AND(X1913="Reçu",ISNUMBER(R1913)),IF(N(U1913)&lt;=R1913,1,0),"")</f>
        <v/>
      </c>
      <c r="AB1913" s="76" t="str">
        <f>IF(OR(X1913="Envoyé",X1913="Partiel",X1913="En retard"),IF(ISNUMBER(R1913),R1913,100000)+ROW()/100000,"")</f>
        <v/>
      </c>
      <c r="AC1913" s="66" t="str">
        <f>IF(A1913="","",IF(COUNTIF($A$6:A1913,A1913)=1,1,""))</f>
        <v/>
      </c>
      <c r="AD1913" s="66" t="str">
        <f>IF(AC1913=1,COUNT($AC$6:AC1913),"")</f>
        <v/>
      </c>
      <c r="AE1913" s="66" t="str">
        <f>IFERROR(INDEX(po_num,MATCH(1908,po_seq,0))&amp;"","")</f>
        <v/>
      </c>
      <c r="AF1913" s="66" t="str">
        <f>IF(OR(A1913="",p_po=""),"",IF(A1913&amp;""=p_po,COUNTIF($A$6:A1913,A1913),""))</f>
        <v/>
      </c>
      <c r="AG1913" s="66" t="str">
        <f>IF(OR(AB1913="",A1913=""),"",IF(COUNTIFS($A$6:A1913,A1913,$AB$6:AB1913,"&gt;0")=1,1,""))</f>
        <v/>
      </c>
      <c r="AH1913" s="70" t="str">
        <f>IF(AB1913="","",ROUND(N(W1913)*N(J1913)*(1-N(K1913)),2))</f>
        <v/>
      </c>
      <c r="AI1913" s="70" t="str">
        <f>IF(OR(J1913="",N(T1913)&lt;=0,V1913="Oui"),"",ROUND(N(T1913)*J1913*(1-N(K1913)),2))</f>
        <v/>
      </c>
    </row>
    <row r="1914">
      <c r="A1914" s="63" t="n"/>
      <c r="B1914" s="64" t="n"/>
      <c r="C1914" s="65" t="n"/>
      <c r="D1914" s="66" t="str">
        <f>IF(C1914="","",IFERROR(INDEX(sup_name,MATCH($C1914,sup_code,0))&amp;"","Fournisseur inconnu"))</f>
        <v/>
      </c>
      <c r="E1914" s="63" t="n"/>
      <c r="F1914" s="66" t="str">
        <f>IF(E1914="","",IFERROR(INDEX(art_des,MATCH($E1914,art_ref,0))&amp;"","Article inconnu"))</f>
        <v/>
      </c>
      <c r="G1914" s="67" t="str">
        <f>IF(E1914="","",IFERROR(INDEX(art_unit,MATCH($E1914,art_ref,0))&amp;"",""))</f>
        <v/>
      </c>
      <c r="H1914" s="68" t="n"/>
      <c r="I1914" s="69" t="n"/>
      <c r="J1914" s="70" t="str">
        <f>IF(E1914="","",IF(ISNUMBER(I1914),I1914,IFERROR(IF(ISNUMBER(INDEX(art_price,MATCH($E1914,art_ref,0))),INDEX(art_price,MATCH($E1914,art_ref,0)),""),"")))</f>
        <v/>
      </c>
      <c r="K1914" s="71" t="n"/>
      <c r="L1914" s="72" t="n"/>
      <c r="M1914" s="72" t="str">
        <f>IF(E1914="","",IF(L1914&lt;&gt;"",L1914,IFERROR(IF(ISNUMBER(INDEX(art_tva,MATCH($E1914,art_ref,0))),INDEX(art_tva,MATCH($E1914,art_ref,0)),""),"")))</f>
        <v/>
      </c>
      <c r="N1914" s="70" t="str">
        <f>IF(OR(E1914="",J1914=""),"",ROUND(N(H1914)*J1914*(1-N(K1914)),2))</f>
        <v/>
      </c>
      <c r="O1914" s="70" t="str">
        <f>IF(OR(N1914="",NOT(ISNUMBER(M1914))),"",ROUND(N1914*M1914,2))</f>
        <v/>
      </c>
      <c r="P1914" s="70" t="str">
        <f>IF(N1914="","",N1914+N(O1914))</f>
        <v/>
      </c>
      <c r="Q1914" s="64" t="n"/>
      <c r="R1914" s="73" t="str">
        <f>IF(N(Q1914)&gt;0,Q1914,IF(OR(N(B1914)=0,ISNA(MATCH($C1914,sup_code,0))),"",IF(ISNUMBER(INDEX(sup_delay,MATCH($C1914,sup_code,0))),B1914+INDEX(sup_delay,MATCH($C1914,sup_code,0)),"")))</f>
        <v/>
      </c>
      <c r="S1914" s="64" t="n"/>
      <c r="T1914" s="68" t="n"/>
      <c r="U1914" s="64" t="n"/>
      <c r="V1914" s="65" t="n"/>
      <c r="W1914" s="74" t="str">
        <f>IF(AND(A1914="",E1914=""),"",IF(V1914="Oui",0,MAX(0,ROUND(N(H1914)-N(T1914),6))))</f>
        <v/>
      </c>
      <c r="X1914" s="67" t="str">
        <f>IF(AND(A1914="",E1914=""),"",IF(V1914="Oui","Annulé",IF(AND(N(H1914)&gt;0,N(T1914)&gt;=N(H1914)),"Reçu",IF(N(S1914)=0,"Brouillon",IF(AND(ISNUMBER(R1914),R1914&lt;p_today),"En retard",IF(N(T1914)&gt;0,"Partiel","Envoyé"))))))</f>
        <v/>
      </c>
      <c r="Y1914" s="75" t="str">
        <f>IF(X1914="En retard",p_today-R1914,IF(AND(X1914="Reçu",ISNUMBER(R1914)),MAX(0,N(U1914)-R1914),""))</f>
        <v/>
      </c>
      <c r="Z1914" s="67" t="str">
        <f>IF(AND(A1914="",E1914=""),"",IF(A1914="","N° de bon manquant",IF(N(B1914)=0,"Date de commande manquante",IF(C1914="","Fournisseur manquant",IF(ISNA(MATCH($C1914,sup_code,0)),"Fournisseur inconnu",IF(E1914="","Article manquant",IF(ISNA(MATCH($E1914,art_ref,0)),"Article inconnu",IF(N(H1914)&lt;=0,"Quantité invalide",IF(J1914="","Prix manquant",IF(OR(N(K1914)&lt;0,N(K1914)&gt;=1),"Remise invalide",IF(M1914="","TVA manquante",IF(ISNA(MATCH(M1914,p_tva,0)),"Taux de TVA inconnu",IF(COUNTIFS(po_num,A1914,po_sup,"&lt;&gt;"&amp;C1914)&gt;0,"Fournisseur différent sur ce bon",IF(COUNTIFS(po_num,A1914,po_date,"&lt;&gt;"&amp;B1914)&gt;0,"Date différente sur ce bon",IF(COUNTIF(po_num,A1914)&gt;25,"Plus de 25 lignes sur ce bon",IF(R1914="","Date de livraison manquante",IF(R1914&lt;B1914,"Livraison avant la commande",IF(AND(N(T1914)&gt;0,N(S1914)=0),"Date d'envoi manquante",IF(N(T1914)&gt;N(H1914),"Reçu plus que commandé",IF(AND(N(T1914)&gt;0,N(U1914)=0),"Date de réception manquante",IF(AND(N(U1914)&gt;0,U1914&lt;B1914),"Réception avant la commande","OK")))))))))))))))))))))</f>
        <v/>
      </c>
      <c r="AA1914" s="66" t="str">
        <f>IF(AND(X1914="Reçu",ISNUMBER(R1914)),IF(N(U1914)&lt;=R1914,1,0),"")</f>
        <v/>
      </c>
      <c r="AB1914" s="76" t="str">
        <f>IF(OR(X1914="Envoyé",X1914="Partiel",X1914="En retard"),IF(ISNUMBER(R1914),R1914,100000)+ROW()/100000,"")</f>
        <v/>
      </c>
      <c r="AC1914" s="66" t="str">
        <f>IF(A1914="","",IF(COUNTIF($A$6:A1914,A1914)=1,1,""))</f>
        <v/>
      </c>
      <c r="AD1914" s="66" t="str">
        <f>IF(AC1914=1,COUNT($AC$6:AC1914),"")</f>
        <v/>
      </c>
      <c r="AE1914" s="66" t="str">
        <f>IFERROR(INDEX(po_num,MATCH(1909,po_seq,0))&amp;"","")</f>
        <v/>
      </c>
      <c r="AF1914" s="66" t="str">
        <f>IF(OR(A1914="",p_po=""),"",IF(A1914&amp;""=p_po,COUNTIF($A$6:A1914,A1914),""))</f>
        <v/>
      </c>
      <c r="AG1914" s="66" t="str">
        <f>IF(OR(AB1914="",A1914=""),"",IF(COUNTIFS($A$6:A1914,A1914,$AB$6:AB1914,"&gt;0")=1,1,""))</f>
        <v/>
      </c>
      <c r="AH1914" s="70" t="str">
        <f>IF(AB1914="","",ROUND(N(W1914)*N(J1914)*(1-N(K1914)),2))</f>
        <v/>
      </c>
      <c r="AI1914" s="70" t="str">
        <f>IF(OR(J1914="",N(T1914)&lt;=0,V1914="Oui"),"",ROUND(N(T1914)*J1914*(1-N(K1914)),2))</f>
        <v/>
      </c>
    </row>
    <row r="1915">
      <c r="A1915" s="63" t="n"/>
      <c r="B1915" s="64" t="n"/>
      <c r="C1915" s="65" t="n"/>
      <c r="D1915" s="66" t="str">
        <f>IF(C1915="","",IFERROR(INDEX(sup_name,MATCH($C1915,sup_code,0))&amp;"","Fournisseur inconnu"))</f>
        <v/>
      </c>
      <c r="E1915" s="63" t="n"/>
      <c r="F1915" s="66" t="str">
        <f>IF(E1915="","",IFERROR(INDEX(art_des,MATCH($E1915,art_ref,0))&amp;"","Article inconnu"))</f>
        <v/>
      </c>
      <c r="G1915" s="67" t="str">
        <f>IF(E1915="","",IFERROR(INDEX(art_unit,MATCH($E1915,art_ref,0))&amp;"",""))</f>
        <v/>
      </c>
      <c r="H1915" s="68" t="n"/>
      <c r="I1915" s="69" t="n"/>
      <c r="J1915" s="70" t="str">
        <f>IF(E1915="","",IF(ISNUMBER(I1915),I1915,IFERROR(IF(ISNUMBER(INDEX(art_price,MATCH($E1915,art_ref,0))),INDEX(art_price,MATCH($E1915,art_ref,0)),""),"")))</f>
        <v/>
      </c>
      <c r="K1915" s="71" t="n"/>
      <c r="L1915" s="72" t="n"/>
      <c r="M1915" s="72" t="str">
        <f>IF(E1915="","",IF(L1915&lt;&gt;"",L1915,IFERROR(IF(ISNUMBER(INDEX(art_tva,MATCH($E1915,art_ref,0))),INDEX(art_tva,MATCH($E1915,art_ref,0)),""),"")))</f>
        <v/>
      </c>
      <c r="N1915" s="70" t="str">
        <f>IF(OR(E1915="",J1915=""),"",ROUND(N(H1915)*J1915*(1-N(K1915)),2))</f>
        <v/>
      </c>
      <c r="O1915" s="70" t="str">
        <f>IF(OR(N1915="",NOT(ISNUMBER(M1915))),"",ROUND(N1915*M1915,2))</f>
        <v/>
      </c>
      <c r="P1915" s="70" t="str">
        <f>IF(N1915="","",N1915+N(O1915))</f>
        <v/>
      </c>
      <c r="Q1915" s="64" t="n"/>
      <c r="R1915" s="73" t="str">
        <f>IF(N(Q1915)&gt;0,Q1915,IF(OR(N(B1915)=0,ISNA(MATCH($C1915,sup_code,0))),"",IF(ISNUMBER(INDEX(sup_delay,MATCH($C1915,sup_code,0))),B1915+INDEX(sup_delay,MATCH($C1915,sup_code,0)),"")))</f>
        <v/>
      </c>
      <c r="S1915" s="64" t="n"/>
      <c r="T1915" s="68" t="n"/>
      <c r="U1915" s="64" t="n"/>
      <c r="V1915" s="65" t="n"/>
      <c r="W1915" s="74" t="str">
        <f>IF(AND(A1915="",E1915=""),"",IF(V1915="Oui",0,MAX(0,ROUND(N(H1915)-N(T1915),6))))</f>
        <v/>
      </c>
      <c r="X1915" s="67" t="str">
        <f>IF(AND(A1915="",E1915=""),"",IF(V1915="Oui","Annulé",IF(AND(N(H1915)&gt;0,N(T1915)&gt;=N(H1915)),"Reçu",IF(N(S1915)=0,"Brouillon",IF(AND(ISNUMBER(R1915),R1915&lt;p_today),"En retard",IF(N(T1915)&gt;0,"Partiel","Envoyé"))))))</f>
        <v/>
      </c>
      <c r="Y1915" s="75" t="str">
        <f>IF(X1915="En retard",p_today-R1915,IF(AND(X1915="Reçu",ISNUMBER(R1915)),MAX(0,N(U1915)-R1915),""))</f>
        <v/>
      </c>
      <c r="Z1915" s="67" t="str">
        <f>IF(AND(A1915="",E1915=""),"",IF(A1915="","N° de bon manquant",IF(N(B1915)=0,"Date de commande manquante",IF(C1915="","Fournisseur manquant",IF(ISNA(MATCH($C1915,sup_code,0)),"Fournisseur inconnu",IF(E1915="","Article manquant",IF(ISNA(MATCH($E1915,art_ref,0)),"Article inconnu",IF(N(H1915)&lt;=0,"Quantité invalide",IF(J1915="","Prix manquant",IF(OR(N(K1915)&lt;0,N(K1915)&gt;=1),"Remise invalide",IF(M1915="","TVA manquante",IF(ISNA(MATCH(M1915,p_tva,0)),"Taux de TVA inconnu",IF(COUNTIFS(po_num,A1915,po_sup,"&lt;&gt;"&amp;C1915)&gt;0,"Fournisseur différent sur ce bon",IF(COUNTIFS(po_num,A1915,po_date,"&lt;&gt;"&amp;B1915)&gt;0,"Date différente sur ce bon",IF(COUNTIF(po_num,A1915)&gt;25,"Plus de 25 lignes sur ce bon",IF(R1915="","Date de livraison manquante",IF(R1915&lt;B1915,"Livraison avant la commande",IF(AND(N(T1915)&gt;0,N(S1915)=0),"Date d'envoi manquante",IF(N(T1915)&gt;N(H1915),"Reçu plus que commandé",IF(AND(N(T1915)&gt;0,N(U1915)=0),"Date de réception manquante",IF(AND(N(U1915)&gt;0,U1915&lt;B1915),"Réception avant la commande","OK")))))))))))))))))))))</f>
        <v/>
      </c>
      <c r="AA1915" s="66" t="str">
        <f>IF(AND(X1915="Reçu",ISNUMBER(R1915)),IF(N(U1915)&lt;=R1915,1,0),"")</f>
        <v/>
      </c>
      <c r="AB1915" s="76" t="str">
        <f>IF(OR(X1915="Envoyé",X1915="Partiel",X1915="En retard"),IF(ISNUMBER(R1915),R1915,100000)+ROW()/100000,"")</f>
        <v/>
      </c>
      <c r="AC1915" s="66" t="str">
        <f>IF(A1915="","",IF(COUNTIF($A$6:A1915,A1915)=1,1,""))</f>
        <v/>
      </c>
      <c r="AD1915" s="66" t="str">
        <f>IF(AC1915=1,COUNT($AC$6:AC1915),"")</f>
        <v/>
      </c>
      <c r="AE1915" s="66" t="str">
        <f>IFERROR(INDEX(po_num,MATCH(1910,po_seq,0))&amp;"","")</f>
        <v/>
      </c>
      <c r="AF1915" s="66" t="str">
        <f>IF(OR(A1915="",p_po=""),"",IF(A1915&amp;""=p_po,COUNTIF($A$6:A1915,A1915),""))</f>
        <v/>
      </c>
      <c r="AG1915" s="66" t="str">
        <f>IF(OR(AB1915="",A1915=""),"",IF(COUNTIFS($A$6:A1915,A1915,$AB$6:AB1915,"&gt;0")=1,1,""))</f>
        <v/>
      </c>
      <c r="AH1915" s="70" t="str">
        <f>IF(AB1915="","",ROUND(N(W1915)*N(J1915)*(1-N(K1915)),2))</f>
        <v/>
      </c>
      <c r="AI1915" s="70" t="str">
        <f>IF(OR(J1915="",N(T1915)&lt;=0,V1915="Oui"),"",ROUND(N(T1915)*J1915*(1-N(K1915)),2))</f>
        <v/>
      </c>
    </row>
    <row r="1916">
      <c r="A1916" s="63" t="n"/>
      <c r="B1916" s="64" t="n"/>
      <c r="C1916" s="65" t="n"/>
      <c r="D1916" s="66" t="str">
        <f>IF(C1916="","",IFERROR(INDEX(sup_name,MATCH($C1916,sup_code,0))&amp;"","Fournisseur inconnu"))</f>
        <v/>
      </c>
      <c r="E1916" s="63" t="n"/>
      <c r="F1916" s="66" t="str">
        <f>IF(E1916="","",IFERROR(INDEX(art_des,MATCH($E1916,art_ref,0))&amp;"","Article inconnu"))</f>
        <v/>
      </c>
      <c r="G1916" s="67" t="str">
        <f>IF(E1916="","",IFERROR(INDEX(art_unit,MATCH($E1916,art_ref,0))&amp;"",""))</f>
        <v/>
      </c>
      <c r="H1916" s="68" t="n"/>
      <c r="I1916" s="69" t="n"/>
      <c r="J1916" s="70" t="str">
        <f>IF(E1916="","",IF(ISNUMBER(I1916),I1916,IFERROR(IF(ISNUMBER(INDEX(art_price,MATCH($E1916,art_ref,0))),INDEX(art_price,MATCH($E1916,art_ref,0)),""),"")))</f>
        <v/>
      </c>
      <c r="K1916" s="71" t="n"/>
      <c r="L1916" s="72" t="n"/>
      <c r="M1916" s="72" t="str">
        <f>IF(E1916="","",IF(L1916&lt;&gt;"",L1916,IFERROR(IF(ISNUMBER(INDEX(art_tva,MATCH($E1916,art_ref,0))),INDEX(art_tva,MATCH($E1916,art_ref,0)),""),"")))</f>
        <v/>
      </c>
      <c r="N1916" s="70" t="str">
        <f>IF(OR(E1916="",J1916=""),"",ROUND(N(H1916)*J1916*(1-N(K1916)),2))</f>
        <v/>
      </c>
      <c r="O1916" s="70" t="str">
        <f>IF(OR(N1916="",NOT(ISNUMBER(M1916))),"",ROUND(N1916*M1916,2))</f>
        <v/>
      </c>
      <c r="P1916" s="70" t="str">
        <f>IF(N1916="","",N1916+N(O1916))</f>
        <v/>
      </c>
      <c r="Q1916" s="64" t="n"/>
      <c r="R1916" s="73" t="str">
        <f>IF(N(Q1916)&gt;0,Q1916,IF(OR(N(B1916)=0,ISNA(MATCH($C1916,sup_code,0))),"",IF(ISNUMBER(INDEX(sup_delay,MATCH($C1916,sup_code,0))),B1916+INDEX(sup_delay,MATCH($C1916,sup_code,0)),"")))</f>
        <v/>
      </c>
      <c r="S1916" s="64" t="n"/>
      <c r="T1916" s="68" t="n"/>
      <c r="U1916" s="64" t="n"/>
      <c r="V1916" s="65" t="n"/>
      <c r="W1916" s="74" t="str">
        <f>IF(AND(A1916="",E1916=""),"",IF(V1916="Oui",0,MAX(0,ROUND(N(H1916)-N(T1916),6))))</f>
        <v/>
      </c>
      <c r="X1916" s="67" t="str">
        <f>IF(AND(A1916="",E1916=""),"",IF(V1916="Oui","Annulé",IF(AND(N(H1916)&gt;0,N(T1916)&gt;=N(H1916)),"Reçu",IF(N(S1916)=0,"Brouillon",IF(AND(ISNUMBER(R1916),R1916&lt;p_today),"En retard",IF(N(T1916)&gt;0,"Partiel","Envoyé"))))))</f>
        <v/>
      </c>
      <c r="Y1916" s="75" t="str">
        <f>IF(X1916="En retard",p_today-R1916,IF(AND(X1916="Reçu",ISNUMBER(R1916)),MAX(0,N(U1916)-R1916),""))</f>
        <v/>
      </c>
      <c r="Z1916" s="67" t="str">
        <f>IF(AND(A1916="",E1916=""),"",IF(A1916="","N° de bon manquant",IF(N(B1916)=0,"Date de commande manquante",IF(C1916="","Fournisseur manquant",IF(ISNA(MATCH($C1916,sup_code,0)),"Fournisseur inconnu",IF(E1916="","Article manquant",IF(ISNA(MATCH($E1916,art_ref,0)),"Article inconnu",IF(N(H1916)&lt;=0,"Quantité invalide",IF(J1916="","Prix manquant",IF(OR(N(K1916)&lt;0,N(K1916)&gt;=1),"Remise invalide",IF(M1916="","TVA manquante",IF(ISNA(MATCH(M1916,p_tva,0)),"Taux de TVA inconnu",IF(COUNTIFS(po_num,A1916,po_sup,"&lt;&gt;"&amp;C1916)&gt;0,"Fournisseur différent sur ce bon",IF(COUNTIFS(po_num,A1916,po_date,"&lt;&gt;"&amp;B1916)&gt;0,"Date différente sur ce bon",IF(COUNTIF(po_num,A1916)&gt;25,"Plus de 25 lignes sur ce bon",IF(R1916="","Date de livraison manquante",IF(R1916&lt;B1916,"Livraison avant la commande",IF(AND(N(T1916)&gt;0,N(S1916)=0),"Date d'envoi manquante",IF(N(T1916)&gt;N(H1916),"Reçu plus que commandé",IF(AND(N(T1916)&gt;0,N(U1916)=0),"Date de réception manquante",IF(AND(N(U1916)&gt;0,U1916&lt;B1916),"Réception avant la commande","OK")))))))))))))))))))))</f>
        <v/>
      </c>
      <c r="AA1916" s="66" t="str">
        <f>IF(AND(X1916="Reçu",ISNUMBER(R1916)),IF(N(U1916)&lt;=R1916,1,0),"")</f>
        <v/>
      </c>
      <c r="AB1916" s="76" t="str">
        <f>IF(OR(X1916="Envoyé",X1916="Partiel",X1916="En retard"),IF(ISNUMBER(R1916),R1916,100000)+ROW()/100000,"")</f>
        <v/>
      </c>
      <c r="AC1916" s="66" t="str">
        <f>IF(A1916="","",IF(COUNTIF($A$6:A1916,A1916)=1,1,""))</f>
        <v/>
      </c>
      <c r="AD1916" s="66" t="str">
        <f>IF(AC1916=1,COUNT($AC$6:AC1916),"")</f>
        <v/>
      </c>
      <c r="AE1916" s="66" t="str">
        <f>IFERROR(INDEX(po_num,MATCH(1911,po_seq,0))&amp;"","")</f>
        <v/>
      </c>
      <c r="AF1916" s="66" t="str">
        <f>IF(OR(A1916="",p_po=""),"",IF(A1916&amp;""=p_po,COUNTIF($A$6:A1916,A1916),""))</f>
        <v/>
      </c>
      <c r="AG1916" s="66" t="str">
        <f>IF(OR(AB1916="",A1916=""),"",IF(COUNTIFS($A$6:A1916,A1916,$AB$6:AB1916,"&gt;0")=1,1,""))</f>
        <v/>
      </c>
      <c r="AH1916" s="70" t="str">
        <f>IF(AB1916="","",ROUND(N(W1916)*N(J1916)*(1-N(K1916)),2))</f>
        <v/>
      </c>
      <c r="AI1916" s="70" t="str">
        <f>IF(OR(J1916="",N(T1916)&lt;=0,V1916="Oui"),"",ROUND(N(T1916)*J1916*(1-N(K1916)),2))</f>
        <v/>
      </c>
    </row>
    <row r="1917">
      <c r="A1917" s="63" t="n"/>
      <c r="B1917" s="64" t="n"/>
      <c r="C1917" s="65" t="n"/>
      <c r="D1917" s="66" t="str">
        <f>IF(C1917="","",IFERROR(INDEX(sup_name,MATCH($C1917,sup_code,0))&amp;"","Fournisseur inconnu"))</f>
        <v/>
      </c>
      <c r="E1917" s="63" t="n"/>
      <c r="F1917" s="66" t="str">
        <f>IF(E1917="","",IFERROR(INDEX(art_des,MATCH($E1917,art_ref,0))&amp;"","Article inconnu"))</f>
        <v/>
      </c>
      <c r="G1917" s="67" t="str">
        <f>IF(E1917="","",IFERROR(INDEX(art_unit,MATCH($E1917,art_ref,0))&amp;"",""))</f>
        <v/>
      </c>
      <c r="H1917" s="68" t="n"/>
      <c r="I1917" s="69" t="n"/>
      <c r="J1917" s="70" t="str">
        <f>IF(E1917="","",IF(ISNUMBER(I1917),I1917,IFERROR(IF(ISNUMBER(INDEX(art_price,MATCH($E1917,art_ref,0))),INDEX(art_price,MATCH($E1917,art_ref,0)),""),"")))</f>
        <v/>
      </c>
      <c r="K1917" s="71" t="n"/>
      <c r="L1917" s="72" t="n"/>
      <c r="M1917" s="72" t="str">
        <f>IF(E1917="","",IF(L1917&lt;&gt;"",L1917,IFERROR(IF(ISNUMBER(INDEX(art_tva,MATCH($E1917,art_ref,0))),INDEX(art_tva,MATCH($E1917,art_ref,0)),""),"")))</f>
        <v/>
      </c>
      <c r="N1917" s="70" t="str">
        <f>IF(OR(E1917="",J1917=""),"",ROUND(N(H1917)*J1917*(1-N(K1917)),2))</f>
        <v/>
      </c>
      <c r="O1917" s="70" t="str">
        <f>IF(OR(N1917="",NOT(ISNUMBER(M1917))),"",ROUND(N1917*M1917,2))</f>
        <v/>
      </c>
      <c r="P1917" s="70" t="str">
        <f>IF(N1917="","",N1917+N(O1917))</f>
        <v/>
      </c>
      <c r="Q1917" s="64" t="n"/>
      <c r="R1917" s="73" t="str">
        <f>IF(N(Q1917)&gt;0,Q1917,IF(OR(N(B1917)=0,ISNA(MATCH($C1917,sup_code,0))),"",IF(ISNUMBER(INDEX(sup_delay,MATCH($C1917,sup_code,0))),B1917+INDEX(sup_delay,MATCH($C1917,sup_code,0)),"")))</f>
        <v/>
      </c>
      <c r="S1917" s="64" t="n"/>
      <c r="T1917" s="68" t="n"/>
      <c r="U1917" s="64" t="n"/>
      <c r="V1917" s="65" t="n"/>
      <c r="W1917" s="74" t="str">
        <f>IF(AND(A1917="",E1917=""),"",IF(V1917="Oui",0,MAX(0,ROUND(N(H1917)-N(T1917),6))))</f>
        <v/>
      </c>
      <c r="X1917" s="67" t="str">
        <f>IF(AND(A1917="",E1917=""),"",IF(V1917="Oui","Annulé",IF(AND(N(H1917)&gt;0,N(T1917)&gt;=N(H1917)),"Reçu",IF(N(S1917)=0,"Brouillon",IF(AND(ISNUMBER(R1917),R1917&lt;p_today),"En retard",IF(N(T1917)&gt;0,"Partiel","Envoyé"))))))</f>
        <v/>
      </c>
      <c r="Y1917" s="75" t="str">
        <f>IF(X1917="En retard",p_today-R1917,IF(AND(X1917="Reçu",ISNUMBER(R1917)),MAX(0,N(U1917)-R1917),""))</f>
        <v/>
      </c>
      <c r="Z1917" s="67" t="str">
        <f>IF(AND(A1917="",E1917=""),"",IF(A1917="","N° de bon manquant",IF(N(B1917)=0,"Date de commande manquante",IF(C1917="","Fournisseur manquant",IF(ISNA(MATCH($C1917,sup_code,0)),"Fournisseur inconnu",IF(E1917="","Article manquant",IF(ISNA(MATCH($E1917,art_ref,0)),"Article inconnu",IF(N(H1917)&lt;=0,"Quantité invalide",IF(J1917="","Prix manquant",IF(OR(N(K1917)&lt;0,N(K1917)&gt;=1),"Remise invalide",IF(M1917="","TVA manquante",IF(ISNA(MATCH(M1917,p_tva,0)),"Taux de TVA inconnu",IF(COUNTIFS(po_num,A1917,po_sup,"&lt;&gt;"&amp;C1917)&gt;0,"Fournisseur différent sur ce bon",IF(COUNTIFS(po_num,A1917,po_date,"&lt;&gt;"&amp;B1917)&gt;0,"Date différente sur ce bon",IF(COUNTIF(po_num,A1917)&gt;25,"Plus de 25 lignes sur ce bon",IF(R1917="","Date de livraison manquante",IF(R1917&lt;B1917,"Livraison avant la commande",IF(AND(N(T1917)&gt;0,N(S1917)=0),"Date d'envoi manquante",IF(N(T1917)&gt;N(H1917),"Reçu plus que commandé",IF(AND(N(T1917)&gt;0,N(U1917)=0),"Date de réception manquante",IF(AND(N(U1917)&gt;0,U1917&lt;B1917),"Réception avant la commande","OK")))))))))))))))))))))</f>
        <v/>
      </c>
      <c r="AA1917" s="66" t="str">
        <f>IF(AND(X1917="Reçu",ISNUMBER(R1917)),IF(N(U1917)&lt;=R1917,1,0),"")</f>
        <v/>
      </c>
      <c r="AB1917" s="76" t="str">
        <f>IF(OR(X1917="Envoyé",X1917="Partiel",X1917="En retard"),IF(ISNUMBER(R1917),R1917,100000)+ROW()/100000,"")</f>
        <v/>
      </c>
      <c r="AC1917" s="66" t="str">
        <f>IF(A1917="","",IF(COUNTIF($A$6:A1917,A1917)=1,1,""))</f>
        <v/>
      </c>
      <c r="AD1917" s="66" t="str">
        <f>IF(AC1917=1,COUNT($AC$6:AC1917),"")</f>
        <v/>
      </c>
      <c r="AE1917" s="66" t="str">
        <f>IFERROR(INDEX(po_num,MATCH(1912,po_seq,0))&amp;"","")</f>
        <v/>
      </c>
      <c r="AF1917" s="66" t="str">
        <f>IF(OR(A1917="",p_po=""),"",IF(A1917&amp;""=p_po,COUNTIF($A$6:A1917,A1917),""))</f>
        <v/>
      </c>
      <c r="AG1917" s="66" t="str">
        <f>IF(OR(AB1917="",A1917=""),"",IF(COUNTIFS($A$6:A1917,A1917,$AB$6:AB1917,"&gt;0")=1,1,""))</f>
        <v/>
      </c>
      <c r="AH1917" s="70" t="str">
        <f>IF(AB1917="","",ROUND(N(W1917)*N(J1917)*(1-N(K1917)),2))</f>
        <v/>
      </c>
      <c r="AI1917" s="70" t="str">
        <f>IF(OR(J1917="",N(T1917)&lt;=0,V1917="Oui"),"",ROUND(N(T1917)*J1917*(1-N(K1917)),2))</f>
        <v/>
      </c>
    </row>
    <row r="1918">
      <c r="A1918" s="63" t="n"/>
      <c r="B1918" s="64" t="n"/>
      <c r="C1918" s="65" t="n"/>
      <c r="D1918" s="66" t="str">
        <f>IF(C1918="","",IFERROR(INDEX(sup_name,MATCH($C1918,sup_code,0))&amp;"","Fournisseur inconnu"))</f>
        <v/>
      </c>
      <c r="E1918" s="63" t="n"/>
      <c r="F1918" s="66" t="str">
        <f>IF(E1918="","",IFERROR(INDEX(art_des,MATCH($E1918,art_ref,0))&amp;"","Article inconnu"))</f>
        <v/>
      </c>
      <c r="G1918" s="67" t="str">
        <f>IF(E1918="","",IFERROR(INDEX(art_unit,MATCH($E1918,art_ref,0))&amp;"",""))</f>
        <v/>
      </c>
      <c r="H1918" s="68" t="n"/>
      <c r="I1918" s="69" t="n"/>
      <c r="J1918" s="70" t="str">
        <f>IF(E1918="","",IF(ISNUMBER(I1918),I1918,IFERROR(IF(ISNUMBER(INDEX(art_price,MATCH($E1918,art_ref,0))),INDEX(art_price,MATCH($E1918,art_ref,0)),""),"")))</f>
        <v/>
      </c>
      <c r="K1918" s="71" t="n"/>
      <c r="L1918" s="72" t="n"/>
      <c r="M1918" s="72" t="str">
        <f>IF(E1918="","",IF(L1918&lt;&gt;"",L1918,IFERROR(IF(ISNUMBER(INDEX(art_tva,MATCH($E1918,art_ref,0))),INDEX(art_tva,MATCH($E1918,art_ref,0)),""),"")))</f>
        <v/>
      </c>
      <c r="N1918" s="70" t="str">
        <f>IF(OR(E1918="",J1918=""),"",ROUND(N(H1918)*J1918*(1-N(K1918)),2))</f>
        <v/>
      </c>
      <c r="O1918" s="70" t="str">
        <f>IF(OR(N1918="",NOT(ISNUMBER(M1918))),"",ROUND(N1918*M1918,2))</f>
        <v/>
      </c>
      <c r="P1918" s="70" t="str">
        <f>IF(N1918="","",N1918+N(O1918))</f>
        <v/>
      </c>
      <c r="Q1918" s="64" t="n"/>
      <c r="R1918" s="73" t="str">
        <f>IF(N(Q1918)&gt;0,Q1918,IF(OR(N(B1918)=0,ISNA(MATCH($C1918,sup_code,0))),"",IF(ISNUMBER(INDEX(sup_delay,MATCH($C1918,sup_code,0))),B1918+INDEX(sup_delay,MATCH($C1918,sup_code,0)),"")))</f>
        <v/>
      </c>
      <c r="S1918" s="64" t="n"/>
      <c r="T1918" s="68" t="n"/>
      <c r="U1918" s="64" t="n"/>
      <c r="V1918" s="65" t="n"/>
      <c r="W1918" s="74" t="str">
        <f>IF(AND(A1918="",E1918=""),"",IF(V1918="Oui",0,MAX(0,ROUND(N(H1918)-N(T1918),6))))</f>
        <v/>
      </c>
      <c r="X1918" s="67" t="str">
        <f>IF(AND(A1918="",E1918=""),"",IF(V1918="Oui","Annulé",IF(AND(N(H1918)&gt;0,N(T1918)&gt;=N(H1918)),"Reçu",IF(N(S1918)=0,"Brouillon",IF(AND(ISNUMBER(R1918),R1918&lt;p_today),"En retard",IF(N(T1918)&gt;0,"Partiel","Envoyé"))))))</f>
        <v/>
      </c>
      <c r="Y1918" s="75" t="str">
        <f>IF(X1918="En retard",p_today-R1918,IF(AND(X1918="Reçu",ISNUMBER(R1918)),MAX(0,N(U1918)-R1918),""))</f>
        <v/>
      </c>
      <c r="Z1918" s="67" t="str">
        <f>IF(AND(A1918="",E1918=""),"",IF(A1918="","N° de bon manquant",IF(N(B1918)=0,"Date de commande manquante",IF(C1918="","Fournisseur manquant",IF(ISNA(MATCH($C1918,sup_code,0)),"Fournisseur inconnu",IF(E1918="","Article manquant",IF(ISNA(MATCH($E1918,art_ref,0)),"Article inconnu",IF(N(H1918)&lt;=0,"Quantité invalide",IF(J1918="","Prix manquant",IF(OR(N(K1918)&lt;0,N(K1918)&gt;=1),"Remise invalide",IF(M1918="","TVA manquante",IF(ISNA(MATCH(M1918,p_tva,0)),"Taux de TVA inconnu",IF(COUNTIFS(po_num,A1918,po_sup,"&lt;&gt;"&amp;C1918)&gt;0,"Fournisseur différent sur ce bon",IF(COUNTIFS(po_num,A1918,po_date,"&lt;&gt;"&amp;B1918)&gt;0,"Date différente sur ce bon",IF(COUNTIF(po_num,A1918)&gt;25,"Plus de 25 lignes sur ce bon",IF(R1918="","Date de livraison manquante",IF(R1918&lt;B1918,"Livraison avant la commande",IF(AND(N(T1918)&gt;0,N(S1918)=0),"Date d'envoi manquante",IF(N(T1918)&gt;N(H1918),"Reçu plus que commandé",IF(AND(N(T1918)&gt;0,N(U1918)=0),"Date de réception manquante",IF(AND(N(U1918)&gt;0,U1918&lt;B1918),"Réception avant la commande","OK")))))))))))))))))))))</f>
        <v/>
      </c>
      <c r="AA1918" s="66" t="str">
        <f>IF(AND(X1918="Reçu",ISNUMBER(R1918)),IF(N(U1918)&lt;=R1918,1,0),"")</f>
        <v/>
      </c>
      <c r="AB1918" s="76" t="str">
        <f>IF(OR(X1918="Envoyé",X1918="Partiel",X1918="En retard"),IF(ISNUMBER(R1918),R1918,100000)+ROW()/100000,"")</f>
        <v/>
      </c>
      <c r="AC1918" s="66" t="str">
        <f>IF(A1918="","",IF(COUNTIF($A$6:A1918,A1918)=1,1,""))</f>
        <v/>
      </c>
      <c r="AD1918" s="66" t="str">
        <f>IF(AC1918=1,COUNT($AC$6:AC1918),"")</f>
        <v/>
      </c>
      <c r="AE1918" s="66" t="str">
        <f>IFERROR(INDEX(po_num,MATCH(1913,po_seq,0))&amp;"","")</f>
        <v/>
      </c>
      <c r="AF1918" s="66" t="str">
        <f>IF(OR(A1918="",p_po=""),"",IF(A1918&amp;""=p_po,COUNTIF($A$6:A1918,A1918),""))</f>
        <v/>
      </c>
      <c r="AG1918" s="66" t="str">
        <f>IF(OR(AB1918="",A1918=""),"",IF(COUNTIFS($A$6:A1918,A1918,$AB$6:AB1918,"&gt;0")=1,1,""))</f>
        <v/>
      </c>
      <c r="AH1918" s="70" t="str">
        <f>IF(AB1918="","",ROUND(N(W1918)*N(J1918)*(1-N(K1918)),2))</f>
        <v/>
      </c>
      <c r="AI1918" s="70" t="str">
        <f>IF(OR(J1918="",N(T1918)&lt;=0,V1918="Oui"),"",ROUND(N(T1918)*J1918*(1-N(K1918)),2))</f>
        <v/>
      </c>
    </row>
    <row r="1919">
      <c r="A1919" s="63" t="n"/>
      <c r="B1919" s="64" t="n"/>
      <c r="C1919" s="65" t="n"/>
      <c r="D1919" s="66" t="str">
        <f>IF(C1919="","",IFERROR(INDEX(sup_name,MATCH($C1919,sup_code,0))&amp;"","Fournisseur inconnu"))</f>
        <v/>
      </c>
      <c r="E1919" s="63" t="n"/>
      <c r="F1919" s="66" t="str">
        <f>IF(E1919="","",IFERROR(INDEX(art_des,MATCH($E1919,art_ref,0))&amp;"","Article inconnu"))</f>
        <v/>
      </c>
      <c r="G1919" s="67" t="str">
        <f>IF(E1919="","",IFERROR(INDEX(art_unit,MATCH($E1919,art_ref,0))&amp;"",""))</f>
        <v/>
      </c>
      <c r="H1919" s="68" t="n"/>
      <c r="I1919" s="69" t="n"/>
      <c r="J1919" s="70" t="str">
        <f>IF(E1919="","",IF(ISNUMBER(I1919),I1919,IFERROR(IF(ISNUMBER(INDEX(art_price,MATCH($E1919,art_ref,0))),INDEX(art_price,MATCH($E1919,art_ref,0)),""),"")))</f>
        <v/>
      </c>
      <c r="K1919" s="71" t="n"/>
      <c r="L1919" s="72" t="n"/>
      <c r="M1919" s="72" t="str">
        <f>IF(E1919="","",IF(L1919&lt;&gt;"",L1919,IFERROR(IF(ISNUMBER(INDEX(art_tva,MATCH($E1919,art_ref,0))),INDEX(art_tva,MATCH($E1919,art_ref,0)),""),"")))</f>
        <v/>
      </c>
      <c r="N1919" s="70" t="str">
        <f>IF(OR(E1919="",J1919=""),"",ROUND(N(H1919)*J1919*(1-N(K1919)),2))</f>
        <v/>
      </c>
      <c r="O1919" s="70" t="str">
        <f>IF(OR(N1919="",NOT(ISNUMBER(M1919))),"",ROUND(N1919*M1919,2))</f>
        <v/>
      </c>
      <c r="P1919" s="70" t="str">
        <f>IF(N1919="","",N1919+N(O1919))</f>
        <v/>
      </c>
      <c r="Q1919" s="64" t="n"/>
      <c r="R1919" s="73" t="str">
        <f>IF(N(Q1919)&gt;0,Q1919,IF(OR(N(B1919)=0,ISNA(MATCH($C1919,sup_code,0))),"",IF(ISNUMBER(INDEX(sup_delay,MATCH($C1919,sup_code,0))),B1919+INDEX(sup_delay,MATCH($C1919,sup_code,0)),"")))</f>
        <v/>
      </c>
      <c r="S1919" s="64" t="n"/>
      <c r="T1919" s="68" t="n"/>
      <c r="U1919" s="64" t="n"/>
      <c r="V1919" s="65" t="n"/>
      <c r="W1919" s="74" t="str">
        <f>IF(AND(A1919="",E1919=""),"",IF(V1919="Oui",0,MAX(0,ROUND(N(H1919)-N(T1919),6))))</f>
        <v/>
      </c>
      <c r="X1919" s="67" t="str">
        <f>IF(AND(A1919="",E1919=""),"",IF(V1919="Oui","Annulé",IF(AND(N(H1919)&gt;0,N(T1919)&gt;=N(H1919)),"Reçu",IF(N(S1919)=0,"Brouillon",IF(AND(ISNUMBER(R1919),R1919&lt;p_today),"En retard",IF(N(T1919)&gt;0,"Partiel","Envoyé"))))))</f>
        <v/>
      </c>
      <c r="Y1919" s="75" t="str">
        <f>IF(X1919="En retard",p_today-R1919,IF(AND(X1919="Reçu",ISNUMBER(R1919)),MAX(0,N(U1919)-R1919),""))</f>
        <v/>
      </c>
      <c r="Z1919" s="67" t="str">
        <f>IF(AND(A1919="",E1919=""),"",IF(A1919="","N° de bon manquant",IF(N(B1919)=0,"Date de commande manquante",IF(C1919="","Fournisseur manquant",IF(ISNA(MATCH($C1919,sup_code,0)),"Fournisseur inconnu",IF(E1919="","Article manquant",IF(ISNA(MATCH($E1919,art_ref,0)),"Article inconnu",IF(N(H1919)&lt;=0,"Quantité invalide",IF(J1919="","Prix manquant",IF(OR(N(K1919)&lt;0,N(K1919)&gt;=1),"Remise invalide",IF(M1919="","TVA manquante",IF(ISNA(MATCH(M1919,p_tva,0)),"Taux de TVA inconnu",IF(COUNTIFS(po_num,A1919,po_sup,"&lt;&gt;"&amp;C1919)&gt;0,"Fournisseur différent sur ce bon",IF(COUNTIFS(po_num,A1919,po_date,"&lt;&gt;"&amp;B1919)&gt;0,"Date différente sur ce bon",IF(COUNTIF(po_num,A1919)&gt;25,"Plus de 25 lignes sur ce bon",IF(R1919="","Date de livraison manquante",IF(R1919&lt;B1919,"Livraison avant la commande",IF(AND(N(T1919)&gt;0,N(S1919)=0),"Date d'envoi manquante",IF(N(T1919)&gt;N(H1919),"Reçu plus que commandé",IF(AND(N(T1919)&gt;0,N(U1919)=0),"Date de réception manquante",IF(AND(N(U1919)&gt;0,U1919&lt;B1919),"Réception avant la commande","OK")))))))))))))))))))))</f>
        <v/>
      </c>
      <c r="AA1919" s="66" t="str">
        <f>IF(AND(X1919="Reçu",ISNUMBER(R1919)),IF(N(U1919)&lt;=R1919,1,0),"")</f>
        <v/>
      </c>
      <c r="AB1919" s="76" t="str">
        <f>IF(OR(X1919="Envoyé",X1919="Partiel",X1919="En retard"),IF(ISNUMBER(R1919),R1919,100000)+ROW()/100000,"")</f>
        <v/>
      </c>
      <c r="AC1919" s="66" t="str">
        <f>IF(A1919="","",IF(COUNTIF($A$6:A1919,A1919)=1,1,""))</f>
        <v/>
      </c>
      <c r="AD1919" s="66" t="str">
        <f>IF(AC1919=1,COUNT($AC$6:AC1919),"")</f>
        <v/>
      </c>
      <c r="AE1919" s="66" t="str">
        <f>IFERROR(INDEX(po_num,MATCH(1914,po_seq,0))&amp;"","")</f>
        <v/>
      </c>
      <c r="AF1919" s="66" t="str">
        <f>IF(OR(A1919="",p_po=""),"",IF(A1919&amp;""=p_po,COUNTIF($A$6:A1919,A1919),""))</f>
        <v/>
      </c>
      <c r="AG1919" s="66" t="str">
        <f>IF(OR(AB1919="",A1919=""),"",IF(COUNTIFS($A$6:A1919,A1919,$AB$6:AB1919,"&gt;0")=1,1,""))</f>
        <v/>
      </c>
      <c r="AH1919" s="70" t="str">
        <f>IF(AB1919="","",ROUND(N(W1919)*N(J1919)*(1-N(K1919)),2))</f>
        <v/>
      </c>
      <c r="AI1919" s="70" t="str">
        <f>IF(OR(J1919="",N(T1919)&lt;=0,V1919="Oui"),"",ROUND(N(T1919)*J1919*(1-N(K1919)),2))</f>
        <v/>
      </c>
    </row>
    <row r="1920">
      <c r="A1920" s="63" t="n"/>
      <c r="B1920" s="64" t="n"/>
      <c r="C1920" s="65" t="n"/>
      <c r="D1920" s="66" t="str">
        <f>IF(C1920="","",IFERROR(INDEX(sup_name,MATCH($C1920,sup_code,0))&amp;"","Fournisseur inconnu"))</f>
        <v/>
      </c>
      <c r="E1920" s="63" t="n"/>
      <c r="F1920" s="66" t="str">
        <f>IF(E1920="","",IFERROR(INDEX(art_des,MATCH($E1920,art_ref,0))&amp;"","Article inconnu"))</f>
        <v/>
      </c>
      <c r="G1920" s="67" t="str">
        <f>IF(E1920="","",IFERROR(INDEX(art_unit,MATCH($E1920,art_ref,0))&amp;"",""))</f>
        <v/>
      </c>
      <c r="H1920" s="68" t="n"/>
      <c r="I1920" s="69" t="n"/>
      <c r="J1920" s="70" t="str">
        <f>IF(E1920="","",IF(ISNUMBER(I1920),I1920,IFERROR(IF(ISNUMBER(INDEX(art_price,MATCH($E1920,art_ref,0))),INDEX(art_price,MATCH($E1920,art_ref,0)),""),"")))</f>
        <v/>
      </c>
      <c r="K1920" s="71" t="n"/>
      <c r="L1920" s="72" t="n"/>
      <c r="M1920" s="72" t="str">
        <f>IF(E1920="","",IF(L1920&lt;&gt;"",L1920,IFERROR(IF(ISNUMBER(INDEX(art_tva,MATCH($E1920,art_ref,0))),INDEX(art_tva,MATCH($E1920,art_ref,0)),""),"")))</f>
        <v/>
      </c>
      <c r="N1920" s="70" t="str">
        <f>IF(OR(E1920="",J1920=""),"",ROUND(N(H1920)*J1920*(1-N(K1920)),2))</f>
        <v/>
      </c>
      <c r="O1920" s="70" t="str">
        <f>IF(OR(N1920="",NOT(ISNUMBER(M1920))),"",ROUND(N1920*M1920,2))</f>
        <v/>
      </c>
      <c r="P1920" s="70" t="str">
        <f>IF(N1920="","",N1920+N(O1920))</f>
        <v/>
      </c>
      <c r="Q1920" s="64" t="n"/>
      <c r="R1920" s="73" t="str">
        <f>IF(N(Q1920)&gt;0,Q1920,IF(OR(N(B1920)=0,ISNA(MATCH($C1920,sup_code,0))),"",IF(ISNUMBER(INDEX(sup_delay,MATCH($C1920,sup_code,0))),B1920+INDEX(sup_delay,MATCH($C1920,sup_code,0)),"")))</f>
        <v/>
      </c>
      <c r="S1920" s="64" t="n"/>
      <c r="T1920" s="68" t="n"/>
      <c r="U1920" s="64" t="n"/>
      <c r="V1920" s="65" t="n"/>
      <c r="W1920" s="74" t="str">
        <f>IF(AND(A1920="",E1920=""),"",IF(V1920="Oui",0,MAX(0,ROUND(N(H1920)-N(T1920),6))))</f>
        <v/>
      </c>
      <c r="X1920" s="67" t="str">
        <f>IF(AND(A1920="",E1920=""),"",IF(V1920="Oui","Annulé",IF(AND(N(H1920)&gt;0,N(T1920)&gt;=N(H1920)),"Reçu",IF(N(S1920)=0,"Brouillon",IF(AND(ISNUMBER(R1920),R1920&lt;p_today),"En retard",IF(N(T1920)&gt;0,"Partiel","Envoyé"))))))</f>
        <v/>
      </c>
      <c r="Y1920" s="75" t="str">
        <f>IF(X1920="En retard",p_today-R1920,IF(AND(X1920="Reçu",ISNUMBER(R1920)),MAX(0,N(U1920)-R1920),""))</f>
        <v/>
      </c>
      <c r="Z1920" s="67" t="str">
        <f>IF(AND(A1920="",E1920=""),"",IF(A1920="","N° de bon manquant",IF(N(B1920)=0,"Date de commande manquante",IF(C1920="","Fournisseur manquant",IF(ISNA(MATCH($C1920,sup_code,0)),"Fournisseur inconnu",IF(E1920="","Article manquant",IF(ISNA(MATCH($E1920,art_ref,0)),"Article inconnu",IF(N(H1920)&lt;=0,"Quantité invalide",IF(J1920="","Prix manquant",IF(OR(N(K1920)&lt;0,N(K1920)&gt;=1),"Remise invalide",IF(M1920="","TVA manquante",IF(ISNA(MATCH(M1920,p_tva,0)),"Taux de TVA inconnu",IF(COUNTIFS(po_num,A1920,po_sup,"&lt;&gt;"&amp;C1920)&gt;0,"Fournisseur différent sur ce bon",IF(COUNTIFS(po_num,A1920,po_date,"&lt;&gt;"&amp;B1920)&gt;0,"Date différente sur ce bon",IF(COUNTIF(po_num,A1920)&gt;25,"Plus de 25 lignes sur ce bon",IF(R1920="","Date de livraison manquante",IF(R1920&lt;B1920,"Livraison avant la commande",IF(AND(N(T1920)&gt;0,N(S1920)=0),"Date d'envoi manquante",IF(N(T1920)&gt;N(H1920),"Reçu plus que commandé",IF(AND(N(T1920)&gt;0,N(U1920)=0),"Date de réception manquante",IF(AND(N(U1920)&gt;0,U1920&lt;B1920),"Réception avant la commande","OK")))))))))))))))))))))</f>
        <v/>
      </c>
      <c r="AA1920" s="66" t="str">
        <f>IF(AND(X1920="Reçu",ISNUMBER(R1920)),IF(N(U1920)&lt;=R1920,1,0),"")</f>
        <v/>
      </c>
      <c r="AB1920" s="76" t="str">
        <f>IF(OR(X1920="Envoyé",X1920="Partiel",X1920="En retard"),IF(ISNUMBER(R1920),R1920,100000)+ROW()/100000,"")</f>
        <v/>
      </c>
      <c r="AC1920" s="66" t="str">
        <f>IF(A1920="","",IF(COUNTIF($A$6:A1920,A1920)=1,1,""))</f>
        <v/>
      </c>
      <c r="AD1920" s="66" t="str">
        <f>IF(AC1920=1,COUNT($AC$6:AC1920),"")</f>
        <v/>
      </c>
      <c r="AE1920" s="66" t="str">
        <f>IFERROR(INDEX(po_num,MATCH(1915,po_seq,0))&amp;"","")</f>
        <v/>
      </c>
      <c r="AF1920" s="66" t="str">
        <f>IF(OR(A1920="",p_po=""),"",IF(A1920&amp;""=p_po,COUNTIF($A$6:A1920,A1920),""))</f>
        <v/>
      </c>
      <c r="AG1920" s="66" t="str">
        <f>IF(OR(AB1920="",A1920=""),"",IF(COUNTIFS($A$6:A1920,A1920,$AB$6:AB1920,"&gt;0")=1,1,""))</f>
        <v/>
      </c>
      <c r="AH1920" s="70" t="str">
        <f>IF(AB1920="","",ROUND(N(W1920)*N(J1920)*(1-N(K1920)),2))</f>
        <v/>
      </c>
      <c r="AI1920" s="70" t="str">
        <f>IF(OR(J1920="",N(T1920)&lt;=0,V1920="Oui"),"",ROUND(N(T1920)*J1920*(1-N(K1920)),2))</f>
        <v/>
      </c>
    </row>
    <row r="1921">
      <c r="A1921" s="63" t="n"/>
      <c r="B1921" s="64" t="n"/>
      <c r="C1921" s="65" t="n"/>
      <c r="D1921" s="66" t="str">
        <f>IF(C1921="","",IFERROR(INDEX(sup_name,MATCH($C1921,sup_code,0))&amp;"","Fournisseur inconnu"))</f>
        <v/>
      </c>
      <c r="E1921" s="63" t="n"/>
      <c r="F1921" s="66" t="str">
        <f>IF(E1921="","",IFERROR(INDEX(art_des,MATCH($E1921,art_ref,0))&amp;"","Article inconnu"))</f>
        <v/>
      </c>
      <c r="G1921" s="67" t="str">
        <f>IF(E1921="","",IFERROR(INDEX(art_unit,MATCH($E1921,art_ref,0))&amp;"",""))</f>
        <v/>
      </c>
      <c r="H1921" s="68" t="n"/>
      <c r="I1921" s="69" t="n"/>
      <c r="J1921" s="70" t="str">
        <f>IF(E1921="","",IF(ISNUMBER(I1921),I1921,IFERROR(IF(ISNUMBER(INDEX(art_price,MATCH($E1921,art_ref,0))),INDEX(art_price,MATCH($E1921,art_ref,0)),""),"")))</f>
        <v/>
      </c>
      <c r="K1921" s="71" t="n"/>
      <c r="L1921" s="72" t="n"/>
      <c r="M1921" s="72" t="str">
        <f>IF(E1921="","",IF(L1921&lt;&gt;"",L1921,IFERROR(IF(ISNUMBER(INDEX(art_tva,MATCH($E1921,art_ref,0))),INDEX(art_tva,MATCH($E1921,art_ref,0)),""),"")))</f>
        <v/>
      </c>
      <c r="N1921" s="70" t="str">
        <f>IF(OR(E1921="",J1921=""),"",ROUND(N(H1921)*J1921*(1-N(K1921)),2))</f>
        <v/>
      </c>
      <c r="O1921" s="70" t="str">
        <f>IF(OR(N1921="",NOT(ISNUMBER(M1921))),"",ROUND(N1921*M1921,2))</f>
        <v/>
      </c>
      <c r="P1921" s="70" t="str">
        <f>IF(N1921="","",N1921+N(O1921))</f>
        <v/>
      </c>
      <c r="Q1921" s="64" t="n"/>
      <c r="R1921" s="73" t="str">
        <f>IF(N(Q1921)&gt;0,Q1921,IF(OR(N(B1921)=0,ISNA(MATCH($C1921,sup_code,0))),"",IF(ISNUMBER(INDEX(sup_delay,MATCH($C1921,sup_code,0))),B1921+INDEX(sup_delay,MATCH($C1921,sup_code,0)),"")))</f>
        <v/>
      </c>
      <c r="S1921" s="64" t="n"/>
      <c r="T1921" s="68" t="n"/>
      <c r="U1921" s="64" t="n"/>
      <c r="V1921" s="65" t="n"/>
      <c r="W1921" s="74" t="str">
        <f>IF(AND(A1921="",E1921=""),"",IF(V1921="Oui",0,MAX(0,ROUND(N(H1921)-N(T1921),6))))</f>
        <v/>
      </c>
      <c r="X1921" s="67" t="str">
        <f>IF(AND(A1921="",E1921=""),"",IF(V1921="Oui","Annulé",IF(AND(N(H1921)&gt;0,N(T1921)&gt;=N(H1921)),"Reçu",IF(N(S1921)=0,"Brouillon",IF(AND(ISNUMBER(R1921),R1921&lt;p_today),"En retard",IF(N(T1921)&gt;0,"Partiel","Envoyé"))))))</f>
        <v/>
      </c>
      <c r="Y1921" s="75" t="str">
        <f>IF(X1921="En retard",p_today-R1921,IF(AND(X1921="Reçu",ISNUMBER(R1921)),MAX(0,N(U1921)-R1921),""))</f>
        <v/>
      </c>
      <c r="Z1921" s="67" t="str">
        <f>IF(AND(A1921="",E1921=""),"",IF(A1921="","N° de bon manquant",IF(N(B1921)=0,"Date de commande manquante",IF(C1921="","Fournisseur manquant",IF(ISNA(MATCH($C1921,sup_code,0)),"Fournisseur inconnu",IF(E1921="","Article manquant",IF(ISNA(MATCH($E1921,art_ref,0)),"Article inconnu",IF(N(H1921)&lt;=0,"Quantité invalide",IF(J1921="","Prix manquant",IF(OR(N(K1921)&lt;0,N(K1921)&gt;=1),"Remise invalide",IF(M1921="","TVA manquante",IF(ISNA(MATCH(M1921,p_tva,0)),"Taux de TVA inconnu",IF(COUNTIFS(po_num,A1921,po_sup,"&lt;&gt;"&amp;C1921)&gt;0,"Fournisseur différent sur ce bon",IF(COUNTIFS(po_num,A1921,po_date,"&lt;&gt;"&amp;B1921)&gt;0,"Date différente sur ce bon",IF(COUNTIF(po_num,A1921)&gt;25,"Plus de 25 lignes sur ce bon",IF(R1921="","Date de livraison manquante",IF(R1921&lt;B1921,"Livraison avant la commande",IF(AND(N(T1921)&gt;0,N(S1921)=0),"Date d'envoi manquante",IF(N(T1921)&gt;N(H1921),"Reçu plus que commandé",IF(AND(N(T1921)&gt;0,N(U1921)=0),"Date de réception manquante",IF(AND(N(U1921)&gt;0,U1921&lt;B1921),"Réception avant la commande","OK")))))))))))))))))))))</f>
        <v/>
      </c>
      <c r="AA1921" s="66" t="str">
        <f>IF(AND(X1921="Reçu",ISNUMBER(R1921)),IF(N(U1921)&lt;=R1921,1,0),"")</f>
        <v/>
      </c>
      <c r="AB1921" s="76" t="str">
        <f>IF(OR(X1921="Envoyé",X1921="Partiel",X1921="En retard"),IF(ISNUMBER(R1921),R1921,100000)+ROW()/100000,"")</f>
        <v/>
      </c>
      <c r="AC1921" s="66" t="str">
        <f>IF(A1921="","",IF(COUNTIF($A$6:A1921,A1921)=1,1,""))</f>
        <v/>
      </c>
      <c r="AD1921" s="66" t="str">
        <f>IF(AC1921=1,COUNT($AC$6:AC1921),"")</f>
        <v/>
      </c>
      <c r="AE1921" s="66" t="str">
        <f>IFERROR(INDEX(po_num,MATCH(1916,po_seq,0))&amp;"","")</f>
        <v/>
      </c>
      <c r="AF1921" s="66" t="str">
        <f>IF(OR(A1921="",p_po=""),"",IF(A1921&amp;""=p_po,COUNTIF($A$6:A1921,A1921),""))</f>
        <v/>
      </c>
      <c r="AG1921" s="66" t="str">
        <f>IF(OR(AB1921="",A1921=""),"",IF(COUNTIFS($A$6:A1921,A1921,$AB$6:AB1921,"&gt;0")=1,1,""))</f>
        <v/>
      </c>
      <c r="AH1921" s="70" t="str">
        <f>IF(AB1921="","",ROUND(N(W1921)*N(J1921)*(1-N(K1921)),2))</f>
        <v/>
      </c>
      <c r="AI1921" s="70" t="str">
        <f>IF(OR(J1921="",N(T1921)&lt;=0,V1921="Oui"),"",ROUND(N(T1921)*J1921*(1-N(K1921)),2))</f>
        <v/>
      </c>
    </row>
    <row r="1922">
      <c r="A1922" s="63" t="n"/>
      <c r="B1922" s="64" t="n"/>
      <c r="C1922" s="65" t="n"/>
      <c r="D1922" s="66" t="str">
        <f>IF(C1922="","",IFERROR(INDEX(sup_name,MATCH($C1922,sup_code,0))&amp;"","Fournisseur inconnu"))</f>
        <v/>
      </c>
      <c r="E1922" s="63" t="n"/>
      <c r="F1922" s="66" t="str">
        <f>IF(E1922="","",IFERROR(INDEX(art_des,MATCH($E1922,art_ref,0))&amp;"","Article inconnu"))</f>
        <v/>
      </c>
      <c r="G1922" s="67" t="str">
        <f>IF(E1922="","",IFERROR(INDEX(art_unit,MATCH($E1922,art_ref,0))&amp;"",""))</f>
        <v/>
      </c>
      <c r="H1922" s="68" t="n"/>
      <c r="I1922" s="69" t="n"/>
      <c r="J1922" s="70" t="str">
        <f>IF(E1922="","",IF(ISNUMBER(I1922),I1922,IFERROR(IF(ISNUMBER(INDEX(art_price,MATCH($E1922,art_ref,0))),INDEX(art_price,MATCH($E1922,art_ref,0)),""),"")))</f>
        <v/>
      </c>
      <c r="K1922" s="71" t="n"/>
      <c r="L1922" s="72" t="n"/>
      <c r="M1922" s="72" t="str">
        <f>IF(E1922="","",IF(L1922&lt;&gt;"",L1922,IFERROR(IF(ISNUMBER(INDEX(art_tva,MATCH($E1922,art_ref,0))),INDEX(art_tva,MATCH($E1922,art_ref,0)),""),"")))</f>
        <v/>
      </c>
      <c r="N1922" s="70" t="str">
        <f>IF(OR(E1922="",J1922=""),"",ROUND(N(H1922)*J1922*(1-N(K1922)),2))</f>
        <v/>
      </c>
      <c r="O1922" s="70" t="str">
        <f>IF(OR(N1922="",NOT(ISNUMBER(M1922))),"",ROUND(N1922*M1922,2))</f>
        <v/>
      </c>
      <c r="P1922" s="70" t="str">
        <f>IF(N1922="","",N1922+N(O1922))</f>
        <v/>
      </c>
      <c r="Q1922" s="64" t="n"/>
      <c r="R1922" s="73" t="str">
        <f>IF(N(Q1922)&gt;0,Q1922,IF(OR(N(B1922)=0,ISNA(MATCH($C1922,sup_code,0))),"",IF(ISNUMBER(INDEX(sup_delay,MATCH($C1922,sup_code,0))),B1922+INDEX(sup_delay,MATCH($C1922,sup_code,0)),"")))</f>
        <v/>
      </c>
      <c r="S1922" s="64" t="n"/>
      <c r="T1922" s="68" t="n"/>
      <c r="U1922" s="64" t="n"/>
      <c r="V1922" s="65" t="n"/>
      <c r="W1922" s="74" t="str">
        <f>IF(AND(A1922="",E1922=""),"",IF(V1922="Oui",0,MAX(0,ROUND(N(H1922)-N(T1922),6))))</f>
        <v/>
      </c>
      <c r="X1922" s="67" t="str">
        <f>IF(AND(A1922="",E1922=""),"",IF(V1922="Oui","Annulé",IF(AND(N(H1922)&gt;0,N(T1922)&gt;=N(H1922)),"Reçu",IF(N(S1922)=0,"Brouillon",IF(AND(ISNUMBER(R1922),R1922&lt;p_today),"En retard",IF(N(T1922)&gt;0,"Partiel","Envoyé"))))))</f>
        <v/>
      </c>
      <c r="Y1922" s="75" t="str">
        <f>IF(X1922="En retard",p_today-R1922,IF(AND(X1922="Reçu",ISNUMBER(R1922)),MAX(0,N(U1922)-R1922),""))</f>
        <v/>
      </c>
      <c r="Z1922" s="67" t="str">
        <f>IF(AND(A1922="",E1922=""),"",IF(A1922="","N° de bon manquant",IF(N(B1922)=0,"Date de commande manquante",IF(C1922="","Fournisseur manquant",IF(ISNA(MATCH($C1922,sup_code,0)),"Fournisseur inconnu",IF(E1922="","Article manquant",IF(ISNA(MATCH($E1922,art_ref,0)),"Article inconnu",IF(N(H1922)&lt;=0,"Quantité invalide",IF(J1922="","Prix manquant",IF(OR(N(K1922)&lt;0,N(K1922)&gt;=1),"Remise invalide",IF(M1922="","TVA manquante",IF(ISNA(MATCH(M1922,p_tva,0)),"Taux de TVA inconnu",IF(COUNTIFS(po_num,A1922,po_sup,"&lt;&gt;"&amp;C1922)&gt;0,"Fournisseur différent sur ce bon",IF(COUNTIFS(po_num,A1922,po_date,"&lt;&gt;"&amp;B1922)&gt;0,"Date différente sur ce bon",IF(COUNTIF(po_num,A1922)&gt;25,"Plus de 25 lignes sur ce bon",IF(R1922="","Date de livraison manquante",IF(R1922&lt;B1922,"Livraison avant la commande",IF(AND(N(T1922)&gt;0,N(S1922)=0),"Date d'envoi manquante",IF(N(T1922)&gt;N(H1922),"Reçu plus que commandé",IF(AND(N(T1922)&gt;0,N(U1922)=0),"Date de réception manquante",IF(AND(N(U1922)&gt;0,U1922&lt;B1922),"Réception avant la commande","OK")))))))))))))))))))))</f>
        <v/>
      </c>
      <c r="AA1922" s="66" t="str">
        <f>IF(AND(X1922="Reçu",ISNUMBER(R1922)),IF(N(U1922)&lt;=R1922,1,0),"")</f>
        <v/>
      </c>
      <c r="AB1922" s="76" t="str">
        <f>IF(OR(X1922="Envoyé",X1922="Partiel",X1922="En retard"),IF(ISNUMBER(R1922),R1922,100000)+ROW()/100000,"")</f>
        <v/>
      </c>
      <c r="AC1922" s="66" t="str">
        <f>IF(A1922="","",IF(COUNTIF($A$6:A1922,A1922)=1,1,""))</f>
        <v/>
      </c>
      <c r="AD1922" s="66" t="str">
        <f>IF(AC1922=1,COUNT($AC$6:AC1922),"")</f>
        <v/>
      </c>
      <c r="AE1922" s="66" t="str">
        <f>IFERROR(INDEX(po_num,MATCH(1917,po_seq,0))&amp;"","")</f>
        <v/>
      </c>
      <c r="AF1922" s="66" t="str">
        <f>IF(OR(A1922="",p_po=""),"",IF(A1922&amp;""=p_po,COUNTIF($A$6:A1922,A1922),""))</f>
        <v/>
      </c>
      <c r="AG1922" s="66" t="str">
        <f>IF(OR(AB1922="",A1922=""),"",IF(COUNTIFS($A$6:A1922,A1922,$AB$6:AB1922,"&gt;0")=1,1,""))</f>
        <v/>
      </c>
      <c r="AH1922" s="70" t="str">
        <f>IF(AB1922="","",ROUND(N(W1922)*N(J1922)*(1-N(K1922)),2))</f>
        <v/>
      </c>
      <c r="AI1922" s="70" t="str">
        <f>IF(OR(J1922="",N(T1922)&lt;=0,V1922="Oui"),"",ROUND(N(T1922)*J1922*(1-N(K1922)),2))</f>
        <v/>
      </c>
    </row>
    <row r="1923">
      <c r="A1923" s="63" t="n"/>
      <c r="B1923" s="64" t="n"/>
      <c r="C1923" s="65" t="n"/>
      <c r="D1923" s="66" t="str">
        <f>IF(C1923="","",IFERROR(INDEX(sup_name,MATCH($C1923,sup_code,0))&amp;"","Fournisseur inconnu"))</f>
        <v/>
      </c>
      <c r="E1923" s="63" t="n"/>
      <c r="F1923" s="66" t="str">
        <f>IF(E1923="","",IFERROR(INDEX(art_des,MATCH($E1923,art_ref,0))&amp;"","Article inconnu"))</f>
        <v/>
      </c>
      <c r="G1923" s="67" t="str">
        <f>IF(E1923="","",IFERROR(INDEX(art_unit,MATCH($E1923,art_ref,0))&amp;"",""))</f>
        <v/>
      </c>
      <c r="H1923" s="68" t="n"/>
      <c r="I1923" s="69" t="n"/>
      <c r="J1923" s="70" t="str">
        <f>IF(E1923="","",IF(ISNUMBER(I1923),I1923,IFERROR(IF(ISNUMBER(INDEX(art_price,MATCH($E1923,art_ref,0))),INDEX(art_price,MATCH($E1923,art_ref,0)),""),"")))</f>
        <v/>
      </c>
      <c r="K1923" s="71" t="n"/>
      <c r="L1923" s="72" t="n"/>
      <c r="M1923" s="72" t="str">
        <f>IF(E1923="","",IF(L1923&lt;&gt;"",L1923,IFERROR(IF(ISNUMBER(INDEX(art_tva,MATCH($E1923,art_ref,0))),INDEX(art_tva,MATCH($E1923,art_ref,0)),""),"")))</f>
        <v/>
      </c>
      <c r="N1923" s="70" t="str">
        <f>IF(OR(E1923="",J1923=""),"",ROUND(N(H1923)*J1923*(1-N(K1923)),2))</f>
        <v/>
      </c>
      <c r="O1923" s="70" t="str">
        <f>IF(OR(N1923="",NOT(ISNUMBER(M1923))),"",ROUND(N1923*M1923,2))</f>
        <v/>
      </c>
      <c r="P1923" s="70" t="str">
        <f>IF(N1923="","",N1923+N(O1923))</f>
        <v/>
      </c>
      <c r="Q1923" s="64" t="n"/>
      <c r="R1923" s="73" t="str">
        <f>IF(N(Q1923)&gt;0,Q1923,IF(OR(N(B1923)=0,ISNA(MATCH($C1923,sup_code,0))),"",IF(ISNUMBER(INDEX(sup_delay,MATCH($C1923,sup_code,0))),B1923+INDEX(sup_delay,MATCH($C1923,sup_code,0)),"")))</f>
        <v/>
      </c>
      <c r="S1923" s="64" t="n"/>
      <c r="T1923" s="68" t="n"/>
      <c r="U1923" s="64" t="n"/>
      <c r="V1923" s="65" t="n"/>
      <c r="W1923" s="74" t="str">
        <f>IF(AND(A1923="",E1923=""),"",IF(V1923="Oui",0,MAX(0,ROUND(N(H1923)-N(T1923),6))))</f>
        <v/>
      </c>
      <c r="X1923" s="67" t="str">
        <f>IF(AND(A1923="",E1923=""),"",IF(V1923="Oui","Annulé",IF(AND(N(H1923)&gt;0,N(T1923)&gt;=N(H1923)),"Reçu",IF(N(S1923)=0,"Brouillon",IF(AND(ISNUMBER(R1923),R1923&lt;p_today),"En retard",IF(N(T1923)&gt;0,"Partiel","Envoyé"))))))</f>
        <v/>
      </c>
      <c r="Y1923" s="75" t="str">
        <f>IF(X1923="En retard",p_today-R1923,IF(AND(X1923="Reçu",ISNUMBER(R1923)),MAX(0,N(U1923)-R1923),""))</f>
        <v/>
      </c>
      <c r="Z1923" s="67" t="str">
        <f>IF(AND(A1923="",E1923=""),"",IF(A1923="","N° de bon manquant",IF(N(B1923)=0,"Date de commande manquante",IF(C1923="","Fournisseur manquant",IF(ISNA(MATCH($C1923,sup_code,0)),"Fournisseur inconnu",IF(E1923="","Article manquant",IF(ISNA(MATCH($E1923,art_ref,0)),"Article inconnu",IF(N(H1923)&lt;=0,"Quantité invalide",IF(J1923="","Prix manquant",IF(OR(N(K1923)&lt;0,N(K1923)&gt;=1),"Remise invalide",IF(M1923="","TVA manquante",IF(ISNA(MATCH(M1923,p_tva,0)),"Taux de TVA inconnu",IF(COUNTIFS(po_num,A1923,po_sup,"&lt;&gt;"&amp;C1923)&gt;0,"Fournisseur différent sur ce bon",IF(COUNTIFS(po_num,A1923,po_date,"&lt;&gt;"&amp;B1923)&gt;0,"Date différente sur ce bon",IF(COUNTIF(po_num,A1923)&gt;25,"Plus de 25 lignes sur ce bon",IF(R1923="","Date de livraison manquante",IF(R1923&lt;B1923,"Livraison avant la commande",IF(AND(N(T1923)&gt;0,N(S1923)=0),"Date d'envoi manquante",IF(N(T1923)&gt;N(H1923),"Reçu plus que commandé",IF(AND(N(T1923)&gt;0,N(U1923)=0),"Date de réception manquante",IF(AND(N(U1923)&gt;0,U1923&lt;B1923),"Réception avant la commande","OK")))))))))))))))))))))</f>
        <v/>
      </c>
      <c r="AA1923" s="66" t="str">
        <f>IF(AND(X1923="Reçu",ISNUMBER(R1923)),IF(N(U1923)&lt;=R1923,1,0),"")</f>
        <v/>
      </c>
      <c r="AB1923" s="76" t="str">
        <f>IF(OR(X1923="Envoyé",X1923="Partiel",X1923="En retard"),IF(ISNUMBER(R1923),R1923,100000)+ROW()/100000,"")</f>
        <v/>
      </c>
      <c r="AC1923" s="66" t="str">
        <f>IF(A1923="","",IF(COUNTIF($A$6:A1923,A1923)=1,1,""))</f>
        <v/>
      </c>
      <c r="AD1923" s="66" t="str">
        <f>IF(AC1923=1,COUNT($AC$6:AC1923),"")</f>
        <v/>
      </c>
      <c r="AE1923" s="66" t="str">
        <f>IFERROR(INDEX(po_num,MATCH(1918,po_seq,0))&amp;"","")</f>
        <v/>
      </c>
      <c r="AF1923" s="66" t="str">
        <f>IF(OR(A1923="",p_po=""),"",IF(A1923&amp;""=p_po,COUNTIF($A$6:A1923,A1923),""))</f>
        <v/>
      </c>
      <c r="AG1923" s="66" t="str">
        <f>IF(OR(AB1923="",A1923=""),"",IF(COUNTIFS($A$6:A1923,A1923,$AB$6:AB1923,"&gt;0")=1,1,""))</f>
        <v/>
      </c>
      <c r="AH1923" s="70" t="str">
        <f>IF(AB1923="","",ROUND(N(W1923)*N(J1923)*(1-N(K1923)),2))</f>
        <v/>
      </c>
      <c r="AI1923" s="70" t="str">
        <f>IF(OR(J1923="",N(T1923)&lt;=0,V1923="Oui"),"",ROUND(N(T1923)*J1923*(1-N(K1923)),2))</f>
        <v/>
      </c>
    </row>
    <row r="1924">
      <c r="A1924" s="63" t="n"/>
      <c r="B1924" s="64" t="n"/>
      <c r="C1924" s="65" t="n"/>
      <c r="D1924" s="66" t="str">
        <f>IF(C1924="","",IFERROR(INDEX(sup_name,MATCH($C1924,sup_code,0))&amp;"","Fournisseur inconnu"))</f>
        <v/>
      </c>
      <c r="E1924" s="63" t="n"/>
      <c r="F1924" s="66" t="str">
        <f>IF(E1924="","",IFERROR(INDEX(art_des,MATCH($E1924,art_ref,0))&amp;"","Article inconnu"))</f>
        <v/>
      </c>
      <c r="G1924" s="67" t="str">
        <f>IF(E1924="","",IFERROR(INDEX(art_unit,MATCH($E1924,art_ref,0))&amp;"",""))</f>
        <v/>
      </c>
      <c r="H1924" s="68" t="n"/>
      <c r="I1924" s="69" t="n"/>
      <c r="J1924" s="70" t="str">
        <f>IF(E1924="","",IF(ISNUMBER(I1924),I1924,IFERROR(IF(ISNUMBER(INDEX(art_price,MATCH($E1924,art_ref,0))),INDEX(art_price,MATCH($E1924,art_ref,0)),""),"")))</f>
        <v/>
      </c>
      <c r="K1924" s="71" t="n"/>
      <c r="L1924" s="72" t="n"/>
      <c r="M1924" s="72" t="str">
        <f>IF(E1924="","",IF(L1924&lt;&gt;"",L1924,IFERROR(IF(ISNUMBER(INDEX(art_tva,MATCH($E1924,art_ref,0))),INDEX(art_tva,MATCH($E1924,art_ref,0)),""),"")))</f>
        <v/>
      </c>
      <c r="N1924" s="70" t="str">
        <f>IF(OR(E1924="",J1924=""),"",ROUND(N(H1924)*J1924*(1-N(K1924)),2))</f>
        <v/>
      </c>
      <c r="O1924" s="70" t="str">
        <f>IF(OR(N1924="",NOT(ISNUMBER(M1924))),"",ROUND(N1924*M1924,2))</f>
        <v/>
      </c>
      <c r="P1924" s="70" t="str">
        <f>IF(N1924="","",N1924+N(O1924))</f>
        <v/>
      </c>
      <c r="Q1924" s="64" t="n"/>
      <c r="R1924" s="73" t="str">
        <f>IF(N(Q1924)&gt;0,Q1924,IF(OR(N(B1924)=0,ISNA(MATCH($C1924,sup_code,0))),"",IF(ISNUMBER(INDEX(sup_delay,MATCH($C1924,sup_code,0))),B1924+INDEX(sup_delay,MATCH($C1924,sup_code,0)),"")))</f>
        <v/>
      </c>
      <c r="S1924" s="64" t="n"/>
      <c r="T1924" s="68" t="n"/>
      <c r="U1924" s="64" t="n"/>
      <c r="V1924" s="65" t="n"/>
      <c r="W1924" s="74" t="str">
        <f>IF(AND(A1924="",E1924=""),"",IF(V1924="Oui",0,MAX(0,ROUND(N(H1924)-N(T1924),6))))</f>
        <v/>
      </c>
      <c r="X1924" s="67" t="str">
        <f>IF(AND(A1924="",E1924=""),"",IF(V1924="Oui","Annulé",IF(AND(N(H1924)&gt;0,N(T1924)&gt;=N(H1924)),"Reçu",IF(N(S1924)=0,"Brouillon",IF(AND(ISNUMBER(R1924),R1924&lt;p_today),"En retard",IF(N(T1924)&gt;0,"Partiel","Envoyé"))))))</f>
        <v/>
      </c>
      <c r="Y1924" s="75" t="str">
        <f>IF(X1924="En retard",p_today-R1924,IF(AND(X1924="Reçu",ISNUMBER(R1924)),MAX(0,N(U1924)-R1924),""))</f>
        <v/>
      </c>
      <c r="Z1924" s="67" t="str">
        <f>IF(AND(A1924="",E1924=""),"",IF(A1924="","N° de bon manquant",IF(N(B1924)=0,"Date de commande manquante",IF(C1924="","Fournisseur manquant",IF(ISNA(MATCH($C1924,sup_code,0)),"Fournisseur inconnu",IF(E1924="","Article manquant",IF(ISNA(MATCH($E1924,art_ref,0)),"Article inconnu",IF(N(H1924)&lt;=0,"Quantité invalide",IF(J1924="","Prix manquant",IF(OR(N(K1924)&lt;0,N(K1924)&gt;=1),"Remise invalide",IF(M1924="","TVA manquante",IF(ISNA(MATCH(M1924,p_tva,0)),"Taux de TVA inconnu",IF(COUNTIFS(po_num,A1924,po_sup,"&lt;&gt;"&amp;C1924)&gt;0,"Fournisseur différent sur ce bon",IF(COUNTIFS(po_num,A1924,po_date,"&lt;&gt;"&amp;B1924)&gt;0,"Date différente sur ce bon",IF(COUNTIF(po_num,A1924)&gt;25,"Plus de 25 lignes sur ce bon",IF(R1924="","Date de livraison manquante",IF(R1924&lt;B1924,"Livraison avant la commande",IF(AND(N(T1924)&gt;0,N(S1924)=0),"Date d'envoi manquante",IF(N(T1924)&gt;N(H1924),"Reçu plus que commandé",IF(AND(N(T1924)&gt;0,N(U1924)=0),"Date de réception manquante",IF(AND(N(U1924)&gt;0,U1924&lt;B1924),"Réception avant la commande","OK")))))))))))))))))))))</f>
        <v/>
      </c>
      <c r="AA1924" s="66" t="str">
        <f>IF(AND(X1924="Reçu",ISNUMBER(R1924)),IF(N(U1924)&lt;=R1924,1,0),"")</f>
        <v/>
      </c>
      <c r="AB1924" s="76" t="str">
        <f>IF(OR(X1924="Envoyé",X1924="Partiel",X1924="En retard"),IF(ISNUMBER(R1924),R1924,100000)+ROW()/100000,"")</f>
        <v/>
      </c>
      <c r="AC1924" s="66" t="str">
        <f>IF(A1924="","",IF(COUNTIF($A$6:A1924,A1924)=1,1,""))</f>
        <v/>
      </c>
      <c r="AD1924" s="66" t="str">
        <f>IF(AC1924=1,COUNT($AC$6:AC1924),"")</f>
        <v/>
      </c>
      <c r="AE1924" s="66" t="str">
        <f>IFERROR(INDEX(po_num,MATCH(1919,po_seq,0))&amp;"","")</f>
        <v/>
      </c>
      <c r="AF1924" s="66" t="str">
        <f>IF(OR(A1924="",p_po=""),"",IF(A1924&amp;""=p_po,COUNTIF($A$6:A1924,A1924),""))</f>
        <v/>
      </c>
      <c r="AG1924" s="66" t="str">
        <f>IF(OR(AB1924="",A1924=""),"",IF(COUNTIFS($A$6:A1924,A1924,$AB$6:AB1924,"&gt;0")=1,1,""))</f>
        <v/>
      </c>
      <c r="AH1924" s="70" t="str">
        <f>IF(AB1924="","",ROUND(N(W1924)*N(J1924)*(1-N(K1924)),2))</f>
        <v/>
      </c>
      <c r="AI1924" s="70" t="str">
        <f>IF(OR(J1924="",N(T1924)&lt;=0,V1924="Oui"),"",ROUND(N(T1924)*J1924*(1-N(K1924)),2))</f>
        <v/>
      </c>
    </row>
    <row r="1925">
      <c r="A1925" s="63" t="n"/>
      <c r="B1925" s="64" t="n"/>
      <c r="C1925" s="65" t="n"/>
      <c r="D1925" s="66" t="str">
        <f>IF(C1925="","",IFERROR(INDEX(sup_name,MATCH($C1925,sup_code,0))&amp;"","Fournisseur inconnu"))</f>
        <v/>
      </c>
      <c r="E1925" s="63" t="n"/>
      <c r="F1925" s="66" t="str">
        <f>IF(E1925="","",IFERROR(INDEX(art_des,MATCH($E1925,art_ref,0))&amp;"","Article inconnu"))</f>
        <v/>
      </c>
      <c r="G1925" s="67" t="str">
        <f>IF(E1925="","",IFERROR(INDEX(art_unit,MATCH($E1925,art_ref,0))&amp;"",""))</f>
        <v/>
      </c>
      <c r="H1925" s="68" t="n"/>
      <c r="I1925" s="69" t="n"/>
      <c r="J1925" s="70" t="str">
        <f>IF(E1925="","",IF(ISNUMBER(I1925),I1925,IFERROR(IF(ISNUMBER(INDEX(art_price,MATCH($E1925,art_ref,0))),INDEX(art_price,MATCH($E1925,art_ref,0)),""),"")))</f>
        <v/>
      </c>
      <c r="K1925" s="71" t="n"/>
      <c r="L1925" s="72" t="n"/>
      <c r="M1925" s="72" t="str">
        <f>IF(E1925="","",IF(L1925&lt;&gt;"",L1925,IFERROR(IF(ISNUMBER(INDEX(art_tva,MATCH($E1925,art_ref,0))),INDEX(art_tva,MATCH($E1925,art_ref,0)),""),"")))</f>
        <v/>
      </c>
      <c r="N1925" s="70" t="str">
        <f>IF(OR(E1925="",J1925=""),"",ROUND(N(H1925)*J1925*(1-N(K1925)),2))</f>
        <v/>
      </c>
      <c r="O1925" s="70" t="str">
        <f>IF(OR(N1925="",NOT(ISNUMBER(M1925))),"",ROUND(N1925*M1925,2))</f>
        <v/>
      </c>
      <c r="P1925" s="70" t="str">
        <f>IF(N1925="","",N1925+N(O1925))</f>
        <v/>
      </c>
      <c r="Q1925" s="64" t="n"/>
      <c r="R1925" s="73" t="str">
        <f>IF(N(Q1925)&gt;0,Q1925,IF(OR(N(B1925)=0,ISNA(MATCH($C1925,sup_code,0))),"",IF(ISNUMBER(INDEX(sup_delay,MATCH($C1925,sup_code,0))),B1925+INDEX(sup_delay,MATCH($C1925,sup_code,0)),"")))</f>
        <v/>
      </c>
      <c r="S1925" s="64" t="n"/>
      <c r="T1925" s="68" t="n"/>
      <c r="U1925" s="64" t="n"/>
      <c r="V1925" s="65" t="n"/>
      <c r="W1925" s="74" t="str">
        <f>IF(AND(A1925="",E1925=""),"",IF(V1925="Oui",0,MAX(0,ROUND(N(H1925)-N(T1925),6))))</f>
        <v/>
      </c>
      <c r="X1925" s="67" t="str">
        <f>IF(AND(A1925="",E1925=""),"",IF(V1925="Oui","Annulé",IF(AND(N(H1925)&gt;0,N(T1925)&gt;=N(H1925)),"Reçu",IF(N(S1925)=0,"Brouillon",IF(AND(ISNUMBER(R1925),R1925&lt;p_today),"En retard",IF(N(T1925)&gt;0,"Partiel","Envoyé"))))))</f>
        <v/>
      </c>
      <c r="Y1925" s="75" t="str">
        <f>IF(X1925="En retard",p_today-R1925,IF(AND(X1925="Reçu",ISNUMBER(R1925)),MAX(0,N(U1925)-R1925),""))</f>
        <v/>
      </c>
      <c r="Z1925" s="67" t="str">
        <f>IF(AND(A1925="",E1925=""),"",IF(A1925="","N° de bon manquant",IF(N(B1925)=0,"Date de commande manquante",IF(C1925="","Fournisseur manquant",IF(ISNA(MATCH($C1925,sup_code,0)),"Fournisseur inconnu",IF(E1925="","Article manquant",IF(ISNA(MATCH($E1925,art_ref,0)),"Article inconnu",IF(N(H1925)&lt;=0,"Quantité invalide",IF(J1925="","Prix manquant",IF(OR(N(K1925)&lt;0,N(K1925)&gt;=1),"Remise invalide",IF(M1925="","TVA manquante",IF(ISNA(MATCH(M1925,p_tva,0)),"Taux de TVA inconnu",IF(COUNTIFS(po_num,A1925,po_sup,"&lt;&gt;"&amp;C1925)&gt;0,"Fournisseur différent sur ce bon",IF(COUNTIFS(po_num,A1925,po_date,"&lt;&gt;"&amp;B1925)&gt;0,"Date différente sur ce bon",IF(COUNTIF(po_num,A1925)&gt;25,"Plus de 25 lignes sur ce bon",IF(R1925="","Date de livraison manquante",IF(R1925&lt;B1925,"Livraison avant la commande",IF(AND(N(T1925)&gt;0,N(S1925)=0),"Date d'envoi manquante",IF(N(T1925)&gt;N(H1925),"Reçu plus que commandé",IF(AND(N(T1925)&gt;0,N(U1925)=0),"Date de réception manquante",IF(AND(N(U1925)&gt;0,U1925&lt;B1925),"Réception avant la commande","OK")))))))))))))))))))))</f>
        <v/>
      </c>
      <c r="AA1925" s="66" t="str">
        <f>IF(AND(X1925="Reçu",ISNUMBER(R1925)),IF(N(U1925)&lt;=R1925,1,0),"")</f>
        <v/>
      </c>
      <c r="AB1925" s="76" t="str">
        <f>IF(OR(X1925="Envoyé",X1925="Partiel",X1925="En retard"),IF(ISNUMBER(R1925),R1925,100000)+ROW()/100000,"")</f>
        <v/>
      </c>
      <c r="AC1925" s="66" t="str">
        <f>IF(A1925="","",IF(COUNTIF($A$6:A1925,A1925)=1,1,""))</f>
        <v/>
      </c>
      <c r="AD1925" s="66" t="str">
        <f>IF(AC1925=1,COUNT($AC$6:AC1925),"")</f>
        <v/>
      </c>
      <c r="AE1925" s="66" t="str">
        <f>IFERROR(INDEX(po_num,MATCH(1920,po_seq,0))&amp;"","")</f>
        <v/>
      </c>
      <c r="AF1925" s="66" t="str">
        <f>IF(OR(A1925="",p_po=""),"",IF(A1925&amp;""=p_po,COUNTIF($A$6:A1925,A1925),""))</f>
        <v/>
      </c>
      <c r="AG1925" s="66" t="str">
        <f>IF(OR(AB1925="",A1925=""),"",IF(COUNTIFS($A$6:A1925,A1925,$AB$6:AB1925,"&gt;0")=1,1,""))</f>
        <v/>
      </c>
      <c r="AH1925" s="70" t="str">
        <f>IF(AB1925="","",ROUND(N(W1925)*N(J1925)*(1-N(K1925)),2))</f>
        <v/>
      </c>
      <c r="AI1925" s="70" t="str">
        <f>IF(OR(J1925="",N(T1925)&lt;=0,V1925="Oui"),"",ROUND(N(T1925)*J1925*(1-N(K1925)),2))</f>
        <v/>
      </c>
    </row>
    <row r="1926">
      <c r="A1926" s="63" t="n"/>
      <c r="B1926" s="64" t="n"/>
      <c r="C1926" s="65" t="n"/>
      <c r="D1926" s="66" t="str">
        <f>IF(C1926="","",IFERROR(INDEX(sup_name,MATCH($C1926,sup_code,0))&amp;"","Fournisseur inconnu"))</f>
        <v/>
      </c>
      <c r="E1926" s="63" t="n"/>
      <c r="F1926" s="66" t="str">
        <f>IF(E1926="","",IFERROR(INDEX(art_des,MATCH($E1926,art_ref,0))&amp;"","Article inconnu"))</f>
        <v/>
      </c>
      <c r="G1926" s="67" t="str">
        <f>IF(E1926="","",IFERROR(INDEX(art_unit,MATCH($E1926,art_ref,0))&amp;"",""))</f>
        <v/>
      </c>
      <c r="H1926" s="68" t="n"/>
      <c r="I1926" s="69" t="n"/>
      <c r="J1926" s="70" t="str">
        <f>IF(E1926="","",IF(ISNUMBER(I1926),I1926,IFERROR(IF(ISNUMBER(INDEX(art_price,MATCH($E1926,art_ref,0))),INDEX(art_price,MATCH($E1926,art_ref,0)),""),"")))</f>
        <v/>
      </c>
      <c r="K1926" s="71" t="n"/>
      <c r="L1926" s="72" t="n"/>
      <c r="M1926" s="72" t="str">
        <f>IF(E1926="","",IF(L1926&lt;&gt;"",L1926,IFERROR(IF(ISNUMBER(INDEX(art_tva,MATCH($E1926,art_ref,0))),INDEX(art_tva,MATCH($E1926,art_ref,0)),""),"")))</f>
        <v/>
      </c>
      <c r="N1926" s="70" t="str">
        <f>IF(OR(E1926="",J1926=""),"",ROUND(N(H1926)*J1926*(1-N(K1926)),2))</f>
        <v/>
      </c>
      <c r="O1926" s="70" t="str">
        <f>IF(OR(N1926="",NOT(ISNUMBER(M1926))),"",ROUND(N1926*M1926,2))</f>
        <v/>
      </c>
      <c r="P1926" s="70" t="str">
        <f>IF(N1926="","",N1926+N(O1926))</f>
        <v/>
      </c>
      <c r="Q1926" s="64" t="n"/>
      <c r="R1926" s="73" t="str">
        <f>IF(N(Q1926)&gt;0,Q1926,IF(OR(N(B1926)=0,ISNA(MATCH($C1926,sup_code,0))),"",IF(ISNUMBER(INDEX(sup_delay,MATCH($C1926,sup_code,0))),B1926+INDEX(sup_delay,MATCH($C1926,sup_code,0)),"")))</f>
        <v/>
      </c>
      <c r="S1926" s="64" t="n"/>
      <c r="T1926" s="68" t="n"/>
      <c r="U1926" s="64" t="n"/>
      <c r="V1926" s="65" t="n"/>
      <c r="W1926" s="74" t="str">
        <f>IF(AND(A1926="",E1926=""),"",IF(V1926="Oui",0,MAX(0,ROUND(N(H1926)-N(T1926),6))))</f>
        <v/>
      </c>
      <c r="X1926" s="67" t="str">
        <f>IF(AND(A1926="",E1926=""),"",IF(V1926="Oui","Annulé",IF(AND(N(H1926)&gt;0,N(T1926)&gt;=N(H1926)),"Reçu",IF(N(S1926)=0,"Brouillon",IF(AND(ISNUMBER(R1926),R1926&lt;p_today),"En retard",IF(N(T1926)&gt;0,"Partiel","Envoyé"))))))</f>
        <v/>
      </c>
      <c r="Y1926" s="75" t="str">
        <f>IF(X1926="En retard",p_today-R1926,IF(AND(X1926="Reçu",ISNUMBER(R1926)),MAX(0,N(U1926)-R1926),""))</f>
        <v/>
      </c>
      <c r="Z1926" s="67" t="str">
        <f>IF(AND(A1926="",E1926=""),"",IF(A1926="","N° de bon manquant",IF(N(B1926)=0,"Date de commande manquante",IF(C1926="","Fournisseur manquant",IF(ISNA(MATCH($C1926,sup_code,0)),"Fournisseur inconnu",IF(E1926="","Article manquant",IF(ISNA(MATCH($E1926,art_ref,0)),"Article inconnu",IF(N(H1926)&lt;=0,"Quantité invalide",IF(J1926="","Prix manquant",IF(OR(N(K1926)&lt;0,N(K1926)&gt;=1),"Remise invalide",IF(M1926="","TVA manquante",IF(ISNA(MATCH(M1926,p_tva,0)),"Taux de TVA inconnu",IF(COUNTIFS(po_num,A1926,po_sup,"&lt;&gt;"&amp;C1926)&gt;0,"Fournisseur différent sur ce bon",IF(COUNTIFS(po_num,A1926,po_date,"&lt;&gt;"&amp;B1926)&gt;0,"Date différente sur ce bon",IF(COUNTIF(po_num,A1926)&gt;25,"Plus de 25 lignes sur ce bon",IF(R1926="","Date de livraison manquante",IF(R1926&lt;B1926,"Livraison avant la commande",IF(AND(N(T1926)&gt;0,N(S1926)=0),"Date d'envoi manquante",IF(N(T1926)&gt;N(H1926),"Reçu plus que commandé",IF(AND(N(T1926)&gt;0,N(U1926)=0),"Date de réception manquante",IF(AND(N(U1926)&gt;0,U1926&lt;B1926),"Réception avant la commande","OK")))))))))))))))))))))</f>
        <v/>
      </c>
      <c r="AA1926" s="66" t="str">
        <f>IF(AND(X1926="Reçu",ISNUMBER(R1926)),IF(N(U1926)&lt;=R1926,1,0),"")</f>
        <v/>
      </c>
      <c r="AB1926" s="76" t="str">
        <f>IF(OR(X1926="Envoyé",X1926="Partiel",X1926="En retard"),IF(ISNUMBER(R1926),R1926,100000)+ROW()/100000,"")</f>
        <v/>
      </c>
      <c r="AC1926" s="66" t="str">
        <f>IF(A1926="","",IF(COUNTIF($A$6:A1926,A1926)=1,1,""))</f>
        <v/>
      </c>
      <c r="AD1926" s="66" t="str">
        <f>IF(AC1926=1,COUNT($AC$6:AC1926),"")</f>
        <v/>
      </c>
      <c r="AE1926" s="66" t="str">
        <f>IFERROR(INDEX(po_num,MATCH(1921,po_seq,0))&amp;"","")</f>
        <v/>
      </c>
      <c r="AF1926" s="66" t="str">
        <f>IF(OR(A1926="",p_po=""),"",IF(A1926&amp;""=p_po,COUNTIF($A$6:A1926,A1926),""))</f>
        <v/>
      </c>
      <c r="AG1926" s="66" t="str">
        <f>IF(OR(AB1926="",A1926=""),"",IF(COUNTIFS($A$6:A1926,A1926,$AB$6:AB1926,"&gt;0")=1,1,""))</f>
        <v/>
      </c>
      <c r="AH1926" s="70" t="str">
        <f>IF(AB1926="","",ROUND(N(W1926)*N(J1926)*(1-N(K1926)),2))</f>
        <v/>
      </c>
      <c r="AI1926" s="70" t="str">
        <f>IF(OR(J1926="",N(T1926)&lt;=0,V1926="Oui"),"",ROUND(N(T1926)*J1926*(1-N(K1926)),2))</f>
        <v/>
      </c>
    </row>
    <row r="1927">
      <c r="A1927" s="63" t="n"/>
      <c r="B1927" s="64" t="n"/>
      <c r="C1927" s="65" t="n"/>
      <c r="D1927" s="66" t="str">
        <f>IF(C1927="","",IFERROR(INDEX(sup_name,MATCH($C1927,sup_code,0))&amp;"","Fournisseur inconnu"))</f>
        <v/>
      </c>
      <c r="E1927" s="63" t="n"/>
      <c r="F1927" s="66" t="str">
        <f>IF(E1927="","",IFERROR(INDEX(art_des,MATCH($E1927,art_ref,0))&amp;"","Article inconnu"))</f>
        <v/>
      </c>
      <c r="G1927" s="67" t="str">
        <f>IF(E1927="","",IFERROR(INDEX(art_unit,MATCH($E1927,art_ref,0))&amp;"",""))</f>
        <v/>
      </c>
      <c r="H1927" s="68" t="n"/>
      <c r="I1927" s="69" t="n"/>
      <c r="J1927" s="70" t="str">
        <f>IF(E1927="","",IF(ISNUMBER(I1927),I1927,IFERROR(IF(ISNUMBER(INDEX(art_price,MATCH($E1927,art_ref,0))),INDEX(art_price,MATCH($E1927,art_ref,0)),""),"")))</f>
        <v/>
      </c>
      <c r="K1927" s="71" t="n"/>
      <c r="L1927" s="72" t="n"/>
      <c r="M1927" s="72" t="str">
        <f>IF(E1927="","",IF(L1927&lt;&gt;"",L1927,IFERROR(IF(ISNUMBER(INDEX(art_tva,MATCH($E1927,art_ref,0))),INDEX(art_tva,MATCH($E1927,art_ref,0)),""),"")))</f>
        <v/>
      </c>
      <c r="N1927" s="70" t="str">
        <f>IF(OR(E1927="",J1927=""),"",ROUND(N(H1927)*J1927*(1-N(K1927)),2))</f>
        <v/>
      </c>
      <c r="O1927" s="70" t="str">
        <f>IF(OR(N1927="",NOT(ISNUMBER(M1927))),"",ROUND(N1927*M1927,2))</f>
        <v/>
      </c>
      <c r="P1927" s="70" t="str">
        <f>IF(N1927="","",N1927+N(O1927))</f>
        <v/>
      </c>
      <c r="Q1927" s="64" t="n"/>
      <c r="R1927" s="73" t="str">
        <f>IF(N(Q1927)&gt;0,Q1927,IF(OR(N(B1927)=0,ISNA(MATCH($C1927,sup_code,0))),"",IF(ISNUMBER(INDEX(sup_delay,MATCH($C1927,sup_code,0))),B1927+INDEX(sup_delay,MATCH($C1927,sup_code,0)),"")))</f>
        <v/>
      </c>
      <c r="S1927" s="64" t="n"/>
      <c r="T1927" s="68" t="n"/>
      <c r="U1927" s="64" t="n"/>
      <c r="V1927" s="65" t="n"/>
      <c r="W1927" s="74" t="str">
        <f>IF(AND(A1927="",E1927=""),"",IF(V1927="Oui",0,MAX(0,ROUND(N(H1927)-N(T1927),6))))</f>
        <v/>
      </c>
      <c r="X1927" s="67" t="str">
        <f>IF(AND(A1927="",E1927=""),"",IF(V1927="Oui","Annulé",IF(AND(N(H1927)&gt;0,N(T1927)&gt;=N(H1927)),"Reçu",IF(N(S1927)=0,"Brouillon",IF(AND(ISNUMBER(R1927),R1927&lt;p_today),"En retard",IF(N(T1927)&gt;0,"Partiel","Envoyé"))))))</f>
        <v/>
      </c>
      <c r="Y1927" s="75" t="str">
        <f>IF(X1927="En retard",p_today-R1927,IF(AND(X1927="Reçu",ISNUMBER(R1927)),MAX(0,N(U1927)-R1927),""))</f>
        <v/>
      </c>
      <c r="Z1927" s="67" t="str">
        <f>IF(AND(A1927="",E1927=""),"",IF(A1927="","N° de bon manquant",IF(N(B1927)=0,"Date de commande manquante",IF(C1927="","Fournisseur manquant",IF(ISNA(MATCH($C1927,sup_code,0)),"Fournisseur inconnu",IF(E1927="","Article manquant",IF(ISNA(MATCH($E1927,art_ref,0)),"Article inconnu",IF(N(H1927)&lt;=0,"Quantité invalide",IF(J1927="","Prix manquant",IF(OR(N(K1927)&lt;0,N(K1927)&gt;=1),"Remise invalide",IF(M1927="","TVA manquante",IF(ISNA(MATCH(M1927,p_tva,0)),"Taux de TVA inconnu",IF(COUNTIFS(po_num,A1927,po_sup,"&lt;&gt;"&amp;C1927)&gt;0,"Fournisseur différent sur ce bon",IF(COUNTIFS(po_num,A1927,po_date,"&lt;&gt;"&amp;B1927)&gt;0,"Date différente sur ce bon",IF(COUNTIF(po_num,A1927)&gt;25,"Plus de 25 lignes sur ce bon",IF(R1927="","Date de livraison manquante",IF(R1927&lt;B1927,"Livraison avant la commande",IF(AND(N(T1927)&gt;0,N(S1927)=0),"Date d'envoi manquante",IF(N(T1927)&gt;N(H1927),"Reçu plus que commandé",IF(AND(N(T1927)&gt;0,N(U1927)=0),"Date de réception manquante",IF(AND(N(U1927)&gt;0,U1927&lt;B1927),"Réception avant la commande","OK")))))))))))))))))))))</f>
        <v/>
      </c>
      <c r="AA1927" s="66" t="str">
        <f>IF(AND(X1927="Reçu",ISNUMBER(R1927)),IF(N(U1927)&lt;=R1927,1,0),"")</f>
        <v/>
      </c>
      <c r="AB1927" s="76" t="str">
        <f>IF(OR(X1927="Envoyé",X1927="Partiel",X1927="En retard"),IF(ISNUMBER(R1927),R1927,100000)+ROW()/100000,"")</f>
        <v/>
      </c>
      <c r="AC1927" s="66" t="str">
        <f>IF(A1927="","",IF(COUNTIF($A$6:A1927,A1927)=1,1,""))</f>
        <v/>
      </c>
      <c r="AD1927" s="66" t="str">
        <f>IF(AC1927=1,COUNT($AC$6:AC1927),"")</f>
        <v/>
      </c>
      <c r="AE1927" s="66" t="str">
        <f>IFERROR(INDEX(po_num,MATCH(1922,po_seq,0))&amp;"","")</f>
        <v/>
      </c>
      <c r="AF1927" s="66" t="str">
        <f>IF(OR(A1927="",p_po=""),"",IF(A1927&amp;""=p_po,COUNTIF($A$6:A1927,A1927),""))</f>
        <v/>
      </c>
      <c r="AG1927" s="66" t="str">
        <f>IF(OR(AB1927="",A1927=""),"",IF(COUNTIFS($A$6:A1927,A1927,$AB$6:AB1927,"&gt;0")=1,1,""))</f>
        <v/>
      </c>
      <c r="AH1927" s="70" t="str">
        <f>IF(AB1927="","",ROUND(N(W1927)*N(J1927)*(1-N(K1927)),2))</f>
        <v/>
      </c>
      <c r="AI1927" s="70" t="str">
        <f>IF(OR(J1927="",N(T1927)&lt;=0,V1927="Oui"),"",ROUND(N(T1927)*J1927*(1-N(K1927)),2))</f>
        <v/>
      </c>
    </row>
    <row r="1928">
      <c r="A1928" s="63" t="n"/>
      <c r="B1928" s="64" t="n"/>
      <c r="C1928" s="65" t="n"/>
      <c r="D1928" s="66" t="str">
        <f>IF(C1928="","",IFERROR(INDEX(sup_name,MATCH($C1928,sup_code,0))&amp;"","Fournisseur inconnu"))</f>
        <v/>
      </c>
      <c r="E1928" s="63" t="n"/>
      <c r="F1928" s="66" t="str">
        <f>IF(E1928="","",IFERROR(INDEX(art_des,MATCH($E1928,art_ref,0))&amp;"","Article inconnu"))</f>
        <v/>
      </c>
      <c r="G1928" s="67" t="str">
        <f>IF(E1928="","",IFERROR(INDEX(art_unit,MATCH($E1928,art_ref,0))&amp;"",""))</f>
        <v/>
      </c>
      <c r="H1928" s="68" t="n"/>
      <c r="I1928" s="69" t="n"/>
      <c r="J1928" s="70" t="str">
        <f>IF(E1928="","",IF(ISNUMBER(I1928),I1928,IFERROR(IF(ISNUMBER(INDEX(art_price,MATCH($E1928,art_ref,0))),INDEX(art_price,MATCH($E1928,art_ref,0)),""),"")))</f>
        <v/>
      </c>
      <c r="K1928" s="71" t="n"/>
      <c r="L1928" s="72" t="n"/>
      <c r="M1928" s="72" t="str">
        <f>IF(E1928="","",IF(L1928&lt;&gt;"",L1928,IFERROR(IF(ISNUMBER(INDEX(art_tva,MATCH($E1928,art_ref,0))),INDEX(art_tva,MATCH($E1928,art_ref,0)),""),"")))</f>
        <v/>
      </c>
      <c r="N1928" s="70" t="str">
        <f>IF(OR(E1928="",J1928=""),"",ROUND(N(H1928)*J1928*(1-N(K1928)),2))</f>
        <v/>
      </c>
      <c r="O1928" s="70" t="str">
        <f>IF(OR(N1928="",NOT(ISNUMBER(M1928))),"",ROUND(N1928*M1928,2))</f>
        <v/>
      </c>
      <c r="P1928" s="70" t="str">
        <f>IF(N1928="","",N1928+N(O1928))</f>
        <v/>
      </c>
      <c r="Q1928" s="64" t="n"/>
      <c r="R1928" s="73" t="str">
        <f>IF(N(Q1928)&gt;0,Q1928,IF(OR(N(B1928)=0,ISNA(MATCH($C1928,sup_code,0))),"",IF(ISNUMBER(INDEX(sup_delay,MATCH($C1928,sup_code,0))),B1928+INDEX(sup_delay,MATCH($C1928,sup_code,0)),"")))</f>
        <v/>
      </c>
      <c r="S1928" s="64" t="n"/>
      <c r="T1928" s="68" t="n"/>
      <c r="U1928" s="64" t="n"/>
      <c r="V1928" s="65" t="n"/>
      <c r="W1928" s="74" t="str">
        <f>IF(AND(A1928="",E1928=""),"",IF(V1928="Oui",0,MAX(0,ROUND(N(H1928)-N(T1928),6))))</f>
        <v/>
      </c>
      <c r="X1928" s="67" t="str">
        <f>IF(AND(A1928="",E1928=""),"",IF(V1928="Oui","Annulé",IF(AND(N(H1928)&gt;0,N(T1928)&gt;=N(H1928)),"Reçu",IF(N(S1928)=0,"Brouillon",IF(AND(ISNUMBER(R1928),R1928&lt;p_today),"En retard",IF(N(T1928)&gt;0,"Partiel","Envoyé"))))))</f>
        <v/>
      </c>
      <c r="Y1928" s="75" t="str">
        <f>IF(X1928="En retard",p_today-R1928,IF(AND(X1928="Reçu",ISNUMBER(R1928)),MAX(0,N(U1928)-R1928),""))</f>
        <v/>
      </c>
      <c r="Z1928" s="67" t="str">
        <f>IF(AND(A1928="",E1928=""),"",IF(A1928="","N° de bon manquant",IF(N(B1928)=0,"Date de commande manquante",IF(C1928="","Fournisseur manquant",IF(ISNA(MATCH($C1928,sup_code,0)),"Fournisseur inconnu",IF(E1928="","Article manquant",IF(ISNA(MATCH($E1928,art_ref,0)),"Article inconnu",IF(N(H1928)&lt;=0,"Quantité invalide",IF(J1928="","Prix manquant",IF(OR(N(K1928)&lt;0,N(K1928)&gt;=1),"Remise invalide",IF(M1928="","TVA manquante",IF(ISNA(MATCH(M1928,p_tva,0)),"Taux de TVA inconnu",IF(COUNTIFS(po_num,A1928,po_sup,"&lt;&gt;"&amp;C1928)&gt;0,"Fournisseur différent sur ce bon",IF(COUNTIFS(po_num,A1928,po_date,"&lt;&gt;"&amp;B1928)&gt;0,"Date différente sur ce bon",IF(COUNTIF(po_num,A1928)&gt;25,"Plus de 25 lignes sur ce bon",IF(R1928="","Date de livraison manquante",IF(R1928&lt;B1928,"Livraison avant la commande",IF(AND(N(T1928)&gt;0,N(S1928)=0),"Date d'envoi manquante",IF(N(T1928)&gt;N(H1928),"Reçu plus que commandé",IF(AND(N(T1928)&gt;0,N(U1928)=0),"Date de réception manquante",IF(AND(N(U1928)&gt;0,U1928&lt;B1928),"Réception avant la commande","OK")))))))))))))))))))))</f>
        <v/>
      </c>
      <c r="AA1928" s="66" t="str">
        <f>IF(AND(X1928="Reçu",ISNUMBER(R1928)),IF(N(U1928)&lt;=R1928,1,0),"")</f>
        <v/>
      </c>
      <c r="AB1928" s="76" t="str">
        <f>IF(OR(X1928="Envoyé",X1928="Partiel",X1928="En retard"),IF(ISNUMBER(R1928),R1928,100000)+ROW()/100000,"")</f>
        <v/>
      </c>
      <c r="AC1928" s="66" t="str">
        <f>IF(A1928="","",IF(COUNTIF($A$6:A1928,A1928)=1,1,""))</f>
        <v/>
      </c>
      <c r="AD1928" s="66" t="str">
        <f>IF(AC1928=1,COUNT($AC$6:AC1928),"")</f>
        <v/>
      </c>
      <c r="AE1928" s="66" t="str">
        <f>IFERROR(INDEX(po_num,MATCH(1923,po_seq,0))&amp;"","")</f>
        <v/>
      </c>
      <c r="AF1928" s="66" t="str">
        <f>IF(OR(A1928="",p_po=""),"",IF(A1928&amp;""=p_po,COUNTIF($A$6:A1928,A1928),""))</f>
        <v/>
      </c>
      <c r="AG1928" s="66" t="str">
        <f>IF(OR(AB1928="",A1928=""),"",IF(COUNTIFS($A$6:A1928,A1928,$AB$6:AB1928,"&gt;0")=1,1,""))</f>
        <v/>
      </c>
      <c r="AH1928" s="70" t="str">
        <f>IF(AB1928="","",ROUND(N(W1928)*N(J1928)*(1-N(K1928)),2))</f>
        <v/>
      </c>
      <c r="AI1928" s="70" t="str">
        <f>IF(OR(J1928="",N(T1928)&lt;=0,V1928="Oui"),"",ROUND(N(T1928)*J1928*(1-N(K1928)),2))</f>
        <v/>
      </c>
    </row>
    <row r="1929">
      <c r="A1929" s="63" t="n"/>
      <c r="B1929" s="64" t="n"/>
      <c r="C1929" s="65" t="n"/>
      <c r="D1929" s="66" t="str">
        <f>IF(C1929="","",IFERROR(INDEX(sup_name,MATCH($C1929,sup_code,0))&amp;"","Fournisseur inconnu"))</f>
        <v/>
      </c>
      <c r="E1929" s="63" t="n"/>
      <c r="F1929" s="66" t="str">
        <f>IF(E1929="","",IFERROR(INDEX(art_des,MATCH($E1929,art_ref,0))&amp;"","Article inconnu"))</f>
        <v/>
      </c>
      <c r="G1929" s="67" t="str">
        <f>IF(E1929="","",IFERROR(INDEX(art_unit,MATCH($E1929,art_ref,0))&amp;"",""))</f>
        <v/>
      </c>
      <c r="H1929" s="68" t="n"/>
      <c r="I1929" s="69" t="n"/>
      <c r="J1929" s="70" t="str">
        <f>IF(E1929="","",IF(ISNUMBER(I1929),I1929,IFERROR(IF(ISNUMBER(INDEX(art_price,MATCH($E1929,art_ref,0))),INDEX(art_price,MATCH($E1929,art_ref,0)),""),"")))</f>
        <v/>
      </c>
      <c r="K1929" s="71" t="n"/>
      <c r="L1929" s="72" t="n"/>
      <c r="M1929" s="72" t="str">
        <f>IF(E1929="","",IF(L1929&lt;&gt;"",L1929,IFERROR(IF(ISNUMBER(INDEX(art_tva,MATCH($E1929,art_ref,0))),INDEX(art_tva,MATCH($E1929,art_ref,0)),""),"")))</f>
        <v/>
      </c>
      <c r="N1929" s="70" t="str">
        <f>IF(OR(E1929="",J1929=""),"",ROUND(N(H1929)*J1929*(1-N(K1929)),2))</f>
        <v/>
      </c>
      <c r="O1929" s="70" t="str">
        <f>IF(OR(N1929="",NOT(ISNUMBER(M1929))),"",ROUND(N1929*M1929,2))</f>
        <v/>
      </c>
      <c r="P1929" s="70" t="str">
        <f>IF(N1929="","",N1929+N(O1929))</f>
        <v/>
      </c>
      <c r="Q1929" s="64" t="n"/>
      <c r="R1929" s="73" t="str">
        <f>IF(N(Q1929)&gt;0,Q1929,IF(OR(N(B1929)=0,ISNA(MATCH($C1929,sup_code,0))),"",IF(ISNUMBER(INDEX(sup_delay,MATCH($C1929,sup_code,0))),B1929+INDEX(sup_delay,MATCH($C1929,sup_code,0)),"")))</f>
        <v/>
      </c>
      <c r="S1929" s="64" t="n"/>
      <c r="T1929" s="68" t="n"/>
      <c r="U1929" s="64" t="n"/>
      <c r="V1929" s="65" t="n"/>
      <c r="W1929" s="74" t="str">
        <f>IF(AND(A1929="",E1929=""),"",IF(V1929="Oui",0,MAX(0,ROUND(N(H1929)-N(T1929),6))))</f>
        <v/>
      </c>
      <c r="X1929" s="67" t="str">
        <f>IF(AND(A1929="",E1929=""),"",IF(V1929="Oui","Annulé",IF(AND(N(H1929)&gt;0,N(T1929)&gt;=N(H1929)),"Reçu",IF(N(S1929)=0,"Brouillon",IF(AND(ISNUMBER(R1929),R1929&lt;p_today),"En retard",IF(N(T1929)&gt;0,"Partiel","Envoyé"))))))</f>
        <v/>
      </c>
      <c r="Y1929" s="75" t="str">
        <f>IF(X1929="En retard",p_today-R1929,IF(AND(X1929="Reçu",ISNUMBER(R1929)),MAX(0,N(U1929)-R1929),""))</f>
        <v/>
      </c>
      <c r="Z1929" s="67" t="str">
        <f>IF(AND(A1929="",E1929=""),"",IF(A1929="","N° de bon manquant",IF(N(B1929)=0,"Date de commande manquante",IF(C1929="","Fournisseur manquant",IF(ISNA(MATCH($C1929,sup_code,0)),"Fournisseur inconnu",IF(E1929="","Article manquant",IF(ISNA(MATCH($E1929,art_ref,0)),"Article inconnu",IF(N(H1929)&lt;=0,"Quantité invalide",IF(J1929="","Prix manquant",IF(OR(N(K1929)&lt;0,N(K1929)&gt;=1),"Remise invalide",IF(M1929="","TVA manquante",IF(ISNA(MATCH(M1929,p_tva,0)),"Taux de TVA inconnu",IF(COUNTIFS(po_num,A1929,po_sup,"&lt;&gt;"&amp;C1929)&gt;0,"Fournisseur différent sur ce bon",IF(COUNTIFS(po_num,A1929,po_date,"&lt;&gt;"&amp;B1929)&gt;0,"Date différente sur ce bon",IF(COUNTIF(po_num,A1929)&gt;25,"Plus de 25 lignes sur ce bon",IF(R1929="","Date de livraison manquante",IF(R1929&lt;B1929,"Livraison avant la commande",IF(AND(N(T1929)&gt;0,N(S1929)=0),"Date d'envoi manquante",IF(N(T1929)&gt;N(H1929),"Reçu plus que commandé",IF(AND(N(T1929)&gt;0,N(U1929)=0),"Date de réception manquante",IF(AND(N(U1929)&gt;0,U1929&lt;B1929),"Réception avant la commande","OK")))))))))))))))))))))</f>
        <v/>
      </c>
      <c r="AA1929" s="66" t="str">
        <f>IF(AND(X1929="Reçu",ISNUMBER(R1929)),IF(N(U1929)&lt;=R1929,1,0),"")</f>
        <v/>
      </c>
      <c r="AB1929" s="76" t="str">
        <f>IF(OR(X1929="Envoyé",X1929="Partiel",X1929="En retard"),IF(ISNUMBER(R1929),R1929,100000)+ROW()/100000,"")</f>
        <v/>
      </c>
      <c r="AC1929" s="66" t="str">
        <f>IF(A1929="","",IF(COUNTIF($A$6:A1929,A1929)=1,1,""))</f>
        <v/>
      </c>
      <c r="AD1929" s="66" t="str">
        <f>IF(AC1929=1,COUNT($AC$6:AC1929),"")</f>
        <v/>
      </c>
      <c r="AE1929" s="66" t="str">
        <f>IFERROR(INDEX(po_num,MATCH(1924,po_seq,0))&amp;"","")</f>
        <v/>
      </c>
      <c r="AF1929" s="66" t="str">
        <f>IF(OR(A1929="",p_po=""),"",IF(A1929&amp;""=p_po,COUNTIF($A$6:A1929,A1929),""))</f>
        <v/>
      </c>
      <c r="AG1929" s="66" t="str">
        <f>IF(OR(AB1929="",A1929=""),"",IF(COUNTIFS($A$6:A1929,A1929,$AB$6:AB1929,"&gt;0")=1,1,""))</f>
        <v/>
      </c>
      <c r="AH1929" s="70" t="str">
        <f>IF(AB1929="","",ROUND(N(W1929)*N(J1929)*(1-N(K1929)),2))</f>
        <v/>
      </c>
      <c r="AI1929" s="70" t="str">
        <f>IF(OR(J1929="",N(T1929)&lt;=0,V1929="Oui"),"",ROUND(N(T1929)*J1929*(1-N(K1929)),2))</f>
        <v/>
      </c>
    </row>
    <row r="1930">
      <c r="A1930" s="63" t="n"/>
      <c r="B1930" s="64" t="n"/>
      <c r="C1930" s="65" t="n"/>
      <c r="D1930" s="66" t="str">
        <f>IF(C1930="","",IFERROR(INDEX(sup_name,MATCH($C1930,sup_code,0))&amp;"","Fournisseur inconnu"))</f>
        <v/>
      </c>
      <c r="E1930" s="63" t="n"/>
      <c r="F1930" s="66" t="str">
        <f>IF(E1930="","",IFERROR(INDEX(art_des,MATCH($E1930,art_ref,0))&amp;"","Article inconnu"))</f>
        <v/>
      </c>
      <c r="G1930" s="67" t="str">
        <f>IF(E1930="","",IFERROR(INDEX(art_unit,MATCH($E1930,art_ref,0))&amp;"",""))</f>
        <v/>
      </c>
      <c r="H1930" s="68" t="n"/>
      <c r="I1930" s="69" t="n"/>
      <c r="J1930" s="70" t="str">
        <f>IF(E1930="","",IF(ISNUMBER(I1930),I1930,IFERROR(IF(ISNUMBER(INDEX(art_price,MATCH($E1930,art_ref,0))),INDEX(art_price,MATCH($E1930,art_ref,0)),""),"")))</f>
        <v/>
      </c>
      <c r="K1930" s="71" t="n"/>
      <c r="L1930" s="72" t="n"/>
      <c r="M1930" s="72" t="str">
        <f>IF(E1930="","",IF(L1930&lt;&gt;"",L1930,IFERROR(IF(ISNUMBER(INDEX(art_tva,MATCH($E1930,art_ref,0))),INDEX(art_tva,MATCH($E1930,art_ref,0)),""),"")))</f>
        <v/>
      </c>
      <c r="N1930" s="70" t="str">
        <f>IF(OR(E1930="",J1930=""),"",ROUND(N(H1930)*J1930*(1-N(K1930)),2))</f>
        <v/>
      </c>
      <c r="O1930" s="70" t="str">
        <f>IF(OR(N1930="",NOT(ISNUMBER(M1930))),"",ROUND(N1930*M1930,2))</f>
        <v/>
      </c>
      <c r="P1930" s="70" t="str">
        <f>IF(N1930="","",N1930+N(O1930))</f>
        <v/>
      </c>
      <c r="Q1930" s="64" t="n"/>
      <c r="R1930" s="73" t="str">
        <f>IF(N(Q1930)&gt;0,Q1930,IF(OR(N(B1930)=0,ISNA(MATCH($C1930,sup_code,0))),"",IF(ISNUMBER(INDEX(sup_delay,MATCH($C1930,sup_code,0))),B1930+INDEX(sup_delay,MATCH($C1930,sup_code,0)),"")))</f>
        <v/>
      </c>
      <c r="S1930" s="64" t="n"/>
      <c r="T1930" s="68" t="n"/>
      <c r="U1930" s="64" t="n"/>
      <c r="V1930" s="65" t="n"/>
      <c r="W1930" s="74" t="str">
        <f>IF(AND(A1930="",E1930=""),"",IF(V1930="Oui",0,MAX(0,ROUND(N(H1930)-N(T1930),6))))</f>
        <v/>
      </c>
      <c r="X1930" s="67" t="str">
        <f>IF(AND(A1930="",E1930=""),"",IF(V1930="Oui","Annulé",IF(AND(N(H1930)&gt;0,N(T1930)&gt;=N(H1930)),"Reçu",IF(N(S1930)=0,"Brouillon",IF(AND(ISNUMBER(R1930),R1930&lt;p_today),"En retard",IF(N(T1930)&gt;0,"Partiel","Envoyé"))))))</f>
        <v/>
      </c>
      <c r="Y1930" s="75" t="str">
        <f>IF(X1930="En retard",p_today-R1930,IF(AND(X1930="Reçu",ISNUMBER(R1930)),MAX(0,N(U1930)-R1930),""))</f>
        <v/>
      </c>
      <c r="Z1930" s="67" t="str">
        <f>IF(AND(A1930="",E1930=""),"",IF(A1930="","N° de bon manquant",IF(N(B1930)=0,"Date de commande manquante",IF(C1930="","Fournisseur manquant",IF(ISNA(MATCH($C1930,sup_code,0)),"Fournisseur inconnu",IF(E1930="","Article manquant",IF(ISNA(MATCH($E1930,art_ref,0)),"Article inconnu",IF(N(H1930)&lt;=0,"Quantité invalide",IF(J1930="","Prix manquant",IF(OR(N(K1930)&lt;0,N(K1930)&gt;=1),"Remise invalide",IF(M1930="","TVA manquante",IF(ISNA(MATCH(M1930,p_tva,0)),"Taux de TVA inconnu",IF(COUNTIFS(po_num,A1930,po_sup,"&lt;&gt;"&amp;C1930)&gt;0,"Fournisseur différent sur ce bon",IF(COUNTIFS(po_num,A1930,po_date,"&lt;&gt;"&amp;B1930)&gt;0,"Date différente sur ce bon",IF(COUNTIF(po_num,A1930)&gt;25,"Plus de 25 lignes sur ce bon",IF(R1930="","Date de livraison manquante",IF(R1930&lt;B1930,"Livraison avant la commande",IF(AND(N(T1930)&gt;0,N(S1930)=0),"Date d'envoi manquante",IF(N(T1930)&gt;N(H1930),"Reçu plus que commandé",IF(AND(N(T1930)&gt;0,N(U1930)=0),"Date de réception manquante",IF(AND(N(U1930)&gt;0,U1930&lt;B1930),"Réception avant la commande","OK")))))))))))))))))))))</f>
        <v/>
      </c>
      <c r="AA1930" s="66" t="str">
        <f>IF(AND(X1930="Reçu",ISNUMBER(R1930)),IF(N(U1930)&lt;=R1930,1,0),"")</f>
        <v/>
      </c>
      <c r="AB1930" s="76" t="str">
        <f>IF(OR(X1930="Envoyé",X1930="Partiel",X1930="En retard"),IF(ISNUMBER(R1930),R1930,100000)+ROW()/100000,"")</f>
        <v/>
      </c>
      <c r="AC1930" s="66" t="str">
        <f>IF(A1930="","",IF(COUNTIF($A$6:A1930,A1930)=1,1,""))</f>
        <v/>
      </c>
      <c r="AD1930" s="66" t="str">
        <f>IF(AC1930=1,COUNT($AC$6:AC1930),"")</f>
        <v/>
      </c>
      <c r="AE1930" s="66" t="str">
        <f>IFERROR(INDEX(po_num,MATCH(1925,po_seq,0))&amp;"","")</f>
        <v/>
      </c>
      <c r="AF1930" s="66" t="str">
        <f>IF(OR(A1930="",p_po=""),"",IF(A1930&amp;""=p_po,COUNTIF($A$6:A1930,A1930),""))</f>
        <v/>
      </c>
      <c r="AG1930" s="66" t="str">
        <f>IF(OR(AB1930="",A1930=""),"",IF(COUNTIFS($A$6:A1930,A1930,$AB$6:AB1930,"&gt;0")=1,1,""))</f>
        <v/>
      </c>
      <c r="AH1930" s="70" t="str">
        <f>IF(AB1930="","",ROUND(N(W1930)*N(J1930)*(1-N(K1930)),2))</f>
        <v/>
      </c>
      <c r="AI1930" s="70" t="str">
        <f>IF(OR(J1930="",N(T1930)&lt;=0,V1930="Oui"),"",ROUND(N(T1930)*J1930*(1-N(K1930)),2))</f>
        <v/>
      </c>
    </row>
    <row r="1931">
      <c r="A1931" s="63" t="n"/>
      <c r="B1931" s="64" t="n"/>
      <c r="C1931" s="65" t="n"/>
      <c r="D1931" s="66" t="str">
        <f>IF(C1931="","",IFERROR(INDEX(sup_name,MATCH($C1931,sup_code,0))&amp;"","Fournisseur inconnu"))</f>
        <v/>
      </c>
      <c r="E1931" s="63" t="n"/>
      <c r="F1931" s="66" t="str">
        <f>IF(E1931="","",IFERROR(INDEX(art_des,MATCH($E1931,art_ref,0))&amp;"","Article inconnu"))</f>
        <v/>
      </c>
      <c r="G1931" s="67" t="str">
        <f>IF(E1931="","",IFERROR(INDEX(art_unit,MATCH($E1931,art_ref,0))&amp;"",""))</f>
        <v/>
      </c>
      <c r="H1931" s="68" t="n"/>
      <c r="I1931" s="69" t="n"/>
      <c r="J1931" s="70" t="str">
        <f>IF(E1931="","",IF(ISNUMBER(I1931),I1931,IFERROR(IF(ISNUMBER(INDEX(art_price,MATCH($E1931,art_ref,0))),INDEX(art_price,MATCH($E1931,art_ref,0)),""),"")))</f>
        <v/>
      </c>
      <c r="K1931" s="71" t="n"/>
      <c r="L1931" s="72" t="n"/>
      <c r="M1931" s="72" t="str">
        <f>IF(E1931="","",IF(L1931&lt;&gt;"",L1931,IFERROR(IF(ISNUMBER(INDEX(art_tva,MATCH($E1931,art_ref,0))),INDEX(art_tva,MATCH($E1931,art_ref,0)),""),"")))</f>
        <v/>
      </c>
      <c r="N1931" s="70" t="str">
        <f>IF(OR(E1931="",J1931=""),"",ROUND(N(H1931)*J1931*(1-N(K1931)),2))</f>
        <v/>
      </c>
      <c r="O1931" s="70" t="str">
        <f>IF(OR(N1931="",NOT(ISNUMBER(M1931))),"",ROUND(N1931*M1931,2))</f>
        <v/>
      </c>
      <c r="P1931" s="70" t="str">
        <f>IF(N1931="","",N1931+N(O1931))</f>
        <v/>
      </c>
      <c r="Q1931" s="64" t="n"/>
      <c r="R1931" s="73" t="str">
        <f>IF(N(Q1931)&gt;0,Q1931,IF(OR(N(B1931)=0,ISNA(MATCH($C1931,sup_code,0))),"",IF(ISNUMBER(INDEX(sup_delay,MATCH($C1931,sup_code,0))),B1931+INDEX(sup_delay,MATCH($C1931,sup_code,0)),"")))</f>
        <v/>
      </c>
      <c r="S1931" s="64" t="n"/>
      <c r="T1931" s="68" t="n"/>
      <c r="U1931" s="64" t="n"/>
      <c r="V1931" s="65" t="n"/>
      <c r="W1931" s="74" t="str">
        <f>IF(AND(A1931="",E1931=""),"",IF(V1931="Oui",0,MAX(0,ROUND(N(H1931)-N(T1931),6))))</f>
        <v/>
      </c>
      <c r="X1931" s="67" t="str">
        <f>IF(AND(A1931="",E1931=""),"",IF(V1931="Oui","Annulé",IF(AND(N(H1931)&gt;0,N(T1931)&gt;=N(H1931)),"Reçu",IF(N(S1931)=0,"Brouillon",IF(AND(ISNUMBER(R1931),R1931&lt;p_today),"En retard",IF(N(T1931)&gt;0,"Partiel","Envoyé"))))))</f>
        <v/>
      </c>
      <c r="Y1931" s="75" t="str">
        <f>IF(X1931="En retard",p_today-R1931,IF(AND(X1931="Reçu",ISNUMBER(R1931)),MAX(0,N(U1931)-R1931),""))</f>
        <v/>
      </c>
      <c r="Z1931" s="67" t="str">
        <f>IF(AND(A1931="",E1931=""),"",IF(A1931="","N° de bon manquant",IF(N(B1931)=0,"Date de commande manquante",IF(C1931="","Fournisseur manquant",IF(ISNA(MATCH($C1931,sup_code,0)),"Fournisseur inconnu",IF(E1931="","Article manquant",IF(ISNA(MATCH($E1931,art_ref,0)),"Article inconnu",IF(N(H1931)&lt;=0,"Quantité invalide",IF(J1931="","Prix manquant",IF(OR(N(K1931)&lt;0,N(K1931)&gt;=1),"Remise invalide",IF(M1931="","TVA manquante",IF(ISNA(MATCH(M1931,p_tva,0)),"Taux de TVA inconnu",IF(COUNTIFS(po_num,A1931,po_sup,"&lt;&gt;"&amp;C1931)&gt;0,"Fournisseur différent sur ce bon",IF(COUNTIFS(po_num,A1931,po_date,"&lt;&gt;"&amp;B1931)&gt;0,"Date différente sur ce bon",IF(COUNTIF(po_num,A1931)&gt;25,"Plus de 25 lignes sur ce bon",IF(R1931="","Date de livraison manquante",IF(R1931&lt;B1931,"Livraison avant la commande",IF(AND(N(T1931)&gt;0,N(S1931)=0),"Date d'envoi manquante",IF(N(T1931)&gt;N(H1931),"Reçu plus que commandé",IF(AND(N(T1931)&gt;0,N(U1931)=0),"Date de réception manquante",IF(AND(N(U1931)&gt;0,U1931&lt;B1931),"Réception avant la commande","OK")))))))))))))))))))))</f>
        <v/>
      </c>
      <c r="AA1931" s="66" t="str">
        <f>IF(AND(X1931="Reçu",ISNUMBER(R1931)),IF(N(U1931)&lt;=R1931,1,0),"")</f>
        <v/>
      </c>
      <c r="AB1931" s="76" t="str">
        <f>IF(OR(X1931="Envoyé",X1931="Partiel",X1931="En retard"),IF(ISNUMBER(R1931),R1931,100000)+ROW()/100000,"")</f>
        <v/>
      </c>
      <c r="AC1931" s="66" t="str">
        <f>IF(A1931="","",IF(COUNTIF($A$6:A1931,A1931)=1,1,""))</f>
        <v/>
      </c>
      <c r="AD1931" s="66" t="str">
        <f>IF(AC1931=1,COUNT($AC$6:AC1931),"")</f>
        <v/>
      </c>
      <c r="AE1931" s="66" t="str">
        <f>IFERROR(INDEX(po_num,MATCH(1926,po_seq,0))&amp;"","")</f>
        <v/>
      </c>
      <c r="AF1931" s="66" t="str">
        <f>IF(OR(A1931="",p_po=""),"",IF(A1931&amp;""=p_po,COUNTIF($A$6:A1931,A1931),""))</f>
        <v/>
      </c>
      <c r="AG1931" s="66" t="str">
        <f>IF(OR(AB1931="",A1931=""),"",IF(COUNTIFS($A$6:A1931,A1931,$AB$6:AB1931,"&gt;0")=1,1,""))</f>
        <v/>
      </c>
      <c r="AH1931" s="70" t="str">
        <f>IF(AB1931="","",ROUND(N(W1931)*N(J1931)*(1-N(K1931)),2))</f>
        <v/>
      </c>
      <c r="AI1931" s="70" t="str">
        <f>IF(OR(J1931="",N(T1931)&lt;=0,V1931="Oui"),"",ROUND(N(T1931)*J1931*(1-N(K1931)),2))</f>
        <v/>
      </c>
    </row>
    <row r="1932">
      <c r="A1932" s="63" t="n"/>
      <c r="B1932" s="64" t="n"/>
      <c r="C1932" s="65" t="n"/>
      <c r="D1932" s="66" t="str">
        <f>IF(C1932="","",IFERROR(INDEX(sup_name,MATCH($C1932,sup_code,0))&amp;"","Fournisseur inconnu"))</f>
        <v/>
      </c>
      <c r="E1932" s="63" t="n"/>
      <c r="F1932" s="66" t="str">
        <f>IF(E1932="","",IFERROR(INDEX(art_des,MATCH($E1932,art_ref,0))&amp;"","Article inconnu"))</f>
        <v/>
      </c>
      <c r="G1932" s="67" t="str">
        <f>IF(E1932="","",IFERROR(INDEX(art_unit,MATCH($E1932,art_ref,0))&amp;"",""))</f>
        <v/>
      </c>
      <c r="H1932" s="68" t="n"/>
      <c r="I1932" s="69" t="n"/>
      <c r="J1932" s="70" t="str">
        <f>IF(E1932="","",IF(ISNUMBER(I1932),I1932,IFERROR(IF(ISNUMBER(INDEX(art_price,MATCH($E1932,art_ref,0))),INDEX(art_price,MATCH($E1932,art_ref,0)),""),"")))</f>
        <v/>
      </c>
      <c r="K1932" s="71" t="n"/>
      <c r="L1932" s="72" t="n"/>
      <c r="M1932" s="72" t="str">
        <f>IF(E1932="","",IF(L1932&lt;&gt;"",L1932,IFERROR(IF(ISNUMBER(INDEX(art_tva,MATCH($E1932,art_ref,0))),INDEX(art_tva,MATCH($E1932,art_ref,0)),""),"")))</f>
        <v/>
      </c>
      <c r="N1932" s="70" t="str">
        <f>IF(OR(E1932="",J1932=""),"",ROUND(N(H1932)*J1932*(1-N(K1932)),2))</f>
        <v/>
      </c>
      <c r="O1932" s="70" t="str">
        <f>IF(OR(N1932="",NOT(ISNUMBER(M1932))),"",ROUND(N1932*M1932,2))</f>
        <v/>
      </c>
      <c r="P1932" s="70" t="str">
        <f>IF(N1932="","",N1932+N(O1932))</f>
        <v/>
      </c>
      <c r="Q1932" s="64" t="n"/>
      <c r="R1932" s="73" t="str">
        <f>IF(N(Q1932)&gt;0,Q1932,IF(OR(N(B1932)=0,ISNA(MATCH($C1932,sup_code,0))),"",IF(ISNUMBER(INDEX(sup_delay,MATCH($C1932,sup_code,0))),B1932+INDEX(sup_delay,MATCH($C1932,sup_code,0)),"")))</f>
        <v/>
      </c>
      <c r="S1932" s="64" t="n"/>
      <c r="T1932" s="68" t="n"/>
      <c r="U1932" s="64" t="n"/>
      <c r="V1932" s="65" t="n"/>
      <c r="W1932" s="74" t="str">
        <f>IF(AND(A1932="",E1932=""),"",IF(V1932="Oui",0,MAX(0,ROUND(N(H1932)-N(T1932),6))))</f>
        <v/>
      </c>
      <c r="X1932" s="67" t="str">
        <f>IF(AND(A1932="",E1932=""),"",IF(V1932="Oui","Annulé",IF(AND(N(H1932)&gt;0,N(T1932)&gt;=N(H1932)),"Reçu",IF(N(S1932)=0,"Brouillon",IF(AND(ISNUMBER(R1932),R1932&lt;p_today),"En retard",IF(N(T1932)&gt;0,"Partiel","Envoyé"))))))</f>
        <v/>
      </c>
      <c r="Y1932" s="75" t="str">
        <f>IF(X1932="En retard",p_today-R1932,IF(AND(X1932="Reçu",ISNUMBER(R1932)),MAX(0,N(U1932)-R1932),""))</f>
        <v/>
      </c>
      <c r="Z1932" s="67" t="str">
        <f>IF(AND(A1932="",E1932=""),"",IF(A1932="","N° de bon manquant",IF(N(B1932)=0,"Date de commande manquante",IF(C1932="","Fournisseur manquant",IF(ISNA(MATCH($C1932,sup_code,0)),"Fournisseur inconnu",IF(E1932="","Article manquant",IF(ISNA(MATCH($E1932,art_ref,0)),"Article inconnu",IF(N(H1932)&lt;=0,"Quantité invalide",IF(J1932="","Prix manquant",IF(OR(N(K1932)&lt;0,N(K1932)&gt;=1),"Remise invalide",IF(M1932="","TVA manquante",IF(ISNA(MATCH(M1932,p_tva,0)),"Taux de TVA inconnu",IF(COUNTIFS(po_num,A1932,po_sup,"&lt;&gt;"&amp;C1932)&gt;0,"Fournisseur différent sur ce bon",IF(COUNTIFS(po_num,A1932,po_date,"&lt;&gt;"&amp;B1932)&gt;0,"Date différente sur ce bon",IF(COUNTIF(po_num,A1932)&gt;25,"Plus de 25 lignes sur ce bon",IF(R1932="","Date de livraison manquante",IF(R1932&lt;B1932,"Livraison avant la commande",IF(AND(N(T1932)&gt;0,N(S1932)=0),"Date d'envoi manquante",IF(N(T1932)&gt;N(H1932),"Reçu plus que commandé",IF(AND(N(T1932)&gt;0,N(U1932)=0),"Date de réception manquante",IF(AND(N(U1932)&gt;0,U1932&lt;B1932),"Réception avant la commande","OK")))))))))))))))))))))</f>
        <v/>
      </c>
      <c r="AA1932" s="66" t="str">
        <f>IF(AND(X1932="Reçu",ISNUMBER(R1932)),IF(N(U1932)&lt;=R1932,1,0),"")</f>
        <v/>
      </c>
      <c r="AB1932" s="76" t="str">
        <f>IF(OR(X1932="Envoyé",X1932="Partiel",X1932="En retard"),IF(ISNUMBER(R1932),R1932,100000)+ROW()/100000,"")</f>
        <v/>
      </c>
      <c r="AC1932" s="66" t="str">
        <f>IF(A1932="","",IF(COUNTIF($A$6:A1932,A1932)=1,1,""))</f>
        <v/>
      </c>
      <c r="AD1932" s="66" t="str">
        <f>IF(AC1932=1,COUNT($AC$6:AC1932),"")</f>
        <v/>
      </c>
      <c r="AE1932" s="66" t="str">
        <f>IFERROR(INDEX(po_num,MATCH(1927,po_seq,0))&amp;"","")</f>
        <v/>
      </c>
      <c r="AF1932" s="66" t="str">
        <f>IF(OR(A1932="",p_po=""),"",IF(A1932&amp;""=p_po,COUNTIF($A$6:A1932,A1932),""))</f>
        <v/>
      </c>
      <c r="AG1932" s="66" t="str">
        <f>IF(OR(AB1932="",A1932=""),"",IF(COUNTIFS($A$6:A1932,A1932,$AB$6:AB1932,"&gt;0")=1,1,""))</f>
        <v/>
      </c>
      <c r="AH1932" s="70" t="str">
        <f>IF(AB1932="","",ROUND(N(W1932)*N(J1932)*(1-N(K1932)),2))</f>
        <v/>
      </c>
      <c r="AI1932" s="70" t="str">
        <f>IF(OR(J1932="",N(T1932)&lt;=0,V1932="Oui"),"",ROUND(N(T1932)*J1932*(1-N(K1932)),2))</f>
        <v/>
      </c>
    </row>
    <row r="1933">
      <c r="A1933" s="63" t="n"/>
      <c r="B1933" s="64" t="n"/>
      <c r="C1933" s="65" t="n"/>
      <c r="D1933" s="66" t="str">
        <f>IF(C1933="","",IFERROR(INDEX(sup_name,MATCH($C1933,sup_code,0))&amp;"","Fournisseur inconnu"))</f>
        <v/>
      </c>
      <c r="E1933" s="63" t="n"/>
      <c r="F1933" s="66" t="str">
        <f>IF(E1933="","",IFERROR(INDEX(art_des,MATCH($E1933,art_ref,0))&amp;"","Article inconnu"))</f>
        <v/>
      </c>
      <c r="G1933" s="67" t="str">
        <f>IF(E1933="","",IFERROR(INDEX(art_unit,MATCH($E1933,art_ref,0))&amp;"",""))</f>
        <v/>
      </c>
      <c r="H1933" s="68" t="n"/>
      <c r="I1933" s="69" t="n"/>
      <c r="J1933" s="70" t="str">
        <f>IF(E1933="","",IF(ISNUMBER(I1933),I1933,IFERROR(IF(ISNUMBER(INDEX(art_price,MATCH($E1933,art_ref,0))),INDEX(art_price,MATCH($E1933,art_ref,0)),""),"")))</f>
        <v/>
      </c>
      <c r="K1933" s="71" t="n"/>
      <c r="L1933" s="72" t="n"/>
      <c r="M1933" s="72" t="str">
        <f>IF(E1933="","",IF(L1933&lt;&gt;"",L1933,IFERROR(IF(ISNUMBER(INDEX(art_tva,MATCH($E1933,art_ref,0))),INDEX(art_tva,MATCH($E1933,art_ref,0)),""),"")))</f>
        <v/>
      </c>
      <c r="N1933" s="70" t="str">
        <f>IF(OR(E1933="",J1933=""),"",ROUND(N(H1933)*J1933*(1-N(K1933)),2))</f>
        <v/>
      </c>
      <c r="O1933" s="70" t="str">
        <f>IF(OR(N1933="",NOT(ISNUMBER(M1933))),"",ROUND(N1933*M1933,2))</f>
        <v/>
      </c>
      <c r="P1933" s="70" t="str">
        <f>IF(N1933="","",N1933+N(O1933))</f>
        <v/>
      </c>
      <c r="Q1933" s="64" t="n"/>
      <c r="R1933" s="73" t="str">
        <f>IF(N(Q1933)&gt;0,Q1933,IF(OR(N(B1933)=0,ISNA(MATCH($C1933,sup_code,0))),"",IF(ISNUMBER(INDEX(sup_delay,MATCH($C1933,sup_code,0))),B1933+INDEX(sup_delay,MATCH($C1933,sup_code,0)),"")))</f>
        <v/>
      </c>
      <c r="S1933" s="64" t="n"/>
      <c r="T1933" s="68" t="n"/>
      <c r="U1933" s="64" t="n"/>
      <c r="V1933" s="65" t="n"/>
      <c r="W1933" s="74" t="str">
        <f>IF(AND(A1933="",E1933=""),"",IF(V1933="Oui",0,MAX(0,ROUND(N(H1933)-N(T1933),6))))</f>
        <v/>
      </c>
      <c r="X1933" s="67" t="str">
        <f>IF(AND(A1933="",E1933=""),"",IF(V1933="Oui","Annulé",IF(AND(N(H1933)&gt;0,N(T1933)&gt;=N(H1933)),"Reçu",IF(N(S1933)=0,"Brouillon",IF(AND(ISNUMBER(R1933),R1933&lt;p_today),"En retard",IF(N(T1933)&gt;0,"Partiel","Envoyé"))))))</f>
        <v/>
      </c>
      <c r="Y1933" s="75" t="str">
        <f>IF(X1933="En retard",p_today-R1933,IF(AND(X1933="Reçu",ISNUMBER(R1933)),MAX(0,N(U1933)-R1933),""))</f>
        <v/>
      </c>
      <c r="Z1933" s="67" t="str">
        <f>IF(AND(A1933="",E1933=""),"",IF(A1933="","N° de bon manquant",IF(N(B1933)=0,"Date de commande manquante",IF(C1933="","Fournisseur manquant",IF(ISNA(MATCH($C1933,sup_code,0)),"Fournisseur inconnu",IF(E1933="","Article manquant",IF(ISNA(MATCH($E1933,art_ref,0)),"Article inconnu",IF(N(H1933)&lt;=0,"Quantité invalide",IF(J1933="","Prix manquant",IF(OR(N(K1933)&lt;0,N(K1933)&gt;=1),"Remise invalide",IF(M1933="","TVA manquante",IF(ISNA(MATCH(M1933,p_tva,0)),"Taux de TVA inconnu",IF(COUNTIFS(po_num,A1933,po_sup,"&lt;&gt;"&amp;C1933)&gt;0,"Fournisseur différent sur ce bon",IF(COUNTIFS(po_num,A1933,po_date,"&lt;&gt;"&amp;B1933)&gt;0,"Date différente sur ce bon",IF(COUNTIF(po_num,A1933)&gt;25,"Plus de 25 lignes sur ce bon",IF(R1933="","Date de livraison manquante",IF(R1933&lt;B1933,"Livraison avant la commande",IF(AND(N(T1933)&gt;0,N(S1933)=0),"Date d'envoi manquante",IF(N(T1933)&gt;N(H1933),"Reçu plus que commandé",IF(AND(N(T1933)&gt;0,N(U1933)=0),"Date de réception manquante",IF(AND(N(U1933)&gt;0,U1933&lt;B1933),"Réception avant la commande","OK")))))))))))))))))))))</f>
        <v/>
      </c>
      <c r="AA1933" s="66" t="str">
        <f>IF(AND(X1933="Reçu",ISNUMBER(R1933)),IF(N(U1933)&lt;=R1933,1,0),"")</f>
        <v/>
      </c>
      <c r="AB1933" s="76" t="str">
        <f>IF(OR(X1933="Envoyé",X1933="Partiel",X1933="En retard"),IF(ISNUMBER(R1933),R1933,100000)+ROW()/100000,"")</f>
        <v/>
      </c>
      <c r="AC1933" s="66" t="str">
        <f>IF(A1933="","",IF(COUNTIF($A$6:A1933,A1933)=1,1,""))</f>
        <v/>
      </c>
      <c r="AD1933" s="66" t="str">
        <f>IF(AC1933=1,COUNT($AC$6:AC1933),"")</f>
        <v/>
      </c>
      <c r="AE1933" s="66" t="str">
        <f>IFERROR(INDEX(po_num,MATCH(1928,po_seq,0))&amp;"","")</f>
        <v/>
      </c>
      <c r="AF1933" s="66" t="str">
        <f>IF(OR(A1933="",p_po=""),"",IF(A1933&amp;""=p_po,COUNTIF($A$6:A1933,A1933),""))</f>
        <v/>
      </c>
      <c r="AG1933" s="66" t="str">
        <f>IF(OR(AB1933="",A1933=""),"",IF(COUNTIFS($A$6:A1933,A1933,$AB$6:AB1933,"&gt;0")=1,1,""))</f>
        <v/>
      </c>
      <c r="AH1933" s="70" t="str">
        <f>IF(AB1933="","",ROUND(N(W1933)*N(J1933)*(1-N(K1933)),2))</f>
        <v/>
      </c>
      <c r="AI1933" s="70" t="str">
        <f>IF(OR(J1933="",N(T1933)&lt;=0,V1933="Oui"),"",ROUND(N(T1933)*J1933*(1-N(K1933)),2))</f>
        <v/>
      </c>
    </row>
    <row r="1934">
      <c r="A1934" s="63" t="n"/>
      <c r="B1934" s="64" t="n"/>
      <c r="C1934" s="65" t="n"/>
      <c r="D1934" s="66" t="str">
        <f>IF(C1934="","",IFERROR(INDEX(sup_name,MATCH($C1934,sup_code,0))&amp;"","Fournisseur inconnu"))</f>
        <v/>
      </c>
      <c r="E1934" s="63" t="n"/>
      <c r="F1934" s="66" t="str">
        <f>IF(E1934="","",IFERROR(INDEX(art_des,MATCH($E1934,art_ref,0))&amp;"","Article inconnu"))</f>
        <v/>
      </c>
      <c r="G1934" s="67" t="str">
        <f>IF(E1934="","",IFERROR(INDEX(art_unit,MATCH($E1934,art_ref,0))&amp;"",""))</f>
        <v/>
      </c>
      <c r="H1934" s="68" t="n"/>
      <c r="I1934" s="69" t="n"/>
      <c r="J1934" s="70" t="str">
        <f>IF(E1934="","",IF(ISNUMBER(I1934),I1934,IFERROR(IF(ISNUMBER(INDEX(art_price,MATCH($E1934,art_ref,0))),INDEX(art_price,MATCH($E1934,art_ref,0)),""),"")))</f>
        <v/>
      </c>
      <c r="K1934" s="71" t="n"/>
      <c r="L1934" s="72" t="n"/>
      <c r="M1934" s="72" t="str">
        <f>IF(E1934="","",IF(L1934&lt;&gt;"",L1934,IFERROR(IF(ISNUMBER(INDEX(art_tva,MATCH($E1934,art_ref,0))),INDEX(art_tva,MATCH($E1934,art_ref,0)),""),"")))</f>
        <v/>
      </c>
      <c r="N1934" s="70" t="str">
        <f>IF(OR(E1934="",J1934=""),"",ROUND(N(H1934)*J1934*(1-N(K1934)),2))</f>
        <v/>
      </c>
      <c r="O1934" s="70" t="str">
        <f>IF(OR(N1934="",NOT(ISNUMBER(M1934))),"",ROUND(N1934*M1934,2))</f>
        <v/>
      </c>
      <c r="P1934" s="70" t="str">
        <f>IF(N1934="","",N1934+N(O1934))</f>
        <v/>
      </c>
      <c r="Q1934" s="64" t="n"/>
      <c r="R1934" s="73" t="str">
        <f>IF(N(Q1934)&gt;0,Q1934,IF(OR(N(B1934)=0,ISNA(MATCH($C1934,sup_code,0))),"",IF(ISNUMBER(INDEX(sup_delay,MATCH($C1934,sup_code,0))),B1934+INDEX(sup_delay,MATCH($C1934,sup_code,0)),"")))</f>
        <v/>
      </c>
      <c r="S1934" s="64" t="n"/>
      <c r="T1934" s="68" t="n"/>
      <c r="U1934" s="64" t="n"/>
      <c r="V1934" s="65" t="n"/>
      <c r="W1934" s="74" t="str">
        <f>IF(AND(A1934="",E1934=""),"",IF(V1934="Oui",0,MAX(0,ROUND(N(H1934)-N(T1934),6))))</f>
        <v/>
      </c>
      <c r="X1934" s="67" t="str">
        <f>IF(AND(A1934="",E1934=""),"",IF(V1934="Oui","Annulé",IF(AND(N(H1934)&gt;0,N(T1934)&gt;=N(H1934)),"Reçu",IF(N(S1934)=0,"Brouillon",IF(AND(ISNUMBER(R1934),R1934&lt;p_today),"En retard",IF(N(T1934)&gt;0,"Partiel","Envoyé"))))))</f>
        <v/>
      </c>
      <c r="Y1934" s="75" t="str">
        <f>IF(X1934="En retard",p_today-R1934,IF(AND(X1934="Reçu",ISNUMBER(R1934)),MAX(0,N(U1934)-R1934),""))</f>
        <v/>
      </c>
      <c r="Z1934" s="67" t="str">
        <f>IF(AND(A1934="",E1934=""),"",IF(A1934="","N° de bon manquant",IF(N(B1934)=0,"Date de commande manquante",IF(C1934="","Fournisseur manquant",IF(ISNA(MATCH($C1934,sup_code,0)),"Fournisseur inconnu",IF(E1934="","Article manquant",IF(ISNA(MATCH($E1934,art_ref,0)),"Article inconnu",IF(N(H1934)&lt;=0,"Quantité invalide",IF(J1934="","Prix manquant",IF(OR(N(K1934)&lt;0,N(K1934)&gt;=1),"Remise invalide",IF(M1934="","TVA manquante",IF(ISNA(MATCH(M1934,p_tva,0)),"Taux de TVA inconnu",IF(COUNTIFS(po_num,A1934,po_sup,"&lt;&gt;"&amp;C1934)&gt;0,"Fournisseur différent sur ce bon",IF(COUNTIFS(po_num,A1934,po_date,"&lt;&gt;"&amp;B1934)&gt;0,"Date différente sur ce bon",IF(COUNTIF(po_num,A1934)&gt;25,"Plus de 25 lignes sur ce bon",IF(R1934="","Date de livraison manquante",IF(R1934&lt;B1934,"Livraison avant la commande",IF(AND(N(T1934)&gt;0,N(S1934)=0),"Date d'envoi manquante",IF(N(T1934)&gt;N(H1934),"Reçu plus que commandé",IF(AND(N(T1934)&gt;0,N(U1934)=0),"Date de réception manquante",IF(AND(N(U1934)&gt;0,U1934&lt;B1934),"Réception avant la commande","OK")))))))))))))))))))))</f>
        <v/>
      </c>
      <c r="AA1934" s="66" t="str">
        <f>IF(AND(X1934="Reçu",ISNUMBER(R1934)),IF(N(U1934)&lt;=R1934,1,0),"")</f>
        <v/>
      </c>
      <c r="AB1934" s="76" t="str">
        <f>IF(OR(X1934="Envoyé",X1934="Partiel",X1934="En retard"),IF(ISNUMBER(R1934),R1934,100000)+ROW()/100000,"")</f>
        <v/>
      </c>
      <c r="AC1934" s="66" t="str">
        <f>IF(A1934="","",IF(COUNTIF($A$6:A1934,A1934)=1,1,""))</f>
        <v/>
      </c>
      <c r="AD1934" s="66" t="str">
        <f>IF(AC1934=1,COUNT($AC$6:AC1934),"")</f>
        <v/>
      </c>
      <c r="AE1934" s="66" t="str">
        <f>IFERROR(INDEX(po_num,MATCH(1929,po_seq,0))&amp;"","")</f>
        <v/>
      </c>
      <c r="AF1934" s="66" t="str">
        <f>IF(OR(A1934="",p_po=""),"",IF(A1934&amp;""=p_po,COUNTIF($A$6:A1934,A1934),""))</f>
        <v/>
      </c>
      <c r="AG1934" s="66" t="str">
        <f>IF(OR(AB1934="",A1934=""),"",IF(COUNTIFS($A$6:A1934,A1934,$AB$6:AB1934,"&gt;0")=1,1,""))</f>
        <v/>
      </c>
      <c r="AH1934" s="70" t="str">
        <f>IF(AB1934="","",ROUND(N(W1934)*N(J1934)*(1-N(K1934)),2))</f>
        <v/>
      </c>
      <c r="AI1934" s="70" t="str">
        <f>IF(OR(J1934="",N(T1934)&lt;=0,V1934="Oui"),"",ROUND(N(T1934)*J1934*(1-N(K1934)),2))</f>
        <v/>
      </c>
    </row>
    <row r="1935">
      <c r="A1935" s="63" t="n"/>
      <c r="B1935" s="64" t="n"/>
      <c r="C1935" s="65" t="n"/>
      <c r="D1935" s="66" t="str">
        <f>IF(C1935="","",IFERROR(INDEX(sup_name,MATCH($C1935,sup_code,0))&amp;"","Fournisseur inconnu"))</f>
        <v/>
      </c>
      <c r="E1935" s="63" t="n"/>
      <c r="F1935" s="66" t="str">
        <f>IF(E1935="","",IFERROR(INDEX(art_des,MATCH($E1935,art_ref,0))&amp;"","Article inconnu"))</f>
        <v/>
      </c>
      <c r="G1935" s="67" t="str">
        <f>IF(E1935="","",IFERROR(INDEX(art_unit,MATCH($E1935,art_ref,0))&amp;"",""))</f>
        <v/>
      </c>
      <c r="H1935" s="68" t="n"/>
      <c r="I1935" s="69" t="n"/>
      <c r="J1935" s="70" t="str">
        <f>IF(E1935="","",IF(ISNUMBER(I1935),I1935,IFERROR(IF(ISNUMBER(INDEX(art_price,MATCH($E1935,art_ref,0))),INDEX(art_price,MATCH($E1935,art_ref,0)),""),"")))</f>
        <v/>
      </c>
      <c r="K1935" s="71" t="n"/>
      <c r="L1935" s="72" t="n"/>
      <c r="M1935" s="72" t="str">
        <f>IF(E1935="","",IF(L1935&lt;&gt;"",L1935,IFERROR(IF(ISNUMBER(INDEX(art_tva,MATCH($E1935,art_ref,0))),INDEX(art_tva,MATCH($E1935,art_ref,0)),""),"")))</f>
        <v/>
      </c>
      <c r="N1935" s="70" t="str">
        <f>IF(OR(E1935="",J1935=""),"",ROUND(N(H1935)*J1935*(1-N(K1935)),2))</f>
        <v/>
      </c>
      <c r="O1935" s="70" t="str">
        <f>IF(OR(N1935="",NOT(ISNUMBER(M1935))),"",ROUND(N1935*M1935,2))</f>
        <v/>
      </c>
      <c r="P1935" s="70" t="str">
        <f>IF(N1935="","",N1935+N(O1935))</f>
        <v/>
      </c>
      <c r="Q1935" s="64" t="n"/>
      <c r="R1935" s="73" t="str">
        <f>IF(N(Q1935)&gt;0,Q1935,IF(OR(N(B1935)=0,ISNA(MATCH($C1935,sup_code,0))),"",IF(ISNUMBER(INDEX(sup_delay,MATCH($C1935,sup_code,0))),B1935+INDEX(sup_delay,MATCH($C1935,sup_code,0)),"")))</f>
        <v/>
      </c>
      <c r="S1935" s="64" t="n"/>
      <c r="T1935" s="68" t="n"/>
      <c r="U1935" s="64" t="n"/>
      <c r="V1935" s="65" t="n"/>
      <c r="W1935" s="74" t="str">
        <f>IF(AND(A1935="",E1935=""),"",IF(V1935="Oui",0,MAX(0,ROUND(N(H1935)-N(T1935),6))))</f>
        <v/>
      </c>
      <c r="X1935" s="67" t="str">
        <f>IF(AND(A1935="",E1935=""),"",IF(V1935="Oui","Annulé",IF(AND(N(H1935)&gt;0,N(T1935)&gt;=N(H1935)),"Reçu",IF(N(S1935)=0,"Brouillon",IF(AND(ISNUMBER(R1935),R1935&lt;p_today),"En retard",IF(N(T1935)&gt;0,"Partiel","Envoyé"))))))</f>
        <v/>
      </c>
      <c r="Y1935" s="75" t="str">
        <f>IF(X1935="En retard",p_today-R1935,IF(AND(X1935="Reçu",ISNUMBER(R1935)),MAX(0,N(U1935)-R1935),""))</f>
        <v/>
      </c>
      <c r="Z1935" s="67" t="str">
        <f>IF(AND(A1935="",E1935=""),"",IF(A1935="","N° de bon manquant",IF(N(B1935)=0,"Date de commande manquante",IF(C1935="","Fournisseur manquant",IF(ISNA(MATCH($C1935,sup_code,0)),"Fournisseur inconnu",IF(E1935="","Article manquant",IF(ISNA(MATCH($E1935,art_ref,0)),"Article inconnu",IF(N(H1935)&lt;=0,"Quantité invalide",IF(J1935="","Prix manquant",IF(OR(N(K1935)&lt;0,N(K1935)&gt;=1),"Remise invalide",IF(M1935="","TVA manquante",IF(ISNA(MATCH(M1935,p_tva,0)),"Taux de TVA inconnu",IF(COUNTIFS(po_num,A1935,po_sup,"&lt;&gt;"&amp;C1935)&gt;0,"Fournisseur différent sur ce bon",IF(COUNTIFS(po_num,A1935,po_date,"&lt;&gt;"&amp;B1935)&gt;0,"Date différente sur ce bon",IF(COUNTIF(po_num,A1935)&gt;25,"Plus de 25 lignes sur ce bon",IF(R1935="","Date de livraison manquante",IF(R1935&lt;B1935,"Livraison avant la commande",IF(AND(N(T1935)&gt;0,N(S1935)=0),"Date d'envoi manquante",IF(N(T1935)&gt;N(H1935),"Reçu plus que commandé",IF(AND(N(T1935)&gt;0,N(U1935)=0),"Date de réception manquante",IF(AND(N(U1935)&gt;0,U1935&lt;B1935),"Réception avant la commande","OK")))))))))))))))))))))</f>
        <v/>
      </c>
      <c r="AA1935" s="66" t="str">
        <f>IF(AND(X1935="Reçu",ISNUMBER(R1935)),IF(N(U1935)&lt;=R1935,1,0),"")</f>
        <v/>
      </c>
      <c r="AB1935" s="76" t="str">
        <f>IF(OR(X1935="Envoyé",X1935="Partiel",X1935="En retard"),IF(ISNUMBER(R1935),R1935,100000)+ROW()/100000,"")</f>
        <v/>
      </c>
      <c r="AC1935" s="66" t="str">
        <f>IF(A1935="","",IF(COUNTIF($A$6:A1935,A1935)=1,1,""))</f>
        <v/>
      </c>
      <c r="AD1935" s="66" t="str">
        <f>IF(AC1935=1,COUNT($AC$6:AC1935),"")</f>
        <v/>
      </c>
      <c r="AE1935" s="66" t="str">
        <f>IFERROR(INDEX(po_num,MATCH(1930,po_seq,0))&amp;"","")</f>
        <v/>
      </c>
      <c r="AF1935" s="66" t="str">
        <f>IF(OR(A1935="",p_po=""),"",IF(A1935&amp;""=p_po,COUNTIF($A$6:A1935,A1935),""))</f>
        <v/>
      </c>
      <c r="AG1935" s="66" t="str">
        <f>IF(OR(AB1935="",A1935=""),"",IF(COUNTIFS($A$6:A1935,A1935,$AB$6:AB1935,"&gt;0")=1,1,""))</f>
        <v/>
      </c>
      <c r="AH1935" s="70" t="str">
        <f>IF(AB1935="","",ROUND(N(W1935)*N(J1935)*(1-N(K1935)),2))</f>
        <v/>
      </c>
      <c r="AI1935" s="70" t="str">
        <f>IF(OR(J1935="",N(T1935)&lt;=0,V1935="Oui"),"",ROUND(N(T1935)*J1935*(1-N(K1935)),2))</f>
        <v/>
      </c>
    </row>
    <row r="1936">
      <c r="A1936" s="63" t="n"/>
      <c r="B1936" s="64" t="n"/>
      <c r="C1936" s="65" t="n"/>
      <c r="D1936" s="66" t="str">
        <f>IF(C1936="","",IFERROR(INDEX(sup_name,MATCH($C1936,sup_code,0))&amp;"","Fournisseur inconnu"))</f>
        <v/>
      </c>
      <c r="E1936" s="63" t="n"/>
      <c r="F1936" s="66" t="str">
        <f>IF(E1936="","",IFERROR(INDEX(art_des,MATCH($E1936,art_ref,0))&amp;"","Article inconnu"))</f>
        <v/>
      </c>
      <c r="G1936" s="67" t="str">
        <f>IF(E1936="","",IFERROR(INDEX(art_unit,MATCH($E1936,art_ref,0))&amp;"",""))</f>
        <v/>
      </c>
      <c r="H1936" s="68" t="n"/>
      <c r="I1936" s="69" t="n"/>
      <c r="J1936" s="70" t="str">
        <f>IF(E1936="","",IF(ISNUMBER(I1936),I1936,IFERROR(IF(ISNUMBER(INDEX(art_price,MATCH($E1936,art_ref,0))),INDEX(art_price,MATCH($E1936,art_ref,0)),""),"")))</f>
        <v/>
      </c>
      <c r="K1936" s="71" t="n"/>
      <c r="L1936" s="72" t="n"/>
      <c r="M1936" s="72" t="str">
        <f>IF(E1936="","",IF(L1936&lt;&gt;"",L1936,IFERROR(IF(ISNUMBER(INDEX(art_tva,MATCH($E1936,art_ref,0))),INDEX(art_tva,MATCH($E1936,art_ref,0)),""),"")))</f>
        <v/>
      </c>
      <c r="N1936" s="70" t="str">
        <f>IF(OR(E1936="",J1936=""),"",ROUND(N(H1936)*J1936*(1-N(K1936)),2))</f>
        <v/>
      </c>
      <c r="O1936" s="70" t="str">
        <f>IF(OR(N1936="",NOT(ISNUMBER(M1936))),"",ROUND(N1936*M1936,2))</f>
        <v/>
      </c>
      <c r="P1936" s="70" t="str">
        <f>IF(N1936="","",N1936+N(O1936))</f>
        <v/>
      </c>
      <c r="Q1936" s="64" t="n"/>
      <c r="R1936" s="73" t="str">
        <f>IF(N(Q1936)&gt;0,Q1936,IF(OR(N(B1936)=0,ISNA(MATCH($C1936,sup_code,0))),"",IF(ISNUMBER(INDEX(sup_delay,MATCH($C1936,sup_code,0))),B1936+INDEX(sup_delay,MATCH($C1936,sup_code,0)),"")))</f>
        <v/>
      </c>
      <c r="S1936" s="64" t="n"/>
      <c r="T1936" s="68" t="n"/>
      <c r="U1936" s="64" t="n"/>
      <c r="V1936" s="65" t="n"/>
      <c r="W1936" s="74" t="str">
        <f>IF(AND(A1936="",E1936=""),"",IF(V1936="Oui",0,MAX(0,ROUND(N(H1936)-N(T1936),6))))</f>
        <v/>
      </c>
      <c r="X1936" s="67" t="str">
        <f>IF(AND(A1936="",E1936=""),"",IF(V1936="Oui","Annulé",IF(AND(N(H1936)&gt;0,N(T1936)&gt;=N(H1936)),"Reçu",IF(N(S1936)=0,"Brouillon",IF(AND(ISNUMBER(R1936),R1936&lt;p_today),"En retard",IF(N(T1936)&gt;0,"Partiel","Envoyé"))))))</f>
        <v/>
      </c>
      <c r="Y1936" s="75" t="str">
        <f>IF(X1936="En retard",p_today-R1936,IF(AND(X1936="Reçu",ISNUMBER(R1936)),MAX(0,N(U1936)-R1936),""))</f>
        <v/>
      </c>
      <c r="Z1936" s="67" t="str">
        <f>IF(AND(A1936="",E1936=""),"",IF(A1936="","N° de bon manquant",IF(N(B1936)=0,"Date de commande manquante",IF(C1936="","Fournisseur manquant",IF(ISNA(MATCH($C1936,sup_code,0)),"Fournisseur inconnu",IF(E1936="","Article manquant",IF(ISNA(MATCH($E1936,art_ref,0)),"Article inconnu",IF(N(H1936)&lt;=0,"Quantité invalide",IF(J1936="","Prix manquant",IF(OR(N(K1936)&lt;0,N(K1936)&gt;=1),"Remise invalide",IF(M1936="","TVA manquante",IF(ISNA(MATCH(M1936,p_tva,0)),"Taux de TVA inconnu",IF(COUNTIFS(po_num,A1936,po_sup,"&lt;&gt;"&amp;C1936)&gt;0,"Fournisseur différent sur ce bon",IF(COUNTIFS(po_num,A1936,po_date,"&lt;&gt;"&amp;B1936)&gt;0,"Date différente sur ce bon",IF(COUNTIF(po_num,A1936)&gt;25,"Plus de 25 lignes sur ce bon",IF(R1936="","Date de livraison manquante",IF(R1936&lt;B1936,"Livraison avant la commande",IF(AND(N(T1936)&gt;0,N(S1936)=0),"Date d'envoi manquante",IF(N(T1936)&gt;N(H1936),"Reçu plus que commandé",IF(AND(N(T1936)&gt;0,N(U1936)=0),"Date de réception manquante",IF(AND(N(U1936)&gt;0,U1936&lt;B1936),"Réception avant la commande","OK")))))))))))))))))))))</f>
        <v/>
      </c>
      <c r="AA1936" s="66" t="str">
        <f>IF(AND(X1936="Reçu",ISNUMBER(R1936)),IF(N(U1936)&lt;=R1936,1,0),"")</f>
        <v/>
      </c>
      <c r="AB1936" s="76" t="str">
        <f>IF(OR(X1936="Envoyé",X1936="Partiel",X1936="En retard"),IF(ISNUMBER(R1936),R1936,100000)+ROW()/100000,"")</f>
        <v/>
      </c>
      <c r="AC1936" s="66" t="str">
        <f>IF(A1936="","",IF(COUNTIF($A$6:A1936,A1936)=1,1,""))</f>
        <v/>
      </c>
      <c r="AD1936" s="66" t="str">
        <f>IF(AC1936=1,COUNT($AC$6:AC1936),"")</f>
        <v/>
      </c>
      <c r="AE1936" s="66" t="str">
        <f>IFERROR(INDEX(po_num,MATCH(1931,po_seq,0))&amp;"","")</f>
        <v/>
      </c>
      <c r="AF1936" s="66" t="str">
        <f>IF(OR(A1936="",p_po=""),"",IF(A1936&amp;""=p_po,COUNTIF($A$6:A1936,A1936),""))</f>
        <v/>
      </c>
      <c r="AG1936" s="66" t="str">
        <f>IF(OR(AB1936="",A1936=""),"",IF(COUNTIFS($A$6:A1936,A1936,$AB$6:AB1936,"&gt;0")=1,1,""))</f>
        <v/>
      </c>
      <c r="AH1936" s="70" t="str">
        <f>IF(AB1936="","",ROUND(N(W1936)*N(J1936)*(1-N(K1936)),2))</f>
        <v/>
      </c>
      <c r="AI1936" s="70" t="str">
        <f>IF(OR(J1936="",N(T1936)&lt;=0,V1936="Oui"),"",ROUND(N(T1936)*J1936*(1-N(K1936)),2))</f>
        <v/>
      </c>
    </row>
    <row r="1937">
      <c r="A1937" s="63" t="n"/>
      <c r="B1937" s="64" t="n"/>
      <c r="C1937" s="65" t="n"/>
      <c r="D1937" s="66" t="str">
        <f>IF(C1937="","",IFERROR(INDEX(sup_name,MATCH($C1937,sup_code,0))&amp;"","Fournisseur inconnu"))</f>
        <v/>
      </c>
      <c r="E1937" s="63" t="n"/>
      <c r="F1937" s="66" t="str">
        <f>IF(E1937="","",IFERROR(INDEX(art_des,MATCH($E1937,art_ref,0))&amp;"","Article inconnu"))</f>
        <v/>
      </c>
      <c r="G1937" s="67" t="str">
        <f>IF(E1937="","",IFERROR(INDEX(art_unit,MATCH($E1937,art_ref,0))&amp;"",""))</f>
        <v/>
      </c>
      <c r="H1937" s="68" t="n"/>
      <c r="I1937" s="69" t="n"/>
      <c r="J1937" s="70" t="str">
        <f>IF(E1937="","",IF(ISNUMBER(I1937),I1937,IFERROR(IF(ISNUMBER(INDEX(art_price,MATCH($E1937,art_ref,0))),INDEX(art_price,MATCH($E1937,art_ref,0)),""),"")))</f>
        <v/>
      </c>
      <c r="K1937" s="71" t="n"/>
      <c r="L1937" s="72" t="n"/>
      <c r="M1937" s="72" t="str">
        <f>IF(E1937="","",IF(L1937&lt;&gt;"",L1937,IFERROR(IF(ISNUMBER(INDEX(art_tva,MATCH($E1937,art_ref,0))),INDEX(art_tva,MATCH($E1937,art_ref,0)),""),"")))</f>
        <v/>
      </c>
      <c r="N1937" s="70" t="str">
        <f>IF(OR(E1937="",J1937=""),"",ROUND(N(H1937)*J1937*(1-N(K1937)),2))</f>
        <v/>
      </c>
      <c r="O1937" s="70" t="str">
        <f>IF(OR(N1937="",NOT(ISNUMBER(M1937))),"",ROUND(N1937*M1937,2))</f>
        <v/>
      </c>
      <c r="P1937" s="70" t="str">
        <f>IF(N1937="","",N1937+N(O1937))</f>
        <v/>
      </c>
      <c r="Q1937" s="64" t="n"/>
      <c r="R1937" s="73" t="str">
        <f>IF(N(Q1937)&gt;0,Q1937,IF(OR(N(B1937)=0,ISNA(MATCH($C1937,sup_code,0))),"",IF(ISNUMBER(INDEX(sup_delay,MATCH($C1937,sup_code,0))),B1937+INDEX(sup_delay,MATCH($C1937,sup_code,0)),"")))</f>
        <v/>
      </c>
      <c r="S1937" s="64" t="n"/>
      <c r="T1937" s="68" t="n"/>
      <c r="U1937" s="64" t="n"/>
      <c r="V1937" s="65" t="n"/>
      <c r="W1937" s="74" t="str">
        <f>IF(AND(A1937="",E1937=""),"",IF(V1937="Oui",0,MAX(0,ROUND(N(H1937)-N(T1937),6))))</f>
        <v/>
      </c>
      <c r="X1937" s="67" t="str">
        <f>IF(AND(A1937="",E1937=""),"",IF(V1937="Oui","Annulé",IF(AND(N(H1937)&gt;0,N(T1937)&gt;=N(H1937)),"Reçu",IF(N(S1937)=0,"Brouillon",IF(AND(ISNUMBER(R1937),R1937&lt;p_today),"En retard",IF(N(T1937)&gt;0,"Partiel","Envoyé"))))))</f>
        <v/>
      </c>
      <c r="Y1937" s="75" t="str">
        <f>IF(X1937="En retard",p_today-R1937,IF(AND(X1937="Reçu",ISNUMBER(R1937)),MAX(0,N(U1937)-R1937),""))</f>
        <v/>
      </c>
      <c r="Z1937" s="67" t="str">
        <f>IF(AND(A1937="",E1937=""),"",IF(A1937="","N° de bon manquant",IF(N(B1937)=0,"Date de commande manquante",IF(C1937="","Fournisseur manquant",IF(ISNA(MATCH($C1937,sup_code,0)),"Fournisseur inconnu",IF(E1937="","Article manquant",IF(ISNA(MATCH($E1937,art_ref,0)),"Article inconnu",IF(N(H1937)&lt;=0,"Quantité invalide",IF(J1937="","Prix manquant",IF(OR(N(K1937)&lt;0,N(K1937)&gt;=1),"Remise invalide",IF(M1937="","TVA manquante",IF(ISNA(MATCH(M1937,p_tva,0)),"Taux de TVA inconnu",IF(COUNTIFS(po_num,A1937,po_sup,"&lt;&gt;"&amp;C1937)&gt;0,"Fournisseur différent sur ce bon",IF(COUNTIFS(po_num,A1937,po_date,"&lt;&gt;"&amp;B1937)&gt;0,"Date différente sur ce bon",IF(COUNTIF(po_num,A1937)&gt;25,"Plus de 25 lignes sur ce bon",IF(R1937="","Date de livraison manquante",IF(R1937&lt;B1937,"Livraison avant la commande",IF(AND(N(T1937)&gt;0,N(S1937)=0),"Date d'envoi manquante",IF(N(T1937)&gt;N(H1937),"Reçu plus que commandé",IF(AND(N(T1937)&gt;0,N(U1937)=0),"Date de réception manquante",IF(AND(N(U1937)&gt;0,U1937&lt;B1937),"Réception avant la commande","OK")))))))))))))))))))))</f>
        <v/>
      </c>
      <c r="AA1937" s="66" t="str">
        <f>IF(AND(X1937="Reçu",ISNUMBER(R1937)),IF(N(U1937)&lt;=R1937,1,0),"")</f>
        <v/>
      </c>
      <c r="AB1937" s="76" t="str">
        <f>IF(OR(X1937="Envoyé",X1937="Partiel",X1937="En retard"),IF(ISNUMBER(R1937),R1937,100000)+ROW()/100000,"")</f>
        <v/>
      </c>
      <c r="AC1937" s="66" t="str">
        <f>IF(A1937="","",IF(COUNTIF($A$6:A1937,A1937)=1,1,""))</f>
        <v/>
      </c>
      <c r="AD1937" s="66" t="str">
        <f>IF(AC1937=1,COUNT($AC$6:AC1937),"")</f>
        <v/>
      </c>
      <c r="AE1937" s="66" t="str">
        <f>IFERROR(INDEX(po_num,MATCH(1932,po_seq,0))&amp;"","")</f>
        <v/>
      </c>
      <c r="AF1937" s="66" t="str">
        <f>IF(OR(A1937="",p_po=""),"",IF(A1937&amp;""=p_po,COUNTIF($A$6:A1937,A1937),""))</f>
        <v/>
      </c>
      <c r="AG1937" s="66" t="str">
        <f>IF(OR(AB1937="",A1937=""),"",IF(COUNTIFS($A$6:A1937,A1937,$AB$6:AB1937,"&gt;0")=1,1,""))</f>
        <v/>
      </c>
      <c r="AH1937" s="70" t="str">
        <f>IF(AB1937="","",ROUND(N(W1937)*N(J1937)*(1-N(K1937)),2))</f>
        <v/>
      </c>
      <c r="AI1937" s="70" t="str">
        <f>IF(OR(J1937="",N(T1937)&lt;=0,V1937="Oui"),"",ROUND(N(T1937)*J1937*(1-N(K1937)),2))</f>
        <v/>
      </c>
    </row>
    <row r="1938">
      <c r="A1938" s="63" t="n"/>
      <c r="B1938" s="64" t="n"/>
      <c r="C1938" s="65" t="n"/>
      <c r="D1938" s="66" t="str">
        <f>IF(C1938="","",IFERROR(INDEX(sup_name,MATCH($C1938,sup_code,0))&amp;"","Fournisseur inconnu"))</f>
        <v/>
      </c>
      <c r="E1938" s="63" t="n"/>
      <c r="F1938" s="66" t="str">
        <f>IF(E1938="","",IFERROR(INDEX(art_des,MATCH($E1938,art_ref,0))&amp;"","Article inconnu"))</f>
        <v/>
      </c>
      <c r="G1938" s="67" t="str">
        <f>IF(E1938="","",IFERROR(INDEX(art_unit,MATCH($E1938,art_ref,0))&amp;"",""))</f>
        <v/>
      </c>
      <c r="H1938" s="68" t="n"/>
      <c r="I1938" s="69" t="n"/>
      <c r="J1938" s="70" t="str">
        <f>IF(E1938="","",IF(ISNUMBER(I1938),I1938,IFERROR(IF(ISNUMBER(INDEX(art_price,MATCH($E1938,art_ref,0))),INDEX(art_price,MATCH($E1938,art_ref,0)),""),"")))</f>
        <v/>
      </c>
      <c r="K1938" s="71" t="n"/>
      <c r="L1938" s="72" t="n"/>
      <c r="M1938" s="72" t="str">
        <f>IF(E1938="","",IF(L1938&lt;&gt;"",L1938,IFERROR(IF(ISNUMBER(INDEX(art_tva,MATCH($E1938,art_ref,0))),INDEX(art_tva,MATCH($E1938,art_ref,0)),""),"")))</f>
        <v/>
      </c>
      <c r="N1938" s="70" t="str">
        <f>IF(OR(E1938="",J1938=""),"",ROUND(N(H1938)*J1938*(1-N(K1938)),2))</f>
        <v/>
      </c>
      <c r="O1938" s="70" t="str">
        <f>IF(OR(N1938="",NOT(ISNUMBER(M1938))),"",ROUND(N1938*M1938,2))</f>
        <v/>
      </c>
      <c r="P1938" s="70" t="str">
        <f>IF(N1938="","",N1938+N(O1938))</f>
        <v/>
      </c>
      <c r="Q1938" s="64" t="n"/>
      <c r="R1938" s="73" t="str">
        <f>IF(N(Q1938)&gt;0,Q1938,IF(OR(N(B1938)=0,ISNA(MATCH($C1938,sup_code,0))),"",IF(ISNUMBER(INDEX(sup_delay,MATCH($C1938,sup_code,0))),B1938+INDEX(sup_delay,MATCH($C1938,sup_code,0)),"")))</f>
        <v/>
      </c>
      <c r="S1938" s="64" t="n"/>
      <c r="T1938" s="68" t="n"/>
      <c r="U1938" s="64" t="n"/>
      <c r="V1938" s="65" t="n"/>
      <c r="W1938" s="74" t="str">
        <f>IF(AND(A1938="",E1938=""),"",IF(V1938="Oui",0,MAX(0,ROUND(N(H1938)-N(T1938),6))))</f>
        <v/>
      </c>
      <c r="X1938" s="67" t="str">
        <f>IF(AND(A1938="",E1938=""),"",IF(V1938="Oui","Annulé",IF(AND(N(H1938)&gt;0,N(T1938)&gt;=N(H1938)),"Reçu",IF(N(S1938)=0,"Brouillon",IF(AND(ISNUMBER(R1938),R1938&lt;p_today),"En retard",IF(N(T1938)&gt;0,"Partiel","Envoyé"))))))</f>
        <v/>
      </c>
      <c r="Y1938" s="75" t="str">
        <f>IF(X1938="En retard",p_today-R1938,IF(AND(X1938="Reçu",ISNUMBER(R1938)),MAX(0,N(U1938)-R1938),""))</f>
        <v/>
      </c>
      <c r="Z1938" s="67" t="str">
        <f>IF(AND(A1938="",E1938=""),"",IF(A1938="","N° de bon manquant",IF(N(B1938)=0,"Date de commande manquante",IF(C1938="","Fournisseur manquant",IF(ISNA(MATCH($C1938,sup_code,0)),"Fournisseur inconnu",IF(E1938="","Article manquant",IF(ISNA(MATCH($E1938,art_ref,0)),"Article inconnu",IF(N(H1938)&lt;=0,"Quantité invalide",IF(J1938="","Prix manquant",IF(OR(N(K1938)&lt;0,N(K1938)&gt;=1),"Remise invalide",IF(M1938="","TVA manquante",IF(ISNA(MATCH(M1938,p_tva,0)),"Taux de TVA inconnu",IF(COUNTIFS(po_num,A1938,po_sup,"&lt;&gt;"&amp;C1938)&gt;0,"Fournisseur différent sur ce bon",IF(COUNTIFS(po_num,A1938,po_date,"&lt;&gt;"&amp;B1938)&gt;0,"Date différente sur ce bon",IF(COUNTIF(po_num,A1938)&gt;25,"Plus de 25 lignes sur ce bon",IF(R1938="","Date de livraison manquante",IF(R1938&lt;B1938,"Livraison avant la commande",IF(AND(N(T1938)&gt;0,N(S1938)=0),"Date d'envoi manquante",IF(N(T1938)&gt;N(H1938),"Reçu plus que commandé",IF(AND(N(T1938)&gt;0,N(U1938)=0),"Date de réception manquante",IF(AND(N(U1938)&gt;0,U1938&lt;B1938),"Réception avant la commande","OK")))))))))))))))))))))</f>
        <v/>
      </c>
      <c r="AA1938" s="66" t="str">
        <f>IF(AND(X1938="Reçu",ISNUMBER(R1938)),IF(N(U1938)&lt;=R1938,1,0),"")</f>
        <v/>
      </c>
      <c r="AB1938" s="76" t="str">
        <f>IF(OR(X1938="Envoyé",X1938="Partiel",X1938="En retard"),IF(ISNUMBER(R1938),R1938,100000)+ROW()/100000,"")</f>
        <v/>
      </c>
      <c r="AC1938" s="66" t="str">
        <f>IF(A1938="","",IF(COUNTIF($A$6:A1938,A1938)=1,1,""))</f>
        <v/>
      </c>
      <c r="AD1938" s="66" t="str">
        <f>IF(AC1938=1,COUNT($AC$6:AC1938),"")</f>
        <v/>
      </c>
      <c r="AE1938" s="66" t="str">
        <f>IFERROR(INDEX(po_num,MATCH(1933,po_seq,0))&amp;"","")</f>
        <v/>
      </c>
      <c r="AF1938" s="66" t="str">
        <f>IF(OR(A1938="",p_po=""),"",IF(A1938&amp;""=p_po,COUNTIF($A$6:A1938,A1938),""))</f>
        <v/>
      </c>
      <c r="AG1938" s="66" t="str">
        <f>IF(OR(AB1938="",A1938=""),"",IF(COUNTIFS($A$6:A1938,A1938,$AB$6:AB1938,"&gt;0")=1,1,""))</f>
        <v/>
      </c>
      <c r="AH1938" s="70" t="str">
        <f>IF(AB1938="","",ROUND(N(W1938)*N(J1938)*(1-N(K1938)),2))</f>
        <v/>
      </c>
      <c r="AI1938" s="70" t="str">
        <f>IF(OR(J1938="",N(T1938)&lt;=0,V1938="Oui"),"",ROUND(N(T1938)*J1938*(1-N(K1938)),2))</f>
        <v/>
      </c>
    </row>
    <row r="1939">
      <c r="A1939" s="63" t="n"/>
      <c r="B1939" s="64" t="n"/>
      <c r="C1939" s="65" t="n"/>
      <c r="D1939" s="66" t="str">
        <f>IF(C1939="","",IFERROR(INDEX(sup_name,MATCH($C1939,sup_code,0))&amp;"","Fournisseur inconnu"))</f>
        <v/>
      </c>
      <c r="E1939" s="63" t="n"/>
      <c r="F1939" s="66" t="str">
        <f>IF(E1939="","",IFERROR(INDEX(art_des,MATCH($E1939,art_ref,0))&amp;"","Article inconnu"))</f>
        <v/>
      </c>
      <c r="G1939" s="67" t="str">
        <f>IF(E1939="","",IFERROR(INDEX(art_unit,MATCH($E1939,art_ref,0))&amp;"",""))</f>
        <v/>
      </c>
      <c r="H1939" s="68" t="n"/>
      <c r="I1939" s="69" t="n"/>
      <c r="J1939" s="70" t="str">
        <f>IF(E1939="","",IF(ISNUMBER(I1939),I1939,IFERROR(IF(ISNUMBER(INDEX(art_price,MATCH($E1939,art_ref,0))),INDEX(art_price,MATCH($E1939,art_ref,0)),""),"")))</f>
        <v/>
      </c>
      <c r="K1939" s="71" t="n"/>
      <c r="L1939" s="72" t="n"/>
      <c r="M1939" s="72" t="str">
        <f>IF(E1939="","",IF(L1939&lt;&gt;"",L1939,IFERROR(IF(ISNUMBER(INDEX(art_tva,MATCH($E1939,art_ref,0))),INDEX(art_tva,MATCH($E1939,art_ref,0)),""),"")))</f>
        <v/>
      </c>
      <c r="N1939" s="70" t="str">
        <f>IF(OR(E1939="",J1939=""),"",ROUND(N(H1939)*J1939*(1-N(K1939)),2))</f>
        <v/>
      </c>
      <c r="O1939" s="70" t="str">
        <f>IF(OR(N1939="",NOT(ISNUMBER(M1939))),"",ROUND(N1939*M1939,2))</f>
        <v/>
      </c>
      <c r="P1939" s="70" t="str">
        <f>IF(N1939="","",N1939+N(O1939))</f>
        <v/>
      </c>
      <c r="Q1939" s="64" t="n"/>
      <c r="R1939" s="73" t="str">
        <f>IF(N(Q1939)&gt;0,Q1939,IF(OR(N(B1939)=0,ISNA(MATCH($C1939,sup_code,0))),"",IF(ISNUMBER(INDEX(sup_delay,MATCH($C1939,sup_code,0))),B1939+INDEX(sup_delay,MATCH($C1939,sup_code,0)),"")))</f>
        <v/>
      </c>
      <c r="S1939" s="64" t="n"/>
      <c r="T1939" s="68" t="n"/>
      <c r="U1939" s="64" t="n"/>
      <c r="V1939" s="65" t="n"/>
      <c r="W1939" s="74" t="str">
        <f>IF(AND(A1939="",E1939=""),"",IF(V1939="Oui",0,MAX(0,ROUND(N(H1939)-N(T1939),6))))</f>
        <v/>
      </c>
      <c r="X1939" s="67" t="str">
        <f>IF(AND(A1939="",E1939=""),"",IF(V1939="Oui","Annulé",IF(AND(N(H1939)&gt;0,N(T1939)&gt;=N(H1939)),"Reçu",IF(N(S1939)=0,"Brouillon",IF(AND(ISNUMBER(R1939),R1939&lt;p_today),"En retard",IF(N(T1939)&gt;0,"Partiel","Envoyé"))))))</f>
        <v/>
      </c>
      <c r="Y1939" s="75" t="str">
        <f>IF(X1939="En retard",p_today-R1939,IF(AND(X1939="Reçu",ISNUMBER(R1939)),MAX(0,N(U1939)-R1939),""))</f>
        <v/>
      </c>
      <c r="Z1939" s="67" t="str">
        <f>IF(AND(A1939="",E1939=""),"",IF(A1939="","N° de bon manquant",IF(N(B1939)=0,"Date de commande manquante",IF(C1939="","Fournisseur manquant",IF(ISNA(MATCH($C1939,sup_code,0)),"Fournisseur inconnu",IF(E1939="","Article manquant",IF(ISNA(MATCH($E1939,art_ref,0)),"Article inconnu",IF(N(H1939)&lt;=0,"Quantité invalide",IF(J1939="","Prix manquant",IF(OR(N(K1939)&lt;0,N(K1939)&gt;=1),"Remise invalide",IF(M1939="","TVA manquante",IF(ISNA(MATCH(M1939,p_tva,0)),"Taux de TVA inconnu",IF(COUNTIFS(po_num,A1939,po_sup,"&lt;&gt;"&amp;C1939)&gt;0,"Fournisseur différent sur ce bon",IF(COUNTIFS(po_num,A1939,po_date,"&lt;&gt;"&amp;B1939)&gt;0,"Date différente sur ce bon",IF(COUNTIF(po_num,A1939)&gt;25,"Plus de 25 lignes sur ce bon",IF(R1939="","Date de livraison manquante",IF(R1939&lt;B1939,"Livraison avant la commande",IF(AND(N(T1939)&gt;0,N(S1939)=0),"Date d'envoi manquante",IF(N(T1939)&gt;N(H1939),"Reçu plus que commandé",IF(AND(N(T1939)&gt;0,N(U1939)=0),"Date de réception manquante",IF(AND(N(U1939)&gt;0,U1939&lt;B1939),"Réception avant la commande","OK")))))))))))))))))))))</f>
        <v/>
      </c>
      <c r="AA1939" s="66" t="str">
        <f>IF(AND(X1939="Reçu",ISNUMBER(R1939)),IF(N(U1939)&lt;=R1939,1,0),"")</f>
        <v/>
      </c>
      <c r="AB1939" s="76" t="str">
        <f>IF(OR(X1939="Envoyé",X1939="Partiel",X1939="En retard"),IF(ISNUMBER(R1939),R1939,100000)+ROW()/100000,"")</f>
        <v/>
      </c>
      <c r="AC1939" s="66" t="str">
        <f>IF(A1939="","",IF(COUNTIF($A$6:A1939,A1939)=1,1,""))</f>
        <v/>
      </c>
      <c r="AD1939" s="66" t="str">
        <f>IF(AC1939=1,COUNT($AC$6:AC1939),"")</f>
        <v/>
      </c>
      <c r="AE1939" s="66" t="str">
        <f>IFERROR(INDEX(po_num,MATCH(1934,po_seq,0))&amp;"","")</f>
        <v/>
      </c>
      <c r="AF1939" s="66" t="str">
        <f>IF(OR(A1939="",p_po=""),"",IF(A1939&amp;""=p_po,COUNTIF($A$6:A1939,A1939),""))</f>
        <v/>
      </c>
      <c r="AG1939" s="66" t="str">
        <f>IF(OR(AB1939="",A1939=""),"",IF(COUNTIFS($A$6:A1939,A1939,$AB$6:AB1939,"&gt;0")=1,1,""))</f>
        <v/>
      </c>
      <c r="AH1939" s="70" t="str">
        <f>IF(AB1939="","",ROUND(N(W1939)*N(J1939)*(1-N(K1939)),2))</f>
        <v/>
      </c>
      <c r="AI1939" s="70" t="str">
        <f>IF(OR(J1939="",N(T1939)&lt;=0,V1939="Oui"),"",ROUND(N(T1939)*J1939*(1-N(K1939)),2))</f>
        <v/>
      </c>
    </row>
    <row r="1940">
      <c r="A1940" s="63" t="n"/>
      <c r="B1940" s="64" t="n"/>
      <c r="C1940" s="65" t="n"/>
      <c r="D1940" s="66" t="str">
        <f>IF(C1940="","",IFERROR(INDEX(sup_name,MATCH($C1940,sup_code,0))&amp;"","Fournisseur inconnu"))</f>
        <v/>
      </c>
      <c r="E1940" s="63" t="n"/>
      <c r="F1940" s="66" t="str">
        <f>IF(E1940="","",IFERROR(INDEX(art_des,MATCH($E1940,art_ref,0))&amp;"","Article inconnu"))</f>
        <v/>
      </c>
      <c r="G1940" s="67" t="str">
        <f>IF(E1940="","",IFERROR(INDEX(art_unit,MATCH($E1940,art_ref,0))&amp;"",""))</f>
        <v/>
      </c>
      <c r="H1940" s="68" t="n"/>
      <c r="I1940" s="69" t="n"/>
      <c r="J1940" s="70" t="str">
        <f>IF(E1940="","",IF(ISNUMBER(I1940),I1940,IFERROR(IF(ISNUMBER(INDEX(art_price,MATCH($E1940,art_ref,0))),INDEX(art_price,MATCH($E1940,art_ref,0)),""),"")))</f>
        <v/>
      </c>
      <c r="K1940" s="71" t="n"/>
      <c r="L1940" s="72" t="n"/>
      <c r="M1940" s="72" t="str">
        <f>IF(E1940="","",IF(L1940&lt;&gt;"",L1940,IFERROR(IF(ISNUMBER(INDEX(art_tva,MATCH($E1940,art_ref,0))),INDEX(art_tva,MATCH($E1940,art_ref,0)),""),"")))</f>
        <v/>
      </c>
      <c r="N1940" s="70" t="str">
        <f>IF(OR(E1940="",J1940=""),"",ROUND(N(H1940)*J1940*(1-N(K1940)),2))</f>
        <v/>
      </c>
      <c r="O1940" s="70" t="str">
        <f>IF(OR(N1940="",NOT(ISNUMBER(M1940))),"",ROUND(N1940*M1940,2))</f>
        <v/>
      </c>
      <c r="P1940" s="70" t="str">
        <f>IF(N1940="","",N1940+N(O1940))</f>
        <v/>
      </c>
      <c r="Q1940" s="64" t="n"/>
      <c r="R1940" s="73" t="str">
        <f>IF(N(Q1940)&gt;0,Q1940,IF(OR(N(B1940)=0,ISNA(MATCH($C1940,sup_code,0))),"",IF(ISNUMBER(INDEX(sup_delay,MATCH($C1940,sup_code,0))),B1940+INDEX(sup_delay,MATCH($C1940,sup_code,0)),"")))</f>
        <v/>
      </c>
      <c r="S1940" s="64" t="n"/>
      <c r="T1940" s="68" t="n"/>
      <c r="U1940" s="64" t="n"/>
      <c r="V1940" s="65" t="n"/>
      <c r="W1940" s="74" t="str">
        <f>IF(AND(A1940="",E1940=""),"",IF(V1940="Oui",0,MAX(0,ROUND(N(H1940)-N(T1940),6))))</f>
        <v/>
      </c>
      <c r="X1940" s="67" t="str">
        <f>IF(AND(A1940="",E1940=""),"",IF(V1940="Oui","Annulé",IF(AND(N(H1940)&gt;0,N(T1940)&gt;=N(H1940)),"Reçu",IF(N(S1940)=0,"Brouillon",IF(AND(ISNUMBER(R1940),R1940&lt;p_today),"En retard",IF(N(T1940)&gt;0,"Partiel","Envoyé"))))))</f>
        <v/>
      </c>
      <c r="Y1940" s="75" t="str">
        <f>IF(X1940="En retard",p_today-R1940,IF(AND(X1940="Reçu",ISNUMBER(R1940)),MAX(0,N(U1940)-R1940),""))</f>
        <v/>
      </c>
      <c r="Z1940" s="67" t="str">
        <f>IF(AND(A1940="",E1940=""),"",IF(A1940="","N° de bon manquant",IF(N(B1940)=0,"Date de commande manquante",IF(C1940="","Fournisseur manquant",IF(ISNA(MATCH($C1940,sup_code,0)),"Fournisseur inconnu",IF(E1940="","Article manquant",IF(ISNA(MATCH($E1940,art_ref,0)),"Article inconnu",IF(N(H1940)&lt;=0,"Quantité invalide",IF(J1940="","Prix manquant",IF(OR(N(K1940)&lt;0,N(K1940)&gt;=1),"Remise invalide",IF(M1940="","TVA manquante",IF(ISNA(MATCH(M1940,p_tva,0)),"Taux de TVA inconnu",IF(COUNTIFS(po_num,A1940,po_sup,"&lt;&gt;"&amp;C1940)&gt;0,"Fournisseur différent sur ce bon",IF(COUNTIFS(po_num,A1940,po_date,"&lt;&gt;"&amp;B1940)&gt;0,"Date différente sur ce bon",IF(COUNTIF(po_num,A1940)&gt;25,"Plus de 25 lignes sur ce bon",IF(R1940="","Date de livraison manquante",IF(R1940&lt;B1940,"Livraison avant la commande",IF(AND(N(T1940)&gt;0,N(S1940)=0),"Date d'envoi manquante",IF(N(T1940)&gt;N(H1940),"Reçu plus que commandé",IF(AND(N(T1940)&gt;0,N(U1940)=0),"Date de réception manquante",IF(AND(N(U1940)&gt;0,U1940&lt;B1940),"Réception avant la commande","OK")))))))))))))))))))))</f>
        <v/>
      </c>
      <c r="AA1940" s="66" t="str">
        <f>IF(AND(X1940="Reçu",ISNUMBER(R1940)),IF(N(U1940)&lt;=R1940,1,0),"")</f>
        <v/>
      </c>
      <c r="AB1940" s="76" t="str">
        <f>IF(OR(X1940="Envoyé",X1940="Partiel",X1940="En retard"),IF(ISNUMBER(R1940),R1940,100000)+ROW()/100000,"")</f>
        <v/>
      </c>
      <c r="AC1940" s="66" t="str">
        <f>IF(A1940="","",IF(COUNTIF($A$6:A1940,A1940)=1,1,""))</f>
        <v/>
      </c>
      <c r="AD1940" s="66" t="str">
        <f>IF(AC1940=1,COUNT($AC$6:AC1940),"")</f>
        <v/>
      </c>
      <c r="AE1940" s="66" t="str">
        <f>IFERROR(INDEX(po_num,MATCH(1935,po_seq,0))&amp;"","")</f>
        <v/>
      </c>
      <c r="AF1940" s="66" t="str">
        <f>IF(OR(A1940="",p_po=""),"",IF(A1940&amp;""=p_po,COUNTIF($A$6:A1940,A1940),""))</f>
        <v/>
      </c>
      <c r="AG1940" s="66" t="str">
        <f>IF(OR(AB1940="",A1940=""),"",IF(COUNTIFS($A$6:A1940,A1940,$AB$6:AB1940,"&gt;0")=1,1,""))</f>
        <v/>
      </c>
      <c r="AH1940" s="70" t="str">
        <f>IF(AB1940="","",ROUND(N(W1940)*N(J1940)*(1-N(K1940)),2))</f>
        <v/>
      </c>
      <c r="AI1940" s="70" t="str">
        <f>IF(OR(J1940="",N(T1940)&lt;=0,V1940="Oui"),"",ROUND(N(T1940)*J1940*(1-N(K1940)),2))</f>
        <v/>
      </c>
    </row>
    <row r="1941">
      <c r="A1941" s="63" t="n"/>
      <c r="B1941" s="64" t="n"/>
      <c r="C1941" s="65" t="n"/>
      <c r="D1941" s="66" t="str">
        <f>IF(C1941="","",IFERROR(INDEX(sup_name,MATCH($C1941,sup_code,0))&amp;"","Fournisseur inconnu"))</f>
        <v/>
      </c>
      <c r="E1941" s="63" t="n"/>
      <c r="F1941" s="66" t="str">
        <f>IF(E1941="","",IFERROR(INDEX(art_des,MATCH($E1941,art_ref,0))&amp;"","Article inconnu"))</f>
        <v/>
      </c>
      <c r="G1941" s="67" t="str">
        <f>IF(E1941="","",IFERROR(INDEX(art_unit,MATCH($E1941,art_ref,0))&amp;"",""))</f>
        <v/>
      </c>
      <c r="H1941" s="68" t="n"/>
      <c r="I1941" s="69" t="n"/>
      <c r="J1941" s="70" t="str">
        <f>IF(E1941="","",IF(ISNUMBER(I1941),I1941,IFERROR(IF(ISNUMBER(INDEX(art_price,MATCH($E1941,art_ref,0))),INDEX(art_price,MATCH($E1941,art_ref,0)),""),"")))</f>
        <v/>
      </c>
      <c r="K1941" s="71" t="n"/>
      <c r="L1941" s="72" t="n"/>
      <c r="M1941" s="72" t="str">
        <f>IF(E1941="","",IF(L1941&lt;&gt;"",L1941,IFERROR(IF(ISNUMBER(INDEX(art_tva,MATCH($E1941,art_ref,0))),INDEX(art_tva,MATCH($E1941,art_ref,0)),""),"")))</f>
        <v/>
      </c>
      <c r="N1941" s="70" t="str">
        <f>IF(OR(E1941="",J1941=""),"",ROUND(N(H1941)*J1941*(1-N(K1941)),2))</f>
        <v/>
      </c>
      <c r="O1941" s="70" t="str">
        <f>IF(OR(N1941="",NOT(ISNUMBER(M1941))),"",ROUND(N1941*M1941,2))</f>
        <v/>
      </c>
      <c r="P1941" s="70" t="str">
        <f>IF(N1941="","",N1941+N(O1941))</f>
        <v/>
      </c>
      <c r="Q1941" s="64" t="n"/>
      <c r="R1941" s="73" t="str">
        <f>IF(N(Q1941)&gt;0,Q1941,IF(OR(N(B1941)=0,ISNA(MATCH($C1941,sup_code,0))),"",IF(ISNUMBER(INDEX(sup_delay,MATCH($C1941,sup_code,0))),B1941+INDEX(sup_delay,MATCH($C1941,sup_code,0)),"")))</f>
        <v/>
      </c>
      <c r="S1941" s="64" t="n"/>
      <c r="T1941" s="68" t="n"/>
      <c r="U1941" s="64" t="n"/>
      <c r="V1941" s="65" t="n"/>
      <c r="W1941" s="74" t="str">
        <f>IF(AND(A1941="",E1941=""),"",IF(V1941="Oui",0,MAX(0,ROUND(N(H1941)-N(T1941),6))))</f>
        <v/>
      </c>
      <c r="X1941" s="67" t="str">
        <f>IF(AND(A1941="",E1941=""),"",IF(V1941="Oui","Annulé",IF(AND(N(H1941)&gt;0,N(T1941)&gt;=N(H1941)),"Reçu",IF(N(S1941)=0,"Brouillon",IF(AND(ISNUMBER(R1941),R1941&lt;p_today),"En retard",IF(N(T1941)&gt;0,"Partiel","Envoyé"))))))</f>
        <v/>
      </c>
      <c r="Y1941" s="75" t="str">
        <f>IF(X1941="En retard",p_today-R1941,IF(AND(X1941="Reçu",ISNUMBER(R1941)),MAX(0,N(U1941)-R1941),""))</f>
        <v/>
      </c>
      <c r="Z1941" s="67" t="str">
        <f>IF(AND(A1941="",E1941=""),"",IF(A1941="","N° de bon manquant",IF(N(B1941)=0,"Date de commande manquante",IF(C1941="","Fournisseur manquant",IF(ISNA(MATCH($C1941,sup_code,0)),"Fournisseur inconnu",IF(E1941="","Article manquant",IF(ISNA(MATCH($E1941,art_ref,0)),"Article inconnu",IF(N(H1941)&lt;=0,"Quantité invalide",IF(J1941="","Prix manquant",IF(OR(N(K1941)&lt;0,N(K1941)&gt;=1),"Remise invalide",IF(M1941="","TVA manquante",IF(ISNA(MATCH(M1941,p_tva,0)),"Taux de TVA inconnu",IF(COUNTIFS(po_num,A1941,po_sup,"&lt;&gt;"&amp;C1941)&gt;0,"Fournisseur différent sur ce bon",IF(COUNTIFS(po_num,A1941,po_date,"&lt;&gt;"&amp;B1941)&gt;0,"Date différente sur ce bon",IF(COUNTIF(po_num,A1941)&gt;25,"Plus de 25 lignes sur ce bon",IF(R1941="","Date de livraison manquante",IF(R1941&lt;B1941,"Livraison avant la commande",IF(AND(N(T1941)&gt;0,N(S1941)=0),"Date d'envoi manquante",IF(N(T1941)&gt;N(H1941),"Reçu plus que commandé",IF(AND(N(T1941)&gt;0,N(U1941)=0),"Date de réception manquante",IF(AND(N(U1941)&gt;0,U1941&lt;B1941),"Réception avant la commande","OK")))))))))))))))))))))</f>
        <v/>
      </c>
      <c r="AA1941" s="66" t="str">
        <f>IF(AND(X1941="Reçu",ISNUMBER(R1941)),IF(N(U1941)&lt;=R1941,1,0),"")</f>
        <v/>
      </c>
      <c r="AB1941" s="76" t="str">
        <f>IF(OR(X1941="Envoyé",X1941="Partiel",X1941="En retard"),IF(ISNUMBER(R1941),R1941,100000)+ROW()/100000,"")</f>
        <v/>
      </c>
      <c r="AC1941" s="66" t="str">
        <f>IF(A1941="","",IF(COUNTIF($A$6:A1941,A1941)=1,1,""))</f>
        <v/>
      </c>
      <c r="AD1941" s="66" t="str">
        <f>IF(AC1941=1,COUNT($AC$6:AC1941),"")</f>
        <v/>
      </c>
      <c r="AE1941" s="66" t="str">
        <f>IFERROR(INDEX(po_num,MATCH(1936,po_seq,0))&amp;"","")</f>
        <v/>
      </c>
      <c r="AF1941" s="66" t="str">
        <f>IF(OR(A1941="",p_po=""),"",IF(A1941&amp;""=p_po,COUNTIF($A$6:A1941,A1941),""))</f>
        <v/>
      </c>
      <c r="AG1941" s="66" t="str">
        <f>IF(OR(AB1941="",A1941=""),"",IF(COUNTIFS($A$6:A1941,A1941,$AB$6:AB1941,"&gt;0")=1,1,""))</f>
        <v/>
      </c>
      <c r="AH1941" s="70" t="str">
        <f>IF(AB1941="","",ROUND(N(W1941)*N(J1941)*(1-N(K1941)),2))</f>
        <v/>
      </c>
      <c r="AI1941" s="70" t="str">
        <f>IF(OR(J1941="",N(T1941)&lt;=0,V1941="Oui"),"",ROUND(N(T1941)*J1941*(1-N(K1941)),2))</f>
        <v/>
      </c>
    </row>
    <row r="1942">
      <c r="A1942" s="63" t="n"/>
      <c r="B1942" s="64" t="n"/>
      <c r="C1942" s="65" t="n"/>
      <c r="D1942" s="66" t="str">
        <f>IF(C1942="","",IFERROR(INDEX(sup_name,MATCH($C1942,sup_code,0))&amp;"","Fournisseur inconnu"))</f>
        <v/>
      </c>
      <c r="E1942" s="63" t="n"/>
      <c r="F1942" s="66" t="str">
        <f>IF(E1942="","",IFERROR(INDEX(art_des,MATCH($E1942,art_ref,0))&amp;"","Article inconnu"))</f>
        <v/>
      </c>
      <c r="G1942" s="67" t="str">
        <f>IF(E1942="","",IFERROR(INDEX(art_unit,MATCH($E1942,art_ref,0))&amp;"",""))</f>
        <v/>
      </c>
      <c r="H1942" s="68" t="n"/>
      <c r="I1942" s="69" t="n"/>
      <c r="J1942" s="70" t="str">
        <f>IF(E1942="","",IF(ISNUMBER(I1942),I1942,IFERROR(IF(ISNUMBER(INDEX(art_price,MATCH($E1942,art_ref,0))),INDEX(art_price,MATCH($E1942,art_ref,0)),""),"")))</f>
        <v/>
      </c>
      <c r="K1942" s="71" t="n"/>
      <c r="L1942" s="72" t="n"/>
      <c r="M1942" s="72" t="str">
        <f>IF(E1942="","",IF(L1942&lt;&gt;"",L1942,IFERROR(IF(ISNUMBER(INDEX(art_tva,MATCH($E1942,art_ref,0))),INDEX(art_tva,MATCH($E1942,art_ref,0)),""),"")))</f>
        <v/>
      </c>
      <c r="N1942" s="70" t="str">
        <f>IF(OR(E1942="",J1942=""),"",ROUND(N(H1942)*J1942*(1-N(K1942)),2))</f>
        <v/>
      </c>
      <c r="O1942" s="70" t="str">
        <f>IF(OR(N1942="",NOT(ISNUMBER(M1942))),"",ROUND(N1942*M1942,2))</f>
        <v/>
      </c>
      <c r="P1942" s="70" t="str">
        <f>IF(N1942="","",N1942+N(O1942))</f>
        <v/>
      </c>
      <c r="Q1942" s="64" t="n"/>
      <c r="R1942" s="73" t="str">
        <f>IF(N(Q1942)&gt;0,Q1942,IF(OR(N(B1942)=0,ISNA(MATCH($C1942,sup_code,0))),"",IF(ISNUMBER(INDEX(sup_delay,MATCH($C1942,sup_code,0))),B1942+INDEX(sup_delay,MATCH($C1942,sup_code,0)),"")))</f>
        <v/>
      </c>
      <c r="S1942" s="64" t="n"/>
      <c r="T1942" s="68" t="n"/>
      <c r="U1942" s="64" t="n"/>
      <c r="V1942" s="65" t="n"/>
      <c r="W1942" s="74" t="str">
        <f>IF(AND(A1942="",E1942=""),"",IF(V1942="Oui",0,MAX(0,ROUND(N(H1942)-N(T1942),6))))</f>
        <v/>
      </c>
      <c r="X1942" s="67" t="str">
        <f>IF(AND(A1942="",E1942=""),"",IF(V1942="Oui","Annulé",IF(AND(N(H1942)&gt;0,N(T1942)&gt;=N(H1942)),"Reçu",IF(N(S1942)=0,"Brouillon",IF(AND(ISNUMBER(R1942),R1942&lt;p_today),"En retard",IF(N(T1942)&gt;0,"Partiel","Envoyé"))))))</f>
        <v/>
      </c>
      <c r="Y1942" s="75" t="str">
        <f>IF(X1942="En retard",p_today-R1942,IF(AND(X1942="Reçu",ISNUMBER(R1942)),MAX(0,N(U1942)-R1942),""))</f>
        <v/>
      </c>
      <c r="Z1942" s="67" t="str">
        <f>IF(AND(A1942="",E1942=""),"",IF(A1942="","N° de bon manquant",IF(N(B1942)=0,"Date de commande manquante",IF(C1942="","Fournisseur manquant",IF(ISNA(MATCH($C1942,sup_code,0)),"Fournisseur inconnu",IF(E1942="","Article manquant",IF(ISNA(MATCH($E1942,art_ref,0)),"Article inconnu",IF(N(H1942)&lt;=0,"Quantité invalide",IF(J1942="","Prix manquant",IF(OR(N(K1942)&lt;0,N(K1942)&gt;=1),"Remise invalide",IF(M1942="","TVA manquante",IF(ISNA(MATCH(M1942,p_tva,0)),"Taux de TVA inconnu",IF(COUNTIFS(po_num,A1942,po_sup,"&lt;&gt;"&amp;C1942)&gt;0,"Fournisseur différent sur ce bon",IF(COUNTIFS(po_num,A1942,po_date,"&lt;&gt;"&amp;B1942)&gt;0,"Date différente sur ce bon",IF(COUNTIF(po_num,A1942)&gt;25,"Plus de 25 lignes sur ce bon",IF(R1942="","Date de livraison manquante",IF(R1942&lt;B1942,"Livraison avant la commande",IF(AND(N(T1942)&gt;0,N(S1942)=0),"Date d'envoi manquante",IF(N(T1942)&gt;N(H1942),"Reçu plus que commandé",IF(AND(N(T1942)&gt;0,N(U1942)=0),"Date de réception manquante",IF(AND(N(U1942)&gt;0,U1942&lt;B1942),"Réception avant la commande","OK")))))))))))))))))))))</f>
        <v/>
      </c>
      <c r="AA1942" s="66" t="str">
        <f>IF(AND(X1942="Reçu",ISNUMBER(R1942)),IF(N(U1942)&lt;=R1942,1,0),"")</f>
        <v/>
      </c>
      <c r="AB1942" s="76" t="str">
        <f>IF(OR(X1942="Envoyé",X1942="Partiel",X1942="En retard"),IF(ISNUMBER(R1942),R1942,100000)+ROW()/100000,"")</f>
        <v/>
      </c>
      <c r="AC1942" s="66" t="str">
        <f>IF(A1942="","",IF(COUNTIF($A$6:A1942,A1942)=1,1,""))</f>
        <v/>
      </c>
      <c r="AD1942" s="66" t="str">
        <f>IF(AC1942=1,COUNT($AC$6:AC1942),"")</f>
        <v/>
      </c>
      <c r="AE1942" s="66" t="str">
        <f>IFERROR(INDEX(po_num,MATCH(1937,po_seq,0))&amp;"","")</f>
        <v/>
      </c>
      <c r="AF1942" s="66" t="str">
        <f>IF(OR(A1942="",p_po=""),"",IF(A1942&amp;""=p_po,COUNTIF($A$6:A1942,A1942),""))</f>
        <v/>
      </c>
      <c r="AG1942" s="66" t="str">
        <f>IF(OR(AB1942="",A1942=""),"",IF(COUNTIFS($A$6:A1942,A1942,$AB$6:AB1942,"&gt;0")=1,1,""))</f>
        <v/>
      </c>
      <c r="AH1942" s="70" t="str">
        <f>IF(AB1942="","",ROUND(N(W1942)*N(J1942)*(1-N(K1942)),2))</f>
        <v/>
      </c>
      <c r="AI1942" s="70" t="str">
        <f>IF(OR(J1942="",N(T1942)&lt;=0,V1942="Oui"),"",ROUND(N(T1942)*J1942*(1-N(K1942)),2))</f>
        <v/>
      </c>
    </row>
    <row r="1943">
      <c r="A1943" s="63" t="n"/>
      <c r="B1943" s="64" t="n"/>
      <c r="C1943" s="65" t="n"/>
      <c r="D1943" s="66" t="str">
        <f>IF(C1943="","",IFERROR(INDEX(sup_name,MATCH($C1943,sup_code,0))&amp;"","Fournisseur inconnu"))</f>
        <v/>
      </c>
      <c r="E1943" s="63" t="n"/>
      <c r="F1943" s="66" t="str">
        <f>IF(E1943="","",IFERROR(INDEX(art_des,MATCH($E1943,art_ref,0))&amp;"","Article inconnu"))</f>
        <v/>
      </c>
      <c r="G1943" s="67" t="str">
        <f>IF(E1943="","",IFERROR(INDEX(art_unit,MATCH($E1943,art_ref,0))&amp;"",""))</f>
        <v/>
      </c>
      <c r="H1943" s="68" t="n"/>
      <c r="I1943" s="69" t="n"/>
      <c r="J1943" s="70" t="str">
        <f>IF(E1943="","",IF(ISNUMBER(I1943),I1943,IFERROR(IF(ISNUMBER(INDEX(art_price,MATCH($E1943,art_ref,0))),INDEX(art_price,MATCH($E1943,art_ref,0)),""),"")))</f>
        <v/>
      </c>
      <c r="K1943" s="71" t="n"/>
      <c r="L1943" s="72" t="n"/>
      <c r="M1943" s="72" t="str">
        <f>IF(E1943="","",IF(L1943&lt;&gt;"",L1943,IFERROR(IF(ISNUMBER(INDEX(art_tva,MATCH($E1943,art_ref,0))),INDEX(art_tva,MATCH($E1943,art_ref,0)),""),"")))</f>
        <v/>
      </c>
      <c r="N1943" s="70" t="str">
        <f>IF(OR(E1943="",J1943=""),"",ROUND(N(H1943)*J1943*(1-N(K1943)),2))</f>
        <v/>
      </c>
      <c r="O1943" s="70" t="str">
        <f>IF(OR(N1943="",NOT(ISNUMBER(M1943))),"",ROUND(N1943*M1943,2))</f>
        <v/>
      </c>
      <c r="P1943" s="70" t="str">
        <f>IF(N1943="","",N1943+N(O1943))</f>
        <v/>
      </c>
      <c r="Q1943" s="64" t="n"/>
      <c r="R1943" s="73" t="str">
        <f>IF(N(Q1943)&gt;0,Q1943,IF(OR(N(B1943)=0,ISNA(MATCH($C1943,sup_code,0))),"",IF(ISNUMBER(INDEX(sup_delay,MATCH($C1943,sup_code,0))),B1943+INDEX(sup_delay,MATCH($C1943,sup_code,0)),"")))</f>
        <v/>
      </c>
      <c r="S1943" s="64" t="n"/>
      <c r="T1943" s="68" t="n"/>
      <c r="U1943" s="64" t="n"/>
      <c r="V1943" s="65" t="n"/>
      <c r="W1943" s="74" t="str">
        <f>IF(AND(A1943="",E1943=""),"",IF(V1943="Oui",0,MAX(0,ROUND(N(H1943)-N(T1943),6))))</f>
        <v/>
      </c>
      <c r="X1943" s="67" t="str">
        <f>IF(AND(A1943="",E1943=""),"",IF(V1943="Oui","Annulé",IF(AND(N(H1943)&gt;0,N(T1943)&gt;=N(H1943)),"Reçu",IF(N(S1943)=0,"Brouillon",IF(AND(ISNUMBER(R1943),R1943&lt;p_today),"En retard",IF(N(T1943)&gt;0,"Partiel","Envoyé"))))))</f>
        <v/>
      </c>
      <c r="Y1943" s="75" t="str">
        <f>IF(X1943="En retard",p_today-R1943,IF(AND(X1943="Reçu",ISNUMBER(R1943)),MAX(0,N(U1943)-R1943),""))</f>
        <v/>
      </c>
      <c r="Z1943" s="67" t="str">
        <f>IF(AND(A1943="",E1943=""),"",IF(A1943="","N° de bon manquant",IF(N(B1943)=0,"Date de commande manquante",IF(C1943="","Fournisseur manquant",IF(ISNA(MATCH($C1943,sup_code,0)),"Fournisseur inconnu",IF(E1943="","Article manquant",IF(ISNA(MATCH($E1943,art_ref,0)),"Article inconnu",IF(N(H1943)&lt;=0,"Quantité invalide",IF(J1943="","Prix manquant",IF(OR(N(K1943)&lt;0,N(K1943)&gt;=1),"Remise invalide",IF(M1943="","TVA manquante",IF(ISNA(MATCH(M1943,p_tva,0)),"Taux de TVA inconnu",IF(COUNTIFS(po_num,A1943,po_sup,"&lt;&gt;"&amp;C1943)&gt;0,"Fournisseur différent sur ce bon",IF(COUNTIFS(po_num,A1943,po_date,"&lt;&gt;"&amp;B1943)&gt;0,"Date différente sur ce bon",IF(COUNTIF(po_num,A1943)&gt;25,"Plus de 25 lignes sur ce bon",IF(R1943="","Date de livraison manquante",IF(R1943&lt;B1943,"Livraison avant la commande",IF(AND(N(T1943)&gt;0,N(S1943)=0),"Date d'envoi manquante",IF(N(T1943)&gt;N(H1943),"Reçu plus que commandé",IF(AND(N(T1943)&gt;0,N(U1943)=0),"Date de réception manquante",IF(AND(N(U1943)&gt;0,U1943&lt;B1943),"Réception avant la commande","OK")))))))))))))))))))))</f>
        <v/>
      </c>
      <c r="AA1943" s="66" t="str">
        <f>IF(AND(X1943="Reçu",ISNUMBER(R1943)),IF(N(U1943)&lt;=R1943,1,0),"")</f>
        <v/>
      </c>
      <c r="AB1943" s="76" t="str">
        <f>IF(OR(X1943="Envoyé",X1943="Partiel",X1943="En retard"),IF(ISNUMBER(R1943),R1943,100000)+ROW()/100000,"")</f>
        <v/>
      </c>
      <c r="AC1943" s="66" t="str">
        <f>IF(A1943="","",IF(COUNTIF($A$6:A1943,A1943)=1,1,""))</f>
        <v/>
      </c>
      <c r="AD1943" s="66" t="str">
        <f>IF(AC1943=1,COUNT($AC$6:AC1943),"")</f>
        <v/>
      </c>
      <c r="AE1943" s="66" t="str">
        <f>IFERROR(INDEX(po_num,MATCH(1938,po_seq,0))&amp;"","")</f>
        <v/>
      </c>
      <c r="AF1943" s="66" t="str">
        <f>IF(OR(A1943="",p_po=""),"",IF(A1943&amp;""=p_po,COUNTIF($A$6:A1943,A1943),""))</f>
        <v/>
      </c>
      <c r="AG1943" s="66" t="str">
        <f>IF(OR(AB1943="",A1943=""),"",IF(COUNTIFS($A$6:A1943,A1943,$AB$6:AB1943,"&gt;0")=1,1,""))</f>
        <v/>
      </c>
      <c r="AH1943" s="70" t="str">
        <f>IF(AB1943="","",ROUND(N(W1943)*N(J1943)*(1-N(K1943)),2))</f>
        <v/>
      </c>
      <c r="AI1943" s="70" t="str">
        <f>IF(OR(J1943="",N(T1943)&lt;=0,V1943="Oui"),"",ROUND(N(T1943)*J1943*(1-N(K1943)),2))</f>
        <v/>
      </c>
    </row>
    <row r="1944">
      <c r="A1944" s="63" t="n"/>
      <c r="B1944" s="64" t="n"/>
      <c r="C1944" s="65" t="n"/>
      <c r="D1944" s="66" t="str">
        <f>IF(C1944="","",IFERROR(INDEX(sup_name,MATCH($C1944,sup_code,0))&amp;"","Fournisseur inconnu"))</f>
        <v/>
      </c>
      <c r="E1944" s="63" t="n"/>
      <c r="F1944" s="66" t="str">
        <f>IF(E1944="","",IFERROR(INDEX(art_des,MATCH($E1944,art_ref,0))&amp;"","Article inconnu"))</f>
        <v/>
      </c>
      <c r="G1944" s="67" t="str">
        <f>IF(E1944="","",IFERROR(INDEX(art_unit,MATCH($E1944,art_ref,0))&amp;"",""))</f>
        <v/>
      </c>
      <c r="H1944" s="68" t="n"/>
      <c r="I1944" s="69" t="n"/>
      <c r="J1944" s="70" t="str">
        <f>IF(E1944="","",IF(ISNUMBER(I1944),I1944,IFERROR(IF(ISNUMBER(INDEX(art_price,MATCH($E1944,art_ref,0))),INDEX(art_price,MATCH($E1944,art_ref,0)),""),"")))</f>
        <v/>
      </c>
      <c r="K1944" s="71" t="n"/>
      <c r="L1944" s="72" t="n"/>
      <c r="M1944" s="72" t="str">
        <f>IF(E1944="","",IF(L1944&lt;&gt;"",L1944,IFERROR(IF(ISNUMBER(INDEX(art_tva,MATCH($E1944,art_ref,0))),INDEX(art_tva,MATCH($E1944,art_ref,0)),""),"")))</f>
        <v/>
      </c>
      <c r="N1944" s="70" t="str">
        <f>IF(OR(E1944="",J1944=""),"",ROUND(N(H1944)*J1944*(1-N(K1944)),2))</f>
        <v/>
      </c>
      <c r="O1944" s="70" t="str">
        <f>IF(OR(N1944="",NOT(ISNUMBER(M1944))),"",ROUND(N1944*M1944,2))</f>
        <v/>
      </c>
      <c r="P1944" s="70" t="str">
        <f>IF(N1944="","",N1944+N(O1944))</f>
        <v/>
      </c>
      <c r="Q1944" s="64" t="n"/>
      <c r="R1944" s="73" t="str">
        <f>IF(N(Q1944)&gt;0,Q1944,IF(OR(N(B1944)=0,ISNA(MATCH($C1944,sup_code,0))),"",IF(ISNUMBER(INDEX(sup_delay,MATCH($C1944,sup_code,0))),B1944+INDEX(sup_delay,MATCH($C1944,sup_code,0)),"")))</f>
        <v/>
      </c>
      <c r="S1944" s="64" t="n"/>
      <c r="T1944" s="68" t="n"/>
      <c r="U1944" s="64" t="n"/>
      <c r="V1944" s="65" t="n"/>
      <c r="W1944" s="74" t="str">
        <f>IF(AND(A1944="",E1944=""),"",IF(V1944="Oui",0,MAX(0,ROUND(N(H1944)-N(T1944),6))))</f>
        <v/>
      </c>
      <c r="X1944" s="67" t="str">
        <f>IF(AND(A1944="",E1944=""),"",IF(V1944="Oui","Annulé",IF(AND(N(H1944)&gt;0,N(T1944)&gt;=N(H1944)),"Reçu",IF(N(S1944)=0,"Brouillon",IF(AND(ISNUMBER(R1944),R1944&lt;p_today),"En retard",IF(N(T1944)&gt;0,"Partiel","Envoyé"))))))</f>
        <v/>
      </c>
      <c r="Y1944" s="75" t="str">
        <f>IF(X1944="En retard",p_today-R1944,IF(AND(X1944="Reçu",ISNUMBER(R1944)),MAX(0,N(U1944)-R1944),""))</f>
        <v/>
      </c>
      <c r="Z1944" s="67" t="str">
        <f>IF(AND(A1944="",E1944=""),"",IF(A1944="","N° de bon manquant",IF(N(B1944)=0,"Date de commande manquante",IF(C1944="","Fournisseur manquant",IF(ISNA(MATCH($C1944,sup_code,0)),"Fournisseur inconnu",IF(E1944="","Article manquant",IF(ISNA(MATCH($E1944,art_ref,0)),"Article inconnu",IF(N(H1944)&lt;=0,"Quantité invalide",IF(J1944="","Prix manquant",IF(OR(N(K1944)&lt;0,N(K1944)&gt;=1),"Remise invalide",IF(M1944="","TVA manquante",IF(ISNA(MATCH(M1944,p_tva,0)),"Taux de TVA inconnu",IF(COUNTIFS(po_num,A1944,po_sup,"&lt;&gt;"&amp;C1944)&gt;0,"Fournisseur différent sur ce bon",IF(COUNTIFS(po_num,A1944,po_date,"&lt;&gt;"&amp;B1944)&gt;0,"Date différente sur ce bon",IF(COUNTIF(po_num,A1944)&gt;25,"Plus de 25 lignes sur ce bon",IF(R1944="","Date de livraison manquante",IF(R1944&lt;B1944,"Livraison avant la commande",IF(AND(N(T1944)&gt;0,N(S1944)=0),"Date d'envoi manquante",IF(N(T1944)&gt;N(H1944),"Reçu plus que commandé",IF(AND(N(T1944)&gt;0,N(U1944)=0),"Date de réception manquante",IF(AND(N(U1944)&gt;0,U1944&lt;B1944),"Réception avant la commande","OK")))))))))))))))))))))</f>
        <v/>
      </c>
      <c r="AA1944" s="66" t="str">
        <f>IF(AND(X1944="Reçu",ISNUMBER(R1944)),IF(N(U1944)&lt;=R1944,1,0),"")</f>
        <v/>
      </c>
      <c r="AB1944" s="76" t="str">
        <f>IF(OR(X1944="Envoyé",X1944="Partiel",X1944="En retard"),IF(ISNUMBER(R1944),R1944,100000)+ROW()/100000,"")</f>
        <v/>
      </c>
      <c r="AC1944" s="66" t="str">
        <f>IF(A1944="","",IF(COUNTIF($A$6:A1944,A1944)=1,1,""))</f>
        <v/>
      </c>
      <c r="AD1944" s="66" t="str">
        <f>IF(AC1944=1,COUNT($AC$6:AC1944),"")</f>
        <v/>
      </c>
      <c r="AE1944" s="66" t="str">
        <f>IFERROR(INDEX(po_num,MATCH(1939,po_seq,0))&amp;"","")</f>
        <v/>
      </c>
      <c r="AF1944" s="66" t="str">
        <f>IF(OR(A1944="",p_po=""),"",IF(A1944&amp;""=p_po,COUNTIF($A$6:A1944,A1944),""))</f>
        <v/>
      </c>
      <c r="AG1944" s="66" t="str">
        <f>IF(OR(AB1944="",A1944=""),"",IF(COUNTIFS($A$6:A1944,A1944,$AB$6:AB1944,"&gt;0")=1,1,""))</f>
        <v/>
      </c>
      <c r="AH1944" s="70" t="str">
        <f>IF(AB1944="","",ROUND(N(W1944)*N(J1944)*(1-N(K1944)),2))</f>
        <v/>
      </c>
      <c r="AI1944" s="70" t="str">
        <f>IF(OR(J1944="",N(T1944)&lt;=0,V1944="Oui"),"",ROUND(N(T1944)*J1944*(1-N(K1944)),2))</f>
        <v/>
      </c>
    </row>
    <row r="1945">
      <c r="A1945" s="63" t="n"/>
      <c r="B1945" s="64" t="n"/>
      <c r="C1945" s="65" t="n"/>
      <c r="D1945" s="66" t="str">
        <f>IF(C1945="","",IFERROR(INDEX(sup_name,MATCH($C1945,sup_code,0))&amp;"","Fournisseur inconnu"))</f>
        <v/>
      </c>
      <c r="E1945" s="63" t="n"/>
      <c r="F1945" s="66" t="str">
        <f>IF(E1945="","",IFERROR(INDEX(art_des,MATCH($E1945,art_ref,0))&amp;"","Article inconnu"))</f>
        <v/>
      </c>
      <c r="G1945" s="67" t="str">
        <f>IF(E1945="","",IFERROR(INDEX(art_unit,MATCH($E1945,art_ref,0))&amp;"",""))</f>
        <v/>
      </c>
      <c r="H1945" s="68" t="n"/>
      <c r="I1945" s="69" t="n"/>
      <c r="J1945" s="70" t="str">
        <f>IF(E1945="","",IF(ISNUMBER(I1945),I1945,IFERROR(IF(ISNUMBER(INDEX(art_price,MATCH($E1945,art_ref,0))),INDEX(art_price,MATCH($E1945,art_ref,0)),""),"")))</f>
        <v/>
      </c>
      <c r="K1945" s="71" t="n"/>
      <c r="L1945" s="72" t="n"/>
      <c r="M1945" s="72" t="str">
        <f>IF(E1945="","",IF(L1945&lt;&gt;"",L1945,IFERROR(IF(ISNUMBER(INDEX(art_tva,MATCH($E1945,art_ref,0))),INDEX(art_tva,MATCH($E1945,art_ref,0)),""),"")))</f>
        <v/>
      </c>
      <c r="N1945" s="70" t="str">
        <f>IF(OR(E1945="",J1945=""),"",ROUND(N(H1945)*J1945*(1-N(K1945)),2))</f>
        <v/>
      </c>
      <c r="O1945" s="70" t="str">
        <f>IF(OR(N1945="",NOT(ISNUMBER(M1945))),"",ROUND(N1945*M1945,2))</f>
        <v/>
      </c>
      <c r="P1945" s="70" t="str">
        <f>IF(N1945="","",N1945+N(O1945))</f>
        <v/>
      </c>
      <c r="Q1945" s="64" t="n"/>
      <c r="R1945" s="73" t="str">
        <f>IF(N(Q1945)&gt;0,Q1945,IF(OR(N(B1945)=0,ISNA(MATCH($C1945,sup_code,0))),"",IF(ISNUMBER(INDEX(sup_delay,MATCH($C1945,sup_code,0))),B1945+INDEX(sup_delay,MATCH($C1945,sup_code,0)),"")))</f>
        <v/>
      </c>
      <c r="S1945" s="64" t="n"/>
      <c r="T1945" s="68" t="n"/>
      <c r="U1945" s="64" t="n"/>
      <c r="V1945" s="65" t="n"/>
      <c r="W1945" s="74" t="str">
        <f>IF(AND(A1945="",E1945=""),"",IF(V1945="Oui",0,MAX(0,ROUND(N(H1945)-N(T1945),6))))</f>
        <v/>
      </c>
      <c r="X1945" s="67" t="str">
        <f>IF(AND(A1945="",E1945=""),"",IF(V1945="Oui","Annulé",IF(AND(N(H1945)&gt;0,N(T1945)&gt;=N(H1945)),"Reçu",IF(N(S1945)=0,"Brouillon",IF(AND(ISNUMBER(R1945),R1945&lt;p_today),"En retard",IF(N(T1945)&gt;0,"Partiel","Envoyé"))))))</f>
        <v/>
      </c>
      <c r="Y1945" s="75" t="str">
        <f>IF(X1945="En retard",p_today-R1945,IF(AND(X1945="Reçu",ISNUMBER(R1945)),MAX(0,N(U1945)-R1945),""))</f>
        <v/>
      </c>
      <c r="Z1945" s="67" t="str">
        <f>IF(AND(A1945="",E1945=""),"",IF(A1945="","N° de bon manquant",IF(N(B1945)=0,"Date de commande manquante",IF(C1945="","Fournisseur manquant",IF(ISNA(MATCH($C1945,sup_code,0)),"Fournisseur inconnu",IF(E1945="","Article manquant",IF(ISNA(MATCH($E1945,art_ref,0)),"Article inconnu",IF(N(H1945)&lt;=0,"Quantité invalide",IF(J1945="","Prix manquant",IF(OR(N(K1945)&lt;0,N(K1945)&gt;=1),"Remise invalide",IF(M1945="","TVA manquante",IF(ISNA(MATCH(M1945,p_tva,0)),"Taux de TVA inconnu",IF(COUNTIFS(po_num,A1945,po_sup,"&lt;&gt;"&amp;C1945)&gt;0,"Fournisseur différent sur ce bon",IF(COUNTIFS(po_num,A1945,po_date,"&lt;&gt;"&amp;B1945)&gt;0,"Date différente sur ce bon",IF(COUNTIF(po_num,A1945)&gt;25,"Plus de 25 lignes sur ce bon",IF(R1945="","Date de livraison manquante",IF(R1945&lt;B1945,"Livraison avant la commande",IF(AND(N(T1945)&gt;0,N(S1945)=0),"Date d'envoi manquante",IF(N(T1945)&gt;N(H1945),"Reçu plus que commandé",IF(AND(N(T1945)&gt;0,N(U1945)=0),"Date de réception manquante",IF(AND(N(U1945)&gt;0,U1945&lt;B1945),"Réception avant la commande","OK")))))))))))))))))))))</f>
        <v/>
      </c>
      <c r="AA1945" s="66" t="str">
        <f>IF(AND(X1945="Reçu",ISNUMBER(R1945)),IF(N(U1945)&lt;=R1945,1,0),"")</f>
        <v/>
      </c>
      <c r="AB1945" s="76" t="str">
        <f>IF(OR(X1945="Envoyé",X1945="Partiel",X1945="En retard"),IF(ISNUMBER(R1945),R1945,100000)+ROW()/100000,"")</f>
        <v/>
      </c>
      <c r="AC1945" s="66" t="str">
        <f>IF(A1945="","",IF(COUNTIF($A$6:A1945,A1945)=1,1,""))</f>
        <v/>
      </c>
      <c r="AD1945" s="66" t="str">
        <f>IF(AC1945=1,COUNT($AC$6:AC1945),"")</f>
        <v/>
      </c>
      <c r="AE1945" s="66" t="str">
        <f>IFERROR(INDEX(po_num,MATCH(1940,po_seq,0))&amp;"","")</f>
        <v/>
      </c>
      <c r="AF1945" s="66" t="str">
        <f>IF(OR(A1945="",p_po=""),"",IF(A1945&amp;""=p_po,COUNTIF($A$6:A1945,A1945),""))</f>
        <v/>
      </c>
      <c r="AG1945" s="66" t="str">
        <f>IF(OR(AB1945="",A1945=""),"",IF(COUNTIFS($A$6:A1945,A1945,$AB$6:AB1945,"&gt;0")=1,1,""))</f>
        <v/>
      </c>
      <c r="AH1945" s="70" t="str">
        <f>IF(AB1945="","",ROUND(N(W1945)*N(J1945)*(1-N(K1945)),2))</f>
        <v/>
      </c>
      <c r="AI1945" s="70" t="str">
        <f>IF(OR(J1945="",N(T1945)&lt;=0,V1945="Oui"),"",ROUND(N(T1945)*J1945*(1-N(K1945)),2))</f>
        <v/>
      </c>
    </row>
    <row r="1946">
      <c r="A1946" s="63" t="n"/>
      <c r="B1946" s="64" t="n"/>
      <c r="C1946" s="65" t="n"/>
      <c r="D1946" s="66" t="str">
        <f>IF(C1946="","",IFERROR(INDEX(sup_name,MATCH($C1946,sup_code,0))&amp;"","Fournisseur inconnu"))</f>
        <v/>
      </c>
      <c r="E1946" s="63" t="n"/>
      <c r="F1946" s="66" t="str">
        <f>IF(E1946="","",IFERROR(INDEX(art_des,MATCH($E1946,art_ref,0))&amp;"","Article inconnu"))</f>
        <v/>
      </c>
      <c r="G1946" s="67" t="str">
        <f>IF(E1946="","",IFERROR(INDEX(art_unit,MATCH($E1946,art_ref,0))&amp;"",""))</f>
        <v/>
      </c>
      <c r="H1946" s="68" t="n"/>
      <c r="I1946" s="69" t="n"/>
      <c r="J1946" s="70" t="str">
        <f>IF(E1946="","",IF(ISNUMBER(I1946),I1946,IFERROR(IF(ISNUMBER(INDEX(art_price,MATCH($E1946,art_ref,0))),INDEX(art_price,MATCH($E1946,art_ref,0)),""),"")))</f>
        <v/>
      </c>
      <c r="K1946" s="71" t="n"/>
      <c r="L1946" s="72" t="n"/>
      <c r="M1946" s="72" t="str">
        <f>IF(E1946="","",IF(L1946&lt;&gt;"",L1946,IFERROR(IF(ISNUMBER(INDEX(art_tva,MATCH($E1946,art_ref,0))),INDEX(art_tva,MATCH($E1946,art_ref,0)),""),"")))</f>
        <v/>
      </c>
      <c r="N1946" s="70" t="str">
        <f>IF(OR(E1946="",J1946=""),"",ROUND(N(H1946)*J1946*(1-N(K1946)),2))</f>
        <v/>
      </c>
      <c r="O1946" s="70" t="str">
        <f>IF(OR(N1946="",NOT(ISNUMBER(M1946))),"",ROUND(N1946*M1946,2))</f>
        <v/>
      </c>
      <c r="P1946" s="70" t="str">
        <f>IF(N1946="","",N1946+N(O1946))</f>
        <v/>
      </c>
      <c r="Q1946" s="64" t="n"/>
      <c r="R1946" s="73" t="str">
        <f>IF(N(Q1946)&gt;0,Q1946,IF(OR(N(B1946)=0,ISNA(MATCH($C1946,sup_code,0))),"",IF(ISNUMBER(INDEX(sup_delay,MATCH($C1946,sup_code,0))),B1946+INDEX(sup_delay,MATCH($C1946,sup_code,0)),"")))</f>
        <v/>
      </c>
      <c r="S1946" s="64" t="n"/>
      <c r="T1946" s="68" t="n"/>
      <c r="U1946" s="64" t="n"/>
      <c r="V1946" s="65" t="n"/>
      <c r="W1946" s="74" t="str">
        <f>IF(AND(A1946="",E1946=""),"",IF(V1946="Oui",0,MAX(0,ROUND(N(H1946)-N(T1946),6))))</f>
        <v/>
      </c>
      <c r="X1946" s="67" t="str">
        <f>IF(AND(A1946="",E1946=""),"",IF(V1946="Oui","Annulé",IF(AND(N(H1946)&gt;0,N(T1946)&gt;=N(H1946)),"Reçu",IF(N(S1946)=0,"Brouillon",IF(AND(ISNUMBER(R1946),R1946&lt;p_today),"En retard",IF(N(T1946)&gt;0,"Partiel","Envoyé"))))))</f>
        <v/>
      </c>
      <c r="Y1946" s="75" t="str">
        <f>IF(X1946="En retard",p_today-R1946,IF(AND(X1946="Reçu",ISNUMBER(R1946)),MAX(0,N(U1946)-R1946),""))</f>
        <v/>
      </c>
      <c r="Z1946" s="67" t="str">
        <f>IF(AND(A1946="",E1946=""),"",IF(A1946="","N° de bon manquant",IF(N(B1946)=0,"Date de commande manquante",IF(C1946="","Fournisseur manquant",IF(ISNA(MATCH($C1946,sup_code,0)),"Fournisseur inconnu",IF(E1946="","Article manquant",IF(ISNA(MATCH($E1946,art_ref,0)),"Article inconnu",IF(N(H1946)&lt;=0,"Quantité invalide",IF(J1946="","Prix manquant",IF(OR(N(K1946)&lt;0,N(K1946)&gt;=1),"Remise invalide",IF(M1946="","TVA manquante",IF(ISNA(MATCH(M1946,p_tva,0)),"Taux de TVA inconnu",IF(COUNTIFS(po_num,A1946,po_sup,"&lt;&gt;"&amp;C1946)&gt;0,"Fournisseur différent sur ce bon",IF(COUNTIFS(po_num,A1946,po_date,"&lt;&gt;"&amp;B1946)&gt;0,"Date différente sur ce bon",IF(COUNTIF(po_num,A1946)&gt;25,"Plus de 25 lignes sur ce bon",IF(R1946="","Date de livraison manquante",IF(R1946&lt;B1946,"Livraison avant la commande",IF(AND(N(T1946)&gt;0,N(S1946)=0),"Date d'envoi manquante",IF(N(T1946)&gt;N(H1946),"Reçu plus que commandé",IF(AND(N(T1946)&gt;0,N(U1946)=0),"Date de réception manquante",IF(AND(N(U1946)&gt;0,U1946&lt;B1946),"Réception avant la commande","OK")))))))))))))))))))))</f>
        <v/>
      </c>
      <c r="AA1946" s="66" t="str">
        <f>IF(AND(X1946="Reçu",ISNUMBER(R1946)),IF(N(U1946)&lt;=R1946,1,0),"")</f>
        <v/>
      </c>
      <c r="AB1946" s="76" t="str">
        <f>IF(OR(X1946="Envoyé",X1946="Partiel",X1946="En retard"),IF(ISNUMBER(R1946),R1946,100000)+ROW()/100000,"")</f>
        <v/>
      </c>
      <c r="AC1946" s="66" t="str">
        <f>IF(A1946="","",IF(COUNTIF($A$6:A1946,A1946)=1,1,""))</f>
        <v/>
      </c>
      <c r="AD1946" s="66" t="str">
        <f>IF(AC1946=1,COUNT($AC$6:AC1946),"")</f>
        <v/>
      </c>
      <c r="AE1946" s="66" t="str">
        <f>IFERROR(INDEX(po_num,MATCH(1941,po_seq,0))&amp;"","")</f>
        <v/>
      </c>
      <c r="AF1946" s="66" t="str">
        <f>IF(OR(A1946="",p_po=""),"",IF(A1946&amp;""=p_po,COUNTIF($A$6:A1946,A1946),""))</f>
        <v/>
      </c>
      <c r="AG1946" s="66" t="str">
        <f>IF(OR(AB1946="",A1946=""),"",IF(COUNTIFS($A$6:A1946,A1946,$AB$6:AB1946,"&gt;0")=1,1,""))</f>
        <v/>
      </c>
      <c r="AH1946" s="70" t="str">
        <f>IF(AB1946="","",ROUND(N(W1946)*N(J1946)*(1-N(K1946)),2))</f>
        <v/>
      </c>
      <c r="AI1946" s="70" t="str">
        <f>IF(OR(J1946="",N(T1946)&lt;=0,V1946="Oui"),"",ROUND(N(T1946)*J1946*(1-N(K1946)),2))</f>
        <v/>
      </c>
    </row>
    <row r="1947">
      <c r="A1947" s="63" t="n"/>
      <c r="B1947" s="64" t="n"/>
      <c r="C1947" s="65" t="n"/>
      <c r="D1947" s="66" t="str">
        <f>IF(C1947="","",IFERROR(INDEX(sup_name,MATCH($C1947,sup_code,0))&amp;"","Fournisseur inconnu"))</f>
        <v/>
      </c>
      <c r="E1947" s="63" t="n"/>
      <c r="F1947" s="66" t="str">
        <f>IF(E1947="","",IFERROR(INDEX(art_des,MATCH($E1947,art_ref,0))&amp;"","Article inconnu"))</f>
        <v/>
      </c>
      <c r="G1947" s="67" t="str">
        <f>IF(E1947="","",IFERROR(INDEX(art_unit,MATCH($E1947,art_ref,0))&amp;"",""))</f>
        <v/>
      </c>
      <c r="H1947" s="68" t="n"/>
      <c r="I1947" s="69" t="n"/>
      <c r="J1947" s="70" t="str">
        <f>IF(E1947="","",IF(ISNUMBER(I1947),I1947,IFERROR(IF(ISNUMBER(INDEX(art_price,MATCH($E1947,art_ref,0))),INDEX(art_price,MATCH($E1947,art_ref,0)),""),"")))</f>
        <v/>
      </c>
      <c r="K1947" s="71" t="n"/>
      <c r="L1947" s="72" t="n"/>
      <c r="M1947" s="72" t="str">
        <f>IF(E1947="","",IF(L1947&lt;&gt;"",L1947,IFERROR(IF(ISNUMBER(INDEX(art_tva,MATCH($E1947,art_ref,0))),INDEX(art_tva,MATCH($E1947,art_ref,0)),""),"")))</f>
        <v/>
      </c>
      <c r="N1947" s="70" t="str">
        <f>IF(OR(E1947="",J1947=""),"",ROUND(N(H1947)*J1947*(1-N(K1947)),2))</f>
        <v/>
      </c>
      <c r="O1947" s="70" t="str">
        <f>IF(OR(N1947="",NOT(ISNUMBER(M1947))),"",ROUND(N1947*M1947,2))</f>
        <v/>
      </c>
      <c r="P1947" s="70" t="str">
        <f>IF(N1947="","",N1947+N(O1947))</f>
        <v/>
      </c>
      <c r="Q1947" s="64" t="n"/>
      <c r="R1947" s="73" t="str">
        <f>IF(N(Q1947)&gt;0,Q1947,IF(OR(N(B1947)=0,ISNA(MATCH($C1947,sup_code,0))),"",IF(ISNUMBER(INDEX(sup_delay,MATCH($C1947,sup_code,0))),B1947+INDEX(sup_delay,MATCH($C1947,sup_code,0)),"")))</f>
        <v/>
      </c>
      <c r="S1947" s="64" t="n"/>
      <c r="T1947" s="68" t="n"/>
      <c r="U1947" s="64" t="n"/>
      <c r="V1947" s="65" t="n"/>
      <c r="W1947" s="74" t="str">
        <f>IF(AND(A1947="",E1947=""),"",IF(V1947="Oui",0,MAX(0,ROUND(N(H1947)-N(T1947),6))))</f>
        <v/>
      </c>
      <c r="X1947" s="67" t="str">
        <f>IF(AND(A1947="",E1947=""),"",IF(V1947="Oui","Annulé",IF(AND(N(H1947)&gt;0,N(T1947)&gt;=N(H1947)),"Reçu",IF(N(S1947)=0,"Brouillon",IF(AND(ISNUMBER(R1947),R1947&lt;p_today),"En retard",IF(N(T1947)&gt;0,"Partiel","Envoyé"))))))</f>
        <v/>
      </c>
      <c r="Y1947" s="75" t="str">
        <f>IF(X1947="En retard",p_today-R1947,IF(AND(X1947="Reçu",ISNUMBER(R1947)),MAX(0,N(U1947)-R1947),""))</f>
        <v/>
      </c>
      <c r="Z1947" s="67" t="str">
        <f>IF(AND(A1947="",E1947=""),"",IF(A1947="","N° de bon manquant",IF(N(B1947)=0,"Date de commande manquante",IF(C1947="","Fournisseur manquant",IF(ISNA(MATCH($C1947,sup_code,0)),"Fournisseur inconnu",IF(E1947="","Article manquant",IF(ISNA(MATCH($E1947,art_ref,0)),"Article inconnu",IF(N(H1947)&lt;=0,"Quantité invalide",IF(J1947="","Prix manquant",IF(OR(N(K1947)&lt;0,N(K1947)&gt;=1),"Remise invalide",IF(M1947="","TVA manquante",IF(ISNA(MATCH(M1947,p_tva,0)),"Taux de TVA inconnu",IF(COUNTIFS(po_num,A1947,po_sup,"&lt;&gt;"&amp;C1947)&gt;0,"Fournisseur différent sur ce bon",IF(COUNTIFS(po_num,A1947,po_date,"&lt;&gt;"&amp;B1947)&gt;0,"Date différente sur ce bon",IF(COUNTIF(po_num,A1947)&gt;25,"Plus de 25 lignes sur ce bon",IF(R1947="","Date de livraison manquante",IF(R1947&lt;B1947,"Livraison avant la commande",IF(AND(N(T1947)&gt;0,N(S1947)=0),"Date d'envoi manquante",IF(N(T1947)&gt;N(H1947),"Reçu plus que commandé",IF(AND(N(T1947)&gt;0,N(U1947)=0),"Date de réception manquante",IF(AND(N(U1947)&gt;0,U1947&lt;B1947),"Réception avant la commande","OK")))))))))))))))))))))</f>
        <v/>
      </c>
      <c r="AA1947" s="66" t="str">
        <f>IF(AND(X1947="Reçu",ISNUMBER(R1947)),IF(N(U1947)&lt;=R1947,1,0),"")</f>
        <v/>
      </c>
      <c r="AB1947" s="76" t="str">
        <f>IF(OR(X1947="Envoyé",X1947="Partiel",X1947="En retard"),IF(ISNUMBER(R1947),R1947,100000)+ROW()/100000,"")</f>
        <v/>
      </c>
      <c r="AC1947" s="66" t="str">
        <f>IF(A1947="","",IF(COUNTIF($A$6:A1947,A1947)=1,1,""))</f>
        <v/>
      </c>
      <c r="AD1947" s="66" t="str">
        <f>IF(AC1947=1,COUNT($AC$6:AC1947),"")</f>
        <v/>
      </c>
      <c r="AE1947" s="66" t="str">
        <f>IFERROR(INDEX(po_num,MATCH(1942,po_seq,0))&amp;"","")</f>
        <v/>
      </c>
      <c r="AF1947" s="66" t="str">
        <f>IF(OR(A1947="",p_po=""),"",IF(A1947&amp;""=p_po,COUNTIF($A$6:A1947,A1947),""))</f>
        <v/>
      </c>
      <c r="AG1947" s="66" t="str">
        <f>IF(OR(AB1947="",A1947=""),"",IF(COUNTIFS($A$6:A1947,A1947,$AB$6:AB1947,"&gt;0")=1,1,""))</f>
        <v/>
      </c>
      <c r="AH1947" s="70" t="str">
        <f>IF(AB1947="","",ROUND(N(W1947)*N(J1947)*(1-N(K1947)),2))</f>
        <v/>
      </c>
      <c r="AI1947" s="70" t="str">
        <f>IF(OR(J1947="",N(T1947)&lt;=0,V1947="Oui"),"",ROUND(N(T1947)*J1947*(1-N(K1947)),2))</f>
        <v/>
      </c>
    </row>
    <row r="1948">
      <c r="A1948" s="63" t="n"/>
      <c r="B1948" s="64" t="n"/>
      <c r="C1948" s="65" t="n"/>
      <c r="D1948" s="66" t="str">
        <f>IF(C1948="","",IFERROR(INDEX(sup_name,MATCH($C1948,sup_code,0))&amp;"","Fournisseur inconnu"))</f>
        <v/>
      </c>
      <c r="E1948" s="63" t="n"/>
      <c r="F1948" s="66" t="str">
        <f>IF(E1948="","",IFERROR(INDEX(art_des,MATCH($E1948,art_ref,0))&amp;"","Article inconnu"))</f>
        <v/>
      </c>
      <c r="G1948" s="67" t="str">
        <f>IF(E1948="","",IFERROR(INDEX(art_unit,MATCH($E1948,art_ref,0))&amp;"",""))</f>
        <v/>
      </c>
      <c r="H1948" s="68" t="n"/>
      <c r="I1948" s="69" t="n"/>
      <c r="J1948" s="70" t="str">
        <f>IF(E1948="","",IF(ISNUMBER(I1948),I1948,IFERROR(IF(ISNUMBER(INDEX(art_price,MATCH($E1948,art_ref,0))),INDEX(art_price,MATCH($E1948,art_ref,0)),""),"")))</f>
        <v/>
      </c>
      <c r="K1948" s="71" t="n"/>
      <c r="L1948" s="72" t="n"/>
      <c r="M1948" s="72" t="str">
        <f>IF(E1948="","",IF(L1948&lt;&gt;"",L1948,IFERROR(IF(ISNUMBER(INDEX(art_tva,MATCH($E1948,art_ref,0))),INDEX(art_tva,MATCH($E1948,art_ref,0)),""),"")))</f>
        <v/>
      </c>
      <c r="N1948" s="70" t="str">
        <f>IF(OR(E1948="",J1948=""),"",ROUND(N(H1948)*J1948*(1-N(K1948)),2))</f>
        <v/>
      </c>
      <c r="O1948" s="70" t="str">
        <f>IF(OR(N1948="",NOT(ISNUMBER(M1948))),"",ROUND(N1948*M1948,2))</f>
        <v/>
      </c>
      <c r="P1948" s="70" t="str">
        <f>IF(N1948="","",N1948+N(O1948))</f>
        <v/>
      </c>
      <c r="Q1948" s="64" t="n"/>
      <c r="R1948" s="73" t="str">
        <f>IF(N(Q1948)&gt;0,Q1948,IF(OR(N(B1948)=0,ISNA(MATCH($C1948,sup_code,0))),"",IF(ISNUMBER(INDEX(sup_delay,MATCH($C1948,sup_code,0))),B1948+INDEX(sup_delay,MATCH($C1948,sup_code,0)),"")))</f>
        <v/>
      </c>
      <c r="S1948" s="64" t="n"/>
      <c r="T1948" s="68" t="n"/>
      <c r="U1948" s="64" t="n"/>
      <c r="V1948" s="65" t="n"/>
      <c r="W1948" s="74" t="str">
        <f>IF(AND(A1948="",E1948=""),"",IF(V1948="Oui",0,MAX(0,ROUND(N(H1948)-N(T1948),6))))</f>
        <v/>
      </c>
      <c r="X1948" s="67" t="str">
        <f>IF(AND(A1948="",E1948=""),"",IF(V1948="Oui","Annulé",IF(AND(N(H1948)&gt;0,N(T1948)&gt;=N(H1948)),"Reçu",IF(N(S1948)=0,"Brouillon",IF(AND(ISNUMBER(R1948),R1948&lt;p_today),"En retard",IF(N(T1948)&gt;0,"Partiel","Envoyé"))))))</f>
        <v/>
      </c>
      <c r="Y1948" s="75" t="str">
        <f>IF(X1948="En retard",p_today-R1948,IF(AND(X1948="Reçu",ISNUMBER(R1948)),MAX(0,N(U1948)-R1948),""))</f>
        <v/>
      </c>
      <c r="Z1948" s="67" t="str">
        <f>IF(AND(A1948="",E1948=""),"",IF(A1948="","N° de bon manquant",IF(N(B1948)=0,"Date de commande manquante",IF(C1948="","Fournisseur manquant",IF(ISNA(MATCH($C1948,sup_code,0)),"Fournisseur inconnu",IF(E1948="","Article manquant",IF(ISNA(MATCH($E1948,art_ref,0)),"Article inconnu",IF(N(H1948)&lt;=0,"Quantité invalide",IF(J1948="","Prix manquant",IF(OR(N(K1948)&lt;0,N(K1948)&gt;=1),"Remise invalide",IF(M1948="","TVA manquante",IF(ISNA(MATCH(M1948,p_tva,0)),"Taux de TVA inconnu",IF(COUNTIFS(po_num,A1948,po_sup,"&lt;&gt;"&amp;C1948)&gt;0,"Fournisseur différent sur ce bon",IF(COUNTIFS(po_num,A1948,po_date,"&lt;&gt;"&amp;B1948)&gt;0,"Date différente sur ce bon",IF(COUNTIF(po_num,A1948)&gt;25,"Plus de 25 lignes sur ce bon",IF(R1948="","Date de livraison manquante",IF(R1948&lt;B1948,"Livraison avant la commande",IF(AND(N(T1948)&gt;0,N(S1948)=0),"Date d'envoi manquante",IF(N(T1948)&gt;N(H1948),"Reçu plus que commandé",IF(AND(N(T1948)&gt;0,N(U1948)=0),"Date de réception manquante",IF(AND(N(U1948)&gt;0,U1948&lt;B1948),"Réception avant la commande","OK")))))))))))))))))))))</f>
        <v/>
      </c>
      <c r="AA1948" s="66" t="str">
        <f>IF(AND(X1948="Reçu",ISNUMBER(R1948)),IF(N(U1948)&lt;=R1948,1,0),"")</f>
        <v/>
      </c>
      <c r="AB1948" s="76" t="str">
        <f>IF(OR(X1948="Envoyé",X1948="Partiel",X1948="En retard"),IF(ISNUMBER(R1948),R1948,100000)+ROW()/100000,"")</f>
        <v/>
      </c>
      <c r="AC1948" s="66" t="str">
        <f>IF(A1948="","",IF(COUNTIF($A$6:A1948,A1948)=1,1,""))</f>
        <v/>
      </c>
      <c r="AD1948" s="66" t="str">
        <f>IF(AC1948=1,COUNT($AC$6:AC1948),"")</f>
        <v/>
      </c>
      <c r="AE1948" s="66" t="str">
        <f>IFERROR(INDEX(po_num,MATCH(1943,po_seq,0))&amp;"","")</f>
        <v/>
      </c>
      <c r="AF1948" s="66" t="str">
        <f>IF(OR(A1948="",p_po=""),"",IF(A1948&amp;""=p_po,COUNTIF($A$6:A1948,A1948),""))</f>
        <v/>
      </c>
      <c r="AG1948" s="66" t="str">
        <f>IF(OR(AB1948="",A1948=""),"",IF(COUNTIFS($A$6:A1948,A1948,$AB$6:AB1948,"&gt;0")=1,1,""))</f>
        <v/>
      </c>
      <c r="AH1948" s="70" t="str">
        <f>IF(AB1948="","",ROUND(N(W1948)*N(J1948)*(1-N(K1948)),2))</f>
        <v/>
      </c>
      <c r="AI1948" s="70" t="str">
        <f>IF(OR(J1948="",N(T1948)&lt;=0,V1948="Oui"),"",ROUND(N(T1948)*J1948*(1-N(K1948)),2))</f>
        <v/>
      </c>
    </row>
    <row r="1949">
      <c r="A1949" s="63" t="n"/>
      <c r="B1949" s="64" t="n"/>
      <c r="C1949" s="65" t="n"/>
      <c r="D1949" s="66" t="str">
        <f>IF(C1949="","",IFERROR(INDEX(sup_name,MATCH($C1949,sup_code,0))&amp;"","Fournisseur inconnu"))</f>
        <v/>
      </c>
      <c r="E1949" s="63" t="n"/>
      <c r="F1949" s="66" t="str">
        <f>IF(E1949="","",IFERROR(INDEX(art_des,MATCH($E1949,art_ref,0))&amp;"","Article inconnu"))</f>
        <v/>
      </c>
      <c r="G1949" s="67" t="str">
        <f>IF(E1949="","",IFERROR(INDEX(art_unit,MATCH($E1949,art_ref,0))&amp;"",""))</f>
        <v/>
      </c>
      <c r="H1949" s="68" t="n"/>
      <c r="I1949" s="69" t="n"/>
      <c r="J1949" s="70" t="str">
        <f>IF(E1949="","",IF(ISNUMBER(I1949),I1949,IFERROR(IF(ISNUMBER(INDEX(art_price,MATCH($E1949,art_ref,0))),INDEX(art_price,MATCH($E1949,art_ref,0)),""),"")))</f>
        <v/>
      </c>
      <c r="K1949" s="71" t="n"/>
      <c r="L1949" s="72" t="n"/>
      <c r="M1949" s="72" t="str">
        <f>IF(E1949="","",IF(L1949&lt;&gt;"",L1949,IFERROR(IF(ISNUMBER(INDEX(art_tva,MATCH($E1949,art_ref,0))),INDEX(art_tva,MATCH($E1949,art_ref,0)),""),"")))</f>
        <v/>
      </c>
      <c r="N1949" s="70" t="str">
        <f>IF(OR(E1949="",J1949=""),"",ROUND(N(H1949)*J1949*(1-N(K1949)),2))</f>
        <v/>
      </c>
      <c r="O1949" s="70" t="str">
        <f>IF(OR(N1949="",NOT(ISNUMBER(M1949))),"",ROUND(N1949*M1949,2))</f>
        <v/>
      </c>
      <c r="P1949" s="70" t="str">
        <f>IF(N1949="","",N1949+N(O1949))</f>
        <v/>
      </c>
      <c r="Q1949" s="64" t="n"/>
      <c r="R1949" s="73" t="str">
        <f>IF(N(Q1949)&gt;0,Q1949,IF(OR(N(B1949)=0,ISNA(MATCH($C1949,sup_code,0))),"",IF(ISNUMBER(INDEX(sup_delay,MATCH($C1949,sup_code,0))),B1949+INDEX(sup_delay,MATCH($C1949,sup_code,0)),"")))</f>
        <v/>
      </c>
      <c r="S1949" s="64" t="n"/>
      <c r="T1949" s="68" t="n"/>
      <c r="U1949" s="64" t="n"/>
      <c r="V1949" s="65" t="n"/>
      <c r="W1949" s="74" t="str">
        <f>IF(AND(A1949="",E1949=""),"",IF(V1949="Oui",0,MAX(0,ROUND(N(H1949)-N(T1949),6))))</f>
        <v/>
      </c>
      <c r="X1949" s="67" t="str">
        <f>IF(AND(A1949="",E1949=""),"",IF(V1949="Oui","Annulé",IF(AND(N(H1949)&gt;0,N(T1949)&gt;=N(H1949)),"Reçu",IF(N(S1949)=0,"Brouillon",IF(AND(ISNUMBER(R1949),R1949&lt;p_today),"En retard",IF(N(T1949)&gt;0,"Partiel","Envoyé"))))))</f>
        <v/>
      </c>
      <c r="Y1949" s="75" t="str">
        <f>IF(X1949="En retard",p_today-R1949,IF(AND(X1949="Reçu",ISNUMBER(R1949)),MAX(0,N(U1949)-R1949),""))</f>
        <v/>
      </c>
      <c r="Z1949" s="67" t="str">
        <f>IF(AND(A1949="",E1949=""),"",IF(A1949="","N° de bon manquant",IF(N(B1949)=0,"Date de commande manquante",IF(C1949="","Fournisseur manquant",IF(ISNA(MATCH($C1949,sup_code,0)),"Fournisseur inconnu",IF(E1949="","Article manquant",IF(ISNA(MATCH($E1949,art_ref,0)),"Article inconnu",IF(N(H1949)&lt;=0,"Quantité invalide",IF(J1949="","Prix manquant",IF(OR(N(K1949)&lt;0,N(K1949)&gt;=1),"Remise invalide",IF(M1949="","TVA manquante",IF(ISNA(MATCH(M1949,p_tva,0)),"Taux de TVA inconnu",IF(COUNTIFS(po_num,A1949,po_sup,"&lt;&gt;"&amp;C1949)&gt;0,"Fournisseur différent sur ce bon",IF(COUNTIFS(po_num,A1949,po_date,"&lt;&gt;"&amp;B1949)&gt;0,"Date différente sur ce bon",IF(COUNTIF(po_num,A1949)&gt;25,"Plus de 25 lignes sur ce bon",IF(R1949="","Date de livraison manquante",IF(R1949&lt;B1949,"Livraison avant la commande",IF(AND(N(T1949)&gt;0,N(S1949)=0),"Date d'envoi manquante",IF(N(T1949)&gt;N(H1949),"Reçu plus que commandé",IF(AND(N(T1949)&gt;0,N(U1949)=0),"Date de réception manquante",IF(AND(N(U1949)&gt;0,U1949&lt;B1949),"Réception avant la commande","OK")))))))))))))))))))))</f>
        <v/>
      </c>
      <c r="AA1949" s="66" t="str">
        <f>IF(AND(X1949="Reçu",ISNUMBER(R1949)),IF(N(U1949)&lt;=R1949,1,0),"")</f>
        <v/>
      </c>
      <c r="AB1949" s="76" t="str">
        <f>IF(OR(X1949="Envoyé",X1949="Partiel",X1949="En retard"),IF(ISNUMBER(R1949),R1949,100000)+ROW()/100000,"")</f>
        <v/>
      </c>
      <c r="AC1949" s="66" t="str">
        <f>IF(A1949="","",IF(COUNTIF($A$6:A1949,A1949)=1,1,""))</f>
        <v/>
      </c>
      <c r="AD1949" s="66" t="str">
        <f>IF(AC1949=1,COUNT($AC$6:AC1949),"")</f>
        <v/>
      </c>
      <c r="AE1949" s="66" t="str">
        <f>IFERROR(INDEX(po_num,MATCH(1944,po_seq,0))&amp;"","")</f>
        <v/>
      </c>
      <c r="AF1949" s="66" t="str">
        <f>IF(OR(A1949="",p_po=""),"",IF(A1949&amp;""=p_po,COUNTIF($A$6:A1949,A1949),""))</f>
        <v/>
      </c>
      <c r="AG1949" s="66" t="str">
        <f>IF(OR(AB1949="",A1949=""),"",IF(COUNTIFS($A$6:A1949,A1949,$AB$6:AB1949,"&gt;0")=1,1,""))</f>
        <v/>
      </c>
      <c r="AH1949" s="70" t="str">
        <f>IF(AB1949="","",ROUND(N(W1949)*N(J1949)*(1-N(K1949)),2))</f>
        <v/>
      </c>
      <c r="AI1949" s="70" t="str">
        <f>IF(OR(J1949="",N(T1949)&lt;=0,V1949="Oui"),"",ROUND(N(T1949)*J1949*(1-N(K1949)),2))</f>
        <v/>
      </c>
    </row>
    <row r="1950">
      <c r="A1950" s="63" t="n"/>
      <c r="B1950" s="64" t="n"/>
      <c r="C1950" s="65" t="n"/>
      <c r="D1950" s="66" t="str">
        <f>IF(C1950="","",IFERROR(INDEX(sup_name,MATCH($C1950,sup_code,0))&amp;"","Fournisseur inconnu"))</f>
        <v/>
      </c>
      <c r="E1950" s="63" t="n"/>
      <c r="F1950" s="66" t="str">
        <f>IF(E1950="","",IFERROR(INDEX(art_des,MATCH($E1950,art_ref,0))&amp;"","Article inconnu"))</f>
        <v/>
      </c>
      <c r="G1950" s="67" t="str">
        <f>IF(E1950="","",IFERROR(INDEX(art_unit,MATCH($E1950,art_ref,0))&amp;"",""))</f>
        <v/>
      </c>
      <c r="H1950" s="68" t="n"/>
      <c r="I1950" s="69" t="n"/>
      <c r="J1950" s="70" t="str">
        <f>IF(E1950="","",IF(ISNUMBER(I1950),I1950,IFERROR(IF(ISNUMBER(INDEX(art_price,MATCH($E1950,art_ref,0))),INDEX(art_price,MATCH($E1950,art_ref,0)),""),"")))</f>
        <v/>
      </c>
      <c r="K1950" s="71" t="n"/>
      <c r="L1950" s="72" t="n"/>
      <c r="M1950" s="72" t="str">
        <f>IF(E1950="","",IF(L1950&lt;&gt;"",L1950,IFERROR(IF(ISNUMBER(INDEX(art_tva,MATCH($E1950,art_ref,0))),INDEX(art_tva,MATCH($E1950,art_ref,0)),""),"")))</f>
        <v/>
      </c>
      <c r="N1950" s="70" t="str">
        <f>IF(OR(E1950="",J1950=""),"",ROUND(N(H1950)*J1950*(1-N(K1950)),2))</f>
        <v/>
      </c>
      <c r="O1950" s="70" t="str">
        <f>IF(OR(N1950="",NOT(ISNUMBER(M1950))),"",ROUND(N1950*M1950,2))</f>
        <v/>
      </c>
      <c r="P1950" s="70" t="str">
        <f>IF(N1950="","",N1950+N(O1950))</f>
        <v/>
      </c>
      <c r="Q1950" s="64" t="n"/>
      <c r="R1950" s="73" t="str">
        <f>IF(N(Q1950)&gt;0,Q1950,IF(OR(N(B1950)=0,ISNA(MATCH($C1950,sup_code,0))),"",IF(ISNUMBER(INDEX(sup_delay,MATCH($C1950,sup_code,0))),B1950+INDEX(sup_delay,MATCH($C1950,sup_code,0)),"")))</f>
        <v/>
      </c>
      <c r="S1950" s="64" t="n"/>
      <c r="T1950" s="68" t="n"/>
      <c r="U1950" s="64" t="n"/>
      <c r="V1950" s="65" t="n"/>
      <c r="W1950" s="74" t="str">
        <f>IF(AND(A1950="",E1950=""),"",IF(V1950="Oui",0,MAX(0,ROUND(N(H1950)-N(T1950),6))))</f>
        <v/>
      </c>
      <c r="X1950" s="67" t="str">
        <f>IF(AND(A1950="",E1950=""),"",IF(V1950="Oui","Annulé",IF(AND(N(H1950)&gt;0,N(T1950)&gt;=N(H1950)),"Reçu",IF(N(S1950)=0,"Brouillon",IF(AND(ISNUMBER(R1950),R1950&lt;p_today),"En retard",IF(N(T1950)&gt;0,"Partiel","Envoyé"))))))</f>
        <v/>
      </c>
      <c r="Y1950" s="75" t="str">
        <f>IF(X1950="En retard",p_today-R1950,IF(AND(X1950="Reçu",ISNUMBER(R1950)),MAX(0,N(U1950)-R1950),""))</f>
        <v/>
      </c>
      <c r="Z1950" s="67" t="str">
        <f>IF(AND(A1950="",E1950=""),"",IF(A1950="","N° de bon manquant",IF(N(B1950)=0,"Date de commande manquante",IF(C1950="","Fournisseur manquant",IF(ISNA(MATCH($C1950,sup_code,0)),"Fournisseur inconnu",IF(E1950="","Article manquant",IF(ISNA(MATCH($E1950,art_ref,0)),"Article inconnu",IF(N(H1950)&lt;=0,"Quantité invalide",IF(J1950="","Prix manquant",IF(OR(N(K1950)&lt;0,N(K1950)&gt;=1),"Remise invalide",IF(M1950="","TVA manquante",IF(ISNA(MATCH(M1950,p_tva,0)),"Taux de TVA inconnu",IF(COUNTIFS(po_num,A1950,po_sup,"&lt;&gt;"&amp;C1950)&gt;0,"Fournisseur différent sur ce bon",IF(COUNTIFS(po_num,A1950,po_date,"&lt;&gt;"&amp;B1950)&gt;0,"Date différente sur ce bon",IF(COUNTIF(po_num,A1950)&gt;25,"Plus de 25 lignes sur ce bon",IF(R1950="","Date de livraison manquante",IF(R1950&lt;B1950,"Livraison avant la commande",IF(AND(N(T1950)&gt;0,N(S1950)=0),"Date d'envoi manquante",IF(N(T1950)&gt;N(H1950),"Reçu plus que commandé",IF(AND(N(T1950)&gt;0,N(U1950)=0),"Date de réception manquante",IF(AND(N(U1950)&gt;0,U1950&lt;B1950),"Réception avant la commande","OK")))))))))))))))))))))</f>
        <v/>
      </c>
      <c r="AA1950" s="66" t="str">
        <f>IF(AND(X1950="Reçu",ISNUMBER(R1950)),IF(N(U1950)&lt;=R1950,1,0),"")</f>
        <v/>
      </c>
      <c r="AB1950" s="76" t="str">
        <f>IF(OR(X1950="Envoyé",X1950="Partiel",X1950="En retard"),IF(ISNUMBER(R1950),R1950,100000)+ROW()/100000,"")</f>
        <v/>
      </c>
      <c r="AC1950" s="66" t="str">
        <f>IF(A1950="","",IF(COUNTIF($A$6:A1950,A1950)=1,1,""))</f>
        <v/>
      </c>
      <c r="AD1950" s="66" t="str">
        <f>IF(AC1950=1,COUNT($AC$6:AC1950),"")</f>
        <v/>
      </c>
      <c r="AE1950" s="66" t="str">
        <f>IFERROR(INDEX(po_num,MATCH(1945,po_seq,0))&amp;"","")</f>
        <v/>
      </c>
      <c r="AF1950" s="66" t="str">
        <f>IF(OR(A1950="",p_po=""),"",IF(A1950&amp;""=p_po,COUNTIF($A$6:A1950,A1950),""))</f>
        <v/>
      </c>
      <c r="AG1950" s="66" t="str">
        <f>IF(OR(AB1950="",A1950=""),"",IF(COUNTIFS($A$6:A1950,A1950,$AB$6:AB1950,"&gt;0")=1,1,""))</f>
        <v/>
      </c>
      <c r="AH1950" s="70" t="str">
        <f>IF(AB1950="","",ROUND(N(W1950)*N(J1950)*(1-N(K1950)),2))</f>
        <v/>
      </c>
      <c r="AI1950" s="70" t="str">
        <f>IF(OR(J1950="",N(T1950)&lt;=0,V1950="Oui"),"",ROUND(N(T1950)*J1950*(1-N(K1950)),2))</f>
        <v/>
      </c>
    </row>
    <row r="1951">
      <c r="A1951" s="63" t="n"/>
      <c r="B1951" s="64" t="n"/>
      <c r="C1951" s="65" t="n"/>
      <c r="D1951" s="66" t="str">
        <f>IF(C1951="","",IFERROR(INDEX(sup_name,MATCH($C1951,sup_code,0))&amp;"","Fournisseur inconnu"))</f>
        <v/>
      </c>
      <c r="E1951" s="63" t="n"/>
      <c r="F1951" s="66" t="str">
        <f>IF(E1951="","",IFERROR(INDEX(art_des,MATCH($E1951,art_ref,0))&amp;"","Article inconnu"))</f>
        <v/>
      </c>
      <c r="G1951" s="67" t="str">
        <f>IF(E1951="","",IFERROR(INDEX(art_unit,MATCH($E1951,art_ref,0))&amp;"",""))</f>
        <v/>
      </c>
      <c r="H1951" s="68" t="n"/>
      <c r="I1951" s="69" t="n"/>
      <c r="J1951" s="70" t="str">
        <f>IF(E1951="","",IF(ISNUMBER(I1951),I1951,IFERROR(IF(ISNUMBER(INDEX(art_price,MATCH($E1951,art_ref,0))),INDEX(art_price,MATCH($E1951,art_ref,0)),""),"")))</f>
        <v/>
      </c>
      <c r="K1951" s="71" t="n"/>
      <c r="L1951" s="72" t="n"/>
      <c r="M1951" s="72" t="str">
        <f>IF(E1951="","",IF(L1951&lt;&gt;"",L1951,IFERROR(IF(ISNUMBER(INDEX(art_tva,MATCH($E1951,art_ref,0))),INDEX(art_tva,MATCH($E1951,art_ref,0)),""),"")))</f>
        <v/>
      </c>
      <c r="N1951" s="70" t="str">
        <f>IF(OR(E1951="",J1951=""),"",ROUND(N(H1951)*J1951*(1-N(K1951)),2))</f>
        <v/>
      </c>
      <c r="O1951" s="70" t="str">
        <f>IF(OR(N1951="",NOT(ISNUMBER(M1951))),"",ROUND(N1951*M1951,2))</f>
        <v/>
      </c>
      <c r="P1951" s="70" t="str">
        <f>IF(N1951="","",N1951+N(O1951))</f>
        <v/>
      </c>
      <c r="Q1951" s="64" t="n"/>
      <c r="R1951" s="73" t="str">
        <f>IF(N(Q1951)&gt;0,Q1951,IF(OR(N(B1951)=0,ISNA(MATCH($C1951,sup_code,0))),"",IF(ISNUMBER(INDEX(sup_delay,MATCH($C1951,sup_code,0))),B1951+INDEX(sup_delay,MATCH($C1951,sup_code,0)),"")))</f>
        <v/>
      </c>
      <c r="S1951" s="64" t="n"/>
      <c r="T1951" s="68" t="n"/>
      <c r="U1951" s="64" t="n"/>
      <c r="V1951" s="65" t="n"/>
      <c r="W1951" s="74" t="str">
        <f>IF(AND(A1951="",E1951=""),"",IF(V1951="Oui",0,MAX(0,ROUND(N(H1951)-N(T1951),6))))</f>
        <v/>
      </c>
      <c r="X1951" s="67" t="str">
        <f>IF(AND(A1951="",E1951=""),"",IF(V1951="Oui","Annulé",IF(AND(N(H1951)&gt;0,N(T1951)&gt;=N(H1951)),"Reçu",IF(N(S1951)=0,"Brouillon",IF(AND(ISNUMBER(R1951),R1951&lt;p_today),"En retard",IF(N(T1951)&gt;0,"Partiel","Envoyé"))))))</f>
        <v/>
      </c>
      <c r="Y1951" s="75" t="str">
        <f>IF(X1951="En retard",p_today-R1951,IF(AND(X1951="Reçu",ISNUMBER(R1951)),MAX(0,N(U1951)-R1951),""))</f>
        <v/>
      </c>
      <c r="Z1951" s="67" t="str">
        <f>IF(AND(A1951="",E1951=""),"",IF(A1951="","N° de bon manquant",IF(N(B1951)=0,"Date de commande manquante",IF(C1951="","Fournisseur manquant",IF(ISNA(MATCH($C1951,sup_code,0)),"Fournisseur inconnu",IF(E1951="","Article manquant",IF(ISNA(MATCH($E1951,art_ref,0)),"Article inconnu",IF(N(H1951)&lt;=0,"Quantité invalide",IF(J1951="","Prix manquant",IF(OR(N(K1951)&lt;0,N(K1951)&gt;=1),"Remise invalide",IF(M1951="","TVA manquante",IF(ISNA(MATCH(M1951,p_tva,0)),"Taux de TVA inconnu",IF(COUNTIFS(po_num,A1951,po_sup,"&lt;&gt;"&amp;C1951)&gt;0,"Fournisseur différent sur ce bon",IF(COUNTIFS(po_num,A1951,po_date,"&lt;&gt;"&amp;B1951)&gt;0,"Date différente sur ce bon",IF(COUNTIF(po_num,A1951)&gt;25,"Plus de 25 lignes sur ce bon",IF(R1951="","Date de livraison manquante",IF(R1951&lt;B1951,"Livraison avant la commande",IF(AND(N(T1951)&gt;0,N(S1951)=0),"Date d'envoi manquante",IF(N(T1951)&gt;N(H1951),"Reçu plus que commandé",IF(AND(N(T1951)&gt;0,N(U1951)=0),"Date de réception manquante",IF(AND(N(U1951)&gt;0,U1951&lt;B1951),"Réception avant la commande","OK")))))))))))))))))))))</f>
        <v/>
      </c>
      <c r="AA1951" s="66" t="str">
        <f>IF(AND(X1951="Reçu",ISNUMBER(R1951)),IF(N(U1951)&lt;=R1951,1,0),"")</f>
        <v/>
      </c>
      <c r="AB1951" s="76" t="str">
        <f>IF(OR(X1951="Envoyé",X1951="Partiel",X1951="En retard"),IF(ISNUMBER(R1951),R1951,100000)+ROW()/100000,"")</f>
        <v/>
      </c>
      <c r="AC1951" s="66" t="str">
        <f>IF(A1951="","",IF(COUNTIF($A$6:A1951,A1951)=1,1,""))</f>
        <v/>
      </c>
      <c r="AD1951" s="66" t="str">
        <f>IF(AC1951=1,COUNT($AC$6:AC1951),"")</f>
        <v/>
      </c>
      <c r="AE1951" s="66" t="str">
        <f>IFERROR(INDEX(po_num,MATCH(1946,po_seq,0))&amp;"","")</f>
        <v/>
      </c>
      <c r="AF1951" s="66" t="str">
        <f>IF(OR(A1951="",p_po=""),"",IF(A1951&amp;""=p_po,COUNTIF($A$6:A1951,A1951),""))</f>
        <v/>
      </c>
      <c r="AG1951" s="66" t="str">
        <f>IF(OR(AB1951="",A1951=""),"",IF(COUNTIFS($A$6:A1951,A1951,$AB$6:AB1951,"&gt;0")=1,1,""))</f>
        <v/>
      </c>
      <c r="AH1951" s="70" t="str">
        <f>IF(AB1951="","",ROUND(N(W1951)*N(J1951)*(1-N(K1951)),2))</f>
        <v/>
      </c>
      <c r="AI1951" s="70" t="str">
        <f>IF(OR(J1951="",N(T1951)&lt;=0,V1951="Oui"),"",ROUND(N(T1951)*J1951*(1-N(K1951)),2))</f>
        <v/>
      </c>
    </row>
    <row r="1952">
      <c r="A1952" s="63" t="n"/>
      <c r="B1952" s="64" t="n"/>
      <c r="C1952" s="65" t="n"/>
      <c r="D1952" s="66" t="str">
        <f>IF(C1952="","",IFERROR(INDEX(sup_name,MATCH($C1952,sup_code,0))&amp;"","Fournisseur inconnu"))</f>
        <v/>
      </c>
      <c r="E1952" s="63" t="n"/>
      <c r="F1952" s="66" t="str">
        <f>IF(E1952="","",IFERROR(INDEX(art_des,MATCH($E1952,art_ref,0))&amp;"","Article inconnu"))</f>
        <v/>
      </c>
      <c r="G1952" s="67" t="str">
        <f>IF(E1952="","",IFERROR(INDEX(art_unit,MATCH($E1952,art_ref,0))&amp;"",""))</f>
        <v/>
      </c>
      <c r="H1952" s="68" t="n"/>
      <c r="I1952" s="69" t="n"/>
      <c r="J1952" s="70" t="str">
        <f>IF(E1952="","",IF(ISNUMBER(I1952),I1952,IFERROR(IF(ISNUMBER(INDEX(art_price,MATCH($E1952,art_ref,0))),INDEX(art_price,MATCH($E1952,art_ref,0)),""),"")))</f>
        <v/>
      </c>
      <c r="K1952" s="71" t="n"/>
      <c r="L1952" s="72" t="n"/>
      <c r="M1952" s="72" t="str">
        <f>IF(E1952="","",IF(L1952&lt;&gt;"",L1952,IFERROR(IF(ISNUMBER(INDEX(art_tva,MATCH($E1952,art_ref,0))),INDEX(art_tva,MATCH($E1952,art_ref,0)),""),"")))</f>
        <v/>
      </c>
      <c r="N1952" s="70" t="str">
        <f>IF(OR(E1952="",J1952=""),"",ROUND(N(H1952)*J1952*(1-N(K1952)),2))</f>
        <v/>
      </c>
      <c r="O1952" s="70" t="str">
        <f>IF(OR(N1952="",NOT(ISNUMBER(M1952))),"",ROUND(N1952*M1952,2))</f>
        <v/>
      </c>
      <c r="P1952" s="70" t="str">
        <f>IF(N1952="","",N1952+N(O1952))</f>
        <v/>
      </c>
      <c r="Q1952" s="64" t="n"/>
      <c r="R1952" s="73" t="str">
        <f>IF(N(Q1952)&gt;0,Q1952,IF(OR(N(B1952)=0,ISNA(MATCH($C1952,sup_code,0))),"",IF(ISNUMBER(INDEX(sup_delay,MATCH($C1952,sup_code,0))),B1952+INDEX(sup_delay,MATCH($C1952,sup_code,0)),"")))</f>
        <v/>
      </c>
      <c r="S1952" s="64" t="n"/>
      <c r="T1952" s="68" t="n"/>
      <c r="U1952" s="64" t="n"/>
      <c r="V1952" s="65" t="n"/>
      <c r="W1952" s="74" t="str">
        <f>IF(AND(A1952="",E1952=""),"",IF(V1952="Oui",0,MAX(0,ROUND(N(H1952)-N(T1952),6))))</f>
        <v/>
      </c>
      <c r="X1952" s="67" t="str">
        <f>IF(AND(A1952="",E1952=""),"",IF(V1952="Oui","Annulé",IF(AND(N(H1952)&gt;0,N(T1952)&gt;=N(H1952)),"Reçu",IF(N(S1952)=0,"Brouillon",IF(AND(ISNUMBER(R1952),R1952&lt;p_today),"En retard",IF(N(T1952)&gt;0,"Partiel","Envoyé"))))))</f>
        <v/>
      </c>
      <c r="Y1952" s="75" t="str">
        <f>IF(X1952="En retard",p_today-R1952,IF(AND(X1952="Reçu",ISNUMBER(R1952)),MAX(0,N(U1952)-R1952),""))</f>
        <v/>
      </c>
      <c r="Z1952" s="67" t="str">
        <f>IF(AND(A1952="",E1952=""),"",IF(A1952="","N° de bon manquant",IF(N(B1952)=0,"Date de commande manquante",IF(C1952="","Fournisseur manquant",IF(ISNA(MATCH($C1952,sup_code,0)),"Fournisseur inconnu",IF(E1952="","Article manquant",IF(ISNA(MATCH($E1952,art_ref,0)),"Article inconnu",IF(N(H1952)&lt;=0,"Quantité invalide",IF(J1952="","Prix manquant",IF(OR(N(K1952)&lt;0,N(K1952)&gt;=1),"Remise invalide",IF(M1952="","TVA manquante",IF(ISNA(MATCH(M1952,p_tva,0)),"Taux de TVA inconnu",IF(COUNTIFS(po_num,A1952,po_sup,"&lt;&gt;"&amp;C1952)&gt;0,"Fournisseur différent sur ce bon",IF(COUNTIFS(po_num,A1952,po_date,"&lt;&gt;"&amp;B1952)&gt;0,"Date différente sur ce bon",IF(COUNTIF(po_num,A1952)&gt;25,"Plus de 25 lignes sur ce bon",IF(R1952="","Date de livraison manquante",IF(R1952&lt;B1952,"Livraison avant la commande",IF(AND(N(T1952)&gt;0,N(S1952)=0),"Date d'envoi manquante",IF(N(T1952)&gt;N(H1952),"Reçu plus que commandé",IF(AND(N(T1952)&gt;0,N(U1952)=0),"Date de réception manquante",IF(AND(N(U1952)&gt;0,U1952&lt;B1952),"Réception avant la commande","OK")))))))))))))))))))))</f>
        <v/>
      </c>
      <c r="AA1952" s="66" t="str">
        <f>IF(AND(X1952="Reçu",ISNUMBER(R1952)),IF(N(U1952)&lt;=R1952,1,0),"")</f>
        <v/>
      </c>
      <c r="AB1952" s="76" t="str">
        <f>IF(OR(X1952="Envoyé",X1952="Partiel",X1952="En retard"),IF(ISNUMBER(R1952),R1952,100000)+ROW()/100000,"")</f>
        <v/>
      </c>
      <c r="AC1952" s="66" t="str">
        <f>IF(A1952="","",IF(COUNTIF($A$6:A1952,A1952)=1,1,""))</f>
        <v/>
      </c>
      <c r="AD1952" s="66" t="str">
        <f>IF(AC1952=1,COUNT($AC$6:AC1952),"")</f>
        <v/>
      </c>
      <c r="AE1952" s="66" t="str">
        <f>IFERROR(INDEX(po_num,MATCH(1947,po_seq,0))&amp;"","")</f>
        <v/>
      </c>
      <c r="AF1952" s="66" t="str">
        <f>IF(OR(A1952="",p_po=""),"",IF(A1952&amp;""=p_po,COUNTIF($A$6:A1952,A1952),""))</f>
        <v/>
      </c>
      <c r="AG1952" s="66" t="str">
        <f>IF(OR(AB1952="",A1952=""),"",IF(COUNTIFS($A$6:A1952,A1952,$AB$6:AB1952,"&gt;0")=1,1,""))</f>
        <v/>
      </c>
      <c r="AH1952" s="70" t="str">
        <f>IF(AB1952="","",ROUND(N(W1952)*N(J1952)*(1-N(K1952)),2))</f>
        <v/>
      </c>
      <c r="AI1952" s="70" t="str">
        <f>IF(OR(J1952="",N(T1952)&lt;=0,V1952="Oui"),"",ROUND(N(T1952)*J1952*(1-N(K1952)),2))</f>
        <v/>
      </c>
    </row>
    <row r="1953">
      <c r="A1953" s="63" t="n"/>
      <c r="B1953" s="64" t="n"/>
      <c r="C1953" s="65" t="n"/>
      <c r="D1953" s="66" t="str">
        <f>IF(C1953="","",IFERROR(INDEX(sup_name,MATCH($C1953,sup_code,0))&amp;"","Fournisseur inconnu"))</f>
        <v/>
      </c>
      <c r="E1953" s="63" t="n"/>
      <c r="F1953" s="66" t="str">
        <f>IF(E1953="","",IFERROR(INDEX(art_des,MATCH($E1953,art_ref,0))&amp;"","Article inconnu"))</f>
        <v/>
      </c>
      <c r="G1953" s="67" t="str">
        <f>IF(E1953="","",IFERROR(INDEX(art_unit,MATCH($E1953,art_ref,0))&amp;"",""))</f>
        <v/>
      </c>
      <c r="H1953" s="68" t="n"/>
      <c r="I1953" s="69" t="n"/>
      <c r="J1953" s="70" t="str">
        <f>IF(E1953="","",IF(ISNUMBER(I1953),I1953,IFERROR(IF(ISNUMBER(INDEX(art_price,MATCH($E1953,art_ref,0))),INDEX(art_price,MATCH($E1953,art_ref,0)),""),"")))</f>
        <v/>
      </c>
      <c r="K1953" s="71" t="n"/>
      <c r="L1953" s="72" t="n"/>
      <c r="M1953" s="72" t="str">
        <f>IF(E1953="","",IF(L1953&lt;&gt;"",L1953,IFERROR(IF(ISNUMBER(INDEX(art_tva,MATCH($E1953,art_ref,0))),INDEX(art_tva,MATCH($E1953,art_ref,0)),""),"")))</f>
        <v/>
      </c>
      <c r="N1953" s="70" t="str">
        <f>IF(OR(E1953="",J1953=""),"",ROUND(N(H1953)*J1953*(1-N(K1953)),2))</f>
        <v/>
      </c>
      <c r="O1953" s="70" t="str">
        <f>IF(OR(N1953="",NOT(ISNUMBER(M1953))),"",ROUND(N1953*M1953,2))</f>
        <v/>
      </c>
      <c r="P1953" s="70" t="str">
        <f>IF(N1953="","",N1953+N(O1953))</f>
        <v/>
      </c>
      <c r="Q1953" s="64" t="n"/>
      <c r="R1953" s="73" t="str">
        <f>IF(N(Q1953)&gt;0,Q1953,IF(OR(N(B1953)=0,ISNA(MATCH($C1953,sup_code,0))),"",IF(ISNUMBER(INDEX(sup_delay,MATCH($C1953,sup_code,0))),B1953+INDEX(sup_delay,MATCH($C1953,sup_code,0)),"")))</f>
        <v/>
      </c>
      <c r="S1953" s="64" t="n"/>
      <c r="T1953" s="68" t="n"/>
      <c r="U1953" s="64" t="n"/>
      <c r="V1953" s="65" t="n"/>
      <c r="W1953" s="74" t="str">
        <f>IF(AND(A1953="",E1953=""),"",IF(V1953="Oui",0,MAX(0,ROUND(N(H1953)-N(T1953),6))))</f>
        <v/>
      </c>
      <c r="X1953" s="67" t="str">
        <f>IF(AND(A1953="",E1953=""),"",IF(V1953="Oui","Annulé",IF(AND(N(H1953)&gt;0,N(T1953)&gt;=N(H1953)),"Reçu",IF(N(S1953)=0,"Brouillon",IF(AND(ISNUMBER(R1953),R1953&lt;p_today),"En retard",IF(N(T1953)&gt;0,"Partiel","Envoyé"))))))</f>
        <v/>
      </c>
      <c r="Y1953" s="75" t="str">
        <f>IF(X1953="En retard",p_today-R1953,IF(AND(X1953="Reçu",ISNUMBER(R1953)),MAX(0,N(U1953)-R1953),""))</f>
        <v/>
      </c>
      <c r="Z1953" s="67" t="str">
        <f>IF(AND(A1953="",E1953=""),"",IF(A1953="","N° de bon manquant",IF(N(B1953)=0,"Date de commande manquante",IF(C1953="","Fournisseur manquant",IF(ISNA(MATCH($C1953,sup_code,0)),"Fournisseur inconnu",IF(E1953="","Article manquant",IF(ISNA(MATCH($E1953,art_ref,0)),"Article inconnu",IF(N(H1953)&lt;=0,"Quantité invalide",IF(J1953="","Prix manquant",IF(OR(N(K1953)&lt;0,N(K1953)&gt;=1),"Remise invalide",IF(M1953="","TVA manquante",IF(ISNA(MATCH(M1953,p_tva,0)),"Taux de TVA inconnu",IF(COUNTIFS(po_num,A1953,po_sup,"&lt;&gt;"&amp;C1953)&gt;0,"Fournisseur différent sur ce bon",IF(COUNTIFS(po_num,A1953,po_date,"&lt;&gt;"&amp;B1953)&gt;0,"Date différente sur ce bon",IF(COUNTIF(po_num,A1953)&gt;25,"Plus de 25 lignes sur ce bon",IF(R1953="","Date de livraison manquante",IF(R1953&lt;B1953,"Livraison avant la commande",IF(AND(N(T1953)&gt;0,N(S1953)=0),"Date d'envoi manquante",IF(N(T1953)&gt;N(H1953),"Reçu plus que commandé",IF(AND(N(T1953)&gt;0,N(U1953)=0),"Date de réception manquante",IF(AND(N(U1953)&gt;0,U1953&lt;B1953),"Réception avant la commande","OK")))))))))))))))))))))</f>
        <v/>
      </c>
      <c r="AA1953" s="66" t="str">
        <f>IF(AND(X1953="Reçu",ISNUMBER(R1953)),IF(N(U1953)&lt;=R1953,1,0),"")</f>
        <v/>
      </c>
      <c r="AB1953" s="76" t="str">
        <f>IF(OR(X1953="Envoyé",X1953="Partiel",X1953="En retard"),IF(ISNUMBER(R1953),R1953,100000)+ROW()/100000,"")</f>
        <v/>
      </c>
      <c r="AC1953" s="66" t="str">
        <f>IF(A1953="","",IF(COUNTIF($A$6:A1953,A1953)=1,1,""))</f>
        <v/>
      </c>
      <c r="AD1953" s="66" t="str">
        <f>IF(AC1953=1,COUNT($AC$6:AC1953),"")</f>
        <v/>
      </c>
      <c r="AE1953" s="66" t="str">
        <f>IFERROR(INDEX(po_num,MATCH(1948,po_seq,0))&amp;"","")</f>
        <v/>
      </c>
      <c r="AF1953" s="66" t="str">
        <f>IF(OR(A1953="",p_po=""),"",IF(A1953&amp;""=p_po,COUNTIF($A$6:A1953,A1953),""))</f>
        <v/>
      </c>
      <c r="AG1953" s="66" t="str">
        <f>IF(OR(AB1953="",A1953=""),"",IF(COUNTIFS($A$6:A1953,A1953,$AB$6:AB1953,"&gt;0")=1,1,""))</f>
        <v/>
      </c>
      <c r="AH1953" s="70" t="str">
        <f>IF(AB1953="","",ROUND(N(W1953)*N(J1953)*(1-N(K1953)),2))</f>
        <v/>
      </c>
      <c r="AI1953" s="70" t="str">
        <f>IF(OR(J1953="",N(T1953)&lt;=0,V1953="Oui"),"",ROUND(N(T1953)*J1953*(1-N(K1953)),2))</f>
        <v/>
      </c>
    </row>
    <row r="1954">
      <c r="A1954" s="63" t="n"/>
      <c r="B1954" s="64" t="n"/>
      <c r="C1954" s="65" t="n"/>
      <c r="D1954" s="66" t="str">
        <f>IF(C1954="","",IFERROR(INDEX(sup_name,MATCH($C1954,sup_code,0))&amp;"","Fournisseur inconnu"))</f>
        <v/>
      </c>
      <c r="E1954" s="63" t="n"/>
      <c r="F1954" s="66" t="str">
        <f>IF(E1954="","",IFERROR(INDEX(art_des,MATCH($E1954,art_ref,0))&amp;"","Article inconnu"))</f>
        <v/>
      </c>
      <c r="G1954" s="67" t="str">
        <f>IF(E1954="","",IFERROR(INDEX(art_unit,MATCH($E1954,art_ref,0))&amp;"",""))</f>
        <v/>
      </c>
      <c r="H1954" s="68" t="n"/>
      <c r="I1954" s="69" t="n"/>
      <c r="J1954" s="70" t="str">
        <f>IF(E1954="","",IF(ISNUMBER(I1954),I1954,IFERROR(IF(ISNUMBER(INDEX(art_price,MATCH($E1954,art_ref,0))),INDEX(art_price,MATCH($E1954,art_ref,0)),""),"")))</f>
        <v/>
      </c>
      <c r="K1954" s="71" t="n"/>
      <c r="L1954" s="72" t="n"/>
      <c r="M1954" s="72" t="str">
        <f>IF(E1954="","",IF(L1954&lt;&gt;"",L1954,IFERROR(IF(ISNUMBER(INDEX(art_tva,MATCH($E1954,art_ref,0))),INDEX(art_tva,MATCH($E1954,art_ref,0)),""),"")))</f>
        <v/>
      </c>
      <c r="N1954" s="70" t="str">
        <f>IF(OR(E1954="",J1954=""),"",ROUND(N(H1954)*J1954*(1-N(K1954)),2))</f>
        <v/>
      </c>
      <c r="O1954" s="70" t="str">
        <f>IF(OR(N1954="",NOT(ISNUMBER(M1954))),"",ROUND(N1954*M1954,2))</f>
        <v/>
      </c>
      <c r="P1954" s="70" t="str">
        <f>IF(N1954="","",N1954+N(O1954))</f>
        <v/>
      </c>
      <c r="Q1954" s="64" t="n"/>
      <c r="R1954" s="73" t="str">
        <f>IF(N(Q1954)&gt;0,Q1954,IF(OR(N(B1954)=0,ISNA(MATCH($C1954,sup_code,0))),"",IF(ISNUMBER(INDEX(sup_delay,MATCH($C1954,sup_code,0))),B1954+INDEX(sup_delay,MATCH($C1954,sup_code,0)),"")))</f>
        <v/>
      </c>
      <c r="S1954" s="64" t="n"/>
      <c r="T1954" s="68" t="n"/>
      <c r="U1954" s="64" t="n"/>
      <c r="V1954" s="65" t="n"/>
      <c r="W1954" s="74" t="str">
        <f>IF(AND(A1954="",E1954=""),"",IF(V1954="Oui",0,MAX(0,ROUND(N(H1954)-N(T1954),6))))</f>
        <v/>
      </c>
      <c r="X1954" s="67" t="str">
        <f>IF(AND(A1954="",E1954=""),"",IF(V1954="Oui","Annulé",IF(AND(N(H1954)&gt;0,N(T1954)&gt;=N(H1954)),"Reçu",IF(N(S1954)=0,"Brouillon",IF(AND(ISNUMBER(R1954),R1954&lt;p_today),"En retard",IF(N(T1954)&gt;0,"Partiel","Envoyé"))))))</f>
        <v/>
      </c>
      <c r="Y1954" s="75" t="str">
        <f>IF(X1954="En retard",p_today-R1954,IF(AND(X1954="Reçu",ISNUMBER(R1954)),MAX(0,N(U1954)-R1954),""))</f>
        <v/>
      </c>
      <c r="Z1954" s="67" t="str">
        <f>IF(AND(A1954="",E1954=""),"",IF(A1954="","N° de bon manquant",IF(N(B1954)=0,"Date de commande manquante",IF(C1954="","Fournisseur manquant",IF(ISNA(MATCH($C1954,sup_code,0)),"Fournisseur inconnu",IF(E1954="","Article manquant",IF(ISNA(MATCH($E1954,art_ref,0)),"Article inconnu",IF(N(H1954)&lt;=0,"Quantité invalide",IF(J1954="","Prix manquant",IF(OR(N(K1954)&lt;0,N(K1954)&gt;=1),"Remise invalide",IF(M1954="","TVA manquante",IF(ISNA(MATCH(M1954,p_tva,0)),"Taux de TVA inconnu",IF(COUNTIFS(po_num,A1954,po_sup,"&lt;&gt;"&amp;C1954)&gt;0,"Fournisseur différent sur ce bon",IF(COUNTIFS(po_num,A1954,po_date,"&lt;&gt;"&amp;B1954)&gt;0,"Date différente sur ce bon",IF(COUNTIF(po_num,A1954)&gt;25,"Plus de 25 lignes sur ce bon",IF(R1954="","Date de livraison manquante",IF(R1954&lt;B1954,"Livraison avant la commande",IF(AND(N(T1954)&gt;0,N(S1954)=0),"Date d'envoi manquante",IF(N(T1954)&gt;N(H1954),"Reçu plus que commandé",IF(AND(N(T1954)&gt;0,N(U1954)=0),"Date de réception manquante",IF(AND(N(U1954)&gt;0,U1954&lt;B1954),"Réception avant la commande","OK")))))))))))))))))))))</f>
        <v/>
      </c>
      <c r="AA1954" s="66" t="str">
        <f>IF(AND(X1954="Reçu",ISNUMBER(R1954)),IF(N(U1954)&lt;=R1954,1,0),"")</f>
        <v/>
      </c>
      <c r="AB1954" s="76" t="str">
        <f>IF(OR(X1954="Envoyé",X1954="Partiel",X1954="En retard"),IF(ISNUMBER(R1954),R1954,100000)+ROW()/100000,"")</f>
        <v/>
      </c>
      <c r="AC1954" s="66" t="str">
        <f>IF(A1954="","",IF(COUNTIF($A$6:A1954,A1954)=1,1,""))</f>
        <v/>
      </c>
      <c r="AD1954" s="66" t="str">
        <f>IF(AC1954=1,COUNT($AC$6:AC1954),"")</f>
        <v/>
      </c>
      <c r="AE1954" s="66" t="str">
        <f>IFERROR(INDEX(po_num,MATCH(1949,po_seq,0))&amp;"","")</f>
        <v/>
      </c>
      <c r="AF1954" s="66" t="str">
        <f>IF(OR(A1954="",p_po=""),"",IF(A1954&amp;""=p_po,COUNTIF($A$6:A1954,A1954),""))</f>
        <v/>
      </c>
      <c r="AG1954" s="66" t="str">
        <f>IF(OR(AB1954="",A1954=""),"",IF(COUNTIFS($A$6:A1954,A1954,$AB$6:AB1954,"&gt;0")=1,1,""))</f>
        <v/>
      </c>
      <c r="AH1954" s="70" t="str">
        <f>IF(AB1954="","",ROUND(N(W1954)*N(J1954)*(1-N(K1954)),2))</f>
        <v/>
      </c>
      <c r="AI1954" s="70" t="str">
        <f>IF(OR(J1954="",N(T1954)&lt;=0,V1954="Oui"),"",ROUND(N(T1954)*J1954*(1-N(K1954)),2))</f>
        <v/>
      </c>
    </row>
    <row r="1955">
      <c r="A1955" s="63" t="n"/>
      <c r="B1955" s="64" t="n"/>
      <c r="C1955" s="65" t="n"/>
      <c r="D1955" s="66" t="str">
        <f>IF(C1955="","",IFERROR(INDEX(sup_name,MATCH($C1955,sup_code,0))&amp;"","Fournisseur inconnu"))</f>
        <v/>
      </c>
      <c r="E1955" s="63" t="n"/>
      <c r="F1955" s="66" t="str">
        <f>IF(E1955="","",IFERROR(INDEX(art_des,MATCH($E1955,art_ref,0))&amp;"","Article inconnu"))</f>
        <v/>
      </c>
      <c r="G1955" s="67" t="str">
        <f>IF(E1955="","",IFERROR(INDEX(art_unit,MATCH($E1955,art_ref,0))&amp;"",""))</f>
        <v/>
      </c>
      <c r="H1955" s="68" t="n"/>
      <c r="I1955" s="69" t="n"/>
      <c r="J1955" s="70" t="str">
        <f>IF(E1955="","",IF(ISNUMBER(I1955),I1955,IFERROR(IF(ISNUMBER(INDEX(art_price,MATCH($E1955,art_ref,0))),INDEX(art_price,MATCH($E1955,art_ref,0)),""),"")))</f>
        <v/>
      </c>
      <c r="K1955" s="71" t="n"/>
      <c r="L1955" s="72" t="n"/>
      <c r="M1955" s="72" t="str">
        <f>IF(E1955="","",IF(L1955&lt;&gt;"",L1955,IFERROR(IF(ISNUMBER(INDEX(art_tva,MATCH($E1955,art_ref,0))),INDEX(art_tva,MATCH($E1955,art_ref,0)),""),"")))</f>
        <v/>
      </c>
      <c r="N1955" s="70" t="str">
        <f>IF(OR(E1955="",J1955=""),"",ROUND(N(H1955)*J1955*(1-N(K1955)),2))</f>
        <v/>
      </c>
      <c r="O1955" s="70" t="str">
        <f>IF(OR(N1955="",NOT(ISNUMBER(M1955))),"",ROUND(N1955*M1955,2))</f>
        <v/>
      </c>
      <c r="P1955" s="70" t="str">
        <f>IF(N1955="","",N1955+N(O1955))</f>
        <v/>
      </c>
      <c r="Q1955" s="64" t="n"/>
      <c r="R1955" s="73" t="str">
        <f>IF(N(Q1955)&gt;0,Q1955,IF(OR(N(B1955)=0,ISNA(MATCH($C1955,sup_code,0))),"",IF(ISNUMBER(INDEX(sup_delay,MATCH($C1955,sup_code,0))),B1955+INDEX(sup_delay,MATCH($C1955,sup_code,0)),"")))</f>
        <v/>
      </c>
      <c r="S1955" s="64" t="n"/>
      <c r="T1955" s="68" t="n"/>
      <c r="U1955" s="64" t="n"/>
      <c r="V1955" s="65" t="n"/>
      <c r="W1955" s="74" t="str">
        <f>IF(AND(A1955="",E1955=""),"",IF(V1955="Oui",0,MAX(0,ROUND(N(H1955)-N(T1955),6))))</f>
        <v/>
      </c>
      <c r="X1955" s="67" t="str">
        <f>IF(AND(A1955="",E1955=""),"",IF(V1955="Oui","Annulé",IF(AND(N(H1955)&gt;0,N(T1955)&gt;=N(H1955)),"Reçu",IF(N(S1955)=0,"Brouillon",IF(AND(ISNUMBER(R1955),R1955&lt;p_today),"En retard",IF(N(T1955)&gt;0,"Partiel","Envoyé"))))))</f>
        <v/>
      </c>
      <c r="Y1955" s="75" t="str">
        <f>IF(X1955="En retard",p_today-R1955,IF(AND(X1955="Reçu",ISNUMBER(R1955)),MAX(0,N(U1955)-R1955),""))</f>
        <v/>
      </c>
      <c r="Z1955" s="67" t="str">
        <f>IF(AND(A1955="",E1955=""),"",IF(A1955="","N° de bon manquant",IF(N(B1955)=0,"Date de commande manquante",IF(C1955="","Fournisseur manquant",IF(ISNA(MATCH($C1955,sup_code,0)),"Fournisseur inconnu",IF(E1955="","Article manquant",IF(ISNA(MATCH($E1955,art_ref,0)),"Article inconnu",IF(N(H1955)&lt;=0,"Quantité invalide",IF(J1955="","Prix manquant",IF(OR(N(K1955)&lt;0,N(K1955)&gt;=1),"Remise invalide",IF(M1955="","TVA manquante",IF(ISNA(MATCH(M1955,p_tva,0)),"Taux de TVA inconnu",IF(COUNTIFS(po_num,A1955,po_sup,"&lt;&gt;"&amp;C1955)&gt;0,"Fournisseur différent sur ce bon",IF(COUNTIFS(po_num,A1955,po_date,"&lt;&gt;"&amp;B1955)&gt;0,"Date différente sur ce bon",IF(COUNTIF(po_num,A1955)&gt;25,"Plus de 25 lignes sur ce bon",IF(R1955="","Date de livraison manquante",IF(R1955&lt;B1955,"Livraison avant la commande",IF(AND(N(T1955)&gt;0,N(S1955)=0),"Date d'envoi manquante",IF(N(T1955)&gt;N(H1955),"Reçu plus que commandé",IF(AND(N(T1955)&gt;0,N(U1955)=0),"Date de réception manquante",IF(AND(N(U1955)&gt;0,U1955&lt;B1955),"Réception avant la commande","OK")))))))))))))))))))))</f>
        <v/>
      </c>
      <c r="AA1955" s="66" t="str">
        <f>IF(AND(X1955="Reçu",ISNUMBER(R1955)),IF(N(U1955)&lt;=R1955,1,0),"")</f>
        <v/>
      </c>
      <c r="AB1955" s="76" t="str">
        <f>IF(OR(X1955="Envoyé",X1955="Partiel",X1955="En retard"),IF(ISNUMBER(R1955),R1955,100000)+ROW()/100000,"")</f>
        <v/>
      </c>
      <c r="AC1955" s="66" t="str">
        <f>IF(A1955="","",IF(COUNTIF($A$6:A1955,A1955)=1,1,""))</f>
        <v/>
      </c>
      <c r="AD1955" s="66" t="str">
        <f>IF(AC1955=1,COUNT($AC$6:AC1955),"")</f>
        <v/>
      </c>
      <c r="AE1955" s="66" t="str">
        <f>IFERROR(INDEX(po_num,MATCH(1950,po_seq,0))&amp;"","")</f>
        <v/>
      </c>
      <c r="AF1955" s="66" t="str">
        <f>IF(OR(A1955="",p_po=""),"",IF(A1955&amp;""=p_po,COUNTIF($A$6:A1955,A1955),""))</f>
        <v/>
      </c>
      <c r="AG1955" s="66" t="str">
        <f>IF(OR(AB1955="",A1955=""),"",IF(COUNTIFS($A$6:A1955,A1955,$AB$6:AB1955,"&gt;0")=1,1,""))</f>
        <v/>
      </c>
      <c r="AH1955" s="70" t="str">
        <f>IF(AB1955="","",ROUND(N(W1955)*N(J1955)*(1-N(K1955)),2))</f>
        <v/>
      </c>
      <c r="AI1955" s="70" t="str">
        <f>IF(OR(J1955="",N(T1955)&lt;=0,V1955="Oui"),"",ROUND(N(T1955)*J1955*(1-N(K1955)),2))</f>
        <v/>
      </c>
    </row>
    <row r="1956">
      <c r="A1956" s="63" t="n"/>
      <c r="B1956" s="64" t="n"/>
      <c r="C1956" s="65" t="n"/>
      <c r="D1956" s="66" t="str">
        <f>IF(C1956="","",IFERROR(INDEX(sup_name,MATCH($C1956,sup_code,0))&amp;"","Fournisseur inconnu"))</f>
        <v/>
      </c>
      <c r="E1956" s="63" t="n"/>
      <c r="F1956" s="66" t="str">
        <f>IF(E1956="","",IFERROR(INDEX(art_des,MATCH($E1956,art_ref,0))&amp;"","Article inconnu"))</f>
        <v/>
      </c>
      <c r="G1956" s="67" t="str">
        <f>IF(E1956="","",IFERROR(INDEX(art_unit,MATCH($E1956,art_ref,0))&amp;"",""))</f>
        <v/>
      </c>
      <c r="H1956" s="68" t="n"/>
      <c r="I1956" s="69" t="n"/>
      <c r="J1956" s="70" t="str">
        <f>IF(E1956="","",IF(ISNUMBER(I1956),I1956,IFERROR(IF(ISNUMBER(INDEX(art_price,MATCH($E1956,art_ref,0))),INDEX(art_price,MATCH($E1956,art_ref,0)),""),"")))</f>
        <v/>
      </c>
      <c r="K1956" s="71" t="n"/>
      <c r="L1956" s="72" t="n"/>
      <c r="M1956" s="72" t="str">
        <f>IF(E1956="","",IF(L1956&lt;&gt;"",L1956,IFERROR(IF(ISNUMBER(INDEX(art_tva,MATCH($E1956,art_ref,0))),INDEX(art_tva,MATCH($E1956,art_ref,0)),""),"")))</f>
        <v/>
      </c>
      <c r="N1956" s="70" t="str">
        <f>IF(OR(E1956="",J1956=""),"",ROUND(N(H1956)*J1956*(1-N(K1956)),2))</f>
        <v/>
      </c>
      <c r="O1956" s="70" t="str">
        <f>IF(OR(N1956="",NOT(ISNUMBER(M1956))),"",ROUND(N1956*M1956,2))</f>
        <v/>
      </c>
      <c r="P1956" s="70" t="str">
        <f>IF(N1956="","",N1956+N(O1956))</f>
        <v/>
      </c>
      <c r="Q1956" s="64" t="n"/>
      <c r="R1956" s="73" t="str">
        <f>IF(N(Q1956)&gt;0,Q1956,IF(OR(N(B1956)=0,ISNA(MATCH($C1956,sup_code,0))),"",IF(ISNUMBER(INDEX(sup_delay,MATCH($C1956,sup_code,0))),B1956+INDEX(sup_delay,MATCH($C1956,sup_code,0)),"")))</f>
        <v/>
      </c>
      <c r="S1956" s="64" t="n"/>
      <c r="T1956" s="68" t="n"/>
      <c r="U1956" s="64" t="n"/>
      <c r="V1956" s="65" t="n"/>
      <c r="W1956" s="74" t="str">
        <f>IF(AND(A1956="",E1956=""),"",IF(V1956="Oui",0,MAX(0,ROUND(N(H1956)-N(T1956),6))))</f>
        <v/>
      </c>
      <c r="X1956" s="67" t="str">
        <f>IF(AND(A1956="",E1956=""),"",IF(V1956="Oui","Annulé",IF(AND(N(H1956)&gt;0,N(T1956)&gt;=N(H1956)),"Reçu",IF(N(S1956)=0,"Brouillon",IF(AND(ISNUMBER(R1956),R1956&lt;p_today),"En retard",IF(N(T1956)&gt;0,"Partiel","Envoyé"))))))</f>
        <v/>
      </c>
      <c r="Y1956" s="75" t="str">
        <f>IF(X1956="En retard",p_today-R1956,IF(AND(X1956="Reçu",ISNUMBER(R1956)),MAX(0,N(U1956)-R1956),""))</f>
        <v/>
      </c>
      <c r="Z1956" s="67" t="str">
        <f>IF(AND(A1956="",E1956=""),"",IF(A1956="","N° de bon manquant",IF(N(B1956)=0,"Date de commande manquante",IF(C1956="","Fournisseur manquant",IF(ISNA(MATCH($C1956,sup_code,0)),"Fournisseur inconnu",IF(E1956="","Article manquant",IF(ISNA(MATCH($E1956,art_ref,0)),"Article inconnu",IF(N(H1956)&lt;=0,"Quantité invalide",IF(J1956="","Prix manquant",IF(OR(N(K1956)&lt;0,N(K1956)&gt;=1),"Remise invalide",IF(M1956="","TVA manquante",IF(ISNA(MATCH(M1956,p_tva,0)),"Taux de TVA inconnu",IF(COUNTIFS(po_num,A1956,po_sup,"&lt;&gt;"&amp;C1956)&gt;0,"Fournisseur différent sur ce bon",IF(COUNTIFS(po_num,A1956,po_date,"&lt;&gt;"&amp;B1956)&gt;0,"Date différente sur ce bon",IF(COUNTIF(po_num,A1956)&gt;25,"Plus de 25 lignes sur ce bon",IF(R1956="","Date de livraison manquante",IF(R1956&lt;B1956,"Livraison avant la commande",IF(AND(N(T1956)&gt;0,N(S1956)=0),"Date d'envoi manquante",IF(N(T1956)&gt;N(H1956),"Reçu plus que commandé",IF(AND(N(T1956)&gt;0,N(U1956)=0),"Date de réception manquante",IF(AND(N(U1956)&gt;0,U1956&lt;B1956),"Réception avant la commande","OK")))))))))))))))))))))</f>
        <v/>
      </c>
      <c r="AA1956" s="66" t="str">
        <f>IF(AND(X1956="Reçu",ISNUMBER(R1956)),IF(N(U1956)&lt;=R1956,1,0),"")</f>
        <v/>
      </c>
      <c r="AB1956" s="76" t="str">
        <f>IF(OR(X1956="Envoyé",X1956="Partiel",X1956="En retard"),IF(ISNUMBER(R1956),R1956,100000)+ROW()/100000,"")</f>
        <v/>
      </c>
      <c r="AC1956" s="66" t="str">
        <f>IF(A1956="","",IF(COUNTIF($A$6:A1956,A1956)=1,1,""))</f>
        <v/>
      </c>
      <c r="AD1956" s="66" t="str">
        <f>IF(AC1956=1,COUNT($AC$6:AC1956),"")</f>
        <v/>
      </c>
      <c r="AE1956" s="66" t="str">
        <f>IFERROR(INDEX(po_num,MATCH(1951,po_seq,0))&amp;"","")</f>
        <v/>
      </c>
      <c r="AF1956" s="66" t="str">
        <f>IF(OR(A1956="",p_po=""),"",IF(A1956&amp;""=p_po,COUNTIF($A$6:A1956,A1956),""))</f>
        <v/>
      </c>
      <c r="AG1956" s="66" t="str">
        <f>IF(OR(AB1956="",A1956=""),"",IF(COUNTIFS($A$6:A1956,A1956,$AB$6:AB1956,"&gt;0")=1,1,""))</f>
        <v/>
      </c>
      <c r="AH1956" s="70" t="str">
        <f>IF(AB1956="","",ROUND(N(W1956)*N(J1956)*(1-N(K1956)),2))</f>
        <v/>
      </c>
      <c r="AI1956" s="70" t="str">
        <f>IF(OR(J1956="",N(T1956)&lt;=0,V1956="Oui"),"",ROUND(N(T1956)*J1956*(1-N(K1956)),2))</f>
        <v/>
      </c>
    </row>
    <row r="1957">
      <c r="A1957" s="63" t="n"/>
      <c r="B1957" s="64" t="n"/>
      <c r="C1957" s="65" t="n"/>
      <c r="D1957" s="66" t="str">
        <f>IF(C1957="","",IFERROR(INDEX(sup_name,MATCH($C1957,sup_code,0))&amp;"","Fournisseur inconnu"))</f>
        <v/>
      </c>
      <c r="E1957" s="63" t="n"/>
      <c r="F1957" s="66" t="str">
        <f>IF(E1957="","",IFERROR(INDEX(art_des,MATCH($E1957,art_ref,0))&amp;"","Article inconnu"))</f>
        <v/>
      </c>
      <c r="G1957" s="67" t="str">
        <f>IF(E1957="","",IFERROR(INDEX(art_unit,MATCH($E1957,art_ref,0))&amp;"",""))</f>
        <v/>
      </c>
      <c r="H1957" s="68" t="n"/>
      <c r="I1957" s="69" t="n"/>
      <c r="J1957" s="70" t="str">
        <f>IF(E1957="","",IF(ISNUMBER(I1957),I1957,IFERROR(IF(ISNUMBER(INDEX(art_price,MATCH($E1957,art_ref,0))),INDEX(art_price,MATCH($E1957,art_ref,0)),""),"")))</f>
        <v/>
      </c>
      <c r="K1957" s="71" t="n"/>
      <c r="L1957" s="72" t="n"/>
      <c r="M1957" s="72" t="str">
        <f>IF(E1957="","",IF(L1957&lt;&gt;"",L1957,IFERROR(IF(ISNUMBER(INDEX(art_tva,MATCH($E1957,art_ref,0))),INDEX(art_tva,MATCH($E1957,art_ref,0)),""),"")))</f>
        <v/>
      </c>
      <c r="N1957" s="70" t="str">
        <f>IF(OR(E1957="",J1957=""),"",ROUND(N(H1957)*J1957*(1-N(K1957)),2))</f>
        <v/>
      </c>
      <c r="O1957" s="70" t="str">
        <f>IF(OR(N1957="",NOT(ISNUMBER(M1957))),"",ROUND(N1957*M1957,2))</f>
        <v/>
      </c>
      <c r="P1957" s="70" t="str">
        <f>IF(N1957="","",N1957+N(O1957))</f>
        <v/>
      </c>
      <c r="Q1957" s="64" t="n"/>
      <c r="R1957" s="73" t="str">
        <f>IF(N(Q1957)&gt;0,Q1957,IF(OR(N(B1957)=0,ISNA(MATCH($C1957,sup_code,0))),"",IF(ISNUMBER(INDEX(sup_delay,MATCH($C1957,sup_code,0))),B1957+INDEX(sup_delay,MATCH($C1957,sup_code,0)),"")))</f>
        <v/>
      </c>
      <c r="S1957" s="64" t="n"/>
      <c r="T1957" s="68" t="n"/>
      <c r="U1957" s="64" t="n"/>
      <c r="V1957" s="65" t="n"/>
      <c r="W1957" s="74" t="str">
        <f>IF(AND(A1957="",E1957=""),"",IF(V1957="Oui",0,MAX(0,ROUND(N(H1957)-N(T1957),6))))</f>
        <v/>
      </c>
      <c r="X1957" s="67" t="str">
        <f>IF(AND(A1957="",E1957=""),"",IF(V1957="Oui","Annulé",IF(AND(N(H1957)&gt;0,N(T1957)&gt;=N(H1957)),"Reçu",IF(N(S1957)=0,"Brouillon",IF(AND(ISNUMBER(R1957),R1957&lt;p_today),"En retard",IF(N(T1957)&gt;0,"Partiel","Envoyé"))))))</f>
        <v/>
      </c>
      <c r="Y1957" s="75" t="str">
        <f>IF(X1957="En retard",p_today-R1957,IF(AND(X1957="Reçu",ISNUMBER(R1957)),MAX(0,N(U1957)-R1957),""))</f>
        <v/>
      </c>
      <c r="Z1957" s="67" t="str">
        <f>IF(AND(A1957="",E1957=""),"",IF(A1957="","N° de bon manquant",IF(N(B1957)=0,"Date de commande manquante",IF(C1957="","Fournisseur manquant",IF(ISNA(MATCH($C1957,sup_code,0)),"Fournisseur inconnu",IF(E1957="","Article manquant",IF(ISNA(MATCH($E1957,art_ref,0)),"Article inconnu",IF(N(H1957)&lt;=0,"Quantité invalide",IF(J1957="","Prix manquant",IF(OR(N(K1957)&lt;0,N(K1957)&gt;=1),"Remise invalide",IF(M1957="","TVA manquante",IF(ISNA(MATCH(M1957,p_tva,0)),"Taux de TVA inconnu",IF(COUNTIFS(po_num,A1957,po_sup,"&lt;&gt;"&amp;C1957)&gt;0,"Fournisseur différent sur ce bon",IF(COUNTIFS(po_num,A1957,po_date,"&lt;&gt;"&amp;B1957)&gt;0,"Date différente sur ce bon",IF(COUNTIF(po_num,A1957)&gt;25,"Plus de 25 lignes sur ce bon",IF(R1957="","Date de livraison manquante",IF(R1957&lt;B1957,"Livraison avant la commande",IF(AND(N(T1957)&gt;0,N(S1957)=0),"Date d'envoi manquante",IF(N(T1957)&gt;N(H1957),"Reçu plus que commandé",IF(AND(N(T1957)&gt;0,N(U1957)=0),"Date de réception manquante",IF(AND(N(U1957)&gt;0,U1957&lt;B1957),"Réception avant la commande","OK")))))))))))))))))))))</f>
        <v/>
      </c>
      <c r="AA1957" s="66" t="str">
        <f>IF(AND(X1957="Reçu",ISNUMBER(R1957)),IF(N(U1957)&lt;=R1957,1,0),"")</f>
        <v/>
      </c>
      <c r="AB1957" s="76" t="str">
        <f>IF(OR(X1957="Envoyé",X1957="Partiel",X1957="En retard"),IF(ISNUMBER(R1957),R1957,100000)+ROW()/100000,"")</f>
        <v/>
      </c>
      <c r="AC1957" s="66" t="str">
        <f>IF(A1957="","",IF(COUNTIF($A$6:A1957,A1957)=1,1,""))</f>
        <v/>
      </c>
      <c r="AD1957" s="66" t="str">
        <f>IF(AC1957=1,COUNT($AC$6:AC1957),"")</f>
        <v/>
      </c>
      <c r="AE1957" s="66" t="str">
        <f>IFERROR(INDEX(po_num,MATCH(1952,po_seq,0))&amp;"","")</f>
        <v/>
      </c>
      <c r="AF1957" s="66" t="str">
        <f>IF(OR(A1957="",p_po=""),"",IF(A1957&amp;""=p_po,COUNTIF($A$6:A1957,A1957),""))</f>
        <v/>
      </c>
      <c r="AG1957" s="66" t="str">
        <f>IF(OR(AB1957="",A1957=""),"",IF(COUNTIFS($A$6:A1957,A1957,$AB$6:AB1957,"&gt;0")=1,1,""))</f>
        <v/>
      </c>
      <c r="AH1957" s="70" t="str">
        <f>IF(AB1957="","",ROUND(N(W1957)*N(J1957)*(1-N(K1957)),2))</f>
        <v/>
      </c>
      <c r="AI1957" s="70" t="str">
        <f>IF(OR(J1957="",N(T1957)&lt;=0,V1957="Oui"),"",ROUND(N(T1957)*J1957*(1-N(K1957)),2))</f>
        <v/>
      </c>
    </row>
    <row r="1958">
      <c r="A1958" s="63" t="n"/>
      <c r="B1958" s="64" t="n"/>
      <c r="C1958" s="65" t="n"/>
      <c r="D1958" s="66" t="str">
        <f>IF(C1958="","",IFERROR(INDEX(sup_name,MATCH($C1958,sup_code,0))&amp;"","Fournisseur inconnu"))</f>
        <v/>
      </c>
      <c r="E1958" s="63" t="n"/>
      <c r="F1958" s="66" t="str">
        <f>IF(E1958="","",IFERROR(INDEX(art_des,MATCH($E1958,art_ref,0))&amp;"","Article inconnu"))</f>
        <v/>
      </c>
      <c r="G1958" s="67" t="str">
        <f>IF(E1958="","",IFERROR(INDEX(art_unit,MATCH($E1958,art_ref,0))&amp;"",""))</f>
        <v/>
      </c>
      <c r="H1958" s="68" t="n"/>
      <c r="I1958" s="69" t="n"/>
      <c r="J1958" s="70" t="str">
        <f>IF(E1958="","",IF(ISNUMBER(I1958),I1958,IFERROR(IF(ISNUMBER(INDEX(art_price,MATCH($E1958,art_ref,0))),INDEX(art_price,MATCH($E1958,art_ref,0)),""),"")))</f>
        <v/>
      </c>
      <c r="K1958" s="71" t="n"/>
      <c r="L1958" s="72" t="n"/>
      <c r="M1958" s="72" t="str">
        <f>IF(E1958="","",IF(L1958&lt;&gt;"",L1958,IFERROR(IF(ISNUMBER(INDEX(art_tva,MATCH($E1958,art_ref,0))),INDEX(art_tva,MATCH($E1958,art_ref,0)),""),"")))</f>
        <v/>
      </c>
      <c r="N1958" s="70" t="str">
        <f>IF(OR(E1958="",J1958=""),"",ROUND(N(H1958)*J1958*(1-N(K1958)),2))</f>
        <v/>
      </c>
      <c r="O1958" s="70" t="str">
        <f>IF(OR(N1958="",NOT(ISNUMBER(M1958))),"",ROUND(N1958*M1958,2))</f>
        <v/>
      </c>
      <c r="P1958" s="70" t="str">
        <f>IF(N1958="","",N1958+N(O1958))</f>
        <v/>
      </c>
      <c r="Q1958" s="64" t="n"/>
      <c r="R1958" s="73" t="str">
        <f>IF(N(Q1958)&gt;0,Q1958,IF(OR(N(B1958)=0,ISNA(MATCH($C1958,sup_code,0))),"",IF(ISNUMBER(INDEX(sup_delay,MATCH($C1958,sup_code,0))),B1958+INDEX(sup_delay,MATCH($C1958,sup_code,0)),"")))</f>
        <v/>
      </c>
      <c r="S1958" s="64" t="n"/>
      <c r="T1958" s="68" t="n"/>
      <c r="U1958" s="64" t="n"/>
      <c r="V1958" s="65" t="n"/>
      <c r="W1958" s="74" t="str">
        <f>IF(AND(A1958="",E1958=""),"",IF(V1958="Oui",0,MAX(0,ROUND(N(H1958)-N(T1958),6))))</f>
        <v/>
      </c>
      <c r="X1958" s="67" t="str">
        <f>IF(AND(A1958="",E1958=""),"",IF(V1958="Oui","Annulé",IF(AND(N(H1958)&gt;0,N(T1958)&gt;=N(H1958)),"Reçu",IF(N(S1958)=0,"Brouillon",IF(AND(ISNUMBER(R1958),R1958&lt;p_today),"En retard",IF(N(T1958)&gt;0,"Partiel","Envoyé"))))))</f>
        <v/>
      </c>
      <c r="Y1958" s="75" t="str">
        <f>IF(X1958="En retard",p_today-R1958,IF(AND(X1958="Reçu",ISNUMBER(R1958)),MAX(0,N(U1958)-R1958),""))</f>
        <v/>
      </c>
      <c r="Z1958" s="67" t="str">
        <f>IF(AND(A1958="",E1958=""),"",IF(A1958="","N° de bon manquant",IF(N(B1958)=0,"Date de commande manquante",IF(C1958="","Fournisseur manquant",IF(ISNA(MATCH($C1958,sup_code,0)),"Fournisseur inconnu",IF(E1958="","Article manquant",IF(ISNA(MATCH($E1958,art_ref,0)),"Article inconnu",IF(N(H1958)&lt;=0,"Quantité invalide",IF(J1958="","Prix manquant",IF(OR(N(K1958)&lt;0,N(K1958)&gt;=1),"Remise invalide",IF(M1958="","TVA manquante",IF(ISNA(MATCH(M1958,p_tva,0)),"Taux de TVA inconnu",IF(COUNTIFS(po_num,A1958,po_sup,"&lt;&gt;"&amp;C1958)&gt;0,"Fournisseur différent sur ce bon",IF(COUNTIFS(po_num,A1958,po_date,"&lt;&gt;"&amp;B1958)&gt;0,"Date différente sur ce bon",IF(COUNTIF(po_num,A1958)&gt;25,"Plus de 25 lignes sur ce bon",IF(R1958="","Date de livraison manquante",IF(R1958&lt;B1958,"Livraison avant la commande",IF(AND(N(T1958)&gt;0,N(S1958)=0),"Date d'envoi manquante",IF(N(T1958)&gt;N(H1958),"Reçu plus que commandé",IF(AND(N(T1958)&gt;0,N(U1958)=0),"Date de réception manquante",IF(AND(N(U1958)&gt;0,U1958&lt;B1958),"Réception avant la commande","OK")))))))))))))))))))))</f>
        <v/>
      </c>
      <c r="AA1958" s="66" t="str">
        <f>IF(AND(X1958="Reçu",ISNUMBER(R1958)),IF(N(U1958)&lt;=R1958,1,0),"")</f>
        <v/>
      </c>
      <c r="AB1958" s="76" t="str">
        <f>IF(OR(X1958="Envoyé",X1958="Partiel",X1958="En retard"),IF(ISNUMBER(R1958),R1958,100000)+ROW()/100000,"")</f>
        <v/>
      </c>
      <c r="AC1958" s="66" t="str">
        <f>IF(A1958="","",IF(COUNTIF($A$6:A1958,A1958)=1,1,""))</f>
        <v/>
      </c>
      <c r="AD1958" s="66" t="str">
        <f>IF(AC1958=1,COUNT($AC$6:AC1958),"")</f>
        <v/>
      </c>
      <c r="AE1958" s="66" t="str">
        <f>IFERROR(INDEX(po_num,MATCH(1953,po_seq,0))&amp;"","")</f>
        <v/>
      </c>
      <c r="AF1958" s="66" t="str">
        <f>IF(OR(A1958="",p_po=""),"",IF(A1958&amp;""=p_po,COUNTIF($A$6:A1958,A1958),""))</f>
        <v/>
      </c>
      <c r="AG1958" s="66" t="str">
        <f>IF(OR(AB1958="",A1958=""),"",IF(COUNTIFS($A$6:A1958,A1958,$AB$6:AB1958,"&gt;0")=1,1,""))</f>
        <v/>
      </c>
      <c r="AH1958" s="70" t="str">
        <f>IF(AB1958="","",ROUND(N(W1958)*N(J1958)*(1-N(K1958)),2))</f>
        <v/>
      </c>
      <c r="AI1958" s="70" t="str">
        <f>IF(OR(J1958="",N(T1958)&lt;=0,V1958="Oui"),"",ROUND(N(T1958)*J1958*(1-N(K1958)),2))</f>
        <v/>
      </c>
    </row>
    <row r="1959">
      <c r="A1959" s="63" t="n"/>
      <c r="B1959" s="64" t="n"/>
      <c r="C1959" s="65" t="n"/>
      <c r="D1959" s="66" t="str">
        <f>IF(C1959="","",IFERROR(INDEX(sup_name,MATCH($C1959,sup_code,0))&amp;"","Fournisseur inconnu"))</f>
        <v/>
      </c>
      <c r="E1959" s="63" t="n"/>
      <c r="F1959" s="66" t="str">
        <f>IF(E1959="","",IFERROR(INDEX(art_des,MATCH($E1959,art_ref,0))&amp;"","Article inconnu"))</f>
        <v/>
      </c>
      <c r="G1959" s="67" t="str">
        <f>IF(E1959="","",IFERROR(INDEX(art_unit,MATCH($E1959,art_ref,0))&amp;"",""))</f>
        <v/>
      </c>
      <c r="H1959" s="68" t="n"/>
      <c r="I1959" s="69" t="n"/>
      <c r="J1959" s="70" t="str">
        <f>IF(E1959="","",IF(ISNUMBER(I1959),I1959,IFERROR(IF(ISNUMBER(INDEX(art_price,MATCH($E1959,art_ref,0))),INDEX(art_price,MATCH($E1959,art_ref,0)),""),"")))</f>
        <v/>
      </c>
      <c r="K1959" s="71" t="n"/>
      <c r="L1959" s="72" t="n"/>
      <c r="M1959" s="72" t="str">
        <f>IF(E1959="","",IF(L1959&lt;&gt;"",L1959,IFERROR(IF(ISNUMBER(INDEX(art_tva,MATCH($E1959,art_ref,0))),INDEX(art_tva,MATCH($E1959,art_ref,0)),""),"")))</f>
        <v/>
      </c>
      <c r="N1959" s="70" t="str">
        <f>IF(OR(E1959="",J1959=""),"",ROUND(N(H1959)*J1959*(1-N(K1959)),2))</f>
        <v/>
      </c>
      <c r="O1959" s="70" t="str">
        <f>IF(OR(N1959="",NOT(ISNUMBER(M1959))),"",ROUND(N1959*M1959,2))</f>
        <v/>
      </c>
      <c r="P1959" s="70" t="str">
        <f>IF(N1959="","",N1959+N(O1959))</f>
        <v/>
      </c>
      <c r="Q1959" s="64" t="n"/>
      <c r="R1959" s="73" t="str">
        <f>IF(N(Q1959)&gt;0,Q1959,IF(OR(N(B1959)=0,ISNA(MATCH($C1959,sup_code,0))),"",IF(ISNUMBER(INDEX(sup_delay,MATCH($C1959,sup_code,0))),B1959+INDEX(sup_delay,MATCH($C1959,sup_code,0)),"")))</f>
        <v/>
      </c>
      <c r="S1959" s="64" t="n"/>
      <c r="T1959" s="68" t="n"/>
      <c r="U1959" s="64" t="n"/>
      <c r="V1959" s="65" t="n"/>
      <c r="W1959" s="74" t="str">
        <f>IF(AND(A1959="",E1959=""),"",IF(V1959="Oui",0,MAX(0,ROUND(N(H1959)-N(T1959),6))))</f>
        <v/>
      </c>
      <c r="X1959" s="67" t="str">
        <f>IF(AND(A1959="",E1959=""),"",IF(V1959="Oui","Annulé",IF(AND(N(H1959)&gt;0,N(T1959)&gt;=N(H1959)),"Reçu",IF(N(S1959)=0,"Brouillon",IF(AND(ISNUMBER(R1959),R1959&lt;p_today),"En retard",IF(N(T1959)&gt;0,"Partiel","Envoyé"))))))</f>
        <v/>
      </c>
      <c r="Y1959" s="75" t="str">
        <f>IF(X1959="En retard",p_today-R1959,IF(AND(X1959="Reçu",ISNUMBER(R1959)),MAX(0,N(U1959)-R1959),""))</f>
        <v/>
      </c>
      <c r="Z1959" s="67" t="str">
        <f>IF(AND(A1959="",E1959=""),"",IF(A1959="","N° de bon manquant",IF(N(B1959)=0,"Date de commande manquante",IF(C1959="","Fournisseur manquant",IF(ISNA(MATCH($C1959,sup_code,0)),"Fournisseur inconnu",IF(E1959="","Article manquant",IF(ISNA(MATCH($E1959,art_ref,0)),"Article inconnu",IF(N(H1959)&lt;=0,"Quantité invalide",IF(J1959="","Prix manquant",IF(OR(N(K1959)&lt;0,N(K1959)&gt;=1),"Remise invalide",IF(M1959="","TVA manquante",IF(ISNA(MATCH(M1959,p_tva,0)),"Taux de TVA inconnu",IF(COUNTIFS(po_num,A1959,po_sup,"&lt;&gt;"&amp;C1959)&gt;0,"Fournisseur différent sur ce bon",IF(COUNTIFS(po_num,A1959,po_date,"&lt;&gt;"&amp;B1959)&gt;0,"Date différente sur ce bon",IF(COUNTIF(po_num,A1959)&gt;25,"Plus de 25 lignes sur ce bon",IF(R1959="","Date de livraison manquante",IF(R1959&lt;B1959,"Livraison avant la commande",IF(AND(N(T1959)&gt;0,N(S1959)=0),"Date d'envoi manquante",IF(N(T1959)&gt;N(H1959),"Reçu plus que commandé",IF(AND(N(T1959)&gt;0,N(U1959)=0),"Date de réception manquante",IF(AND(N(U1959)&gt;0,U1959&lt;B1959),"Réception avant la commande","OK")))))))))))))))))))))</f>
        <v/>
      </c>
      <c r="AA1959" s="66" t="str">
        <f>IF(AND(X1959="Reçu",ISNUMBER(R1959)),IF(N(U1959)&lt;=R1959,1,0),"")</f>
        <v/>
      </c>
      <c r="AB1959" s="76" t="str">
        <f>IF(OR(X1959="Envoyé",X1959="Partiel",X1959="En retard"),IF(ISNUMBER(R1959),R1959,100000)+ROW()/100000,"")</f>
        <v/>
      </c>
      <c r="AC1959" s="66" t="str">
        <f>IF(A1959="","",IF(COUNTIF($A$6:A1959,A1959)=1,1,""))</f>
        <v/>
      </c>
      <c r="AD1959" s="66" t="str">
        <f>IF(AC1959=1,COUNT($AC$6:AC1959),"")</f>
        <v/>
      </c>
      <c r="AE1959" s="66" t="str">
        <f>IFERROR(INDEX(po_num,MATCH(1954,po_seq,0))&amp;"","")</f>
        <v/>
      </c>
      <c r="AF1959" s="66" t="str">
        <f>IF(OR(A1959="",p_po=""),"",IF(A1959&amp;""=p_po,COUNTIF($A$6:A1959,A1959),""))</f>
        <v/>
      </c>
      <c r="AG1959" s="66" t="str">
        <f>IF(OR(AB1959="",A1959=""),"",IF(COUNTIFS($A$6:A1959,A1959,$AB$6:AB1959,"&gt;0")=1,1,""))</f>
        <v/>
      </c>
      <c r="AH1959" s="70" t="str">
        <f>IF(AB1959="","",ROUND(N(W1959)*N(J1959)*(1-N(K1959)),2))</f>
        <v/>
      </c>
      <c r="AI1959" s="70" t="str">
        <f>IF(OR(J1959="",N(T1959)&lt;=0,V1959="Oui"),"",ROUND(N(T1959)*J1959*(1-N(K1959)),2))</f>
        <v/>
      </c>
    </row>
    <row r="1960">
      <c r="A1960" s="63" t="n"/>
      <c r="B1960" s="64" t="n"/>
      <c r="C1960" s="65" t="n"/>
      <c r="D1960" s="66" t="str">
        <f>IF(C1960="","",IFERROR(INDEX(sup_name,MATCH($C1960,sup_code,0))&amp;"","Fournisseur inconnu"))</f>
        <v/>
      </c>
      <c r="E1960" s="63" t="n"/>
      <c r="F1960" s="66" t="str">
        <f>IF(E1960="","",IFERROR(INDEX(art_des,MATCH($E1960,art_ref,0))&amp;"","Article inconnu"))</f>
        <v/>
      </c>
      <c r="G1960" s="67" t="str">
        <f>IF(E1960="","",IFERROR(INDEX(art_unit,MATCH($E1960,art_ref,0))&amp;"",""))</f>
        <v/>
      </c>
      <c r="H1960" s="68" t="n"/>
      <c r="I1960" s="69" t="n"/>
      <c r="J1960" s="70" t="str">
        <f>IF(E1960="","",IF(ISNUMBER(I1960),I1960,IFERROR(IF(ISNUMBER(INDEX(art_price,MATCH($E1960,art_ref,0))),INDEX(art_price,MATCH($E1960,art_ref,0)),""),"")))</f>
        <v/>
      </c>
      <c r="K1960" s="71" t="n"/>
      <c r="L1960" s="72" t="n"/>
      <c r="M1960" s="72" t="str">
        <f>IF(E1960="","",IF(L1960&lt;&gt;"",L1960,IFERROR(IF(ISNUMBER(INDEX(art_tva,MATCH($E1960,art_ref,0))),INDEX(art_tva,MATCH($E1960,art_ref,0)),""),"")))</f>
        <v/>
      </c>
      <c r="N1960" s="70" t="str">
        <f>IF(OR(E1960="",J1960=""),"",ROUND(N(H1960)*J1960*(1-N(K1960)),2))</f>
        <v/>
      </c>
      <c r="O1960" s="70" t="str">
        <f>IF(OR(N1960="",NOT(ISNUMBER(M1960))),"",ROUND(N1960*M1960,2))</f>
        <v/>
      </c>
      <c r="P1960" s="70" t="str">
        <f>IF(N1960="","",N1960+N(O1960))</f>
        <v/>
      </c>
      <c r="Q1960" s="64" t="n"/>
      <c r="R1960" s="73" t="str">
        <f>IF(N(Q1960)&gt;0,Q1960,IF(OR(N(B1960)=0,ISNA(MATCH($C1960,sup_code,0))),"",IF(ISNUMBER(INDEX(sup_delay,MATCH($C1960,sup_code,0))),B1960+INDEX(sup_delay,MATCH($C1960,sup_code,0)),"")))</f>
        <v/>
      </c>
      <c r="S1960" s="64" t="n"/>
      <c r="T1960" s="68" t="n"/>
      <c r="U1960" s="64" t="n"/>
      <c r="V1960" s="65" t="n"/>
      <c r="W1960" s="74" t="str">
        <f>IF(AND(A1960="",E1960=""),"",IF(V1960="Oui",0,MAX(0,ROUND(N(H1960)-N(T1960),6))))</f>
        <v/>
      </c>
      <c r="X1960" s="67" t="str">
        <f>IF(AND(A1960="",E1960=""),"",IF(V1960="Oui","Annulé",IF(AND(N(H1960)&gt;0,N(T1960)&gt;=N(H1960)),"Reçu",IF(N(S1960)=0,"Brouillon",IF(AND(ISNUMBER(R1960),R1960&lt;p_today),"En retard",IF(N(T1960)&gt;0,"Partiel","Envoyé"))))))</f>
        <v/>
      </c>
      <c r="Y1960" s="75" t="str">
        <f>IF(X1960="En retard",p_today-R1960,IF(AND(X1960="Reçu",ISNUMBER(R1960)),MAX(0,N(U1960)-R1960),""))</f>
        <v/>
      </c>
      <c r="Z1960" s="67" t="str">
        <f>IF(AND(A1960="",E1960=""),"",IF(A1960="","N° de bon manquant",IF(N(B1960)=0,"Date de commande manquante",IF(C1960="","Fournisseur manquant",IF(ISNA(MATCH($C1960,sup_code,0)),"Fournisseur inconnu",IF(E1960="","Article manquant",IF(ISNA(MATCH($E1960,art_ref,0)),"Article inconnu",IF(N(H1960)&lt;=0,"Quantité invalide",IF(J1960="","Prix manquant",IF(OR(N(K1960)&lt;0,N(K1960)&gt;=1),"Remise invalide",IF(M1960="","TVA manquante",IF(ISNA(MATCH(M1960,p_tva,0)),"Taux de TVA inconnu",IF(COUNTIFS(po_num,A1960,po_sup,"&lt;&gt;"&amp;C1960)&gt;0,"Fournisseur différent sur ce bon",IF(COUNTIFS(po_num,A1960,po_date,"&lt;&gt;"&amp;B1960)&gt;0,"Date différente sur ce bon",IF(COUNTIF(po_num,A1960)&gt;25,"Plus de 25 lignes sur ce bon",IF(R1960="","Date de livraison manquante",IF(R1960&lt;B1960,"Livraison avant la commande",IF(AND(N(T1960)&gt;0,N(S1960)=0),"Date d'envoi manquante",IF(N(T1960)&gt;N(H1960),"Reçu plus que commandé",IF(AND(N(T1960)&gt;0,N(U1960)=0),"Date de réception manquante",IF(AND(N(U1960)&gt;0,U1960&lt;B1960),"Réception avant la commande","OK")))))))))))))))))))))</f>
        <v/>
      </c>
      <c r="AA1960" s="66" t="str">
        <f>IF(AND(X1960="Reçu",ISNUMBER(R1960)),IF(N(U1960)&lt;=R1960,1,0),"")</f>
        <v/>
      </c>
      <c r="AB1960" s="76" t="str">
        <f>IF(OR(X1960="Envoyé",X1960="Partiel",X1960="En retard"),IF(ISNUMBER(R1960),R1960,100000)+ROW()/100000,"")</f>
        <v/>
      </c>
      <c r="AC1960" s="66" t="str">
        <f>IF(A1960="","",IF(COUNTIF($A$6:A1960,A1960)=1,1,""))</f>
        <v/>
      </c>
      <c r="AD1960" s="66" t="str">
        <f>IF(AC1960=1,COUNT($AC$6:AC1960),"")</f>
        <v/>
      </c>
      <c r="AE1960" s="66" t="str">
        <f>IFERROR(INDEX(po_num,MATCH(1955,po_seq,0))&amp;"","")</f>
        <v/>
      </c>
      <c r="AF1960" s="66" t="str">
        <f>IF(OR(A1960="",p_po=""),"",IF(A1960&amp;""=p_po,COUNTIF($A$6:A1960,A1960),""))</f>
        <v/>
      </c>
      <c r="AG1960" s="66" t="str">
        <f>IF(OR(AB1960="",A1960=""),"",IF(COUNTIFS($A$6:A1960,A1960,$AB$6:AB1960,"&gt;0")=1,1,""))</f>
        <v/>
      </c>
      <c r="AH1960" s="70" t="str">
        <f>IF(AB1960="","",ROUND(N(W1960)*N(J1960)*(1-N(K1960)),2))</f>
        <v/>
      </c>
      <c r="AI1960" s="70" t="str">
        <f>IF(OR(J1960="",N(T1960)&lt;=0,V1960="Oui"),"",ROUND(N(T1960)*J1960*(1-N(K1960)),2))</f>
        <v/>
      </c>
    </row>
    <row r="1961">
      <c r="A1961" s="63" t="n"/>
      <c r="B1961" s="64" t="n"/>
      <c r="C1961" s="65" t="n"/>
      <c r="D1961" s="66" t="str">
        <f>IF(C1961="","",IFERROR(INDEX(sup_name,MATCH($C1961,sup_code,0))&amp;"","Fournisseur inconnu"))</f>
        <v/>
      </c>
      <c r="E1961" s="63" t="n"/>
      <c r="F1961" s="66" t="str">
        <f>IF(E1961="","",IFERROR(INDEX(art_des,MATCH($E1961,art_ref,0))&amp;"","Article inconnu"))</f>
        <v/>
      </c>
      <c r="G1961" s="67" t="str">
        <f>IF(E1961="","",IFERROR(INDEX(art_unit,MATCH($E1961,art_ref,0))&amp;"",""))</f>
        <v/>
      </c>
      <c r="H1961" s="68" t="n"/>
      <c r="I1961" s="69" t="n"/>
      <c r="J1961" s="70" t="str">
        <f>IF(E1961="","",IF(ISNUMBER(I1961),I1961,IFERROR(IF(ISNUMBER(INDEX(art_price,MATCH($E1961,art_ref,0))),INDEX(art_price,MATCH($E1961,art_ref,0)),""),"")))</f>
        <v/>
      </c>
      <c r="K1961" s="71" t="n"/>
      <c r="L1961" s="72" t="n"/>
      <c r="M1961" s="72" t="str">
        <f>IF(E1961="","",IF(L1961&lt;&gt;"",L1961,IFERROR(IF(ISNUMBER(INDEX(art_tva,MATCH($E1961,art_ref,0))),INDEX(art_tva,MATCH($E1961,art_ref,0)),""),"")))</f>
        <v/>
      </c>
      <c r="N1961" s="70" t="str">
        <f>IF(OR(E1961="",J1961=""),"",ROUND(N(H1961)*J1961*(1-N(K1961)),2))</f>
        <v/>
      </c>
      <c r="O1961" s="70" t="str">
        <f>IF(OR(N1961="",NOT(ISNUMBER(M1961))),"",ROUND(N1961*M1961,2))</f>
        <v/>
      </c>
      <c r="P1961" s="70" t="str">
        <f>IF(N1961="","",N1961+N(O1961))</f>
        <v/>
      </c>
      <c r="Q1961" s="64" t="n"/>
      <c r="R1961" s="73" t="str">
        <f>IF(N(Q1961)&gt;0,Q1961,IF(OR(N(B1961)=0,ISNA(MATCH($C1961,sup_code,0))),"",IF(ISNUMBER(INDEX(sup_delay,MATCH($C1961,sup_code,0))),B1961+INDEX(sup_delay,MATCH($C1961,sup_code,0)),"")))</f>
        <v/>
      </c>
      <c r="S1961" s="64" t="n"/>
      <c r="T1961" s="68" t="n"/>
      <c r="U1961" s="64" t="n"/>
      <c r="V1961" s="65" t="n"/>
      <c r="W1961" s="74" t="str">
        <f>IF(AND(A1961="",E1961=""),"",IF(V1961="Oui",0,MAX(0,ROUND(N(H1961)-N(T1961),6))))</f>
        <v/>
      </c>
      <c r="X1961" s="67" t="str">
        <f>IF(AND(A1961="",E1961=""),"",IF(V1961="Oui","Annulé",IF(AND(N(H1961)&gt;0,N(T1961)&gt;=N(H1961)),"Reçu",IF(N(S1961)=0,"Brouillon",IF(AND(ISNUMBER(R1961),R1961&lt;p_today),"En retard",IF(N(T1961)&gt;0,"Partiel","Envoyé"))))))</f>
        <v/>
      </c>
      <c r="Y1961" s="75" t="str">
        <f>IF(X1961="En retard",p_today-R1961,IF(AND(X1961="Reçu",ISNUMBER(R1961)),MAX(0,N(U1961)-R1961),""))</f>
        <v/>
      </c>
      <c r="Z1961" s="67" t="str">
        <f>IF(AND(A1961="",E1961=""),"",IF(A1961="","N° de bon manquant",IF(N(B1961)=0,"Date de commande manquante",IF(C1961="","Fournisseur manquant",IF(ISNA(MATCH($C1961,sup_code,0)),"Fournisseur inconnu",IF(E1961="","Article manquant",IF(ISNA(MATCH($E1961,art_ref,0)),"Article inconnu",IF(N(H1961)&lt;=0,"Quantité invalide",IF(J1961="","Prix manquant",IF(OR(N(K1961)&lt;0,N(K1961)&gt;=1),"Remise invalide",IF(M1961="","TVA manquante",IF(ISNA(MATCH(M1961,p_tva,0)),"Taux de TVA inconnu",IF(COUNTIFS(po_num,A1961,po_sup,"&lt;&gt;"&amp;C1961)&gt;0,"Fournisseur différent sur ce bon",IF(COUNTIFS(po_num,A1961,po_date,"&lt;&gt;"&amp;B1961)&gt;0,"Date différente sur ce bon",IF(COUNTIF(po_num,A1961)&gt;25,"Plus de 25 lignes sur ce bon",IF(R1961="","Date de livraison manquante",IF(R1961&lt;B1961,"Livraison avant la commande",IF(AND(N(T1961)&gt;0,N(S1961)=0),"Date d'envoi manquante",IF(N(T1961)&gt;N(H1961),"Reçu plus que commandé",IF(AND(N(T1961)&gt;0,N(U1961)=0),"Date de réception manquante",IF(AND(N(U1961)&gt;0,U1961&lt;B1961),"Réception avant la commande","OK")))))))))))))))))))))</f>
        <v/>
      </c>
      <c r="AA1961" s="66" t="str">
        <f>IF(AND(X1961="Reçu",ISNUMBER(R1961)),IF(N(U1961)&lt;=R1961,1,0),"")</f>
        <v/>
      </c>
      <c r="AB1961" s="76" t="str">
        <f>IF(OR(X1961="Envoyé",X1961="Partiel",X1961="En retard"),IF(ISNUMBER(R1961),R1961,100000)+ROW()/100000,"")</f>
        <v/>
      </c>
      <c r="AC1961" s="66" t="str">
        <f>IF(A1961="","",IF(COUNTIF($A$6:A1961,A1961)=1,1,""))</f>
        <v/>
      </c>
      <c r="AD1961" s="66" t="str">
        <f>IF(AC1961=1,COUNT($AC$6:AC1961),"")</f>
        <v/>
      </c>
      <c r="AE1961" s="66" t="str">
        <f>IFERROR(INDEX(po_num,MATCH(1956,po_seq,0))&amp;"","")</f>
        <v/>
      </c>
      <c r="AF1961" s="66" t="str">
        <f>IF(OR(A1961="",p_po=""),"",IF(A1961&amp;""=p_po,COUNTIF($A$6:A1961,A1961),""))</f>
        <v/>
      </c>
      <c r="AG1961" s="66" t="str">
        <f>IF(OR(AB1961="",A1961=""),"",IF(COUNTIFS($A$6:A1961,A1961,$AB$6:AB1961,"&gt;0")=1,1,""))</f>
        <v/>
      </c>
      <c r="AH1961" s="70" t="str">
        <f>IF(AB1961="","",ROUND(N(W1961)*N(J1961)*(1-N(K1961)),2))</f>
        <v/>
      </c>
      <c r="AI1961" s="70" t="str">
        <f>IF(OR(J1961="",N(T1961)&lt;=0,V1961="Oui"),"",ROUND(N(T1961)*J1961*(1-N(K1961)),2))</f>
        <v/>
      </c>
    </row>
    <row r="1962">
      <c r="A1962" s="63" t="n"/>
      <c r="B1962" s="64" t="n"/>
      <c r="C1962" s="65" t="n"/>
      <c r="D1962" s="66" t="str">
        <f>IF(C1962="","",IFERROR(INDEX(sup_name,MATCH($C1962,sup_code,0))&amp;"","Fournisseur inconnu"))</f>
        <v/>
      </c>
      <c r="E1962" s="63" t="n"/>
      <c r="F1962" s="66" t="str">
        <f>IF(E1962="","",IFERROR(INDEX(art_des,MATCH($E1962,art_ref,0))&amp;"","Article inconnu"))</f>
        <v/>
      </c>
      <c r="G1962" s="67" t="str">
        <f>IF(E1962="","",IFERROR(INDEX(art_unit,MATCH($E1962,art_ref,0))&amp;"",""))</f>
        <v/>
      </c>
      <c r="H1962" s="68" t="n"/>
      <c r="I1962" s="69" t="n"/>
      <c r="J1962" s="70" t="str">
        <f>IF(E1962="","",IF(ISNUMBER(I1962),I1962,IFERROR(IF(ISNUMBER(INDEX(art_price,MATCH($E1962,art_ref,0))),INDEX(art_price,MATCH($E1962,art_ref,0)),""),"")))</f>
        <v/>
      </c>
      <c r="K1962" s="71" t="n"/>
      <c r="L1962" s="72" t="n"/>
      <c r="M1962" s="72" t="str">
        <f>IF(E1962="","",IF(L1962&lt;&gt;"",L1962,IFERROR(IF(ISNUMBER(INDEX(art_tva,MATCH($E1962,art_ref,0))),INDEX(art_tva,MATCH($E1962,art_ref,0)),""),"")))</f>
        <v/>
      </c>
      <c r="N1962" s="70" t="str">
        <f>IF(OR(E1962="",J1962=""),"",ROUND(N(H1962)*J1962*(1-N(K1962)),2))</f>
        <v/>
      </c>
      <c r="O1962" s="70" t="str">
        <f>IF(OR(N1962="",NOT(ISNUMBER(M1962))),"",ROUND(N1962*M1962,2))</f>
        <v/>
      </c>
      <c r="P1962" s="70" t="str">
        <f>IF(N1962="","",N1962+N(O1962))</f>
        <v/>
      </c>
      <c r="Q1962" s="64" t="n"/>
      <c r="R1962" s="73" t="str">
        <f>IF(N(Q1962)&gt;0,Q1962,IF(OR(N(B1962)=0,ISNA(MATCH($C1962,sup_code,0))),"",IF(ISNUMBER(INDEX(sup_delay,MATCH($C1962,sup_code,0))),B1962+INDEX(sup_delay,MATCH($C1962,sup_code,0)),"")))</f>
        <v/>
      </c>
      <c r="S1962" s="64" t="n"/>
      <c r="T1962" s="68" t="n"/>
      <c r="U1962" s="64" t="n"/>
      <c r="V1962" s="65" t="n"/>
      <c r="W1962" s="74" t="str">
        <f>IF(AND(A1962="",E1962=""),"",IF(V1962="Oui",0,MAX(0,ROUND(N(H1962)-N(T1962),6))))</f>
        <v/>
      </c>
      <c r="X1962" s="67" t="str">
        <f>IF(AND(A1962="",E1962=""),"",IF(V1962="Oui","Annulé",IF(AND(N(H1962)&gt;0,N(T1962)&gt;=N(H1962)),"Reçu",IF(N(S1962)=0,"Brouillon",IF(AND(ISNUMBER(R1962),R1962&lt;p_today),"En retard",IF(N(T1962)&gt;0,"Partiel","Envoyé"))))))</f>
        <v/>
      </c>
      <c r="Y1962" s="75" t="str">
        <f>IF(X1962="En retard",p_today-R1962,IF(AND(X1962="Reçu",ISNUMBER(R1962)),MAX(0,N(U1962)-R1962),""))</f>
        <v/>
      </c>
      <c r="Z1962" s="67" t="str">
        <f>IF(AND(A1962="",E1962=""),"",IF(A1962="","N° de bon manquant",IF(N(B1962)=0,"Date de commande manquante",IF(C1962="","Fournisseur manquant",IF(ISNA(MATCH($C1962,sup_code,0)),"Fournisseur inconnu",IF(E1962="","Article manquant",IF(ISNA(MATCH($E1962,art_ref,0)),"Article inconnu",IF(N(H1962)&lt;=0,"Quantité invalide",IF(J1962="","Prix manquant",IF(OR(N(K1962)&lt;0,N(K1962)&gt;=1),"Remise invalide",IF(M1962="","TVA manquante",IF(ISNA(MATCH(M1962,p_tva,0)),"Taux de TVA inconnu",IF(COUNTIFS(po_num,A1962,po_sup,"&lt;&gt;"&amp;C1962)&gt;0,"Fournisseur différent sur ce bon",IF(COUNTIFS(po_num,A1962,po_date,"&lt;&gt;"&amp;B1962)&gt;0,"Date différente sur ce bon",IF(COUNTIF(po_num,A1962)&gt;25,"Plus de 25 lignes sur ce bon",IF(R1962="","Date de livraison manquante",IF(R1962&lt;B1962,"Livraison avant la commande",IF(AND(N(T1962)&gt;0,N(S1962)=0),"Date d'envoi manquante",IF(N(T1962)&gt;N(H1962),"Reçu plus que commandé",IF(AND(N(T1962)&gt;0,N(U1962)=0),"Date de réception manquante",IF(AND(N(U1962)&gt;0,U1962&lt;B1962),"Réception avant la commande","OK")))))))))))))))))))))</f>
        <v/>
      </c>
      <c r="AA1962" s="66" t="str">
        <f>IF(AND(X1962="Reçu",ISNUMBER(R1962)),IF(N(U1962)&lt;=R1962,1,0),"")</f>
        <v/>
      </c>
      <c r="AB1962" s="76" t="str">
        <f>IF(OR(X1962="Envoyé",X1962="Partiel",X1962="En retard"),IF(ISNUMBER(R1962),R1962,100000)+ROW()/100000,"")</f>
        <v/>
      </c>
      <c r="AC1962" s="66" t="str">
        <f>IF(A1962="","",IF(COUNTIF($A$6:A1962,A1962)=1,1,""))</f>
        <v/>
      </c>
      <c r="AD1962" s="66" t="str">
        <f>IF(AC1962=1,COUNT($AC$6:AC1962),"")</f>
        <v/>
      </c>
      <c r="AE1962" s="66" t="str">
        <f>IFERROR(INDEX(po_num,MATCH(1957,po_seq,0))&amp;"","")</f>
        <v/>
      </c>
      <c r="AF1962" s="66" t="str">
        <f>IF(OR(A1962="",p_po=""),"",IF(A1962&amp;""=p_po,COUNTIF($A$6:A1962,A1962),""))</f>
        <v/>
      </c>
      <c r="AG1962" s="66" t="str">
        <f>IF(OR(AB1962="",A1962=""),"",IF(COUNTIFS($A$6:A1962,A1962,$AB$6:AB1962,"&gt;0")=1,1,""))</f>
        <v/>
      </c>
      <c r="AH1962" s="70" t="str">
        <f>IF(AB1962="","",ROUND(N(W1962)*N(J1962)*(1-N(K1962)),2))</f>
        <v/>
      </c>
      <c r="AI1962" s="70" t="str">
        <f>IF(OR(J1962="",N(T1962)&lt;=0,V1962="Oui"),"",ROUND(N(T1962)*J1962*(1-N(K1962)),2))</f>
        <v/>
      </c>
    </row>
    <row r="1963">
      <c r="A1963" s="63" t="n"/>
      <c r="B1963" s="64" t="n"/>
      <c r="C1963" s="65" t="n"/>
      <c r="D1963" s="66" t="str">
        <f>IF(C1963="","",IFERROR(INDEX(sup_name,MATCH($C1963,sup_code,0))&amp;"","Fournisseur inconnu"))</f>
        <v/>
      </c>
      <c r="E1963" s="63" t="n"/>
      <c r="F1963" s="66" t="str">
        <f>IF(E1963="","",IFERROR(INDEX(art_des,MATCH($E1963,art_ref,0))&amp;"","Article inconnu"))</f>
        <v/>
      </c>
      <c r="G1963" s="67" t="str">
        <f>IF(E1963="","",IFERROR(INDEX(art_unit,MATCH($E1963,art_ref,0))&amp;"",""))</f>
        <v/>
      </c>
      <c r="H1963" s="68" t="n"/>
      <c r="I1963" s="69" t="n"/>
      <c r="J1963" s="70" t="str">
        <f>IF(E1963="","",IF(ISNUMBER(I1963),I1963,IFERROR(IF(ISNUMBER(INDEX(art_price,MATCH($E1963,art_ref,0))),INDEX(art_price,MATCH($E1963,art_ref,0)),""),"")))</f>
        <v/>
      </c>
      <c r="K1963" s="71" t="n"/>
      <c r="L1963" s="72" t="n"/>
      <c r="M1963" s="72" t="str">
        <f>IF(E1963="","",IF(L1963&lt;&gt;"",L1963,IFERROR(IF(ISNUMBER(INDEX(art_tva,MATCH($E1963,art_ref,0))),INDEX(art_tva,MATCH($E1963,art_ref,0)),""),"")))</f>
        <v/>
      </c>
      <c r="N1963" s="70" t="str">
        <f>IF(OR(E1963="",J1963=""),"",ROUND(N(H1963)*J1963*(1-N(K1963)),2))</f>
        <v/>
      </c>
      <c r="O1963" s="70" t="str">
        <f>IF(OR(N1963="",NOT(ISNUMBER(M1963))),"",ROUND(N1963*M1963,2))</f>
        <v/>
      </c>
      <c r="P1963" s="70" t="str">
        <f>IF(N1963="","",N1963+N(O1963))</f>
        <v/>
      </c>
      <c r="Q1963" s="64" t="n"/>
      <c r="R1963" s="73" t="str">
        <f>IF(N(Q1963)&gt;0,Q1963,IF(OR(N(B1963)=0,ISNA(MATCH($C1963,sup_code,0))),"",IF(ISNUMBER(INDEX(sup_delay,MATCH($C1963,sup_code,0))),B1963+INDEX(sup_delay,MATCH($C1963,sup_code,0)),"")))</f>
        <v/>
      </c>
      <c r="S1963" s="64" t="n"/>
      <c r="T1963" s="68" t="n"/>
      <c r="U1963" s="64" t="n"/>
      <c r="V1963" s="65" t="n"/>
      <c r="W1963" s="74" t="str">
        <f>IF(AND(A1963="",E1963=""),"",IF(V1963="Oui",0,MAX(0,ROUND(N(H1963)-N(T1963),6))))</f>
        <v/>
      </c>
      <c r="X1963" s="67" t="str">
        <f>IF(AND(A1963="",E1963=""),"",IF(V1963="Oui","Annulé",IF(AND(N(H1963)&gt;0,N(T1963)&gt;=N(H1963)),"Reçu",IF(N(S1963)=0,"Brouillon",IF(AND(ISNUMBER(R1963),R1963&lt;p_today),"En retard",IF(N(T1963)&gt;0,"Partiel","Envoyé"))))))</f>
        <v/>
      </c>
      <c r="Y1963" s="75" t="str">
        <f>IF(X1963="En retard",p_today-R1963,IF(AND(X1963="Reçu",ISNUMBER(R1963)),MAX(0,N(U1963)-R1963),""))</f>
        <v/>
      </c>
      <c r="Z1963" s="67" t="str">
        <f>IF(AND(A1963="",E1963=""),"",IF(A1963="","N° de bon manquant",IF(N(B1963)=0,"Date de commande manquante",IF(C1963="","Fournisseur manquant",IF(ISNA(MATCH($C1963,sup_code,0)),"Fournisseur inconnu",IF(E1963="","Article manquant",IF(ISNA(MATCH($E1963,art_ref,0)),"Article inconnu",IF(N(H1963)&lt;=0,"Quantité invalide",IF(J1963="","Prix manquant",IF(OR(N(K1963)&lt;0,N(K1963)&gt;=1),"Remise invalide",IF(M1963="","TVA manquante",IF(ISNA(MATCH(M1963,p_tva,0)),"Taux de TVA inconnu",IF(COUNTIFS(po_num,A1963,po_sup,"&lt;&gt;"&amp;C1963)&gt;0,"Fournisseur différent sur ce bon",IF(COUNTIFS(po_num,A1963,po_date,"&lt;&gt;"&amp;B1963)&gt;0,"Date différente sur ce bon",IF(COUNTIF(po_num,A1963)&gt;25,"Plus de 25 lignes sur ce bon",IF(R1963="","Date de livraison manquante",IF(R1963&lt;B1963,"Livraison avant la commande",IF(AND(N(T1963)&gt;0,N(S1963)=0),"Date d'envoi manquante",IF(N(T1963)&gt;N(H1963),"Reçu plus que commandé",IF(AND(N(T1963)&gt;0,N(U1963)=0),"Date de réception manquante",IF(AND(N(U1963)&gt;0,U1963&lt;B1963),"Réception avant la commande","OK")))))))))))))))))))))</f>
        <v/>
      </c>
      <c r="AA1963" s="66" t="str">
        <f>IF(AND(X1963="Reçu",ISNUMBER(R1963)),IF(N(U1963)&lt;=R1963,1,0),"")</f>
        <v/>
      </c>
      <c r="AB1963" s="76" t="str">
        <f>IF(OR(X1963="Envoyé",X1963="Partiel",X1963="En retard"),IF(ISNUMBER(R1963),R1963,100000)+ROW()/100000,"")</f>
        <v/>
      </c>
      <c r="AC1963" s="66" t="str">
        <f>IF(A1963="","",IF(COUNTIF($A$6:A1963,A1963)=1,1,""))</f>
        <v/>
      </c>
      <c r="AD1963" s="66" t="str">
        <f>IF(AC1963=1,COUNT($AC$6:AC1963),"")</f>
        <v/>
      </c>
      <c r="AE1963" s="66" t="str">
        <f>IFERROR(INDEX(po_num,MATCH(1958,po_seq,0))&amp;"","")</f>
        <v/>
      </c>
      <c r="AF1963" s="66" t="str">
        <f>IF(OR(A1963="",p_po=""),"",IF(A1963&amp;""=p_po,COUNTIF($A$6:A1963,A1963),""))</f>
        <v/>
      </c>
      <c r="AG1963" s="66" t="str">
        <f>IF(OR(AB1963="",A1963=""),"",IF(COUNTIFS($A$6:A1963,A1963,$AB$6:AB1963,"&gt;0")=1,1,""))</f>
        <v/>
      </c>
      <c r="AH1963" s="70" t="str">
        <f>IF(AB1963="","",ROUND(N(W1963)*N(J1963)*(1-N(K1963)),2))</f>
        <v/>
      </c>
      <c r="AI1963" s="70" t="str">
        <f>IF(OR(J1963="",N(T1963)&lt;=0,V1963="Oui"),"",ROUND(N(T1963)*J1963*(1-N(K1963)),2))</f>
        <v/>
      </c>
    </row>
    <row r="1964">
      <c r="A1964" s="63" t="n"/>
      <c r="B1964" s="64" t="n"/>
      <c r="C1964" s="65" t="n"/>
      <c r="D1964" s="66" t="str">
        <f>IF(C1964="","",IFERROR(INDEX(sup_name,MATCH($C1964,sup_code,0))&amp;"","Fournisseur inconnu"))</f>
        <v/>
      </c>
      <c r="E1964" s="63" t="n"/>
      <c r="F1964" s="66" t="str">
        <f>IF(E1964="","",IFERROR(INDEX(art_des,MATCH($E1964,art_ref,0))&amp;"","Article inconnu"))</f>
        <v/>
      </c>
      <c r="G1964" s="67" t="str">
        <f>IF(E1964="","",IFERROR(INDEX(art_unit,MATCH($E1964,art_ref,0))&amp;"",""))</f>
        <v/>
      </c>
      <c r="H1964" s="68" t="n"/>
      <c r="I1964" s="69" t="n"/>
      <c r="J1964" s="70" t="str">
        <f>IF(E1964="","",IF(ISNUMBER(I1964),I1964,IFERROR(IF(ISNUMBER(INDEX(art_price,MATCH($E1964,art_ref,0))),INDEX(art_price,MATCH($E1964,art_ref,0)),""),"")))</f>
        <v/>
      </c>
      <c r="K1964" s="71" t="n"/>
      <c r="L1964" s="72" t="n"/>
      <c r="M1964" s="72" t="str">
        <f>IF(E1964="","",IF(L1964&lt;&gt;"",L1964,IFERROR(IF(ISNUMBER(INDEX(art_tva,MATCH($E1964,art_ref,0))),INDEX(art_tva,MATCH($E1964,art_ref,0)),""),"")))</f>
        <v/>
      </c>
      <c r="N1964" s="70" t="str">
        <f>IF(OR(E1964="",J1964=""),"",ROUND(N(H1964)*J1964*(1-N(K1964)),2))</f>
        <v/>
      </c>
      <c r="O1964" s="70" t="str">
        <f>IF(OR(N1964="",NOT(ISNUMBER(M1964))),"",ROUND(N1964*M1964,2))</f>
        <v/>
      </c>
      <c r="P1964" s="70" t="str">
        <f>IF(N1964="","",N1964+N(O1964))</f>
        <v/>
      </c>
      <c r="Q1964" s="64" t="n"/>
      <c r="R1964" s="73" t="str">
        <f>IF(N(Q1964)&gt;0,Q1964,IF(OR(N(B1964)=0,ISNA(MATCH($C1964,sup_code,0))),"",IF(ISNUMBER(INDEX(sup_delay,MATCH($C1964,sup_code,0))),B1964+INDEX(sup_delay,MATCH($C1964,sup_code,0)),"")))</f>
        <v/>
      </c>
      <c r="S1964" s="64" t="n"/>
      <c r="T1964" s="68" t="n"/>
      <c r="U1964" s="64" t="n"/>
      <c r="V1964" s="65" t="n"/>
      <c r="W1964" s="74" t="str">
        <f>IF(AND(A1964="",E1964=""),"",IF(V1964="Oui",0,MAX(0,ROUND(N(H1964)-N(T1964),6))))</f>
        <v/>
      </c>
      <c r="X1964" s="67" t="str">
        <f>IF(AND(A1964="",E1964=""),"",IF(V1964="Oui","Annulé",IF(AND(N(H1964)&gt;0,N(T1964)&gt;=N(H1964)),"Reçu",IF(N(S1964)=0,"Brouillon",IF(AND(ISNUMBER(R1964),R1964&lt;p_today),"En retard",IF(N(T1964)&gt;0,"Partiel","Envoyé"))))))</f>
        <v/>
      </c>
      <c r="Y1964" s="75" t="str">
        <f>IF(X1964="En retard",p_today-R1964,IF(AND(X1964="Reçu",ISNUMBER(R1964)),MAX(0,N(U1964)-R1964),""))</f>
        <v/>
      </c>
      <c r="Z1964" s="67" t="str">
        <f>IF(AND(A1964="",E1964=""),"",IF(A1964="","N° de bon manquant",IF(N(B1964)=0,"Date de commande manquante",IF(C1964="","Fournisseur manquant",IF(ISNA(MATCH($C1964,sup_code,0)),"Fournisseur inconnu",IF(E1964="","Article manquant",IF(ISNA(MATCH($E1964,art_ref,0)),"Article inconnu",IF(N(H1964)&lt;=0,"Quantité invalide",IF(J1964="","Prix manquant",IF(OR(N(K1964)&lt;0,N(K1964)&gt;=1),"Remise invalide",IF(M1964="","TVA manquante",IF(ISNA(MATCH(M1964,p_tva,0)),"Taux de TVA inconnu",IF(COUNTIFS(po_num,A1964,po_sup,"&lt;&gt;"&amp;C1964)&gt;0,"Fournisseur différent sur ce bon",IF(COUNTIFS(po_num,A1964,po_date,"&lt;&gt;"&amp;B1964)&gt;0,"Date différente sur ce bon",IF(COUNTIF(po_num,A1964)&gt;25,"Plus de 25 lignes sur ce bon",IF(R1964="","Date de livraison manquante",IF(R1964&lt;B1964,"Livraison avant la commande",IF(AND(N(T1964)&gt;0,N(S1964)=0),"Date d'envoi manquante",IF(N(T1964)&gt;N(H1964),"Reçu plus que commandé",IF(AND(N(T1964)&gt;0,N(U1964)=0),"Date de réception manquante",IF(AND(N(U1964)&gt;0,U1964&lt;B1964),"Réception avant la commande","OK")))))))))))))))))))))</f>
        <v/>
      </c>
      <c r="AA1964" s="66" t="str">
        <f>IF(AND(X1964="Reçu",ISNUMBER(R1964)),IF(N(U1964)&lt;=R1964,1,0),"")</f>
        <v/>
      </c>
      <c r="AB1964" s="76" t="str">
        <f>IF(OR(X1964="Envoyé",X1964="Partiel",X1964="En retard"),IF(ISNUMBER(R1964),R1964,100000)+ROW()/100000,"")</f>
        <v/>
      </c>
      <c r="AC1964" s="66" t="str">
        <f>IF(A1964="","",IF(COUNTIF($A$6:A1964,A1964)=1,1,""))</f>
        <v/>
      </c>
      <c r="AD1964" s="66" t="str">
        <f>IF(AC1964=1,COUNT($AC$6:AC1964),"")</f>
        <v/>
      </c>
      <c r="AE1964" s="66" t="str">
        <f>IFERROR(INDEX(po_num,MATCH(1959,po_seq,0))&amp;"","")</f>
        <v/>
      </c>
      <c r="AF1964" s="66" t="str">
        <f>IF(OR(A1964="",p_po=""),"",IF(A1964&amp;""=p_po,COUNTIF($A$6:A1964,A1964),""))</f>
        <v/>
      </c>
      <c r="AG1964" s="66" t="str">
        <f>IF(OR(AB1964="",A1964=""),"",IF(COUNTIFS($A$6:A1964,A1964,$AB$6:AB1964,"&gt;0")=1,1,""))</f>
        <v/>
      </c>
      <c r="AH1964" s="70" t="str">
        <f>IF(AB1964="","",ROUND(N(W1964)*N(J1964)*(1-N(K1964)),2))</f>
        <v/>
      </c>
      <c r="AI1964" s="70" t="str">
        <f>IF(OR(J1964="",N(T1964)&lt;=0,V1964="Oui"),"",ROUND(N(T1964)*J1964*(1-N(K1964)),2))</f>
        <v/>
      </c>
    </row>
    <row r="1965">
      <c r="A1965" s="63" t="n"/>
      <c r="B1965" s="64" t="n"/>
      <c r="C1965" s="65" t="n"/>
      <c r="D1965" s="66" t="str">
        <f>IF(C1965="","",IFERROR(INDEX(sup_name,MATCH($C1965,sup_code,0))&amp;"","Fournisseur inconnu"))</f>
        <v/>
      </c>
      <c r="E1965" s="63" t="n"/>
      <c r="F1965" s="66" t="str">
        <f>IF(E1965="","",IFERROR(INDEX(art_des,MATCH($E1965,art_ref,0))&amp;"","Article inconnu"))</f>
        <v/>
      </c>
      <c r="G1965" s="67" t="str">
        <f>IF(E1965="","",IFERROR(INDEX(art_unit,MATCH($E1965,art_ref,0))&amp;"",""))</f>
        <v/>
      </c>
      <c r="H1965" s="68" t="n"/>
      <c r="I1965" s="69" t="n"/>
      <c r="J1965" s="70" t="str">
        <f>IF(E1965="","",IF(ISNUMBER(I1965),I1965,IFERROR(IF(ISNUMBER(INDEX(art_price,MATCH($E1965,art_ref,0))),INDEX(art_price,MATCH($E1965,art_ref,0)),""),"")))</f>
        <v/>
      </c>
      <c r="K1965" s="71" t="n"/>
      <c r="L1965" s="72" t="n"/>
      <c r="M1965" s="72" t="str">
        <f>IF(E1965="","",IF(L1965&lt;&gt;"",L1965,IFERROR(IF(ISNUMBER(INDEX(art_tva,MATCH($E1965,art_ref,0))),INDEX(art_tva,MATCH($E1965,art_ref,0)),""),"")))</f>
        <v/>
      </c>
      <c r="N1965" s="70" t="str">
        <f>IF(OR(E1965="",J1965=""),"",ROUND(N(H1965)*J1965*(1-N(K1965)),2))</f>
        <v/>
      </c>
      <c r="O1965" s="70" t="str">
        <f>IF(OR(N1965="",NOT(ISNUMBER(M1965))),"",ROUND(N1965*M1965,2))</f>
        <v/>
      </c>
      <c r="P1965" s="70" t="str">
        <f>IF(N1965="","",N1965+N(O1965))</f>
        <v/>
      </c>
      <c r="Q1965" s="64" t="n"/>
      <c r="R1965" s="73" t="str">
        <f>IF(N(Q1965)&gt;0,Q1965,IF(OR(N(B1965)=0,ISNA(MATCH($C1965,sup_code,0))),"",IF(ISNUMBER(INDEX(sup_delay,MATCH($C1965,sup_code,0))),B1965+INDEX(sup_delay,MATCH($C1965,sup_code,0)),"")))</f>
        <v/>
      </c>
      <c r="S1965" s="64" t="n"/>
      <c r="T1965" s="68" t="n"/>
      <c r="U1965" s="64" t="n"/>
      <c r="V1965" s="65" t="n"/>
      <c r="W1965" s="74" t="str">
        <f>IF(AND(A1965="",E1965=""),"",IF(V1965="Oui",0,MAX(0,ROUND(N(H1965)-N(T1965),6))))</f>
        <v/>
      </c>
      <c r="X1965" s="67" t="str">
        <f>IF(AND(A1965="",E1965=""),"",IF(V1965="Oui","Annulé",IF(AND(N(H1965)&gt;0,N(T1965)&gt;=N(H1965)),"Reçu",IF(N(S1965)=0,"Brouillon",IF(AND(ISNUMBER(R1965),R1965&lt;p_today),"En retard",IF(N(T1965)&gt;0,"Partiel","Envoyé"))))))</f>
        <v/>
      </c>
      <c r="Y1965" s="75" t="str">
        <f>IF(X1965="En retard",p_today-R1965,IF(AND(X1965="Reçu",ISNUMBER(R1965)),MAX(0,N(U1965)-R1965),""))</f>
        <v/>
      </c>
      <c r="Z1965" s="67" t="str">
        <f>IF(AND(A1965="",E1965=""),"",IF(A1965="","N° de bon manquant",IF(N(B1965)=0,"Date de commande manquante",IF(C1965="","Fournisseur manquant",IF(ISNA(MATCH($C1965,sup_code,0)),"Fournisseur inconnu",IF(E1965="","Article manquant",IF(ISNA(MATCH($E1965,art_ref,0)),"Article inconnu",IF(N(H1965)&lt;=0,"Quantité invalide",IF(J1965="","Prix manquant",IF(OR(N(K1965)&lt;0,N(K1965)&gt;=1),"Remise invalide",IF(M1965="","TVA manquante",IF(ISNA(MATCH(M1965,p_tva,0)),"Taux de TVA inconnu",IF(COUNTIFS(po_num,A1965,po_sup,"&lt;&gt;"&amp;C1965)&gt;0,"Fournisseur différent sur ce bon",IF(COUNTIFS(po_num,A1965,po_date,"&lt;&gt;"&amp;B1965)&gt;0,"Date différente sur ce bon",IF(COUNTIF(po_num,A1965)&gt;25,"Plus de 25 lignes sur ce bon",IF(R1965="","Date de livraison manquante",IF(R1965&lt;B1965,"Livraison avant la commande",IF(AND(N(T1965)&gt;0,N(S1965)=0),"Date d'envoi manquante",IF(N(T1965)&gt;N(H1965),"Reçu plus que commandé",IF(AND(N(T1965)&gt;0,N(U1965)=0),"Date de réception manquante",IF(AND(N(U1965)&gt;0,U1965&lt;B1965),"Réception avant la commande","OK")))))))))))))))))))))</f>
        <v/>
      </c>
      <c r="AA1965" s="66" t="str">
        <f>IF(AND(X1965="Reçu",ISNUMBER(R1965)),IF(N(U1965)&lt;=R1965,1,0),"")</f>
        <v/>
      </c>
      <c r="AB1965" s="76" t="str">
        <f>IF(OR(X1965="Envoyé",X1965="Partiel",X1965="En retard"),IF(ISNUMBER(R1965),R1965,100000)+ROW()/100000,"")</f>
        <v/>
      </c>
      <c r="AC1965" s="66" t="str">
        <f>IF(A1965="","",IF(COUNTIF($A$6:A1965,A1965)=1,1,""))</f>
        <v/>
      </c>
      <c r="AD1965" s="66" t="str">
        <f>IF(AC1965=1,COUNT($AC$6:AC1965),"")</f>
        <v/>
      </c>
      <c r="AE1965" s="66" t="str">
        <f>IFERROR(INDEX(po_num,MATCH(1960,po_seq,0))&amp;"","")</f>
        <v/>
      </c>
      <c r="AF1965" s="66" t="str">
        <f>IF(OR(A1965="",p_po=""),"",IF(A1965&amp;""=p_po,COUNTIF($A$6:A1965,A1965),""))</f>
        <v/>
      </c>
      <c r="AG1965" s="66" t="str">
        <f>IF(OR(AB1965="",A1965=""),"",IF(COUNTIFS($A$6:A1965,A1965,$AB$6:AB1965,"&gt;0")=1,1,""))</f>
        <v/>
      </c>
      <c r="AH1965" s="70" t="str">
        <f>IF(AB1965="","",ROUND(N(W1965)*N(J1965)*(1-N(K1965)),2))</f>
        <v/>
      </c>
      <c r="AI1965" s="70" t="str">
        <f>IF(OR(J1965="",N(T1965)&lt;=0,V1965="Oui"),"",ROUND(N(T1965)*J1965*(1-N(K1965)),2))</f>
        <v/>
      </c>
    </row>
    <row r="1966">
      <c r="A1966" s="63" t="n"/>
      <c r="B1966" s="64" t="n"/>
      <c r="C1966" s="65" t="n"/>
      <c r="D1966" s="66" t="str">
        <f>IF(C1966="","",IFERROR(INDEX(sup_name,MATCH($C1966,sup_code,0))&amp;"","Fournisseur inconnu"))</f>
        <v/>
      </c>
      <c r="E1966" s="63" t="n"/>
      <c r="F1966" s="66" t="str">
        <f>IF(E1966="","",IFERROR(INDEX(art_des,MATCH($E1966,art_ref,0))&amp;"","Article inconnu"))</f>
        <v/>
      </c>
      <c r="G1966" s="67" t="str">
        <f>IF(E1966="","",IFERROR(INDEX(art_unit,MATCH($E1966,art_ref,0))&amp;"",""))</f>
        <v/>
      </c>
      <c r="H1966" s="68" t="n"/>
      <c r="I1966" s="69" t="n"/>
      <c r="J1966" s="70" t="str">
        <f>IF(E1966="","",IF(ISNUMBER(I1966),I1966,IFERROR(IF(ISNUMBER(INDEX(art_price,MATCH($E1966,art_ref,0))),INDEX(art_price,MATCH($E1966,art_ref,0)),""),"")))</f>
        <v/>
      </c>
      <c r="K1966" s="71" t="n"/>
      <c r="L1966" s="72" t="n"/>
      <c r="M1966" s="72" t="str">
        <f>IF(E1966="","",IF(L1966&lt;&gt;"",L1966,IFERROR(IF(ISNUMBER(INDEX(art_tva,MATCH($E1966,art_ref,0))),INDEX(art_tva,MATCH($E1966,art_ref,0)),""),"")))</f>
        <v/>
      </c>
      <c r="N1966" s="70" t="str">
        <f>IF(OR(E1966="",J1966=""),"",ROUND(N(H1966)*J1966*(1-N(K1966)),2))</f>
        <v/>
      </c>
      <c r="O1966" s="70" t="str">
        <f>IF(OR(N1966="",NOT(ISNUMBER(M1966))),"",ROUND(N1966*M1966,2))</f>
        <v/>
      </c>
      <c r="P1966" s="70" t="str">
        <f>IF(N1966="","",N1966+N(O1966))</f>
        <v/>
      </c>
      <c r="Q1966" s="64" t="n"/>
      <c r="R1966" s="73" t="str">
        <f>IF(N(Q1966)&gt;0,Q1966,IF(OR(N(B1966)=0,ISNA(MATCH($C1966,sup_code,0))),"",IF(ISNUMBER(INDEX(sup_delay,MATCH($C1966,sup_code,0))),B1966+INDEX(sup_delay,MATCH($C1966,sup_code,0)),"")))</f>
        <v/>
      </c>
      <c r="S1966" s="64" t="n"/>
      <c r="T1966" s="68" t="n"/>
      <c r="U1966" s="64" t="n"/>
      <c r="V1966" s="65" t="n"/>
      <c r="W1966" s="74" t="str">
        <f>IF(AND(A1966="",E1966=""),"",IF(V1966="Oui",0,MAX(0,ROUND(N(H1966)-N(T1966),6))))</f>
        <v/>
      </c>
      <c r="X1966" s="67" t="str">
        <f>IF(AND(A1966="",E1966=""),"",IF(V1966="Oui","Annulé",IF(AND(N(H1966)&gt;0,N(T1966)&gt;=N(H1966)),"Reçu",IF(N(S1966)=0,"Brouillon",IF(AND(ISNUMBER(R1966),R1966&lt;p_today),"En retard",IF(N(T1966)&gt;0,"Partiel","Envoyé"))))))</f>
        <v/>
      </c>
      <c r="Y1966" s="75" t="str">
        <f>IF(X1966="En retard",p_today-R1966,IF(AND(X1966="Reçu",ISNUMBER(R1966)),MAX(0,N(U1966)-R1966),""))</f>
        <v/>
      </c>
      <c r="Z1966" s="67" t="str">
        <f>IF(AND(A1966="",E1966=""),"",IF(A1966="","N° de bon manquant",IF(N(B1966)=0,"Date de commande manquante",IF(C1966="","Fournisseur manquant",IF(ISNA(MATCH($C1966,sup_code,0)),"Fournisseur inconnu",IF(E1966="","Article manquant",IF(ISNA(MATCH($E1966,art_ref,0)),"Article inconnu",IF(N(H1966)&lt;=0,"Quantité invalide",IF(J1966="","Prix manquant",IF(OR(N(K1966)&lt;0,N(K1966)&gt;=1),"Remise invalide",IF(M1966="","TVA manquante",IF(ISNA(MATCH(M1966,p_tva,0)),"Taux de TVA inconnu",IF(COUNTIFS(po_num,A1966,po_sup,"&lt;&gt;"&amp;C1966)&gt;0,"Fournisseur différent sur ce bon",IF(COUNTIFS(po_num,A1966,po_date,"&lt;&gt;"&amp;B1966)&gt;0,"Date différente sur ce bon",IF(COUNTIF(po_num,A1966)&gt;25,"Plus de 25 lignes sur ce bon",IF(R1966="","Date de livraison manquante",IF(R1966&lt;B1966,"Livraison avant la commande",IF(AND(N(T1966)&gt;0,N(S1966)=0),"Date d'envoi manquante",IF(N(T1966)&gt;N(H1966),"Reçu plus que commandé",IF(AND(N(T1966)&gt;0,N(U1966)=0),"Date de réception manquante",IF(AND(N(U1966)&gt;0,U1966&lt;B1966),"Réception avant la commande","OK")))))))))))))))))))))</f>
        <v/>
      </c>
      <c r="AA1966" s="66" t="str">
        <f>IF(AND(X1966="Reçu",ISNUMBER(R1966)),IF(N(U1966)&lt;=R1966,1,0),"")</f>
        <v/>
      </c>
      <c r="AB1966" s="76" t="str">
        <f>IF(OR(X1966="Envoyé",X1966="Partiel",X1966="En retard"),IF(ISNUMBER(R1966),R1966,100000)+ROW()/100000,"")</f>
        <v/>
      </c>
      <c r="AC1966" s="66" t="str">
        <f>IF(A1966="","",IF(COUNTIF($A$6:A1966,A1966)=1,1,""))</f>
        <v/>
      </c>
      <c r="AD1966" s="66" t="str">
        <f>IF(AC1966=1,COUNT($AC$6:AC1966),"")</f>
        <v/>
      </c>
      <c r="AE1966" s="66" t="str">
        <f>IFERROR(INDEX(po_num,MATCH(1961,po_seq,0))&amp;"","")</f>
        <v/>
      </c>
      <c r="AF1966" s="66" t="str">
        <f>IF(OR(A1966="",p_po=""),"",IF(A1966&amp;""=p_po,COUNTIF($A$6:A1966,A1966),""))</f>
        <v/>
      </c>
      <c r="AG1966" s="66" t="str">
        <f>IF(OR(AB1966="",A1966=""),"",IF(COUNTIFS($A$6:A1966,A1966,$AB$6:AB1966,"&gt;0")=1,1,""))</f>
        <v/>
      </c>
      <c r="AH1966" s="70" t="str">
        <f>IF(AB1966="","",ROUND(N(W1966)*N(J1966)*(1-N(K1966)),2))</f>
        <v/>
      </c>
      <c r="AI1966" s="70" t="str">
        <f>IF(OR(J1966="",N(T1966)&lt;=0,V1966="Oui"),"",ROUND(N(T1966)*J1966*(1-N(K1966)),2))</f>
        <v/>
      </c>
    </row>
    <row r="1967">
      <c r="A1967" s="63" t="n"/>
      <c r="B1967" s="64" t="n"/>
      <c r="C1967" s="65" t="n"/>
      <c r="D1967" s="66" t="str">
        <f>IF(C1967="","",IFERROR(INDEX(sup_name,MATCH($C1967,sup_code,0))&amp;"","Fournisseur inconnu"))</f>
        <v/>
      </c>
      <c r="E1967" s="63" t="n"/>
      <c r="F1967" s="66" t="str">
        <f>IF(E1967="","",IFERROR(INDEX(art_des,MATCH($E1967,art_ref,0))&amp;"","Article inconnu"))</f>
        <v/>
      </c>
      <c r="G1967" s="67" t="str">
        <f>IF(E1967="","",IFERROR(INDEX(art_unit,MATCH($E1967,art_ref,0))&amp;"",""))</f>
        <v/>
      </c>
      <c r="H1967" s="68" t="n"/>
      <c r="I1967" s="69" t="n"/>
      <c r="J1967" s="70" t="str">
        <f>IF(E1967="","",IF(ISNUMBER(I1967),I1967,IFERROR(IF(ISNUMBER(INDEX(art_price,MATCH($E1967,art_ref,0))),INDEX(art_price,MATCH($E1967,art_ref,0)),""),"")))</f>
        <v/>
      </c>
      <c r="K1967" s="71" t="n"/>
      <c r="L1967" s="72" t="n"/>
      <c r="M1967" s="72" t="str">
        <f>IF(E1967="","",IF(L1967&lt;&gt;"",L1967,IFERROR(IF(ISNUMBER(INDEX(art_tva,MATCH($E1967,art_ref,0))),INDEX(art_tva,MATCH($E1967,art_ref,0)),""),"")))</f>
        <v/>
      </c>
      <c r="N1967" s="70" t="str">
        <f>IF(OR(E1967="",J1967=""),"",ROUND(N(H1967)*J1967*(1-N(K1967)),2))</f>
        <v/>
      </c>
      <c r="O1967" s="70" t="str">
        <f>IF(OR(N1967="",NOT(ISNUMBER(M1967))),"",ROUND(N1967*M1967,2))</f>
        <v/>
      </c>
      <c r="P1967" s="70" t="str">
        <f>IF(N1967="","",N1967+N(O1967))</f>
        <v/>
      </c>
      <c r="Q1967" s="64" t="n"/>
      <c r="R1967" s="73" t="str">
        <f>IF(N(Q1967)&gt;0,Q1967,IF(OR(N(B1967)=0,ISNA(MATCH($C1967,sup_code,0))),"",IF(ISNUMBER(INDEX(sup_delay,MATCH($C1967,sup_code,0))),B1967+INDEX(sup_delay,MATCH($C1967,sup_code,0)),"")))</f>
        <v/>
      </c>
      <c r="S1967" s="64" t="n"/>
      <c r="T1967" s="68" t="n"/>
      <c r="U1967" s="64" t="n"/>
      <c r="V1967" s="65" t="n"/>
      <c r="W1967" s="74" t="str">
        <f>IF(AND(A1967="",E1967=""),"",IF(V1967="Oui",0,MAX(0,ROUND(N(H1967)-N(T1967),6))))</f>
        <v/>
      </c>
      <c r="X1967" s="67" t="str">
        <f>IF(AND(A1967="",E1967=""),"",IF(V1967="Oui","Annulé",IF(AND(N(H1967)&gt;0,N(T1967)&gt;=N(H1967)),"Reçu",IF(N(S1967)=0,"Brouillon",IF(AND(ISNUMBER(R1967),R1967&lt;p_today),"En retard",IF(N(T1967)&gt;0,"Partiel","Envoyé"))))))</f>
        <v/>
      </c>
      <c r="Y1967" s="75" t="str">
        <f>IF(X1967="En retard",p_today-R1967,IF(AND(X1967="Reçu",ISNUMBER(R1967)),MAX(0,N(U1967)-R1967),""))</f>
        <v/>
      </c>
      <c r="Z1967" s="67" t="str">
        <f>IF(AND(A1967="",E1967=""),"",IF(A1967="","N° de bon manquant",IF(N(B1967)=0,"Date de commande manquante",IF(C1967="","Fournisseur manquant",IF(ISNA(MATCH($C1967,sup_code,0)),"Fournisseur inconnu",IF(E1967="","Article manquant",IF(ISNA(MATCH($E1967,art_ref,0)),"Article inconnu",IF(N(H1967)&lt;=0,"Quantité invalide",IF(J1967="","Prix manquant",IF(OR(N(K1967)&lt;0,N(K1967)&gt;=1),"Remise invalide",IF(M1967="","TVA manquante",IF(ISNA(MATCH(M1967,p_tva,0)),"Taux de TVA inconnu",IF(COUNTIFS(po_num,A1967,po_sup,"&lt;&gt;"&amp;C1967)&gt;0,"Fournisseur différent sur ce bon",IF(COUNTIFS(po_num,A1967,po_date,"&lt;&gt;"&amp;B1967)&gt;0,"Date différente sur ce bon",IF(COUNTIF(po_num,A1967)&gt;25,"Plus de 25 lignes sur ce bon",IF(R1967="","Date de livraison manquante",IF(R1967&lt;B1967,"Livraison avant la commande",IF(AND(N(T1967)&gt;0,N(S1967)=0),"Date d'envoi manquante",IF(N(T1967)&gt;N(H1967),"Reçu plus que commandé",IF(AND(N(T1967)&gt;0,N(U1967)=0),"Date de réception manquante",IF(AND(N(U1967)&gt;0,U1967&lt;B1967),"Réception avant la commande","OK")))))))))))))))))))))</f>
        <v/>
      </c>
      <c r="AA1967" s="66" t="str">
        <f>IF(AND(X1967="Reçu",ISNUMBER(R1967)),IF(N(U1967)&lt;=R1967,1,0),"")</f>
        <v/>
      </c>
      <c r="AB1967" s="76" t="str">
        <f>IF(OR(X1967="Envoyé",X1967="Partiel",X1967="En retard"),IF(ISNUMBER(R1967),R1967,100000)+ROW()/100000,"")</f>
        <v/>
      </c>
      <c r="AC1967" s="66" t="str">
        <f>IF(A1967="","",IF(COUNTIF($A$6:A1967,A1967)=1,1,""))</f>
        <v/>
      </c>
      <c r="AD1967" s="66" t="str">
        <f>IF(AC1967=1,COUNT($AC$6:AC1967),"")</f>
        <v/>
      </c>
      <c r="AE1967" s="66" t="str">
        <f>IFERROR(INDEX(po_num,MATCH(1962,po_seq,0))&amp;"","")</f>
        <v/>
      </c>
      <c r="AF1967" s="66" t="str">
        <f>IF(OR(A1967="",p_po=""),"",IF(A1967&amp;""=p_po,COUNTIF($A$6:A1967,A1967),""))</f>
        <v/>
      </c>
      <c r="AG1967" s="66" t="str">
        <f>IF(OR(AB1967="",A1967=""),"",IF(COUNTIFS($A$6:A1967,A1967,$AB$6:AB1967,"&gt;0")=1,1,""))</f>
        <v/>
      </c>
      <c r="AH1967" s="70" t="str">
        <f>IF(AB1967="","",ROUND(N(W1967)*N(J1967)*(1-N(K1967)),2))</f>
        <v/>
      </c>
      <c r="AI1967" s="70" t="str">
        <f>IF(OR(J1967="",N(T1967)&lt;=0,V1967="Oui"),"",ROUND(N(T1967)*J1967*(1-N(K1967)),2))</f>
        <v/>
      </c>
    </row>
    <row r="1968">
      <c r="A1968" s="63" t="n"/>
      <c r="B1968" s="64" t="n"/>
      <c r="C1968" s="65" t="n"/>
      <c r="D1968" s="66" t="str">
        <f>IF(C1968="","",IFERROR(INDEX(sup_name,MATCH($C1968,sup_code,0))&amp;"","Fournisseur inconnu"))</f>
        <v/>
      </c>
      <c r="E1968" s="63" t="n"/>
      <c r="F1968" s="66" t="str">
        <f>IF(E1968="","",IFERROR(INDEX(art_des,MATCH($E1968,art_ref,0))&amp;"","Article inconnu"))</f>
        <v/>
      </c>
      <c r="G1968" s="67" t="str">
        <f>IF(E1968="","",IFERROR(INDEX(art_unit,MATCH($E1968,art_ref,0))&amp;"",""))</f>
        <v/>
      </c>
      <c r="H1968" s="68" t="n"/>
      <c r="I1968" s="69" t="n"/>
      <c r="J1968" s="70" t="str">
        <f>IF(E1968="","",IF(ISNUMBER(I1968),I1968,IFERROR(IF(ISNUMBER(INDEX(art_price,MATCH($E1968,art_ref,0))),INDEX(art_price,MATCH($E1968,art_ref,0)),""),"")))</f>
        <v/>
      </c>
      <c r="K1968" s="71" t="n"/>
      <c r="L1968" s="72" t="n"/>
      <c r="M1968" s="72" t="str">
        <f>IF(E1968="","",IF(L1968&lt;&gt;"",L1968,IFERROR(IF(ISNUMBER(INDEX(art_tva,MATCH($E1968,art_ref,0))),INDEX(art_tva,MATCH($E1968,art_ref,0)),""),"")))</f>
        <v/>
      </c>
      <c r="N1968" s="70" t="str">
        <f>IF(OR(E1968="",J1968=""),"",ROUND(N(H1968)*J1968*(1-N(K1968)),2))</f>
        <v/>
      </c>
      <c r="O1968" s="70" t="str">
        <f>IF(OR(N1968="",NOT(ISNUMBER(M1968))),"",ROUND(N1968*M1968,2))</f>
        <v/>
      </c>
      <c r="P1968" s="70" t="str">
        <f>IF(N1968="","",N1968+N(O1968))</f>
        <v/>
      </c>
      <c r="Q1968" s="64" t="n"/>
      <c r="R1968" s="73" t="str">
        <f>IF(N(Q1968)&gt;0,Q1968,IF(OR(N(B1968)=0,ISNA(MATCH($C1968,sup_code,0))),"",IF(ISNUMBER(INDEX(sup_delay,MATCH($C1968,sup_code,0))),B1968+INDEX(sup_delay,MATCH($C1968,sup_code,0)),"")))</f>
        <v/>
      </c>
      <c r="S1968" s="64" t="n"/>
      <c r="T1968" s="68" t="n"/>
      <c r="U1968" s="64" t="n"/>
      <c r="V1968" s="65" t="n"/>
      <c r="W1968" s="74" t="str">
        <f>IF(AND(A1968="",E1968=""),"",IF(V1968="Oui",0,MAX(0,ROUND(N(H1968)-N(T1968),6))))</f>
        <v/>
      </c>
      <c r="X1968" s="67" t="str">
        <f>IF(AND(A1968="",E1968=""),"",IF(V1968="Oui","Annulé",IF(AND(N(H1968)&gt;0,N(T1968)&gt;=N(H1968)),"Reçu",IF(N(S1968)=0,"Brouillon",IF(AND(ISNUMBER(R1968),R1968&lt;p_today),"En retard",IF(N(T1968)&gt;0,"Partiel","Envoyé"))))))</f>
        <v/>
      </c>
      <c r="Y1968" s="75" t="str">
        <f>IF(X1968="En retard",p_today-R1968,IF(AND(X1968="Reçu",ISNUMBER(R1968)),MAX(0,N(U1968)-R1968),""))</f>
        <v/>
      </c>
      <c r="Z1968" s="67" t="str">
        <f>IF(AND(A1968="",E1968=""),"",IF(A1968="","N° de bon manquant",IF(N(B1968)=0,"Date de commande manquante",IF(C1968="","Fournisseur manquant",IF(ISNA(MATCH($C1968,sup_code,0)),"Fournisseur inconnu",IF(E1968="","Article manquant",IF(ISNA(MATCH($E1968,art_ref,0)),"Article inconnu",IF(N(H1968)&lt;=0,"Quantité invalide",IF(J1968="","Prix manquant",IF(OR(N(K1968)&lt;0,N(K1968)&gt;=1),"Remise invalide",IF(M1968="","TVA manquante",IF(ISNA(MATCH(M1968,p_tva,0)),"Taux de TVA inconnu",IF(COUNTIFS(po_num,A1968,po_sup,"&lt;&gt;"&amp;C1968)&gt;0,"Fournisseur différent sur ce bon",IF(COUNTIFS(po_num,A1968,po_date,"&lt;&gt;"&amp;B1968)&gt;0,"Date différente sur ce bon",IF(COUNTIF(po_num,A1968)&gt;25,"Plus de 25 lignes sur ce bon",IF(R1968="","Date de livraison manquante",IF(R1968&lt;B1968,"Livraison avant la commande",IF(AND(N(T1968)&gt;0,N(S1968)=0),"Date d'envoi manquante",IF(N(T1968)&gt;N(H1968),"Reçu plus que commandé",IF(AND(N(T1968)&gt;0,N(U1968)=0),"Date de réception manquante",IF(AND(N(U1968)&gt;0,U1968&lt;B1968),"Réception avant la commande","OK")))))))))))))))))))))</f>
        <v/>
      </c>
      <c r="AA1968" s="66" t="str">
        <f>IF(AND(X1968="Reçu",ISNUMBER(R1968)),IF(N(U1968)&lt;=R1968,1,0),"")</f>
        <v/>
      </c>
      <c r="AB1968" s="76" t="str">
        <f>IF(OR(X1968="Envoyé",X1968="Partiel",X1968="En retard"),IF(ISNUMBER(R1968),R1968,100000)+ROW()/100000,"")</f>
        <v/>
      </c>
      <c r="AC1968" s="66" t="str">
        <f>IF(A1968="","",IF(COUNTIF($A$6:A1968,A1968)=1,1,""))</f>
        <v/>
      </c>
      <c r="AD1968" s="66" t="str">
        <f>IF(AC1968=1,COUNT($AC$6:AC1968),"")</f>
        <v/>
      </c>
      <c r="AE1968" s="66" t="str">
        <f>IFERROR(INDEX(po_num,MATCH(1963,po_seq,0))&amp;"","")</f>
        <v/>
      </c>
      <c r="AF1968" s="66" t="str">
        <f>IF(OR(A1968="",p_po=""),"",IF(A1968&amp;""=p_po,COUNTIF($A$6:A1968,A1968),""))</f>
        <v/>
      </c>
      <c r="AG1968" s="66" t="str">
        <f>IF(OR(AB1968="",A1968=""),"",IF(COUNTIFS($A$6:A1968,A1968,$AB$6:AB1968,"&gt;0")=1,1,""))</f>
        <v/>
      </c>
      <c r="AH1968" s="70" t="str">
        <f>IF(AB1968="","",ROUND(N(W1968)*N(J1968)*(1-N(K1968)),2))</f>
        <v/>
      </c>
      <c r="AI1968" s="70" t="str">
        <f>IF(OR(J1968="",N(T1968)&lt;=0,V1968="Oui"),"",ROUND(N(T1968)*J1968*(1-N(K1968)),2))</f>
        <v/>
      </c>
    </row>
    <row r="1969">
      <c r="A1969" s="63" t="n"/>
      <c r="B1969" s="64" t="n"/>
      <c r="C1969" s="65" t="n"/>
      <c r="D1969" s="66" t="str">
        <f>IF(C1969="","",IFERROR(INDEX(sup_name,MATCH($C1969,sup_code,0))&amp;"","Fournisseur inconnu"))</f>
        <v/>
      </c>
      <c r="E1969" s="63" t="n"/>
      <c r="F1969" s="66" t="str">
        <f>IF(E1969="","",IFERROR(INDEX(art_des,MATCH($E1969,art_ref,0))&amp;"","Article inconnu"))</f>
        <v/>
      </c>
      <c r="G1969" s="67" t="str">
        <f>IF(E1969="","",IFERROR(INDEX(art_unit,MATCH($E1969,art_ref,0))&amp;"",""))</f>
        <v/>
      </c>
      <c r="H1969" s="68" t="n"/>
      <c r="I1969" s="69" t="n"/>
      <c r="J1969" s="70" t="str">
        <f>IF(E1969="","",IF(ISNUMBER(I1969),I1969,IFERROR(IF(ISNUMBER(INDEX(art_price,MATCH($E1969,art_ref,0))),INDEX(art_price,MATCH($E1969,art_ref,0)),""),"")))</f>
        <v/>
      </c>
      <c r="K1969" s="71" t="n"/>
      <c r="L1969" s="72" t="n"/>
      <c r="M1969" s="72" t="str">
        <f>IF(E1969="","",IF(L1969&lt;&gt;"",L1969,IFERROR(IF(ISNUMBER(INDEX(art_tva,MATCH($E1969,art_ref,0))),INDEX(art_tva,MATCH($E1969,art_ref,0)),""),"")))</f>
        <v/>
      </c>
      <c r="N1969" s="70" t="str">
        <f>IF(OR(E1969="",J1969=""),"",ROUND(N(H1969)*J1969*(1-N(K1969)),2))</f>
        <v/>
      </c>
      <c r="O1969" s="70" t="str">
        <f>IF(OR(N1969="",NOT(ISNUMBER(M1969))),"",ROUND(N1969*M1969,2))</f>
        <v/>
      </c>
      <c r="P1969" s="70" t="str">
        <f>IF(N1969="","",N1969+N(O1969))</f>
        <v/>
      </c>
      <c r="Q1969" s="64" t="n"/>
      <c r="R1969" s="73" t="str">
        <f>IF(N(Q1969)&gt;0,Q1969,IF(OR(N(B1969)=0,ISNA(MATCH($C1969,sup_code,0))),"",IF(ISNUMBER(INDEX(sup_delay,MATCH($C1969,sup_code,0))),B1969+INDEX(sup_delay,MATCH($C1969,sup_code,0)),"")))</f>
        <v/>
      </c>
      <c r="S1969" s="64" t="n"/>
      <c r="T1969" s="68" t="n"/>
      <c r="U1969" s="64" t="n"/>
      <c r="V1969" s="65" t="n"/>
      <c r="W1969" s="74" t="str">
        <f>IF(AND(A1969="",E1969=""),"",IF(V1969="Oui",0,MAX(0,ROUND(N(H1969)-N(T1969),6))))</f>
        <v/>
      </c>
      <c r="X1969" s="67" t="str">
        <f>IF(AND(A1969="",E1969=""),"",IF(V1969="Oui","Annulé",IF(AND(N(H1969)&gt;0,N(T1969)&gt;=N(H1969)),"Reçu",IF(N(S1969)=0,"Brouillon",IF(AND(ISNUMBER(R1969),R1969&lt;p_today),"En retard",IF(N(T1969)&gt;0,"Partiel","Envoyé"))))))</f>
        <v/>
      </c>
      <c r="Y1969" s="75" t="str">
        <f>IF(X1969="En retard",p_today-R1969,IF(AND(X1969="Reçu",ISNUMBER(R1969)),MAX(0,N(U1969)-R1969),""))</f>
        <v/>
      </c>
      <c r="Z1969" s="67" t="str">
        <f>IF(AND(A1969="",E1969=""),"",IF(A1969="","N° de bon manquant",IF(N(B1969)=0,"Date de commande manquante",IF(C1969="","Fournisseur manquant",IF(ISNA(MATCH($C1969,sup_code,0)),"Fournisseur inconnu",IF(E1969="","Article manquant",IF(ISNA(MATCH($E1969,art_ref,0)),"Article inconnu",IF(N(H1969)&lt;=0,"Quantité invalide",IF(J1969="","Prix manquant",IF(OR(N(K1969)&lt;0,N(K1969)&gt;=1),"Remise invalide",IF(M1969="","TVA manquante",IF(ISNA(MATCH(M1969,p_tva,0)),"Taux de TVA inconnu",IF(COUNTIFS(po_num,A1969,po_sup,"&lt;&gt;"&amp;C1969)&gt;0,"Fournisseur différent sur ce bon",IF(COUNTIFS(po_num,A1969,po_date,"&lt;&gt;"&amp;B1969)&gt;0,"Date différente sur ce bon",IF(COUNTIF(po_num,A1969)&gt;25,"Plus de 25 lignes sur ce bon",IF(R1969="","Date de livraison manquante",IF(R1969&lt;B1969,"Livraison avant la commande",IF(AND(N(T1969)&gt;0,N(S1969)=0),"Date d'envoi manquante",IF(N(T1969)&gt;N(H1969),"Reçu plus que commandé",IF(AND(N(T1969)&gt;0,N(U1969)=0),"Date de réception manquante",IF(AND(N(U1969)&gt;0,U1969&lt;B1969),"Réception avant la commande","OK")))))))))))))))))))))</f>
        <v/>
      </c>
      <c r="AA1969" s="66" t="str">
        <f>IF(AND(X1969="Reçu",ISNUMBER(R1969)),IF(N(U1969)&lt;=R1969,1,0),"")</f>
        <v/>
      </c>
      <c r="AB1969" s="76" t="str">
        <f>IF(OR(X1969="Envoyé",X1969="Partiel",X1969="En retard"),IF(ISNUMBER(R1969),R1969,100000)+ROW()/100000,"")</f>
        <v/>
      </c>
      <c r="AC1969" s="66" t="str">
        <f>IF(A1969="","",IF(COUNTIF($A$6:A1969,A1969)=1,1,""))</f>
        <v/>
      </c>
      <c r="AD1969" s="66" t="str">
        <f>IF(AC1969=1,COUNT($AC$6:AC1969),"")</f>
        <v/>
      </c>
      <c r="AE1969" s="66" t="str">
        <f>IFERROR(INDEX(po_num,MATCH(1964,po_seq,0))&amp;"","")</f>
        <v/>
      </c>
      <c r="AF1969" s="66" t="str">
        <f>IF(OR(A1969="",p_po=""),"",IF(A1969&amp;""=p_po,COUNTIF($A$6:A1969,A1969),""))</f>
        <v/>
      </c>
      <c r="AG1969" s="66" t="str">
        <f>IF(OR(AB1969="",A1969=""),"",IF(COUNTIFS($A$6:A1969,A1969,$AB$6:AB1969,"&gt;0")=1,1,""))</f>
        <v/>
      </c>
      <c r="AH1969" s="70" t="str">
        <f>IF(AB1969="","",ROUND(N(W1969)*N(J1969)*(1-N(K1969)),2))</f>
        <v/>
      </c>
      <c r="AI1969" s="70" t="str">
        <f>IF(OR(J1969="",N(T1969)&lt;=0,V1969="Oui"),"",ROUND(N(T1969)*J1969*(1-N(K1969)),2))</f>
        <v/>
      </c>
    </row>
    <row r="1970">
      <c r="A1970" s="63" t="n"/>
      <c r="B1970" s="64" t="n"/>
      <c r="C1970" s="65" t="n"/>
      <c r="D1970" s="66" t="str">
        <f>IF(C1970="","",IFERROR(INDEX(sup_name,MATCH($C1970,sup_code,0))&amp;"","Fournisseur inconnu"))</f>
        <v/>
      </c>
      <c r="E1970" s="63" t="n"/>
      <c r="F1970" s="66" t="str">
        <f>IF(E1970="","",IFERROR(INDEX(art_des,MATCH($E1970,art_ref,0))&amp;"","Article inconnu"))</f>
        <v/>
      </c>
      <c r="G1970" s="67" t="str">
        <f>IF(E1970="","",IFERROR(INDEX(art_unit,MATCH($E1970,art_ref,0))&amp;"",""))</f>
        <v/>
      </c>
      <c r="H1970" s="68" t="n"/>
      <c r="I1970" s="69" t="n"/>
      <c r="J1970" s="70" t="str">
        <f>IF(E1970="","",IF(ISNUMBER(I1970),I1970,IFERROR(IF(ISNUMBER(INDEX(art_price,MATCH($E1970,art_ref,0))),INDEX(art_price,MATCH($E1970,art_ref,0)),""),"")))</f>
        <v/>
      </c>
      <c r="K1970" s="71" t="n"/>
      <c r="L1970" s="72" t="n"/>
      <c r="M1970" s="72" t="str">
        <f>IF(E1970="","",IF(L1970&lt;&gt;"",L1970,IFERROR(IF(ISNUMBER(INDEX(art_tva,MATCH($E1970,art_ref,0))),INDEX(art_tva,MATCH($E1970,art_ref,0)),""),"")))</f>
        <v/>
      </c>
      <c r="N1970" s="70" t="str">
        <f>IF(OR(E1970="",J1970=""),"",ROUND(N(H1970)*J1970*(1-N(K1970)),2))</f>
        <v/>
      </c>
      <c r="O1970" s="70" t="str">
        <f>IF(OR(N1970="",NOT(ISNUMBER(M1970))),"",ROUND(N1970*M1970,2))</f>
        <v/>
      </c>
      <c r="P1970" s="70" t="str">
        <f>IF(N1970="","",N1970+N(O1970))</f>
        <v/>
      </c>
      <c r="Q1970" s="64" t="n"/>
      <c r="R1970" s="73" t="str">
        <f>IF(N(Q1970)&gt;0,Q1970,IF(OR(N(B1970)=0,ISNA(MATCH($C1970,sup_code,0))),"",IF(ISNUMBER(INDEX(sup_delay,MATCH($C1970,sup_code,0))),B1970+INDEX(sup_delay,MATCH($C1970,sup_code,0)),"")))</f>
        <v/>
      </c>
      <c r="S1970" s="64" t="n"/>
      <c r="T1970" s="68" t="n"/>
      <c r="U1970" s="64" t="n"/>
      <c r="V1970" s="65" t="n"/>
      <c r="W1970" s="74" t="str">
        <f>IF(AND(A1970="",E1970=""),"",IF(V1970="Oui",0,MAX(0,ROUND(N(H1970)-N(T1970),6))))</f>
        <v/>
      </c>
      <c r="X1970" s="67" t="str">
        <f>IF(AND(A1970="",E1970=""),"",IF(V1970="Oui","Annulé",IF(AND(N(H1970)&gt;0,N(T1970)&gt;=N(H1970)),"Reçu",IF(N(S1970)=0,"Brouillon",IF(AND(ISNUMBER(R1970),R1970&lt;p_today),"En retard",IF(N(T1970)&gt;0,"Partiel","Envoyé"))))))</f>
        <v/>
      </c>
      <c r="Y1970" s="75" t="str">
        <f>IF(X1970="En retard",p_today-R1970,IF(AND(X1970="Reçu",ISNUMBER(R1970)),MAX(0,N(U1970)-R1970),""))</f>
        <v/>
      </c>
      <c r="Z1970" s="67" t="str">
        <f>IF(AND(A1970="",E1970=""),"",IF(A1970="","N° de bon manquant",IF(N(B1970)=0,"Date de commande manquante",IF(C1970="","Fournisseur manquant",IF(ISNA(MATCH($C1970,sup_code,0)),"Fournisseur inconnu",IF(E1970="","Article manquant",IF(ISNA(MATCH($E1970,art_ref,0)),"Article inconnu",IF(N(H1970)&lt;=0,"Quantité invalide",IF(J1970="","Prix manquant",IF(OR(N(K1970)&lt;0,N(K1970)&gt;=1),"Remise invalide",IF(M1970="","TVA manquante",IF(ISNA(MATCH(M1970,p_tva,0)),"Taux de TVA inconnu",IF(COUNTIFS(po_num,A1970,po_sup,"&lt;&gt;"&amp;C1970)&gt;0,"Fournisseur différent sur ce bon",IF(COUNTIFS(po_num,A1970,po_date,"&lt;&gt;"&amp;B1970)&gt;0,"Date différente sur ce bon",IF(COUNTIF(po_num,A1970)&gt;25,"Plus de 25 lignes sur ce bon",IF(R1970="","Date de livraison manquante",IF(R1970&lt;B1970,"Livraison avant la commande",IF(AND(N(T1970)&gt;0,N(S1970)=0),"Date d'envoi manquante",IF(N(T1970)&gt;N(H1970),"Reçu plus que commandé",IF(AND(N(T1970)&gt;0,N(U1970)=0),"Date de réception manquante",IF(AND(N(U1970)&gt;0,U1970&lt;B1970),"Réception avant la commande","OK")))))))))))))))))))))</f>
        <v/>
      </c>
      <c r="AA1970" s="66" t="str">
        <f>IF(AND(X1970="Reçu",ISNUMBER(R1970)),IF(N(U1970)&lt;=R1970,1,0),"")</f>
        <v/>
      </c>
      <c r="AB1970" s="76" t="str">
        <f>IF(OR(X1970="Envoyé",X1970="Partiel",X1970="En retard"),IF(ISNUMBER(R1970),R1970,100000)+ROW()/100000,"")</f>
        <v/>
      </c>
      <c r="AC1970" s="66" t="str">
        <f>IF(A1970="","",IF(COUNTIF($A$6:A1970,A1970)=1,1,""))</f>
        <v/>
      </c>
      <c r="AD1970" s="66" t="str">
        <f>IF(AC1970=1,COUNT($AC$6:AC1970),"")</f>
        <v/>
      </c>
      <c r="AE1970" s="66" t="str">
        <f>IFERROR(INDEX(po_num,MATCH(1965,po_seq,0))&amp;"","")</f>
        <v/>
      </c>
      <c r="AF1970" s="66" t="str">
        <f>IF(OR(A1970="",p_po=""),"",IF(A1970&amp;""=p_po,COUNTIF($A$6:A1970,A1970),""))</f>
        <v/>
      </c>
      <c r="AG1970" s="66" t="str">
        <f>IF(OR(AB1970="",A1970=""),"",IF(COUNTIFS($A$6:A1970,A1970,$AB$6:AB1970,"&gt;0")=1,1,""))</f>
        <v/>
      </c>
      <c r="AH1970" s="70" t="str">
        <f>IF(AB1970="","",ROUND(N(W1970)*N(J1970)*(1-N(K1970)),2))</f>
        <v/>
      </c>
      <c r="AI1970" s="70" t="str">
        <f>IF(OR(J1970="",N(T1970)&lt;=0,V1970="Oui"),"",ROUND(N(T1970)*J1970*(1-N(K1970)),2))</f>
        <v/>
      </c>
    </row>
    <row r="1971">
      <c r="A1971" s="63" t="n"/>
      <c r="B1971" s="64" t="n"/>
      <c r="C1971" s="65" t="n"/>
      <c r="D1971" s="66" t="str">
        <f>IF(C1971="","",IFERROR(INDEX(sup_name,MATCH($C1971,sup_code,0))&amp;"","Fournisseur inconnu"))</f>
        <v/>
      </c>
      <c r="E1971" s="63" t="n"/>
      <c r="F1971" s="66" t="str">
        <f>IF(E1971="","",IFERROR(INDEX(art_des,MATCH($E1971,art_ref,0))&amp;"","Article inconnu"))</f>
        <v/>
      </c>
      <c r="G1971" s="67" t="str">
        <f>IF(E1971="","",IFERROR(INDEX(art_unit,MATCH($E1971,art_ref,0))&amp;"",""))</f>
        <v/>
      </c>
      <c r="H1971" s="68" t="n"/>
      <c r="I1971" s="69" t="n"/>
      <c r="J1971" s="70" t="str">
        <f>IF(E1971="","",IF(ISNUMBER(I1971),I1971,IFERROR(IF(ISNUMBER(INDEX(art_price,MATCH($E1971,art_ref,0))),INDEX(art_price,MATCH($E1971,art_ref,0)),""),"")))</f>
        <v/>
      </c>
      <c r="K1971" s="71" t="n"/>
      <c r="L1971" s="72" t="n"/>
      <c r="M1971" s="72" t="str">
        <f>IF(E1971="","",IF(L1971&lt;&gt;"",L1971,IFERROR(IF(ISNUMBER(INDEX(art_tva,MATCH($E1971,art_ref,0))),INDEX(art_tva,MATCH($E1971,art_ref,0)),""),"")))</f>
        <v/>
      </c>
      <c r="N1971" s="70" t="str">
        <f>IF(OR(E1971="",J1971=""),"",ROUND(N(H1971)*J1971*(1-N(K1971)),2))</f>
        <v/>
      </c>
      <c r="O1971" s="70" t="str">
        <f>IF(OR(N1971="",NOT(ISNUMBER(M1971))),"",ROUND(N1971*M1971,2))</f>
        <v/>
      </c>
      <c r="P1971" s="70" t="str">
        <f>IF(N1971="","",N1971+N(O1971))</f>
        <v/>
      </c>
      <c r="Q1971" s="64" t="n"/>
      <c r="R1971" s="73" t="str">
        <f>IF(N(Q1971)&gt;0,Q1971,IF(OR(N(B1971)=0,ISNA(MATCH($C1971,sup_code,0))),"",IF(ISNUMBER(INDEX(sup_delay,MATCH($C1971,sup_code,0))),B1971+INDEX(sup_delay,MATCH($C1971,sup_code,0)),"")))</f>
        <v/>
      </c>
      <c r="S1971" s="64" t="n"/>
      <c r="T1971" s="68" t="n"/>
      <c r="U1971" s="64" t="n"/>
      <c r="V1971" s="65" t="n"/>
      <c r="W1971" s="74" t="str">
        <f>IF(AND(A1971="",E1971=""),"",IF(V1971="Oui",0,MAX(0,ROUND(N(H1971)-N(T1971),6))))</f>
        <v/>
      </c>
      <c r="X1971" s="67" t="str">
        <f>IF(AND(A1971="",E1971=""),"",IF(V1971="Oui","Annulé",IF(AND(N(H1971)&gt;0,N(T1971)&gt;=N(H1971)),"Reçu",IF(N(S1971)=0,"Brouillon",IF(AND(ISNUMBER(R1971),R1971&lt;p_today),"En retard",IF(N(T1971)&gt;0,"Partiel","Envoyé"))))))</f>
        <v/>
      </c>
      <c r="Y1971" s="75" t="str">
        <f>IF(X1971="En retard",p_today-R1971,IF(AND(X1971="Reçu",ISNUMBER(R1971)),MAX(0,N(U1971)-R1971),""))</f>
        <v/>
      </c>
      <c r="Z1971" s="67" t="str">
        <f>IF(AND(A1971="",E1971=""),"",IF(A1971="","N° de bon manquant",IF(N(B1971)=0,"Date de commande manquante",IF(C1971="","Fournisseur manquant",IF(ISNA(MATCH($C1971,sup_code,0)),"Fournisseur inconnu",IF(E1971="","Article manquant",IF(ISNA(MATCH($E1971,art_ref,0)),"Article inconnu",IF(N(H1971)&lt;=0,"Quantité invalide",IF(J1971="","Prix manquant",IF(OR(N(K1971)&lt;0,N(K1971)&gt;=1),"Remise invalide",IF(M1971="","TVA manquante",IF(ISNA(MATCH(M1971,p_tva,0)),"Taux de TVA inconnu",IF(COUNTIFS(po_num,A1971,po_sup,"&lt;&gt;"&amp;C1971)&gt;0,"Fournisseur différent sur ce bon",IF(COUNTIFS(po_num,A1971,po_date,"&lt;&gt;"&amp;B1971)&gt;0,"Date différente sur ce bon",IF(COUNTIF(po_num,A1971)&gt;25,"Plus de 25 lignes sur ce bon",IF(R1971="","Date de livraison manquante",IF(R1971&lt;B1971,"Livraison avant la commande",IF(AND(N(T1971)&gt;0,N(S1971)=0),"Date d'envoi manquante",IF(N(T1971)&gt;N(H1971),"Reçu plus que commandé",IF(AND(N(T1971)&gt;0,N(U1971)=0),"Date de réception manquante",IF(AND(N(U1971)&gt;0,U1971&lt;B1971),"Réception avant la commande","OK")))))))))))))))))))))</f>
        <v/>
      </c>
      <c r="AA1971" s="66" t="str">
        <f>IF(AND(X1971="Reçu",ISNUMBER(R1971)),IF(N(U1971)&lt;=R1971,1,0),"")</f>
        <v/>
      </c>
      <c r="AB1971" s="76" t="str">
        <f>IF(OR(X1971="Envoyé",X1971="Partiel",X1971="En retard"),IF(ISNUMBER(R1971),R1971,100000)+ROW()/100000,"")</f>
        <v/>
      </c>
      <c r="AC1971" s="66" t="str">
        <f>IF(A1971="","",IF(COUNTIF($A$6:A1971,A1971)=1,1,""))</f>
        <v/>
      </c>
      <c r="AD1971" s="66" t="str">
        <f>IF(AC1971=1,COUNT($AC$6:AC1971),"")</f>
        <v/>
      </c>
      <c r="AE1971" s="66" t="str">
        <f>IFERROR(INDEX(po_num,MATCH(1966,po_seq,0))&amp;"","")</f>
        <v/>
      </c>
      <c r="AF1971" s="66" t="str">
        <f>IF(OR(A1971="",p_po=""),"",IF(A1971&amp;""=p_po,COUNTIF($A$6:A1971,A1971),""))</f>
        <v/>
      </c>
      <c r="AG1971" s="66" t="str">
        <f>IF(OR(AB1971="",A1971=""),"",IF(COUNTIFS($A$6:A1971,A1971,$AB$6:AB1971,"&gt;0")=1,1,""))</f>
        <v/>
      </c>
      <c r="AH1971" s="70" t="str">
        <f>IF(AB1971="","",ROUND(N(W1971)*N(J1971)*(1-N(K1971)),2))</f>
        <v/>
      </c>
      <c r="AI1971" s="70" t="str">
        <f>IF(OR(J1971="",N(T1971)&lt;=0,V1971="Oui"),"",ROUND(N(T1971)*J1971*(1-N(K1971)),2))</f>
        <v/>
      </c>
    </row>
    <row r="1972">
      <c r="A1972" s="63" t="n"/>
      <c r="B1972" s="64" t="n"/>
      <c r="C1972" s="65" t="n"/>
      <c r="D1972" s="66" t="str">
        <f>IF(C1972="","",IFERROR(INDEX(sup_name,MATCH($C1972,sup_code,0))&amp;"","Fournisseur inconnu"))</f>
        <v/>
      </c>
      <c r="E1972" s="63" t="n"/>
      <c r="F1972" s="66" t="str">
        <f>IF(E1972="","",IFERROR(INDEX(art_des,MATCH($E1972,art_ref,0))&amp;"","Article inconnu"))</f>
        <v/>
      </c>
      <c r="G1972" s="67" t="str">
        <f>IF(E1972="","",IFERROR(INDEX(art_unit,MATCH($E1972,art_ref,0))&amp;"",""))</f>
        <v/>
      </c>
      <c r="H1972" s="68" t="n"/>
      <c r="I1972" s="69" t="n"/>
      <c r="J1972" s="70" t="str">
        <f>IF(E1972="","",IF(ISNUMBER(I1972),I1972,IFERROR(IF(ISNUMBER(INDEX(art_price,MATCH($E1972,art_ref,0))),INDEX(art_price,MATCH($E1972,art_ref,0)),""),"")))</f>
        <v/>
      </c>
      <c r="K1972" s="71" t="n"/>
      <c r="L1972" s="72" t="n"/>
      <c r="M1972" s="72" t="str">
        <f>IF(E1972="","",IF(L1972&lt;&gt;"",L1972,IFERROR(IF(ISNUMBER(INDEX(art_tva,MATCH($E1972,art_ref,0))),INDEX(art_tva,MATCH($E1972,art_ref,0)),""),"")))</f>
        <v/>
      </c>
      <c r="N1972" s="70" t="str">
        <f>IF(OR(E1972="",J1972=""),"",ROUND(N(H1972)*J1972*(1-N(K1972)),2))</f>
        <v/>
      </c>
      <c r="O1972" s="70" t="str">
        <f>IF(OR(N1972="",NOT(ISNUMBER(M1972))),"",ROUND(N1972*M1972,2))</f>
        <v/>
      </c>
      <c r="P1972" s="70" t="str">
        <f>IF(N1972="","",N1972+N(O1972))</f>
        <v/>
      </c>
      <c r="Q1972" s="64" t="n"/>
      <c r="R1972" s="73" t="str">
        <f>IF(N(Q1972)&gt;0,Q1972,IF(OR(N(B1972)=0,ISNA(MATCH($C1972,sup_code,0))),"",IF(ISNUMBER(INDEX(sup_delay,MATCH($C1972,sup_code,0))),B1972+INDEX(sup_delay,MATCH($C1972,sup_code,0)),"")))</f>
        <v/>
      </c>
      <c r="S1972" s="64" t="n"/>
      <c r="T1972" s="68" t="n"/>
      <c r="U1972" s="64" t="n"/>
      <c r="V1972" s="65" t="n"/>
      <c r="W1972" s="74" t="str">
        <f>IF(AND(A1972="",E1972=""),"",IF(V1972="Oui",0,MAX(0,ROUND(N(H1972)-N(T1972),6))))</f>
        <v/>
      </c>
      <c r="X1972" s="67" t="str">
        <f>IF(AND(A1972="",E1972=""),"",IF(V1972="Oui","Annulé",IF(AND(N(H1972)&gt;0,N(T1972)&gt;=N(H1972)),"Reçu",IF(N(S1972)=0,"Brouillon",IF(AND(ISNUMBER(R1972),R1972&lt;p_today),"En retard",IF(N(T1972)&gt;0,"Partiel","Envoyé"))))))</f>
        <v/>
      </c>
      <c r="Y1972" s="75" t="str">
        <f>IF(X1972="En retard",p_today-R1972,IF(AND(X1972="Reçu",ISNUMBER(R1972)),MAX(0,N(U1972)-R1972),""))</f>
        <v/>
      </c>
      <c r="Z1972" s="67" t="str">
        <f>IF(AND(A1972="",E1972=""),"",IF(A1972="","N° de bon manquant",IF(N(B1972)=0,"Date de commande manquante",IF(C1972="","Fournisseur manquant",IF(ISNA(MATCH($C1972,sup_code,0)),"Fournisseur inconnu",IF(E1972="","Article manquant",IF(ISNA(MATCH($E1972,art_ref,0)),"Article inconnu",IF(N(H1972)&lt;=0,"Quantité invalide",IF(J1972="","Prix manquant",IF(OR(N(K1972)&lt;0,N(K1972)&gt;=1),"Remise invalide",IF(M1972="","TVA manquante",IF(ISNA(MATCH(M1972,p_tva,0)),"Taux de TVA inconnu",IF(COUNTIFS(po_num,A1972,po_sup,"&lt;&gt;"&amp;C1972)&gt;0,"Fournisseur différent sur ce bon",IF(COUNTIFS(po_num,A1972,po_date,"&lt;&gt;"&amp;B1972)&gt;0,"Date différente sur ce bon",IF(COUNTIF(po_num,A1972)&gt;25,"Plus de 25 lignes sur ce bon",IF(R1972="","Date de livraison manquante",IF(R1972&lt;B1972,"Livraison avant la commande",IF(AND(N(T1972)&gt;0,N(S1972)=0),"Date d'envoi manquante",IF(N(T1972)&gt;N(H1972),"Reçu plus que commandé",IF(AND(N(T1972)&gt;0,N(U1972)=0),"Date de réception manquante",IF(AND(N(U1972)&gt;0,U1972&lt;B1972),"Réception avant la commande","OK")))))))))))))))))))))</f>
        <v/>
      </c>
      <c r="AA1972" s="66" t="str">
        <f>IF(AND(X1972="Reçu",ISNUMBER(R1972)),IF(N(U1972)&lt;=R1972,1,0),"")</f>
        <v/>
      </c>
      <c r="AB1972" s="76" t="str">
        <f>IF(OR(X1972="Envoyé",X1972="Partiel",X1972="En retard"),IF(ISNUMBER(R1972),R1972,100000)+ROW()/100000,"")</f>
        <v/>
      </c>
      <c r="AC1972" s="66" t="str">
        <f>IF(A1972="","",IF(COUNTIF($A$6:A1972,A1972)=1,1,""))</f>
        <v/>
      </c>
      <c r="AD1972" s="66" t="str">
        <f>IF(AC1972=1,COUNT($AC$6:AC1972),"")</f>
        <v/>
      </c>
      <c r="AE1972" s="66" t="str">
        <f>IFERROR(INDEX(po_num,MATCH(1967,po_seq,0))&amp;"","")</f>
        <v/>
      </c>
      <c r="AF1972" s="66" t="str">
        <f>IF(OR(A1972="",p_po=""),"",IF(A1972&amp;""=p_po,COUNTIF($A$6:A1972,A1972),""))</f>
        <v/>
      </c>
      <c r="AG1972" s="66" t="str">
        <f>IF(OR(AB1972="",A1972=""),"",IF(COUNTIFS($A$6:A1972,A1972,$AB$6:AB1972,"&gt;0")=1,1,""))</f>
        <v/>
      </c>
      <c r="AH1972" s="70" t="str">
        <f>IF(AB1972="","",ROUND(N(W1972)*N(J1972)*(1-N(K1972)),2))</f>
        <v/>
      </c>
      <c r="AI1972" s="70" t="str">
        <f>IF(OR(J1972="",N(T1972)&lt;=0,V1972="Oui"),"",ROUND(N(T1972)*J1972*(1-N(K1972)),2))</f>
        <v/>
      </c>
    </row>
    <row r="1973">
      <c r="A1973" s="63" t="n"/>
      <c r="B1973" s="64" t="n"/>
      <c r="C1973" s="65" t="n"/>
      <c r="D1973" s="66" t="str">
        <f>IF(C1973="","",IFERROR(INDEX(sup_name,MATCH($C1973,sup_code,0))&amp;"","Fournisseur inconnu"))</f>
        <v/>
      </c>
      <c r="E1973" s="63" t="n"/>
      <c r="F1973" s="66" t="str">
        <f>IF(E1973="","",IFERROR(INDEX(art_des,MATCH($E1973,art_ref,0))&amp;"","Article inconnu"))</f>
        <v/>
      </c>
      <c r="G1973" s="67" t="str">
        <f>IF(E1973="","",IFERROR(INDEX(art_unit,MATCH($E1973,art_ref,0))&amp;"",""))</f>
        <v/>
      </c>
      <c r="H1973" s="68" t="n"/>
      <c r="I1973" s="69" t="n"/>
      <c r="J1973" s="70" t="str">
        <f>IF(E1973="","",IF(ISNUMBER(I1973),I1973,IFERROR(IF(ISNUMBER(INDEX(art_price,MATCH($E1973,art_ref,0))),INDEX(art_price,MATCH($E1973,art_ref,0)),""),"")))</f>
        <v/>
      </c>
      <c r="K1973" s="71" t="n"/>
      <c r="L1973" s="72" t="n"/>
      <c r="M1973" s="72" t="str">
        <f>IF(E1973="","",IF(L1973&lt;&gt;"",L1973,IFERROR(IF(ISNUMBER(INDEX(art_tva,MATCH($E1973,art_ref,0))),INDEX(art_tva,MATCH($E1973,art_ref,0)),""),"")))</f>
        <v/>
      </c>
      <c r="N1973" s="70" t="str">
        <f>IF(OR(E1973="",J1973=""),"",ROUND(N(H1973)*J1973*(1-N(K1973)),2))</f>
        <v/>
      </c>
      <c r="O1973" s="70" t="str">
        <f>IF(OR(N1973="",NOT(ISNUMBER(M1973))),"",ROUND(N1973*M1973,2))</f>
        <v/>
      </c>
      <c r="P1973" s="70" t="str">
        <f>IF(N1973="","",N1973+N(O1973))</f>
        <v/>
      </c>
      <c r="Q1973" s="64" t="n"/>
      <c r="R1973" s="73" t="str">
        <f>IF(N(Q1973)&gt;0,Q1973,IF(OR(N(B1973)=0,ISNA(MATCH($C1973,sup_code,0))),"",IF(ISNUMBER(INDEX(sup_delay,MATCH($C1973,sup_code,0))),B1973+INDEX(sup_delay,MATCH($C1973,sup_code,0)),"")))</f>
        <v/>
      </c>
      <c r="S1973" s="64" t="n"/>
      <c r="T1973" s="68" t="n"/>
      <c r="U1973" s="64" t="n"/>
      <c r="V1973" s="65" t="n"/>
      <c r="W1973" s="74" t="str">
        <f>IF(AND(A1973="",E1973=""),"",IF(V1973="Oui",0,MAX(0,ROUND(N(H1973)-N(T1973),6))))</f>
        <v/>
      </c>
      <c r="X1973" s="67" t="str">
        <f>IF(AND(A1973="",E1973=""),"",IF(V1973="Oui","Annulé",IF(AND(N(H1973)&gt;0,N(T1973)&gt;=N(H1973)),"Reçu",IF(N(S1973)=0,"Brouillon",IF(AND(ISNUMBER(R1973),R1973&lt;p_today),"En retard",IF(N(T1973)&gt;0,"Partiel","Envoyé"))))))</f>
        <v/>
      </c>
      <c r="Y1973" s="75" t="str">
        <f>IF(X1973="En retard",p_today-R1973,IF(AND(X1973="Reçu",ISNUMBER(R1973)),MAX(0,N(U1973)-R1973),""))</f>
        <v/>
      </c>
      <c r="Z1973" s="67" t="str">
        <f>IF(AND(A1973="",E1973=""),"",IF(A1973="","N° de bon manquant",IF(N(B1973)=0,"Date de commande manquante",IF(C1973="","Fournisseur manquant",IF(ISNA(MATCH($C1973,sup_code,0)),"Fournisseur inconnu",IF(E1973="","Article manquant",IF(ISNA(MATCH($E1973,art_ref,0)),"Article inconnu",IF(N(H1973)&lt;=0,"Quantité invalide",IF(J1973="","Prix manquant",IF(OR(N(K1973)&lt;0,N(K1973)&gt;=1),"Remise invalide",IF(M1973="","TVA manquante",IF(ISNA(MATCH(M1973,p_tva,0)),"Taux de TVA inconnu",IF(COUNTIFS(po_num,A1973,po_sup,"&lt;&gt;"&amp;C1973)&gt;0,"Fournisseur différent sur ce bon",IF(COUNTIFS(po_num,A1973,po_date,"&lt;&gt;"&amp;B1973)&gt;0,"Date différente sur ce bon",IF(COUNTIF(po_num,A1973)&gt;25,"Plus de 25 lignes sur ce bon",IF(R1973="","Date de livraison manquante",IF(R1973&lt;B1973,"Livraison avant la commande",IF(AND(N(T1973)&gt;0,N(S1973)=0),"Date d'envoi manquante",IF(N(T1973)&gt;N(H1973),"Reçu plus que commandé",IF(AND(N(T1973)&gt;0,N(U1973)=0),"Date de réception manquante",IF(AND(N(U1973)&gt;0,U1973&lt;B1973),"Réception avant la commande","OK")))))))))))))))))))))</f>
        <v/>
      </c>
      <c r="AA1973" s="66" t="str">
        <f>IF(AND(X1973="Reçu",ISNUMBER(R1973)),IF(N(U1973)&lt;=R1973,1,0),"")</f>
        <v/>
      </c>
      <c r="AB1973" s="76" t="str">
        <f>IF(OR(X1973="Envoyé",X1973="Partiel",X1973="En retard"),IF(ISNUMBER(R1973),R1973,100000)+ROW()/100000,"")</f>
        <v/>
      </c>
      <c r="AC1973" s="66" t="str">
        <f>IF(A1973="","",IF(COUNTIF($A$6:A1973,A1973)=1,1,""))</f>
        <v/>
      </c>
      <c r="AD1973" s="66" t="str">
        <f>IF(AC1973=1,COUNT($AC$6:AC1973),"")</f>
        <v/>
      </c>
      <c r="AE1973" s="66" t="str">
        <f>IFERROR(INDEX(po_num,MATCH(1968,po_seq,0))&amp;"","")</f>
        <v/>
      </c>
      <c r="AF1973" s="66" t="str">
        <f>IF(OR(A1973="",p_po=""),"",IF(A1973&amp;""=p_po,COUNTIF($A$6:A1973,A1973),""))</f>
        <v/>
      </c>
      <c r="AG1973" s="66" t="str">
        <f>IF(OR(AB1973="",A1973=""),"",IF(COUNTIFS($A$6:A1973,A1973,$AB$6:AB1973,"&gt;0")=1,1,""))</f>
        <v/>
      </c>
      <c r="AH1973" s="70" t="str">
        <f>IF(AB1973="","",ROUND(N(W1973)*N(J1973)*(1-N(K1973)),2))</f>
        <v/>
      </c>
      <c r="AI1973" s="70" t="str">
        <f>IF(OR(J1973="",N(T1973)&lt;=0,V1973="Oui"),"",ROUND(N(T1973)*J1973*(1-N(K1973)),2))</f>
        <v/>
      </c>
    </row>
    <row r="1974">
      <c r="A1974" s="63" t="n"/>
      <c r="B1974" s="64" t="n"/>
      <c r="C1974" s="65" t="n"/>
      <c r="D1974" s="66" t="str">
        <f>IF(C1974="","",IFERROR(INDEX(sup_name,MATCH($C1974,sup_code,0))&amp;"","Fournisseur inconnu"))</f>
        <v/>
      </c>
      <c r="E1974" s="63" t="n"/>
      <c r="F1974" s="66" t="str">
        <f>IF(E1974="","",IFERROR(INDEX(art_des,MATCH($E1974,art_ref,0))&amp;"","Article inconnu"))</f>
        <v/>
      </c>
      <c r="G1974" s="67" t="str">
        <f>IF(E1974="","",IFERROR(INDEX(art_unit,MATCH($E1974,art_ref,0))&amp;"",""))</f>
        <v/>
      </c>
      <c r="H1974" s="68" t="n"/>
      <c r="I1974" s="69" t="n"/>
      <c r="J1974" s="70" t="str">
        <f>IF(E1974="","",IF(ISNUMBER(I1974),I1974,IFERROR(IF(ISNUMBER(INDEX(art_price,MATCH($E1974,art_ref,0))),INDEX(art_price,MATCH($E1974,art_ref,0)),""),"")))</f>
        <v/>
      </c>
      <c r="K1974" s="71" t="n"/>
      <c r="L1974" s="72" t="n"/>
      <c r="M1974" s="72" t="str">
        <f>IF(E1974="","",IF(L1974&lt;&gt;"",L1974,IFERROR(IF(ISNUMBER(INDEX(art_tva,MATCH($E1974,art_ref,0))),INDEX(art_tva,MATCH($E1974,art_ref,0)),""),"")))</f>
        <v/>
      </c>
      <c r="N1974" s="70" t="str">
        <f>IF(OR(E1974="",J1974=""),"",ROUND(N(H1974)*J1974*(1-N(K1974)),2))</f>
        <v/>
      </c>
      <c r="O1974" s="70" t="str">
        <f>IF(OR(N1974="",NOT(ISNUMBER(M1974))),"",ROUND(N1974*M1974,2))</f>
        <v/>
      </c>
      <c r="P1974" s="70" t="str">
        <f>IF(N1974="","",N1974+N(O1974))</f>
        <v/>
      </c>
      <c r="Q1974" s="64" t="n"/>
      <c r="R1974" s="73" t="str">
        <f>IF(N(Q1974)&gt;0,Q1974,IF(OR(N(B1974)=0,ISNA(MATCH($C1974,sup_code,0))),"",IF(ISNUMBER(INDEX(sup_delay,MATCH($C1974,sup_code,0))),B1974+INDEX(sup_delay,MATCH($C1974,sup_code,0)),"")))</f>
        <v/>
      </c>
      <c r="S1974" s="64" t="n"/>
      <c r="T1974" s="68" t="n"/>
      <c r="U1974" s="64" t="n"/>
      <c r="V1974" s="65" t="n"/>
      <c r="W1974" s="74" t="str">
        <f>IF(AND(A1974="",E1974=""),"",IF(V1974="Oui",0,MAX(0,ROUND(N(H1974)-N(T1974),6))))</f>
        <v/>
      </c>
      <c r="X1974" s="67" t="str">
        <f>IF(AND(A1974="",E1974=""),"",IF(V1974="Oui","Annulé",IF(AND(N(H1974)&gt;0,N(T1974)&gt;=N(H1974)),"Reçu",IF(N(S1974)=0,"Brouillon",IF(AND(ISNUMBER(R1974),R1974&lt;p_today),"En retard",IF(N(T1974)&gt;0,"Partiel","Envoyé"))))))</f>
        <v/>
      </c>
      <c r="Y1974" s="75" t="str">
        <f>IF(X1974="En retard",p_today-R1974,IF(AND(X1974="Reçu",ISNUMBER(R1974)),MAX(0,N(U1974)-R1974),""))</f>
        <v/>
      </c>
      <c r="Z1974" s="67" t="str">
        <f>IF(AND(A1974="",E1974=""),"",IF(A1974="","N° de bon manquant",IF(N(B1974)=0,"Date de commande manquante",IF(C1974="","Fournisseur manquant",IF(ISNA(MATCH($C1974,sup_code,0)),"Fournisseur inconnu",IF(E1974="","Article manquant",IF(ISNA(MATCH($E1974,art_ref,0)),"Article inconnu",IF(N(H1974)&lt;=0,"Quantité invalide",IF(J1974="","Prix manquant",IF(OR(N(K1974)&lt;0,N(K1974)&gt;=1),"Remise invalide",IF(M1974="","TVA manquante",IF(ISNA(MATCH(M1974,p_tva,0)),"Taux de TVA inconnu",IF(COUNTIFS(po_num,A1974,po_sup,"&lt;&gt;"&amp;C1974)&gt;0,"Fournisseur différent sur ce bon",IF(COUNTIFS(po_num,A1974,po_date,"&lt;&gt;"&amp;B1974)&gt;0,"Date différente sur ce bon",IF(COUNTIF(po_num,A1974)&gt;25,"Plus de 25 lignes sur ce bon",IF(R1974="","Date de livraison manquante",IF(R1974&lt;B1974,"Livraison avant la commande",IF(AND(N(T1974)&gt;0,N(S1974)=0),"Date d'envoi manquante",IF(N(T1974)&gt;N(H1974),"Reçu plus que commandé",IF(AND(N(T1974)&gt;0,N(U1974)=0),"Date de réception manquante",IF(AND(N(U1974)&gt;0,U1974&lt;B1974),"Réception avant la commande","OK")))))))))))))))))))))</f>
        <v/>
      </c>
      <c r="AA1974" s="66" t="str">
        <f>IF(AND(X1974="Reçu",ISNUMBER(R1974)),IF(N(U1974)&lt;=R1974,1,0),"")</f>
        <v/>
      </c>
      <c r="AB1974" s="76" t="str">
        <f>IF(OR(X1974="Envoyé",X1974="Partiel",X1974="En retard"),IF(ISNUMBER(R1974),R1974,100000)+ROW()/100000,"")</f>
        <v/>
      </c>
      <c r="AC1974" s="66" t="str">
        <f>IF(A1974="","",IF(COUNTIF($A$6:A1974,A1974)=1,1,""))</f>
        <v/>
      </c>
      <c r="AD1974" s="66" t="str">
        <f>IF(AC1974=1,COUNT($AC$6:AC1974),"")</f>
        <v/>
      </c>
      <c r="AE1974" s="66" t="str">
        <f>IFERROR(INDEX(po_num,MATCH(1969,po_seq,0))&amp;"","")</f>
        <v/>
      </c>
      <c r="AF1974" s="66" t="str">
        <f>IF(OR(A1974="",p_po=""),"",IF(A1974&amp;""=p_po,COUNTIF($A$6:A1974,A1974),""))</f>
        <v/>
      </c>
      <c r="AG1974" s="66" t="str">
        <f>IF(OR(AB1974="",A1974=""),"",IF(COUNTIFS($A$6:A1974,A1974,$AB$6:AB1974,"&gt;0")=1,1,""))</f>
        <v/>
      </c>
      <c r="AH1974" s="70" t="str">
        <f>IF(AB1974="","",ROUND(N(W1974)*N(J1974)*(1-N(K1974)),2))</f>
        <v/>
      </c>
      <c r="AI1974" s="70" t="str">
        <f>IF(OR(J1974="",N(T1974)&lt;=0,V1974="Oui"),"",ROUND(N(T1974)*J1974*(1-N(K1974)),2))</f>
        <v/>
      </c>
    </row>
    <row r="1975">
      <c r="A1975" s="63" t="n"/>
      <c r="B1975" s="64" t="n"/>
      <c r="C1975" s="65" t="n"/>
      <c r="D1975" s="66" t="str">
        <f>IF(C1975="","",IFERROR(INDEX(sup_name,MATCH($C1975,sup_code,0))&amp;"","Fournisseur inconnu"))</f>
        <v/>
      </c>
      <c r="E1975" s="63" t="n"/>
      <c r="F1975" s="66" t="str">
        <f>IF(E1975="","",IFERROR(INDEX(art_des,MATCH($E1975,art_ref,0))&amp;"","Article inconnu"))</f>
        <v/>
      </c>
      <c r="G1975" s="67" t="str">
        <f>IF(E1975="","",IFERROR(INDEX(art_unit,MATCH($E1975,art_ref,0))&amp;"",""))</f>
        <v/>
      </c>
      <c r="H1975" s="68" t="n"/>
      <c r="I1975" s="69" t="n"/>
      <c r="J1975" s="70" t="str">
        <f>IF(E1975="","",IF(ISNUMBER(I1975),I1975,IFERROR(IF(ISNUMBER(INDEX(art_price,MATCH($E1975,art_ref,0))),INDEX(art_price,MATCH($E1975,art_ref,0)),""),"")))</f>
        <v/>
      </c>
      <c r="K1975" s="71" t="n"/>
      <c r="L1975" s="72" t="n"/>
      <c r="M1975" s="72" t="str">
        <f>IF(E1975="","",IF(L1975&lt;&gt;"",L1975,IFERROR(IF(ISNUMBER(INDEX(art_tva,MATCH($E1975,art_ref,0))),INDEX(art_tva,MATCH($E1975,art_ref,0)),""),"")))</f>
        <v/>
      </c>
      <c r="N1975" s="70" t="str">
        <f>IF(OR(E1975="",J1975=""),"",ROUND(N(H1975)*J1975*(1-N(K1975)),2))</f>
        <v/>
      </c>
      <c r="O1975" s="70" t="str">
        <f>IF(OR(N1975="",NOT(ISNUMBER(M1975))),"",ROUND(N1975*M1975,2))</f>
        <v/>
      </c>
      <c r="P1975" s="70" t="str">
        <f>IF(N1975="","",N1975+N(O1975))</f>
        <v/>
      </c>
      <c r="Q1975" s="64" t="n"/>
      <c r="R1975" s="73" t="str">
        <f>IF(N(Q1975)&gt;0,Q1975,IF(OR(N(B1975)=0,ISNA(MATCH($C1975,sup_code,0))),"",IF(ISNUMBER(INDEX(sup_delay,MATCH($C1975,sup_code,0))),B1975+INDEX(sup_delay,MATCH($C1975,sup_code,0)),"")))</f>
        <v/>
      </c>
      <c r="S1975" s="64" t="n"/>
      <c r="T1975" s="68" t="n"/>
      <c r="U1975" s="64" t="n"/>
      <c r="V1975" s="65" t="n"/>
      <c r="W1975" s="74" t="str">
        <f>IF(AND(A1975="",E1975=""),"",IF(V1975="Oui",0,MAX(0,ROUND(N(H1975)-N(T1975),6))))</f>
        <v/>
      </c>
      <c r="X1975" s="67" t="str">
        <f>IF(AND(A1975="",E1975=""),"",IF(V1975="Oui","Annulé",IF(AND(N(H1975)&gt;0,N(T1975)&gt;=N(H1975)),"Reçu",IF(N(S1975)=0,"Brouillon",IF(AND(ISNUMBER(R1975),R1975&lt;p_today),"En retard",IF(N(T1975)&gt;0,"Partiel","Envoyé"))))))</f>
        <v/>
      </c>
      <c r="Y1975" s="75" t="str">
        <f>IF(X1975="En retard",p_today-R1975,IF(AND(X1975="Reçu",ISNUMBER(R1975)),MAX(0,N(U1975)-R1975),""))</f>
        <v/>
      </c>
      <c r="Z1975" s="67" t="str">
        <f>IF(AND(A1975="",E1975=""),"",IF(A1975="","N° de bon manquant",IF(N(B1975)=0,"Date de commande manquante",IF(C1975="","Fournisseur manquant",IF(ISNA(MATCH($C1975,sup_code,0)),"Fournisseur inconnu",IF(E1975="","Article manquant",IF(ISNA(MATCH($E1975,art_ref,0)),"Article inconnu",IF(N(H1975)&lt;=0,"Quantité invalide",IF(J1975="","Prix manquant",IF(OR(N(K1975)&lt;0,N(K1975)&gt;=1),"Remise invalide",IF(M1975="","TVA manquante",IF(ISNA(MATCH(M1975,p_tva,0)),"Taux de TVA inconnu",IF(COUNTIFS(po_num,A1975,po_sup,"&lt;&gt;"&amp;C1975)&gt;0,"Fournisseur différent sur ce bon",IF(COUNTIFS(po_num,A1975,po_date,"&lt;&gt;"&amp;B1975)&gt;0,"Date différente sur ce bon",IF(COUNTIF(po_num,A1975)&gt;25,"Plus de 25 lignes sur ce bon",IF(R1975="","Date de livraison manquante",IF(R1975&lt;B1975,"Livraison avant la commande",IF(AND(N(T1975)&gt;0,N(S1975)=0),"Date d'envoi manquante",IF(N(T1975)&gt;N(H1975),"Reçu plus que commandé",IF(AND(N(T1975)&gt;0,N(U1975)=0),"Date de réception manquante",IF(AND(N(U1975)&gt;0,U1975&lt;B1975),"Réception avant la commande","OK")))))))))))))))))))))</f>
        <v/>
      </c>
      <c r="AA1975" s="66" t="str">
        <f>IF(AND(X1975="Reçu",ISNUMBER(R1975)),IF(N(U1975)&lt;=R1975,1,0),"")</f>
        <v/>
      </c>
      <c r="AB1975" s="76" t="str">
        <f>IF(OR(X1975="Envoyé",X1975="Partiel",X1975="En retard"),IF(ISNUMBER(R1975),R1975,100000)+ROW()/100000,"")</f>
        <v/>
      </c>
      <c r="AC1975" s="66" t="str">
        <f>IF(A1975="","",IF(COUNTIF($A$6:A1975,A1975)=1,1,""))</f>
        <v/>
      </c>
      <c r="AD1975" s="66" t="str">
        <f>IF(AC1975=1,COUNT($AC$6:AC1975),"")</f>
        <v/>
      </c>
      <c r="AE1975" s="66" t="str">
        <f>IFERROR(INDEX(po_num,MATCH(1970,po_seq,0))&amp;"","")</f>
        <v/>
      </c>
      <c r="AF1975" s="66" t="str">
        <f>IF(OR(A1975="",p_po=""),"",IF(A1975&amp;""=p_po,COUNTIF($A$6:A1975,A1975),""))</f>
        <v/>
      </c>
      <c r="AG1975" s="66" t="str">
        <f>IF(OR(AB1975="",A1975=""),"",IF(COUNTIFS($A$6:A1975,A1975,$AB$6:AB1975,"&gt;0")=1,1,""))</f>
        <v/>
      </c>
      <c r="AH1975" s="70" t="str">
        <f>IF(AB1975="","",ROUND(N(W1975)*N(J1975)*(1-N(K1975)),2))</f>
        <v/>
      </c>
      <c r="AI1975" s="70" t="str">
        <f>IF(OR(J1975="",N(T1975)&lt;=0,V1975="Oui"),"",ROUND(N(T1975)*J1975*(1-N(K1975)),2))</f>
        <v/>
      </c>
    </row>
    <row r="1976">
      <c r="A1976" s="63" t="n"/>
      <c r="B1976" s="64" t="n"/>
      <c r="C1976" s="65" t="n"/>
      <c r="D1976" s="66" t="str">
        <f>IF(C1976="","",IFERROR(INDEX(sup_name,MATCH($C1976,sup_code,0))&amp;"","Fournisseur inconnu"))</f>
        <v/>
      </c>
      <c r="E1976" s="63" t="n"/>
      <c r="F1976" s="66" t="str">
        <f>IF(E1976="","",IFERROR(INDEX(art_des,MATCH($E1976,art_ref,0))&amp;"","Article inconnu"))</f>
        <v/>
      </c>
      <c r="G1976" s="67" t="str">
        <f>IF(E1976="","",IFERROR(INDEX(art_unit,MATCH($E1976,art_ref,0))&amp;"",""))</f>
        <v/>
      </c>
      <c r="H1976" s="68" t="n"/>
      <c r="I1976" s="69" t="n"/>
      <c r="J1976" s="70" t="str">
        <f>IF(E1976="","",IF(ISNUMBER(I1976),I1976,IFERROR(IF(ISNUMBER(INDEX(art_price,MATCH($E1976,art_ref,0))),INDEX(art_price,MATCH($E1976,art_ref,0)),""),"")))</f>
        <v/>
      </c>
      <c r="K1976" s="71" t="n"/>
      <c r="L1976" s="72" t="n"/>
      <c r="M1976" s="72" t="str">
        <f>IF(E1976="","",IF(L1976&lt;&gt;"",L1976,IFERROR(IF(ISNUMBER(INDEX(art_tva,MATCH($E1976,art_ref,0))),INDEX(art_tva,MATCH($E1976,art_ref,0)),""),"")))</f>
        <v/>
      </c>
      <c r="N1976" s="70" t="str">
        <f>IF(OR(E1976="",J1976=""),"",ROUND(N(H1976)*J1976*(1-N(K1976)),2))</f>
        <v/>
      </c>
      <c r="O1976" s="70" t="str">
        <f>IF(OR(N1976="",NOT(ISNUMBER(M1976))),"",ROUND(N1976*M1976,2))</f>
        <v/>
      </c>
      <c r="P1976" s="70" t="str">
        <f>IF(N1976="","",N1976+N(O1976))</f>
        <v/>
      </c>
      <c r="Q1976" s="64" t="n"/>
      <c r="R1976" s="73" t="str">
        <f>IF(N(Q1976)&gt;0,Q1976,IF(OR(N(B1976)=0,ISNA(MATCH($C1976,sup_code,0))),"",IF(ISNUMBER(INDEX(sup_delay,MATCH($C1976,sup_code,0))),B1976+INDEX(sup_delay,MATCH($C1976,sup_code,0)),"")))</f>
        <v/>
      </c>
      <c r="S1976" s="64" t="n"/>
      <c r="T1976" s="68" t="n"/>
      <c r="U1976" s="64" t="n"/>
      <c r="V1976" s="65" t="n"/>
      <c r="W1976" s="74" t="str">
        <f>IF(AND(A1976="",E1976=""),"",IF(V1976="Oui",0,MAX(0,ROUND(N(H1976)-N(T1976),6))))</f>
        <v/>
      </c>
      <c r="X1976" s="67" t="str">
        <f>IF(AND(A1976="",E1976=""),"",IF(V1976="Oui","Annulé",IF(AND(N(H1976)&gt;0,N(T1976)&gt;=N(H1976)),"Reçu",IF(N(S1976)=0,"Brouillon",IF(AND(ISNUMBER(R1976),R1976&lt;p_today),"En retard",IF(N(T1976)&gt;0,"Partiel","Envoyé"))))))</f>
        <v/>
      </c>
      <c r="Y1976" s="75" t="str">
        <f>IF(X1976="En retard",p_today-R1976,IF(AND(X1976="Reçu",ISNUMBER(R1976)),MAX(0,N(U1976)-R1976),""))</f>
        <v/>
      </c>
      <c r="Z1976" s="67" t="str">
        <f>IF(AND(A1976="",E1976=""),"",IF(A1976="","N° de bon manquant",IF(N(B1976)=0,"Date de commande manquante",IF(C1976="","Fournisseur manquant",IF(ISNA(MATCH($C1976,sup_code,0)),"Fournisseur inconnu",IF(E1976="","Article manquant",IF(ISNA(MATCH($E1976,art_ref,0)),"Article inconnu",IF(N(H1976)&lt;=0,"Quantité invalide",IF(J1976="","Prix manquant",IF(OR(N(K1976)&lt;0,N(K1976)&gt;=1),"Remise invalide",IF(M1976="","TVA manquante",IF(ISNA(MATCH(M1976,p_tva,0)),"Taux de TVA inconnu",IF(COUNTIFS(po_num,A1976,po_sup,"&lt;&gt;"&amp;C1976)&gt;0,"Fournisseur différent sur ce bon",IF(COUNTIFS(po_num,A1976,po_date,"&lt;&gt;"&amp;B1976)&gt;0,"Date différente sur ce bon",IF(COUNTIF(po_num,A1976)&gt;25,"Plus de 25 lignes sur ce bon",IF(R1976="","Date de livraison manquante",IF(R1976&lt;B1976,"Livraison avant la commande",IF(AND(N(T1976)&gt;0,N(S1976)=0),"Date d'envoi manquante",IF(N(T1976)&gt;N(H1976),"Reçu plus que commandé",IF(AND(N(T1976)&gt;0,N(U1976)=0),"Date de réception manquante",IF(AND(N(U1976)&gt;0,U1976&lt;B1976),"Réception avant la commande","OK")))))))))))))))))))))</f>
        <v/>
      </c>
      <c r="AA1976" s="66" t="str">
        <f>IF(AND(X1976="Reçu",ISNUMBER(R1976)),IF(N(U1976)&lt;=R1976,1,0),"")</f>
        <v/>
      </c>
      <c r="AB1976" s="76" t="str">
        <f>IF(OR(X1976="Envoyé",X1976="Partiel",X1976="En retard"),IF(ISNUMBER(R1976),R1976,100000)+ROW()/100000,"")</f>
        <v/>
      </c>
      <c r="AC1976" s="66" t="str">
        <f>IF(A1976="","",IF(COUNTIF($A$6:A1976,A1976)=1,1,""))</f>
        <v/>
      </c>
      <c r="AD1976" s="66" t="str">
        <f>IF(AC1976=1,COUNT($AC$6:AC1976),"")</f>
        <v/>
      </c>
      <c r="AE1976" s="66" t="str">
        <f>IFERROR(INDEX(po_num,MATCH(1971,po_seq,0))&amp;"","")</f>
        <v/>
      </c>
      <c r="AF1976" s="66" t="str">
        <f>IF(OR(A1976="",p_po=""),"",IF(A1976&amp;""=p_po,COUNTIF($A$6:A1976,A1976),""))</f>
        <v/>
      </c>
      <c r="AG1976" s="66" t="str">
        <f>IF(OR(AB1976="",A1976=""),"",IF(COUNTIFS($A$6:A1976,A1976,$AB$6:AB1976,"&gt;0")=1,1,""))</f>
        <v/>
      </c>
      <c r="AH1976" s="70" t="str">
        <f>IF(AB1976="","",ROUND(N(W1976)*N(J1976)*(1-N(K1976)),2))</f>
        <v/>
      </c>
      <c r="AI1976" s="70" t="str">
        <f>IF(OR(J1976="",N(T1976)&lt;=0,V1976="Oui"),"",ROUND(N(T1976)*J1976*(1-N(K1976)),2))</f>
        <v/>
      </c>
    </row>
    <row r="1977">
      <c r="A1977" s="63" t="n"/>
      <c r="B1977" s="64" t="n"/>
      <c r="C1977" s="65" t="n"/>
      <c r="D1977" s="66" t="str">
        <f>IF(C1977="","",IFERROR(INDEX(sup_name,MATCH($C1977,sup_code,0))&amp;"","Fournisseur inconnu"))</f>
        <v/>
      </c>
      <c r="E1977" s="63" t="n"/>
      <c r="F1977" s="66" t="str">
        <f>IF(E1977="","",IFERROR(INDEX(art_des,MATCH($E1977,art_ref,0))&amp;"","Article inconnu"))</f>
        <v/>
      </c>
      <c r="G1977" s="67" t="str">
        <f>IF(E1977="","",IFERROR(INDEX(art_unit,MATCH($E1977,art_ref,0))&amp;"",""))</f>
        <v/>
      </c>
      <c r="H1977" s="68" t="n"/>
      <c r="I1977" s="69" t="n"/>
      <c r="J1977" s="70" t="str">
        <f>IF(E1977="","",IF(ISNUMBER(I1977),I1977,IFERROR(IF(ISNUMBER(INDEX(art_price,MATCH($E1977,art_ref,0))),INDEX(art_price,MATCH($E1977,art_ref,0)),""),"")))</f>
        <v/>
      </c>
      <c r="K1977" s="71" t="n"/>
      <c r="L1977" s="72" t="n"/>
      <c r="M1977" s="72" t="str">
        <f>IF(E1977="","",IF(L1977&lt;&gt;"",L1977,IFERROR(IF(ISNUMBER(INDEX(art_tva,MATCH($E1977,art_ref,0))),INDEX(art_tva,MATCH($E1977,art_ref,0)),""),"")))</f>
        <v/>
      </c>
      <c r="N1977" s="70" t="str">
        <f>IF(OR(E1977="",J1977=""),"",ROUND(N(H1977)*J1977*(1-N(K1977)),2))</f>
        <v/>
      </c>
      <c r="O1977" s="70" t="str">
        <f>IF(OR(N1977="",NOT(ISNUMBER(M1977))),"",ROUND(N1977*M1977,2))</f>
        <v/>
      </c>
      <c r="P1977" s="70" t="str">
        <f>IF(N1977="","",N1977+N(O1977))</f>
        <v/>
      </c>
      <c r="Q1977" s="64" t="n"/>
      <c r="R1977" s="73" t="str">
        <f>IF(N(Q1977)&gt;0,Q1977,IF(OR(N(B1977)=0,ISNA(MATCH($C1977,sup_code,0))),"",IF(ISNUMBER(INDEX(sup_delay,MATCH($C1977,sup_code,0))),B1977+INDEX(sup_delay,MATCH($C1977,sup_code,0)),"")))</f>
        <v/>
      </c>
      <c r="S1977" s="64" t="n"/>
      <c r="T1977" s="68" t="n"/>
      <c r="U1977" s="64" t="n"/>
      <c r="V1977" s="65" t="n"/>
      <c r="W1977" s="74" t="str">
        <f>IF(AND(A1977="",E1977=""),"",IF(V1977="Oui",0,MAX(0,ROUND(N(H1977)-N(T1977),6))))</f>
        <v/>
      </c>
      <c r="X1977" s="67" t="str">
        <f>IF(AND(A1977="",E1977=""),"",IF(V1977="Oui","Annulé",IF(AND(N(H1977)&gt;0,N(T1977)&gt;=N(H1977)),"Reçu",IF(N(S1977)=0,"Brouillon",IF(AND(ISNUMBER(R1977),R1977&lt;p_today),"En retard",IF(N(T1977)&gt;0,"Partiel","Envoyé"))))))</f>
        <v/>
      </c>
      <c r="Y1977" s="75" t="str">
        <f>IF(X1977="En retard",p_today-R1977,IF(AND(X1977="Reçu",ISNUMBER(R1977)),MAX(0,N(U1977)-R1977),""))</f>
        <v/>
      </c>
      <c r="Z1977" s="67" t="str">
        <f>IF(AND(A1977="",E1977=""),"",IF(A1977="","N° de bon manquant",IF(N(B1977)=0,"Date de commande manquante",IF(C1977="","Fournisseur manquant",IF(ISNA(MATCH($C1977,sup_code,0)),"Fournisseur inconnu",IF(E1977="","Article manquant",IF(ISNA(MATCH($E1977,art_ref,0)),"Article inconnu",IF(N(H1977)&lt;=0,"Quantité invalide",IF(J1977="","Prix manquant",IF(OR(N(K1977)&lt;0,N(K1977)&gt;=1),"Remise invalide",IF(M1977="","TVA manquante",IF(ISNA(MATCH(M1977,p_tva,0)),"Taux de TVA inconnu",IF(COUNTIFS(po_num,A1977,po_sup,"&lt;&gt;"&amp;C1977)&gt;0,"Fournisseur différent sur ce bon",IF(COUNTIFS(po_num,A1977,po_date,"&lt;&gt;"&amp;B1977)&gt;0,"Date différente sur ce bon",IF(COUNTIF(po_num,A1977)&gt;25,"Plus de 25 lignes sur ce bon",IF(R1977="","Date de livraison manquante",IF(R1977&lt;B1977,"Livraison avant la commande",IF(AND(N(T1977)&gt;0,N(S1977)=0),"Date d'envoi manquante",IF(N(T1977)&gt;N(H1977),"Reçu plus que commandé",IF(AND(N(T1977)&gt;0,N(U1977)=0),"Date de réception manquante",IF(AND(N(U1977)&gt;0,U1977&lt;B1977),"Réception avant la commande","OK")))))))))))))))))))))</f>
        <v/>
      </c>
      <c r="AA1977" s="66" t="str">
        <f>IF(AND(X1977="Reçu",ISNUMBER(R1977)),IF(N(U1977)&lt;=R1977,1,0),"")</f>
        <v/>
      </c>
      <c r="AB1977" s="76" t="str">
        <f>IF(OR(X1977="Envoyé",X1977="Partiel",X1977="En retard"),IF(ISNUMBER(R1977),R1977,100000)+ROW()/100000,"")</f>
        <v/>
      </c>
      <c r="AC1977" s="66" t="str">
        <f>IF(A1977="","",IF(COUNTIF($A$6:A1977,A1977)=1,1,""))</f>
        <v/>
      </c>
      <c r="AD1977" s="66" t="str">
        <f>IF(AC1977=1,COUNT($AC$6:AC1977),"")</f>
        <v/>
      </c>
      <c r="AE1977" s="66" t="str">
        <f>IFERROR(INDEX(po_num,MATCH(1972,po_seq,0))&amp;"","")</f>
        <v/>
      </c>
      <c r="AF1977" s="66" t="str">
        <f>IF(OR(A1977="",p_po=""),"",IF(A1977&amp;""=p_po,COUNTIF($A$6:A1977,A1977),""))</f>
        <v/>
      </c>
      <c r="AG1977" s="66" t="str">
        <f>IF(OR(AB1977="",A1977=""),"",IF(COUNTIFS($A$6:A1977,A1977,$AB$6:AB1977,"&gt;0")=1,1,""))</f>
        <v/>
      </c>
      <c r="AH1977" s="70" t="str">
        <f>IF(AB1977="","",ROUND(N(W1977)*N(J1977)*(1-N(K1977)),2))</f>
        <v/>
      </c>
      <c r="AI1977" s="70" t="str">
        <f>IF(OR(J1977="",N(T1977)&lt;=0,V1977="Oui"),"",ROUND(N(T1977)*J1977*(1-N(K1977)),2))</f>
        <v/>
      </c>
    </row>
    <row r="1978">
      <c r="A1978" s="63" t="n"/>
      <c r="B1978" s="64" t="n"/>
      <c r="C1978" s="65" t="n"/>
      <c r="D1978" s="66" t="str">
        <f>IF(C1978="","",IFERROR(INDEX(sup_name,MATCH($C1978,sup_code,0))&amp;"","Fournisseur inconnu"))</f>
        <v/>
      </c>
      <c r="E1978" s="63" t="n"/>
      <c r="F1978" s="66" t="str">
        <f>IF(E1978="","",IFERROR(INDEX(art_des,MATCH($E1978,art_ref,0))&amp;"","Article inconnu"))</f>
        <v/>
      </c>
      <c r="G1978" s="67" t="str">
        <f>IF(E1978="","",IFERROR(INDEX(art_unit,MATCH($E1978,art_ref,0))&amp;"",""))</f>
        <v/>
      </c>
      <c r="H1978" s="68" t="n"/>
      <c r="I1978" s="69" t="n"/>
      <c r="J1978" s="70" t="str">
        <f>IF(E1978="","",IF(ISNUMBER(I1978),I1978,IFERROR(IF(ISNUMBER(INDEX(art_price,MATCH($E1978,art_ref,0))),INDEX(art_price,MATCH($E1978,art_ref,0)),""),"")))</f>
        <v/>
      </c>
      <c r="K1978" s="71" t="n"/>
      <c r="L1978" s="72" t="n"/>
      <c r="M1978" s="72" t="str">
        <f>IF(E1978="","",IF(L1978&lt;&gt;"",L1978,IFERROR(IF(ISNUMBER(INDEX(art_tva,MATCH($E1978,art_ref,0))),INDEX(art_tva,MATCH($E1978,art_ref,0)),""),"")))</f>
        <v/>
      </c>
      <c r="N1978" s="70" t="str">
        <f>IF(OR(E1978="",J1978=""),"",ROUND(N(H1978)*J1978*(1-N(K1978)),2))</f>
        <v/>
      </c>
      <c r="O1978" s="70" t="str">
        <f>IF(OR(N1978="",NOT(ISNUMBER(M1978))),"",ROUND(N1978*M1978,2))</f>
        <v/>
      </c>
      <c r="P1978" s="70" t="str">
        <f>IF(N1978="","",N1978+N(O1978))</f>
        <v/>
      </c>
      <c r="Q1978" s="64" t="n"/>
      <c r="R1978" s="73" t="str">
        <f>IF(N(Q1978)&gt;0,Q1978,IF(OR(N(B1978)=0,ISNA(MATCH($C1978,sup_code,0))),"",IF(ISNUMBER(INDEX(sup_delay,MATCH($C1978,sup_code,0))),B1978+INDEX(sup_delay,MATCH($C1978,sup_code,0)),"")))</f>
        <v/>
      </c>
      <c r="S1978" s="64" t="n"/>
      <c r="T1978" s="68" t="n"/>
      <c r="U1978" s="64" t="n"/>
      <c r="V1978" s="65" t="n"/>
      <c r="W1978" s="74" t="str">
        <f>IF(AND(A1978="",E1978=""),"",IF(V1978="Oui",0,MAX(0,ROUND(N(H1978)-N(T1978),6))))</f>
        <v/>
      </c>
      <c r="X1978" s="67" t="str">
        <f>IF(AND(A1978="",E1978=""),"",IF(V1978="Oui","Annulé",IF(AND(N(H1978)&gt;0,N(T1978)&gt;=N(H1978)),"Reçu",IF(N(S1978)=0,"Brouillon",IF(AND(ISNUMBER(R1978),R1978&lt;p_today),"En retard",IF(N(T1978)&gt;0,"Partiel","Envoyé"))))))</f>
        <v/>
      </c>
      <c r="Y1978" s="75" t="str">
        <f>IF(X1978="En retard",p_today-R1978,IF(AND(X1978="Reçu",ISNUMBER(R1978)),MAX(0,N(U1978)-R1978),""))</f>
        <v/>
      </c>
      <c r="Z1978" s="67" t="str">
        <f>IF(AND(A1978="",E1978=""),"",IF(A1978="","N° de bon manquant",IF(N(B1978)=0,"Date de commande manquante",IF(C1978="","Fournisseur manquant",IF(ISNA(MATCH($C1978,sup_code,0)),"Fournisseur inconnu",IF(E1978="","Article manquant",IF(ISNA(MATCH($E1978,art_ref,0)),"Article inconnu",IF(N(H1978)&lt;=0,"Quantité invalide",IF(J1978="","Prix manquant",IF(OR(N(K1978)&lt;0,N(K1978)&gt;=1),"Remise invalide",IF(M1978="","TVA manquante",IF(ISNA(MATCH(M1978,p_tva,0)),"Taux de TVA inconnu",IF(COUNTIFS(po_num,A1978,po_sup,"&lt;&gt;"&amp;C1978)&gt;0,"Fournisseur différent sur ce bon",IF(COUNTIFS(po_num,A1978,po_date,"&lt;&gt;"&amp;B1978)&gt;0,"Date différente sur ce bon",IF(COUNTIF(po_num,A1978)&gt;25,"Plus de 25 lignes sur ce bon",IF(R1978="","Date de livraison manquante",IF(R1978&lt;B1978,"Livraison avant la commande",IF(AND(N(T1978)&gt;0,N(S1978)=0),"Date d'envoi manquante",IF(N(T1978)&gt;N(H1978),"Reçu plus que commandé",IF(AND(N(T1978)&gt;0,N(U1978)=0),"Date de réception manquante",IF(AND(N(U1978)&gt;0,U1978&lt;B1978),"Réception avant la commande","OK")))))))))))))))))))))</f>
        <v/>
      </c>
      <c r="AA1978" s="66" t="str">
        <f>IF(AND(X1978="Reçu",ISNUMBER(R1978)),IF(N(U1978)&lt;=R1978,1,0),"")</f>
        <v/>
      </c>
      <c r="AB1978" s="76" t="str">
        <f>IF(OR(X1978="Envoyé",X1978="Partiel",X1978="En retard"),IF(ISNUMBER(R1978),R1978,100000)+ROW()/100000,"")</f>
        <v/>
      </c>
      <c r="AC1978" s="66" t="str">
        <f>IF(A1978="","",IF(COUNTIF($A$6:A1978,A1978)=1,1,""))</f>
        <v/>
      </c>
      <c r="AD1978" s="66" t="str">
        <f>IF(AC1978=1,COUNT($AC$6:AC1978),"")</f>
        <v/>
      </c>
      <c r="AE1978" s="66" t="str">
        <f>IFERROR(INDEX(po_num,MATCH(1973,po_seq,0))&amp;"","")</f>
        <v/>
      </c>
      <c r="AF1978" s="66" t="str">
        <f>IF(OR(A1978="",p_po=""),"",IF(A1978&amp;""=p_po,COUNTIF($A$6:A1978,A1978),""))</f>
        <v/>
      </c>
      <c r="AG1978" s="66" t="str">
        <f>IF(OR(AB1978="",A1978=""),"",IF(COUNTIFS($A$6:A1978,A1978,$AB$6:AB1978,"&gt;0")=1,1,""))</f>
        <v/>
      </c>
      <c r="AH1978" s="70" t="str">
        <f>IF(AB1978="","",ROUND(N(W1978)*N(J1978)*(1-N(K1978)),2))</f>
        <v/>
      </c>
      <c r="AI1978" s="70" t="str">
        <f>IF(OR(J1978="",N(T1978)&lt;=0,V1978="Oui"),"",ROUND(N(T1978)*J1978*(1-N(K1978)),2))</f>
        <v/>
      </c>
    </row>
    <row r="1979">
      <c r="A1979" s="63" t="n"/>
      <c r="B1979" s="64" t="n"/>
      <c r="C1979" s="65" t="n"/>
      <c r="D1979" s="66" t="str">
        <f>IF(C1979="","",IFERROR(INDEX(sup_name,MATCH($C1979,sup_code,0))&amp;"","Fournisseur inconnu"))</f>
        <v/>
      </c>
      <c r="E1979" s="63" t="n"/>
      <c r="F1979" s="66" t="str">
        <f>IF(E1979="","",IFERROR(INDEX(art_des,MATCH($E1979,art_ref,0))&amp;"","Article inconnu"))</f>
        <v/>
      </c>
      <c r="G1979" s="67" t="str">
        <f>IF(E1979="","",IFERROR(INDEX(art_unit,MATCH($E1979,art_ref,0))&amp;"",""))</f>
        <v/>
      </c>
      <c r="H1979" s="68" t="n"/>
      <c r="I1979" s="69" t="n"/>
      <c r="J1979" s="70" t="str">
        <f>IF(E1979="","",IF(ISNUMBER(I1979),I1979,IFERROR(IF(ISNUMBER(INDEX(art_price,MATCH($E1979,art_ref,0))),INDEX(art_price,MATCH($E1979,art_ref,0)),""),"")))</f>
        <v/>
      </c>
      <c r="K1979" s="71" t="n"/>
      <c r="L1979" s="72" t="n"/>
      <c r="M1979" s="72" t="str">
        <f>IF(E1979="","",IF(L1979&lt;&gt;"",L1979,IFERROR(IF(ISNUMBER(INDEX(art_tva,MATCH($E1979,art_ref,0))),INDEX(art_tva,MATCH($E1979,art_ref,0)),""),"")))</f>
        <v/>
      </c>
      <c r="N1979" s="70" t="str">
        <f>IF(OR(E1979="",J1979=""),"",ROUND(N(H1979)*J1979*(1-N(K1979)),2))</f>
        <v/>
      </c>
      <c r="O1979" s="70" t="str">
        <f>IF(OR(N1979="",NOT(ISNUMBER(M1979))),"",ROUND(N1979*M1979,2))</f>
        <v/>
      </c>
      <c r="P1979" s="70" t="str">
        <f>IF(N1979="","",N1979+N(O1979))</f>
        <v/>
      </c>
      <c r="Q1979" s="64" t="n"/>
      <c r="R1979" s="73" t="str">
        <f>IF(N(Q1979)&gt;0,Q1979,IF(OR(N(B1979)=0,ISNA(MATCH($C1979,sup_code,0))),"",IF(ISNUMBER(INDEX(sup_delay,MATCH($C1979,sup_code,0))),B1979+INDEX(sup_delay,MATCH($C1979,sup_code,0)),"")))</f>
        <v/>
      </c>
      <c r="S1979" s="64" t="n"/>
      <c r="T1979" s="68" t="n"/>
      <c r="U1979" s="64" t="n"/>
      <c r="V1979" s="65" t="n"/>
      <c r="W1979" s="74" t="str">
        <f>IF(AND(A1979="",E1979=""),"",IF(V1979="Oui",0,MAX(0,ROUND(N(H1979)-N(T1979),6))))</f>
        <v/>
      </c>
      <c r="X1979" s="67" t="str">
        <f>IF(AND(A1979="",E1979=""),"",IF(V1979="Oui","Annulé",IF(AND(N(H1979)&gt;0,N(T1979)&gt;=N(H1979)),"Reçu",IF(N(S1979)=0,"Brouillon",IF(AND(ISNUMBER(R1979),R1979&lt;p_today),"En retard",IF(N(T1979)&gt;0,"Partiel","Envoyé"))))))</f>
        <v/>
      </c>
      <c r="Y1979" s="75" t="str">
        <f>IF(X1979="En retard",p_today-R1979,IF(AND(X1979="Reçu",ISNUMBER(R1979)),MAX(0,N(U1979)-R1979),""))</f>
        <v/>
      </c>
      <c r="Z1979" s="67" t="str">
        <f>IF(AND(A1979="",E1979=""),"",IF(A1979="","N° de bon manquant",IF(N(B1979)=0,"Date de commande manquante",IF(C1979="","Fournisseur manquant",IF(ISNA(MATCH($C1979,sup_code,0)),"Fournisseur inconnu",IF(E1979="","Article manquant",IF(ISNA(MATCH($E1979,art_ref,0)),"Article inconnu",IF(N(H1979)&lt;=0,"Quantité invalide",IF(J1979="","Prix manquant",IF(OR(N(K1979)&lt;0,N(K1979)&gt;=1),"Remise invalide",IF(M1979="","TVA manquante",IF(ISNA(MATCH(M1979,p_tva,0)),"Taux de TVA inconnu",IF(COUNTIFS(po_num,A1979,po_sup,"&lt;&gt;"&amp;C1979)&gt;0,"Fournisseur différent sur ce bon",IF(COUNTIFS(po_num,A1979,po_date,"&lt;&gt;"&amp;B1979)&gt;0,"Date différente sur ce bon",IF(COUNTIF(po_num,A1979)&gt;25,"Plus de 25 lignes sur ce bon",IF(R1979="","Date de livraison manquante",IF(R1979&lt;B1979,"Livraison avant la commande",IF(AND(N(T1979)&gt;0,N(S1979)=0),"Date d'envoi manquante",IF(N(T1979)&gt;N(H1979),"Reçu plus que commandé",IF(AND(N(T1979)&gt;0,N(U1979)=0),"Date de réception manquante",IF(AND(N(U1979)&gt;0,U1979&lt;B1979),"Réception avant la commande","OK")))))))))))))))))))))</f>
        <v/>
      </c>
      <c r="AA1979" s="66" t="str">
        <f>IF(AND(X1979="Reçu",ISNUMBER(R1979)),IF(N(U1979)&lt;=R1979,1,0),"")</f>
        <v/>
      </c>
      <c r="AB1979" s="76" t="str">
        <f>IF(OR(X1979="Envoyé",X1979="Partiel",X1979="En retard"),IF(ISNUMBER(R1979),R1979,100000)+ROW()/100000,"")</f>
        <v/>
      </c>
      <c r="AC1979" s="66" t="str">
        <f>IF(A1979="","",IF(COUNTIF($A$6:A1979,A1979)=1,1,""))</f>
        <v/>
      </c>
      <c r="AD1979" s="66" t="str">
        <f>IF(AC1979=1,COUNT($AC$6:AC1979),"")</f>
        <v/>
      </c>
      <c r="AE1979" s="66" t="str">
        <f>IFERROR(INDEX(po_num,MATCH(1974,po_seq,0))&amp;"","")</f>
        <v/>
      </c>
      <c r="AF1979" s="66" t="str">
        <f>IF(OR(A1979="",p_po=""),"",IF(A1979&amp;""=p_po,COUNTIF($A$6:A1979,A1979),""))</f>
        <v/>
      </c>
      <c r="AG1979" s="66" t="str">
        <f>IF(OR(AB1979="",A1979=""),"",IF(COUNTIFS($A$6:A1979,A1979,$AB$6:AB1979,"&gt;0")=1,1,""))</f>
        <v/>
      </c>
      <c r="AH1979" s="70" t="str">
        <f>IF(AB1979="","",ROUND(N(W1979)*N(J1979)*(1-N(K1979)),2))</f>
        <v/>
      </c>
      <c r="AI1979" s="70" t="str">
        <f>IF(OR(J1979="",N(T1979)&lt;=0,V1979="Oui"),"",ROUND(N(T1979)*J1979*(1-N(K1979)),2))</f>
        <v/>
      </c>
    </row>
    <row r="1980">
      <c r="A1980" s="63" t="n"/>
      <c r="B1980" s="64" t="n"/>
      <c r="C1980" s="65" t="n"/>
      <c r="D1980" s="66" t="str">
        <f>IF(C1980="","",IFERROR(INDEX(sup_name,MATCH($C1980,sup_code,0))&amp;"","Fournisseur inconnu"))</f>
        <v/>
      </c>
      <c r="E1980" s="63" t="n"/>
      <c r="F1980" s="66" t="str">
        <f>IF(E1980="","",IFERROR(INDEX(art_des,MATCH($E1980,art_ref,0))&amp;"","Article inconnu"))</f>
        <v/>
      </c>
      <c r="G1980" s="67" t="str">
        <f>IF(E1980="","",IFERROR(INDEX(art_unit,MATCH($E1980,art_ref,0))&amp;"",""))</f>
        <v/>
      </c>
      <c r="H1980" s="68" t="n"/>
      <c r="I1980" s="69" t="n"/>
      <c r="J1980" s="70" t="str">
        <f>IF(E1980="","",IF(ISNUMBER(I1980),I1980,IFERROR(IF(ISNUMBER(INDEX(art_price,MATCH($E1980,art_ref,0))),INDEX(art_price,MATCH($E1980,art_ref,0)),""),"")))</f>
        <v/>
      </c>
      <c r="K1980" s="71" t="n"/>
      <c r="L1980" s="72" t="n"/>
      <c r="M1980" s="72" t="str">
        <f>IF(E1980="","",IF(L1980&lt;&gt;"",L1980,IFERROR(IF(ISNUMBER(INDEX(art_tva,MATCH($E1980,art_ref,0))),INDEX(art_tva,MATCH($E1980,art_ref,0)),""),"")))</f>
        <v/>
      </c>
      <c r="N1980" s="70" t="str">
        <f>IF(OR(E1980="",J1980=""),"",ROUND(N(H1980)*J1980*(1-N(K1980)),2))</f>
        <v/>
      </c>
      <c r="O1980" s="70" t="str">
        <f>IF(OR(N1980="",NOT(ISNUMBER(M1980))),"",ROUND(N1980*M1980,2))</f>
        <v/>
      </c>
      <c r="P1980" s="70" t="str">
        <f>IF(N1980="","",N1980+N(O1980))</f>
        <v/>
      </c>
      <c r="Q1980" s="64" t="n"/>
      <c r="R1980" s="73" t="str">
        <f>IF(N(Q1980)&gt;0,Q1980,IF(OR(N(B1980)=0,ISNA(MATCH($C1980,sup_code,0))),"",IF(ISNUMBER(INDEX(sup_delay,MATCH($C1980,sup_code,0))),B1980+INDEX(sup_delay,MATCH($C1980,sup_code,0)),"")))</f>
        <v/>
      </c>
      <c r="S1980" s="64" t="n"/>
      <c r="T1980" s="68" t="n"/>
      <c r="U1980" s="64" t="n"/>
      <c r="V1980" s="65" t="n"/>
      <c r="W1980" s="74" t="str">
        <f>IF(AND(A1980="",E1980=""),"",IF(V1980="Oui",0,MAX(0,ROUND(N(H1980)-N(T1980),6))))</f>
        <v/>
      </c>
      <c r="X1980" s="67" t="str">
        <f>IF(AND(A1980="",E1980=""),"",IF(V1980="Oui","Annulé",IF(AND(N(H1980)&gt;0,N(T1980)&gt;=N(H1980)),"Reçu",IF(N(S1980)=0,"Brouillon",IF(AND(ISNUMBER(R1980),R1980&lt;p_today),"En retard",IF(N(T1980)&gt;0,"Partiel","Envoyé"))))))</f>
        <v/>
      </c>
      <c r="Y1980" s="75" t="str">
        <f>IF(X1980="En retard",p_today-R1980,IF(AND(X1980="Reçu",ISNUMBER(R1980)),MAX(0,N(U1980)-R1980),""))</f>
        <v/>
      </c>
      <c r="Z1980" s="67" t="str">
        <f>IF(AND(A1980="",E1980=""),"",IF(A1980="","N° de bon manquant",IF(N(B1980)=0,"Date de commande manquante",IF(C1980="","Fournisseur manquant",IF(ISNA(MATCH($C1980,sup_code,0)),"Fournisseur inconnu",IF(E1980="","Article manquant",IF(ISNA(MATCH($E1980,art_ref,0)),"Article inconnu",IF(N(H1980)&lt;=0,"Quantité invalide",IF(J1980="","Prix manquant",IF(OR(N(K1980)&lt;0,N(K1980)&gt;=1),"Remise invalide",IF(M1980="","TVA manquante",IF(ISNA(MATCH(M1980,p_tva,0)),"Taux de TVA inconnu",IF(COUNTIFS(po_num,A1980,po_sup,"&lt;&gt;"&amp;C1980)&gt;0,"Fournisseur différent sur ce bon",IF(COUNTIFS(po_num,A1980,po_date,"&lt;&gt;"&amp;B1980)&gt;0,"Date différente sur ce bon",IF(COUNTIF(po_num,A1980)&gt;25,"Plus de 25 lignes sur ce bon",IF(R1980="","Date de livraison manquante",IF(R1980&lt;B1980,"Livraison avant la commande",IF(AND(N(T1980)&gt;0,N(S1980)=0),"Date d'envoi manquante",IF(N(T1980)&gt;N(H1980),"Reçu plus que commandé",IF(AND(N(T1980)&gt;0,N(U1980)=0),"Date de réception manquante",IF(AND(N(U1980)&gt;0,U1980&lt;B1980),"Réception avant la commande","OK")))))))))))))))))))))</f>
        <v/>
      </c>
      <c r="AA1980" s="66" t="str">
        <f>IF(AND(X1980="Reçu",ISNUMBER(R1980)),IF(N(U1980)&lt;=R1980,1,0),"")</f>
        <v/>
      </c>
      <c r="AB1980" s="76" t="str">
        <f>IF(OR(X1980="Envoyé",X1980="Partiel",X1980="En retard"),IF(ISNUMBER(R1980),R1980,100000)+ROW()/100000,"")</f>
        <v/>
      </c>
      <c r="AC1980" s="66" t="str">
        <f>IF(A1980="","",IF(COUNTIF($A$6:A1980,A1980)=1,1,""))</f>
        <v/>
      </c>
      <c r="AD1980" s="66" t="str">
        <f>IF(AC1980=1,COUNT($AC$6:AC1980),"")</f>
        <v/>
      </c>
      <c r="AE1980" s="66" t="str">
        <f>IFERROR(INDEX(po_num,MATCH(1975,po_seq,0))&amp;"","")</f>
        <v/>
      </c>
      <c r="AF1980" s="66" t="str">
        <f>IF(OR(A1980="",p_po=""),"",IF(A1980&amp;""=p_po,COUNTIF($A$6:A1980,A1980),""))</f>
        <v/>
      </c>
      <c r="AG1980" s="66" t="str">
        <f>IF(OR(AB1980="",A1980=""),"",IF(COUNTIFS($A$6:A1980,A1980,$AB$6:AB1980,"&gt;0")=1,1,""))</f>
        <v/>
      </c>
      <c r="AH1980" s="70" t="str">
        <f>IF(AB1980="","",ROUND(N(W1980)*N(J1980)*(1-N(K1980)),2))</f>
        <v/>
      </c>
      <c r="AI1980" s="70" t="str">
        <f>IF(OR(J1980="",N(T1980)&lt;=0,V1980="Oui"),"",ROUND(N(T1980)*J1980*(1-N(K1980)),2))</f>
        <v/>
      </c>
    </row>
    <row r="1981">
      <c r="A1981" s="63" t="n"/>
      <c r="B1981" s="64" t="n"/>
      <c r="C1981" s="65" t="n"/>
      <c r="D1981" s="66" t="str">
        <f>IF(C1981="","",IFERROR(INDEX(sup_name,MATCH($C1981,sup_code,0))&amp;"","Fournisseur inconnu"))</f>
        <v/>
      </c>
      <c r="E1981" s="63" t="n"/>
      <c r="F1981" s="66" t="str">
        <f>IF(E1981="","",IFERROR(INDEX(art_des,MATCH($E1981,art_ref,0))&amp;"","Article inconnu"))</f>
        <v/>
      </c>
      <c r="G1981" s="67" t="str">
        <f>IF(E1981="","",IFERROR(INDEX(art_unit,MATCH($E1981,art_ref,0))&amp;"",""))</f>
        <v/>
      </c>
      <c r="H1981" s="68" t="n"/>
      <c r="I1981" s="69" t="n"/>
      <c r="J1981" s="70" t="str">
        <f>IF(E1981="","",IF(ISNUMBER(I1981),I1981,IFERROR(IF(ISNUMBER(INDEX(art_price,MATCH($E1981,art_ref,0))),INDEX(art_price,MATCH($E1981,art_ref,0)),""),"")))</f>
        <v/>
      </c>
      <c r="K1981" s="71" t="n"/>
      <c r="L1981" s="72" t="n"/>
      <c r="M1981" s="72" t="str">
        <f>IF(E1981="","",IF(L1981&lt;&gt;"",L1981,IFERROR(IF(ISNUMBER(INDEX(art_tva,MATCH($E1981,art_ref,0))),INDEX(art_tva,MATCH($E1981,art_ref,0)),""),"")))</f>
        <v/>
      </c>
      <c r="N1981" s="70" t="str">
        <f>IF(OR(E1981="",J1981=""),"",ROUND(N(H1981)*J1981*(1-N(K1981)),2))</f>
        <v/>
      </c>
      <c r="O1981" s="70" t="str">
        <f>IF(OR(N1981="",NOT(ISNUMBER(M1981))),"",ROUND(N1981*M1981,2))</f>
        <v/>
      </c>
      <c r="P1981" s="70" t="str">
        <f>IF(N1981="","",N1981+N(O1981))</f>
        <v/>
      </c>
      <c r="Q1981" s="64" t="n"/>
      <c r="R1981" s="73" t="str">
        <f>IF(N(Q1981)&gt;0,Q1981,IF(OR(N(B1981)=0,ISNA(MATCH($C1981,sup_code,0))),"",IF(ISNUMBER(INDEX(sup_delay,MATCH($C1981,sup_code,0))),B1981+INDEX(sup_delay,MATCH($C1981,sup_code,0)),"")))</f>
        <v/>
      </c>
      <c r="S1981" s="64" t="n"/>
      <c r="T1981" s="68" t="n"/>
      <c r="U1981" s="64" t="n"/>
      <c r="V1981" s="65" t="n"/>
      <c r="W1981" s="74" t="str">
        <f>IF(AND(A1981="",E1981=""),"",IF(V1981="Oui",0,MAX(0,ROUND(N(H1981)-N(T1981),6))))</f>
        <v/>
      </c>
      <c r="X1981" s="67" t="str">
        <f>IF(AND(A1981="",E1981=""),"",IF(V1981="Oui","Annulé",IF(AND(N(H1981)&gt;0,N(T1981)&gt;=N(H1981)),"Reçu",IF(N(S1981)=0,"Brouillon",IF(AND(ISNUMBER(R1981),R1981&lt;p_today),"En retard",IF(N(T1981)&gt;0,"Partiel","Envoyé"))))))</f>
        <v/>
      </c>
      <c r="Y1981" s="75" t="str">
        <f>IF(X1981="En retard",p_today-R1981,IF(AND(X1981="Reçu",ISNUMBER(R1981)),MAX(0,N(U1981)-R1981),""))</f>
        <v/>
      </c>
      <c r="Z1981" s="67" t="str">
        <f>IF(AND(A1981="",E1981=""),"",IF(A1981="","N° de bon manquant",IF(N(B1981)=0,"Date de commande manquante",IF(C1981="","Fournisseur manquant",IF(ISNA(MATCH($C1981,sup_code,0)),"Fournisseur inconnu",IF(E1981="","Article manquant",IF(ISNA(MATCH($E1981,art_ref,0)),"Article inconnu",IF(N(H1981)&lt;=0,"Quantité invalide",IF(J1981="","Prix manquant",IF(OR(N(K1981)&lt;0,N(K1981)&gt;=1),"Remise invalide",IF(M1981="","TVA manquante",IF(ISNA(MATCH(M1981,p_tva,0)),"Taux de TVA inconnu",IF(COUNTIFS(po_num,A1981,po_sup,"&lt;&gt;"&amp;C1981)&gt;0,"Fournisseur différent sur ce bon",IF(COUNTIFS(po_num,A1981,po_date,"&lt;&gt;"&amp;B1981)&gt;0,"Date différente sur ce bon",IF(COUNTIF(po_num,A1981)&gt;25,"Plus de 25 lignes sur ce bon",IF(R1981="","Date de livraison manquante",IF(R1981&lt;B1981,"Livraison avant la commande",IF(AND(N(T1981)&gt;0,N(S1981)=0),"Date d'envoi manquante",IF(N(T1981)&gt;N(H1981),"Reçu plus que commandé",IF(AND(N(T1981)&gt;0,N(U1981)=0),"Date de réception manquante",IF(AND(N(U1981)&gt;0,U1981&lt;B1981),"Réception avant la commande","OK")))))))))))))))))))))</f>
        <v/>
      </c>
      <c r="AA1981" s="66" t="str">
        <f>IF(AND(X1981="Reçu",ISNUMBER(R1981)),IF(N(U1981)&lt;=R1981,1,0),"")</f>
        <v/>
      </c>
      <c r="AB1981" s="76" t="str">
        <f>IF(OR(X1981="Envoyé",X1981="Partiel",X1981="En retard"),IF(ISNUMBER(R1981),R1981,100000)+ROW()/100000,"")</f>
        <v/>
      </c>
      <c r="AC1981" s="66" t="str">
        <f>IF(A1981="","",IF(COUNTIF($A$6:A1981,A1981)=1,1,""))</f>
        <v/>
      </c>
      <c r="AD1981" s="66" t="str">
        <f>IF(AC1981=1,COUNT($AC$6:AC1981),"")</f>
        <v/>
      </c>
      <c r="AE1981" s="66" t="str">
        <f>IFERROR(INDEX(po_num,MATCH(1976,po_seq,0))&amp;"","")</f>
        <v/>
      </c>
      <c r="AF1981" s="66" t="str">
        <f>IF(OR(A1981="",p_po=""),"",IF(A1981&amp;""=p_po,COUNTIF($A$6:A1981,A1981),""))</f>
        <v/>
      </c>
      <c r="AG1981" s="66" t="str">
        <f>IF(OR(AB1981="",A1981=""),"",IF(COUNTIFS($A$6:A1981,A1981,$AB$6:AB1981,"&gt;0")=1,1,""))</f>
        <v/>
      </c>
      <c r="AH1981" s="70" t="str">
        <f>IF(AB1981="","",ROUND(N(W1981)*N(J1981)*(1-N(K1981)),2))</f>
        <v/>
      </c>
      <c r="AI1981" s="70" t="str">
        <f>IF(OR(J1981="",N(T1981)&lt;=0,V1981="Oui"),"",ROUND(N(T1981)*J1981*(1-N(K1981)),2))</f>
        <v/>
      </c>
    </row>
    <row r="1982">
      <c r="A1982" s="63" t="n"/>
      <c r="B1982" s="64" t="n"/>
      <c r="C1982" s="65" t="n"/>
      <c r="D1982" s="66" t="str">
        <f>IF(C1982="","",IFERROR(INDEX(sup_name,MATCH($C1982,sup_code,0))&amp;"","Fournisseur inconnu"))</f>
        <v/>
      </c>
      <c r="E1982" s="63" t="n"/>
      <c r="F1982" s="66" t="str">
        <f>IF(E1982="","",IFERROR(INDEX(art_des,MATCH($E1982,art_ref,0))&amp;"","Article inconnu"))</f>
        <v/>
      </c>
      <c r="G1982" s="67" t="str">
        <f>IF(E1982="","",IFERROR(INDEX(art_unit,MATCH($E1982,art_ref,0))&amp;"",""))</f>
        <v/>
      </c>
      <c r="H1982" s="68" t="n"/>
      <c r="I1982" s="69" t="n"/>
      <c r="J1982" s="70" t="str">
        <f>IF(E1982="","",IF(ISNUMBER(I1982),I1982,IFERROR(IF(ISNUMBER(INDEX(art_price,MATCH($E1982,art_ref,0))),INDEX(art_price,MATCH($E1982,art_ref,0)),""),"")))</f>
        <v/>
      </c>
      <c r="K1982" s="71" t="n"/>
      <c r="L1982" s="72" t="n"/>
      <c r="M1982" s="72" t="str">
        <f>IF(E1982="","",IF(L1982&lt;&gt;"",L1982,IFERROR(IF(ISNUMBER(INDEX(art_tva,MATCH($E1982,art_ref,0))),INDEX(art_tva,MATCH($E1982,art_ref,0)),""),"")))</f>
        <v/>
      </c>
      <c r="N1982" s="70" t="str">
        <f>IF(OR(E1982="",J1982=""),"",ROUND(N(H1982)*J1982*(1-N(K1982)),2))</f>
        <v/>
      </c>
      <c r="O1982" s="70" t="str">
        <f>IF(OR(N1982="",NOT(ISNUMBER(M1982))),"",ROUND(N1982*M1982,2))</f>
        <v/>
      </c>
      <c r="P1982" s="70" t="str">
        <f>IF(N1982="","",N1982+N(O1982))</f>
        <v/>
      </c>
      <c r="Q1982" s="64" t="n"/>
      <c r="R1982" s="73" t="str">
        <f>IF(N(Q1982)&gt;0,Q1982,IF(OR(N(B1982)=0,ISNA(MATCH($C1982,sup_code,0))),"",IF(ISNUMBER(INDEX(sup_delay,MATCH($C1982,sup_code,0))),B1982+INDEX(sup_delay,MATCH($C1982,sup_code,0)),"")))</f>
        <v/>
      </c>
      <c r="S1982" s="64" t="n"/>
      <c r="T1982" s="68" t="n"/>
      <c r="U1982" s="64" t="n"/>
      <c r="V1982" s="65" t="n"/>
      <c r="W1982" s="74" t="str">
        <f>IF(AND(A1982="",E1982=""),"",IF(V1982="Oui",0,MAX(0,ROUND(N(H1982)-N(T1982),6))))</f>
        <v/>
      </c>
      <c r="X1982" s="67" t="str">
        <f>IF(AND(A1982="",E1982=""),"",IF(V1982="Oui","Annulé",IF(AND(N(H1982)&gt;0,N(T1982)&gt;=N(H1982)),"Reçu",IF(N(S1982)=0,"Brouillon",IF(AND(ISNUMBER(R1982),R1982&lt;p_today),"En retard",IF(N(T1982)&gt;0,"Partiel","Envoyé"))))))</f>
        <v/>
      </c>
      <c r="Y1982" s="75" t="str">
        <f>IF(X1982="En retard",p_today-R1982,IF(AND(X1982="Reçu",ISNUMBER(R1982)),MAX(0,N(U1982)-R1982),""))</f>
        <v/>
      </c>
      <c r="Z1982" s="67" t="str">
        <f>IF(AND(A1982="",E1982=""),"",IF(A1982="","N° de bon manquant",IF(N(B1982)=0,"Date de commande manquante",IF(C1982="","Fournisseur manquant",IF(ISNA(MATCH($C1982,sup_code,0)),"Fournisseur inconnu",IF(E1982="","Article manquant",IF(ISNA(MATCH($E1982,art_ref,0)),"Article inconnu",IF(N(H1982)&lt;=0,"Quantité invalide",IF(J1982="","Prix manquant",IF(OR(N(K1982)&lt;0,N(K1982)&gt;=1),"Remise invalide",IF(M1982="","TVA manquante",IF(ISNA(MATCH(M1982,p_tva,0)),"Taux de TVA inconnu",IF(COUNTIFS(po_num,A1982,po_sup,"&lt;&gt;"&amp;C1982)&gt;0,"Fournisseur différent sur ce bon",IF(COUNTIFS(po_num,A1982,po_date,"&lt;&gt;"&amp;B1982)&gt;0,"Date différente sur ce bon",IF(COUNTIF(po_num,A1982)&gt;25,"Plus de 25 lignes sur ce bon",IF(R1982="","Date de livraison manquante",IF(R1982&lt;B1982,"Livraison avant la commande",IF(AND(N(T1982)&gt;0,N(S1982)=0),"Date d'envoi manquante",IF(N(T1982)&gt;N(H1982),"Reçu plus que commandé",IF(AND(N(T1982)&gt;0,N(U1982)=0),"Date de réception manquante",IF(AND(N(U1982)&gt;0,U1982&lt;B1982),"Réception avant la commande","OK")))))))))))))))))))))</f>
        <v/>
      </c>
      <c r="AA1982" s="66" t="str">
        <f>IF(AND(X1982="Reçu",ISNUMBER(R1982)),IF(N(U1982)&lt;=R1982,1,0),"")</f>
        <v/>
      </c>
      <c r="AB1982" s="76" t="str">
        <f>IF(OR(X1982="Envoyé",X1982="Partiel",X1982="En retard"),IF(ISNUMBER(R1982),R1982,100000)+ROW()/100000,"")</f>
        <v/>
      </c>
      <c r="AC1982" s="66" t="str">
        <f>IF(A1982="","",IF(COUNTIF($A$6:A1982,A1982)=1,1,""))</f>
        <v/>
      </c>
      <c r="AD1982" s="66" t="str">
        <f>IF(AC1982=1,COUNT($AC$6:AC1982),"")</f>
        <v/>
      </c>
      <c r="AE1982" s="66" t="str">
        <f>IFERROR(INDEX(po_num,MATCH(1977,po_seq,0))&amp;"","")</f>
        <v/>
      </c>
      <c r="AF1982" s="66" t="str">
        <f>IF(OR(A1982="",p_po=""),"",IF(A1982&amp;""=p_po,COUNTIF($A$6:A1982,A1982),""))</f>
        <v/>
      </c>
      <c r="AG1982" s="66" t="str">
        <f>IF(OR(AB1982="",A1982=""),"",IF(COUNTIFS($A$6:A1982,A1982,$AB$6:AB1982,"&gt;0")=1,1,""))</f>
        <v/>
      </c>
      <c r="AH1982" s="70" t="str">
        <f>IF(AB1982="","",ROUND(N(W1982)*N(J1982)*(1-N(K1982)),2))</f>
        <v/>
      </c>
      <c r="AI1982" s="70" t="str">
        <f>IF(OR(J1982="",N(T1982)&lt;=0,V1982="Oui"),"",ROUND(N(T1982)*J1982*(1-N(K1982)),2))</f>
        <v/>
      </c>
    </row>
    <row r="1983">
      <c r="A1983" s="63" t="n"/>
      <c r="B1983" s="64" t="n"/>
      <c r="C1983" s="65" t="n"/>
      <c r="D1983" s="66" t="str">
        <f>IF(C1983="","",IFERROR(INDEX(sup_name,MATCH($C1983,sup_code,0))&amp;"","Fournisseur inconnu"))</f>
        <v/>
      </c>
      <c r="E1983" s="63" t="n"/>
      <c r="F1983" s="66" t="str">
        <f>IF(E1983="","",IFERROR(INDEX(art_des,MATCH($E1983,art_ref,0))&amp;"","Article inconnu"))</f>
        <v/>
      </c>
      <c r="G1983" s="67" t="str">
        <f>IF(E1983="","",IFERROR(INDEX(art_unit,MATCH($E1983,art_ref,0))&amp;"",""))</f>
        <v/>
      </c>
      <c r="H1983" s="68" t="n"/>
      <c r="I1983" s="69" t="n"/>
      <c r="J1983" s="70" t="str">
        <f>IF(E1983="","",IF(ISNUMBER(I1983),I1983,IFERROR(IF(ISNUMBER(INDEX(art_price,MATCH($E1983,art_ref,0))),INDEX(art_price,MATCH($E1983,art_ref,0)),""),"")))</f>
        <v/>
      </c>
      <c r="K1983" s="71" t="n"/>
      <c r="L1983" s="72" t="n"/>
      <c r="M1983" s="72" t="str">
        <f>IF(E1983="","",IF(L1983&lt;&gt;"",L1983,IFERROR(IF(ISNUMBER(INDEX(art_tva,MATCH($E1983,art_ref,0))),INDEX(art_tva,MATCH($E1983,art_ref,0)),""),"")))</f>
        <v/>
      </c>
      <c r="N1983" s="70" t="str">
        <f>IF(OR(E1983="",J1983=""),"",ROUND(N(H1983)*J1983*(1-N(K1983)),2))</f>
        <v/>
      </c>
      <c r="O1983" s="70" t="str">
        <f>IF(OR(N1983="",NOT(ISNUMBER(M1983))),"",ROUND(N1983*M1983,2))</f>
        <v/>
      </c>
      <c r="P1983" s="70" t="str">
        <f>IF(N1983="","",N1983+N(O1983))</f>
        <v/>
      </c>
      <c r="Q1983" s="64" t="n"/>
      <c r="R1983" s="73" t="str">
        <f>IF(N(Q1983)&gt;0,Q1983,IF(OR(N(B1983)=0,ISNA(MATCH($C1983,sup_code,0))),"",IF(ISNUMBER(INDEX(sup_delay,MATCH($C1983,sup_code,0))),B1983+INDEX(sup_delay,MATCH($C1983,sup_code,0)),"")))</f>
        <v/>
      </c>
      <c r="S1983" s="64" t="n"/>
      <c r="T1983" s="68" t="n"/>
      <c r="U1983" s="64" t="n"/>
      <c r="V1983" s="65" t="n"/>
      <c r="W1983" s="74" t="str">
        <f>IF(AND(A1983="",E1983=""),"",IF(V1983="Oui",0,MAX(0,ROUND(N(H1983)-N(T1983),6))))</f>
        <v/>
      </c>
      <c r="X1983" s="67" t="str">
        <f>IF(AND(A1983="",E1983=""),"",IF(V1983="Oui","Annulé",IF(AND(N(H1983)&gt;0,N(T1983)&gt;=N(H1983)),"Reçu",IF(N(S1983)=0,"Brouillon",IF(AND(ISNUMBER(R1983),R1983&lt;p_today),"En retard",IF(N(T1983)&gt;0,"Partiel","Envoyé"))))))</f>
        <v/>
      </c>
      <c r="Y1983" s="75" t="str">
        <f>IF(X1983="En retard",p_today-R1983,IF(AND(X1983="Reçu",ISNUMBER(R1983)),MAX(0,N(U1983)-R1983),""))</f>
        <v/>
      </c>
      <c r="Z1983" s="67" t="str">
        <f>IF(AND(A1983="",E1983=""),"",IF(A1983="","N° de bon manquant",IF(N(B1983)=0,"Date de commande manquante",IF(C1983="","Fournisseur manquant",IF(ISNA(MATCH($C1983,sup_code,0)),"Fournisseur inconnu",IF(E1983="","Article manquant",IF(ISNA(MATCH($E1983,art_ref,0)),"Article inconnu",IF(N(H1983)&lt;=0,"Quantité invalide",IF(J1983="","Prix manquant",IF(OR(N(K1983)&lt;0,N(K1983)&gt;=1),"Remise invalide",IF(M1983="","TVA manquante",IF(ISNA(MATCH(M1983,p_tva,0)),"Taux de TVA inconnu",IF(COUNTIFS(po_num,A1983,po_sup,"&lt;&gt;"&amp;C1983)&gt;0,"Fournisseur différent sur ce bon",IF(COUNTIFS(po_num,A1983,po_date,"&lt;&gt;"&amp;B1983)&gt;0,"Date différente sur ce bon",IF(COUNTIF(po_num,A1983)&gt;25,"Plus de 25 lignes sur ce bon",IF(R1983="","Date de livraison manquante",IF(R1983&lt;B1983,"Livraison avant la commande",IF(AND(N(T1983)&gt;0,N(S1983)=0),"Date d'envoi manquante",IF(N(T1983)&gt;N(H1983),"Reçu plus que commandé",IF(AND(N(T1983)&gt;0,N(U1983)=0),"Date de réception manquante",IF(AND(N(U1983)&gt;0,U1983&lt;B1983),"Réception avant la commande","OK")))))))))))))))))))))</f>
        <v/>
      </c>
      <c r="AA1983" s="66" t="str">
        <f>IF(AND(X1983="Reçu",ISNUMBER(R1983)),IF(N(U1983)&lt;=R1983,1,0),"")</f>
        <v/>
      </c>
      <c r="AB1983" s="76" t="str">
        <f>IF(OR(X1983="Envoyé",X1983="Partiel",X1983="En retard"),IF(ISNUMBER(R1983),R1983,100000)+ROW()/100000,"")</f>
        <v/>
      </c>
      <c r="AC1983" s="66" t="str">
        <f>IF(A1983="","",IF(COUNTIF($A$6:A1983,A1983)=1,1,""))</f>
        <v/>
      </c>
      <c r="AD1983" s="66" t="str">
        <f>IF(AC1983=1,COUNT($AC$6:AC1983),"")</f>
        <v/>
      </c>
      <c r="AE1983" s="66" t="str">
        <f>IFERROR(INDEX(po_num,MATCH(1978,po_seq,0))&amp;"","")</f>
        <v/>
      </c>
      <c r="AF1983" s="66" t="str">
        <f>IF(OR(A1983="",p_po=""),"",IF(A1983&amp;""=p_po,COUNTIF($A$6:A1983,A1983),""))</f>
        <v/>
      </c>
      <c r="AG1983" s="66" t="str">
        <f>IF(OR(AB1983="",A1983=""),"",IF(COUNTIFS($A$6:A1983,A1983,$AB$6:AB1983,"&gt;0")=1,1,""))</f>
        <v/>
      </c>
      <c r="AH1983" s="70" t="str">
        <f>IF(AB1983="","",ROUND(N(W1983)*N(J1983)*(1-N(K1983)),2))</f>
        <v/>
      </c>
      <c r="AI1983" s="70" t="str">
        <f>IF(OR(J1983="",N(T1983)&lt;=0,V1983="Oui"),"",ROUND(N(T1983)*J1983*(1-N(K1983)),2))</f>
        <v/>
      </c>
    </row>
    <row r="1984">
      <c r="A1984" s="63" t="n"/>
      <c r="B1984" s="64" t="n"/>
      <c r="C1984" s="65" t="n"/>
      <c r="D1984" s="66" t="str">
        <f>IF(C1984="","",IFERROR(INDEX(sup_name,MATCH($C1984,sup_code,0))&amp;"","Fournisseur inconnu"))</f>
        <v/>
      </c>
      <c r="E1984" s="63" t="n"/>
      <c r="F1984" s="66" t="str">
        <f>IF(E1984="","",IFERROR(INDEX(art_des,MATCH($E1984,art_ref,0))&amp;"","Article inconnu"))</f>
        <v/>
      </c>
      <c r="G1984" s="67" t="str">
        <f>IF(E1984="","",IFERROR(INDEX(art_unit,MATCH($E1984,art_ref,0))&amp;"",""))</f>
        <v/>
      </c>
      <c r="H1984" s="68" t="n"/>
      <c r="I1984" s="69" t="n"/>
      <c r="J1984" s="70" t="str">
        <f>IF(E1984="","",IF(ISNUMBER(I1984),I1984,IFERROR(IF(ISNUMBER(INDEX(art_price,MATCH($E1984,art_ref,0))),INDEX(art_price,MATCH($E1984,art_ref,0)),""),"")))</f>
        <v/>
      </c>
      <c r="K1984" s="71" t="n"/>
      <c r="L1984" s="72" t="n"/>
      <c r="M1984" s="72" t="str">
        <f>IF(E1984="","",IF(L1984&lt;&gt;"",L1984,IFERROR(IF(ISNUMBER(INDEX(art_tva,MATCH($E1984,art_ref,0))),INDEX(art_tva,MATCH($E1984,art_ref,0)),""),"")))</f>
        <v/>
      </c>
      <c r="N1984" s="70" t="str">
        <f>IF(OR(E1984="",J1984=""),"",ROUND(N(H1984)*J1984*(1-N(K1984)),2))</f>
        <v/>
      </c>
      <c r="O1984" s="70" t="str">
        <f>IF(OR(N1984="",NOT(ISNUMBER(M1984))),"",ROUND(N1984*M1984,2))</f>
        <v/>
      </c>
      <c r="P1984" s="70" t="str">
        <f>IF(N1984="","",N1984+N(O1984))</f>
        <v/>
      </c>
      <c r="Q1984" s="64" t="n"/>
      <c r="R1984" s="73" t="str">
        <f>IF(N(Q1984)&gt;0,Q1984,IF(OR(N(B1984)=0,ISNA(MATCH($C1984,sup_code,0))),"",IF(ISNUMBER(INDEX(sup_delay,MATCH($C1984,sup_code,0))),B1984+INDEX(sup_delay,MATCH($C1984,sup_code,0)),"")))</f>
        <v/>
      </c>
      <c r="S1984" s="64" t="n"/>
      <c r="T1984" s="68" t="n"/>
      <c r="U1984" s="64" t="n"/>
      <c r="V1984" s="65" t="n"/>
      <c r="W1984" s="74" t="str">
        <f>IF(AND(A1984="",E1984=""),"",IF(V1984="Oui",0,MAX(0,ROUND(N(H1984)-N(T1984),6))))</f>
        <v/>
      </c>
      <c r="X1984" s="67" t="str">
        <f>IF(AND(A1984="",E1984=""),"",IF(V1984="Oui","Annulé",IF(AND(N(H1984)&gt;0,N(T1984)&gt;=N(H1984)),"Reçu",IF(N(S1984)=0,"Brouillon",IF(AND(ISNUMBER(R1984),R1984&lt;p_today),"En retard",IF(N(T1984)&gt;0,"Partiel","Envoyé"))))))</f>
        <v/>
      </c>
      <c r="Y1984" s="75" t="str">
        <f>IF(X1984="En retard",p_today-R1984,IF(AND(X1984="Reçu",ISNUMBER(R1984)),MAX(0,N(U1984)-R1984),""))</f>
        <v/>
      </c>
      <c r="Z1984" s="67" t="str">
        <f>IF(AND(A1984="",E1984=""),"",IF(A1984="","N° de bon manquant",IF(N(B1984)=0,"Date de commande manquante",IF(C1984="","Fournisseur manquant",IF(ISNA(MATCH($C1984,sup_code,0)),"Fournisseur inconnu",IF(E1984="","Article manquant",IF(ISNA(MATCH($E1984,art_ref,0)),"Article inconnu",IF(N(H1984)&lt;=0,"Quantité invalide",IF(J1984="","Prix manquant",IF(OR(N(K1984)&lt;0,N(K1984)&gt;=1),"Remise invalide",IF(M1984="","TVA manquante",IF(ISNA(MATCH(M1984,p_tva,0)),"Taux de TVA inconnu",IF(COUNTIFS(po_num,A1984,po_sup,"&lt;&gt;"&amp;C1984)&gt;0,"Fournisseur différent sur ce bon",IF(COUNTIFS(po_num,A1984,po_date,"&lt;&gt;"&amp;B1984)&gt;0,"Date différente sur ce bon",IF(COUNTIF(po_num,A1984)&gt;25,"Plus de 25 lignes sur ce bon",IF(R1984="","Date de livraison manquante",IF(R1984&lt;B1984,"Livraison avant la commande",IF(AND(N(T1984)&gt;0,N(S1984)=0),"Date d'envoi manquante",IF(N(T1984)&gt;N(H1984),"Reçu plus que commandé",IF(AND(N(T1984)&gt;0,N(U1984)=0),"Date de réception manquante",IF(AND(N(U1984)&gt;0,U1984&lt;B1984),"Réception avant la commande","OK")))))))))))))))))))))</f>
        <v/>
      </c>
      <c r="AA1984" s="66" t="str">
        <f>IF(AND(X1984="Reçu",ISNUMBER(R1984)),IF(N(U1984)&lt;=R1984,1,0),"")</f>
        <v/>
      </c>
      <c r="AB1984" s="76" t="str">
        <f>IF(OR(X1984="Envoyé",X1984="Partiel",X1984="En retard"),IF(ISNUMBER(R1984),R1984,100000)+ROW()/100000,"")</f>
        <v/>
      </c>
      <c r="AC1984" s="66" t="str">
        <f>IF(A1984="","",IF(COUNTIF($A$6:A1984,A1984)=1,1,""))</f>
        <v/>
      </c>
      <c r="AD1984" s="66" t="str">
        <f>IF(AC1984=1,COUNT($AC$6:AC1984),"")</f>
        <v/>
      </c>
      <c r="AE1984" s="66" t="str">
        <f>IFERROR(INDEX(po_num,MATCH(1979,po_seq,0))&amp;"","")</f>
        <v/>
      </c>
      <c r="AF1984" s="66" t="str">
        <f>IF(OR(A1984="",p_po=""),"",IF(A1984&amp;""=p_po,COUNTIF($A$6:A1984,A1984),""))</f>
        <v/>
      </c>
      <c r="AG1984" s="66" t="str">
        <f>IF(OR(AB1984="",A1984=""),"",IF(COUNTIFS($A$6:A1984,A1984,$AB$6:AB1984,"&gt;0")=1,1,""))</f>
        <v/>
      </c>
      <c r="AH1984" s="70" t="str">
        <f>IF(AB1984="","",ROUND(N(W1984)*N(J1984)*(1-N(K1984)),2))</f>
        <v/>
      </c>
      <c r="AI1984" s="70" t="str">
        <f>IF(OR(J1984="",N(T1984)&lt;=0,V1984="Oui"),"",ROUND(N(T1984)*J1984*(1-N(K1984)),2))</f>
        <v/>
      </c>
    </row>
    <row r="1985">
      <c r="A1985" s="63" t="n"/>
      <c r="B1985" s="64" t="n"/>
      <c r="C1985" s="65" t="n"/>
      <c r="D1985" s="66" t="str">
        <f>IF(C1985="","",IFERROR(INDEX(sup_name,MATCH($C1985,sup_code,0))&amp;"","Fournisseur inconnu"))</f>
        <v/>
      </c>
      <c r="E1985" s="63" t="n"/>
      <c r="F1985" s="66" t="str">
        <f>IF(E1985="","",IFERROR(INDEX(art_des,MATCH($E1985,art_ref,0))&amp;"","Article inconnu"))</f>
        <v/>
      </c>
      <c r="G1985" s="67" t="str">
        <f>IF(E1985="","",IFERROR(INDEX(art_unit,MATCH($E1985,art_ref,0))&amp;"",""))</f>
        <v/>
      </c>
      <c r="H1985" s="68" t="n"/>
      <c r="I1985" s="69" t="n"/>
      <c r="J1985" s="70" t="str">
        <f>IF(E1985="","",IF(ISNUMBER(I1985),I1985,IFERROR(IF(ISNUMBER(INDEX(art_price,MATCH($E1985,art_ref,0))),INDEX(art_price,MATCH($E1985,art_ref,0)),""),"")))</f>
        <v/>
      </c>
      <c r="K1985" s="71" t="n"/>
      <c r="L1985" s="72" t="n"/>
      <c r="M1985" s="72" t="str">
        <f>IF(E1985="","",IF(L1985&lt;&gt;"",L1985,IFERROR(IF(ISNUMBER(INDEX(art_tva,MATCH($E1985,art_ref,0))),INDEX(art_tva,MATCH($E1985,art_ref,0)),""),"")))</f>
        <v/>
      </c>
      <c r="N1985" s="70" t="str">
        <f>IF(OR(E1985="",J1985=""),"",ROUND(N(H1985)*J1985*(1-N(K1985)),2))</f>
        <v/>
      </c>
      <c r="O1985" s="70" t="str">
        <f>IF(OR(N1985="",NOT(ISNUMBER(M1985))),"",ROUND(N1985*M1985,2))</f>
        <v/>
      </c>
      <c r="P1985" s="70" t="str">
        <f>IF(N1985="","",N1985+N(O1985))</f>
        <v/>
      </c>
      <c r="Q1985" s="64" t="n"/>
      <c r="R1985" s="73" t="str">
        <f>IF(N(Q1985)&gt;0,Q1985,IF(OR(N(B1985)=0,ISNA(MATCH($C1985,sup_code,0))),"",IF(ISNUMBER(INDEX(sup_delay,MATCH($C1985,sup_code,0))),B1985+INDEX(sup_delay,MATCH($C1985,sup_code,0)),"")))</f>
        <v/>
      </c>
      <c r="S1985" s="64" t="n"/>
      <c r="T1985" s="68" t="n"/>
      <c r="U1985" s="64" t="n"/>
      <c r="V1985" s="65" t="n"/>
      <c r="W1985" s="74" t="str">
        <f>IF(AND(A1985="",E1985=""),"",IF(V1985="Oui",0,MAX(0,ROUND(N(H1985)-N(T1985),6))))</f>
        <v/>
      </c>
      <c r="X1985" s="67" t="str">
        <f>IF(AND(A1985="",E1985=""),"",IF(V1985="Oui","Annulé",IF(AND(N(H1985)&gt;0,N(T1985)&gt;=N(H1985)),"Reçu",IF(N(S1985)=0,"Brouillon",IF(AND(ISNUMBER(R1985),R1985&lt;p_today),"En retard",IF(N(T1985)&gt;0,"Partiel","Envoyé"))))))</f>
        <v/>
      </c>
      <c r="Y1985" s="75" t="str">
        <f>IF(X1985="En retard",p_today-R1985,IF(AND(X1985="Reçu",ISNUMBER(R1985)),MAX(0,N(U1985)-R1985),""))</f>
        <v/>
      </c>
      <c r="Z1985" s="67" t="str">
        <f>IF(AND(A1985="",E1985=""),"",IF(A1985="","N° de bon manquant",IF(N(B1985)=0,"Date de commande manquante",IF(C1985="","Fournisseur manquant",IF(ISNA(MATCH($C1985,sup_code,0)),"Fournisseur inconnu",IF(E1985="","Article manquant",IF(ISNA(MATCH($E1985,art_ref,0)),"Article inconnu",IF(N(H1985)&lt;=0,"Quantité invalide",IF(J1985="","Prix manquant",IF(OR(N(K1985)&lt;0,N(K1985)&gt;=1),"Remise invalide",IF(M1985="","TVA manquante",IF(ISNA(MATCH(M1985,p_tva,0)),"Taux de TVA inconnu",IF(COUNTIFS(po_num,A1985,po_sup,"&lt;&gt;"&amp;C1985)&gt;0,"Fournisseur différent sur ce bon",IF(COUNTIFS(po_num,A1985,po_date,"&lt;&gt;"&amp;B1985)&gt;0,"Date différente sur ce bon",IF(COUNTIF(po_num,A1985)&gt;25,"Plus de 25 lignes sur ce bon",IF(R1985="","Date de livraison manquante",IF(R1985&lt;B1985,"Livraison avant la commande",IF(AND(N(T1985)&gt;0,N(S1985)=0),"Date d'envoi manquante",IF(N(T1985)&gt;N(H1985),"Reçu plus que commandé",IF(AND(N(T1985)&gt;0,N(U1985)=0),"Date de réception manquante",IF(AND(N(U1985)&gt;0,U1985&lt;B1985),"Réception avant la commande","OK")))))))))))))))))))))</f>
        <v/>
      </c>
      <c r="AA1985" s="66" t="str">
        <f>IF(AND(X1985="Reçu",ISNUMBER(R1985)),IF(N(U1985)&lt;=R1985,1,0),"")</f>
        <v/>
      </c>
      <c r="AB1985" s="76" t="str">
        <f>IF(OR(X1985="Envoyé",X1985="Partiel",X1985="En retard"),IF(ISNUMBER(R1985),R1985,100000)+ROW()/100000,"")</f>
        <v/>
      </c>
      <c r="AC1985" s="66" t="str">
        <f>IF(A1985="","",IF(COUNTIF($A$6:A1985,A1985)=1,1,""))</f>
        <v/>
      </c>
      <c r="AD1985" s="66" t="str">
        <f>IF(AC1985=1,COUNT($AC$6:AC1985),"")</f>
        <v/>
      </c>
      <c r="AE1985" s="66" t="str">
        <f>IFERROR(INDEX(po_num,MATCH(1980,po_seq,0))&amp;"","")</f>
        <v/>
      </c>
      <c r="AF1985" s="66" t="str">
        <f>IF(OR(A1985="",p_po=""),"",IF(A1985&amp;""=p_po,COUNTIF($A$6:A1985,A1985),""))</f>
        <v/>
      </c>
      <c r="AG1985" s="66" t="str">
        <f>IF(OR(AB1985="",A1985=""),"",IF(COUNTIFS($A$6:A1985,A1985,$AB$6:AB1985,"&gt;0")=1,1,""))</f>
        <v/>
      </c>
      <c r="AH1985" s="70" t="str">
        <f>IF(AB1985="","",ROUND(N(W1985)*N(J1985)*(1-N(K1985)),2))</f>
        <v/>
      </c>
      <c r="AI1985" s="70" t="str">
        <f>IF(OR(J1985="",N(T1985)&lt;=0,V1985="Oui"),"",ROUND(N(T1985)*J1985*(1-N(K1985)),2))</f>
        <v/>
      </c>
    </row>
    <row r="1986">
      <c r="A1986" s="63" t="n"/>
      <c r="B1986" s="64" t="n"/>
      <c r="C1986" s="65" t="n"/>
      <c r="D1986" s="66" t="str">
        <f>IF(C1986="","",IFERROR(INDEX(sup_name,MATCH($C1986,sup_code,0))&amp;"","Fournisseur inconnu"))</f>
        <v/>
      </c>
      <c r="E1986" s="63" t="n"/>
      <c r="F1986" s="66" t="str">
        <f>IF(E1986="","",IFERROR(INDEX(art_des,MATCH($E1986,art_ref,0))&amp;"","Article inconnu"))</f>
        <v/>
      </c>
      <c r="G1986" s="67" t="str">
        <f>IF(E1986="","",IFERROR(INDEX(art_unit,MATCH($E1986,art_ref,0))&amp;"",""))</f>
        <v/>
      </c>
      <c r="H1986" s="68" t="n"/>
      <c r="I1986" s="69" t="n"/>
      <c r="J1986" s="70" t="str">
        <f>IF(E1986="","",IF(ISNUMBER(I1986),I1986,IFERROR(IF(ISNUMBER(INDEX(art_price,MATCH($E1986,art_ref,0))),INDEX(art_price,MATCH($E1986,art_ref,0)),""),"")))</f>
        <v/>
      </c>
      <c r="K1986" s="71" t="n"/>
      <c r="L1986" s="72" t="n"/>
      <c r="M1986" s="72" t="str">
        <f>IF(E1986="","",IF(L1986&lt;&gt;"",L1986,IFERROR(IF(ISNUMBER(INDEX(art_tva,MATCH($E1986,art_ref,0))),INDEX(art_tva,MATCH($E1986,art_ref,0)),""),"")))</f>
        <v/>
      </c>
      <c r="N1986" s="70" t="str">
        <f>IF(OR(E1986="",J1986=""),"",ROUND(N(H1986)*J1986*(1-N(K1986)),2))</f>
        <v/>
      </c>
      <c r="O1986" s="70" t="str">
        <f>IF(OR(N1986="",NOT(ISNUMBER(M1986))),"",ROUND(N1986*M1986,2))</f>
        <v/>
      </c>
      <c r="P1986" s="70" t="str">
        <f>IF(N1986="","",N1986+N(O1986))</f>
        <v/>
      </c>
      <c r="Q1986" s="64" t="n"/>
      <c r="R1986" s="73" t="str">
        <f>IF(N(Q1986)&gt;0,Q1986,IF(OR(N(B1986)=0,ISNA(MATCH($C1986,sup_code,0))),"",IF(ISNUMBER(INDEX(sup_delay,MATCH($C1986,sup_code,0))),B1986+INDEX(sup_delay,MATCH($C1986,sup_code,0)),"")))</f>
        <v/>
      </c>
      <c r="S1986" s="64" t="n"/>
      <c r="T1986" s="68" t="n"/>
      <c r="U1986" s="64" t="n"/>
      <c r="V1986" s="65" t="n"/>
      <c r="W1986" s="74" t="str">
        <f>IF(AND(A1986="",E1986=""),"",IF(V1986="Oui",0,MAX(0,ROUND(N(H1986)-N(T1986),6))))</f>
        <v/>
      </c>
      <c r="X1986" s="67" t="str">
        <f>IF(AND(A1986="",E1986=""),"",IF(V1986="Oui","Annulé",IF(AND(N(H1986)&gt;0,N(T1986)&gt;=N(H1986)),"Reçu",IF(N(S1986)=0,"Brouillon",IF(AND(ISNUMBER(R1986),R1986&lt;p_today),"En retard",IF(N(T1986)&gt;0,"Partiel","Envoyé"))))))</f>
        <v/>
      </c>
      <c r="Y1986" s="75" t="str">
        <f>IF(X1986="En retard",p_today-R1986,IF(AND(X1986="Reçu",ISNUMBER(R1986)),MAX(0,N(U1986)-R1986),""))</f>
        <v/>
      </c>
      <c r="Z1986" s="67" t="str">
        <f>IF(AND(A1986="",E1986=""),"",IF(A1986="","N° de bon manquant",IF(N(B1986)=0,"Date de commande manquante",IF(C1986="","Fournisseur manquant",IF(ISNA(MATCH($C1986,sup_code,0)),"Fournisseur inconnu",IF(E1986="","Article manquant",IF(ISNA(MATCH($E1986,art_ref,0)),"Article inconnu",IF(N(H1986)&lt;=0,"Quantité invalide",IF(J1986="","Prix manquant",IF(OR(N(K1986)&lt;0,N(K1986)&gt;=1),"Remise invalide",IF(M1986="","TVA manquante",IF(ISNA(MATCH(M1986,p_tva,0)),"Taux de TVA inconnu",IF(COUNTIFS(po_num,A1986,po_sup,"&lt;&gt;"&amp;C1986)&gt;0,"Fournisseur différent sur ce bon",IF(COUNTIFS(po_num,A1986,po_date,"&lt;&gt;"&amp;B1986)&gt;0,"Date différente sur ce bon",IF(COUNTIF(po_num,A1986)&gt;25,"Plus de 25 lignes sur ce bon",IF(R1986="","Date de livraison manquante",IF(R1986&lt;B1986,"Livraison avant la commande",IF(AND(N(T1986)&gt;0,N(S1986)=0),"Date d'envoi manquante",IF(N(T1986)&gt;N(H1986),"Reçu plus que commandé",IF(AND(N(T1986)&gt;0,N(U1986)=0),"Date de réception manquante",IF(AND(N(U1986)&gt;0,U1986&lt;B1986),"Réception avant la commande","OK")))))))))))))))))))))</f>
        <v/>
      </c>
      <c r="AA1986" s="66" t="str">
        <f>IF(AND(X1986="Reçu",ISNUMBER(R1986)),IF(N(U1986)&lt;=R1986,1,0),"")</f>
        <v/>
      </c>
      <c r="AB1986" s="76" t="str">
        <f>IF(OR(X1986="Envoyé",X1986="Partiel",X1986="En retard"),IF(ISNUMBER(R1986),R1986,100000)+ROW()/100000,"")</f>
        <v/>
      </c>
      <c r="AC1986" s="66" t="str">
        <f>IF(A1986="","",IF(COUNTIF($A$6:A1986,A1986)=1,1,""))</f>
        <v/>
      </c>
      <c r="AD1986" s="66" t="str">
        <f>IF(AC1986=1,COUNT($AC$6:AC1986),"")</f>
        <v/>
      </c>
      <c r="AE1986" s="66" t="str">
        <f>IFERROR(INDEX(po_num,MATCH(1981,po_seq,0))&amp;"","")</f>
        <v/>
      </c>
      <c r="AF1986" s="66" t="str">
        <f>IF(OR(A1986="",p_po=""),"",IF(A1986&amp;""=p_po,COUNTIF($A$6:A1986,A1986),""))</f>
        <v/>
      </c>
      <c r="AG1986" s="66" t="str">
        <f>IF(OR(AB1986="",A1986=""),"",IF(COUNTIFS($A$6:A1986,A1986,$AB$6:AB1986,"&gt;0")=1,1,""))</f>
        <v/>
      </c>
      <c r="AH1986" s="70" t="str">
        <f>IF(AB1986="","",ROUND(N(W1986)*N(J1986)*(1-N(K1986)),2))</f>
        <v/>
      </c>
      <c r="AI1986" s="70" t="str">
        <f>IF(OR(J1986="",N(T1986)&lt;=0,V1986="Oui"),"",ROUND(N(T1986)*J1986*(1-N(K1986)),2))</f>
        <v/>
      </c>
    </row>
    <row r="1987">
      <c r="A1987" s="63" t="n"/>
      <c r="B1987" s="64" t="n"/>
      <c r="C1987" s="65" t="n"/>
      <c r="D1987" s="66" t="str">
        <f>IF(C1987="","",IFERROR(INDEX(sup_name,MATCH($C1987,sup_code,0))&amp;"","Fournisseur inconnu"))</f>
        <v/>
      </c>
      <c r="E1987" s="63" t="n"/>
      <c r="F1987" s="66" t="str">
        <f>IF(E1987="","",IFERROR(INDEX(art_des,MATCH($E1987,art_ref,0))&amp;"","Article inconnu"))</f>
        <v/>
      </c>
      <c r="G1987" s="67" t="str">
        <f>IF(E1987="","",IFERROR(INDEX(art_unit,MATCH($E1987,art_ref,0))&amp;"",""))</f>
        <v/>
      </c>
      <c r="H1987" s="68" t="n"/>
      <c r="I1987" s="69" t="n"/>
      <c r="J1987" s="70" t="str">
        <f>IF(E1987="","",IF(ISNUMBER(I1987),I1987,IFERROR(IF(ISNUMBER(INDEX(art_price,MATCH($E1987,art_ref,0))),INDEX(art_price,MATCH($E1987,art_ref,0)),""),"")))</f>
        <v/>
      </c>
      <c r="K1987" s="71" t="n"/>
      <c r="L1987" s="72" t="n"/>
      <c r="M1987" s="72" t="str">
        <f>IF(E1987="","",IF(L1987&lt;&gt;"",L1987,IFERROR(IF(ISNUMBER(INDEX(art_tva,MATCH($E1987,art_ref,0))),INDEX(art_tva,MATCH($E1987,art_ref,0)),""),"")))</f>
        <v/>
      </c>
      <c r="N1987" s="70" t="str">
        <f>IF(OR(E1987="",J1987=""),"",ROUND(N(H1987)*J1987*(1-N(K1987)),2))</f>
        <v/>
      </c>
      <c r="O1987" s="70" t="str">
        <f>IF(OR(N1987="",NOT(ISNUMBER(M1987))),"",ROUND(N1987*M1987,2))</f>
        <v/>
      </c>
      <c r="P1987" s="70" t="str">
        <f>IF(N1987="","",N1987+N(O1987))</f>
        <v/>
      </c>
      <c r="Q1987" s="64" t="n"/>
      <c r="R1987" s="73" t="str">
        <f>IF(N(Q1987)&gt;0,Q1987,IF(OR(N(B1987)=0,ISNA(MATCH($C1987,sup_code,0))),"",IF(ISNUMBER(INDEX(sup_delay,MATCH($C1987,sup_code,0))),B1987+INDEX(sup_delay,MATCH($C1987,sup_code,0)),"")))</f>
        <v/>
      </c>
      <c r="S1987" s="64" t="n"/>
      <c r="T1987" s="68" t="n"/>
      <c r="U1987" s="64" t="n"/>
      <c r="V1987" s="65" t="n"/>
      <c r="W1987" s="74" t="str">
        <f>IF(AND(A1987="",E1987=""),"",IF(V1987="Oui",0,MAX(0,ROUND(N(H1987)-N(T1987),6))))</f>
        <v/>
      </c>
      <c r="X1987" s="67" t="str">
        <f>IF(AND(A1987="",E1987=""),"",IF(V1987="Oui","Annulé",IF(AND(N(H1987)&gt;0,N(T1987)&gt;=N(H1987)),"Reçu",IF(N(S1987)=0,"Brouillon",IF(AND(ISNUMBER(R1987),R1987&lt;p_today),"En retard",IF(N(T1987)&gt;0,"Partiel","Envoyé"))))))</f>
        <v/>
      </c>
      <c r="Y1987" s="75" t="str">
        <f>IF(X1987="En retard",p_today-R1987,IF(AND(X1987="Reçu",ISNUMBER(R1987)),MAX(0,N(U1987)-R1987),""))</f>
        <v/>
      </c>
      <c r="Z1987" s="67" t="str">
        <f>IF(AND(A1987="",E1987=""),"",IF(A1987="","N° de bon manquant",IF(N(B1987)=0,"Date de commande manquante",IF(C1987="","Fournisseur manquant",IF(ISNA(MATCH($C1987,sup_code,0)),"Fournisseur inconnu",IF(E1987="","Article manquant",IF(ISNA(MATCH($E1987,art_ref,0)),"Article inconnu",IF(N(H1987)&lt;=0,"Quantité invalide",IF(J1987="","Prix manquant",IF(OR(N(K1987)&lt;0,N(K1987)&gt;=1),"Remise invalide",IF(M1987="","TVA manquante",IF(ISNA(MATCH(M1987,p_tva,0)),"Taux de TVA inconnu",IF(COUNTIFS(po_num,A1987,po_sup,"&lt;&gt;"&amp;C1987)&gt;0,"Fournisseur différent sur ce bon",IF(COUNTIFS(po_num,A1987,po_date,"&lt;&gt;"&amp;B1987)&gt;0,"Date différente sur ce bon",IF(COUNTIF(po_num,A1987)&gt;25,"Plus de 25 lignes sur ce bon",IF(R1987="","Date de livraison manquante",IF(R1987&lt;B1987,"Livraison avant la commande",IF(AND(N(T1987)&gt;0,N(S1987)=0),"Date d'envoi manquante",IF(N(T1987)&gt;N(H1987),"Reçu plus que commandé",IF(AND(N(T1987)&gt;0,N(U1987)=0),"Date de réception manquante",IF(AND(N(U1987)&gt;0,U1987&lt;B1987),"Réception avant la commande","OK")))))))))))))))))))))</f>
        <v/>
      </c>
      <c r="AA1987" s="66" t="str">
        <f>IF(AND(X1987="Reçu",ISNUMBER(R1987)),IF(N(U1987)&lt;=R1987,1,0),"")</f>
        <v/>
      </c>
      <c r="AB1987" s="76" t="str">
        <f>IF(OR(X1987="Envoyé",X1987="Partiel",X1987="En retard"),IF(ISNUMBER(R1987),R1987,100000)+ROW()/100000,"")</f>
        <v/>
      </c>
      <c r="AC1987" s="66" t="str">
        <f>IF(A1987="","",IF(COUNTIF($A$6:A1987,A1987)=1,1,""))</f>
        <v/>
      </c>
      <c r="AD1987" s="66" t="str">
        <f>IF(AC1987=1,COUNT($AC$6:AC1987),"")</f>
        <v/>
      </c>
      <c r="AE1987" s="66" t="str">
        <f>IFERROR(INDEX(po_num,MATCH(1982,po_seq,0))&amp;"","")</f>
        <v/>
      </c>
      <c r="AF1987" s="66" t="str">
        <f>IF(OR(A1987="",p_po=""),"",IF(A1987&amp;""=p_po,COUNTIF($A$6:A1987,A1987),""))</f>
        <v/>
      </c>
      <c r="AG1987" s="66" t="str">
        <f>IF(OR(AB1987="",A1987=""),"",IF(COUNTIFS($A$6:A1987,A1987,$AB$6:AB1987,"&gt;0")=1,1,""))</f>
        <v/>
      </c>
      <c r="AH1987" s="70" t="str">
        <f>IF(AB1987="","",ROUND(N(W1987)*N(J1987)*(1-N(K1987)),2))</f>
        <v/>
      </c>
      <c r="AI1987" s="70" t="str">
        <f>IF(OR(J1987="",N(T1987)&lt;=0,V1987="Oui"),"",ROUND(N(T1987)*J1987*(1-N(K1987)),2))</f>
        <v/>
      </c>
    </row>
    <row r="1988">
      <c r="A1988" s="63" t="n"/>
      <c r="B1988" s="64" t="n"/>
      <c r="C1988" s="65" t="n"/>
      <c r="D1988" s="66" t="str">
        <f>IF(C1988="","",IFERROR(INDEX(sup_name,MATCH($C1988,sup_code,0))&amp;"","Fournisseur inconnu"))</f>
        <v/>
      </c>
      <c r="E1988" s="63" t="n"/>
      <c r="F1988" s="66" t="str">
        <f>IF(E1988="","",IFERROR(INDEX(art_des,MATCH($E1988,art_ref,0))&amp;"","Article inconnu"))</f>
        <v/>
      </c>
      <c r="G1988" s="67" t="str">
        <f>IF(E1988="","",IFERROR(INDEX(art_unit,MATCH($E1988,art_ref,0))&amp;"",""))</f>
        <v/>
      </c>
      <c r="H1988" s="68" t="n"/>
      <c r="I1988" s="69" t="n"/>
      <c r="J1988" s="70" t="str">
        <f>IF(E1988="","",IF(ISNUMBER(I1988),I1988,IFERROR(IF(ISNUMBER(INDEX(art_price,MATCH($E1988,art_ref,0))),INDEX(art_price,MATCH($E1988,art_ref,0)),""),"")))</f>
        <v/>
      </c>
      <c r="K1988" s="71" t="n"/>
      <c r="L1988" s="72" t="n"/>
      <c r="M1988" s="72" t="str">
        <f>IF(E1988="","",IF(L1988&lt;&gt;"",L1988,IFERROR(IF(ISNUMBER(INDEX(art_tva,MATCH($E1988,art_ref,0))),INDEX(art_tva,MATCH($E1988,art_ref,0)),""),"")))</f>
        <v/>
      </c>
      <c r="N1988" s="70" t="str">
        <f>IF(OR(E1988="",J1988=""),"",ROUND(N(H1988)*J1988*(1-N(K1988)),2))</f>
        <v/>
      </c>
      <c r="O1988" s="70" t="str">
        <f>IF(OR(N1988="",NOT(ISNUMBER(M1988))),"",ROUND(N1988*M1988,2))</f>
        <v/>
      </c>
      <c r="P1988" s="70" t="str">
        <f>IF(N1988="","",N1988+N(O1988))</f>
        <v/>
      </c>
      <c r="Q1988" s="64" t="n"/>
      <c r="R1988" s="73" t="str">
        <f>IF(N(Q1988)&gt;0,Q1988,IF(OR(N(B1988)=0,ISNA(MATCH($C1988,sup_code,0))),"",IF(ISNUMBER(INDEX(sup_delay,MATCH($C1988,sup_code,0))),B1988+INDEX(sup_delay,MATCH($C1988,sup_code,0)),"")))</f>
        <v/>
      </c>
      <c r="S1988" s="64" t="n"/>
      <c r="T1988" s="68" t="n"/>
      <c r="U1988" s="64" t="n"/>
      <c r="V1988" s="65" t="n"/>
      <c r="W1988" s="74" t="str">
        <f>IF(AND(A1988="",E1988=""),"",IF(V1988="Oui",0,MAX(0,ROUND(N(H1988)-N(T1988),6))))</f>
        <v/>
      </c>
      <c r="X1988" s="67" t="str">
        <f>IF(AND(A1988="",E1988=""),"",IF(V1988="Oui","Annulé",IF(AND(N(H1988)&gt;0,N(T1988)&gt;=N(H1988)),"Reçu",IF(N(S1988)=0,"Brouillon",IF(AND(ISNUMBER(R1988),R1988&lt;p_today),"En retard",IF(N(T1988)&gt;0,"Partiel","Envoyé"))))))</f>
        <v/>
      </c>
      <c r="Y1988" s="75" t="str">
        <f>IF(X1988="En retard",p_today-R1988,IF(AND(X1988="Reçu",ISNUMBER(R1988)),MAX(0,N(U1988)-R1988),""))</f>
        <v/>
      </c>
      <c r="Z1988" s="67" t="str">
        <f>IF(AND(A1988="",E1988=""),"",IF(A1988="","N° de bon manquant",IF(N(B1988)=0,"Date de commande manquante",IF(C1988="","Fournisseur manquant",IF(ISNA(MATCH($C1988,sup_code,0)),"Fournisseur inconnu",IF(E1988="","Article manquant",IF(ISNA(MATCH($E1988,art_ref,0)),"Article inconnu",IF(N(H1988)&lt;=0,"Quantité invalide",IF(J1988="","Prix manquant",IF(OR(N(K1988)&lt;0,N(K1988)&gt;=1),"Remise invalide",IF(M1988="","TVA manquante",IF(ISNA(MATCH(M1988,p_tva,0)),"Taux de TVA inconnu",IF(COUNTIFS(po_num,A1988,po_sup,"&lt;&gt;"&amp;C1988)&gt;0,"Fournisseur différent sur ce bon",IF(COUNTIFS(po_num,A1988,po_date,"&lt;&gt;"&amp;B1988)&gt;0,"Date différente sur ce bon",IF(COUNTIF(po_num,A1988)&gt;25,"Plus de 25 lignes sur ce bon",IF(R1988="","Date de livraison manquante",IF(R1988&lt;B1988,"Livraison avant la commande",IF(AND(N(T1988)&gt;0,N(S1988)=0),"Date d'envoi manquante",IF(N(T1988)&gt;N(H1988),"Reçu plus que commandé",IF(AND(N(T1988)&gt;0,N(U1988)=0),"Date de réception manquante",IF(AND(N(U1988)&gt;0,U1988&lt;B1988),"Réception avant la commande","OK")))))))))))))))))))))</f>
        <v/>
      </c>
      <c r="AA1988" s="66" t="str">
        <f>IF(AND(X1988="Reçu",ISNUMBER(R1988)),IF(N(U1988)&lt;=R1988,1,0),"")</f>
        <v/>
      </c>
      <c r="AB1988" s="76" t="str">
        <f>IF(OR(X1988="Envoyé",X1988="Partiel",X1988="En retard"),IF(ISNUMBER(R1988),R1988,100000)+ROW()/100000,"")</f>
        <v/>
      </c>
      <c r="AC1988" s="66" t="str">
        <f>IF(A1988="","",IF(COUNTIF($A$6:A1988,A1988)=1,1,""))</f>
        <v/>
      </c>
      <c r="AD1988" s="66" t="str">
        <f>IF(AC1988=1,COUNT($AC$6:AC1988),"")</f>
        <v/>
      </c>
      <c r="AE1988" s="66" t="str">
        <f>IFERROR(INDEX(po_num,MATCH(1983,po_seq,0))&amp;"","")</f>
        <v/>
      </c>
      <c r="AF1988" s="66" t="str">
        <f>IF(OR(A1988="",p_po=""),"",IF(A1988&amp;""=p_po,COUNTIF($A$6:A1988,A1988),""))</f>
        <v/>
      </c>
      <c r="AG1988" s="66" t="str">
        <f>IF(OR(AB1988="",A1988=""),"",IF(COUNTIFS($A$6:A1988,A1988,$AB$6:AB1988,"&gt;0")=1,1,""))</f>
        <v/>
      </c>
      <c r="AH1988" s="70" t="str">
        <f>IF(AB1988="","",ROUND(N(W1988)*N(J1988)*(1-N(K1988)),2))</f>
        <v/>
      </c>
      <c r="AI1988" s="70" t="str">
        <f>IF(OR(J1988="",N(T1988)&lt;=0,V1988="Oui"),"",ROUND(N(T1988)*J1988*(1-N(K1988)),2))</f>
        <v/>
      </c>
    </row>
    <row r="1989">
      <c r="A1989" s="63" t="n"/>
      <c r="B1989" s="64" t="n"/>
      <c r="C1989" s="65" t="n"/>
      <c r="D1989" s="66" t="str">
        <f>IF(C1989="","",IFERROR(INDEX(sup_name,MATCH($C1989,sup_code,0))&amp;"","Fournisseur inconnu"))</f>
        <v/>
      </c>
      <c r="E1989" s="63" t="n"/>
      <c r="F1989" s="66" t="str">
        <f>IF(E1989="","",IFERROR(INDEX(art_des,MATCH($E1989,art_ref,0))&amp;"","Article inconnu"))</f>
        <v/>
      </c>
      <c r="G1989" s="67" t="str">
        <f>IF(E1989="","",IFERROR(INDEX(art_unit,MATCH($E1989,art_ref,0))&amp;"",""))</f>
        <v/>
      </c>
      <c r="H1989" s="68" t="n"/>
      <c r="I1989" s="69" t="n"/>
      <c r="J1989" s="70" t="str">
        <f>IF(E1989="","",IF(ISNUMBER(I1989),I1989,IFERROR(IF(ISNUMBER(INDEX(art_price,MATCH($E1989,art_ref,0))),INDEX(art_price,MATCH($E1989,art_ref,0)),""),"")))</f>
        <v/>
      </c>
      <c r="K1989" s="71" t="n"/>
      <c r="L1989" s="72" t="n"/>
      <c r="M1989" s="72" t="str">
        <f>IF(E1989="","",IF(L1989&lt;&gt;"",L1989,IFERROR(IF(ISNUMBER(INDEX(art_tva,MATCH($E1989,art_ref,0))),INDEX(art_tva,MATCH($E1989,art_ref,0)),""),"")))</f>
        <v/>
      </c>
      <c r="N1989" s="70" t="str">
        <f>IF(OR(E1989="",J1989=""),"",ROUND(N(H1989)*J1989*(1-N(K1989)),2))</f>
        <v/>
      </c>
      <c r="O1989" s="70" t="str">
        <f>IF(OR(N1989="",NOT(ISNUMBER(M1989))),"",ROUND(N1989*M1989,2))</f>
        <v/>
      </c>
      <c r="P1989" s="70" t="str">
        <f>IF(N1989="","",N1989+N(O1989))</f>
        <v/>
      </c>
      <c r="Q1989" s="64" t="n"/>
      <c r="R1989" s="73" t="str">
        <f>IF(N(Q1989)&gt;0,Q1989,IF(OR(N(B1989)=0,ISNA(MATCH($C1989,sup_code,0))),"",IF(ISNUMBER(INDEX(sup_delay,MATCH($C1989,sup_code,0))),B1989+INDEX(sup_delay,MATCH($C1989,sup_code,0)),"")))</f>
        <v/>
      </c>
      <c r="S1989" s="64" t="n"/>
      <c r="T1989" s="68" t="n"/>
      <c r="U1989" s="64" t="n"/>
      <c r="V1989" s="65" t="n"/>
      <c r="W1989" s="74" t="str">
        <f>IF(AND(A1989="",E1989=""),"",IF(V1989="Oui",0,MAX(0,ROUND(N(H1989)-N(T1989),6))))</f>
        <v/>
      </c>
      <c r="X1989" s="67" t="str">
        <f>IF(AND(A1989="",E1989=""),"",IF(V1989="Oui","Annulé",IF(AND(N(H1989)&gt;0,N(T1989)&gt;=N(H1989)),"Reçu",IF(N(S1989)=0,"Brouillon",IF(AND(ISNUMBER(R1989),R1989&lt;p_today),"En retard",IF(N(T1989)&gt;0,"Partiel","Envoyé"))))))</f>
        <v/>
      </c>
      <c r="Y1989" s="75" t="str">
        <f>IF(X1989="En retard",p_today-R1989,IF(AND(X1989="Reçu",ISNUMBER(R1989)),MAX(0,N(U1989)-R1989),""))</f>
        <v/>
      </c>
      <c r="Z1989" s="67" t="str">
        <f>IF(AND(A1989="",E1989=""),"",IF(A1989="","N° de bon manquant",IF(N(B1989)=0,"Date de commande manquante",IF(C1989="","Fournisseur manquant",IF(ISNA(MATCH($C1989,sup_code,0)),"Fournisseur inconnu",IF(E1989="","Article manquant",IF(ISNA(MATCH($E1989,art_ref,0)),"Article inconnu",IF(N(H1989)&lt;=0,"Quantité invalide",IF(J1989="","Prix manquant",IF(OR(N(K1989)&lt;0,N(K1989)&gt;=1),"Remise invalide",IF(M1989="","TVA manquante",IF(ISNA(MATCH(M1989,p_tva,0)),"Taux de TVA inconnu",IF(COUNTIFS(po_num,A1989,po_sup,"&lt;&gt;"&amp;C1989)&gt;0,"Fournisseur différent sur ce bon",IF(COUNTIFS(po_num,A1989,po_date,"&lt;&gt;"&amp;B1989)&gt;0,"Date différente sur ce bon",IF(COUNTIF(po_num,A1989)&gt;25,"Plus de 25 lignes sur ce bon",IF(R1989="","Date de livraison manquante",IF(R1989&lt;B1989,"Livraison avant la commande",IF(AND(N(T1989)&gt;0,N(S1989)=0),"Date d'envoi manquante",IF(N(T1989)&gt;N(H1989),"Reçu plus que commandé",IF(AND(N(T1989)&gt;0,N(U1989)=0),"Date de réception manquante",IF(AND(N(U1989)&gt;0,U1989&lt;B1989),"Réception avant la commande","OK")))))))))))))))))))))</f>
        <v/>
      </c>
      <c r="AA1989" s="66" t="str">
        <f>IF(AND(X1989="Reçu",ISNUMBER(R1989)),IF(N(U1989)&lt;=R1989,1,0),"")</f>
        <v/>
      </c>
      <c r="AB1989" s="76" t="str">
        <f>IF(OR(X1989="Envoyé",X1989="Partiel",X1989="En retard"),IF(ISNUMBER(R1989),R1989,100000)+ROW()/100000,"")</f>
        <v/>
      </c>
      <c r="AC1989" s="66" t="str">
        <f>IF(A1989="","",IF(COUNTIF($A$6:A1989,A1989)=1,1,""))</f>
        <v/>
      </c>
      <c r="AD1989" s="66" t="str">
        <f>IF(AC1989=1,COUNT($AC$6:AC1989),"")</f>
        <v/>
      </c>
      <c r="AE1989" s="66" t="str">
        <f>IFERROR(INDEX(po_num,MATCH(1984,po_seq,0))&amp;"","")</f>
        <v/>
      </c>
      <c r="AF1989" s="66" t="str">
        <f>IF(OR(A1989="",p_po=""),"",IF(A1989&amp;""=p_po,COUNTIF($A$6:A1989,A1989),""))</f>
        <v/>
      </c>
      <c r="AG1989" s="66" t="str">
        <f>IF(OR(AB1989="",A1989=""),"",IF(COUNTIFS($A$6:A1989,A1989,$AB$6:AB1989,"&gt;0")=1,1,""))</f>
        <v/>
      </c>
      <c r="AH1989" s="70" t="str">
        <f>IF(AB1989="","",ROUND(N(W1989)*N(J1989)*(1-N(K1989)),2))</f>
        <v/>
      </c>
      <c r="AI1989" s="70" t="str">
        <f>IF(OR(J1989="",N(T1989)&lt;=0,V1989="Oui"),"",ROUND(N(T1989)*J1989*(1-N(K1989)),2))</f>
        <v/>
      </c>
    </row>
    <row r="1990">
      <c r="A1990" s="63" t="n"/>
      <c r="B1990" s="64" t="n"/>
      <c r="C1990" s="65" t="n"/>
      <c r="D1990" s="66" t="str">
        <f>IF(C1990="","",IFERROR(INDEX(sup_name,MATCH($C1990,sup_code,0))&amp;"","Fournisseur inconnu"))</f>
        <v/>
      </c>
      <c r="E1990" s="63" t="n"/>
      <c r="F1990" s="66" t="str">
        <f>IF(E1990="","",IFERROR(INDEX(art_des,MATCH($E1990,art_ref,0))&amp;"","Article inconnu"))</f>
        <v/>
      </c>
      <c r="G1990" s="67" t="str">
        <f>IF(E1990="","",IFERROR(INDEX(art_unit,MATCH($E1990,art_ref,0))&amp;"",""))</f>
        <v/>
      </c>
      <c r="H1990" s="68" t="n"/>
      <c r="I1990" s="69" t="n"/>
      <c r="J1990" s="70" t="str">
        <f>IF(E1990="","",IF(ISNUMBER(I1990),I1990,IFERROR(IF(ISNUMBER(INDEX(art_price,MATCH($E1990,art_ref,0))),INDEX(art_price,MATCH($E1990,art_ref,0)),""),"")))</f>
        <v/>
      </c>
      <c r="K1990" s="71" t="n"/>
      <c r="L1990" s="72" t="n"/>
      <c r="M1990" s="72" t="str">
        <f>IF(E1990="","",IF(L1990&lt;&gt;"",L1990,IFERROR(IF(ISNUMBER(INDEX(art_tva,MATCH($E1990,art_ref,0))),INDEX(art_tva,MATCH($E1990,art_ref,0)),""),"")))</f>
        <v/>
      </c>
      <c r="N1990" s="70" t="str">
        <f>IF(OR(E1990="",J1990=""),"",ROUND(N(H1990)*J1990*(1-N(K1990)),2))</f>
        <v/>
      </c>
      <c r="O1990" s="70" t="str">
        <f>IF(OR(N1990="",NOT(ISNUMBER(M1990))),"",ROUND(N1990*M1990,2))</f>
        <v/>
      </c>
      <c r="P1990" s="70" t="str">
        <f>IF(N1990="","",N1990+N(O1990))</f>
        <v/>
      </c>
      <c r="Q1990" s="64" t="n"/>
      <c r="R1990" s="73" t="str">
        <f>IF(N(Q1990)&gt;0,Q1990,IF(OR(N(B1990)=0,ISNA(MATCH($C1990,sup_code,0))),"",IF(ISNUMBER(INDEX(sup_delay,MATCH($C1990,sup_code,0))),B1990+INDEX(sup_delay,MATCH($C1990,sup_code,0)),"")))</f>
        <v/>
      </c>
      <c r="S1990" s="64" t="n"/>
      <c r="T1990" s="68" t="n"/>
      <c r="U1990" s="64" t="n"/>
      <c r="V1990" s="65" t="n"/>
      <c r="W1990" s="74" t="str">
        <f>IF(AND(A1990="",E1990=""),"",IF(V1990="Oui",0,MAX(0,ROUND(N(H1990)-N(T1990),6))))</f>
        <v/>
      </c>
      <c r="X1990" s="67" t="str">
        <f>IF(AND(A1990="",E1990=""),"",IF(V1990="Oui","Annulé",IF(AND(N(H1990)&gt;0,N(T1990)&gt;=N(H1990)),"Reçu",IF(N(S1990)=0,"Brouillon",IF(AND(ISNUMBER(R1990),R1990&lt;p_today),"En retard",IF(N(T1990)&gt;0,"Partiel","Envoyé"))))))</f>
        <v/>
      </c>
      <c r="Y1990" s="75" t="str">
        <f>IF(X1990="En retard",p_today-R1990,IF(AND(X1990="Reçu",ISNUMBER(R1990)),MAX(0,N(U1990)-R1990),""))</f>
        <v/>
      </c>
      <c r="Z1990" s="67" t="str">
        <f>IF(AND(A1990="",E1990=""),"",IF(A1990="","N° de bon manquant",IF(N(B1990)=0,"Date de commande manquante",IF(C1990="","Fournisseur manquant",IF(ISNA(MATCH($C1990,sup_code,0)),"Fournisseur inconnu",IF(E1990="","Article manquant",IF(ISNA(MATCH($E1990,art_ref,0)),"Article inconnu",IF(N(H1990)&lt;=0,"Quantité invalide",IF(J1990="","Prix manquant",IF(OR(N(K1990)&lt;0,N(K1990)&gt;=1),"Remise invalide",IF(M1990="","TVA manquante",IF(ISNA(MATCH(M1990,p_tva,0)),"Taux de TVA inconnu",IF(COUNTIFS(po_num,A1990,po_sup,"&lt;&gt;"&amp;C1990)&gt;0,"Fournisseur différent sur ce bon",IF(COUNTIFS(po_num,A1990,po_date,"&lt;&gt;"&amp;B1990)&gt;0,"Date différente sur ce bon",IF(COUNTIF(po_num,A1990)&gt;25,"Plus de 25 lignes sur ce bon",IF(R1990="","Date de livraison manquante",IF(R1990&lt;B1990,"Livraison avant la commande",IF(AND(N(T1990)&gt;0,N(S1990)=0),"Date d'envoi manquante",IF(N(T1990)&gt;N(H1990),"Reçu plus que commandé",IF(AND(N(T1990)&gt;0,N(U1990)=0),"Date de réception manquante",IF(AND(N(U1990)&gt;0,U1990&lt;B1990),"Réception avant la commande","OK")))))))))))))))))))))</f>
        <v/>
      </c>
      <c r="AA1990" s="66" t="str">
        <f>IF(AND(X1990="Reçu",ISNUMBER(R1990)),IF(N(U1990)&lt;=R1990,1,0),"")</f>
        <v/>
      </c>
      <c r="AB1990" s="76" t="str">
        <f>IF(OR(X1990="Envoyé",X1990="Partiel",X1990="En retard"),IF(ISNUMBER(R1990),R1990,100000)+ROW()/100000,"")</f>
        <v/>
      </c>
      <c r="AC1990" s="66" t="str">
        <f>IF(A1990="","",IF(COUNTIF($A$6:A1990,A1990)=1,1,""))</f>
        <v/>
      </c>
      <c r="AD1990" s="66" t="str">
        <f>IF(AC1990=1,COUNT($AC$6:AC1990),"")</f>
        <v/>
      </c>
      <c r="AE1990" s="66" t="str">
        <f>IFERROR(INDEX(po_num,MATCH(1985,po_seq,0))&amp;"","")</f>
        <v/>
      </c>
      <c r="AF1990" s="66" t="str">
        <f>IF(OR(A1990="",p_po=""),"",IF(A1990&amp;""=p_po,COUNTIF($A$6:A1990,A1990),""))</f>
        <v/>
      </c>
      <c r="AG1990" s="66" t="str">
        <f>IF(OR(AB1990="",A1990=""),"",IF(COUNTIFS($A$6:A1990,A1990,$AB$6:AB1990,"&gt;0")=1,1,""))</f>
        <v/>
      </c>
      <c r="AH1990" s="70" t="str">
        <f>IF(AB1990="","",ROUND(N(W1990)*N(J1990)*(1-N(K1990)),2))</f>
        <v/>
      </c>
      <c r="AI1990" s="70" t="str">
        <f>IF(OR(J1990="",N(T1990)&lt;=0,V1990="Oui"),"",ROUND(N(T1990)*J1990*(1-N(K1990)),2))</f>
        <v/>
      </c>
    </row>
    <row r="1991">
      <c r="A1991" s="63" t="n"/>
      <c r="B1991" s="64" t="n"/>
      <c r="C1991" s="65" t="n"/>
      <c r="D1991" s="66" t="str">
        <f>IF(C1991="","",IFERROR(INDEX(sup_name,MATCH($C1991,sup_code,0))&amp;"","Fournisseur inconnu"))</f>
        <v/>
      </c>
      <c r="E1991" s="63" t="n"/>
      <c r="F1991" s="66" t="str">
        <f>IF(E1991="","",IFERROR(INDEX(art_des,MATCH($E1991,art_ref,0))&amp;"","Article inconnu"))</f>
        <v/>
      </c>
      <c r="G1991" s="67" t="str">
        <f>IF(E1991="","",IFERROR(INDEX(art_unit,MATCH($E1991,art_ref,0))&amp;"",""))</f>
        <v/>
      </c>
      <c r="H1991" s="68" t="n"/>
      <c r="I1991" s="69" t="n"/>
      <c r="J1991" s="70" t="str">
        <f>IF(E1991="","",IF(ISNUMBER(I1991),I1991,IFERROR(IF(ISNUMBER(INDEX(art_price,MATCH($E1991,art_ref,0))),INDEX(art_price,MATCH($E1991,art_ref,0)),""),"")))</f>
        <v/>
      </c>
      <c r="K1991" s="71" t="n"/>
      <c r="L1991" s="72" t="n"/>
      <c r="M1991" s="72" t="str">
        <f>IF(E1991="","",IF(L1991&lt;&gt;"",L1991,IFERROR(IF(ISNUMBER(INDEX(art_tva,MATCH($E1991,art_ref,0))),INDEX(art_tva,MATCH($E1991,art_ref,0)),""),"")))</f>
        <v/>
      </c>
      <c r="N1991" s="70" t="str">
        <f>IF(OR(E1991="",J1991=""),"",ROUND(N(H1991)*J1991*(1-N(K1991)),2))</f>
        <v/>
      </c>
      <c r="O1991" s="70" t="str">
        <f>IF(OR(N1991="",NOT(ISNUMBER(M1991))),"",ROUND(N1991*M1991,2))</f>
        <v/>
      </c>
      <c r="P1991" s="70" t="str">
        <f>IF(N1991="","",N1991+N(O1991))</f>
        <v/>
      </c>
      <c r="Q1991" s="64" t="n"/>
      <c r="R1991" s="73" t="str">
        <f>IF(N(Q1991)&gt;0,Q1991,IF(OR(N(B1991)=0,ISNA(MATCH($C1991,sup_code,0))),"",IF(ISNUMBER(INDEX(sup_delay,MATCH($C1991,sup_code,0))),B1991+INDEX(sup_delay,MATCH($C1991,sup_code,0)),"")))</f>
        <v/>
      </c>
      <c r="S1991" s="64" t="n"/>
      <c r="T1991" s="68" t="n"/>
      <c r="U1991" s="64" t="n"/>
      <c r="V1991" s="65" t="n"/>
      <c r="W1991" s="74" t="str">
        <f>IF(AND(A1991="",E1991=""),"",IF(V1991="Oui",0,MAX(0,ROUND(N(H1991)-N(T1991),6))))</f>
        <v/>
      </c>
      <c r="X1991" s="67" t="str">
        <f>IF(AND(A1991="",E1991=""),"",IF(V1991="Oui","Annulé",IF(AND(N(H1991)&gt;0,N(T1991)&gt;=N(H1991)),"Reçu",IF(N(S1991)=0,"Brouillon",IF(AND(ISNUMBER(R1991),R1991&lt;p_today),"En retard",IF(N(T1991)&gt;0,"Partiel","Envoyé"))))))</f>
        <v/>
      </c>
      <c r="Y1991" s="75" t="str">
        <f>IF(X1991="En retard",p_today-R1991,IF(AND(X1991="Reçu",ISNUMBER(R1991)),MAX(0,N(U1991)-R1991),""))</f>
        <v/>
      </c>
      <c r="Z1991" s="67" t="str">
        <f>IF(AND(A1991="",E1991=""),"",IF(A1991="","N° de bon manquant",IF(N(B1991)=0,"Date de commande manquante",IF(C1991="","Fournisseur manquant",IF(ISNA(MATCH($C1991,sup_code,0)),"Fournisseur inconnu",IF(E1991="","Article manquant",IF(ISNA(MATCH($E1991,art_ref,0)),"Article inconnu",IF(N(H1991)&lt;=0,"Quantité invalide",IF(J1991="","Prix manquant",IF(OR(N(K1991)&lt;0,N(K1991)&gt;=1),"Remise invalide",IF(M1991="","TVA manquante",IF(ISNA(MATCH(M1991,p_tva,0)),"Taux de TVA inconnu",IF(COUNTIFS(po_num,A1991,po_sup,"&lt;&gt;"&amp;C1991)&gt;0,"Fournisseur différent sur ce bon",IF(COUNTIFS(po_num,A1991,po_date,"&lt;&gt;"&amp;B1991)&gt;0,"Date différente sur ce bon",IF(COUNTIF(po_num,A1991)&gt;25,"Plus de 25 lignes sur ce bon",IF(R1991="","Date de livraison manquante",IF(R1991&lt;B1991,"Livraison avant la commande",IF(AND(N(T1991)&gt;0,N(S1991)=0),"Date d'envoi manquante",IF(N(T1991)&gt;N(H1991),"Reçu plus que commandé",IF(AND(N(T1991)&gt;0,N(U1991)=0),"Date de réception manquante",IF(AND(N(U1991)&gt;0,U1991&lt;B1991),"Réception avant la commande","OK")))))))))))))))))))))</f>
        <v/>
      </c>
      <c r="AA1991" s="66" t="str">
        <f>IF(AND(X1991="Reçu",ISNUMBER(R1991)),IF(N(U1991)&lt;=R1991,1,0),"")</f>
        <v/>
      </c>
      <c r="AB1991" s="76" t="str">
        <f>IF(OR(X1991="Envoyé",X1991="Partiel",X1991="En retard"),IF(ISNUMBER(R1991),R1991,100000)+ROW()/100000,"")</f>
        <v/>
      </c>
      <c r="AC1991" s="66" t="str">
        <f>IF(A1991="","",IF(COUNTIF($A$6:A1991,A1991)=1,1,""))</f>
        <v/>
      </c>
      <c r="AD1991" s="66" t="str">
        <f>IF(AC1991=1,COUNT($AC$6:AC1991),"")</f>
        <v/>
      </c>
      <c r="AE1991" s="66" t="str">
        <f>IFERROR(INDEX(po_num,MATCH(1986,po_seq,0))&amp;"","")</f>
        <v/>
      </c>
      <c r="AF1991" s="66" t="str">
        <f>IF(OR(A1991="",p_po=""),"",IF(A1991&amp;""=p_po,COUNTIF($A$6:A1991,A1991),""))</f>
        <v/>
      </c>
      <c r="AG1991" s="66" t="str">
        <f>IF(OR(AB1991="",A1991=""),"",IF(COUNTIFS($A$6:A1991,A1991,$AB$6:AB1991,"&gt;0")=1,1,""))</f>
        <v/>
      </c>
      <c r="AH1991" s="70" t="str">
        <f>IF(AB1991="","",ROUND(N(W1991)*N(J1991)*(1-N(K1991)),2))</f>
        <v/>
      </c>
      <c r="AI1991" s="70" t="str">
        <f>IF(OR(J1991="",N(T1991)&lt;=0,V1991="Oui"),"",ROUND(N(T1991)*J1991*(1-N(K1991)),2))</f>
        <v/>
      </c>
    </row>
    <row r="1992">
      <c r="A1992" s="63" t="n"/>
      <c r="B1992" s="64" t="n"/>
      <c r="C1992" s="65" t="n"/>
      <c r="D1992" s="66" t="str">
        <f>IF(C1992="","",IFERROR(INDEX(sup_name,MATCH($C1992,sup_code,0))&amp;"","Fournisseur inconnu"))</f>
        <v/>
      </c>
      <c r="E1992" s="63" t="n"/>
      <c r="F1992" s="66" t="str">
        <f>IF(E1992="","",IFERROR(INDEX(art_des,MATCH($E1992,art_ref,0))&amp;"","Article inconnu"))</f>
        <v/>
      </c>
      <c r="G1992" s="67" t="str">
        <f>IF(E1992="","",IFERROR(INDEX(art_unit,MATCH($E1992,art_ref,0))&amp;"",""))</f>
        <v/>
      </c>
      <c r="H1992" s="68" t="n"/>
      <c r="I1992" s="69" t="n"/>
      <c r="J1992" s="70" t="str">
        <f>IF(E1992="","",IF(ISNUMBER(I1992),I1992,IFERROR(IF(ISNUMBER(INDEX(art_price,MATCH($E1992,art_ref,0))),INDEX(art_price,MATCH($E1992,art_ref,0)),""),"")))</f>
        <v/>
      </c>
      <c r="K1992" s="71" t="n"/>
      <c r="L1992" s="72" t="n"/>
      <c r="M1992" s="72" t="str">
        <f>IF(E1992="","",IF(L1992&lt;&gt;"",L1992,IFERROR(IF(ISNUMBER(INDEX(art_tva,MATCH($E1992,art_ref,0))),INDEX(art_tva,MATCH($E1992,art_ref,0)),""),"")))</f>
        <v/>
      </c>
      <c r="N1992" s="70" t="str">
        <f>IF(OR(E1992="",J1992=""),"",ROUND(N(H1992)*J1992*(1-N(K1992)),2))</f>
        <v/>
      </c>
      <c r="O1992" s="70" t="str">
        <f>IF(OR(N1992="",NOT(ISNUMBER(M1992))),"",ROUND(N1992*M1992,2))</f>
        <v/>
      </c>
      <c r="P1992" s="70" t="str">
        <f>IF(N1992="","",N1992+N(O1992))</f>
        <v/>
      </c>
      <c r="Q1992" s="64" t="n"/>
      <c r="R1992" s="73" t="str">
        <f>IF(N(Q1992)&gt;0,Q1992,IF(OR(N(B1992)=0,ISNA(MATCH($C1992,sup_code,0))),"",IF(ISNUMBER(INDEX(sup_delay,MATCH($C1992,sup_code,0))),B1992+INDEX(sup_delay,MATCH($C1992,sup_code,0)),"")))</f>
        <v/>
      </c>
      <c r="S1992" s="64" t="n"/>
      <c r="T1992" s="68" t="n"/>
      <c r="U1992" s="64" t="n"/>
      <c r="V1992" s="65" t="n"/>
      <c r="W1992" s="74" t="str">
        <f>IF(AND(A1992="",E1992=""),"",IF(V1992="Oui",0,MAX(0,ROUND(N(H1992)-N(T1992),6))))</f>
        <v/>
      </c>
      <c r="X1992" s="67" t="str">
        <f>IF(AND(A1992="",E1992=""),"",IF(V1992="Oui","Annulé",IF(AND(N(H1992)&gt;0,N(T1992)&gt;=N(H1992)),"Reçu",IF(N(S1992)=0,"Brouillon",IF(AND(ISNUMBER(R1992),R1992&lt;p_today),"En retard",IF(N(T1992)&gt;0,"Partiel","Envoyé"))))))</f>
        <v/>
      </c>
      <c r="Y1992" s="75" t="str">
        <f>IF(X1992="En retard",p_today-R1992,IF(AND(X1992="Reçu",ISNUMBER(R1992)),MAX(0,N(U1992)-R1992),""))</f>
        <v/>
      </c>
      <c r="Z1992" s="67" t="str">
        <f>IF(AND(A1992="",E1992=""),"",IF(A1992="","N° de bon manquant",IF(N(B1992)=0,"Date de commande manquante",IF(C1992="","Fournisseur manquant",IF(ISNA(MATCH($C1992,sup_code,0)),"Fournisseur inconnu",IF(E1992="","Article manquant",IF(ISNA(MATCH($E1992,art_ref,0)),"Article inconnu",IF(N(H1992)&lt;=0,"Quantité invalide",IF(J1992="","Prix manquant",IF(OR(N(K1992)&lt;0,N(K1992)&gt;=1),"Remise invalide",IF(M1992="","TVA manquante",IF(ISNA(MATCH(M1992,p_tva,0)),"Taux de TVA inconnu",IF(COUNTIFS(po_num,A1992,po_sup,"&lt;&gt;"&amp;C1992)&gt;0,"Fournisseur différent sur ce bon",IF(COUNTIFS(po_num,A1992,po_date,"&lt;&gt;"&amp;B1992)&gt;0,"Date différente sur ce bon",IF(COUNTIF(po_num,A1992)&gt;25,"Plus de 25 lignes sur ce bon",IF(R1992="","Date de livraison manquante",IF(R1992&lt;B1992,"Livraison avant la commande",IF(AND(N(T1992)&gt;0,N(S1992)=0),"Date d'envoi manquante",IF(N(T1992)&gt;N(H1992),"Reçu plus que commandé",IF(AND(N(T1992)&gt;0,N(U1992)=0),"Date de réception manquante",IF(AND(N(U1992)&gt;0,U1992&lt;B1992),"Réception avant la commande","OK")))))))))))))))))))))</f>
        <v/>
      </c>
      <c r="AA1992" s="66" t="str">
        <f>IF(AND(X1992="Reçu",ISNUMBER(R1992)),IF(N(U1992)&lt;=R1992,1,0),"")</f>
        <v/>
      </c>
      <c r="AB1992" s="76" t="str">
        <f>IF(OR(X1992="Envoyé",X1992="Partiel",X1992="En retard"),IF(ISNUMBER(R1992),R1992,100000)+ROW()/100000,"")</f>
        <v/>
      </c>
      <c r="AC1992" s="66" t="str">
        <f>IF(A1992="","",IF(COUNTIF($A$6:A1992,A1992)=1,1,""))</f>
        <v/>
      </c>
      <c r="AD1992" s="66" t="str">
        <f>IF(AC1992=1,COUNT($AC$6:AC1992),"")</f>
        <v/>
      </c>
      <c r="AE1992" s="66" t="str">
        <f>IFERROR(INDEX(po_num,MATCH(1987,po_seq,0))&amp;"","")</f>
        <v/>
      </c>
      <c r="AF1992" s="66" t="str">
        <f>IF(OR(A1992="",p_po=""),"",IF(A1992&amp;""=p_po,COUNTIF($A$6:A1992,A1992),""))</f>
        <v/>
      </c>
      <c r="AG1992" s="66" t="str">
        <f>IF(OR(AB1992="",A1992=""),"",IF(COUNTIFS($A$6:A1992,A1992,$AB$6:AB1992,"&gt;0")=1,1,""))</f>
        <v/>
      </c>
      <c r="AH1992" s="70" t="str">
        <f>IF(AB1992="","",ROUND(N(W1992)*N(J1992)*(1-N(K1992)),2))</f>
        <v/>
      </c>
      <c r="AI1992" s="70" t="str">
        <f>IF(OR(J1992="",N(T1992)&lt;=0,V1992="Oui"),"",ROUND(N(T1992)*J1992*(1-N(K1992)),2))</f>
        <v/>
      </c>
    </row>
    <row r="1993">
      <c r="A1993" s="63" t="n"/>
      <c r="B1993" s="64" t="n"/>
      <c r="C1993" s="65" t="n"/>
      <c r="D1993" s="66" t="str">
        <f>IF(C1993="","",IFERROR(INDEX(sup_name,MATCH($C1993,sup_code,0))&amp;"","Fournisseur inconnu"))</f>
        <v/>
      </c>
      <c r="E1993" s="63" t="n"/>
      <c r="F1993" s="66" t="str">
        <f>IF(E1993="","",IFERROR(INDEX(art_des,MATCH($E1993,art_ref,0))&amp;"","Article inconnu"))</f>
        <v/>
      </c>
      <c r="G1993" s="67" t="str">
        <f>IF(E1993="","",IFERROR(INDEX(art_unit,MATCH($E1993,art_ref,0))&amp;"",""))</f>
        <v/>
      </c>
      <c r="H1993" s="68" t="n"/>
      <c r="I1993" s="69" t="n"/>
      <c r="J1993" s="70" t="str">
        <f>IF(E1993="","",IF(ISNUMBER(I1993),I1993,IFERROR(IF(ISNUMBER(INDEX(art_price,MATCH($E1993,art_ref,0))),INDEX(art_price,MATCH($E1993,art_ref,0)),""),"")))</f>
        <v/>
      </c>
      <c r="K1993" s="71" t="n"/>
      <c r="L1993" s="72" t="n"/>
      <c r="M1993" s="72" t="str">
        <f>IF(E1993="","",IF(L1993&lt;&gt;"",L1993,IFERROR(IF(ISNUMBER(INDEX(art_tva,MATCH($E1993,art_ref,0))),INDEX(art_tva,MATCH($E1993,art_ref,0)),""),"")))</f>
        <v/>
      </c>
      <c r="N1993" s="70" t="str">
        <f>IF(OR(E1993="",J1993=""),"",ROUND(N(H1993)*J1993*(1-N(K1993)),2))</f>
        <v/>
      </c>
      <c r="O1993" s="70" t="str">
        <f>IF(OR(N1993="",NOT(ISNUMBER(M1993))),"",ROUND(N1993*M1993,2))</f>
        <v/>
      </c>
      <c r="P1993" s="70" t="str">
        <f>IF(N1993="","",N1993+N(O1993))</f>
        <v/>
      </c>
      <c r="Q1993" s="64" t="n"/>
      <c r="R1993" s="73" t="str">
        <f>IF(N(Q1993)&gt;0,Q1993,IF(OR(N(B1993)=0,ISNA(MATCH($C1993,sup_code,0))),"",IF(ISNUMBER(INDEX(sup_delay,MATCH($C1993,sup_code,0))),B1993+INDEX(sup_delay,MATCH($C1993,sup_code,0)),"")))</f>
        <v/>
      </c>
      <c r="S1993" s="64" t="n"/>
      <c r="T1993" s="68" t="n"/>
      <c r="U1993" s="64" t="n"/>
      <c r="V1993" s="65" t="n"/>
      <c r="W1993" s="74" t="str">
        <f>IF(AND(A1993="",E1993=""),"",IF(V1993="Oui",0,MAX(0,ROUND(N(H1993)-N(T1993),6))))</f>
        <v/>
      </c>
      <c r="X1993" s="67" t="str">
        <f>IF(AND(A1993="",E1993=""),"",IF(V1993="Oui","Annulé",IF(AND(N(H1993)&gt;0,N(T1993)&gt;=N(H1993)),"Reçu",IF(N(S1993)=0,"Brouillon",IF(AND(ISNUMBER(R1993),R1993&lt;p_today),"En retard",IF(N(T1993)&gt;0,"Partiel","Envoyé"))))))</f>
        <v/>
      </c>
      <c r="Y1993" s="75" t="str">
        <f>IF(X1993="En retard",p_today-R1993,IF(AND(X1993="Reçu",ISNUMBER(R1993)),MAX(0,N(U1993)-R1993),""))</f>
        <v/>
      </c>
      <c r="Z1993" s="67" t="str">
        <f>IF(AND(A1993="",E1993=""),"",IF(A1993="","N° de bon manquant",IF(N(B1993)=0,"Date de commande manquante",IF(C1993="","Fournisseur manquant",IF(ISNA(MATCH($C1993,sup_code,0)),"Fournisseur inconnu",IF(E1993="","Article manquant",IF(ISNA(MATCH($E1993,art_ref,0)),"Article inconnu",IF(N(H1993)&lt;=0,"Quantité invalide",IF(J1993="","Prix manquant",IF(OR(N(K1993)&lt;0,N(K1993)&gt;=1),"Remise invalide",IF(M1993="","TVA manquante",IF(ISNA(MATCH(M1993,p_tva,0)),"Taux de TVA inconnu",IF(COUNTIFS(po_num,A1993,po_sup,"&lt;&gt;"&amp;C1993)&gt;0,"Fournisseur différent sur ce bon",IF(COUNTIFS(po_num,A1993,po_date,"&lt;&gt;"&amp;B1993)&gt;0,"Date différente sur ce bon",IF(COUNTIF(po_num,A1993)&gt;25,"Plus de 25 lignes sur ce bon",IF(R1993="","Date de livraison manquante",IF(R1993&lt;B1993,"Livraison avant la commande",IF(AND(N(T1993)&gt;0,N(S1993)=0),"Date d'envoi manquante",IF(N(T1993)&gt;N(H1993),"Reçu plus que commandé",IF(AND(N(T1993)&gt;0,N(U1993)=0),"Date de réception manquante",IF(AND(N(U1993)&gt;0,U1993&lt;B1993),"Réception avant la commande","OK")))))))))))))))))))))</f>
        <v/>
      </c>
      <c r="AA1993" s="66" t="str">
        <f>IF(AND(X1993="Reçu",ISNUMBER(R1993)),IF(N(U1993)&lt;=R1993,1,0),"")</f>
        <v/>
      </c>
      <c r="AB1993" s="76" t="str">
        <f>IF(OR(X1993="Envoyé",X1993="Partiel",X1993="En retard"),IF(ISNUMBER(R1993),R1993,100000)+ROW()/100000,"")</f>
        <v/>
      </c>
      <c r="AC1993" s="66" t="str">
        <f>IF(A1993="","",IF(COUNTIF($A$6:A1993,A1993)=1,1,""))</f>
        <v/>
      </c>
      <c r="AD1993" s="66" t="str">
        <f>IF(AC1993=1,COUNT($AC$6:AC1993),"")</f>
        <v/>
      </c>
      <c r="AE1993" s="66" t="str">
        <f>IFERROR(INDEX(po_num,MATCH(1988,po_seq,0))&amp;"","")</f>
        <v/>
      </c>
      <c r="AF1993" s="66" t="str">
        <f>IF(OR(A1993="",p_po=""),"",IF(A1993&amp;""=p_po,COUNTIF($A$6:A1993,A1993),""))</f>
        <v/>
      </c>
      <c r="AG1993" s="66" t="str">
        <f>IF(OR(AB1993="",A1993=""),"",IF(COUNTIFS($A$6:A1993,A1993,$AB$6:AB1993,"&gt;0")=1,1,""))</f>
        <v/>
      </c>
      <c r="AH1993" s="70" t="str">
        <f>IF(AB1993="","",ROUND(N(W1993)*N(J1993)*(1-N(K1993)),2))</f>
        <v/>
      </c>
      <c r="AI1993" s="70" t="str">
        <f>IF(OR(J1993="",N(T1993)&lt;=0,V1993="Oui"),"",ROUND(N(T1993)*J1993*(1-N(K1993)),2))</f>
        <v/>
      </c>
    </row>
    <row r="1994">
      <c r="A1994" s="63" t="n"/>
      <c r="B1994" s="64" t="n"/>
      <c r="C1994" s="65" t="n"/>
      <c r="D1994" s="66" t="str">
        <f>IF(C1994="","",IFERROR(INDEX(sup_name,MATCH($C1994,sup_code,0))&amp;"","Fournisseur inconnu"))</f>
        <v/>
      </c>
      <c r="E1994" s="63" t="n"/>
      <c r="F1994" s="66" t="str">
        <f>IF(E1994="","",IFERROR(INDEX(art_des,MATCH($E1994,art_ref,0))&amp;"","Article inconnu"))</f>
        <v/>
      </c>
      <c r="G1994" s="67" t="str">
        <f>IF(E1994="","",IFERROR(INDEX(art_unit,MATCH($E1994,art_ref,0))&amp;"",""))</f>
        <v/>
      </c>
      <c r="H1994" s="68" t="n"/>
      <c r="I1994" s="69" t="n"/>
      <c r="J1994" s="70" t="str">
        <f>IF(E1994="","",IF(ISNUMBER(I1994),I1994,IFERROR(IF(ISNUMBER(INDEX(art_price,MATCH($E1994,art_ref,0))),INDEX(art_price,MATCH($E1994,art_ref,0)),""),"")))</f>
        <v/>
      </c>
      <c r="K1994" s="71" t="n"/>
      <c r="L1994" s="72" t="n"/>
      <c r="M1994" s="72" t="str">
        <f>IF(E1994="","",IF(L1994&lt;&gt;"",L1994,IFERROR(IF(ISNUMBER(INDEX(art_tva,MATCH($E1994,art_ref,0))),INDEX(art_tva,MATCH($E1994,art_ref,0)),""),"")))</f>
        <v/>
      </c>
      <c r="N1994" s="70" t="str">
        <f>IF(OR(E1994="",J1994=""),"",ROUND(N(H1994)*J1994*(1-N(K1994)),2))</f>
        <v/>
      </c>
      <c r="O1994" s="70" t="str">
        <f>IF(OR(N1994="",NOT(ISNUMBER(M1994))),"",ROUND(N1994*M1994,2))</f>
        <v/>
      </c>
      <c r="P1994" s="70" t="str">
        <f>IF(N1994="","",N1994+N(O1994))</f>
        <v/>
      </c>
      <c r="Q1994" s="64" t="n"/>
      <c r="R1994" s="73" t="str">
        <f>IF(N(Q1994)&gt;0,Q1994,IF(OR(N(B1994)=0,ISNA(MATCH($C1994,sup_code,0))),"",IF(ISNUMBER(INDEX(sup_delay,MATCH($C1994,sup_code,0))),B1994+INDEX(sup_delay,MATCH($C1994,sup_code,0)),"")))</f>
        <v/>
      </c>
      <c r="S1994" s="64" t="n"/>
      <c r="T1994" s="68" t="n"/>
      <c r="U1994" s="64" t="n"/>
      <c r="V1994" s="65" t="n"/>
      <c r="W1994" s="74" t="str">
        <f>IF(AND(A1994="",E1994=""),"",IF(V1994="Oui",0,MAX(0,ROUND(N(H1994)-N(T1994),6))))</f>
        <v/>
      </c>
      <c r="X1994" s="67" t="str">
        <f>IF(AND(A1994="",E1994=""),"",IF(V1994="Oui","Annulé",IF(AND(N(H1994)&gt;0,N(T1994)&gt;=N(H1994)),"Reçu",IF(N(S1994)=0,"Brouillon",IF(AND(ISNUMBER(R1994),R1994&lt;p_today),"En retard",IF(N(T1994)&gt;0,"Partiel","Envoyé"))))))</f>
        <v/>
      </c>
      <c r="Y1994" s="75" t="str">
        <f>IF(X1994="En retard",p_today-R1994,IF(AND(X1994="Reçu",ISNUMBER(R1994)),MAX(0,N(U1994)-R1994),""))</f>
        <v/>
      </c>
      <c r="Z1994" s="67" t="str">
        <f>IF(AND(A1994="",E1994=""),"",IF(A1994="","N° de bon manquant",IF(N(B1994)=0,"Date de commande manquante",IF(C1994="","Fournisseur manquant",IF(ISNA(MATCH($C1994,sup_code,0)),"Fournisseur inconnu",IF(E1994="","Article manquant",IF(ISNA(MATCH($E1994,art_ref,0)),"Article inconnu",IF(N(H1994)&lt;=0,"Quantité invalide",IF(J1994="","Prix manquant",IF(OR(N(K1994)&lt;0,N(K1994)&gt;=1),"Remise invalide",IF(M1994="","TVA manquante",IF(ISNA(MATCH(M1994,p_tva,0)),"Taux de TVA inconnu",IF(COUNTIFS(po_num,A1994,po_sup,"&lt;&gt;"&amp;C1994)&gt;0,"Fournisseur différent sur ce bon",IF(COUNTIFS(po_num,A1994,po_date,"&lt;&gt;"&amp;B1994)&gt;0,"Date différente sur ce bon",IF(COUNTIF(po_num,A1994)&gt;25,"Plus de 25 lignes sur ce bon",IF(R1994="","Date de livraison manquante",IF(R1994&lt;B1994,"Livraison avant la commande",IF(AND(N(T1994)&gt;0,N(S1994)=0),"Date d'envoi manquante",IF(N(T1994)&gt;N(H1994),"Reçu plus que commandé",IF(AND(N(T1994)&gt;0,N(U1994)=0),"Date de réception manquante",IF(AND(N(U1994)&gt;0,U1994&lt;B1994),"Réception avant la commande","OK")))))))))))))))))))))</f>
        <v/>
      </c>
      <c r="AA1994" s="66" t="str">
        <f>IF(AND(X1994="Reçu",ISNUMBER(R1994)),IF(N(U1994)&lt;=R1994,1,0),"")</f>
        <v/>
      </c>
      <c r="AB1994" s="76" t="str">
        <f>IF(OR(X1994="Envoyé",X1994="Partiel",X1994="En retard"),IF(ISNUMBER(R1994),R1994,100000)+ROW()/100000,"")</f>
        <v/>
      </c>
      <c r="AC1994" s="66" t="str">
        <f>IF(A1994="","",IF(COUNTIF($A$6:A1994,A1994)=1,1,""))</f>
        <v/>
      </c>
      <c r="AD1994" s="66" t="str">
        <f>IF(AC1994=1,COUNT($AC$6:AC1994),"")</f>
        <v/>
      </c>
      <c r="AE1994" s="66" t="str">
        <f>IFERROR(INDEX(po_num,MATCH(1989,po_seq,0))&amp;"","")</f>
        <v/>
      </c>
      <c r="AF1994" s="66" t="str">
        <f>IF(OR(A1994="",p_po=""),"",IF(A1994&amp;""=p_po,COUNTIF($A$6:A1994,A1994),""))</f>
        <v/>
      </c>
      <c r="AG1994" s="66" t="str">
        <f>IF(OR(AB1994="",A1994=""),"",IF(COUNTIFS($A$6:A1994,A1994,$AB$6:AB1994,"&gt;0")=1,1,""))</f>
        <v/>
      </c>
      <c r="AH1994" s="70" t="str">
        <f>IF(AB1994="","",ROUND(N(W1994)*N(J1994)*(1-N(K1994)),2))</f>
        <v/>
      </c>
      <c r="AI1994" s="70" t="str">
        <f>IF(OR(J1994="",N(T1994)&lt;=0,V1994="Oui"),"",ROUND(N(T1994)*J1994*(1-N(K1994)),2))</f>
        <v/>
      </c>
    </row>
    <row r="1995">
      <c r="A1995" s="63" t="n"/>
      <c r="B1995" s="64" t="n"/>
      <c r="C1995" s="65" t="n"/>
      <c r="D1995" s="66" t="str">
        <f>IF(C1995="","",IFERROR(INDEX(sup_name,MATCH($C1995,sup_code,0))&amp;"","Fournisseur inconnu"))</f>
        <v/>
      </c>
      <c r="E1995" s="63" t="n"/>
      <c r="F1995" s="66" t="str">
        <f>IF(E1995="","",IFERROR(INDEX(art_des,MATCH($E1995,art_ref,0))&amp;"","Article inconnu"))</f>
        <v/>
      </c>
      <c r="G1995" s="67" t="str">
        <f>IF(E1995="","",IFERROR(INDEX(art_unit,MATCH($E1995,art_ref,0))&amp;"",""))</f>
        <v/>
      </c>
      <c r="H1995" s="68" t="n"/>
      <c r="I1995" s="69" t="n"/>
      <c r="J1995" s="70" t="str">
        <f>IF(E1995="","",IF(ISNUMBER(I1995),I1995,IFERROR(IF(ISNUMBER(INDEX(art_price,MATCH($E1995,art_ref,0))),INDEX(art_price,MATCH($E1995,art_ref,0)),""),"")))</f>
        <v/>
      </c>
      <c r="K1995" s="71" t="n"/>
      <c r="L1995" s="72" t="n"/>
      <c r="M1995" s="72" t="str">
        <f>IF(E1995="","",IF(L1995&lt;&gt;"",L1995,IFERROR(IF(ISNUMBER(INDEX(art_tva,MATCH($E1995,art_ref,0))),INDEX(art_tva,MATCH($E1995,art_ref,0)),""),"")))</f>
        <v/>
      </c>
      <c r="N1995" s="70" t="str">
        <f>IF(OR(E1995="",J1995=""),"",ROUND(N(H1995)*J1995*(1-N(K1995)),2))</f>
        <v/>
      </c>
      <c r="O1995" s="70" t="str">
        <f>IF(OR(N1995="",NOT(ISNUMBER(M1995))),"",ROUND(N1995*M1995,2))</f>
        <v/>
      </c>
      <c r="P1995" s="70" t="str">
        <f>IF(N1995="","",N1995+N(O1995))</f>
        <v/>
      </c>
      <c r="Q1995" s="64" t="n"/>
      <c r="R1995" s="73" t="str">
        <f>IF(N(Q1995)&gt;0,Q1995,IF(OR(N(B1995)=0,ISNA(MATCH($C1995,sup_code,0))),"",IF(ISNUMBER(INDEX(sup_delay,MATCH($C1995,sup_code,0))),B1995+INDEX(sup_delay,MATCH($C1995,sup_code,0)),"")))</f>
        <v/>
      </c>
      <c r="S1995" s="64" t="n"/>
      <c r="T1995" s="68" t="n"/>
      <c r="U1995" s="64" t="n"/>
      <c r="V1995" s="65" t="n"/>
      <c r="W1995" s="74" t="str">
        <f>IF(AND(A1995="",E1995=""),"",IF(V1995="Oui",0,MAX(0,ROUND(N(H1995)-N(T1995),6))))</f>
        <v/>
      </c>
      <c r="X1995" s="67" t="str">
        <f>IF(AND(A1995="",E1995=""),"",IF(V1995="Oui","Annulé",IF(AND(N(H1995)&gt;0,N(T1995)&gt;=N(H1995)),"Reçu",IF(N(S1995)=0,"Brouillon",IF(AND(ISNUMBER(R1995),R1995&lt;p_today),"En retard",IF(N(T1995)&gt;0,"Partiel","Envoyé"))))))</f>
        <v/>
      </c>
      <c r="Y1995" s="75" t="str">
        <f>IF(X1995="En retard",p_today-R1995,IF(AND(X1995="Reçu",ISNUMBER(R1995)),MAX(0,N(U1995)-R1995),""))</f>
        <v/>
      </c>
      <c r="Z1995" s="67" t="str">
        <f>IF(AND(A1995="",E1995=""),"",IF(A1995="","N° de bon manquant",IF(N(B1995)=0,"Date de commande manquante",IF(C1995="","Fournisseur manquant",IF(ISNA(MATCH($C1995,sup_code,0)),"Fournisseur inconnu",IF(E1995="","Article manquant",IF(ISNA(MATCH($E1995,art_ref,0)),"Article inconnu",IF(N(H1995)&lt;=0,"Quantité invalide",IF(J1995="","Prix manquant",IF(OR(N(K1995)&lt;0,N(K1995)&gt;=1),"Remise invalide",IF(M1995="","TVA manquante",IF(ISNA(MATCH(M1995,p_tva,0)),"Taux de TVA inconnu",IF(COUNTIFS(po_num,A1995,po_sup,"&lt;&gt;"&amp;C1995)&gt;0,"Fournisseur différent sur ce bon",IF(COUNTIFS(po_num,A1995,po_date,"&lt;&gt;"&amp;B1995)&gt;0,"Date différente sur ce bon",IF(COUNTIF(po_num,A1995)&gt;25,"Plus de 25 lignes sur ce bon",IF(R1995="","Date de livraison manquante",IF(R1995&lt;B1995,"Livraison avant la commande",IF(AND(N(T1995)&gt;0,N(S1995)=0),"Date d'envoi manquante",IF(N(T1995)&gt;N(H1995),"Reçu plus que commandé",IF(AND(N(T1995)&gt;0,N(U1995)=0),"Date de réception manquante",IF(AND(N(U1995)&gt;0,U1995&lt;B1995),"Réception avant la commande","OK")))))))))))))))))))))</f>
        <v/>
      </c>
      <c r="AA1995" s="66" t="str">
        <f>IF(AND(X1995="Reçu",ISNUMBER(R1995)),IF(N(U1995)&lt;=R1995,1,0),"")</f>
        <v/>
      </c>
      <c r="AB1995" s="76" t="str">
        <f>IF(OR(X1995="Envoyé",X1995="Partiel",X1995="En retard"),IF(ISNUMBER(R1995),R1995,100000)+ROW()/100000,"")</f>
        <v/>
      </c>
      <c r="AC1995" s="66" t="str">
        <f>IF(A1995="","",IF(COUNTIF($A$6:A1995,A1995)=1,1,""))</f>
        <v/>
      </c>
      <c r="AD1995" s="66" t="str">
        <f>IF(AC1995=1,COUNT($AC$6:AC1995),"")</f>
        <v/>
      </c>
      <c r="AE1995" s="66" t="str">
        <f>IFERROR(INDEX(po_num,MATCH(1990,po_seq,0))&amp;"","")</f>
        <v/>
      </c>
      <c r="AF1995" s="66" t="str">
        <f>IF(OR(A1995="",p_po=""),"",IF(A1995&amp;""=p_po,COUNTIF($A$6:A1995,A1995),""))</f>
        <v/>
      </c>
      <c r="AG1995" s="66" t="str">
        <f>IF(OR(AB1995="",A1995=""),"",IF(COUNTIFS($A$6:A1995,A1995,$AB$6:AB1995,"&gt;0")=1,1,""))</f>
        <v/>
      </c>
      <c r="AH1995" s="70" t="str">
        <f>IF(AB1995="","",ROUND(N(W1995)*N(J1995)*(1-N(K1995)),2))</f>
        <v/>
      </c>
      <c r="AI1995" s="70" t="str">
        <f>IF(OR(J1995="",N(T1995)&lt;=0,V1995="Oui"),"",ROUND(N(T1995)*J1995*(1-N(K1995)),2))</f>
        <v/>
      </c>
    </row>
    <row r="1996">
      <c r="A1996" s="63" t="n"/>
      <c r="B1996" s="64" t="n"/>
      <c r="C1996" s="65" t="n"/>
      <c r="D1996" s="66" t="str">
        <f>IF(C1996="","",IFERROR(INDEX(sup_name,MATCH($C1996,sup_code,0))&amp;"","Fournisseur inconnu"))</f>
        <v/>
      </c>
      <c r="E1996" s="63" t="n"/>
      <c r="F1996" s="66" t="str">
        <f>IF(E1996="","",IFERROR(INDEX(art_des,MATCH($E1996,art_ref,0))&amp;"","Article inconnu"))</f>
        <v/>
      </c>
      <c r="G1996" s="67" t="str">
        <f>IF(E1996="","",IFERROR(INDEX(art_unit,MATCH($E1996,art_ref,0))&amp;"",""))</f>
        <v/>
      </c>
      <c r="H1996" s="68" t="n"/>
      <c r="I1996" s="69" t="n"/>
      <c r="J1996" s="70" t="str">
        <f>IF(E1996="","",IF(ISNUMBER(I1996),I1996,IFERROR(IF(ISNUMBER(INDEX(art_price,MATCH($E1996,art_ref,0))),INDEX(art_price,MATCH($E1996,art_ref,0)),""),"")))</f>
        <v/>
      </c>
      <c r="K1996" s="71" t="n"/>
      <c r="L1996" s="72" t="n"/>
      <c r="M1996" s="72" t="str">
        <f>IF(E1996="","",IF(L1996&lt;&gt;"",L1996,IFERROR(IF(ISNUMBER(INDEX(art_tva,MATCH($E1996,art_ref,0))),INDEX(art_tva,MATCH($E1996,art_ref,0)),""),"")))</f>
        <v/>
      </c>
      <c r="N1996" s="70" t="str">
        <f>IF(OR(E1996="",J1996=""),"",ROUND(N(H1996)*J1996*(1-N(K1996)),2))</f>
        <v/>
      </c>
      <c r="O1996" s="70" t="str">
        <f>IF(OR(N1996="",NOT(ISNUMBER(M1996))),"",ROUND(N1996*M1996,2))</f>
        <v/>
      </c>
      <c r="P1996" s="70" t="str">
        <f>IF(N1996="","",N1996+N(O1996))</f>
        <v/>
      </c>
      <c r="Q1996" s="64" t="n"/>
      <c r="R1996" s="73" t="str">
        <f>IF(N(Q1996)&gt;0,Q1996,IF(OR(N(B1996)=0,ISNA(MATCH($C1996,sup_code,0))),"",IF(ISNUMBER(INDEX(sup_delay,MATCH($C1996,sup_code,0))),B1996+INDEX(sup_delay,MATCH($C1996,sup_code,0)),"")))</f>
        <v/>
      </c>
      <c r="S1996" s="64" t="n"/>
      <c r="T1996" s="68" t="n"/>
      <c r="U1996" s="64" t="n"/>
      <c r="V1996" s="65" t="n"/>
      <c r="W1996" s="74" t="str">
        <f>IF(AND(A1996="",E1996=""),"",IF(V1996="Oui",0,MAX(0,ROUND(N(H1996)-N(T1996),6))))</f>
        <v/>
      </c>
      <c r="X1996" s="67" t="str">
        <f>IF(AND(A1996="",E1996=""),"",IF(V1996="Oui","Annulé",IF(AND(N(H1996)&gt;0,N(T1996)&gt;=N(H1996)),"Reçu",IF(N(S1996)=0,"Brouillon",IF(AND(ISNUMBER(R1996),R1996&lt;p_today),"En retard",IF(N(T1996)&gt;0,"Partiel","Envoyé"))))))</f>
        <v/>
      </c>
      <c r="Y1996" s="75" t="str">
        <f>IF(X1996="En retard",p_today-R1996,IF(AND(X1996="Reçu",ISNUMBER(R1996)),MAX(0,N(U1996)-R1996),""))</f>
        <v/>
      </c>
      <c r="Z1996" s="67" t="str">
        <f>IF(AND(A1996="",E1996=""),"",IF(A1996="","N° de bon manquant",IF(N(B1996)=0,"Date de commande manquante",IF(C1996="","Fournisseur manquant",IF(ISNA(MATCH($C1996,sup_code,0)),"Fournisseur inconnu",IF(E1996="","Article manquant",IF(ISNA(MATCH($E1996,art_ref,0)),"Article inconnu",IF(N(H1996)&lt;=0,"Quantité invalide",IF(J1996="","Prix manquant",IF(OR(N(K1996)&lt;0,N(K1996)&gt;=1),"Remise invalide",IF(M1996="","TVA manquante",IF(ISNA(MATCH(M1996,p_tva,0)),"Taux de TVA inconnu",IF(COUNTIFS(po_num,A1996,po_sup,"&lt;&gt;"&amp;C1996)&gt;0,"Fournisseur différent sur ce bon",IF(COUNTIFS(po_num,A1996,po_date,"&lt;&gt;"&amp;B1996)&gt;0,"Date différente sur ce bon",IF(COUNTIF(po_num,A1996)&gt;25,"Plus de 25 lignes sur ce bon",IF(R1996="","Date de livraison manquante",IF(R1996&lt;B1996,"Livraison avant la commande",IF(AND(N(T1996)&gt;0,N(S1996)=0),"Date d'envoi manquante",IF(N(T1996)&gt;N(H1996),"Reçu plus que commandé",IF(AND(N(T1996)&gt;0,N(U1996)=0),"Date de réception manquante",IF(AND(N(U1996)&gt;0,U1996&lt;B1996),"Réception avant la commande","OK")))))))))))))))))))))</f>
        <v/>
      </c>
      <c r="AA1996" s="66" t="str">
        <f>IF(AND(X1996="Reçu",ISNUMBER(R1996)),IF(N(U1996)&lt;=R1996,1,0),"")</f>
        <v/>
      </c>
      <c r="AB1996" s="76" t="str">
        <f>IF(OR(X1996="Envoyé",X1996="Partiel",X1996="En retard"),IF(ISNUMBER(R1996),R1996,100000)+ROW()/100000,"")</f>
        <v/>
      </c>
      <c r="AC1996" s="66" t="str">
        <f>IF(A1996="","",IF(COUNTIF($A$6:A1996,A1996)=1,1,""))</f>
        <v/>
      </c>
      <c r="AD1996" s="66" t="str">
        <f>IF(AC1996=1,COUNT($AC$6:AC1996),"")</f>
        <v/>
      </c>
      <c r="AE1996" s="66" t="str">
        <f>IFERROR(INDEX(po_num,MATCH(1991,po_seq,0))&amp;"","")</f>
        <v/>
      </c>
      <c r="AF1996" s="66" t="str">
        <f>IF(OR(A1996="",p_po=""),"",IF(A1996&amp;""=p_po,COUNTIF($A$6:A1996,A1996),""))</f>
        <v/>
      </c>
      <c r="AG1996" s="66" t="str">
        <f>IF(OR(AB1996="",A1996=""),"",IF(COUNTIFS($A$6:A1996,A1996,$AB$6:AB1996,"&gt;0")=1,1,""))</f>
        <v/>
      </c>
      <c r="AH1996" s="70" t="str">
        <f>IF(AB1996="","",ROUND(N(W1996)*N(J1996)*(1-N(K1996)),2))</f>
        <v/>
      </c>
      <c r="AI1996" s="70" t="str">
        <f>IF(OR(J1996="",N(T1996)&lt;=0,V1996="Oui"),"",ROUND(N(T1996)*J1996*(1-N(K1996)),2))</f>
        <v/>
      </c>
    </row>
    <row r="1997">
      <c r="A1997" s="63" t="n"/>
      <c r="B1997" s="64" t="n"/>
      <c r="C1997" s="65" t="n"/>
      <c r="D1997" s="66" t="str">
        <f>IF(C1997="","",IFERROR(INDEX(sup_name,MATCH($C1997,sup_code,0))&amp;"","Fournisseur inconnu"))</f>
        <v/>
      </c>
      <c r="E1997" s="63" t="n"/>
      <c r="F1997" s="66" t="str">
        <f>IF(E1997="","",IFERROR(INDEX(art_des,MATCH($E1997,art_ref,0))&amp;"","Article inconnu"))</f>
        <v/>
      </c>
      <c r="G1997" s="67" t="str">
        <f>IF(E1997="","",IFERROR(INDEX(art_unit,MATCH($E1997,art_ref,0))&amp;"",""))</f>
        <v/>
      </c>
      <c r="H1997" s="68" t="n"/>
      <c r="I1997" s="69" t="n"/>
      <c r="J1997" s="70" t="str">
        <f>IF(E1997="","",IF(ISNUMBER(I1997),I1997,IFERROR(IF(ISNUMBER(INDEX(art_price,MATCH($E1997,art_ref,0))),INDEX(art_price,MATCH($E1997,art_ref,0)),""),"")))</f>
        <v/>
      </c>
      <c r="K1997" s="71" t="n"/>
      <c r="L1997" s="72" t="n"/>
      <c r="M1997" s="72" t="str">
        <f>IF(E1997="","",IF(L1997&lt;&gt;"",L1997,IFERROR(IF(ISNUMBER(INDEX(art_tva,MATCH($E1997,art_ref,0))),INDEX(art_tva,MATCH($E1997,art_ref,0)),""),"")))</f>
        <v/>
      </c>
      <c r="N1997" s="70" t="str">
        <f>IF(OR(E1997="",J1997=""),"",ROUND(N(H1997)*J1997*(1-N(K1997)),2))</f>
        <v/>
      </c>
      <c r="O1997" s="70" t="str">
        <f>IF(OR(N1997="",NOT(ISNUMBER(M1997))),"",ROUND(N1997*M1997,2))</f>
        <v/>
      </c>
      <c r="P1997" s="70" t="str">
        <f>IF(N1997="","",N1997+N(O1997))</f>
        <v/>
      </c>
      <c r="Q1997" s="64" t="n"/>
      <c r="R1997" s="73" t="str">
        <f>IF(N(Q1997)&gt;0,Q1997,IF(OR(N(B1997)=0,ISNA(MATCH($C1997,sup_code,0))),"",IF(ISNUMBER(INDEX(sup_delay,MATCH($C1997,sup_code,0))),B1997+INDEX(sup_delay,MATCH($C1997,sup_code,0)),"")))</f>
        <v/>
      </c>
      <c r="S1997" s="64" t="n"/>
      <c r="T1997" s="68" t="n"/>
      <c r="U1997" s="64" t="n"/>
      <c r="V1997" s="65" t="n"/>
      <c r="W1997" s="74" t="str">
        <f>IF(AND(A1997="",E1997=""),"",IF(V1997="Oui",0,MAX(0,ROUND(N(H1997)-N(T1997),6))))</f>
        <v/>
      </c>
      <c r="X1997" s="67" t="str">
        <f>IF(AND(A1997="",E1997=""),"",IF(V1997="Oui","Annulé",IF(AND(N(H1997)&gt;0,N(T1997)&gt;=N(H1997)),"Reçu",IF(N(S1997)=0,"Brouillon",IF(AND(ISNUMBER(R1997),R1997&lt;p_today),"En retard",IF(N(T1997)&gt;0,"Partiel","Envoyé"))))))</f>
        <v/>
      </c>
      <c r="Y1997" s="75" t="str">
        <f>IF(X1997="En retard",p_today-R1997,IF(AND(X1997="Reçu",ISNUMBER(R1997)),MAX(0,N(U1997)-R1997),""))</f>
        <v/>
      </c>
      <c r="Z1997" s="67" t="str">
        <f>IF(AND(A1997="",E1997=""),"",IF(A1997="","N° de bon manquant",IF(N(B1997)=0,"Date de commande manquante",IF(C1997="","Fournisseur manquant",IF(ISNA(MATCH($C1997,sup_code,0)),"Fournisseur inconnu",IF(E1997="","Article manquant",IF(ISNA(MATCH($E1997,art_ref,0)),"Article inconnu",IF(N(H1997)&lt;=0,"Quantité invalide",IF(J1997="","Prix manquant",IF(OR(N(K1997)&lt;0,N(K1997)&gt;=1),"Remise invalide",IF(M1997="","TVA manquante",IF(ISNA(MATCH(M1997,p_tva,0)),"Taux de TVA inconnu",IF(COUNTIFS(po_num,A1997,po_sup,"&lt;&gt;"&amp;C1997)&gt;0,"Fournisseur différent sur ce bon",IF(COUNTIFS(po_num,A1997,po_date,"&lt;&gt;"&amp;B1997)&gt;0,"Date différente sur ce bon",IF(COUNTIF(po_num,A1997)&gt;25,"Plus de 25 lignes sur ce bon",IF(R1997="","Date de livraison manquante",IF(R1997&lt;B1997,"Livraison avant la commande",IF(AND(N(T1997)&gt;0,N(S1997)=0),"Date d'envoi manquante",IF(N(T1997)&gt;N(H1997),"Reçu plus que commandé",IF(AND(N(T1997)&gt;0,N(U1997)=0),"Date de réception manquante",IF(AND(N(U1997)&gt;0,U1997&lt;B1997),"Réception avant la commande","OK")))))))))))))))))))))</f>
        <v/>
      </c>
      <c r="AA1997" s="66" t="str">
        <f>IF(AND(X1997="Reçu",ISNUMBER(R1997)),IF(N(U1997)&lt;=R1997,1,0),"")</f>
        <v/>
      </c>
      <c r="AB1997" s="76" t="str">
        <f>IF(OR(X1997="Envoyé",X1997="Partiel",X1997="En retard"),IF(ISNUMBER(R1997),R1997,100000)+ROW()/100000,"")</f>
        <v/>
      </c>
      <c r="AC1997" s="66" t="str">
        <f>IF(A1997="","",IF(COUNTIF($A$6:A1997,A1997)=1,1,""))</f>
        <v/>
      </c>
      <c r="AD1997" s="66" t="str">
        <f>IF(AC1997=1,COUNT($AC$6:AC1997),"")</f>
        <v/>
      </c>
      <c r="AE1997" s="66" t="str">
        <f>IFERROR(INDEX(po_num,MATCH(1992,po_seq,0))&amp;"","")</f>
        <v/>
      </c>
      <c r="AF1997" s="66" t="str">
        <f>IF(OR(A1997="",p_po=""),"",IF(A1997&amp;""=p_po,COUNTIF($A$6:A1997,A1997),""))</f>
        <v/>
      </c>
      <c r="AG1997" s="66" t="str">
        <f>IF(OR(AB1997="",A1997=""),"",IF(COUNTIFS($A$6:A1997,A1997,$AB$6:AB1997,"&gt;0")=1,1,""))</f>
        <v/>
      </c>
      <c r="AH1997" s="70" t="str">
        <f>IF(AB1997="","",ROUND(N(W1997)*N(J1997)*(1-N(K1997)),2))</f>
        <v/>
      </c>
      <c r="AI1997" s="70" t="str">
        <f>IF(OR(J1997="",N(T1997)&lt;=0,V1997="Oui"),"",ROUND(N(T1997)*J1997*(1-N(K1997)),2))</f>
        <v/>
      </c>
    </row>
    <row r="1998">
      <c r="A1998" s="63" t="n"/>
      <c r="B1998" s="64" t="n"/>
      <c r="C1998" s="65" t="n"/>
      <c r="D1998" s="66" t="str">
        <f>IF(C1998="","",IFERROR(INDEX(sup_name,MATCH($C1998,sup_code,0))&amp;"","Fournisseur inconnu"))</f>
        <v/>
      </c>
      <c r="E1998" s="63" t="n"/>
      <c r="F1998" s="66" t="str">
        <f>IF(E1998="","",IFERROR(INDEX(art_des,MATCH($E1998,art_ref,0))&amp;"","Article inconnu"))</f>
        <v/>
      </c>
      <c r="G1998" s="67" t="str">
        <f>IF(E1998="","",IFERROR(INDEX(art_unit,MATCH($E1998,art_ref,0))&amp;"",""))</f>
        <v/>
      </c>
      <c r="H1998" s="68" t="n"/>
      <c r="I1998" s="69" t="n"/>
      <c r="J1998" s="70" t="str">
        <f>IF(E1998="","",IF(ISNUMBER(I1998),I1998,IFERROR(IF(ISNUMBER(INDEX(art_price,MATCH($E1998,art_ref,0))),INDEX(art_price,MATCH($E1998,art_ref,0)),""),"")))</f>
        <v/>
      </c>
      <c r="K1998" s="71" t="n"/>
      <c r="L1998" s="72" t="n"/>
      <c r="M1998" s="72" t="str">
        <f>IF(E1998="","",IF(L1998&lt;&gt;"",L1998,IFERROR(IF(ISNUMBER(INDEX(art_tva,MATCH($E1998,art_ref,0))),INDEX(art_tva,MATCH($E1998,art_ref,0)),""),"")))</f>
        <v/>
      </c>
      <c r="N1998" s="70" t="str">
        <f>IF(OR(E1998="",J1998=""),"",ROUND(N(H1998)*J1998*(1-N(K1998)),2))</f>
        <v/>
      </c>
      <c r="O1998" s="70" t="str">
        <f>IF(OR(N1998="",NOT(ISNUMBER(M1998))),"",ROUND(N1998*M1998,2))</f>
        <v/>
      </c>
      <c r="P1998" s="70" t="str">
        <f>IF(N1998="","",N1998+N(O1998))</f>
        <v/>
      </c>
      <c r="Q1998" s="64" t="n"/>
      <c r="R1998" s="73" t="str">
        <f>IF(N(Q1998)&gt;0,Q1998,IF(OR(N(B1998)=0,ISNA(MATCH($C1998,sup_code,0))),"",IF(ISNUMBER(INDEX(sup_delay,MATCH($C1998,sup_code,0))),B1998+INDEX(sup_delay,MATCH($C1998,sup_code,0)),"")))</f>
        <v/>
      </c>
      <c r="S1998" s="64" t="n"/>
      <c r="T1998" s="68" t="n"/>
      <c r="U1998" s="64" t="n"/>
      <c r="V1998" s="65" t="n"/>
      <c r="W1998" s="74" t="str">
        <f>IF(AND(A1998="",E1998=""),"",IF(V1998="Oui",0,MAX(0,ROUND(N(H1998)-N(T1998),6))))</f>
        <v/>
      </c>
      <c r="X1998" s="67" t="str">
        <f>IF(AND(A1998="",E1998=""),"",IF(V1998="Oui","Annulé",IF(AND(N(H1998)&gt;0,N(T1998)&gt;=N(H1998)),"Reçu",IF(N(S1998)=0,"Brouillon",IF(AND(ISNUMBER(R1998),R1998&lt;p_today),"En retard",IF(N(T1998)&gt;0,"Partiel","Envoyé"))))))</f>
        <v/>
      </c>
      <c r="Y1998" s="75" t="str">
        <f>IF(X1998="En retard",p_today-R1998,IF(AND(X1998="Reçu",ISNUMBER(R1998)),MAX(0,N(U1998)-R1998),""))</f>
        <v/>
      </c>
      <c r="Z1998" s="67" t="str">
        <f>IF(AND(A1998="",E1998=""),"",IF(A1998="","N° de bon manquant",IF(N(B1998)=0,"Date de commande manquante",IF(C1998="","Fournisseur manquant",IF(ISNA(MATCH($C1998,sup_code,0)),"Fournisseur inconnu",IF(E1998="","Article manquant",IF(ISNA(MATCH($E1998,art_ref,0)),"Article inconnu",IF(N(H1998)&lt;=0,"Quantité invalide",IF(J1998="","Prix manquant",IF(OR(N(K1998)&lt;0,N(K1998)&gt;=1),"Remise invalide",IF(M1998="","TVA manquante",IF(ISNA(MATCH(M1998,p_tva,0)),"Taux de TVA inconnu",IF(COUNTIFS(po_num,A1998,po_sup,"&lt;&gt;"&amp;C1998)&gt;0,"Fournisseur différent sur ce bon",IF(COUNTIFS(po_num,A1998,po_date,"&lt;&gt;"&amp;B1998)&gt;0,"Date différente sur ce bon",IF(COUNTIF(po_num,A1998)&gt;25,"Plus de 25 lignes sur ce bon",IF(R1998="","Date de livraison manquante",IF(R1998&lt;B1998,"Livraison avant la commande",IF(AND(N(T1998)&gt;0,N(S1998)=0),"Date d'envoi manquante",IF(N(T1998)&gt;N(H1998),"Reçu plus que commandé",IF(AND(N(T1998)&gt;0,N(U1998)=0),"Date de réception manquante",IF(AND(N(U1998)&gt;0,U1998&lt;B1998),"Réception avant la commande","OK")))))))))))))))))))))</f>
        <v/>
      </c>
      <c r="AA1998" s="66" t="str">
        <f>IF(AND(X1998="Reçu",ISNUMBER(R1998)),IF(N(U1998)&lt;=R1998,1,0),"")</f>
        <v/>
      </c>
      <c r="AB1998" s="76" t="str">
        <f>IF(OR(X1998="Envoyé",X1998="Partiel",X1998="En retard"),IF(ISNUMBER(R1998),R1998,100000)+ROW()/100000,"")</f>
        <v/>
      </c>
      <c r="AC1998" s="66" t="str">
        <f>IF(A1998="","",IF(COUNTIF($A$6:A1998,A1998)=1,1,""))</f>
        <v/>
      </c>
      <c r="AD1998" s="66" t="str">
        <f>IF(AC1998=1,COUNT($AC$6:AC1998),"")</f>
        <v/>
      </c>
      <c r="AE1998" s="66" t="str">
        <f>IFERROR(INDEX(po_num,MATCH(1993,po_seq,0))&amp;"","")</f>
        <v/>
      </c>
      <c r="AF1998" s="66" t="str">
        <f>IF(OR(A1998="",p_po=""),"",IF(A1998&amp;""=p_po,COUNTIF($A$6:A1998,A1998),""))</f>
        <v/>
      </c>
      <c r="AG1998" s="66" t="str">
        <f>IF(OR(AB1998="",A1998=""),"",IF(COUNTIFS($A$6:A1998,A1998,$AB$6:AB1998,"&gt;0")=1,1,""))</f>
        <v/>
      </c>
      <c r="AH1998" s="70" t="str">
        <f>IF(AB1998="","",ROUND(N(W1998)*N(J1998)*(1-N(K1998)),2))</f>
        <v/>
      </c>
      <c r="AI1998" s="70" t="str">
        <f>IF(OR(J1998="",N(T1998)&lt;=0,V1998="Oui"),"",ROUND(N(T1998)*J1998*(1-N(K1998)),2))</f>
        <v/>
      </c>
    </row>
    <row r="1999">
      <c r="A1999" s="63" t="n"/>
      <c r="B1999" s="64" t="n"/>
      <c r="C1999" s="65" t="n"/>
      <c r="D1999" s="66" t="str">
        <f>IF(C1999="","",IFERROR(INDEX(sup_name,MATCH($C1999,sup_code,0))&amp;"","Fournisseur inconnu"))</f>
        <v/>
      </c>
      <c r="E1999" s="63" t="n"/>
      <c r="F1999" s="66" t="str">
        <f>IF(E1999="","",IFERROR(INDEX(art_des,MATCH($E1999,art_ref,0))&amp;"","Article inconnu"))</f>
        <v/>
      </c>
      <c r="G1999" s="67" t="str">
        <f>IF(E1999="","",IFERROR(INDEX(art_unit,MATCH($E1999,art_ref,0))&amp;"",""))</f>
        <v/>
      </c>
      <c r="H1999" s="68" t="n"/>
      <c r="I1999" s="69" t="n"/>
      <c r="J1999" s="70" t="str">
        <f>IF(E1999="","",IF(ISNUMBER(I1999),I1999,IFERROR(IF(ISNUMBER(INDEX(art_price,MATCH($E1999,art_ref,0))),INDEX(art_price,MATCH($E1999,art_ref,0)),""),"")))</f>
        <v/>
      </c>
      <c r="K1999" s="71" t="n"/>
      <c r="L1999" s="72" t="n"/>
      <c r="M1999" s="72" t="str">
        <f>IF(E1999="","",IF(L1999&lt;&gt;"",L1999,IFERROR(IF(ISNUMBER(INDEX(art_tva,MATCH($E1999,art_ref,0))),INDEX(art_tva,MATCH($E1999,art_ref,0)),""),"")))</f>
        <v/>
      </c>
      <c r="N1999" s="70" t="str">
        <f>IF(OR(E1999="",J1999=""),"",ROUND(N(H1999)*J1999*(1-N(K1999)),2))</f>
        <v/>
      </c>
      <c r="O1999" s="70" t="str">
        <f>IF(OR(N1999="",NOT(ISNUMBER(M1999))),"",ROUND(N1999*M1999,2))</f>
        <v/>
      </c>
      <c r="P1999" s="70" t="str">
        <f>IF(N1999="","",N1999+N(O1999))</f>
        <v/>
      </c>
      <c r="Q1999" s="64" t="n"/>
      <c r="R1999" s="73" t="str">
        <f>IF(N(Q1999)&gt;0,Q1999,IF(OR(N(B1999)=0,ISNA(MATCH($C1999,sup_code,0))),"",IF(ISNUMBER(INDEX(sup_delay,MATCH($C1999,sup_code,0))),B1999+INDEX(sup_delay,MATCH($C1999,sup_code,0)),"")))</f>
        <v/>
      </c>
      <c r="S1999" s="64" t="n"/>
      <c r="T1999" s="68" t="n"/>
      <c r="U1999" s="64" t="n"/>
      <c r="V1999" s="65" t="n"/>
      <c r="W1999" s="74" t="str">
        <f>IF(AND(A1999="",E1999=""),"",IF(V1999="Oui",0,MAX(0,ROUND(N(H1999)-N(T1999),6))))</f>
        <v/>
      </c>
      <c r="X1999" s="67" t="str">
        <f>IF(AND(A1999="",E1999=""),"",IF(V1999="Oui","Annulé",IF(AND(N(H1999)&gt;0,N(T1999)&gt;=N(H1999)),"Reçu",IF(N(S1999)=0,"Brouillon",IF(AND(ISNUMBER(R1999),R1999&lt;p_today),"En retard",IF(N(T1999)&gt;0,"Partiel","Envoyé"))))))</f>
        <v/>
      </c>
      <c r="Y1999" s="75" t="str">
        <f>IF(X1999="En retard",p_today-R1999,IF(AND(X1999="Reçu",ISNUMBER(R1999)),MAX(0,N(U1999)-R1999),""))</f>
        <v/>
      </c>
      <c r="Z1999" s="67" t="str">
        <f>IF(AND(A1999="",E1999=""),"",IF(A1999="","N° de bon manquant",IF(N(B1999)=0,"Date de commande manquante",IF(C1999="","Fournisseur manquant",IF(ISNA(MATCH($C1999,sup_code,0)),"Fournisseur inconnu",IF(E1999="","Article manquant",IF(ISNA(MATCH($E1999,art_ref,0)),"Article inconnu",IF(N(H1999)&lt;=0,"Quantité invalide",IF(J1999="","Prix manquant",IF(OR(N(K1999)&lt;0,N(K1999)&gt;=1),"Remise invalide",IF(M1999="","TVA manquante",IF(ISNA(MATCH(M1999,p_tva,0)),"Taux de TVA inconnu",IF(COUNTIFS(po_num,A1999,po_sup,"&lt;&gt;"&amp;C1999)&gt;0,"Fournisseur différent sur ce bon",IF(COUNTIFS(po_num,A1999,po_date,"&lt;&gt;"&amp;B1999)&gt;0,"Date différente sur ce bon",IF(COUNTIF(po_num,A1999)&gt;25,"Plus de 25 lignes sur ce bon",IF(R1999="","Date de livraison manquante",IF(R1999&lt;B1999,"Livraison avant la commande",IF(AND(N(T1999)&gt;0,N(S1999)=0),"Date d'envoi manquante",IF(N(T1999)&gt;N(H1999),"Reçu plus que commandé",IF(AND(N(T1999)&gt;0,N(U1999)=0),"Date de réception manquante",IF(AND(N(U1999)&gt;0,U1999&lt;B1999),"Réception avant la commande","OK")))))))))))))))))))))</f>
        <v/>
      </c>
      <c r="AA1999" s="66" t="str">
        <f>IF(AND(X1999="Reçu",ISNUMBER(R1999)),IF(N(U1999)&lt;=R1999,1,0),"")</f>
        <v/>
      </c>
      <c r="AB1999" s="76" t="str">
        <f>IF(OR(X1999="Envoyé",X1999="Partiel",X1999="En retard"),IF(ISNUMBER(R1999),R1999,100000)+ROW()/100000,"")</f>
        <v/>
      </c>
      <c r="AC1999" s="66" t="str">
        <f>IF(A1999="","",IF(COUNTIF($A$6:A1999,A1999)=1,1,""))</f>
        <v/>
      </c>
      <c r="AD1999" s="66" t="str">
        <f>IF(AC1999=1,COUNT($AC$6:AC1999),"")</f>
        <v/>
      </c>
      <c r="AE1999" s="66" t="str">
        <f>IFERROR(INDEX(po_num,MATCH(1994,po_seq,0))&amp;"","")</f>
        <v/>
      </c>
      <c r="AF1999" s="66" t="str">
        <f>IF(OR(A1999="",p_po=""),"",IF(A1999&amp;""=p_po,COUNTIF($A$6:A1999,A1999),""))</f>
        <v/>
      </c>
      <c r="AG1999" s="66" t="str">
        <f>IF(OR(AB1999="",A1999=""),"",IF(COUNTIFS($A$6:A1999,A1999,$AB$6:AB1999,"&gt;0")=1,1,""))</f>
        <v/>
      </c>
      <c r="AH1999" s="70" t="str">
        <f>IF(AB1999="","",ROUND(N(W1999)*N(J1999)*(1-N(K1999)),2))</f>
        <v/>
      </c>
      <c r="AI1999" s="70" t="str">
        <f>IF(OR(J1999="",N(T1999)&lt;=0,V1999="Oui"),"",ROUND(N(T1999)*J1999*(1-N(K1999)),2))</f>
        <v/>
      </c>
    </row>
    <row r="2000">
      <c r="A2000" s="63" t="n"/>
      <c r="B2000" s="64" t="n"/>
      <c r="C2000" s="65" t="n"/>
      <c r="D2000" s="66" t="str">
        <f>IF(C2000="","",IFERROR(INDEX(sup_name,MATCH($C2000,sup_code,0))&amp;"","Fournisseur inconnu"))</f>
        <v/>
      </c>
      <c r="E2000" s="63" t="n"/>
      <c r="F2000" s="66" t="str">
        <f>IF(E2000="","",IFERROR(INDEX(art_des,MATCH($E2000,art_ref,0))&amp;"","Article inconnu"))</f>
        <v/>
      </c>
      <c r="G2000" s="67" t="str">
        <f>IF(E2000="","",IFERROR(INDEX(art_unit,MATCH($E2000,art_ref,0))&amp;"",""))</f>
        <v/>
      </c>
      <c r="H2000" s="68" t="n"/>
      <c r="I2000" s="69" t="n"/>
      <c r="J2000" s="70" t="str">
        <f>IF(E2000="","",IF(ISNUMBER(I2000),I2000,IFERROR(IF(ISNUMBER(INDEX(art_price,MATCH($E2000,art_ref,0))),INDEX(art_price,MATCH($E2000,art_ref,0)),""),"")))</f>
        <v/>
      </c>
      <c r="K2000" s="71" t="n"/>
      <c r="L2000" s="72" t="n"/>
      <c r="M2000" s="72" t="str">
        <f>IF(E2000="","",IF(L2000&lt;&gt;"",L2000,IFERROR(IF(ISNUMBER(INDEX(art_tva,MATCH($E2000,art_ref,0))),INDEX(art_tva,MATCH($E2000,art_ref,0)),""),"")))</f>
        <v/>
      </c>
      <c r="N2000" s="70" t="str">
        <f>IF(OR(E2000="",J2000=""),"",ROUND(N(H2000)*J2000*(1-N(K2000)),2))</f>
        <v/>
      </c>
      <c r="O2000" s="70" t="str">
        <f>IF(OR(N2000="",NOT(ISNUMBER(M2000))),"",ROUND(N2000*M2000,2))</f>
        <v/>
      </c>
      <c r="P2000" s="70" t="str">
        <f>IF(N2000="","",N2000+N(O2000))</f>
        <v/>
      </c>
      <c r="Q2000" s="64" t="n"/>
      <c r="R2000" s="73" t="str">
        <f>IF(N(Q2000)&gt;0,Q2000,IF(OR(N(B2000)=0,ISNA(MATCH($C2000,sup_code,0))),"",IF(ISNUMBER(INDEX(sup_delay,MATCH($C2000,sup_code,0))),B2000+INDEX(sup_delay,MATCH($C2000,sup_code,0)),"")))</f>
        <v/>
      </c>
      <c r="S2000" s="64" t="n"/>
      <c r="T2000" s="68" t="n"/>
      <c r="U2000" s="64" t="n"/>
      <c r="V2000" s="65" t="n"/>
      <c r="W2000" s="74" t="str">
        <f>IF(AND(A2000="",E2000=""),"",IF(V2000="Oui",0,MAX(0,ROUND(N(H2000)-N(T2000),6))))</f>
        <v/>
      </c>
      <c r="X2000" s="67" t="str">
        <f>IF(AND(A2000="",E2000=""),"",IF(V2000="Oui","Annulé",IF(AND(N(H2000)&gt;0,N(T2000)&gt;=N(H2000)),"Reçu",IF(N(S2000)=0,"Brouillon",IF(AND(ISNUMBER(R2000),R2000&lt;p_today),"En retard",IF(N(T2000)&gt;0,"Partiel","Envoyé"))))))</f>
        <v/>
      </c>
      <c r="Y2000" s="75" t="str">
        <f>IF(X2000="En retard",p_today-R2000,IF(AND(X2000="Reçu",ISNUMBER(R2000)),MAX(0,N(U2000)-R2000),""))</f>
        <v/>
      </c>
      <c r="Z2000" s="67" t="str">
        <f>IF(AND(A2000="",E2000=""),"",IF(A2000="","N° de bon manquant",IF(N(B2000)=0,"Date de commande manquante",IF(C2000="","Fournisseur manquant",IF(ISNA(MATCH($C2000,sup_code,0)),"Fournisseur inconnu",IF(E2000="","Article manquant",IF(ISNA(MATCH($E2000,art_ref,0)),"Article inconnu",IF(N(H2000)&lt;=0,"Quantité invalide",IF(J2000="","Prix manquant",IF(OR(N(K2000)&lt;0,N(K2000)&gt;=1),"Remise invalide",IF(M2000="","TVA manquante",IF(ISNA(MATCH(M2000,p_tva,0)),"Taux de TVA inconnu",IF(COUNTIFS(po_num,A2000,po_sup,"&lt;&gt;"&amp;C2000)&gt;0,"Fournisseur différent sur ce bon",IF(COUNTIFS(po_num,A2000,po_date,"&lt;&gt;"&amp;B2000)&gt;0,"Date différente sur ce bon",IF(COUNTIF(po_num,A2000)&gt;25,"Plus de 25 lignes sur ce bon",IF(R2000="","Date de livraison manquante",IF(R2000&lt;B2000,"Livraison avant la commande",IF(AND(N(T2000)&gt;0,N(S2000)=0),"Date d'envoi manquante",IF(N(T2000)&gt;N(H2000),"Reçu plus que commandé",IF(AND(N(T2000)&gt;0,N(U2000)=0),"Date de réception manquante",IF(AND(N(U2000)&gt;0,U2000&lt;B2000),"Réception avant la commande","OK")))))))))))))))))))))</f>
        <v/>
      </c>
      <c r="AA2000" s="66" t="str">
        <f>IF(AND(X2000="Reçu",ISNUMBER(R2000)),IF(N(U2000)&lt;=R2000,1,0),"")</f>
        <v/>
      </c>
      <c r="AB2000" s="76" t="str">
        <f>IF(OR(X2000="Envoyé",X2000="Partiel",X2000="En retard"),IF(ISNUMBER(R2000),R2000,100000)+ROW()/100000,"")</f>
        <v/>
      </c>
      <c r="AC2000" s="66" t="str">
        <f>IF(A2000="","",IF(COUNTIF($A$6:A2000,A2000)=1,1,""))</f>
        <v/>
      </c>
      <c r="AD2000" s="66" t="str">
        <f>IF(AC2000=1,COUNT($AC$6:AC2000),"")</f>
        <v/>
      </c>
      <c r="AE2000" s="66" t="str">
        <f>IFERROR(INDEX(po_num,MATCH(1995,po_seq,0))&amp;"","")</f>
        <v/>
      </c>
      <c r="AF2000" s="66" t="str">
        <f>IF(OR(A2000="",p_po=""),"",IF(A2000&amp;""=p_po,COUNTIF($A$6:A2000,A2000),""))</f>
        <v/>
      </c>
      <c r="AG2000" s="66" t="str">
        <f>IF(OR(AB2000="",A2000=""),"",IF(COUNTIFS($A$6:A2000,A2000,$AB$6:AB2000,"&gt;0")=1,1,""))</f>
        <v/>
      </c>
      <c r="AH2000" s="70" t="str">
        <f>IF(AB2000="","",ROUND(N(W2000)*N(J2000)*(1-N(K2000)),2))</f>
        <v/>
      </c>
      <c r="AI2000" s="70" t="str">
        <f>IF(OR(J2000="",N(T2000)&lt;=0,V2000="Oui"),"",ROUND(N(T2000)*J2000*(1-N(K2000)),2))</f>
        <v/>
      </c>
    </row>
    <row r="2001">
      <c r="A2001" s="63" t="n"/>
      <c r="B2001" s="64" t="n"/>
      <c r="C2001" s="65" t="n"/>
      <c r="D2001" s="66" t="str">
        <f>IF(C2001="","",IFERROR(INDEX(sup_name,MATCH($C2001,sup_code,0))&amp;"","Fournisseur inconnu"))</f>
        <v/>
      </c>
      <c r="E2001" s="63" t="n"/>
      <c r="F2001" s="66" t="str">
        <f>IF(E2001="","",IFERROR(INDEX(art_des,MATCH($E2001,art_ref,0))&amp;"","Article inconnu"))</f>
        <v/>
      </c>
      <c r="G2001" s="67" t="str">
        <f>IF(E2001="","",IFERROR(INDEX(art_unit,MATCH($E2001,art_ref,0))&amp;"",""))</f>
        <v/>
      </c>
      <c r="H2001" s="68" t="n"/>
      <c r="I2001" s="69" t="n"/>
      <c r="J2001" s="70" t="str">
        <f>IF(E2001="","",IF(ISNUMBER(I2001),I2001,IFERROR(IF(ISNUMBER(INDEX(art_price,MATCH($E2001,art_ref,0))),INDEX(art_price,MATCH($E2001,art_ref,0)),""),"")))</f>
        <v/>
      </c>
      <c r="K2001" s="71" t="n"/>
      <c r="L2001" s="72" t="n"/>
      <c r="M2001" s="72" t="str">
        <f>IF(E2001="","",IF(L2001&lt;&gt;"",L2001,IFERROR(IF(ISNUMBER(INDEX(art_tva,MATCH($E2001,art_ref,0))),INDEX(art_tva,MATCH($E2001,art_ref,0)),""),"")))</f>
        <v/>
      </c>
      <c r="N2001" s="70" t="str">
        <f>IF(OR(E2001="",J2001=""),"",ROUND(N(H2001)*J2001*(1-N(K2001)),2))</f>
        <v/>
      </c>
      <c r="O2001" s="70" t="str">
        <f>IF(OR(N2001="",NOT(ISNUMBER(M2001))),"",ROUND(N2001*M2001,2))</f>
        <v/>
      </c>
      <c r="P2001" s="70" t="str">
        <f>IF(N2001="","",N2001+N(O2001))</f>
        <v/>
      </c>
      <c r="Q2001" s="64" t="n"/>
      <c r="R2001" s="73" t="str">
        <f>IF(N(Q2001)&gt;0,Q2001,IF(OR(N(B2001)=0,ISNA(MATCH($C2001,sup_code,0))),"",IF(ISNUMBER(INDEX(sup_delay,MATCH($C2001,sup_code,0))),B2001+INDEX(sup_delay,MATCH($C2001,sup_code,0)),"")))</f>
        <v/>
      </c>
      <c r="S2001" s="64" t="n"/>
      <c r="T2001" s="68" t="n"/>
      <c r="U2001" s="64" t="n"/>
      <c r="V2001" s="65" t="n"/>
      <c r="W2001" s="74" t="str">
        <f>IF(AND(A2001="",E2001=""),"",IF(V2001="Oui",0,MAX(0,ROUND(N(H2001)-N(T2001),6))))</f>
        <v/>
      </c>
      <c r="X2001" s="67" t="str">
        <f>IF(AND(A2001="",E2001=""),"",IF(V2001="Oui","Annulé",IF(AND(N(H2001)&gt;0,N(T2001)&gt;=N(H2001)),"Reçu",IF(N(S2001)=0,"Brouillon",IF(AND(ISNUMBER(R2001),R2001&lt;p_today),"En retard",IF(N(T2001)&gt;0,"Partiel","Envoyé"))))))</f>
        <v/>
      </c>
      <c r="Y2001" s="75" t="str">
        <f>IF(X2001="En retard",p_today-R2001,IF(AND(X2001="Reçu",ISNUMBER(R2001)),MAX(0,N(U2001)-R2001),""))</f>
        <v/>
      </c>
      <c r="Z2001" s="67" t="str">
        <f>IF(AND(A2001="",E2001=""),"",IF(A2001="","N° de bon manquant",IF(N(B2001)=0,"Date de commande manquante",IF(C2001="","Fournisseur manquant",IF(ISNA(MATCH($C2001,sup_code,0)),"Fournisseur inconnu",IF(E2001="","Article manquant",IF(ISNA(MATCH($E2001,art_ref,0)),"Article inconnu",IF(N(H2001)&lt;=0,"Quantité invalide",IF(J2001="","Prix manquant",IF(OR(N(K2001)&lt;0,N(K2001)&gt;=1),"Remise invalide",IF(M2001="","TVA manquante",IF(ISNA(MATCH(M2001,p_tva,0)),"Taux de TVA inconnu",IF(COUNTIFS(po_num,A2001,po_sup,"&lt;&gt;"&amp;C2001)&gt;0,"Fournisseur différent sur ce bon",IF(COUNTIFS(po_num,A2001,po_date,"&lt;&gt;"&amp;B2001)&gt;0,"Date différente sur ce bon",IF(COUNTIF(po_num,A2001)&gt;25,"Plus de 25 lignes sur ce bon",IF(R2001="","Date de livraison manquante",IF(R2001&lt;B2001,"Livraison avant la commande",IF(AND(N(T2001)&gt;0,N(S2001)=0),"Date d'envoi manquante",IF(N(T2001)&gt;N(H2001),"Reçu plus que commandé",IF(AND(N(T2001)&gt;0,N(U2001)=0),"Date de réception manquante",IF(AND(N(U2001)&gt;0,U2001&lt;B2001),"Réception avant la commande","OK")))))))))))))))))))))</f>
        <v/>
      </c>
      <c r="AA2001" s="66" t="str">
        <f>IF(AND(X2001="Reçu",ISNUMBER(R2001)),IF(N(U2001)&lt;=R2001,1,0),"")</f>
        <v/>
      </c>
      <c r="AB2001" s="76" t="str">
        <f>IF(OR(X2001="Envoyé",X2001="Partiel",X2001="En retard"),IF(ISNUMBER(R2001),R2001,100000)+ROW()/100000,"")</f>
        <v/>
      </c>
      <c r="AC2001" s="66" t="str">
        <f>IF(A2001="","",IF(COUNTIF($A$6:A2001,A2001)=1,1,""))</f>
        <v/>
      </c>
      <c r="AD2001" s="66" t="str">
        <f>IF(AC2001=1,COUNT($AC$6:AC2001),"")</f>
        <v/>
      </c>
      <c r="AE2001" s="66" t="str">
        <f>IFERROR(INDEX(po_num,MATCH(1996,po_seq,0))&amp;"","")</f>
        <v/>
      </c>
      <c r="AF2001" s="66" t="str">
        <f>IF(OR(A2001="",p_po=""),"",IF(A2001&amp;""=p_po,COUNTIF($A$6:A2001,A2001),""))</f>
        <v/>
      </c>
      <c r="AG2001" s="66" t="str">
        <f>IF(OR(AB2001="",A2001=""),"",IF(COUNTIFS($A$6:A2001,A2001,$AB$6:AB2001,"&gt;0")=1,1,""))</f>
        <v/>
      </c>
      <c r="AH2001" s="70" t="str">
        <f>IF(AB2001="","",ROUND(N(W2001)*N(J2001)*(1-N(K2001)),2))</f>
        <v/>
      </c>
      <c r="AI2001" s="70" t="str">
        <f>IF(OR(J2001="",N(T2001)&lt;=0,V2001="Oui"),"",ROUND(N(T2001)*J2001*(1-N(K2001)),2))</f>
        <v/>
      </c>
    </row>
    <row r="2002">
      <c r="A2002" s="63" t="n"/>
      <c r="B2002" s="64" t="n"/>
      <c r="C2002" s="65" t="n"/>
      <c r="D2002" s="66" t="str">
        <f>IF(C2002="","",IFERROR(INDEX(sup_name,MATCH($C2002,sup_code,0))&amp;"","Fournisseur inconnu"))</f>
        <v/>
      </c>
      <c r="E2002" s="63" t="n"/>
      <c r="F2002" s="66" t="str">
        <f>IF(E2002="","",IFERROR(INDEX(art_des,MATCH($E2002,art_ref,0))&amp;"","Article inconnu"))</f>
        <v/>
      </c>
      <c r="G2002" s="67" t="str">
        <f>IF(E2002="","",IFERROR(INDEX(art_unit,MATCH($E2002,art_ref,0))&amp;"",""))</f>
        <v/>
      </c>
      <c r="H2002" s="68" t="n"/>
      <c r="I2002" s="69" t="n"/>
      <c r="J2002" s="70" t="str">
        <f>IF(E2002="","",IF(ISNUMBER(I2002),I2002,IFERROR(IF(ISNUMBER(INDEX(art_price,MATCH($E2002,art_ref,0))),INDEX(art_price,MATCH($E2002,art_ref,0)),""),"")))</f>
        <v/>
      </c>
      <c r="K2002" s="71" t="n"/>
      <c r="L2002" s="72" t="n"/>
      <c r="M2002" s="72" t="str">
        <f>IF(E2002="","",IF(L2002&lt;&gt;"",L2002,IFERROR(IF(ISNUMBER(INDEX(art_tva,MATCH($E2002,art_ref,0))),INDEX(art_tva,MATCH($E2002,art_ref,0)),""),"")))</f>
        <v/>
      </c>
      <c r="N2002" s="70" t="str">
        <f>IF(OR(E2002="",J2002=""),"",ROUND(N(H2002)*J2002*(1-N(K2002)),2))</f>
        <v/>
      </c>
      <c r="O2002" s="70" t="str">
        <f>IF(OR(N2002="",NOT(ISNUMBER(M2002))),"",ROUND(N2002*M2002,2))</f>
        <v/>
      </c>
      <c r="P2002" s="70" t="str">
        <f>IF(N2002="","",N2002+N(O2002))</f>
        <v/>
      </c>
      <c r="Q2002" s="64" t="n"/>
      <c r="R2002" s="73" t="str">
        <f>IF(N(Q2002)&gt;0,Q2002,IF(OR(N(B2002)=0,ISNA(MATCH($C2002,sup_code,0))),"",IF(ISNUMBER(INDEX(sup_delay,MATCH($C2002,sup_code,0))),B2002+INDEX(sup_delay,MATCH($C2002,sup_code,0)),"")))</f>
        <v/>
      </c>
      <c r="S2002" s="64" t="n"/>
      <c r="T2002" s="68" t="n"/>
      <c r="U2002" s="64" t="n"/>
      <c r="V2002" s="65" t="n"/>
      <c r="W2002" s="74" t="str">
        <f>IF(AND(A2002="",E2002=""),"",IF(V2002="Oui",0,MAX(0,ROUND(N(H2002)-N(T2002),6))))</f>
        <v/>
      </c>
      <c r="X2002" s="67" t="str">
        <f>IF(AND(A2002="",E2002=""),"",IF(V2002="Oui","Annulé",IF(AND(N(H2002)&gt;0,N(T2002)&gt;=N(H2002)),"Reçu",IF(N(S2002)=0,"Brouillon",IF(AND(ISNUMBER(R2002),R2002&lt;p_today),"En retard",IF(N(T2002)&gt;0,"Partiel","Envoyé"))))))</f>
        <v/>
      </c>
      <c r="Y2002" s="75" t="str">
        <f>IF(X2002="En retard",p_today-R2002,IF(AND(X2002="Reçu",ISNUMBER(R2002)),MAX(0,N(U2002)-R2002),""))</f>
        <v/>
      </c>
      <c r="Z2002" s="67" t="str">
        <f>IF(AND(A2002="",E2002=""),"",IF(A2002="","N° de bon manquant",IF(N(B2002)=0,"Date de commande manquante",IF(C2002="","Fournisseur manquant",IF(ISNA(MATCH($C2002,sup_code,0)),"Fournisseur inconnu",IF(E2002="","Article manquant",IF(ISNA(MATCH($E2002,art_ref,0)),"Article inconnu",IF(N(H2002)&lt;=0,"Quantité invalide",IF(J2002="","Prix manquant",IF(OR(N(K2002)&lt;0,N(K2002)&gt;=1),"Remise invalide",IF(M2002="","TVA manquante",IF(ISNA(MATCH(M2002,p_tva,0)),"Taux de TVA inconnu",IF(COUNTIFS(po_num,A2002,po_sup,"&lt;&gt;"&amp;C2002)&gt;0,"Fournisseur différent sur ce bon",IF(COUNTIFS(po_num,A2002,po_date,"&lt;&gt;"&amp;B2002)&gt;0,"Date différente sur ce bon",IF(COUNTIF(po_num,A2002)&gt;25,"Plus de 25 lignes sur ce bon",IF(R2002="","Date de livraison manquante",IF(R2002&lt;B2002,"Livraison avant la commande",IF(AND(N(T2002)&gt;0,N(S2002)=0),"Date d'envoi manquante",IF(N(T2002)&gt;N(H2002),"Reçu plus que commandé",IF(AND(N(T2002)&gt;0,N(U2002)=0),"Date de réception manquante",IF(AND(N(U2002)&gt;0,U2002&lt;B2002),"Réception avant la commande","OK")))))))))))))))))))))</f>
        <v/>
      </c>
      <c r="AA2002" s="66" t="str">
        <f>IF(AND(X2002="Reçu",ISNUMBER(R2002)),IF(N(U2002)&lt;=R2002,1,0),"")</f>
        <v/>
      </c>
      <c r="AB2002" s="76" t="str">
        <f>IF(OR(X2002="Envoyé",X2002="Partiel",X2002="En retard"),IF(ISNUMBER(R2002),R2002,100000)+ROW()/100000,"")</f>
        <v/>
      </c>
      <c r="AC2002" s="66" t="str">
        <f>IF(A2002="","",IF(COUNTIF($A$6:A2002,A2002)=1,1,""))</f>
        <v/>
      </c>
      <c r="AD2002" s="66" t="str">
        <f>IF(AC2002=1,COUNT($AC$6:AC2002),"")</f>
        <v/>
      </c>
      <c r="AE2002" s="66" t="str">
        <f>IFERROR(INDEX(po_num,MATCH(1997,po_seq,0))&amp;"","")</f>
        <v/>
      </c>
      <c r="AF2002" s="66" t="str">
        <f>IF(OR(A2002="",p_po=""),"",IF(A2002&amp;""=p_po,COUNTIF($A$6:A2002,A2002),""))</f>
        <v/>
      </c>
      <c r="AG2002" s="66" t="str">
        <f>IF(OR(AB2002="",A2002=""),"",IF(COUNTIFS($A$6:A2002,A2002,$AB$6:AB2002,"&gt;0")=1,1,""))</f>
        <v/>
      </c>
      <c r="AH2002" s="70" t="str">
        <f>IF(AB2002="","",ROUND(N(W2002)*N(J2002)*(1-N(K2002)),2))</f>
        <v/>
      </c>
      <c r="AI2002" s="70" t="str">
        <f>IF(OR(J2002="",N(T2002)&lt;=0,V2002="Oui"),"",ROUND(N(T2002)*J2002*(1-N(K2002)),2))</f>
        <v/>
      </c>
    </row>
    <row r="2003">
      <c r="A2003" s="63" t="n"/>
      <c r="B2003" s="64" t="n"/>
      <c r="C2003" s="65" t="n"/>
      <c r="D2003" s="66" t="str">
        <f>IF(C2003="","",IFERROR(INDEX(sup_name,MATCH($C2003,sup_code,0))&amp;"","Fournisseur inconnu"))</f>
        <v/>
      </c>
      <c r="E2003" s="63" t="n"/>
      <c r="F2003" s="66" t="str">
        <f>IF(E2003="","",IFERROR(INDEX(art_des,MATCH($E2003,art_ref,0))&amp;"","Article inconnu"))</f>
        <v/>
      </c>
      <c r="G2003" s="67" t="str">
        <f>IF(E2003="","",IFERROR(INDEX(art_unit,MATCH($E2003,art_ref,0))&amp;"",""))</f>
        <v/>
      </c>
      <c r="H2003" s="68" t="n"/>
      <c r="I2003" s="69" t="n"/>
      <c r="J2003" s="70" t="str">
        <f>IF(E2003="","",IF(ISNUMBER(I2003),I2003,IFERROR(IF(ISNUMBER(INDEX(art_price,MATCH($E2003,art_ref,0))),INDEX(art_price,MATCH($E2003,art_ref,0)),""),"")))</f>
        <v/>
      </c>
      <c r="K2003" s="71" t="n"/>
      <c r="L2003" s="72" t="n"/>
      <c r="M2003" s="72" t="str">
        <f>IF(E2003="","",IF(L2003&lt;&gt;"",L2003,IFERROR(IF(ISNUMBER(INDEX(art_tva,MATCH($E2003,art_ref,0))),INDEX(art_tva,MATCH($E2003,art_ref,0)),""),"")))</f>
        <v/>
      </c>
      <c r="N2003" s="70" t="str">
        <f>IF(OR(E2003="",J2003=""),"",ROUND(N(H2003)*J2003*(1-N(K2003)),2))</f>
        <v/>
      </c>
      <c r="O2003" s="70" t="str">
        <f>IF(OR(N2003="",NOT(ISNUMBER(M2003))),"",ROUND(N2003*M2003,2))</f>
        <v/>
      </c>
      <c r="P2003" s="70" t="str">
        <f>IF(N2003="","",N2003+N(O2003))</f>
        <v/>
      </c>
      <c r="Q2003" s="64" t="n"/>
      <c r="R2003" s="73" t="str">
        <f>IF(N(Q2003)&gt;0,Q2003,IF(OR(N(B2003)=0,ISNA(MATCH($C2003,sup_code,0))),"",IF(ISNUMBER(INDEX(sup_delay,MATCH($C2003,sup_code,0))),B2003+INDEX(sup_delay,MATCH($C2003,sup_code,0)),"")))</f>
        <v/>
      </c>
      <c r="S2003" s="64" t="n"/>
      <c r="T2003" s="68" t="n"/>
      <c r="U2003" s="64" t="n"/>
      <c r="V2003" s="65" t="n"/>
      <c r="W2003" s="74" t="str">
        <f>IF(AND(A2003="",E2003=""),"",IF(V2003="Oui",0,MAX(0,ROUND(N(H2003)-N(T2003),6))))</f>
        <v/>
      </c>
      <c r="X2003" s="67" t="str">
        <f>IF(AND(A2003="",E2003=""),"",IF(V2003="Oui","Annulé",IF(AND(N(H2003)&gt;0,N(T2003)&gt;=N(H2003)),"Reçu",IF(N(S2003)=0,"Brouillon",IF(AND(ISNUMBER(R2003),R2003&lt;p_today),"En retard",IF(N(T2003)&gt;0,"Partiel","Envoyé"))))))</f>
        <v/>
      </c>
      <c r="Y2003" s="75" t="str">
        <f>IF(X2003="En retard",p_today-R2003,IF(AND(X2003="Reçu",ISNUMBER(R2003)),MAX(0,N(U2003)-R2003),""))</f>
        <v/>
      </c>
      <c r="Z2003" s="67" t="str">
        <f>IF(AND(A2003="",E2003=""),"",IF(A2003="","N° de bon manquant",IF(N(B2003)=0,"Date de commande manquante",IF(C2003="","Fournisseur manquant",IF(ISNA(MATCH($C2003,sup_code,0)),"Fournisseur inconnu",IF(E2003="","Article manquant",IF(ISNA(MATCH($E2003,art_ref,0)),"Article inconnu",IF(N(H2003)&lt;=0,"Quantité invalide",IF(J2003="","Prix manquant",IF(OR(N(K2003)&lt;0,N(K2003)&gt;=1),"Remise invalide",IF(M2003="","TVA manquante",IF(ISNA(MATCH(M2003,p_tva,0)),"Taux de TVA inconnu",IF(COUNTIFS(po_num,A2003,po_sup,"&lt;&gt;"&amp;C2003)&gt;0,"Fournisseur différent sur ce bon",IF(COUNTIFS(po_num,A2003,po_date,"&lt;&gt;"&amp;B2003)&gt;0,"Date différente sur ce bon",IF(COUNTIF(po_num,A2003)&gt;25,"Plus de 25 lignes sur ce bon",IF(R2003="","Date de livraison manquante",IF(R2003&lt;B2003,"Livraison avant la commande",IF(AND(N(T2003)&gt;0,N(S2003)=0),"Date d'envoi manquante",IF(N(T2003)&gt;N(H2003),"Reçu plus que commandé",IF(AND(N(T2003)&gt;0,N(U2003)=0),"Date de réception manquante",IF(AND(N(U2003)&gt;0,U2003&lt;B2003),"Réception avant la commande","OK")))))))))))))))))))))</f>
        <v/>
      </c>
      <c r="AA2003" s="66" t="str">
        <f>IF(AND(X2003="Reçu",ISNUMBER(R2003)),IF(N(U2003)&lt;=R2003,1,0),"")</f>
        <v/>
      </c>
      <c r="AB2003" s="76" t="str">
        <f>IF(OR(X2003="Envoyé",X2003="Partiel",X2003="En retard"),IF(ISNUMBER(R2003),R2003,100000)+ROW()/100000,"")</f>
        <v/>
      </c>
      <c r="AC2003" s="66" t="str">
        <f>IF(A2003="","",IF(COUNTIF($A$6:A2003,A2003)=1,1,""))</f>
        <v/>
      </c>
      <c r="AD2003" s="66" t="str">
        <f>IF(AC2003=1,COUNT($AC$6:AC2003),"")</f>
        <v/>
      </c>
      <c r="AE2003" s="66" t="str">
        <f>IFERROR(INDEX(po_num,MATCH(1998,po_seq,0))&amp;"","")</f>
        <v/>
      </c>
      <c r="AF2003" s="66" t="str">
        <f>IF(OR(A2003="",p_po=""),"",IF(A2003&amp;""=p_po,COUNTIF($A$6:A2003,A2003),""))</f>
        <v/>
      </c>
      <c r="AG2003" s="66" t="str">
        <f>IF(OR(AB2003="",A2003=""),"",IF(COUNTIFS($A$6:A2003,A2003,$AB$6:AB2003,"&gt;0")=1,1,""))</f>
        <v/>
      </c>
      <c r="AH2003" s="70" t="str">
        <f>IF(AB2003="","",ROUND(N(W2003)*N(J2003)*(1-N(K2003)),2))</f>
        <v/>
      </c>
      <c r="AI2003" s="70" t="str">
        <f>IF(OR(J2003="",N(T2003)&lt;=0,V2003="Oui"),"",ROUND(N(T2003)*J2003*(1-N(K2003)),2))</f>
        <v/>
      </c>
    </row>
    <row r="2004">
      <c r="A2004" s="63" t="n"/>
      <c r="B2004" s="64" t="n"/>
      <c r="C2004" s="65" t="n"/>
      <c r="D2004" s="66" t="str">
        <f>IF(C2004="","",IFERROR(INDEX(sup_name,MATCH($C2004,sup_code,0))&amp;"","Fournisseur inconnu"))</f>
        <v/>
      </c>
      <c r="E2004" s="63" t="n"/>
      <c r="F2004" s="66" t="str">
        <f>IF(E2004="","",IFERROR(INDEX(art_des,MATCH($E2004,art_ref,0))&amp;"","Article inconnu"))</f>
        <v/>
      </c>
      <c r="G2004" s="67" t="str">
        <f>IF(E2004="","",IFERROR(INDEX(art_unit,MATCH($E2004,art_ref,0))&amp;"",""))</f>
        <v/>
      </c>
      <c r="H2004" s="68" t="n"/>
      <c r="I2004" s="69" t="n"/>
      <c r="J2004" s="70" t="str">
        <f>IF(E2004="","",IF(ISNUMBER(I2004),I2004,IFERROR(IF(ISNUMBER(INDEX(art_price,MATCH($E2004,art_ref,0))),INDEX(art_price,MATCH($E2004,art_ref,0)),""),"")))</f>
        <v/>
      </c>
      <c r="K2004" s="71" t="n"/>
      <c r="L2004" s="72" t="n"/>
      <c r="M2004" s="72" t="str">
        <f>IF(E2004="","",IF(L2004&lt;&gt;"",L2004,IFERROR(IF(ISNUMBER(INDEX(art_tva,MATCH($E2004,art_ref,0))),INDEX(art_tva,MATCH($E2004,art_ref,0)),""),"")))</f>
        <v/>
      </c>
      <c r="N2004" s="70" t="str">
        <f>IF(OR(E2004="",J2004=""),"",ROUND(N(H2004)*J2004*(1-N(K2004)),2))</f>
        <v/>
      </c>
      <c r="O2004" s="70" t="str">
        <f>IF(OR(N2004="",NOT(ISNUMBER(M2004))),"",ROUND(N2004*M2004,2))</f>
        <v/>
      </c>
      <c r="P2004" s="70" t="str">
        <f>IF(N2004="","",N2004+N(O2004))</f>
        <v/>
      </c>
      <c r="Q2004" s="64" t="n"/>
      <c r="R2004" s="73" t="str">
        <f>IF(N(Q2004)&gt;0,Q2004,IF(OR(N(B2004)=0,ISNA(MATCH($C2004,sup_code,0))),"",IF(ISNUMBER(INDEX(sup_delay,MATCH($C2004,sup_code,0))),B2004+INDEX(sup_delay,MATCH($C2004,sup_code,0)),"")))</f>
        <v/>
      </c>
      <c r="S2004" s="64" t="n"/>
      <c r="T2004" s="68" t="n"/>
      <c r="U2004" s="64" t="n"/>
      <c r="V2004" s="65" t="n"/>
      <c r="W2004" s="74" t="str">
        <f>IF(AND(A2004="",E2004=""),"",IF(V2004="Oui",0,MAX(0,ROUND(N(H2004)-N(T2004),6))))</f>
        <v/>
      </c>
      <c r="X2004" s="67" t="str">
        <f>IF(AND(A2004="",E2004=""),"",IF(V2004="Oui","Annulé",IF(AND(N(H2004)&gt;0,N(T2004)&gt;=N(H2004)),"Reçu",IF(N(S2004)=0,"Brouillon",IF(AND(ISNUMBER(R2004),R2004&lt;p_today),"En retard",IF(N(T2004)&gt;0,"Partiel","Envoyé"))))))</f>
        <v/>
      </c>
      <c r="Y2004" s="75" t="str">
        <f>IF(X2004="En retard",p_today-R2004,IF(AND(X2004="Reçu",ISNUMBER(R2004)),MAX(0,N(U2004)-R2004),""))</f>
        <v/>
      </c>
      <c r="Z2004" s="67" t="str">
        <f>IF(AND(A2004="",E2004=""),"",IF(A2004="","N° de bon manquant",IF(N(B2004)=0,"Date de commande manquante",IF(C2004="","Fournisseur manquant",IF(ISNA(MATCH($C2004,sup_code,0)),"Fournisseur inconnu",IF(E2004="","Article manquant",IF(ISNA(MATCH($E2004,art_ref,0)),"Article inconnu",IF(N(H2004)&lt;=0,"Quantité invalide",IF(J2004="","Prix manquant",IF(OR(N(K2004)&lt;0,N(K2004)&gt;=1),"Remise invalide",IF(M2004="","TVA manquante",IF(ISNA(MATCH(M2004,p_tva,0)),"Taux de TVA inconnu",IF(COUNTIFS(po_num,A2004,po_sup,"&lt;&gt;"&amp;C2004)&gt;0,"Fournisseur différent sur ce bon",IF(COUNTIFS(po_num,A2004,po_date,"&lt;&gt;"&amp;B2004)&gt;0,"Date différente sur ce bon",IF(COUNTIF(po_num,A2004)&gt;25,"Plus de 25 lignes sur ce bon",IF(R2004="","Date de livraison manquante",IF(R2004&lt;B2004,"Livraison avant la commande",IF(AND(N(T2004)&gt;0,N(S2004)=0),"Date d'envoi manquante",IF(N(T2004)&gt;N(H2004),"Reçu plus que commandé",IF(AND(N(T2004)&gt;0,N(U2004)=0),"Date de réception manquante",IF(AND(N(U2004)&gt;0,U2004&lt;B2004),"Réception avant la commande","OK")))))))))))))))))))))</f>
        <v/>
      </c>
      <c r="AA2004" s="66" t="str">
        <f>IF(AND(X2004="Reçu",ISNUMBER(R2004)),IF(N(U2004)&lt;=R2004,1,0),"")</f>
        <v/>
      </c>
      <c r="AB2004" s="76" t="str">
        <f>IF(OR(X2004="Envoyé",X2004="Partiel",X2004="En retard"),IF(ISNUMBER(R2004),R2004,100000)+ROW()/100000,"")</f>
        <v/>
      </c>
      <c r="AC2004" s="66" t="str">
        <f>IF(A2004="","",IF(COUNTIF($A$6:A2004,A2004)=1,1,""))</f>
        <v/>
      </c>
      <c r="AD2004" s="66" t="str">
        <f>IF(AC2004=1,COUNT($AC$6:AC2004),"")</f>
        <v/>
      </c>
      <c r="AE2004" s="66" t="str">
        <f>IFERROR(INDEX(po_num,MATCH(1999,po_seq,0))&amp;"","")</f>
        <v/>
      </c>
      <c r="AF2004" s="66" t="str">
        <f>IF(OR(A2004="",p_po=""),"",IF(A2004&amp;""=p_po,COUNTIF($A$6:A2004,A2004),""))</f>
        <v/>
      </c>
      <c r="AG2004" s="66" t="str">
        <f>IF(OR(AB2004="",A2004=""),"",IF(COUNTIFS($A$6:A2004,A2004,$AB$6:AB2004,"&gt;0")=1,1,""))</f>
        <v/>
      </c>
      <c r="AH2004" s="70" t="str">
        <f>IF(AB2004="","",ROUND(N(W2004)*N(J2004)*(1-N(K2004)),2))</f>
        <v/>
      </c>
      <c r="AI2004" s="70" t="str">
        <f>IF(OR(J2004="",N(T2004)&lt;=0,V2004="Oui"),"",ROUND(N(T2004)*J2004*(1-N(K2004)),2))</f>
        <v/>
      </c>
    </row>
    <row r="2005">
      <c r="A2005" s="63" t="n"/>
      <c r="B2005" s="64" t="n"/>
      <c r="C2005" s="65" t="n"/>
      <c r="D2005" s="66" t="str">
        <f>IF(C2005="","",IFERROR(INDEX(sup_name,MATCH($C2005,sup_code,0))&amp;"","Fournisseur inconnu"))</f>
        <v/>
      </c>
      <c r="E2005" s="63" t="n"/>
      <c r="F2005" s="66" t="str">
        <f>IF(E2005="","",IFERROR(INDEX(art_des,MATCH($E2005,art_ref,0))&amp;"","Article inconnu"))</f>
        <v/>
      </c>
      <c r="G2005" s="67" t="str">
        <f>IF(E2005="","",IFERROR(INDEX(art_unit,MATCH($E2005,art_ref,0))&amp;"",""))</f>
        <v/>
      </c>
      <c r="H2005" s="68" t="n"/>
      <c r="I2005" s="69" t="n"/>
      <c r="J2005" s="70" t="str">
        <f>IF(E2005="","",IF(ISNUMBER(I2005),I2005,IFERROR(IF(ISNUMBER(INDEX(art_price,MATCH($E2005,art_ref,0))),INDEX(art_price,MATCH($E2005,art_ref,0)),""),"")))</f>
        <v/>
      </c>
      <c r="K2005" s="71" t="n"/>
      <c r="L2005" s="72" t="n"/>
      <c r="M2005" s="72" t="str">
        <f>IF(E2005="","",IF(L2005&lt;&gt;"",L2005,IFERROR(IF(ISNUMBER(INDEX(art_tva,MATCH($E2005,art_ref,0))),INDEX(art_tva,MATCH($E2005,art_ref,0)),""),"")))</f>
        <v/>
      </c>
      <c r="N2005" s="70" t="str">
        <f>IF(OR(E2005="",J2005=""),"",ROUND(N(H2005)*J2005*(1-N(K2005)),2))</f>
        <v/>
      </c>
      <c r="O2005" s="70" t="str">
        <f>IF(OR(N2005="",NOT(ISNUMBER(M2005))),"",ROUND(N2005*M2005,2))</f>
        <v/>
      </c>
      <c r="P2005" s="70" t="str">
        <f>IF(N2005="","",N2005+N(O2005))</f>
        <v/>
      </c>
      <c r="Q2005" s="64" t="n"/>
      <c r="R2005" s="73" t="str">
        <f>IF(N(Q2005)&gt;0,Q2005,IF(OR(N(B2005)=0,ISNA(MATCH($C2005,sup_code,0))),"",IF(ISNUMBER(INDEX(sup_delay,MATCH($C2005,sup_code,0))),B2005+INDEX(sup_delay,MATCH($C2005,sup_code,0)),"")))</f>
        <v/>
      </c>
      <c r="S2005" s="64" t="n"/>
      <c r="T2005" s="68" t="n"/>
      <c r="U2005" s="64" t="n"/>
      <c r="V2005" s="65" t="n"/>
      <c r="W2005" s="74" t="str">
        <f>IF(AND(A2005="",E2005=""),"",IF(V2005="Oui",0,MAX(0,ROUND(N(H2005)-N(T2005),6))))</f>
        <v/>
      </c>
      <c r="X2005" s="67" t="str">
        <f>IF(AND(A2005="",E2005=""),"",IF(V2005="Oui","Annulé",IF(AND(N(H2005)&gt;0,N(T2005)&gt;=N(H2005)),"Reçu",IF(N(S2005)=0,"Brouillon",IF(AND(ISNUMBER(R2005),R2005&lt;p_today),"En retard",IF(N(T2005)&gt;0,"Partiel","Envoyé"))))))</f>
        <v/>
      </c>
      <c r="Y2005" s="75" t="str">
        <f>IF(X2005="En retard",p_today-R2005,IF(AND(X2005="Reçu",ISNUMBER(R2005)),MAX(0,N(U2005)-R2005),""))</f>
        <v/>
      </c>
      <c r="Z2005" s="67" t="str">
        <f>IF(AND(A2005="",E2005=""),"",IF(A2005="","N° de bon manquant",IF(N(B2005)=0,"Date de commande manquante",IF(C2005="","Fournisseur manquant",IF(ISNA(MATCH($C2005,sup_code,0)),"Fournisseur inconnu",IF(E2005="","Article manquant",IF(ISNA(MATCH($E2005,art_ref,0)),"Article inconnu",IF(N(H2005)&lt;=0,"Quantité invalide",IF(J2005="","Prix manquant",IF(OR(N(K2005)&lt;0,N(K2005)&gt;=1),"Remise invalide",IF(M2005="","TVA manquante",IF(ISNA(MATCH(M2005,p_tva,0)),"Taux de TVA inconnu",IF(COUNTIFS(po_num,A2005,po_sup,"&lt;&gt;"&amp;C2005)&gt;0,"Fournisseur différent sur ce bon",IF(COUNTIFS(po_num,A2005,po_date,"&lt;&gt;"&amp;B2005)&gt;0,"Date différente sur ce bon",IF(COUNTIF(po_num,A2005)&gt;25,"Plus de 25 lignes sur ce bon",IF(R2005="","Date de livraison manquante",IF(R2005&lt;B2005,"Livraison avant la commande",IF(AND(N(T2005)&gt;0,N(S2005)=0),"Date d'envoi manquante",IF(N(T2005)&gt;N(H2005),"Reçu plus que commandé",IF(AND(N(T2005)&gt;0,N(U2005)=0),"Date de réception manquante",IF(AND(N(U2005)&gt;0,U2005&lt;B2005),"Réception avant la commande","OK")))))))))))))))))))))</f>
        <v/>
      </c>
      <c r="AA2005" s="66" t="str">
        <f>IF(AND(X2005="Reçu",ISNUMBER(R2005)),IF(N(U2005)&lt;=R2005,1,0),"")</f>
        <v/>
      </c>
      <c r="AB2005" s="76" t="str">
        <f>IF(OR(X2005="Envoyé",X2005="Partiel",X2005="En retard"),IF(ISNUMBER(R2005),R2005,100000)+ROW()/100000,"")</f>
        <v/>
      </c>
      <c r="AC2005" s="66" t="str">
        <f>IF(A2005="","",IF(COUNTIF($A$6:A2005,A2005)=1,1,""))</f>
        <v/>
      </c>
      <c r="AD2005" s="66" t="str">
        <f>IF(AC2005=1,COUNT($AC$6:AC2005),"")</f>
        <v/>
      </c>
      <c r="AE2005" s="66" t="str">
        <f>IFERROR(INDEX(po_num,MATCH(2000,po_seq,0))&amp;"","")</f>
        <v/>
      </c>
      <c r="AF2005" s="66" t="str">
        <f>IF(OR(A2005="",p_po=""),"",IF(A2005&amp;""=p_po,COUNTIF($A$6:A2005,A2005),""))</f>
        <v/>
      </c>
      <c r="AG2005" s="66" t="str">
        <f>IF(OR(AB2005="",A2005=""),"",IF(COUNTIFS($A$6:A2005,A2005,$AB$6:AB2005,"&gt;0")=1,1,""))</f>
        <v/>
      </c>
      <c r="AH2005" s="70" t="str">
        <f>IF(AB2005="","",ROUND(N(W2005)*N(J2005)*(1-N(K2005)),2))</f>
        <v/>
      </c>
      <c r="AI2005" s="70" t="str">
        <f>IF(OR(J2005="",N(T2005)&lt;=0,V2005="Oui"),"",ROUND(N(T2005)*J2005*(1-N(K2005)),2))</f>
        <v/>
      </c>
    </row>
  </sheetData>
  <autoFilter ref="A5:Z2005"/>
  <conditionalFormatting sqref="H6:H2005">
    <cfRule type="expression" priority="1" dxfId="10">
      <formula>AND(ISNUMBER(H6),H6&lt;&gt;INT(H6))</formula>
    </cfRule>
  </conditionalFormatting>
  <conditionalFormatting sqref="T6:T2005">
    <cfRule type="expression" priority="2" dxfId="11">
      <formula>AND(ISNUMBER(T6),T6&lt;&gt;INT(T6))</formula>
    </cfRule>
  </conditionalFormatting>
  <conditionalFormatting sqref="W6:W2005">
    <cfRule type="expression" priority="3" dxfId="12">
      <formula>AND(ISNUMBER(W6),W6&lt;&gt;INT(W6))</formula>
    </cfRule>
  </conditionalFormatting>
  <conditionalFormatting sqref="K6:K2005">
    <cfRule type="expression" priority="4" dxfId="13">
      <formula>AND(ISNUMBER(K6),MOD(ROUND(K6*1000,6),10)&lt;&gt;0)</formula>
    </cfRule>
  </conditionalFormatting>
  <conditionalFormatting sqref="L6:L2005">
    <cfRule type="expression" priority="5" dxfId="14">
      <formula>AND(ISNUMBER(L6),MOD(ROUND(L6*1000,6),10)&lt;&gt;0)</formula>
    </cfRule>
  </conditionalFormatting>
  <conditionalFormatting sqref="M6:M2005">
    <cfRule type="expression" priority="6" dxfId="15">
      <formula>AND(ISNUMBER(M6),MOD(ROUND(M6*1000,6),10)&lt;&gt;0)</formula>
    </cfRule>
  </conditionalFormatting>
  <conditionalFormatting sqref="X6:X2005">
    <cfRule type="expression" priority="7" dxfId="0">
      <formula>$X6="Brouillon"</formula>
    </cfRule>
    <cfRule type="expression" priority="8" dxfId="1">
      <formula>$X6="Envoyé"</formula>
    </cfRule>
    <cfRule type="expression" priority="9" dxfId="2">
      <formula>$X6="Partiel"</formula>
    </cfRule>
    <cfRule type="expression" priority="10" dxfId="3">
      <formula>$X6="En retard"</formula>
    </cfRule>
    <cfRule type="expression" priority="11" dxfId="4">
      <formula>$X6="Reçu"</formula>
    </cfRule>
    <cfRule type="expression" priority="12" dxfId="5">
      <formula>$X6="Annulé"</formula>
    </cfRule>
  </conditionalFormatting>
  <conditionalFormatting sqref="Z6:Z2005">
    <cfRule type="expression" priority="13" dxfId="4">
      <formula>$Z6="OK"</formula>
    </cfRule>
    <cfRule type="expression" priority="14" dxfId="3">
      <formula>AND($Z6&lt;&gt;"",$Z6&lt;&gt;"OK")</formula>
    </cfRule>
  </conditionalFormatting>
  <conditionalFormatting sqref="Y6:Y2005">
    <cfRule type="expression" priority="15" dxfId="6">
      <formula>N($Y6)&gt;0</formula>
    </cfRule>
  </conditionalFormatting>
  <conditionalFormatting sqref="A6:Z2005">
    <cfRule type="expression" priority="16" dxfId="16">
      <formula>$X6="Annulé"</formula>
    </cfRule>
  </conditionalFormatting>
  <conditionalFormatting sqref="I6:I2005">
    <cfRule type="expression" priority="17" dxfId="17">
      <formula>p_currency="MAD"</formula>
    </cfRule>
    <cfRule type="expression" priority="24" dxfId="18">
      <formula>p_currency="EUR"</formula>
    </cfRule>
    <cfRule type="expression" priority="31" dxfId="19">
      <formula>p_currency="USD"</formula>
    </cfRule>
  </conditionalFormatting>
  <conditionalFormatting sqref="J6:J2005">
    <cfRule type="expression" priority="18" dxfId="17">
      <formula>p_currency="MAD"</formula>
    </cfRule>
    <cfRule type="expression" priority="25" dxfId="18">
      <formula>p_currency="EUR"</formula>
    </cfRule>
    <cfRule type="expression" priority="32" dxfId="19">
      <formula>p_currency="USD"</formula>
    </cfRule>
  </conditionalFormatting>
  <conditionalFormatting sqref="N6:N2005">
    <cfRule type="expression" priority="19" dxfId="17">
      <formula>p_currency="MAD"</formula>
    </cfRule>
    <cfRule type="expression" priority="26" dxfId="18">
      <formula>p_currency="EUR"</formula>
    </cfRule>
    <cfRule type="expression" priority="33" dxfId="19">
      <formula>p_currency="USD"</formula>
    </cfRule>
  </conditionalFormatting>
  <conditionalFormatting sqref="O6:O2005">
    <cfRule type="expression" priority="20" dxfId="17">
      <formula>p_currency="MAD"</formula>
    </cfRule>
    <cfRule type="expression" priority="27" dxfId="18">
      <formula>p_currency="EUR"</formula>
    </cfRule>
    <cfRule type="expression" priority="34" dxfId="19">
      <formula>p_currency="USD"</formula>
    </cfRule>
  </conditionalFormatting>
  <conditionalFormatting sqref="P6:P2005">
    <cfRule type="expression" priority="21" dxfId="17">
      <formula>p_currency="MAD"</formula>
    </cfRule>
    <cfRule type="expression" priority="28" dxfId="18">
      <formula>p_currency="EUR"</formula>
    </cfRule>
    <cfRule type="expression" priority="35" dxfId="19">
      <formula>p_currency="USD"</formula>
    </cfRule>
  </conditionalFormatting>
  <conditionalFormatting sqref="AH6:AH2005">
    <cfRule type="expression" priority="22" dxfId="17">
      <formula>p_currency="MAD"</formula>
    </cfRule>
    <cfRule type="expression" priority="29" dxfId="18">
      <formula>p_currency="EUR"</formula>
    </cfRule>
    <cfRule type="expression" priority="36" dxfId="19">
      <formula>p_currency="USD"</formula>
    </cfRule>
  </conditionalFormatting>
  <conditionalFormatting sqref="AI6:AI2005">
    <cfRule type="expression" priority="23" dxfId="17">
      <formula>p_currency="MAD"</formula>
    </cfRule>
    <cfRule type="expression" priority="30" dxfId="18">
      <formula>p_currency="EUR"</formula>
    </cfRule>
    <cfRule type="expression" priority="37" dxfId="19">
      <formula>p_currency="USD"</formula>
    </cfRule>
  </conditionalFormatting>
  <dataValidations count="13">
    <dataValidation sqref="A6:A2005" showDropDown="0" showInputMessage="1" showErrorMessage="1" allowBlank="1" errorTitle="N° de bon" error="40 caractères au maximum." promptTitle="N° de bon" prompt="Même N° pour toutes les lignes d'un bon. Le prochain numéro libre est indiqué en haut de la feuille." type="textLength" operator="lessThanOrEqual">
      <formula1>40</formula1>
    </dataValidation>
    <dataValidation sqref="B6:B2005" showDropDown="0" showInputMessage="1" showErrorMessage="1" allowBlank="1" errorTitle="Date de commande" error="Date du bon de commande (jj/mm/aaaa). Même date sur toutes les lignes du bon." promptTitle="Date de commande" prompt="Date du bon de commande (jj/mm/aaaa). Même date sur toutes les lignes du bon." type="date" operator="between">
      <formula1>36526</formula1>
      <formula2>73051</formula2>
    </dataValidation>
    <dataValidation sqref="C6:C2005" showDropDown="0" showInputMessage="1" showErrorMessage="1" allowBlank="1" errorTitle="Fournisseur" error="Choisissez le code du fournisseur (feuille « Fournisseurs »)." promptTitle="Fournisseur" prompt="Choisissez le code du fournisseur (feuille « Fournisseurs »)." type="list">
      <formula1>=sup_code</formula1>
    </dataValidation>
    <dataValidation sqref="E6:E2005" showDropDown="0" showInputMessage="1" showErrorMessage="1" allowBlank="1" errorTitle="Article" error="Choisissez la référence de l'article (feuille « Articles »)." promptTitle="Article" prompt="Choisissez la référence de l'article (feuille « Articles »)." type="list">
      <formula1>=art_ref</formula1>
    </dataValidation>
    <dataValidation sqref="H6:H2005" showDropDown="0" showInputMessage="1" showErrorMessage="1" allowBlank="1" errorTitle="Quantité" error="Quantité commandée, supérieure à zéro, dans l'unité de l'article." promptTitle="Quantité" prompt="Quantité commandée, supérieure à zéro, dans l'unité de l'article." type="decimal" operator="greaterThan">
      <formula1>0</formula1>
    </dataValidation>
    <dataValidation sqref="I6:I2005" showDropDown="0" showInputMessage="1" showErrorMessage="1" allowBlank="1" errorTitle="Prix HT saisi" error="Facultatif. Prix négocié pour cette ligne. Laissez vide pour reprendre le prix du catalogue." promptTitle="Prix HT saisi" prompt="Facultatif. Prix négocié pour cette ligne. Laissez vide pour reprendre le prix du catalogue." type="decimal" operator="greaterThanOrEqual">
      <formula1>0</formula1>
    </dataValidation>
    <dataValidation sqref="K6:K2005" showDropDown="0" showInputMessage="1" showErrorMessage="1" allowBlank="1" errorTitle="Remise" error="Facultatif. Remise en pourcentage, par exemple 5 % (tapez 5 %). Entre 0 et 99 %." promptTitle="Remise" prompt="Facultatif. Remise en pourcentage, par exemple 5 % (tapez 5 %). Entre 0 et 99 %." type="decimal" operator="between">
      <formula1>0</formula1>
      <formula2>0.99</formula2>
    </dataValidation>
    <dataValidation sqref="L6:L2005" showDropDown="0" showInputMessage="1" showErrorMessage="1" allowBlank="1" errorTitle="TVA saisie" error="Facultatif. Laissez vide pour reprendre la TVA de l'article." promptTitle="TVA saisie" prompt="Facultatif. Laissez vide pour reprendre la TVA de l'article." type="list">
      <formula1>=p_tva</formula1>
    </dataValidation>
    <dataValidation sqref="Q6:Q2005" showDropDown="0" showInputMessage="1" showErrorMessage="1" allowBlank="1" errorTitle="Livraison promise" error="Facultatif. Date confirmée par le fournisseur. Vide : date de commande + délai du fournisseur." promptTitle="Livraison promise" prompt="Facultatif. Date confirmée par le fournisseur. Vide : date de commande + délai du fournisseur." type="date" operator="between">
      <formula1>36526</formula1>
      <formula2>73051</formula2>
    </dataValidation>
    <dataValidation sqref="S6:S2005" showDropDown="0" showInputMessage="1" showErrorMessage="1" allowBlank="1" errorTitle="Envoyé le" error="Date d'envoi du bon au fournisseur. Vide : la ligne reste en Brouillon." promptTitle="Envoyé le" prompt="Date d'envoi du bon au fournisseur. Vide : la ligne reste en Brouillon." type="date" operator="between">
      <formula1>36526</formula1>
      <formula2>73051</formula2>
    </dataValidation>
    <dataValidation sqref="T6:T2005" showDropDown="0" showInputMessage="1" showErrorMessage="1" allowBlank="1" errorTitle="Qté reçue" error="Quantité reçue au total (cumul de toutes les livraisons)." promptTitle="Qté reçue" prompt="Quantité reçue au total (cumul de toutes les livraisons)." type="decimal" operator="greaterThanOrEqual">
      <formula1>0</formula1>
    </dataValidation>
    <dataValidation sqref="U6:U2005" showDropDown="0" showInputMessage="1" showErrorMessage="1" allowBlank="1" errorTitle="Date de réception" error="Date de la dernière livraison reçue pour cette ligne." promptTitle="Date de réception" prompt="Date de la dernière livraison reçue pour cette ligne." type="date" operator="between">
      <formula1>36526</formula1>
      <formula2>73051</formula2>
    </dataValidation>
    <dataValidation sqref="V6:V2005" showDropDown="0" showInputMessage="1" showErrorMessage="1" allowBlank="1" errorTitle="Annulée" error="Choisissez Oui si la ligne est annulée. Elle sort des achats et du reste à recevoir." promptTitle="Annulée" prompt="Choisissez Oui si la ligne est annulée. Elle sort des achats et du reste à recevoir." type="list">
      <formula1>"Oui"</formula1>
    </dataValidation>
  </dataValidations>
  <hyperlinks>
    <hyperlink ref="Z1" location="'Mode d''emploi'!A1"/>
  </hyperlink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tabColor rgb="FF1D4ED8"/>
    <outlinePr summaryBelow="1" summaryRight="1"/>
    <pageSetUpPr fitToPage="1"/>
  </sheetPr>
  <dimension ref="A1:Q60"/>
  <sheetViews>
    <sheetView showGridLines="0" tabSelected="0" zoomScale="100" workbookViewId="0">
      <selection activeCell="A1" sqref="A1"/>
    </sheetView>
  </sheetViews>
  <sheetFormatPr baseColWidth="8" defaultRowHeight="15"/>
  <cols>
    <col width="2" customWidth="1" min="1" max="1"/>
    <col width="5" customWidth="1" min="2" max="2"/>
    <col width="14" customWidth="1" min="3" max="3"/>
    <col width="33" customWidth="1" min="4" max="4"/>
    <col width="9" customWidth="1" min="5" max="5"/>
    <col width="8" customWidth="1" min="6" max="6"/>
    <col width="12" customWidth="1" min="7" max="7"/>
    <col width="8" customWidth="1" min="8" max="8"/>
    <col width="8" customWidth="1" min="9" max="9"/>
    <col width="15" customWidth="1" min="10" max="10"/>
    <col width="2" customWidth="1" min="11" max="11"/>
    <col hidden="1" width="8" customWidth="1" min="13" max="13"/>
    <col hidden="1" width="10" customWidth="1" min="14" max="14"/>
    <col hidden="1" width="11" customWidth="1" min="15" max="15"/>
    <col hidden="1" width="6" customWidth="1" min="16" max="16"/>
    <col hidden="1" width="6" customWidth="1" min="17" max="17"/>
  </cols>
  <sheetData>
    <row r="1" ht="38" customHeight="1">
      <c r="A1" s="1" t="n"/>
      <c r="B1" s="2" t="inlineStr">
        <is>
          <t>Bon de commande</t>
        </is>
      </c>
      <c r="C1" s="1" t="n"/>
      <c r="D1" s="1" t="n"/>
      <c r="E1" s="1" t="n"/>
      <c r="F1" s="1" t="n"/>
      <c r="G1" s="1" t="n"/>
      <c r="H1" s="1" t="n"/>
      <c r="I1" s="1" t="n"/>
      <c r="J1" s="18" t="inlineStr">
        <is>
          <t>⌂ Mode d'emploi</t>
        </is>
      </c>
    </row>
    <row r="2" ht="22" customHeight="1">
      <c r="A2" s="3" t="n"/>
      <c r="B2" s="4" t="inlineStr">
        <is>
          <t>Choisissez le N° du bon : il se remplit à partir de « Commandes », prêt à imprimer ou à enregistrer en PDF.</t>
        </is>
      </c>
      <c r="C2" s="3" t="n"/>
      <c r="D2" s="3" t="n"/>
      <c r="E2" s="3" t="n"/>
      <c r="F2" s="3" t="n"/>
      <c r="G2" s="3" t="n"/>
      <c r="H2" s="3" t="n"/>
      <c r="I2" s="3" t="n"/>
      <c r="J2" s="3" t="n"/>
    </row>
    <row r="3" ht="22" customHeight="1">
      <c r="B3" s="77" t="inlineStr">
        <is>
          <t>N° du bon :</t>
        </is>
      </c>
      <c r="D3" s="78" t="inlineStr">
        <is>
          <t>BC-2026-0115</t>
        </is>
      </c>
      <c r="E3" s="42" t="str">
        <f>IF(D3="","(vide : dernier bon saisi)","")</f>
        <v/>
      </c>
      <c r="M3" t="str">
        <f>IF(D3&lt;&gt;"",D3&amp;"",IF(MAX(po_seq)=0,"",INDEX(po_list,MAX(po_seq))))</f>
        <v>BC-2026-0115</v>
      </c>
    </row>
    <row r="4">
      <c r="B4" s="79" t="str">
        <f>IF(p_po="","Aucun bon à afficher : saisissez des lignes dans « Commandes ».",IF(COUNTIF(po_num,p_po)&gt;25,"Attention : ce bon a plus de 25 lignes, seules les 25 premières sont imprimées.",IF(COUNTIFS(po_num,p_po,po_check,"&lt;&gt;OK")&gt;0,"Attention : "&amp;COUNTIFS(po_num,p_po,po_check,"&lt;&gt;OK")&amp;" ligne(s) de ce bon signalée(s) dans la colonne Contrôle de « Commandes ».","Prêt à imprimer : Fichier &gt; Imprimer, ou Exporter au format PDF.")))</f>
        <v>Prêt à imprimer : Fichier &gt; Imprimer, ou Exporter au format PDF.</v>
      </c>
    </row>
    <row r="5" ht="30" customHeight="1">
      <c r="B5" s="80" t="str">
        <f>p_company&amp;""</f>
        <v>Atelier Exemple SARL</v>
      </c>
      <c r="G5" s="81" t="inlineStr">
        <is>
          <t>BON DE COMMANDE</t>
        </is>
      </c>
      <c r="M5">
        <f>IF($M$20="","",IFERROR(MATCH(INDEX(po_sup,$M$20),sup_code,0),""))</f>
        <v>1.0</v>
      </c>
    </row>
    <row r="6">
      <c r="B6" s="82" t="str">
        <f>p_addr&amp;""</f>
        <v>Lot 45, zone industrielle Ouled Saleh</v>
      </c>
      <c r="G6" s="83" t="inlineStr">
        <is>
          <t>N°</t>
        </is>
      </c>
      <c r="H6" s="84" t="str">
        <f>p_po</f>
        <v>BC-2026-0115</v>
      </c>
      <c r="I6" s="12" t="n"/>
      <c r="J6" s="12" t="n"/>
    </row>
    <row r="7">
      <c r="B7" s="82" t="str">
        <f>MID(IF(p_city&lt;&gt;"",", "&amp;p_city,"")&amp;IF(p_country&lt;&gt;"",", "&amp;p_country,""),3,500)</f>
        <v>27182 Bouskoura, Maroc</v>
      </c>
      <c r="G7" s="83" t="inlineStr">
        <is>
          <t>Date</t>
        </is>
      </c>
      <c r="H7" s="85">
        <f>IF($M$20="","",INDEX(po_date,$M$20))</f>
        <v>46323.0</v>
      </c>
      <c r="I7" s="12" t="n"/>
      <c r="J7" s="12" t="n"/>
    </row>
    <row r="8">
      <c r="B8" s="82" t="str">
        <f>MID(IF(p_tel&lt;&gt;""," · "&amp;"Tél. "&amp;p_tel,"")&amp;IF(p_mail&lt;&gt;""," · "&amp;p_mail,""),4,500)</f>
        <v>Tél. 0522 00 12 34 · achats@atelier-exemple.ma</v>
      </c>
      <c r="G8" s="83" t="inlineStr">
        <is>
          <t>Livraison</t>
        </is>
      </c>
      <c r="H8" s="85">
        <f>IF(COUNT(O20:O44)=0,"",MIN(O20:O44))</f>
        <v>46335.0</v>
      </c>
      <c r="I8" s="12" t="n"/>
      <c r="J8" s="12" t="n"/>
    </row>
    <row r="9">
      <c r="B9" s="82" t="str">
        <f>MID(IF(p_id1&lt;&gt;""," · "&amp;p_id1l&amp;" : "&amp;p_id1,"")&amp;IF(p_id2&lt;&gt;""," · "&amp;p_id2l&amp;" : "&amp;p_id2,""),4,500)</f>
        <v>ICE : 002765431000058 · IF : 52418736</v>
      </c>
      <c r="G9" s="83" t="inlineStr">
        <is>
          <t>Paiement</t>
        </is>
      </c>
      <c r="H9" s="86" t="str">
        <f>IF(p_po="","",IF($M$5="",p_terms&amp;"",IF(INDEX(sup_terms,$M$5)&lt;&gt;"",INDEX(sup_terms,$M$5)&amp;"",p_terms&amp;"")))</f>
        <v>30 jours fin de mois</v>
      </c>
      <c r="I9" s="12" t="n"/>
      <c r="J9" s="12" t="n"/>
    </row>
    <row r="10">
      <c r="B10" s="82" t="str">
        <f>MID(IF(p_id3&lt;&gt;""," · "&amp;p_id3l&amp;" : "&amp;p_id3,"")&amp;IF(p_id4&lt;&gt;""," · "&amp;p_id4l&amp;" : "&amp;p_id4,""),4,500)</f>
        <v>RC : Casablanca 498213 · Patente : 36451208</v>
      </c>
    </row>
    <row r="12">
      <c r="B12" s="87" t="inlineStr">
        <is>
          <t>Livrer à</t>
        </is>
      </c>
      <c r="C12" s="1" t="n"/>
      <c r="D12" s="1" t="n"/>
      <c r="E12" s="1" t="n"/>
      <c r="G12" s="87" t="inlineStr">
        <is>
          <t>Fournisseur</t>
        </is>
      </c>
      <c r="H12" s="1" t="n"/>
      <c r="I12" s="1" t="n"/>
      <c r="J12" s="1" t="n"/>
    </row>
    <row r="13">
      <c r="B13" s="88" t="str">
        <f>p_company&amp;""</f>
        <v>Atelier Exemple SARL</v>
      </c>
      <c r="E13" s="89" t="n"/>
      <c r="G13" s="88" t="str">
        <f>IF($M$5="","",INDEX(sup_name,$M$5)&amp;"")</f>
        <v>Métaux Atlas SARL</v>
      </c>
      <c r="J13" s="89" t="n"/>
    </row>
    <row r="14">
      <c r="B14" s="90" t="str">
        <f>IF(p_saddr&lt;&gt;"",p_saddr&amp;"",p_addr&amp;"")</f>
        <v>Atelier 2, quai de réception B</v>
      </c>
      <c r="E14" s="89" t="n"/>
      <c r="G14" s="90" t="str">
        <f>IF($M$5="","",INDEX(sup_addr,$M$5)&amp;"")</f>
        <v>14 rue des Fondeurs, Aïn Sebaâ</v>
      </c>
      <c r="J14" s="89" t="n"/>
    </row>
    <row r="15">
      <c r="B15" s="90" t="str">
        <f>IF(p_saddr&lt;&gt;"",p_scity&amp;"",MID(IF(p_city&lt;&gt;"",", "&amp;p_city,"")&amp;IF(p_country&lt;&gt;"",", "&amp;p_country,""),3,500))</f>
        <v>27182 Bouskoura</v>
      </c>
      <c r="E15" s="89" t="n"/>
      <c r="G15" s="90" t="str">
        <f>IF($M$5="","",MID(IF(INDEX(sup_city,$M$5)&lt;&gt;"",", "&amp;INDEX(sup_city,$M$5),"")&amp;IF(INDEX(sup_country,$M$5)&lt;&gt;"",", "&amp;INDEX(sup_country,$M$5),""),3,500))</f>
        <v>20250 Casablanca, Maroc</v>
      </c>
      <c r="J15" s="89" t="n"/>
    </row>
    <row r="16">
      <c r="B16" s="90" t="str">
        <f>IF(p_recv&lt;&gt;"","Contact : "&amp;p_recv,"")</f>
        <v>Contact : Magasin, Mehdi Saïdi, 0661 00 00 00</v>
      </c>
      <c r="E16" s="89" t="n"/>
      <c r="G16" s="90" t="str">
        <f>IF($M$5="","",INDEX(sup_id,$M$5)&amp;"")</f>
        <v>ICE 001523874000052</v>
      </c>
      <c r="J16" s="89" t="n"/>
    </row>
    <row r="17">
      <c r="B17" s="91" t="n"/>
      <c r="C17" s="92" t="n"/>
      <c r="D17" s="92" t="n"/>
      <c r="E17" s="93" t="n"/>
      <c r="G17" s="91" t="str">
        <f>IF($M$5="","",MID(IF(INDEX(sup_contact,$M$5)&lt;&gt;""," · "&amp;INDEX(sup_contact,$M$5),"")&amp;IF(INDEX(sup_tel,$M$5)&lt;&gt;""," · "&amp;INDEX(sup_tel,$M$5),"")&amp;IF(INDEX(sup_mail,$M$5)&lt;&gt;""," · "&amp;INDEX(sup_mail,$M$5),""),4,500))</f>
        <v>Karim Bennani · 0522 00 41 20 · metaux.atlas@exemple.ma</v>
      </c>
      <c r="H17" s="92" t="n"/>
      <c r="I17" s="92" t="n"/>
      <c r="J17" s="93" t="n"/>
    </row>
    <row r="19" ht="24" customHeight="1">
      <c r="B19" s="45" t="inlineStr">
        <is>
          <t>N°</t>
        </is>
      </c>
      <c r="C19" s="45" t="inlineStr">
        <is>
          <t>Référence</t>
        </is>
      </c>
      <c r="D19" s="45" t="inlineStr">
        <is>
          <t>Désignation</t>
        </is>
      </c>
      <c r="E19" s="45" t="inlineStr">
        <is>
          <t>Quantité</t>
        </is>
      </c>
      <c r="F19" s="45" t="inlineStr">
        <is>
          <t>Unité</t>
        </is>
      </c>
      <c r="G19" s="45" t="inlineStr">
        <is>
          <t>Prix unit. HT</t>
        </is>
      </c>
      <c r="H19" s="45" t="inlineStr">
        <is>
          <t>Remise</t>
        </is>
      </c>
      <c r="I19" s="45" t="inlineStr">
        <is>
          <t>TVA</t>
        </is>
      </c>
      <c r="J19" s="45" t="inlineStr">
        <is>
          <t>Montant HT</t>
        </is>
      </c>
    </row>
    <row r="20" ht="16" customHeight="1">
      <c r="B20" s="94">
        <f>IF($M20="","",1)</f>
        <v>1.0</v>
      </c>
      <c r="C20" s="95" t="str">
        <f>IF($M20="","",INDEX(po_ref,$M20)&amp;"")</f>
        <v>TOL-S235-2</v>
      </c>
      <c r="D20" s="95" t="str">
        <f>IF($M20="","",INDEX(po_des,$M20)&amp;"")</f>
        <v>Tôle acier S235 ép. 2 mm</v>
      </c>
      <c r="E20" s="96">
        <f>IF($M20="","",N(INDEX(po_qty,$M20)))</f>
        <v>1500.0</v>
      </c>
      <c r="F20" s="97" t="str">
        <f>IF($M20="","",INDEX(po_unit,$M20)&amp;"")</f>
        <v>kg</v>
      </c>
      <c r="G20" s="98">
        <f>IF($M20="","",INDEX(po_price,$M20))</f>
        <v>11.8</v>
      </c>
      <c r="H20" s="99">
        <f>IF($M20="","",IF(N(INDEX(po_disc,$M20))=0,"",INDEX(po_disc,$M20)))</f>
        <v>0.03</v>
      </c>
      <c r="I20" s="99">
        <f>IF($M20="","",INDEX(po_rate,$M20))</f>
        <v>0.2</v>
      </c>
      <c r="J20" s="98">
        <f>IF($M20="","",INDEX(po_ht,$M20))</f>
        <v>17169.0</v>
      </c>
      <c r="M20">
        <f>IFERROR(MATCH(1,po_occ,0),"")</f>
        <v>33.0</v>
      </c>
      <c r="N20">
        <f>IF($M20="","",N(INDEX(po_tvaamt,$M20)))</f>
        <v>3433.8</v>
      </c>
      <c r="O20">
        <f>IF($M20="","",INDEX(po_due,$M20))</f>
        <v>46335.0</v>
      </c>
      <c r="P20">
        <f>IF(INDEX(p_tva,1)="","",IF(COUNTIF($I$20:$I$44,INDEX(p_tva,1))&gt;0,1,""))</f>
        <v>1.0</v>
      </c>
      <c r="Q20">
        <f>IF(P20="","",COUNT($P$20:P20))</f>
        <v>1.0</v>
      </c>
    </row>
    <row r="21" ht="16" customHeight="1">
      <c r="B21" s="100">
        <f>IF($M21="","",2)</f>
        <v>2.0</v>
      </c>
      <c r="C21" s="101" t="str">
        <f>IF($M21="","",INDEX(po_ref,$M21)&amp;"")</f>
        <v>ROND-C45-30</v>
      </c>
      <c r="D21" s="101" t="str">
        <f>IF($M21="","",INDEX(po_des,$M21)&amp;"")</f>
        <v>Rond acier C45 Ø30, barre 3 m</v>
      </c>
      <c r="E21" s="102">
        <f>IF($M21="","",N(INDEX(po_qty,$M21)))</f>
        <v>20.0</v>
      </c>
      <c r="F21" s="103" t="str">
        <f>IF($M21="","",INDEX(po_unit,$M21)&amp;"")</f>
        <v>barre</v>
      </c>
      <c r="G21" s="104">
        <f>IF($M21="","",INDEX(po_price,$M21))</f>
        <v>285.0</v>
      </c>
      <c r="H21" s="105">
        <f>IF($M21="","",IF(N(INDEX(po_disc,$M21))=0,"",INDEX(po_disc,$M21)))</f>
        <v>0.03</v>
      </c>
      <c r="I21" s="105">
        <f>IF($M21="","",INDEX(po_rate,$M21))</f>
        <v>0.2</v>
      </c>
      <c r="J21" s="104">
        <f>IF($M21="","",INDEX(po_ht,$M21))</f>
        <v>5529.0</v>
      </c>
      <c r="M21">
        <f>IFERROR(MATCH(2,po_occ,0),"")</f>
        <v>34.0</v>
      </c>
      <c r="N21">
        <f>IF($M21="","",N(INDEX(po_tvaamt,$M21)))</f>
        <v>1105.8</v>
      </c>
      <c r="O21">
        <f>IF($M21="","",INDEX(po_due,$M21))</f>
        <v>46335.0</v>
      </c>
      <c r="P21">
        <f>IF(INDEX(p_tva,2)="","",IF(COUNTIF($I$20:$I$44,INDEX(p_tva,2))&gt;0,1,""))</f>
        <v>1.0</v>
      </c>
      <c r="Q21">
        <f>IF(P21="","",COUNT($P$20:P21))</f>
        <v>2.0</v>
      </c>
    </row>
    <row r="22" ht="16" customHeight="1">
      <c r="B22" s="94">
        <f>IF($M22="","",3)</f>
        <v>3.0</v>
      </c>
      <c r="C22" s="95" t="str">
        <f>IF($M22="","",INDEX(po_ref,$M22)&amp;"")</f>
        <v>TRANS-CASA</v>
      </c>
      <c r="D22" s="95" t="str">
        <f>IF($M22="","",INDEX(po_des,$M22)&amp;"")</f>
        <v>Transport Casablanca, camion 3,5 t</v>
      </c>
      <c r="E22" s="96">
        <f>IF($M22="","",N(INDEX(po_qty,$M22)))</f>
        <v>1.0</v>
      </c>
      <c r="F22" s="97" t="str">
        <f>IF($M22="","",INDEX(po_unit,$M22)&amp;"")</f>
        <v>voyage</v>
      </c>
      <c r="G22" s="98">
        <f>IF($M22="","",INDEX(po_price,$M22))</f>
        <v>650.0</v>
      </c>
      <c r="H22" s="99" t="str">
        <f>IF($M22="","",IF(N(INDEX(po_disc,$M22))=0,"",INDEX(po_disc,$M22)))</f>
        <v/>
      </c>
      <c r="I22" s="99">
        <f>IF($M22="","",INDEX(po_rate,$M22))</f>
        <v>0.14</v>
      </c>
      <c r="J22" s="98">
        <f>IF($M22="","",INDEX(po_ht,$M22))</f>
        <v>650.0</v>
      </c>
      <c r="M22">
        <f>IFERROR(MATCH(3,po_occ,0),"")</f>
        <v>35.0</v>
      </c>
      <c r="N22">
        <f>IF($M22="","",N(INDEX(po_tvaamt,$M22)))</f>
        <v>91.0</v>
      </c>
      <c r="O22">
        <f>IF($M22="","",INDEX(po_due,$M22))</f>
        <v>46335.0</v>
      </c>
      <c r="P22" t="str">
        <f>IF(INDEX(p_tva,3)="","",IF(COUNTIF($I$20:$I$44,INDEX(p_tva,3))&gt;0,1,""))</f>
        <v/>
      </c>
      <c r="Q22" t="str">
        <f>IF(P22="","",COUNT($P$20:P22))</f>
        <v/>
      </c>
    </row>
    <row r="23" ht="16" customHeight="1">
      <c r="B23" s="100" t="str">
        <f>IF($M23="","",4)</f>
        <v/>
      </c>
      <c r="C23" s="101" t="str">
        <f>IF($M23="","",INDEX(po_ref,$M23)&amp;"")</f>
        <v/>
      </c>
      <c r="D23" s="101" t="str">
        <f>IF($M23="","",INDEX(po_des,$M23)&amp;"")</f>
        <v/>
      </c>
      <c r="E23" s="102" t="str">
        <f>IF($M23="","",N(INDEX(po_qty,$M23)))</f>
        <v/>
      </c>
      <c r="F23" s="103" t="str">
        <f>IF($M23="","",INDEX(po_unit,$M23)&amp;"")</f>
        <v/>
      </c>
      <c r="G23" s="104" t="str">
        <f>IF($M23="","",INDEX(po_price,$M23))</f>
        <v/>
      </c>
      <c r="H23" s="105" t="str">
        <f>IF($M23="","",IF(N(INDEX(po_disc,$M23))=0,"",INDEX(po_disc,$M23)))</f>
        <v/>
      </c>
      <c r="I23" s="105" t="str">
        <f>IF($M23="","",INDEX(po_rate,$M23))</f>
        <v/>
      </c>
      <c r="J23" s="104" t="str">
        <f>IF($M23="","",INDEX(po_ht,$M23))</f>
        <v/>
      </c>
      <c r="M23" t="str">
        <f>IFERROR(MATCH(4,po_occ,0),"")</f>
        <v/>
      </c>
      <c r="N23" t="str">
        <f>IF($M23="","",N(INDEX(po_tvaamt,$M23)))</f>
        <v/>
      </c>
      <c r="O23" t="str">
        <f>IF($M23="","",INDEX(po_due,$M23))</f>
        <v/>
      </c>
      <c r="P23" t="str">
        <f>IF(INDEX(p_tva,4)="","",IF(COUNTIF($I$20:$I$44,INDEX(p_tva,4))&gt;0,1,""))</f>
        <v/>
      </c>
      <c r="Q23" t="str">
        <f>IF(P23="","",COUNT($P$20:P23))</f>
        <v/>
      </c>
    </row>
    <row r="24" ht="16" customHeight="1">
      <c r="B24" s="94" t="str">
        <f>IF($M24="","",5)</f>
        <v/>
      </c>
      <c r="C24" s="95" t="str">
        <f>IF($M24="","",INDEX(po_ref,$M24)&amp;"")</f>
        <v/>
      </c>
      <c r="D24" s="95" t="str">
        <f>IF($M24="","",INDEX(po_des,$M24)&amp;"")</f>
        <v/>
      </c>
      <c r="E24" s="96" t="str">
        <f>IF($M24="","",N(INDEX(po_qty,$M24)))</f>
        <v/>
      </c>
      <c r="F24" s="97" t="str">
        <f>IF($M24="","",INDEX(po_unit,$M24)&amp;"")</f>
        <v/>
      </c>
      <c r="G24" s="98" t="str">
        <f>IF($M24="","",INDEX(po_price,$M24))</f>
        <v/>
      </c>
      <c r="H24" s="99" t="str">
        <f>IF($M24="","",IF(N(INDEX(po_disc,$M24))=0,"",INDEX(po_disc,$M24)))</f>
        <v/>
      </c>
      <c r="I24" s="99" t="str">
        <f>IF($M24="","",INDEX(po_rate,$M24))</f>
        <v/>
      </c>
      <c r="J24" s="98" t="str">
        <f>IF($M24="","",INDEX(po_ht,$M24))</f>
        <v/>
      </c>
      <c r="M24" t="str">
        <f>IFERROR(MATCH(5,po_occ,0),"")</f>
        <v/>
      </c>
      <c r="N24" t="str">
        <f>IF($M24="","",N(INDEX(po_tvaamt,$M24)))</f>
        <v/>
      </c>
      <c r="O24" t="str">
        <f>IF($M24="","",INDEX(po_due,$M24))</f>
        <v/>
      </c>
      <c r="P24" t="str">
        <f>IF(INDEX(p_tva,5)="","",IF(COUNTIF($I$20:$I$44,INDEX(p_tva,5))&gt;0,1,""))</f>
        <v/>
      </c>
      <c r="Q24" t="str">
        <f>IF(P24="","",COUNT($P$20:P24))</f>
        <v/>
      </c>
    </row>
    <row r="25" ht="16" customHeight="1">
      <c r="B25" s="100" t="str">
        <f>IF($M25="","",6)</f>
        <v/>
      </c>
      <c r="C25" s="101" t="str">
        <f>IF($M25="","",INDEX(po_ref,$M25)&amp;"")</f>
        <v/>
      </c>
      <c r="D25" s="101" t="str">
        <f>IF($M25="","",INDEX(po_des,$M25)&amp;"")</f>
        <v/>
      </c>
      <c r="E25" s="102" t="str">
        <f>IF($M25="","",N(INDEX(po_qty,$M25)))</f>
        <v/>
      </c>
      <c r="F25" s="103" t="str">
        <f>IF($M25="","",INDEX(po_unit,$M25)&amp;"")</f>
        <v/>
      </c>
      <c r="G25" s="104" t="str">
        <f>IF($M25="","",INDEX(po_price,$M25))</f>
        <v/>
      </c>
      <c r="H25" s="105" t="str">
        <f>IF($M25="","",IF(N(INDEX(po_disc,$M25))=0,"",INDEX(po_disc,$M25)))</f>
        <v/>
      </c>
      <c r="I25" s="105" t="str">
        <f>IF($M25="","",INDEX(po_rate,$M25))</f>
        <v/>
      </c>
      <c r="J25" s="104" t="str">
        <f>IF($M25="","",INDEX(po_ht,$M25))</f>
        <v/>
      </c>
      <c r="M25" t="str">
        <f>IFERROR(MATCH(6,po_occ,0),"")</f>
        <v/>
      </c>
      <c r="N25" t="str">
        <f>IF($M25="","",N(INDEX(po_tvaamt,$M25)))</f>
        <v/>
      </c>
      <c r="O25" t="str">
        <f>IF($M25="","",INDEX(po_due,$M25))</f>
        <v/>
      </c>
      <c r="P25" t="str">
        <f>IF(INDEX(p_tva,6)="","",IF(COUNTIF($I$20:$I$44,INDEX(p_tva,6))&gt;0,1,""))</f>
        <v/>
      </c>
      <c r="Q25" t="str">
        <f>IF(P25="","",COUNT($P$20:P25))</f>
        <v/>
      </c>
    </row>
    <row r="26" ht="16" customHeight="1">
      <c r="B26" s="94" t="str">
        <f>IF($M26="","",7)</f>
        <v/>
      </c>
      <c r="C26" s="95" t="str">
        <f>IF($M26="","",INDEX(po_ref,$M26)&amp;"")</f>
        <v/>
      </c>
      <c r="D26" s="95" t="str">
        <f>IF($M26="","",INDEX(po_des,$M26)&amp;"")</f>
        <v/>
      </c>
      <c r="E26" s="96" t="str">
        <f>IF($M26="","",N(INDEX(po_qty,$M26)))</f>
        <v/>
      </c>
      <c r="F26" s="97" t="str">
        <f>IF($M26="","",INDEX(po_unit,$M26)&amp;"")</f>
        <v/>
      </c>
      <c r="G26" s="98" t="str">
        <f>IF($M26="","",INDEX(po_price,$M26))</f>
        <v/>
      </c>
      <c r="H26" s="99" t="str">
        <f>IF($M26="","",IF(N(INDEX(po_disc,$M26))=0,"",INDEX(po_disc,$M26)))</f>
        <v/>
      </c>
      <c r="I26" s="99" t="str">
        <f>IF($M26="","",INDEX(po_rate,$M26))</f>
        <v/>
      </c>
      <c r="J26" s="98" t="str">
        <f>IF($M26="","",INDEX(po_ht,$M26))</f>
        <v/>
      </c>
      <c r="M26" t="str">
        <f>IFERROR(MATCH(7,po_occ,0),"")</f>
        <v/>
      </c>
      <c r="N26" t="str">
        <f>IF($M26="","",N(INDEX(po_tvaamt,$M26)))</f>
        <v/>
      </c>
      <c r="O26" t="str">
        <f>IF($M26="","",INDEX(po_due,$M26))</f>
        <v/>
      </c>
      <c r="P26" t="str">
        <f>IF(INDEX(p_tva,7)="","",IF(COUNTIF($I$20:$I$44,INDEX(p_tva,7))&gt;0,1,""))</f>
        <v/>
      </c>
      <c r="Q26" t="str">
        <f>IF(P26="","",COUNT($P$20:P26))</f>
        <v/>
      </c>
    </row>
    <row r="27" ht="16" customHeight="1">
      <c r="B27" s="100" t="str">
        <f>IF($M27="","",8)</f>
        <v/>
      </c>
      <c r="C27" s="101" t="str">
        <f>IF($M27="","",INDEX(po_ref,$M27)&amp;"")</f>
        <v/>
      </c>
      <c r="D27" s="101" t="str">
        <f>IF($M27="","",INDEX(po_des,$M27)&amp;"")</f>
        <v/>
      </c>
      <c r="E27" s="102" t="str">
        <f>IF($M27="","",N(INDEX(po_qty,$M27)))</f>
        <v/>
      </c>
      <c r="F27" s="103" t="str">
        <f>IF($M27="","",INDEX(po_unit,$M27)&amp;"")</f>
        <v/>
      </c>
      <c r="G27" s="104" t="str">
        <f>IF($M27="","",INDEX(po_price,$M27))</f>
        <v/>
      </c>
      <c r="H27" s="105" t="str">
        <f>IF($M27="","",IF(N(INDEX(po_disc,$M27))=0,"",INDEX(po_disc,$M27)))</f>
        <v/>
      </c>
      <c r="I27" s="105" t="str">
        <f>IF($M27="","",INDEX(po_rate,$M27))</f>
        <v/>
      </c>
      <c r="J27" s="104" t="str">
        <f>IF($M27="","",INDEX(po_ht,$M27))</f>
        <v/>
      </c>
      <c r="M27" t="str">
        <f>IFERROR(MATCH(8,po_occ,0),"")</f>
        <v/>
      </c>
      <c r="N27" t="str">
        <f>IF($M27="","",N(INDEX(po_tvaamt,$M27)))</f>
        <v/>
      </c>
      <c r="O27" t="str">
        <f>IF($M27="","",INDEX(po_due,$M27))</f>
        <v/>
      </c>
      <c r="P27" t="str">
        <f>IF(INDEX(p_tva,8)="","",IF(COUNTIF($I$20:$I$44,INDEX(p_tva,8))&gt;0,1,""))</f>
        <v/>
      </c>
      <c r="Q27" t="str">
        <f>IF(P27="","",COUNT($P$20:P27))</f>
        <v/>
      </c>
    </row>
    <row r="28" ht="16" customHeight="1">
      <c r="B28" s="94" t="str">
        <f>IF($M28="","",9)</f>
        <v/>
      </c>
      <c r="C28" s="95" t="str">
        <f>IF($M28="","",INDEX(po_ref,$M28)&amp;"")</f>
        <v/>
      </c>
      <c r="D28" s="95" t="str">
        <f>IF($M28="","",INDEX(po_des,$M28)&amp;"")</f>
        <v/>
      </c>
      <c r="E28" s="96" t="str">
        <f>IF($M28="","",N(INDEX(po_qty,$M28)))</f>
        <v/>
      </c>
      <c r="F28" s="97" t="str">
        <f>IF($M28="","",INDEX(po_unit,$M28)&amp;"")</f>
        <v/>
      </c>
      <c r="G28" s="98" t="str">
        <f>IF($M28="","",INDEX(po_price,$M28))</f>
        <v/>
      </c>
      <c r="H28" s="99" t="str">
        <f>IF($M28="","",IF(N(INDEX(po_disc,$M28))=0,"",INDEX(po_disc,$M28)))</f>
        <v/>
      </c>
      <c r="I28" s="99" t="str">
        <f>IF($M28="","",INDEX(po_rate,$M28))</f>
        <v/>
      </c>
      <c r="J28" s="98" t="str">
        <f>IF($M28="","",INDEX(po_ht,$M28))</f>
        <v/>
      </c>
      <c r="M28" t="str">
        <f>IFERROR(MATCH(9,po_occ,0),"")</f>
        <v/>
      </c>
      <c r="N28" t="str">
        <f>IF($M28="","",N(INDEX(po_tvaamt,$M28)))</f>
        <v/>
      </c>
      <c r="O28" t="str">
        <f>IF($M28="","",INDEX(po_due,$M28))</f>
        <v/>
      </c>
    </row>
    <row r="29" ht="16" customHeight="1">
      <c r="B29" s="100" t="str">
        <f>IF($M29="","",10)</f>
        <v/>
      </c>
      <c r="C29" s="101" t="str">
        <f>IF($M29="","",INDEX(po_ref,$M29)&amp;"")</f>
        <v/>
      </c>
      <c r="D29" s="101" t="str">
        <f>IF($M29="","",INDEX(po_des,$M29)&amp;"")</f>
        <v/>
      </c>
      <c r="E29" s="102" t="str">
        <f>IF($M29="","",N(INDEX(po_qty,$M29)))</f>
        <v/>
      </c>
      <c r="F29" s="103" t="str">
        <f>IF($M29="","",INDEX(po_unit,$M29)&amp;"")</f>
        <v/>
      </c>
      <c r="G29" s="104" t="str">
        <f>IF($M29="","",INDEX(po_price,$M29))</f>
        <v/>
      </c>
      <c r="H29" s="105" t="str">
        <f>IF($M29="","",IF(N(INDEX(po_disc,$M29))=0,"",INDEX(po_disc,$M29)))</f>
        <v/>
      </c>
      <c r="I29" s="105" t="str">
        <f>IF($M29="","",INDEX(po_rate,$M29))</f>
        <v/>
      </c>
      <c r="J29" s="104" t="str">
        <f>IF($M29="","",INDEX(po_ht,$M29))</f>
        <v/>
      </c>
      <c r="M29" t="str">
        <f>IFERROR(MATCH(10,po_occ,0),"")</f>
        <v/>
      </c>
      <c r="N29" t="str">
        <f>IF($M29="","",N(INDEX(po_tvaamt,$M29)))</f>
        <v/>
      </c>
      <c r="O29" t="str">
        <f>IF($M29="","",INDEX(po_due,$M29))</f>
        <v/>
      </c>
    </row>
    <row r="30" ht="16" customHeight="1">
      <c r="B30" s="94" t="str">
        <f>IF($M30="","",11)</f>
        <v/>
      </c>
      <c r="C30" s="95" t="str">
        <f>IF($M30="","",INDEX(po_ref,$M30)&amp;"")</f>
        <v/>
      </c>
      <c r="D30" s="95" t="str">
        <f>IF($M30="","",INDEX(po_des,$M30)&amp;"")</f>
        <v/>
      </c>
      <c r="E30" s="96" t="str">
        <f>IF($M30="","",N(INDEX(po_qty,$M30)))</f>
        <v/>
      </c>
      <c r="F30" s="97" t="str">
        <f>IF($M30="","",INDEX(po_unit,$M30)&amp;"")</f>
        <v/>
      </c>
      <c r="G30" s="98" t="str">
        <f>IF($M30="","",INDEX(po_price,$M30))</f>
        <v/>
      </c>
      <c r="H30" s="99" t="str">
        <f>IF($M30="","",IF(N(INDEX(po_disc,$M30))=0,"",INDEX(po_disc,$M30)))</f>
        <v/>
      </c>
      <c r="I30" s="99" t="str">
        <f>IF($M30="","",INDEX(po_rate,$M30))</f>
        <v/>
      </c>
      <c r="J30" s="98" t="str">
        <f>IF($M30="","",INDEX(po_ht,$M30))</f>
        <v/>
      </c>
      <c r="M30" t="str">
        <f>IFERROR(MATCH(11,po_occ,0),"")</f>
        <v/>
      </c>
      <c r="N30" t="str">
        <f>IF($M30="","",N(INDEX(po_tvaamt,$M30)))</f>
        <v/>
      </c>
      <c r="O30" t="str">
        <f>IF($M30="","",INDEX(po_due,$M30))</f>
        <v/>
      </c>
    </row>
    <row r="31" ht="16" customHeight="1">
      <c r="B31" s="100" t="str">
        <f>IF($M31="","",12)</f>
        <v/>
      </c>
      <c r="C31" s="101" t="str">
        <f>IF($M31="","",INDEX(po_ref,$M31)&amp;"")</f>
        <v/>
      </c>
      <c r="D31" s="101" t="str">
        <f>IF($M31="","",INDEX(po_des,$M31)&amp;"")</f>
        <v/>
      </c>
      <c r="E31" s="102" t="str">
        <f>IF($M31="","",N(INDEX(po_qty,$M31)))</f>
        <v/>
      </c>
      <c r="F31" s="103" t="str">
        <f>IF($M31="","",INDEX(po_unit,$M31)&amp;"")</f>
        <v/>
      </c>
      <c r="G31" s="104" t="str">
        <f>IF($M31="","",INDEX(po_price,$M31))</f>
        <v/>
      </c>
      <c r="H31" s="105" t="str">
        <f>IF($M31="","",IF(N(INDEX(po_disc,$M31))=0,"",INDEX(po_disc,$M31)))</f>
        <v/>
      </c>
      <c r="I31" s="105" t="str">
        <f>IF($M31="","",INDEX(po_rate,$M31))</f>
        <v/>
      </c>
      <c r="J31" s="104" t="str">
        <f>IF($M31="","",INDEX(po_ht,$M31))</f>
        <v/>
      </c>
      <c r="M31" t="str">
        <f>IFERROR(MATCH(12,po_occ,0),"")</f>
        <v/>
      </c>
      <c r="N31" t="str">
        <f>IF($M31="","",N(INDEX(po_tvaamt,$M31)))</f>
        <v/>
      </c>
      <c r="O31" t="str">
        <f>IF($M31="","",INDEX(po_due,$M31))</f>
        <v/>
      </c>
    </row>
    <row r="32" ht="16" customHeight="1">
      <c r="B32" s="94" t="str">
        <f>IF($M32="","",13)</f>
        <v/>
      </c>
      <c r="C32" s="95" t="str">
        <f>IF($M32="","",INDEX(po_ref,$M32)&amp;"")</f>
        <v/>
      </c>
      <c r="D32" s="95" t="str">
        <f>IF($M32="","",INDEX(po_des,$M32)&amp;"")</f>
        <v/>
      </c>
      <c r="E32" s="96" t="str">
        <f>IF($M32="","",N(INDEX(po_qty,$M32)))</f>
        <v/>
      </c>
      <c r="F32" s="97" t="str">
        <f>IF($M32="","",INDEX(po_unit,$M32)&amp;"")</f>
        <v/>
      </c>
      <c r="G32" s="98" t="str">
        <f>IF($M32="","",INDEX(po_price,$M32))</f>
        <v/>
      </c>
      <c r="H32" s="99" t="str">
        <f>IF($M32="","",IF(N(INDEX(po_disc,$M32))=0,"",INDEX(po_disc,$M32)))</f>
        <v/>
      </c>
      <c r="I32" s="99" t="str">
        <f>IF($M32="","",INDEX(po_rate,$M32))</f>
        <v/>
      </c>
      <c r="J32" s="98" t="str">
        <f>IF($M32="","",INDEX(po_ht,$M32))</f>
        <v/>
      </c>
      <c r="M32" t="str">
        <f>IFERROR(MATCH(13,po_occ,0),"")</f>
        <v/>
      </c>
      <c r="N32" t="str">
        <f>IF($M32="","",N(INDEX(po_tvaamt,$M32)))</f>
        <v/>
      </c>
      <c r="O32" t="str">
        <f>IF($M32="","",INDEX(po_due,$M32))</f>
        <v/>
      </c>
    </row>
    <row r="33" ht="16" customHeight="1">
      <c r="B33" s="100" t="str">
        <f>IF($M33="","",14)</f>
        <v/>
      </c>
      <c r="C33" s="101" t="str">
        <f>IF($M33="","",INDEX(po_ref,$M33)&amp;"")</f>
        <v/>
      </c>
      <c r="D33" s="101" t="str">
        <f>IF($M33="","",INDEX(po_des,$M33)&amp;"")</f>
        <v/>
      </c>
      <c r="E33" s="102" t="str">
        <f>IF($M33="","",N(INDEX(po_qty,$M33)))</f>
        <v/>
      </c>
      <c r="F33" s="103" t="str">
        <f>IF($M33="","",INDEX(po_unit,$M33)&amp;"")</f>
        <v/>
      </c>
      <c r="G33" s="104" t="str">
        <f>IF($M33="","",INDEX(po_price,$M33))</f>
        <v/>
      </c>
      <c r="H33" s="105" t="str">
        <f>IF($M33="","",IF(N(INDEX(po_disc,$M33))=0,"",INDEX(po_disc,$M33)))</f>
        <v/>
      </c>
      <c r="I33" s="105" t="str">
        <f>IF($M33="","",INDEX(po_rate,$M33))</f>
        <v/>
      </c>
      <c r="J33" s="104" t="str">
        <f>IF($M33="","",INDEX(po_ht,$M33))</f>
        <v/>
      </c>
      <c r="M33" t="str">
        <f>IFERROR(MATCH(14,po_occ,0),"")</f>
        <v/>
      </c>
      <c r="N33" t="str">
        <f>IF($M33="","",N(INDEX(po_tvaamt,$M33)))</f>
        <v/>
      </c>
      <c r="O33" t="str">
        <f>IF($M33="","",INDEX(po_due,$M33))</f>
        <v/>
      </c>
    </row>
    <row r="34" ht="16" customHeight="1">
      <c r="B34" s="94" t="str">
        <f>IF($M34="","",15)</f>
        <v/>
      </c>
      <c r="C34" s="95" t="str">
        <f>IF($M34="","",INDEX(po_ref,$M34)&amp;"")</f>
        <v/>
      </c>
      <c r="D34" s="95" t="str">
        <f>IF($M34="","",INDEX(po_des,$M34)&amp;"")</f>
        <v/>
      </c>
      <c r="E34" s="96" t="str">
        <f>IF($M34="","",N(INDEX(po_qty,$M34)))</f>
        <v/>
      </c>
      <c r="F34" s="97" t="str">
        <f>IF($M34="","",INDEX(po_unit,$M34)&amp;"")</f>
        <v/>
      </c>
      <c r="G34" s="98" t="str">
        <f>IF($M34="","",INDEX(po_price,$M34))</f>
        <v/>
      </c>
      <c r="H34" s="99" t="str">
        <f>IF($M34="","",IF(N(INDEX(po_disc,$M34))=0,"",INDEX(po_disc,$M34)))</f>
        <v/>
      </c>
      <c r="I34" s="99" t="str">
        <f>IF($M34="","",INDEX(po_rate,$M34))</f>
        <v/>
      </c>
      <c r="J34" s="98" t="str">
        <f>IF($M34="","",INDEX(po_ht,$M34))</f>
        <v/>
      </c>
      <c r="M34" t="str">
        <f>IFERROR(MATCH(15,po_occ,0),"")</f>
        <v/>
      </c>
      <c r="N34" t="str">
        <f>IF($M34="","",N(INDEX(po_tvaamt,$M34)))</f>
        <v/>
      </c>
      <c r="O34" t="str">
        <f>IF($M34="","",INDEX(po_due,$M34))</f>
        <v/>
      </c>
    </row>
    <row r="35" ht="16" customHeight="1">
      <c r="B35" s="100" t="str">
        <f>IF($M35="","",16)</f>
        <v/>
      </c>
      <c r="C35" s="101" t="str">
        <f>IF($M35="","",INDEX(po_ref,$M35)&amp;"")</f>
        <v/>
      </c>
      <c r="D35" s="101" t="str">
        <f>IF($M35="","",INDEX(po_des,$M35)&amp;"")</f>
        <v/>
      </c>
      <c r="E35" s="102" t="str">
        <f>IF($M35="","",N(INDEX(po_qty,$M35)))</f>
        <v/>
      </c>
      <c r="F35" s="103" t="str">
        <f>IF($M35="","",INDEX(po_unit,$M35)&amp;"")</f>
        <v/>
      </c>
      <c r="G35" s="104" t="str">
        <f>IF($M35="","",INDEX(po_price,$M35))</f>
        <v/>
      </c>
      <c r="H35" s="105" t="str">
        <f>IF($M35="","",IF(N(INDEX(po_disc,$M35))=0,"",INDEX(po_disc,$M35)))</f>
        <v/>
      </c>
      <c r="I35" s="105" t="str">
        <f>IF($M35="","",INDEX(po_rate,$M35))</f>
        <v/>
      </c>
      <c r="J35" s="104" t="str">
        <f>IF($M35="","",INDEX(po_ht,$M35))</f>
        <v/>
      </c>
      <c r="M35" t="str">
        <f>IFERROR(MATCH(16,po_occ,0),"")</f>
        <v/>
      </c>
      <c r="N35" t="str">
        <f>IF($M35="","",N(INDEX(po_tvaamt,$M35)))</f>
        <v/>
      </c>
      <c r="O35" t="str">
        <f>IF($M35="","",INDEX(po_due,$M35))</f>
        <v/>
      </c>
    </row>
    <row r="36" ht="16" customHeight="1">
      <c r="B36" s="94" t="str">
        <f>IF($M36="","",17)</f>
        <v/>
      </c>
      <c r="C36" s="95" t="str">
        <f>IF($M36="","",INDEX(po_ref,$M36)&amp;"")</f>
        <v/>
      </c>
      <c r="D36" s="95" t="str">
        <f>IF($M36="","",INDEX(po_des,$M36)&amp;"")</f>
        <v/>
      </c>
      <c r="E36" s="96" t="str">
        <f>IF($M36="","",N(INDEX(po_qty,$M36)))</f>
        <v/>
      </c>
      <c r="F36" s="97" t="str">
        <f>IF($M36="","",INDEX(po_unit,$M36)&amp;"")</f>
        <v/>
      </c>
      <c r="G36" s="98" t="str">
        <f>IF($M36="","",INDEX(po_price,$M36))</f>
        <v/>
      </c>
      <c r="H36" s="99" t="str">
        <f>IF($M36="","",IF(N(INDEX(po_disc,$M36))=0,"",INDEX(po_disc,$M36)))</f>
        <v/>
      </c>
      <c r="I36" s="99" t="str">
        <f>IF($M36="","",INDEX(po_rate,$M36))</f>
        <v/>
      </c>
      <c r="J36" s="98" t="str">
        <f>IF($M36="","",INDEX(po_ht,$M36))</f>
        <v/>
      </c>
      <c r="M36" t="str">
        <f>IFERROR(MATCH(17,po_occ,0),"")</f>
        <v/>
      </c>
      <c r="N36" t="str">
        <f>IF($M36="","",N(INDEX(po_tvaamt,$M36)))</f>
        <v/>
      </c>
      <c r="O36" t="str">
        <f>IF($M36="","",INDEX(po_due,$M36))</f>
        <v/>
      </c>
    </row>
    <row r="37" ht="16" customHeight="1">
      <c r="B37" s="100" t="str">
        <f>IF($M37="","",18)</f>
        <v/>
      </c>
      <c r="C37" s="101" t="str">
        <f>IF($M37="","",INDEX(po_ref,$M37)&amp;"")</f>
        <v/>
      </c>
      <c r="D37" s="101" t="str">
        <f>IF($M37="","",INDEX(po_des,$M37)&amp;"")</f>
        <v/>
      </c>
      <c r="E37" s="102" t="str">
        <f>IF($M37="","",N(INDEX(po_qty,$M37)))</f>
        <v/>
      </c>
      <c r="F37" s="103" t="str">
        <f>IF($M37="","",INDEX(po_unit,$M37)&amp;"")</f>
        <v/>
      </c>
      <c r="G37" s="104" t="str">
        <f>IF($M37="","",INDEX(po_price,$M37))</f>
        <v/>
      </c>
      <c r="H37" s="105" t="str">
        <f>IF($M37="","",IF(N(INDEX(po_disc,$M37))=0,"",INDEX(po_disc,$M37)))</f>
        <v/>
      </c>
      <c r="I37" s="105" t="str">
        <f>IF($M37="","",INDEX(po_rate,$M37))</f>
        <v/>
      </c>
      <c r="J37" s="104" t="str">
        <f>IF($M37="","",INDEX(po_ht,$M37))</f>
        <v/>
      </c>
      <c r="M37" t="str">
        <f>IFERROR(MATCH(18,po_occ,0),"")</f>
        <v/>
      </c>
      <c r="N37" t="str">
        <f>IF($M37="","",N(INDEX(po_tvaamt,$M37)))</f>
        <v/>
      </c>
      <c r="O37" t="str">
        <f>IF($M37="","",INDEX(po_due,$M37))</f>
        <v/>
      </c>
    </row>
    <row r="38" ht="16" customHeight="1">
      <c r="B38" s="94" t="str">
        <f>IF($M38="","",19)</f>
        <v/>
      </c>
      <c r="C38" s="95" t="str">
        <f>IF($M38="","",INDEX(po_ref,$M38)&amp;"")</f>
        <v/>
      </c>
      <c r="D38" s="95" t="str">
        <f>IF($M38="","",INDEX(po_des,$M38)&amp;"")</f>
        <v/>
      </c>
      <c r="E38" s="96" t="str">
        <f>IF($M38="","",N(INDEX(po_qty,$M38)))</f>
        <v/>
      </c>
      <c r="F38" s="97" t="str">
        <f>IF($M38="","",INDEX(po_unit,$M38)&amp;"")</f>
        <v/>
      </c>
      <c r="G38" s="98" t="str">
        <f>IF($M38="","",INDEX(po_price,$M38))</f>
        <v/>
      </c>
      <c r="H38" s="99" t="str">
        <f>IF($M38="","",IF(N(INDEX(po_disc,$M38))=0,"",INDEX(po_disc,$M38)))</f>
        <v/>
      </c>
      <c r="I38" s="99" t="str">
        <f>IF($M38="","",INDEX(po_rate,$M38))</f>
        <v/>
      </c>
      <c r="J38" s="98" t="str">
        <f>IF($M38="","",INDEX(po_ht,$M38))</f>
        <v/>
      </c>
      <c r="M38" t="str">
        <f>IFERROR(MATCH(19,po_occ,0),"")</f>
        <v/>
      </c>
      <c r="N38" t="str">
        <f>IF($M38="","",N(INDEX(po_tvaamt,$M38)))</f>
        <v/>
      </c>
      <c r="O38" t="str">
        <f>IF($M38="","",INDEX(po_due,$M38))</f>
        <v/>
      </c>
    </row>
    <row r="39" ht="16" customHeight="1">
      <c r="B39" s="100" t="str">
        <f>IF($M39="","",20)</f>
        <v/>
      </c>
      <c r="C39" s="101" t="str">
        <f>IF($M39="","",INDEX(po_ref,$M39)&amp;"")</f>
        <v/>
      </c>
      <c r="D39" s="101" t="str">
        <f>IF($M39="","",INDEX(po_des,$M39)&amp;"")</f>
        <v/>
      </c>
      <c r="E39" s="102" t="str">
        <f>IF($M39="","",N(INDEX(po_qty,$M39)))</f>
        <v/>
      </c>
      <c r="F39" s="103" t="str">
        <f>IF($M39="","",INDEX(po_unit,$M39)&amp;"")</f>
        <v/>
      </c>
      <c r="G39" s="104" t="str">
        <f>IF($M39="","",INDEX(po_price,$M39))</f>
        <v/>
      </c>
      <c r="H39" s="105" t="str">
        <f>IF($M39="","",IF(N(INDEX(po_disc,$M39))=0,"",INDEX(po_disc,$M39)))</f>
        <v/>
      </c>
      <c r="I39" s="105" t="str">
        <f>IF($M39="","",INDEX(po_rate,$M39))</f>
        <v/>
      </c>
      <c r="J39" s="104" t="str">
        <f>IF($M39="","",INDEX(po_ht,$M39))</f>
        <v/>
      </c>
      <c r="M39" t="str">
        <f>IFERROR(MATCH(20,po_occ,0),"")</f>
        <v/>
      </c>
      <c r="N39" t="str">
        <f>IF($M39="","",N(INDEX(po_tvaamt,$M39)))</f>
        <v/>
      </c>
      <c r="O39" t="str">
        <f>IF($M39="","",INDEX(po_due,$M39))</f>
        <v/>
      </c>
    </row>
    <row r="40" ht="16" customHeight="1">
      <c r="B40" s="94" t="str">
        <f>IF($M40="","",21)</f>
        <v/>
      </c>
      <c r="C40" s="95" t="str">
        <f>IF($M40="","",INDEX(po_ref,$M40)&amp;"")</f>
        <v/>
      </c>
      <c r="D40" s="95" t="str">
        <f>IF($M40="","",INDEX(po_des,$M40)&amp;"")</f>
        <v/>
      </c>
      <c r="E40" s="96" t="str">
        <f>IF($M40="","",N(INDEX(po_qty,$M40)))</f>
        <v/>
      </c>
      <c r="F40" s="97" t="str">
        <f>IF($M40="","",INDEX(po_unit,$M40)&amp;"")</f>
        <v/>
      </c>
      <c r="G40" s="98" t="str">
        <f>IF($M40="","",INDEX(po_price,$M40))</f>
        <v/>
      </c>
      <c r="H40" s="99" t="str">
        <f>IF($M40="","",IF(N(INDEX(po_disc,$M40))=0,"",INDEX(po_disc,$M40)))</f>
        <v/>
      </c>
      <c r="I40" s="99" t="str">
        <f>IF($M40="","",INDEX(po_rate,$M40))</f>
        <v/>
      </c>
      <c r="J40" s="98" t="str">
        <f>IF($M40="","",INDEX(po_ht,$M40))</f>
        <v/>
      </c>
      <c r="M40" t="str">
        <f>IFERROR(MATCH(21,po_occ,0),"")</f>
        <v/>
      </c>
      <c r="N40" t="str">
        <f>IF($M40="","",N(INDEX(po_tvaamt,$M40)))</f>
        <v/>
      </c>
      <c r="O40" t="str">
        <f>IF($M40="","",INDEX(po_due,$M40))</f>
        <v/>
      </c>
    </row>
    <row r="41" ht="16" customHeight="1">
      <c r="B41" s="100" t="str">
        <f>IF($M41="","",22)</f>
        <v/>
      </c>
      <c r="C41" s="101" t="str">
        <f>IF($M41="","",INDEX(po_ref,$M41)&amp;"")</f>
        <v/>
      </c>
      <c r="D41" s="101" t="str">
        <f>IF($M41="","",INDEX(po_des,$M41)&amp;"")</f>
        <v/>
      </c>
      <c r="E41" s="102" t="str">
        <f>IF($M41="","",N(INDEX(po_qty,$M41)))</f>
        <v/>
      </c>
      <c r="F41" s="103" t="str">
        <f>IF($M41="","",INDEX(po_unit,$M41)&amp;"")</f>
        <v/>
      </c>
      <c r="G41" s="104" t="str">
        <f>IF($M41="","",INDEX(po_price,$M41))</f>
        <v/>
      </c>
      <c r="H41" s="105" t="str">
        <f>IF($M41="","",IF(N(INDEX(po_disc,$M41))=0,"",INDEX(po_disc,$M41)))</f>
        <v/>
      </c>
      <c r="I41" s="105" t="str">
        <f>IF($M41="","",INDEX(po_rate,$M41))</f>
        <v/>
      </c>
      <c r="J41" s="104" t="str">
        <f>IF($M41="","",INDEX(po_ht,$M41))</f>
        <v/>
      </c>
      <c r="M41" t="str">
        <f>IFERROR(MATCH(22,po_occ,0),"")</f>
        <v/>
      </c>
      <c r="N41" t="str">
        <f>IF($M41="","",N(INDEX(po_tvaamt,$M41)))</f>
        <v/>
      </c>
      <c r="O41" t="str">
        <f>IF($M41="","",INDEX(po_due,$M41))</f>
        <v/>
      </c>
    </row>
    <row r="42" ht="16" customHeight="1">
      <c r="B42" s="94" t="str">
        <f>IF($M42="","",23)</f>
        <v/>
      </c>
      <c r="C42" s="95" t="str">
        <f>IF($M42="","",INDEX(po_ref,$M42)&amp;"")</f>
        <v/>
      </c>
      <c r="D42" s="95" t="str">
        <f>IF($M42="","",INDEX(po_des,$M42)&amp;"")</f>
        <v/>
      </c>
      <c r="E42" s="96" t="str">
        <f>IF($M42="","",N(INDEX(po_qty,$M42)))</f>
        <v/>
      </c>
      <c r="F42" s="97" t="str">
        <f>IF($M42="","",INDEX(po_unit,$M42)&amp;"")</f>
        <v/>
      </c>
      <c r="G42" s="98" t="str">
        <f>IF($M42="","",INDEX(po_price,$M42))</f>
        <v/>
      </c>
      <c r="H42" s="99" t="str">
        <f>IF($M42="","",IF(N(INDEX(po_disc,$M42))=0,"",INDEX(po_disc,$M42)))</f>
        <v/>
      </c>
      <c r="I42" s="99" t="str">
        <f>IF($M42="","",INDEX(po_rate,$M42))</f>
        <v/>
      </c>
      <c r="J42" s="98" t="str">
        <f>IF($M42="","",INDEX(po_ht,$M42))</f>
        <v/>
      </c>
      <c r="M42" t="str">
        <f>IFERROR(MATCH(23,po_occ,0),"")</f>
        <v/>
      </c>
      <c r="N42" t="str">
        <f>IF($M42="","",N(INDEX(po_tvaamt,$M42)))</f>
        <v/>
      </c>
      <c r="O42" t="str">
        <f>IF($M42="","",INDEX(po_due,$M42))</f>
        <v/>
      </c>
    </row>
    <row r="43" ht="16" customHeight="1">
      <c r="B43" s="100" t="str">
        <f>IF($M43="","",24)</f>
        <v/>
      </c>
      <c r="C43" s="101" t="str">
        <f>IF($M43="","",INDEX(po_ref,$M43)&amp;"")</f>
        <v/>
      </c>
      <c r="D43" s="101" t="str">
        <f>IF($M43="","",INDEX(po_des,$M43)&amp;"")</f>
        <v/>
      </c>
      <c r="E43" s="102" t="str">
        <f>IF($M43="","",N(INDEX(po_qty,$M43)))</f>
        <v/>
      </c>
      <c r="F43" s="103" t="str">
        <f>IF($M43="","",INDEX(po_unit,$M43)&amp;"")</f>
        <v/>
      </c>
      <c r="G43" s="104" t="str">
        <f>IF($M43="","",INDEX(po_price,$M43))</f>
        <v/>
      </c>
      <c r="H43" s="105" t="str">
        <f>IF($M43="","",IF(N(INDEX(po_disc,$M43))=0,"",INDEX(po_disc,$M43)))</f>
        <v/>
      </c>
      <c r="I43" s="105" t="str">
        <f>IF($M43="","",INDEX(po_rate,$M43))</f>
        <v/>
      </c>
      <c r="J43" s="104" t="str">
        <f>IF($M43="","",INDEX(po_ht,$M43))</f>
        <v/>
      </c>
      <c r="M43" t="str">
        <f>IFERROR(MATCH(24,po_occ,0),"")</f>
        <v/>
      </c>
      <c r="N43" t="str">
        <f>IF($M43="","",N(INDEX(po_tvaamt,$M43)))</f>
        <v/>
      </c>
      <c r="O43" t="str">
        <f>IF($M43="","",INDEX(po_due,$M43))</f>
        <v/>
      </c>
    </row>
    <row r="44" ht="16" customHeight="1">
      <c r="B44" s="94" t="str">
        <f>IF($M44="","",25)</f>
        <v/>
      </c>
      <c r="C44" s="95" t="str">
        <f>IF($M44="","",INDEX(po_ref,$M44)&amp;"")</f>
        <v/>
      </c>
      <c r="D44" s="95" t="str">
        <f>IF($M44="","",INDEX(po_des,$M44)&amp;"")</f>
        <v/>
      </c>
      <c r="E44" s="96" t="str">
        <f>IF($M44="","",N(INDEX(po_qty,$M44)))</f>
        <v/>
      </c>
      <c r="F44" s="97" t="str">
        <f>IF($M44="","",INDEX(po_unit,$M44)&amp;"")</f>
        <v/>
      </c>
      <c r="G44" s="98" t="str">
        <f>IF($M44="","",INDEX(po_price,$M44))</f>
        <v/>
      </c>
      <c r="H44" s="99" t="str">
        <f>IF($M44="","",IF(N(INDEX(po_disc,$M44))=0,"",INDEX(po_disc,$M44)))</f>
        <v/>
      </c>
      <c r="I44" s="99" t="str">
        <f>IF($M44="","",INDEX(po_rate,$M44))</f>
        <v/>
      </c>
      <c r="J44" s="98" t="str">
        <f>IF($M44="","",INDEX(po_ht,$M44))</f>
        <v/>
      </c>
      <c r="M44" t="str">
        <f>IFERROR(MATCH(25,po_occ,0),"")</f>
        <v/>
      </c>
      <c r="N44" t="str">
        <f>IF($M44="","",N(INDEX(po_tvaamt,$M44)))</f>
        <v/>
      </c>
      <c r="O44" t="str">
        <f>IF($M44="","",INDEX(po_due,$M44))</f>
        <v/>
      </c>
    </row>
    <row r="46">
      <c r="B46" s="106" t="inlineStr">
        <is>
          <t>Conditions</t>
        </is>
      </c>
      <c r="G46" s="107" t="inlineStr">
        <is>
          <t>Total HT</t>
        </is>
      </c>
      <c r="H46" s="108" t="n"/>
      <c r="I46" s="108" t="n"/>
      <c r="J46" s="109">
        <f>SUM(J20:J44)</f>
        <v>23348.0</v>
      </c>
      <c r="N46">
        <f>J46+SUM(N20:N44)</f>
        <v>27978.6</v>
      </c>
      <c r="O46">
        <f>MIN(5,COUNT(Q20:Q27))</f>
        <v>2.0</v>
      </c>
    </row>
    <row r="47" ht="18" customHeight="1">
      <c r="B47" s="110" t="str">
        <f>IF(H9="","","Paiement : "&amp;H9)</f>
        <v>Paiement : 30 jours fin de mois</v>
      </c>
      <c r="G47" s="111" t="str">
        <f>IF(I47&lt;&gt;"","TVA",IF(1=$O$46+1,"Total TTC",""))</f>
        <v>TVA</v>
      </c>
      <c r="I47" s="112">
        <f>IF(1&gt;$O$46,"",IFERROR(INDEX(p_tva,MATCH(1,$Q$20:$Q$27,0)),""))</f>
        <v>0.2</v>
      </c>
      <c r="J47" s="113">
        <f>IF(I47&lt;&gt;"",SUMIF($I$20:$I$44,I47,$N$20:$N$44),IF(G47="Total TTC",$N$46,""))</f>
        <v>4539.6</v>
      </c>
    </row>
    <row r="48" ht="18" customHeight="1">
      <c r="B48" s="110" t="str">
        <f>IF(H8="","","Livraison au plus tard le :")</f>
        <v>Livraison au plus tard le :</v>
      </c>
      <c r="E48" s="114">
        <f>H8</f>
        <v>46335.0</v>
      </c>
      <c r="G48" s="111" t="str">
        <f>IF(I48&lt;&gt;"","TVA",IF(2=$O$46+1,"Total TTC",""))</f>
        <v>TVA</v>
      </c>
      <c r="I48" s="112">
        <f>IF(2&gt;$O$46,"",IFERROR(INDEX(p_tva,MATCH(2,$Q$20:$Q$27,0)),""))</f>
        <v>0.14</v>
      </c>
      <c r="J48" s="113">
        <f>IF(I48&lt;&gt;"",SUMIF($I$20:$I$44,I48,$N$20:$N$44),IF(G48="Total TTC",$N$46,""))</f>
        <v>91.0</v>
      </c>
    </row>
    <row r="49" ht="18" customHeight="1">
      <c r="B49" s="110" t="str">
        <f>p_notes&amp;""</f>
        <v>Merci de rappeler le numéro du bon de commande sur le bon de livraison et sur la facture. Livraison du lundi au vendredi, de 8 h à 16 h. Tout écart de quantité ou de prix doit être accepté par écrit avant expédition.</v>
      </c>
      <c r="G49" s="111" t="str">
        <f>IF(I49&lt;&gt;"","TVA",IF(3=$O$46+1,"Total TTC",""))</f>
        <v>Total TTC</v>
      </c>
      <c r="I49" s="112" t="str">
        <f>IF(3&gt;$O$46,"",IFERROR(INDEX(p_tva,MATCH(3,$Q$20:$Q$27,0)),""))</f>
        <v/>
      </c>
      <c r="J49" s="113">
        <f>IF(I49&lt;&gt;"",SUMIF($I$20:$I$44,I49,$N$20:$N$44),IF(G49="Total TTC",$N$46,""))</f>
        <v>27978.6</v>
      </c>
    </row>
    <row r="50" ht="18" customHeight="1">
      <c r="B50" s="110" t="n"/>
      <c r="G50" s="111" t="str">
        <f>IF(I50&lt;&gt;"","TVA",IF(4=$O$46+1,"Total TTC",""))</f>
        <v/>
      </c>
      <c r="I50" s="112" t="str">
        <f>IF(4&gt;$O$46,"",IFERROR(INDEX(p_tva,MATCH(4,$Q$20:$Q$27,0)),""))</f>
        <v/>
      </c>
      <c r="J50" s="113" t="str">
        <f>IF(I50&lt;&gt;"",SUMIF($I$20:$I$44,I50,$N$20:$N$44),IF(G50="Total TTC",$N$46,""))</f>
        <v/>
      </c>
    </row>
    <row r="51" ht="18" customHeight="1">
      <c r="B51" s="110" t="n"/>
      <c r="G51" s="111" t="str">
        <f>IF(I51&lt;&gt;"","TVA",IF(5=$O$46+1,"Total TTC",""))</f>
        <v/>
      </c>
      <c r="I51" s="112" t="str">
        <f>IF(5&gt;$O$46,"",IFERROR(INDEX(p_tva,MATCH(5,$Q$20:$Q$27,0)),""))</f>
        <v/>
      </c>
      <c r="J51" s="113" t="str">
        <f>IF(I51&lt;&gt;"",SUMIF($I$20:$I$44,I51,$N$20:$N$44),IF(G51="Total TTC",$N$46,""))</f>
        <v/>
      </c>
    </row>
    <row r="52" ht="18" customHeight="1">
      <c r="B52" s="110" t="n"/>
      <c r="G52" s="111" t="str">
        <f>IF(I52&lt;&gt;"","TVA",IF(6=$O$46+1,"Total TTC",""))</f>
        <v/>
      </c>
      <c r="I52" s="112" t="str">
        <f>IF(6&gt;$O$46,"",IFERROR(INDEX(p_tva,MATCH(6,$Q$20:$Q$27,0)),""))</f>
        <v/>
      </c>
      <c r="J52" s="113" t="str">
        <f>IF(I52&lt;&gt;"",SUMIF($I$20:$I$44,I52,$N$20:$N$44),IF(G52="Total TTC",$N$46,""))</f>
        <v/>
      </c>
    </row>
    <row r="54">
      <c r="B54" s="115" t="inlineStr">
        <is>
          <t>Bon pour commande</t>
        </is>
      </c>
      <c r="G54" s="115" t="inlineStr">
        <is>
          <t>Accusé de réception du fournisseur</t>
        </is>
      </c>
    </row>
    <row r="55" ht="18" customHeight="1">
      <c r="B55" s="116" t="inlineStr">
        <is>
          <t>Date, nom et signature du responsable des achats</t>
        </is>
      </c>
      <c r="C55" s="117" t="n"/>
      <c r="D55" s="117" t="n"/>
      <c r="E55" s="118" t="n"/>
      <c r="G55" s="116" t="inlineStr">
        <is>
          <t>Date, cachet et signature</t>
        </is>
      </c>
      <c r="H55" s="117" t="n"/>
      <c r="I55" s="117" t="n"/>
      <c r="J55" s="118" t="n"/>
    </row>
    <row r="56" ht="18" customHeight="1">
      <c r="B56" s="119" t="n"/>
      <c r="C56" s="120" t="n"/>
      <c r="D56" s="120" t="n"/>
      <c r="E56" s="121" t="n"/>
      <c r="G56" s="119" t="n"/>
      <c r="H56" s="120" t="n"/>
      <c r="I56" s="120" t="n"/>
      <c r="J56" s="121" t="n"/>
    </row>
    <row r="57" ht="18" customHeight="1">
      <c r="B57" s="119" t="n"/>
      <c r="C57" s="120" t="n"/>
      <c r="D57" s="120" t="n"/>
      <c r="E57" s="121" t="n"/>
      <c r="G57" s="119" t="n"/>
      <c r="H57" s="120" t="n"/>
      <c r="I57" s="120" t="n"/>
      <c r="J57" s="121" t="n"/>
    </row>
    <row r="58" ht="18" customHeight="1">
      <c r="B58" s="122" t="n"/>
      <c r="C58" s="123" t="n"/>
      <c r="D58" s="123" t="n"/>
      <c r="E58" s="124" t="n"/>
      <c r="G58" s="122" t="n"/>
      <c r="H58" s="123" t="n"/>
      <c r="I58" s="123" t="n"/>
      <c r="J58" s="124" t="n"/>
    </row>
    <row r="60" ht="24" customHeight="1">
      <c r="B60" s="125" t="str">
        <f>MID(IF(p_company&lt;&gt;""," · "&amp;p_company,"")&amp;IF(p_addr&lt;&gt;""," · "&amp;p_addr,"")&amp;IF(p_city&lt;&gt;""," · "&amp;p_city,"")&amp;IF(p_id1&lt;&gt;""," · "&amp;p_id1l&amp;" "&amp;p_id1,"")&amp;IF(p_id2&lt;&gt;""," · "&amp;p_id2l&amp;" "&amp;p_id2,"")&amp;IF(p_id3&lt;&gt;""," · "&amp;p_id3l&amp;" "&amp;p_id3,"")&amp;IF(p_id4&lt;&gt;""," · "&amp;p_id4l&amp;" "&amp;p_id4,""),4,500)</f>
        <v>Atelier Exemple SARL · Lot 45, zone industrielle Ouled Saleh · 27182 Bouskoura · ICE 002765431000058 · IF 52418736 · RC Casablanca 498213 · Patente 36451208</v>
      </c>
    </row>
  </sheetData>
  <mergeCells count="40">
    <mergeCell ref="B7:F7"/>
    <mergeCell ref="G52:H52"/>
    <mergeCell ref="B3:C3"/>
    <mergeCell ref="B60:J60"/>
    <mergeCell ref="B15:E15"/>
    <mergeCell ref="G16:J16"/>
    <mergeCell ref="G54:J54"/>
    <mergeCell ref="G48:H48"/>
    <mergeCell ref="H7:J7"/>
    <mergeCell ref="G14:J14"/>
    <mergeCell ref="B16:E16"/>
    <mergeCell ref="G12:J12"/>
    <mergeCell ref="B54:E54"/>
    <mergeCell ref="B47:E47"/>
    <mergeCell ref="B8:F8"/>
    <mergeCell ref="B46:E46"/>
    <mergeCell ref="G49:H49"/>
    <mergeCell ref="G17:J17"/>
    <mergeCell ref="B12:E12"/>
    <mergeCell ref="B10:F10"/>
    <mergeCell ref="G46:I46"/>
    <mergeCell ref="H8:J8"/>
    <mergeCell ref="G55:J58"/>
    <mergeCell ref="B9:F9"/>
    <mergeCell ref="B14:E14"/>
    <mergeCell ref="B49:E52"/>
    <mergeCell ref="B17:E17"/>
    <mergeCell ref="G13:J13"/>
    <mergeCell ref="G51:H51"/>
    <mergeCell ref="B6:F6"/>
    <mergeCell ref="G47:H47"/>
    <mergeCell ref="B13:E13"/>
    <mergeCell ref="B55:E58"/>
    <mergeCell ref="B5:F5"/>
    <mergeCell ref="G50:H50"/>
    <mergeCell ref="H9:J9"/>
    <mergeCell ref="G15:J15"/>
    <mergeCell ref="G5:J5"/>
    <mergeCell ref="B48:D48"/>
    <mergeCell ref="H6:J6"/>
  </mergeCells>
  <conditionalFormatting sqref="B4">
    <cfRule type="expression" priority="1" dxfId="6">
      <formula>LEFT($B$4,9)="Attention"</formula>
    </cfRule>
  </conditionalFormatting>
  <conditionalFormatting sqref="E20:E44">
    <cfRule type="expression" priority="2" dxfId="20">
      <formula>AND(ISNUMBER(E20),E20&lt;&gt;INT(E20))</formula>
    </cfRule>
  </conditionalFormatting>
  <conditionalFormatting sqref="H20:I44">
    <cfRule type="expression" priority="3" dxfId="21">
      <formula>AND(ISNUMBER(H20),MOD(ROUND(H20*1000,6),10)&lt;&gt;0)</formula>
    </cfRule>
  </conditionalFormatting>
  <conditionalFormatting sqref="I47:I52">
    <cfRule type="expression" priority="4" dxfId="22">
      <formula>AND(ISNUMBER(I47),MOD(ROUND(I47*1000,6),10)&lt;&gt;0)</formula>
    </cfRule>
  </conditionalFormatting>
  <conditionalFormatting sqref="G47:I52">
    <cfRule type="expression" priority="5" dxfId="23" stopIfTrue="1">
      <formula>$G47="Total TTC"</formula>
    </cfRule>
    <cfRule type="expression" priority="6" dxfId="24">
      <formula>$G47="TVA"</formula>
    </cfRule>
  </conditionalFormatting>
  <conditionalFormatting sqref="J47:J52">
    <cfRule type="expression" priority="7" dxfId="25" stopIfTrue="1">
      <formula>AND($G47="Total TTC",p_currency="MAD")</formula>
    </cfRule>
    <cfRule type="expression" priority="8" dxfId="26" stopIfTrue="1">
      <formula>AND($G47="Total TTC",p_currency="EUR")</formula>
    </cfRule>
    <cfRule type="expression" priority="9" dxfId="27" stopIfTrue="1">
      <formula>AND($G47="Total TTC",p_currency="USD")</formula>
    </cfRule>
  </conditionalFormatting>
  <conditionalFormatting sqref="G20:G44">
    <cfRule type="expression" priority="10" dxfId="17">
      <formula>p_currency="MAD"</formula>
    </cfRule>
    <cfRule type="expression" priority="19" dxfId="18">
      <formula>p_currency="EUR"</formula>
    </cfRule>
    <cfRule type="expression" priority="28" dxfId="19">
      <formula>p_currency="USD"</formula>
    </cfRule>
  </conditionalFormatting>
  <conditionalFormatting sqref="J20:J44">
    <cfRule type="expression" priority="11" dxfId="17">
      <formula>p_currency="MAD"</formula>
    </cfRule>
    <cfRule type="expression" priority="20" dxfId="18">
      <formula>p_currency="EUR"</formula>
    </cfRule>
    <cfRule type="expression" priority="29" dxfId="19">
      <formula>p_currency="USD"</formula>
    </cfRule>
  </conditionalFormatting>
  <conditionalFormatting sqref="J46">
    <cfRule type="expression" priority="12" dxfId="17">
      <formula>p_currency="MAD"</formula>
    </cfRule>
    <cfRule type="expression" priority="21" dxfId="18">
      <formula>p_currency="EUR"</formula>
    </cfRule>
    <cfRule type="expression" priority="30" dxfId="19">
      <formula>p_currency="USD"</formula>
    </cfRule>
  </conditionalFormatting>
  <conditionalFormatting sqref="J47">
    <cfRule type="expression" priority="13" dxfId="17">
      <formula>p_currency="MAD"</formula>
    </cfRule>
    <cfRule type="expression" priority="22" dxfId="18">
      <formula>p_currency="EUR"</formula>
    </cfRule>
    <cfRule type="expression" priority="31" dxfId="19">
      <formula>p_currency="USD"</formula>
    </cfRule>
  </conditionalFormatting>
  <conditionalFormatting sqref="J48">
    <cfRule type="expression" priority="14" dxfId="17">
      <formula>p_currency="MAD"</formula>
    </cfRule>
    <cfRule type="expression" priority="23" dxfId="18">
      <formula>p_currency="EUR"</formula>
    </cfRule>
    <cfRule type="expression" priority="32" dxfId="19">
      <formula>p_currency="USD"</formula>
    </cfRule>
  </conditionalFormatting>
  <conditionalFormatting sqref="J49">
    <cfRule type="expression" priority="15" dxfId="17">
      <formula>p_currency="MAD"</formula>
    </cfRule>
    <cfRule type="expression" priority="24" dxfId="18">
      <formula>p_currency="EUR"</formula>
    </cfRule>
    <cfRule type="expression" priority="33" dxfId="19">
      <formula>p_currency="USD"</formula>
    </cfRule>
  </conditionalFormatting>
  <conditionalFormatting sqref="J50">
    <cfRule type="expression" priority="16" dxfId="17">
      <formula>p_currency="MAD"</formula>
    </cfRule>
    <cfRule type="expression" priority="25" dxfId="18">
      <formula>p_currency="EUR"</formula>
    </cfRule>
    <cfRule type="expression" priority="34" dxfId="19">
      <formula>p_currency="USD"</formula>
    </cfRule>
  </conditionalFormatting>
  <conditionalFormatting sqref="J51">
    <cfRule type="expression" priority="17" dxfId="17">
      <formula>p_currency="MAD"</formula>
    </cfRule>
    <cfRule type="expression" priority="26" dxfId="18">
      <formula>p_currency="EUR"</formula>
    </cfRule>
    <cfRule type="expression" priority="35" dxfId="19">
      <formula>p_currency="USD"</formula>
    </cfRule>
  </conditionalFormatting>
  <conditionalFormatting sqref="J52">
    <cfRule type="expression" priority="18" dxfId="17">
      <formula>p_currency="MAD"</formula>
    </cfRule>
    <cfRule type="expression" priority="27" dxfId="18">
      <formula>p_currency="EUR"</formula>
    </cfRule>
    <cfRule type="expression" priority="36" dxfId="19">
      <formula>p_currency="USD"</formula>
    </cfRule>
  </conditionalFormatting>
  <dataValidations count="1">
    <dataValidation sqref="D3" showDropDown="0" showInputMessage="1" showErrorMessage="1" allowBlank="1" errorTitle="N° du bon" error="Choisissez le bon à afficher. Vide : le dernier bon saisi dans « Commandes »." promptTitle="N° du bon" prompt="Choisissez le bon à afficher. Vide : le dernier bon saisi dans « Commandes »." type="list">
      <formula1>=po_list</formula1>
    </dataValidation>
  </dataValidations>
  <hyperlinks>
    <hyperlink ref="J1" location="'Mode d''emploi'!A1"/>
  </hyperlinks>
  <printOptions horizontalCentered="1"/>
  <pageMargins left="0.4" right="0.4" top="0.5" bottom="0.5" header="0.5" footer="0.5"/>
  <pageSetup orientation="portrait" paperSize="9" fitToHeight="1" fitToWidth="1"/>
</worksheet>
</file>

<file path=xl/worksheets/sheet5.xml><?xml version="1.0" encoding="utf-8"?>
<worksheet xmlns="http://schemas.openxmlformats.org/spreadsheetml/2006/main">
  <sheetPr>
    <tabColor rgb="FF1D4ED8"/>
    <outlinePr summaryBelow="1" summaryRight="1"/>
    <pageSetUpPr fitToPage="1"/>
  </sheetPr>
  <dimension ref="A1:M15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5" customWidth="1" min="1" max="1"/>
    <col width="24" customWidth="1" min="2" max="2"/>
    <col width="14" customWidth="1" min="3" max="3"/>
    <col width="30" customWidth="1" min="4" max="4"/>
    <col width="10" customWidth="1" min="5" max="5"/>
    <col width="10" customWidth="1" min="6" max="6"/>
    <col width="10" customWidth="1" min="7" max="7"/>
    <col width="12" customWidth="1" min="8" max="8"/>
    <col width="9" customWidth="1" min="9" max="9"/>
    <col width="11" customWidth="1" min="10" max="10"/>
    <col width="13" customWidth="1" min="11" max="11"/>
    <col hidden="1" width="7" customWidth="1" min="13" max="13"/>
  </cols>
  <sheetData>
    <row r="1" ht="38" customHeight="1">
      <c r="A1" s="2" t="inlineStr">
        <is>
          <t>Suivi des réceptions</t>
        </is>
      </c>
      <c r="B1" s="1" t="n"/>
      <c r="C1" s="1" t="n"/>
      <c r="D1" s="1" t="n"/>
      <c r="E1" s="1" t="n"/>
      <c r="F1" s="1" t="n"/>
      <c r="G1" s="1" t="n"/>
      <c r="H1" s="1" t="n"/>
      <c r="I1" s="1" t="n"/>
      <c r="J1" s="1" t="n"/>
      <c r="K1" s="18" t="inlineStr">
        <is>
          <t>⌂ Mode d'emploi</t>
        </is>
      </c>
    </row>
    <row r="2" ht="22" customHeight="1">
      <c r="A2" s="4" t="inlineStr">
        <is>
          <t>Les lignes envoyées et pas encore entièrement reçues, de la plus en retard à la plus lointaine. Pour enregistrer une livraison, mettez à jour Qté reçue dans « Commandes ».</t>
        </is>
      </c>
      <c r="B2" s="3" t="n"/>
      <c r="C2" s="3" t="n"/>
      <c r="D2" s="3" t="n"/>
      <c r="E2" s="3" t="n"/>
      <c r="F2" s="3" t="n"/>
      <c r="G2" s="3" t="n"/>
      <c r="H2" s="3" t="n"/>
      <c r="I2" s="3" t="n"/>
      <c r="J2" s="3" t="n"/>
      <c r="K2" s="3" t="n"/>
    </row>
    <row r="3" ht="18" customHeight="1">
      <c r="A3" s="115" t="str">
        <f>COUNT(po_key)&amp;" ligne(s) attendue(s), dont "&amp;COUNTIF(po_status,"En retard")&amp;" en retard."</f>
        <v>13 ligne(s) attendue(s), dont 4 en retard.</v>
      </c>
    </row>
    <row r="5" ht="34" customHeight="1">
      <c r="A5" s="45" t="inlineStr">
        <is>
          <t>N° de bon</t>
        </is>
      </c>
      <c r="B5" s="45" t="inlineStr">
        <is>
          <t>Fournisseur</t>
        </is>
      </c>
      <c r="C5" s="45" t="inlineStr">
        <is>
          <t>Réf. article</t>
        </is>
      </c>
      <c r="D5" s="45" t="inlineStr">
        <is>
          <t>Désignation</t>
        </is>
      </c>
      <c r="E5" s="45" t="inlineStr">
        <is>
          <t>Commandé</t>
        </is>
      </c>
      <c r="F5" s="45" t="inlineStr">
        <is>
          <t>Reçu</t>
        </is>
      </c>
      <c r="G5" s="45" t="inlineStr">
        <is>
          <t>Reste</t>
        </is>
      </c>
      <c r="H5" s="45" t="inlineStr">
        <is>
          <t>Livraison prévue</t>
        </is>
      </c>
      <c r="I5" s="45" t="inlineStr">
        <is>
          <t>Retard (j)</t>
        </is>
      </c>
      <c r="J5" s="45" t="inlineStr">
        <is>
          <t>Statut</t>
        </is>
      </c>
      <c r="K5" s="45" t="inlineStr">
        <is>
          <t>Reste HT</t>
        </is>
      </c>
    </row>
    <row r="6">
      <c r="A6" s="126" t="str">
        <f>IF($M6="","",INDEX(po_num,$M6)&amp;"")</f>
        <v>BC-2026-0109</v>
      </c>
      <c r="B6" s="66" t="str">
        <f>IF($M6="","",INDEX(po_supname,$M6)&amp;"")</f>
        <v>Roulements Express</v>
      </c>
      <c r="C6" s="66" t="str">
        <f>IF($M6="","",INDEX(po_ref,$M6)&amp;"")</f>
        <v>ROUL-6305</v>
      </c>
      <c r="D6" s="66" t="str">
        <f>IF($M6="","",INDEX(po_des,$M6)&amp;"")</f>
        <v>Roulement 6305-2RS</v>
      </c>
      <c r="E6" s="74">
        <f>IF($M6="","",N(INDEX(po_qty,$M6)))</f>
        <v>80.0</v>
      </c>
      <c r="F6" s="74">
        <f>IF($M6="","",N(INDEX(po_rcv,$M6)))</f>
        <v>50.0</v>
      </c>
      <c r="G6" s="74">
        <f>IF($M6="","",INDEX(po_rest,$M6))</f>
        <v>30.0</v>
      </c>
      <c r="H6" s="73">
        <f>IF($M6="","",INDEX(po_due,$M6))</f>
        <v>46311.0</v>
      </c>
      <c r="I6" s="75">
        <f>IF($M6="","",IF(INDEX(po_status,$M6)="En retard",INDEX(po_late,$M6),""))</f>
        <v>20.0</v>
      </c>
      <c r="J6" s="67" t="str">
        <f>IF($M6="","",INDEX(po_status,$M6)&amp;"")</f>
        <v>En retard</v>
      </c>
      <c r="K6" s="70">
        <f>IF($M6="","",INDEX(po_restht,$M6))</f>
        <v>1920.0</v>
      </c>
      <c r="M6">
        <f>IFERROR(MATCH(SMALL(po_key,1),po_key,0),"")</f>
        <v>22.0</v>
      </c>
    </row>
    <row r="7">
      <c r="A7" s="126" t="str">
        <f>IF($M7="","",INDEX(po_num,$M7)&amp;"")</f>
        <v>BC-2026-0112</v>
      </c>
      <c r="B7" s="66" t="str">
        <f>IF($M7="","",INDEX(po_supname,$M7)&amp;"")</f>
        <v>Fixations Souss SARL</v>
      </c>
      <c r="C7" s="66" t="str">
        <f>IF($M7="","",INDEX(po_ref,$M7)&amp;"")</f>
        <v>ECR-M8</v>
      </c>
      <c r="D7" s="66" t="str">
        <f>IF($M7="","",INDEX(po_des,$M7)&amp;"")</f>
        <v>Écrou H M8 classe 8 (boîte de 100)</v>
      </c>
      <c r="E7" s="74">
        <f>IF($M7="","",N(INDEX(po_qty,$M7)))</f>
        <v>30.0</v>
      </c>
      <c r="F7" s="74">
        <f>IF($M7="","",N(INDEX(po_rcv,$M7)))</f>
        <v>0.0</v>
      </c>
      <c r="G7" s="74">
        <f>IF($M7="","",INDEX(po_rest,$M7))</f>
        <v>30.0</v>
      </c>
      <c r="H7" s="73">
        <f>IF($M7="","",INDEX(po_due,$M7))</f>
        <v>46323.0</v>
      </c>
      <c r="I7" s="75">
        <f>IF($M7="","",IF(INDEX(po_status,$M7)="En retard",INDEX(po_late,$M7),""))</f>
        <v>8.0</v>
      </c>
      <c r="J7" s="67" t="str">
        <f>IF($M7="","",INDEX(po_status,$M7)&amp;"")</f>
        <v>En retard</v>
      </c>
      <c r="K7" s="70">
        <f>IF($M7="","",INDEX(po_restht,$M7))</f>
        <v>660.0</v>
      </c>
      <c r="M7">
        <f>IFERROR(MATCH(SMALL(po_key,2),po_key,0),"")</f>
        <v>29.0</v>
      </c>
    </row>
    <row r="8">
      <c r="A8" s="126" t="str">
        <f>IF($M8="","",INDEX(po_num,$M8)&amp;"")</f>
        <v>BC-2026-0111</v>
      </c>
      <c r="B8" s="66" t="str">
        <f>IF($M8="","",INDEX(po_supname,$M8)&amp;"")</f>
        <v>Tubes et Profilés du Nord</v>
      </c>
      <c r="C8" s="66" t="str">
        <f>IF($M8="","",INDEX(po_ref,$M8)&amp;"")</f>
        <v>TUB-40X40</v>
      </c>
      <c r="D8" s="66" t="str">
        <f>IF($M8="","",INDEX(po_des,$M8)&amp;"")</f>
        <v>Tube carré 40x40x2, barre 6 m</v>
      </c>
      <c r="E8" s="74">
        <f>IF($M8="","",N(INDEX(po_qty,$M8)))</f>
        <v>80.0</v>
      </c>
      <c r="F8" s="74">
        <f>IF($M8="","",N(INDEX(po_rcv,$M8)))</f>
        <v>0.0</v>
      </c>
      <c r="G8" s="74">
        <f>IF($M8="","",INDEX(po_rest,$M8))</f>
        <v>80.0</v>
      </c>
      <c r="H8" s="73">
        <f>IF($M8="","",INDEX(po_due,$M8))</f>
        <v>46325.0</v>
      </c>
      <c r="I8" s="75">
        <f>IF($M8="","",IF(INDEX(po_status,$M8)="En retard",INDEX(po_late,$M8),""))</f>
        <v>6.0</v>
      </c>
      <c r="J8" s="67" t="str">
        <f>IF($M8="","",INDEX(po_status,$M8)&amp;"")</f>
        <v>En retard</v>
      </c>
      <c r="K8" s="70">
        <f>IF($M8="","",INDEX(po_restht,$M8))</f>
        <v>13440.0</v>
      </c>
      <c r="M8">
        <f>IFERROR(MATCH(SMALL(po_key,3),po_key,0),"")</f>
        <v>25.0</v>
      </c>
    </row>
    <row r="9">
      <c r="A9" s="126" t="str">
        <f>IF($M9="","",INDEX(po_num,$M9)&amp;"")</f>
        <v>BC-2026-0111</v>
      </c>
      <c r="B9" s="66" t="str">
        <f>IF($M9="","",INDEX(po_supname,$M9)&amp;"")</f>
        <v>Tubes et Profilés du Nord</v>
      </c>
      <c r="C9" s="66" t="str">
        <f>IF($M9="","",INDEX(po_ref,$M9)&amp;"")</f>
        <v>COR-L40</v>
      </c>
      <c r="D9" s="66" t="str">
        <f>IF($M9="","",INDEX(po_des,$M9)&amp;"")</f>
        <v>Cornière 40x40x4, barre 6 m</v>
      </c>
      <c r="E9" s="74">
        <f>IF($M9="","",N(INDEX(po_qty,$M9)))</f>
        <v>50.0</v>
      </c>
      <c r="F9" s="74">
        <f>IF($M9="","",N(INDEX(po_rcv,$M9)))</f>
        <v>0.0</v>
      </c>
      <c r="G9" s="74">
        <f>IF($M9="","",INDEX(po_rest,$M9))</f>
        <v>50.0</v>
      </c>
      <c r="H9" s="73">
        <f>IF($M9="","",INDEX(po_due,$M9))</f>
        <v>46325.0</v>
      </c>
      <c r="I9" s="75">
        <f>IF($M9="","",IF(INDEX(po_status,$M9)="En retard",INDEX(po_late,$M9),""))</f>
        <v>6.0</v>
      </c>
      <c r="J9" s="67" t="str">
        <f>IF($M9="","",INDEX(po_status,$M9)&amp;"")</f>
        <v>En retard</v>
      </c>
      <c r="K9" s="70">
        <f>IF($M9="","",INDEX(po_restht,$M9))</f>
        <v>6050.0</v>
      </c>
      <c r="M9">
        <f>IFERROR(MATCH(SMALL(po_key,4),po_key,0),"")</f>
        <v>26.0</v>
      </c>
    </row>
    <row r="10">
      <c r="A10" s="126" t="str">
        <f>IF($M10="","",INDEX(po_num,$M10)&amp;"")</f>
        <v>BC-2026-0117</v>
      </c>
      <c r="B10" s="66" t="str">
        <f>IF($M10="","",INDEX(po_supname,$M10)&amp;"")</f>
        <v>Outillage Médina Pro</v>
      </c>
      <c r="C10" s="66" t="str">
        <f>IF($M10="","",INDEX(po_ref,$M10)&amp;"")</f>
        <v>PLA-CNMG</v>
      </c>
      <c r="D10" s="66" t="str">
        <f>IF($M10="","",INDEX(po_des,$M10)&amp;"")</f>
        <v>Plaquette carbure CNMG 120408</v>
      </c>
      <c r="E10" s="74">
        <f>IF($M10="","",N(INDEX(po_qty,$M10)))</f>
        <v>100.0</v>
      </c>
      <c r="F10" s="74">
        <f>IF($M10="","",N(INDEX(po_rcv,$M10)))</f>
        <v>0.0</v>
      </c>
      <c r="G10" s="74">
        <f>IF($M10="","",INDEX(po_rest,$M10))</f>
        <v>100.0</v>
      </c>
      <c r="H10" s="73">
        <f>IF($M10="","",INDEX(po_due,$M10))</f>
        <v>46331.0</v>
      </c>
      <c r="I10" s="75" t="str">
        <f>IF($M10="","",IF(INDEX(po_status,$M10)="En retard",INDEX(po_late,$M10),""))</f>
        <v/>
      </c>
      <c r="J10" s="67" t="str">
        <f>IF($M10="","",INDEX(po_status,$M10)&amp;"")</f>
        <v>Envoyé</v>
      </c>
      <c r="K10" s="70">
        <f>IF($M10="","",INDEX(po_restht,$M10))</f>
        <v>5500.0</v>
      </c>
      <c r="M10">
        <f>IFERROR(MATCH(SMALL(po_key,5),po_key,0),"")</f>
        <v>38.0</v>
      </c>
    </row>
    <row r="11">
      <c r="A11" s="126" t="str">
        <f>IF($M11="","",INDEX(po_num,$M11)&amp;"")</f>
        <v>BC-2026-0117</v>
      </c>
      <c r="B11" s="66" t="str">
        <f>IF($M11="","",INDEX(po_supname,$M11)&amp;"")</f>
        <v>Outillage Médina Pro</v>
      </c>
      <c r="C11" s="66" t="str">
        <f>IF($M11="","",INDEX(po_ref,$M11)&amp;"")</f>
        <v>FOR-HSS-8</v>
      </c>
      <c r="D11" s="66" t="str">
        <f>IF($M11="","",INDEX(po_des,$M11)&amp;"")</f>
        <v>Foret HSS Ø8 mm</v>
      </c>
      <c r="E11" s="74">
        <f>IF($M11="","",N(INDEX(po_qty,$M11)))</f>
        <v>30.0</v>
      </c>
      <c r="F11" s="74">
        <f>IF($M11="","",N(INDEX(po_rcv,$M11)))</f>
        <v>0.0</v>
      </c>
      <c r="G11" s="74">
        <f>IF($M11="","",INDEX(po_rest,$M11))</f>
        <v>30.0</v>
      </c>
      <c r="H11" s="73">
        <f>IF($M11="","",INDEX(po_due,$M11))</f>
        <v>46331.0</v>
      </c>
      <c r="I11" s="75" t="str">
        <f>IF($M11="","",IF(INDEX(po_status,$M11)="En retard",INDEX(po_late,$M11),""))</f>
        <v/>
      </c>
      <c r="J11" s="67" t="str">
        <f>IF($M11="","",INDEX(po_status,$M11)&amp;"")</f>
        <v>Envoyé</v>
      </c>
      <c r="K11" s="70">
        <f>IF($M11="","",INDEX(po_restht,$M11))</f>
        <v>720.0</v>
      </c>
      <c r="M11">
        <f>IFERROR(MATCH(SMALL(po_key,6),po_key,0),"")</f>
        <v>39.0</v>
      </c>
    </row>
    <row r="12">
      <c r="A12" s="126" t="str">
        <f>IF($M12="","",INDEX(po_num,$M12)&amp;"")</f>
        <v>BC-2026-0113</v>
      </c>
      <c r="B12" s="66" t="str">
        <f>IF($M12="","",INDEX(po_supname,$M12)&amp;"")</f>
        <v>Gaz et Soudure Kénitra</v>
      </c>
      <c r="C12" s="66" t="str">
        <f>IF($M12="","",INDEX(po_ref,$M12)&amp;"")</f>
        <v>GAZ-ARCAL</v>
      </c>
      <c r="D12" s="66" t="str">
        <f>IF($M12="","",INDEX(po_des,$M12)&amp;"")</f>
        <v>Recharge gaz de soudage 20 L</v>
      </c>
      <c r="E12" s="74">
        <f>IF($M12="","",N(INDEX(po_qty,$M12)))</f>
        <v>6.0</v>
      </c>
      <c r="F12" s="74">
        <f>IF($M12="","",N(INDEX(po_rcv,$M12)))</f>
        <v>0.0</v>
      </c>
      <c r="G12" s="74">
        <f>IF($M12="","",INDEX(po_rest,$M12))</f>
        <v>6.0</v>
      </c>
      <c r="H12" s="73">
        <f>IF($M12="","",INDEX(po_due,$M12))</f>
        <v>46332.0</v>
      </c>
      <c r="I12" s="75" t="str">
        <f>IF($M12="","",IF(INDEX(po_status,$M12)="En retard",INDEX(po_late,$M12),""))</f>
        <v/>
      </c>
      <c r="J12" s="67" t="str">
        <f>IF($M12="","",INDEX(po_status,$M12)&amp;"")</f>
        <v>Envoyé</v>
      </c>
      <c r="K12" s="70">
        <f>IF($M12="","",INDEX(po_restht,$M12))</f>
        <v>3120.0</v>
      </c>
      <c r="M12">
        <f>IFERROR(MATCH(SMALL(po_key,7),po_key,0),"")</f>
        <v>30.0</v>
      </c>
    </row>
    <row r="13">
      <c r="A13" s="126" t="str">
        <f>IF($M13="","",INDEX(po_num,$M13)&amp;"")</f>
        <v>BC-2026-0113</v>
      </c>
      <c r="B13" s="66" t="str">
        <f>IF($M13="","",INDEX(po_supname,$M13)&amp;"")</f>
        <v>Gaz et Soudure Kénitra</v>
      </c>
      <c r="C13" s="66" t="str">
        <f>IF($M13="","",INDEX(po_ref,$M13)&amp;"")</f>
        <v>FIL-MIG-1</v>
      </c>
      <c r="D13" s="66" t="str">
        <f>IF($M13="","",INDEX(po_des,$M13)&amp;"")</f>
        <v>Fil MIG acier Ø1 mm, bobine 15 kg</v>
      </c>
      <c r="E13" s="74">
        <f>IF($M13="","",N(INDEX(po_qty,$M13)))</f>
        <v>4.0</v>
      </c>
      <c r="F13" s="74">
        <f>IF($M13="","",N(INDEX(po_rcv,$M13)))</f>
        <v>0.0</v>
      </c>
      <c r="G13" s="74">
        <f>IF($M13="","",INDEX(po_rest,$M13))</f>
        <v>4.0</v>
      </c>
      <c r="H13" s="73">
        <f>IF($M13="","",INDEX(po_due,$M13))</f>
        <v>46332.0</v>
      </c>
      <c r="I13" s="75" t="str">
        <f>IF($M13="","",IF(INDEX(po_status,$M13)="En retard",INDEX(po_late,$M13),""))</f>
        <v/>
      </c>
      <c r="J13" s="67" t="str">
        <f>IF($M13="","",INDEX(po_status,$M13)&amp;"")</f>
        <v>Envoyé</v>
      </c>
      <c r="K13" s="70">
        <f>IF($M13="","",INDEX(po_restht,$M13))</f>
        <v>1580.0</v>
      </c>
      <c r="M13">
        <f>IFERROR(MATCH(SMALL(po_key,8),po_key,0),"")</f>
        <v>31.0</v>
      </c>
    </row>
    <row r="14">
      <c r="A14" s="126" t="str">
        <f>IF($M14="","",INDEX(po_num,$M14)&amp;"")</f>
        <v>BC-2026-0115</v>
      </c>
      <c r="B14" s="66" t="str">
        <f>IF($M14="","",INDEX(po_supname,$M14)&amp;"")</f>
        <v>Métaux Atlas SARL</v>
      </c>
      <c r="C14" s="66" t="str">
        <f>IF($M14="","",INDEX(po_ref,$M14)&amp;"")</f>
        <v>TOL-S235-2</v>
      </c>
      <c r="D14" s="66" t="str">
        <f>IF($M14="","",INDEX(po_des,$M14)&amp;"")</f>
        <v>Tôle acier S235 ép. 2 mm</v>
      </c>
      <c r="E14" s="74">
        <f>IF($M14="","",N(INDEX(po_qty,$M14)))</f>
        <v>1500.0</v>
      </c>
      <c r="F14" s="74">
        <f>IF($M14="","",N(INDEX(po_rcv,$M14)))</f>
        <v>900.0</v>
      </c>
      <c r="G14" s="74">
        <f>IF($M14="","",INDEX(po_rest,$M14))</f>
        <v>600.0</v>
      </c>
      <c r="H14" s="73">
        <f>IF($M14="","",INDEX(po_due,$M14))</f>
        <v>46335.0</v>
      </c>
      <c r="I14" s="75" t="str">
        <f>IF($M14="","",IF(INDEX(po_status,$M14)="En retard",INDEX(po_late,$M14),""))</f>
        <v/>
      </c>
      <c r="J14" s="67" t="str">
        <f>IF($M14="","",INDEX(po_status,$M14)&amp;"")</f>
        <v>Partiel</v>
      </c>
      <c r="K14" s="70">
        <f>IF($M14="","",INDEX(po_restht,$M14))</f>
        <v>6867.6</v>
      </c>
      <c r="M14">
        <f>IFERROR(MATCH(SMALL(po_key,9),po_key,0),"")</f>
        <v>33.0</v>
      </c>
    </row>
    <row r="15">
      <c r="A15" s="126" t="str">
        <f>IF($M15="","",INDEX(po_num,$M15)&amp;"")</f>
        <v>BC-2026-0115</v>
      </c>
      <c r="B15" s="66" t="str">
        <f>IF($M15="","",INDEX(po_supname,$M15)&amp;"")</f>
        <v>Métaux Atlas SARL</v>
      </c>
      <c r="C15" s="66" t="str">
        <f>IF($M15="","",INDEX(po_ref,$M15)&amp;"")</f>
        <v>ROND-C45-30</v>
      </c>
      <c r="D15" s="66" t="str">
        <f>IF($M15="","",INDEX(po_des,$M15)&amp;"")</f>
        <v>Rond acier C45 Ø30, barre 3 m</v>
      </c>
      <c r="E15" s="74">
        <f>IF($M15="","",N(INDEX(po_qty,$M15)))</f>
        <v>20.0</v>
      </c>
      <c r="F15" s="74">
        <f>IF($M15="","",N(INDEX(po_rcv,$M15)))</f>
        <v>0.0</v>
      </c>
      <c r="G15" s="74">
        <f>IF($M15="","",INDEX(po_rest,$M15))</f>
        <v>20.0</v>
      </c>
      <c r="H15" s="73">
        <f>IF($M15="","",INDEX(po_due,$M15))</f>
        <v>46335.0</v>
      </c>
      <c r="I15" s="75" t="str">
        <f>IF($M15="","",IF(INDEX(po_status,$M15)="En retard",INDEX(po_late,$M15),""))</f>
        <v/>
      </c>
      <c r="J15" s="67" t="str">
        <f>IF($M15="","",INDEX(po_status,$M15)&amp;"")</f>
        <v>Envoyé</v>
      </c>
      <c r="K15" s="70">
        <f>IF($M15="","",INDEX(po_restht,$M15))</f>
        <v>5529.0</v>
      </c>
      <c r="M15">
        <f>IFERROR(MATCH(SMALL(po_key,10),po_key,0),"")</f>
        <v>34.0</v>
      </c>
    </row>
    <row r="16">
      <c r="A16" s="126" t="str">
        <f>IF($M16="","",INDEX(po_num,$M16)&amp;"")</f>
        <v>BC-2026-0115</v>
      </c>
      <c r="B16" s="66" t="str">
        <f>IF($M16="","",INDEX(po_supname,$M16)&amp;"")</f>
        <v>Métaux Atlas SARL</v>
      </c>
      <c r="C16" s="66" t="str">
        <f>IF($M16="","",INDEX(po_ref,$M16)&amp;"")</f>
        <v>TRANS-CASA</v>
      </c>
      <c r="D16" s="66" t="str">
        <f>IF($M16="","",INDEX(po_des,$M16)&amp;"")</f>
        <v>Transport Casablanca, camion 3,5 t</v>
      </c>
      <c r="E16" s="74">
        <f>IF($M16="","",N(INDEX(po_qty,$M16)))</f>
        <v>1.0</v>
      </c>
      <c r="F16" s="74">
        <f>IF($M16="","",N(INDEX(po_rcv,$M16)))</f>
        <v>0.0</v>
      </c>
      <c r="G16" s="74">
        <f>IF($M16="","",INDEX(po_rest,$M16))</f>
        <v>1.0</v>
      </c>
      <c r="H16" s="73">
        <f>IF($M16="","",INDEX(po_due,$M16))</f>
        <v>46335.0</v>
      </c>
      <c r="I16" s="75" t="str">
        <f>IF($M16="","",IF(INDEX(po_status,$M16)="En retard",INDEX(po_late,$M16),""))</f>
        <v/>
      </c>
      <c r="J16" s="67" t="str">
        <f>IF($M16="","",INDEX(po_status,$M16)&amp;"")</f>
        <v>Envoyé</v>
      </c>
      <c r="K16" s="70">
        <f>IF($M16="","",INDEX(po_restht,$M16))</f>
        <v>650.0</v>
      </c>
      <c r="M16">
        <f>IFERROR(MATCH(SMALL(po_key,11),po_key,0),"")</f>
        <v>35.0</v>
      </c>
    </row>
    <row r="17">
      <c r="A17" s="126" t="str">
        <f>IF($M17="","",INDEX(po_num,$M17)&amp;"")</f>
        <v>BC-2026-0116</v>
      </c>
      <c r="B17" s="66" t="str">
        <f>IF($M17="","",INDEX(po_supname,$M17)&amp;"")</f>
        <v>Peintures Oasis Industrie</v>
      </c>
      <c r="C17" s="66" t="str">
        <f>IF($M17="","",INDEX(po_ref,$M17)&amp;"")</f>
        <v>PEI-EPO-GR</v>
      </c>
      <c r="D17" s="66" t="str">
        <f>IF($M17="","",INDEX(po_des,$M17)&amp;"")</f>
        <v>Peinture époxy gris RAL 7016</v>
      </c>
      <c r="E17" s="74">
        <f>IF($M17="","",N(INDEX(po_qty,$M17)))</f>
        <v>150.0</v>
      </c>
      <c r="F17" s="74">
        <f>IF($M17="","",N(INDEX(po_rcv,$M17)))</f>
        <v>0.0</v>
      </c>
      <c r="G17" s="74">
        <f>IF($M17="","",INDEX(po_rest,$M17))</f>
        <v>150.0</v>
      </c>
      <c r="H17" s="73">
        <f>IF($M17="","",INDEX(po_due,$M17))</f>
        <v>46340.0</v>
      </c>
      <c r="I17" s="75" t="str">
        <f>IF($M17="","",IF(INDEX(po_status,$M17)="En retard",INDEX(po_late,$M17),""))</f>
        <v/>
      </c>
      <c r="J17" s="67" t="str">
        <f>IF($M17="","",INDEX(po_status,$M17)&amp;"")</f>
        <v>Envoyé</v>
      </c>
      <c r="K17" s="70">
        <f>IF($M17="","",INDEX(po_restht,$M17))</f>
        <v>13800.0</v>
      </c>
      <c r="M17">
        <f>IFERROR(MATCH(SMALL(po_key,12),po_key,0),"")</f>
        <v>36.0</v>
      </c>
    </row>
    <row r="18">
      <c r="A18" s="126" t="str">
        <f>IF($M18="","",INDEX(po_num,$M18)&amp;"")</f>
        <v>BC-2026-0116</v>
      </c>
      <c r="B18" s="66" t="str">
        <f>IF($M18="","",INDEX(po_supname,$M18)&amp;"")</f>
        <v>Peintures Oasis Industrie</v>
      </c>
      <c r="C18" s="66" t="str">
        <f>IF($M18="","",INDEX(po_ref,$M18)&amp;"")</f>
        <v>DIL-EPO</v>
      </c>
      <c r="D18" s="66" t="str">
        <f>IF($M18="","",INDEX(po_des,$M18)&amp;"")</f>
        <v>Diluant époxy</v>
      </c>
      <c r="E18" s="74">
        <f>IF($M18="","",N(INDEX(po_qty,$M18)))</f>
        <v>50.0</v>
      </c>
      <c r="F18" s="74">
        <f>IF($M18="","",N(INDEX(po_rcv,$M18)))</f>
        <v>0.0</v>
      </c>
      <c r="G18" s="74">
        <f>IF($M18="","",INDEX(po_rest,$M18))</f>
        <v>50.0</v>
      </c>
      <c r="H18" s="73">
        <f>IF($M18="","",INDEX(po_due,$M18))</f>
        <v>46340.0</v>
      </c>
      <c r="I18" s="75" t="str">
        <f>IF($M18="","",IF(INDEX(po_status,$M18)="En retard",INDEX(po_late,$M18),""))</f>
        <v/>
      </c>
      <c r="J18" s="67" t="str">
        <f>IF($M18="","",INDEX(po_status,$M18)&amp;"")</f>
        <v>Envoyé</v>
      </c>
      <c r="K18" s="70">
        <f>IF($M18="","",INDEX(po_restht,$M18))</f>
        <v>1900.0</v>
      </c>
      <c r="M18">
        <f>IFERROR(MATCH(SMALL(po_key,13),po_key,0),"")</f>
        <v>37.0</v>
      </c>
    </row>
    <row r="19">
      <c r="A19" s="126" t="str">
        <f>IF($M19="","",INDEX(po_num,$M19)&amp;"")</f>
        <v/>
      </c>
      <c r="B19" s="66" t="str">
        <f>IF($M19="","",INDEX(po_supname,$M19)&amp;"")</f>
        <v/>
      </c>
      <c r="C19" s="66" t="str">
        <f>IF($M19="","",INDEX(po_ref,$M19)&amp;"")</f>
        <v/>
      </c>
      <c r="D19" s="66" t="str">
        <f>IF($M19="","",INDEX(po_des,$M19)&amp;"")</f>
        <v/>
      </c>
      <c r="E19" s="74" t="str">
        <f>IF($M19="","",N(INDEX(po_qty,$M19)))</f>
        <v/>
      </c>
      <c r="F19" s="74" t="str">
        <f>IF($M19="","",N(INDEX(po_rcv,$M19)))</f>
        <v/>
      </c>
      <c r="G19" s="74" t="str">
        <f>IF($M19="","",INDEX(po_rest,$M19))</f>
        <v/>
      </c>
      <c r="H19" s="73" t="str">
        <f>IF($M19="","",INDEX(po_due,$M19))</f>
        <v/>
      </c>
      <c r="I19" s="75" t="str">
        <f>IF($M19="","",IF(INDEX(po_status,$M19)="En retard",INDEX(po_late,$M19),""))</f>
        <v/>
      </c>
      <c r="J19" s="67" t="str">
        <f>IF($M19="","",INDEX(po_status,$M19)&amp;"")</f>
        <v/>
      </c>
      <c r="K19" s="70" t="str">
        <f>IF($M19="","",INDEX(po_restht,$M19))</f>
        <v/>
      </c>
      <c r="M19" t="str">
        <f>IFERROR(MATCH(SMALL(po_key,14),po_key,0),"")</f>
        <v/>
      </c>
    </row>
    <row r="20">
      <c r="A20" s="126" t="str">
        <f>IF($M20="","",INDEX(po_num,$M20)&amp;"")</f>
        <v/>
      </c>
      <c r="B20" s="66" t="str">
        <f>IF($M20="","",INDEX(po_supname,$M20)&amp;"")</f>
        <v/>
      </c>
      <c r="C20" s="66" t="str">
        <f>IF($M20="","",INDEX(po_ref,$M20)&amp;"")</f>
        <v/>
      </c>
      <c r="D20" s="66" t="str">
        <f>IF($M20="","",INDEX(po_des,$M20)&amp;"")</f>
        <v/>
      </c>
      <c r="E20" s="74" t="str">
        <f>IF($M20="","",N(INDEX(po_qty,$M20)))</f>
        <v/>
      </c>
      <c r="F20" s="74" t="str">
        <f>IF($M20="","",N(INDEX(po_rcv,$M20)))</f>
        <v/>
      </c>
      <c r="G20" s="74" t="str">
        <f>IF($M20="","",INDEX(po_rest,$M20))</f>
        <v/>
      </c>
      <c r="H20" s="73" t="str">
        <f>IF($M20="","",INDEX(po_due,$M20))</f>
        <v/>
      </c>
      <c r="I20" s="75" t="str">
        <f>IF($M20="","",IF(INDEX(po_status,$M20)="En retard",INDEX(po_late,$M20),""))</f>
        <v/>
      </c>
      <c r="J20" s="67" t="str">
        <f>IF($M20="","",INDEX(po_status,$M20)&amp;"")</f>
        <v/>
      </c>
      <c r="K20" s="70" t="str">
        <f>IF($M20="","",INDEX(po_restht,$M20))</f>
        <v/>
      </c>
      <c r="M20" t="str">
        <f>IFERROR(MATCH(SMALL(po_key,15),po_key,0),"")</f>
        <v/>
      </c>
    </row>
    <row r="21">
      <c r="A21" s="126" t="str">
        <f>IF($M21="","",INDEX(po_num,$M21)&amp;"")</f>
        <v/>
      </c>
      <c r="B21" s="66" t="str">
        <f>IF($M21="","",INDEX(po_supname,$M21)&amp;"")</f>
        <v/>
      </c>
      <c r="C21" s="66" t="str">
        <f>IF($M21="","",INDEX(po_ref,$M21)&amp;"")</f>
        <v/>
      </c>
      <c r="D21" s="66" t="str">
        <f>IF($M21="","",INDEX(po_des,$M21)&amp;"")</f>
        <v/>
      </c>
      <c r="E21" s="74" t="str">
        <f>IF($M21="","",N(INDEX(po_qty,$M21)))</f>
        <v/>
      </c>
      <c r="F21" s="74" t="str">
        <f>IF($M21="","",N(INDEX(po_rcv,$M21)))</f>
        <v/>
      </c>
      <c r="G21" s="74" t="str">
        <f>IF($M21="","",INDEX(po_rest,$M21))</f>
        <v/>
      </c>
      <c r="H21" s="73" t="str">
        <f>IF($M21="","",INDEX(po_due,$M21))</f>
        <v/>
      </c>
      <c r="I21" s="75" t="str">
        <f>IF($M21="","",IF(INDEX(po_status,$M21)="En retard",INDEX(po_late,$M21),""))</f>
        <v/>
      </c>
      <c r="J21" s="67" t="str">
        <f>IF($M21="","",INDEX(po_status,$M21)&amp;"")</f>
        <v/>
      </c>
      <c r="K21" s="70" t="str">
        <f>IF($M21="","",INDEX(po_restht,$M21))</f>
        <v/>
      </c>
      <c r="M21" t="str">
        <f>IFERROR(MATCH(SMALL(po_key,16),po_key,0),"")</f>
        <v/>
      </c>
    </row>
    <row r="22">
      <c r="A22" s="126" t="str">
        <f>IF($M22="","",INDEX(po_num,$M22)&amp;"")</f>
        <v/>
      </c>
      <c r="B22" s="66" t="str">
        <f>IF($M22="","",INDEX(po_supname,$M22)&amp;"")</f>
        <v/>
      </c>
      <c r="C22" s="66" t="str">
        <f>IF($M22="","",INDEX(po_ref,$M22)&amp;"")</f>
        <v/>
      </c>
      <c r="D22" s="66" t="str">
        <f>IF($M22="","",INDEX(po_des,$M22)&amp;"")</f>
        <v/>
      </c>
      <c r="E22" s="74" t="str">
        <f>IF($M22="","",N(INDEX(po_qty,$M22)))</f>
        <v/>
      </c>
      <c r="F22" s="74" t="str">
        <f>IF($M22="","",N(INDEX(po_rcv,$M22)))</f>
        <v/>
      </c>
      <c r="G22" s="74" t="str">
        <f>IF($M22="","",INDEX(po_rest,$M22))</f>
        <v/>
      </c>
      <c r="H22" s="73" t="str">
        <f>IF($M22="","",INDEX(po_due,$M22))</f>
        <v/>
      </c>
      <c r="I22" s="75" t="str">
        <f>IF($M22="","",IF(INDEX(po_status,$M22)="En retard",INDEX(po_late,$M22),""))</f>
        <v/>
      </c>
      <c r="J22" s="67" t="str">
        <f>IF($M22="","",INDEX(po_status,$M22)&amp;"")</f>
        <v/>
      </c>
      <c r="K22" s="70" t="str">
        <f>IF($M22="","",INDEX(po_restht,$M22))</f>
        <v/>
      </c>
      <c r="M22" t="str">
        <f>IFERROR(MATCH(SMALL(po_key,17),po_key,0),"")</f>
        <v/>
      </c>
    </row>
    <row r="23">
      <c r="A23" s="126" t="str">
        <f>IF($M23="","",INDEX(po_num,$M23)&amp;"")</f>
        <v/>
      </c>
      <c r="B23" s="66" t="str">
        <f>IF($M23="","",INDEX(po_supname,$M23)&amp;"")</f>
        <v/>
      </c>
      <c r="C23" s="66" t="str">
        <f>IF($M23="","",INDEX(po_ref,$M23)&amp;"")</f>
        <v/>
      </c>
      <c r="D23" s="66" t="str">
        <f>IF($M23="","",INDEX(po_des,$M23)&amp;"")</f>
        <v/>
      </c>
      <c r="E23" s="74" t="str">
        <f>IF($M23="","",N(INDEX(po_qty,$M23)))</f>
        <v/>
      </c>
      <c r="F23" s="74" t="str">
        <f>IF($M23="","",N(INDEX(po_rcv,$M23)))</f>
        <v/>
      </c>
      <c r="G23" s="74" t="str">
        <f>IF($M23="","",INDEX(po_rest,$M23))</f>
        <v/>
      </c>
      <c r="H23" s="73" t="str">
        <f>IF($M23="","",INDEX(po_due,$M23))</f>
        <v/>
      </c>
      <c r="I23" s="75" t="str">
        <f>IF($M23="","",IF(INDEX(po_status,$M23)="En retard",INDEX(po_late,$M23),""))</f>
        <v/>
      </c>
      <c r="J23" s="67" t="str">
        <f>IF($M23="","",INDEX(po_status,$M23)&amp;"")</f>
        <v/>
      </c>
      <c r="K23" s="70" t="str">
        <f>IF($M23="","",INDEX(po_restht,$M23))</f>
        <v/>
      </c>
      <c r="M23" t="str">
        <f>IFERROR(MATCH(SMALL(po_key,18),po_key,0),"")</f>
        <v/>
      </c>
    </row>
    <row r="24">
      <c r="A24" s="126" t="str">
        <f>IF($M24="","",INDEX(po_num,$M24)&amp;"")</f>
        <v/>
      </c>
      <c r="B24" s="66" t="str">
        <f>IF($M24="","",INDEX(po_supname,$M24)&amp;"")</f>
        <v/>
      </c>
      <c r="C24" s="66" t="str">
        <f>IF($M24="","",INDEX(po_ref,$M24)&amp;"")</f>
        <v/>
      </c>
      <c r="D24" s="66" t="str">
        <f>IF($M24="","",INDEX(po_des,$M24)&amp;"")</f>
        <v/>
      </c>
      <c r="E24" s="74" t="str">
        <f>IF($M24="","",N(INDEX(po_qty,$M24)))</f>
        <v/>
      </c>
      <c r="F24" s="74" t="str">
        <f>IF($M24="","",N(INDEX(po_rcv,$M24)))</f>
        <v/>
      </c>
      <c r="G24" s="74" t="str">
        <f>IF($M24="","",INDEX(po_rest,$M24))</f>
        <v/>
      </c>
      <c r="H24" s="73" t="str">
        <f>IF($M24="","",INDEX(po_due,$M24))</f>
        <v/>
      </c>
      <c r="I24" s="75" t="str">
        <f>IF($M24="","",IF(INDEX(po_status,$M24)="En retard",INDEX(po_late,$M24),""))</f>
        <v/>
      </c>
      <c r="J24" s="67" t="str">
        <f>IF($M24="","",INDEX(po_status,$M24)&amp;"")</f>
        <v/>
      </c>
      <c r="K24" s="70" t="str">
        <f>IF($M24="","",INDEX(po_restht,$M24))</f>
        <v/>
      </c>
      <c r="M24" t="str">
        <f>IFERROR(MATCH(SMALL(po_key,19),po_key,0),"")</f>
        <v/>
      </c>
    </row>
    <row r="25">
      <c r="A25" s="126" t="str">
        <f>IF($M25="","",INDEX(po_num,$M25)&amp;"")</f>
        <v/>
      </c>
      <c r="B25" s="66" t="str">
        <f>IF($M25="","",INDEX(po_supname,$M25)&amp;"")</f>
        <v/>
      </c>
      <c r="C25" s="66" t="str">
        <f>IF($M25="","",INDEX(po_ref,$M25)&amp;"")</f>
        <v/>
      </c>
      <c r="D25" s="66" t="str">
        <f>IF($M25="","",INDEX(po_des,$M25)&amp;"")</f>
        <v/>
      </c>
      <c r="E25" s="74" t="str">
        <f>IF($M25="","",N(INDEX(po_qty,$M25)))</f>
        <v/>
      </c>
      <c r="F25" s="74" t="str">
        <f>IF($M25="","",N(INDEX(po_rcv,$M25)))</f>
        <v/>
      </c>
      <c r="G25" s="74" t="str">
        <f>IF($M25="","",INDEX(po_rest,$M25))</f>
        <v/>
      </c>
      <c r="H25" s="73" t="str">
        <f>IF($M25="","",INDEX(po_due,$M25))</f>
        <v/>
      </c>
      <c r="I25" s="75" t="str">
        <f>IF($M25="","",IF(INDEX(po_status,$M25)="En retard",INDEX(po_late,$M25),""))</f>
        <v/>
      </c>
      <c r="J25" s="67" t="str">
        <f>IF($M25="","",INDEX(po_status,$M25)&amp;"")</f>
        <v/>
      </c>
      <c r="K25" s="70" t="str">
        <f>IF($M25="","",INDEX(po_restht,$M25))</f>
        <v/>
      </c>
      <c r="M25" t="str">
        <f>IFERROR(MATCH(SMALL(po_key,20),po_key,0),"")</f>
        <v/>
      </c>
    </row>
    <row r="26">
      <c r="A26" s="126" t="str">
        <f>IF($M26="","",INDEX(po_num,$M26)&amp;"")</f>
        <v/>
      </c>
      <c r="B26" s="66" t="str">
        <f>IF($M26="","",INDEX(po_supname,$M26)&amp;"")</f>
        <v/>
      </c>
      <c r="C26" s="66" t="str">
        <f>IF($M26="","",INDEX(po_ref,$M26)&amp;"")</f>
        <v/>
      </c>
      <c r="D26" s="66" t="str">
        <f>IF($M26="","",INDEX(po_des,$M26)&amp;"")</f>
        <v/>
      </c>
      <c r="E26" s="74" t="str">
        <f>IF($M26="","",N(INDEX(po_qty,$M26)))</f>
        <v/>
      </c>
      <c r="F26" s="74" t="str">
        <f>IF($M26="","",N(INDEX(po_rcv,$M26)))</f>
        <v/>
      </c>
      <c r="G26" s="74" t="str">
        <f>IF($M26="","",INDEX(po_rest,$M26))</f>
        <v/>
      </c>
      <c r="H26" s="73" t="str">
        <f>IF($M26="","",INDEX(po_due,$M26))</f>
        <v/>
      </c>
      <c r="I26" s="75" t="str">
        <f>IF($M26="","",IF(INDEX(po_status,$M26)="En retard",INDEX(po_late,$M26),""))</f>
        <v/>
      </c>
      <c r="J26" s="67" t="str">
        <f>IF($M26="","",INDEX(po_status,$M26)&amp;"")</f>
        <v/>
      </c>
      <c r="K26" s="70" t="str">
        <f>IF($M26="","",INDEX(po_restht,$M26))</f>
        <v/>
      </c>
      <c r="M26" t="str">
        <f>IFERROR(MATCH(SMALL(po_key,21),po_key,0),"")</f>
        <v/>
      </c>
    </row>
    <row r="27">
      <c r="A27" s="126" t="str">
        <f>IF($M27="","",INDEX(po_num,$M27)&amp;"")</f>
        <v/>
      </c>
      <c r="B27" s="66" t="str">
        <f>IF($M27="","",INDEX(po_supname,$M27)&amp;"")</f>
        <v/>
      </c>
      <c r="C27" s="66" t="str">
        <f>IF($M27="","",INDEX(po_ref,$M27)&amp;"")</f>
        <v/>
      </c>
      <c r="D27" s="66" t="str">
        <f>IF($M27="","",INDEX(po_des,$M27)&amp;"")</f>
        <v/>
      </c>
      <c r="E27" s="74" t="str">
        <f>IF($M27="","",N(INDEX(po_qty,$M27)))</f>
        <v/>
      </c>
      <c r="F27" s="74" t="str">
        <f>IF($M27="","",N(INDEX(po_rcv,$M27)))</f>
        <v/>
      </c>
      <c r="G27" s="74" t="str">
        <f>IF($M27="","",INDEX(po_rest,$M27))</f>
        <v/>
      </c>
      <c r="H27" s="73" t="str">
        <f>IF($M27="","",INDEX(po_due,$M27))</f>
        <v/>
      </c>
      <c r="I27" s="75" t="str">
        <f>IF($M27="","",IF(INDEX(po_status,$M27)="En retard",INDEX(po_late,$M27),""))</f>
        <v/>
      </c>
      <c r="J27" s="67" t="str">
        <f>IF($M27="","",INDEX(po_status,$M27)&amp;"")</f>
        <v/>
      </c>
      <c r="K27" s="70" t="str">
        <f>IF($M27="","",INDEX(po_restht,$M27))</f>
        <v/>
      </c>
      <c r="M27" t="str">
        <f>IFERROR(MATCH(SMALL(po_key,22),po_key,0),"")</f>
        <v/>
      </c>
    </row>
    <row r="28">
      <c r="A28" s="126" t="str">
        <f>IF($M28="","",INDEX(po_num,$M28)&amp;"")</f>
        <v/>
      </c>
      <c r="B28" s="66" t="str">
        <f>IF($M28="","",INDEX(po_supname,$M28)&amp;"")</f>
        <v/>
      </c>
      <c r="C28" s="66" t="str">
        <f>IF($M28="","",INDEX(po_ref,$M28)&amp;"")</f>
        <v/>
      </c>
      <c r="D28" s="66" t="str">
        <f>IF($M28="","",INDEX(po_des,$M28)&amp;"")</f>
        <v/>
      </c>
      <c r="E28" s="74" t="str">
        <f>IF($M28="","",N(INDEX(po_qty,$M28)))</f>
        <v/>
      </c>
      <c r="F28" s="74" t="str">
        <f>IF($M28="","",N(INDEX(po_rcv,$M28)))</f>
        <v/>
      </c>
      <c r="G28" s="74" t="str">
        <f>IF($M28="","",INDEX(po_rest,$M28))</f>
        <v/>
      </c>
      <c r="H28" s="73" t="str">
        <f>IF($M28="","",INDEX(po_due,$M28))</f>
        <v/>
      </c>
      <c r="I28" s="75" t="str">
        <f>IF($M28="","",IF(INDEX(po_status,$M28)="En retard",INDEX(po_late,$M28),""))</f>
        <v/>
      </c>
      <c r="J28" s="67" t="str">
        <f>IF($M28="","",INDEX(po_status,$M28)&amp;"")</f>
        <v/>
      </c>
      <c r="K28" s="70" t="str">
        <f>IF($M28="","",INDEX(po_restht,$M28))</f>
        <v/>
      </c>
      <c r="M28" t="str">
        <f>IFERROR(MATCH(SMALL(po_key,23),po_key,0),"")</f>
        <v/>
      </c>
    </row>
    <row r="29">
      <c r="A29" s="126" t="str">
        <f>IF($M29="","",INDEX(po_num,$M29)&amp;"")</f>
        <v/>
      </c>
      <c r="B29" s="66" t="str">
        <f>IF($M29="","",INDEX(po_supname,$M29)&amp;"")</f>
        <v/>
      </c>
      <c r="C29" s="66" t="str">
        <f>IF($M29="","",INDEX(po_ref,$M29)&amp;"")</f>
        <v/>
      </c>
      <c r="D29" s="66" t="str">
        <f>IF($M29="","",INDEX(po_des,$M29)&amp;"")</f>
        <v/>
      </c>
      <c r="E29" s="74" t="str">
        <f>IF($M29="","",N(INDEX(po_qty,$M29)))</f>
        <v/>
      </c>
      <c r="F29" s="74" t="str">
        <f>IF($M29="","",N(INDEX(po_rcv,$M29)))</f>
        <v/>
      </c>
      <c r="G29" s="74" t="str">
        <f>IF($M29="","",INDEX(po_rest,$M29))</f>
        <v/>
      </c>
      <c r="H29" s="73" t="str">
        <f>IF($M29="","",INDEX(po_due,$M29))</f>
        <v/>
      </c>
      <c r="I29" s="75" t="str">
        <f>IF($M29="","",IF(INDEX(po_status,$M29)="En retard",INDEX(po_late,$M29),""))</f>
        <v/>
      </c>
      <c r="J29" s="67" t="str">
        <f>IF($M29="","",INDEX(po_status,$M29)&amp;"")</f>
        <v/>
      </c>
      <c r="K29" s="70" t="str">
        <f>IF($M29="","",INDEX(po_restht,$M29))</f>
        <v/>
      </c>
      <c r="M29" t="str">
        <f>IFERROR(MATCH(SMALL(po_key,24),po_key,0),"")</f>
        <v/>
      </c>
    </row>
    <row r="30">
      <c r="A30" s="126" t="str">
        <f>IF($M30="","",INDEX(po_num,$M30)&amp;"")</f>
        <v/>
      </c>
      <c r="B30" s="66" t="str">
        <f>IF($M30="","",INDEX(po_supname,$M30)&amp;"")</f>
        <v/>
      </c>
      <c r="C30" s="66" t="str">
        <f>IF($M30="","",INDEX(po_ref,$M30)&amp;"")</f>
        <v/>
      </c>
      <c r="D30" s="66" t="str">
        <f>IF($M30="","",INDEX(po_des,$M30)&amp;"")</f>
        <v/>
      </c>
      <c r="E30" s="74" t="str">
        <f>IF($M30="","",N(INDEX(po_qty,$M30)))</f>
        <v/>
      </c>
      <c r="F30" s="74" t="str">
        <f>IF($M30="","",N(INDEX(po_rcv,$M30)))</f>
        <v/>
      </c>
      <c r="G30" s="74" t="str">
        <f>IF($M30="","",INDEX(po_rest,$M30))</f>
        <v/>
      </c>
      <c r="H30" s="73" t="str">
        <f>IF($M30="","",INDEX(po_due,$M30))</f>
        <v/>
      </c>
      <c r="I30" s="75" t="str">
        <f>IF($M30="","",IF(INDEX(po_status,$M30)="En retard",INDEX(po_late,$M30),""))</f>
        <v/>
      </c>
      <c r="J30" s="67" t="str">
        <f>IF($M30="","",INDEX(po_status,$M30)&amp;"")</f>
        <v/>
      </c>
      <c r="K30" s="70" t="str">
        <f>IF($M30="","",INDEX(po_restht,$M30))</f>
        <v/>
      </c>
      <c r="M30" t="str">
        <f>IFERROR(MATCH(SMALL(po_key,25),po_key,0),"")</f>
        <v/>
      </c>
    </row>
    <row r="31">
      <c r="A31" s="126" t="str">
        <f>IF($M31="","",INDEX(po_num,$M31)&amp;"")</f>
        <v/>
      </c>
      <c r="B31" s="66" t="str">
        <f>IF($M31="","",INDEX(po_supname,$M31)&amp;"")</f>
        <v/>
      </c>
      <c r="C31" s="66" t="str">
        <f>IF($M31="","",INDEX(po_ref,$M31)&amp;"")</f>
        <v/>
      </c>
      <c r="D31" s="66" t="str">
        <f>IF($M31="","",INDEX(po_des,$M31)&amp;"")</f>
        <v/>
      </c>
      <c r="E31" s="74" t="str">
        <f>IF($M31="","",N(INDEX(po_qty,$M31)))</f>
        <v/>
      </c>
      <c r="F31" s="74" t="str">
        <f>IF($M31="","",N(INDEX(po_rcv,$M31)))</f>
        <v/>
      </c>
      <c r="G31" s="74" t="str">
        <f>IF($M31="","",INDEX(po_rest,$M31))</f>
        <v/>
      </c>
      <c r="H31" s="73" t="str">
        <f>IF($M31="","",INDEX(po_due,$M31))</f>
        <v/>
      </c>
      <c r="I31" s="75" t="str">
        <f>IF($M31="","",IF(INDEX(po_status,$M31)="En retard",INDEX(po_late,$M31),""))</f>
        <v/>
      </c>
      <c r="J31" s="67" t="str">
        <f>IF($M31="","",INDEX(po_status,$M31)&amp;"")</f>
        <v/>
      </c>
      <c r="K31" s="70" t="str">
        <f>IF($M31="","",INDEX(po_restht,$M31))</f>
        <v/>
      </c>
      <c r="M31" t="str">
        <f>IFERROR(MATCH(SMALL(po_key,26),po_key,0),"")</f>
        <v/>
      </c>
    </row>
    <row r="32">
      <c r="A32" s="126" t="str">
        <f>IF($M32="","",INDEX(po_num,$M32)&amp;"")</f>
        <v/>
      </c>
      <c r="B32" s="66" t="str">
        <f>IF($M32="","",INDEX(po_supname,$M32)&amp;"")</f>
        <v/>
      </c>
      <c r="C32" s="66" t="str">
        <f>IF($M32="","",INDEX(po_ref,$M32)&amp;"")</f>
        <v/>
      </c>
      <c r="D32" s="66" t="str">
        <f>IF($M32="","",INDEX(po_des,$M32)&amp;"")</f>
        <v/>
      </c>
      <c r="E32" s="74" t="str">
        <f>IF($M32="","",N(INDEX(po_qty,$M32)))</f>
        <v/>
      </c>
      <c r="F32" s="74" t="str">
        <f>IF($M32="","",N(INDEX(po_rcv,$M32)))</f>
        <v/>
      </c>
      <c r="G32" s="74" t="str">
        <f>IF($M32="","",INDEX(po_rest,$M32))</f>
        <v/>
      </c>
      <c r="H32" s="73" t="str">
        <f>IF($M32="","",INDEX(po_due,$M32))</f>
        <v/>
      </c>
      <c r="I32" s="75" t="str">
        <f>IF($M32="","",IF(INDEX(po_status,$M32)="En retard",INDEX(po_late,$M32),""))</f>
        <v/>
      </c>
      <c r="J32" s="67" t="str">
        <f>IF($M32="","",INDEX(po_status,$M32)&amp;"")</f>
        <v/>
      </c>
      <c r="K32" s="70" t="str">
        <f>IF($M32="","",INDEX(po_restht,$M32))</f>
        <v/>
      </c>
      <c r="M32" t="str">
        <f>IFERROR(MATCH(SMALL(po_key,27),po_key,0),"")</f>
        <v/>
      </c>
    </row>
    <row r="33">
      <c r="A33" s="126" t="str">
        <f>IF($M33="","",INDEX(po_num,$M33)&amp;"")</f>
        <v/>
      </c>
      <c r="B33" s="66" t="str">
        <f>IF($M33="","",INDEX(po_supname,$M33)&amp;"")</f>
        <v/>
      </c>
      <c r="C33" s="66" t="str">
        <f>IF($M33="","",INDEX(po_ref,$M33)&amp;"")</f>
        <v/>
      </c>
      <c r="D33" s="66" t="str">
        <f>IF($M33="","",INDEX(po_des,$M33)&amp;"")</f>
        <v/>
      </c>
      <c r="E33" s="74" t="str">
        <f>IF($M33="","",N(INDEX(po_qty,$M33)))</f>
        <v/>
      </c>
      <c r="F33" s="74" t="str">
        <f>IF($M33="","",N(INDEX(po_rcv,$M33)))</f>
        <v/>
      </c>
      <c r="G33" s="74" t="str">
        <f>IF($M33="","",INDEX(po_rest,$M33))</f>
        <v/>
      </c>
      <c r="H33" s="73" t="str">
        <f>IF($M33="","",INDEX(po_due,$M33))</f>
        <v/>
      </c>
      <c r="I33" s="75" t="str">
        <f>IF($M33="","",IF(INDEX(po_status,$M33)="En retard",INDEX(po_late,$M33),""))</f>
        <v/>
      </c>
      <c r="J33" s="67" t="str">
        <f>IF($M33="","",INDEX(po_status,$M33)&amp;"")</f>
        <v/>
      </c>
      <c r="K33" s="70" t="str">
        <f>IF($M33="","",INDEX(po_restht,$M33))</f>
        <v/>
      </c>
      <c r="M33" t="str">
        <f>IFERROR(MATCH(SMALL(po_key,28),po_key,0),"")</f>
        <v/>
      </c>
    </row>
    <row r="34">
      <c r="A34" s="126" t="str">
        <f>IF($M34="","",INDEX(po_num,$M34)&amp;"")</f>
        <v/>
      </c>
      <c r="B34" s="66" t="str">
        <f>IF($M34="","",INDEX(po_supname,$M34)&amp;"")</f>
        <v/>
      </c>
      <c r="C34" s="66" t="str">
        <f>IF($M34="","",INDEX(po_ref,$M34)&amp;"")</f>
        <v/>
      </c>
      <c r="D34" s="66" t="str">
        <f>IF($M34="","",INDEX(po_des,$M34)&amp;"")</f>
        <v/>
      </c>
      <c r="E34" s="74" t="str">
        <f>IF($M34="","",N(INDEX(po_qty,$M34)))</f>
        <v/>
      </c>
      <c r="F34" s="74" t="str">
        <f>IF($M34="","",N(INDEX(po_rcv,$M34)))</f>
        <v/>
      </c>
      <c r="G34" s="74" t="str">
        <f>IF($M34="","",INDEX(po_rest,$M34))</f>
        <v/>
      </c>
      <c r="H34" s="73" t="str">
        <f>IF($M34="","",INDEX(po_due,$M34))</f>
        <v/>
      </c>
      <c r="I34" s="75" t="str">
        <f>IF($M34="","",IF(INDEX(po_status,$M34)="En retard",INDEX(po_late,$M34),""))</f>
        <v/>
      </c>
      <c r="J34" s="67" t="str">
        <f>IF($M34="","",INDEX(po_status,$M34)&amp;"")</f>
        <v/>
      </c>
      <c r="K34" s="70" t="str">
        <f>IF($M34="","",INDEX(po_restht,$M34))</f>
        <v/>
      </c>
      <c r="M34" t="str">
        <f>IFERROR(MATCH(SMALL(po_key,29),po_key,0),"")</f>
        <v/>
      </c>
    </row>
    <row r="35">
      <c r="A35" s="126" t="str">
        <f>IF($M35="","",INDEX(po_num,$M35)&amp;"")</f>
        <v/>
      </c>
      <c r="B35" s="66" t="str">
        <f>IF($M35="","",INDEX(po_supname,$M35)&amp;"")</f>
        <v/>
      </c>
      <c r="C35" s="66" t="str">
        <f>IF($M35="","",INDEX(po_ref,$M35)&amp;"")</f>
        <v/>
      </c>
      <c r="D35" s="66" t="str">
        <f>IF($M35="","",INDEX(po_des,$M35)&amp;"")</f>
        <v/>
      </c>
      <c r="E35" s="74" t="str">
        <f>IF($M35="","",N(INDEX(po_qty,$M35)))</f>
        <v/>
      </c>
      <c r="F35" s="74" t="str">
        <f>IF($M35="","",N(INDEX(po_rcv,$M35)))</f>
        <v/>
      </c>
      <c r="G35" s="74" t="str">
        <f>IF($M35="","",INDEX(po_rest,$M35))</f>
        <v/>
      </c>
      <c r="H35" s="73" t="str">
        <f>IF($M35="","",INDEX(po_due,$M35))</f>
        <v/>
      </c>
      <c r="I35" s="75" t="str">
        <f>IF($M35="","",IF(INDEX(po_status,$M35)="En retard",INDEX(po_late,$M35),""))</f>
        <v/>
      </c>
      <c r="J35" s="67" t="str">
        <f>IF($M35="","",INDEX(po_status,$M35)&amp;"")</f>
        <v/>
      </c>
      <c r="K35" s="70" t="str">
        <f>IF($M35="","",INDEX(po_restht,$M35))</f>
        <v/>
      </c>
      <c r="M35" t="str">
        <f>IFERROR(MATCH(SMALL(po_key,30),po_key,0),"")</f>
        <v/>
      </c>
    </row>
    <row r="36">
      <c r="A36" s="126" t="str">
        <f>IF($M36="","",INDEX(po_num,$M36)&amp;"")</f>
        <v/>
      </c>
      <c r="B36" s="66" t="str">
        <f>IF($M36="","",INDEX(po_supname,$M36)&amp;"")</f>
        <v/>
      </c>
      <c r="C36" s="66" t="str">
        <f>IF($M36="","",INDEX(po_ref,$M36)&amp;"")</f>
        <v/>
      </c>
      <c r="D36" s="66" t="str">
        <f>IF($M36="","",INDEX(po_des,$M36)&amp;"")</f>
        <v/>
      </c>
      <c r="E36" s="74" t="str">
        <f>IF($M36="","",N(INDEX(po_qty,$M36)))</f>
        <v/>
      </c>
      <c r="F36" s="74" t="str">
        <f>IF($M36="","",N(INDEX(po_rcv,$M36)))</f>
        <v/>
      </c>
      <c r="G36" s="74" t="str">
        <f>IF($M36="","",INDEX(po_rest,$M36))</f>
        <v/>
      </c>
      <c r="H36" s="73" t="str">
        <f>IF($M36="","",INDEX(po_due,$M36))</f>
        <v/>
      </c>
      <c r="I36" s="75" t="str">
        <f>IF($M36="","",IF(INDEX(po_status,$M36)="En retard",INDEX(po_late,$M36),""))</f>
        <v/>
      </c>
      <c r="J36" s="67" t="str">
        <f>IF($M36="","",INDEX(po_status,$M36)&amp;"")</f>
        <v/>
      </c>
      <c r="K36" s="70" t="str">
        <f>IF($M36="","",INDEX(po_restht,$M36))</f>
        <v/>
      </c>
      <c r="M36" t="str">
        <f>IFERROR(MATCH(SMALL(po_key,31),po_key,0),"")</f>
        <v/>
      </c>
    </row>
    <row r="37">
      <c r="A37" s="126" t="str">
        <f>IF($M37="","",INDEX(po_num,$M37)&amp;"")</f>
        <v/>
      </c>
      <c r="B37" s="66" t="str">
        <f>IF($M37="","",INDEX(po_supname,$M37)&amp;"")</f>
        <v/>
      </c>
      <c r="C37" s="66" t="str">
        <f>IF($M37="","",INDEX(po_ref,$M37)&amp;"")</f>
        <v/>
      </c>
      <c r="D37" s="66" t="str">
        <f>IF($M37="","",INDEX(po_des,$M37)&amp;"")</f>
        <v/>
      </c>
      <c r="E37" s="74" t="str">
        <f>IF($M37="","",N(INDEX(po_qty,$M37)))</f>
        <v/>
      </c>
      <c r="F37" s="74" t="str">
        <f>IF($M37="","",N(INDEX(po_rcv,$M37)))</f>
        <v/>
      </c>
      <c r="G37" s="74" t="str">
        <f>IF($M37="","",INDEX(po_rest,$M37))</f>
        <v/>
      </c>
      <c r="H37" s="73" t="str">
        <f>IF($M37="","",INDEX(po_due,$M37))</f>
        <v/>
      </c>
      <c r="I37" s="75" t="str">
        <f>IF($M37="","",IF(INDEX(po_status,$M37)="En retard",INDEX(po_late,$M37),""))</f>
        <v/>
      </c>
      <c r="J37" s="67" t="str">
        <f>IF($M37="","",INDEX(po_status,$M37)&amp;"")</f>
        <v/>
      </c>
      <c r="K37" s="70" t="str">
        <f>IF($M37="","",INDEX(po_restht,$M37))</f>
        <v/>
      </c>
      <c r="M37" t="str">
        <f>IFERROR(MATCH(SMALL(po_key,32),po_key,0),"")</f>
        <v/>
      </c>
    </row>
    <row r="38">
      <c r="A38" s="126" t="str">
        <f>IF($M38="","",INDEX(po_num,$M38)&amp;"")</f>
        <v/>
      </c>
      <c r="B38" s="66" t="str">
        <f>IF($M38="","",INDEX(po_supname,$M38)&amp;"")</f>
        <v/>
      </c>
      <c r="C38" s="66" t="str">
        <f>IF($M38="","",INDEX(po_ref,$M38)&amp;"")</f>
        <v/>
      </c>
      <c r="D38" s="66" t="str">
        <f>IF($M38="","",INDEX(po_des,$M38)&amp;"")</f>
        <v/>
      </c>
      <c r="E38" s="74" t="str">
        <f>IF($M38="","",N(INDEX(po_qty,$M38)))</f>
        <v/>
      </c>
      <c r="F38" s="74" t="str">
        <f>IF($M38="","",N(INDEX(po_rcv,$M38)))</f>
        <v/>
      </c>
      <c r="G38" s="74" t="str">
        <f>IF($M38="","",INDEX(po_rest,$M38))</f>
        <v/>
      </c>
      <c r="H38" s="73" t="str">
        <f>IF($M38="","",INDEX(po_due,$M38))</f>
        <v/>
      </c>
      <c r="I38" s="75" t="str">
        <f>IF($M38="","",IF(INDEX(po_status,$M38)="En retard",INDEX(po_late,$M38),""))</f>
        <v/>
      </c>
      <c r="J38" s="67" t="str">
        <f>IF($M38="","",INDEX(po_status,$M38)&amp;"")</f>
        <v/>
      </c>
      <c r="K38" s="70" t="str">
        <f>IF($M38="","",INDEX(po_restht,$M38))</f>
        <v/>
      </c>
      <c r="M38" t="str">
        <f>IFERROR(MATCH(SMALL(po_key,33),po_key,0),"")</f>
        <v/>
      </c>
    </row>
    <row r="39">
      <c r="A39" s="126" t="str">
        <f>IF($M39="","",INDEX(po_num,$M39)&amp;"")</f>
        <v/>
      </c>
      <c r="B39" s="66" t="str">
        <f>IF($M39="","",INDEX(po_supname,$M39)&amp;"")</f>
        <v/>
      </c>
      <c r="C39" s="66" t="str">
        <f>IF($M39="","",INDEX(po_ref,$M39)&amp;"")</f>
        <v/>
      </c>
      <c r="D39" s="66" t="str">
        <f>IF($M39="","",INDEX(po_des,$M39)&amp;"")</f>
        <v/>
      </c>
      <c r="E39" s="74" t="str">
        <f>IF($M39="","",N(INDEX(po_qty,$M39)))</f>
        <v/>
      </c>
      <c r="F39" s="74" t="str">
        <f>IF($M39="","",N(INDEX(po_rcv,$M39)))</f>
        <v/>
      </c>
      <c r="G39" s="74" t="str">
        <f>IF($M39="","",INDEX(po_rest,$M39))</f>
        <v/>
      </c>
      <c r="H39" s="73" t="str">
        <f>IF($M39="","",INDEX(po_due,$M39))</f>
        <v/>
      </c>
      <c r="I39" s="75" t="str">
        <f>IF($M39="","",IF(INDEX(po_status,$M39)="En retard",INDEX(po_late,$M39),""))</f>
        <v/>
      </c>
      <c r="J39" s="67" t="str">
        <f>IF($M39="","",INDEX(po_status,$M39)&amp;"")</f>
        <v/>
      </c>
      <c r="K39" s="70" t="str">
        <f>IF($M39="","",INDEX(po_restht,$M39))</f>
        <v/>
      </c>
      <c r="M39" t="str">
        <f>IFERROR(MATCH(SMALL(po_key,34),po_key,0),"")</f>
        <v/>
      </c>
    </row>
    <row r="40">
      <c r="A40" s="126" t="str">
        <f>IF($M40="","",INDEX(po_num,$M40)&amp;"")</f>
        <v/>
      </c>
      <c r="B40" s="66" t="str">
        <f>IF($M40="","",INDEX(po_supname,$M40)&amp;"")</f>
        <v/>
      </c>
      <c r="C40" s="66" t="str">
        <f>IF($M40="","",INDEX(po_ref,$M40)&amp;"")</f>
        <v/>
      </c>
      <c r="D40" s="66" t="str">
        <f>IF($M40="","",INDEX(po_des,$M40)&amp;"")</f>
        <v/>
      </c>
      <c r="E40" s="74" t="str">
        <f>IF($M40="","",N(INDEX(po_qty,$M40)))</f>
        <v/>
      </c>
      <c r="F40" s="74" t="str">
        <f>IF($M40="","",N(INDEX(po_rcv,$M40)))</f>
        <v/>
      </c>
      <c r="G40" s="74" t="str">
        <f>IF($M40="","",INDEX(po_rest,$M40))</f>
        <v/>
      </c>
      <c r="H40" s="73" t="str">
        <f>IF($M40="","",INDEX(po_due,$M40))</f>
        <v/>
      </c>
      <c r="I40" s="75" t="str">
        <f>IF($M40="","",IF(INDEX(po_status,$M40)="En retard",INDEX(po_late,$M40),""))</f>
        <v/>
      </c>
      <c r="J40" s="67" t="str">
        <f>IF($M40="","",INDEX(po_status,$M40)&amp;"")</f>
        <v/>
      </c>
      <c r="K40" s="70" t="str">
        <f>IF($M40="","",INDEX(po_restht,$M40))</f>
        <v/>
      </c>
      <c r="M40" t="str">
        <f>IFERROR(MATCH(SMALL(po_key,35),po_key,0),"")</f>
        <v/>
      </c>
    </row>
    <row r="41">
      <c r="A41" s="126" t="str">
        <f>IF($M41="","",INDEX(po_num,$M41)&amp;"")</f>
        <v/>
      </c>
      <c r="B41" s="66" t="str">
        <f>IF($M41="","",INDEX(po_supname,$M41)&amp;"")</f>
        <v/>
      </c>
      <c r="C41" s="66" t="str">
        <f>IF($M41="","",INDEX(po_ref,$M41)&amp;"")</f>
        <v/>
      </c>
      <c r="D41" s="66" t="str">
        <f>IF($M41="","",INDEX(po_des,$M41)&amp;"")</f>
        <v/>
      </c>
      <c r="E41" s="74" t="str">
        <f>IF($M41="","",N(INDEX(po_qty,$M41)))</f>
        <v/>
      </c>
      <c r="F41" s="74" t="str">
        <f>IF($M41="","",N(INDEX(po_rcv,$M41)))</f>
        <v/>
      </c>
      <c r="G41" s="74" t="str">
        <f>IF($M41="","",INDEX(po_rest,$M41))</f>
        <v/>
      </c>
      <c r="H41" s="73" t="str">
        <f>IF($M41="","",INDEX(po_due,$M41))</f>
        <v/>
      </c>
      <c r="I41" s="75" t="str">
        <f>IF($M41="","",IF(INDEX(po_status,$M41)="En retard",INDEX(po_late,$M41),""))</f>
        <v/>
      </c>
      <c r="J41" s="67" t="str">
        <f>IF($M41="","",INDEX(po_status,$M41)&amp;"")</f>
        <v/>
      </c>
      <c r="K41" s="70" t="str">
        <f>IF($M41="","",INDEX(po_restht,$M41))</f>
        <v/>
      </c>
      <c r="M41" t="str">
        <f>IFERROR(MATCH(SMALL(po_key,36),po_key,0),"")</f>
        <v/>
      </c>
    </row>
    <row r="42">
      <c r="A42" s="126" t="str">
        <f>IF($M42="","",INDEX(po_num,$M42)&amp;"")</f>
        <v/>
      </c>
      <c r="B42" s="66" t="str">
        <f>IF($M42="","",INDEX(po_supname,$M42)&amp;"")</f>
        <v/>
      </c>
      <c r="C42" s="66" t="str">
        <f>IF($M42="","",INDEX(po_ref,$M42)&amp;"")</f>
        <v/>
      </c>
      <c r="D42" s="66" t="str">
        <f>IF($M42="","",INDEX(po_des,$M42)&amp;"")</f>
        <v/>
      </c>
      <c r="E42" s="74" t="str">
        <f>IF($M42="","",N(INDEX(po_qty,$M42)))</f>
        <v/>
      </c>
      <c r="F42" s="74" t="str">
        <f>IF($M42="","",N(INDEX(po_rcv,$M42)))</f>
        <v/>
      </c>
      <c r="G42" s="74" t="str">
        <f>IF($M42="","",INDEX(po_rest,$M42))</f>
        <v/>
      </c>
      <c r="H42" s="73" t="str">
        <f>IF($M42="","",INDEX(po_due,$M42))</f>
        <v/>
      </c>
      <c r="I42" s="75" t="str">
        <f>IF($M42="","",IF(INDEX(po_status,$M42)="En retard",INDEX(po_late,$M42),""))</f>
        <v/>
      </c>
      <c r="J42" s="67" t="str">
        <f>IF($M42="","",INDEX(po_status,$M42)&amp;"")</f>
        <v/>
      </c>
      <c r="K42" s="70" t="str">
        <f>IF($M42="","",INDEX(po_restht,$M42))</f>
        <v/>
      </c>
      <c r="M42" t="str">
        <f>IFERROR(MATCH(SMALL(po_key,37),po_key,0),"")</f>
        <v/>
      </c>
    </row>
    <row r="43">
      <c r="A43" s="126" t="str">
        <f>IF($M43="","",INDEX(po_num,$M43)&amp;"")</f>
        <v/>
      </c>
      <c r="B43" s="66" t="str">
        <f>IF($M43="","",INDEX(po_supname,$M43)&amp;"")</f>
        <v/>
      </c>
      <c r="C43" s="66" t="str">
        <f>IF($M43="","",INDEX(po_ref,$M43)&amp;"")</f>
        <v/>
      </c>
      <c r="D43" s="66" t="str">
        <f>IF($M43="","",INDEX(po_des,$M43)&amp;"")</f>
        <v/>
      </c>
      <c r="E43" s="74" t="str">
        <f>IF($M43="","",N(INDEX(po_qty,$M43)))</f>
        <v/>
      </c>
      <c r="F43" s="74" t="str">
        <f>IF($M43="","",N(INDEX(po_rcv,$M43)))</f>
        <v/>
      </c>
      <c r="G43" s="74" t="str">
        <f>IF($M43="","",INDEX(po_rest,$M43))</f>
        <v/>
      </c>
      <c r="H43" s="73" t="str">
        <f>IF($M43="","",INDEX(po_due,$M43))</f>
        <v/>
      </c>
      <c r="I43" s="75" t="str">
        <f>IF($M43="","",IF(INDEX(po_status,$M43)="En retard",INDEX(po_late,$M43),""))</f>
        <v/>
      </c>
      <c r="J43" s="67" t="str">
        <f>IF($M43="","",INDEX(po_status,$M43)&amp;"")</f>
        <v/>
      </c>
      <c r="K43" s="70" t="str">
        <f>IF($M43="","",INDEX(po_restht,$M43))</f>
        <v/>
      </c>
      <c r="M43" t="str">
        <f>IFERROR(MATCH(SMALL(po_key,38),po_key,0),"")</f>
        <v/>
      </c>
    </row>
    <row r="44">
      <c r="A44" s="126" t="str">
        <f>IF($M44="","",INDEX(po_num,$M44)&amp;"")</f>
        <v/>
      </c>
      <c r="B44" s="66" t="str">
        <f>IF($M44="","",INDEX(po_supname,$M44)&amp;"")</f>
        <v/>
      </c>
      <c r="C44" s="66" t="str">
        <f>IF($M44="","",INDEX(po_ref,$M44)&amp;"")</f>
        <v/>
      </c>
      <c r="D44" s="66" t="str">
        <f>IF($M44="","",INDEX(po_des,$M44)&amp;"")</f>
        <v/>
      </c>
      <c r="E44" s="74" t="str">
        <f>IF($M44="","",N(INDEX(po_qty,$M44)))</f>
        <v/>
      </c>
      <c r="F44" s="74" t="str">
        <f>IF($M44="","",N(INDEX(po_rcv,$M44)))</f>
        <v/>
      </c>
      <c r="G44" s="74" t="str">
        <f>IF($M44="","",INDEX(po_rest,$M44))</f>
        <v/>
      </c>
      <c r="H44" s="73" t="str">
        <f>IF($M44="","",INDEX(po_due,$M44))</f>
        <v/>
      </c>
      <c r="I44" s="75" t="str">
        <f>IF($M44="","",IF(INDEX(po_status,$M44)="En retard",INDEX(po_late,$M44),""))</f>
        <v/>
      </c>
      <c r="J44" s="67" t="str">
        <f>IF($M44="","",INDEX(po_status,$M44)&amp;"")</f>
        <v/>
      </c>
      <c r="K44" s="70" t="str">
        <f>IF($M44="","",INDEX(po_restht,$M44))</f>
        <v/>
      </c>
      <c r="M44" t="str">
        <f>IFERROR(MATCH(SMALL(po_key,39),po_key,0),"")</f>
        <v/>
      </c>
    </row>
    <row r="45">
      <c r="A45" s="126" t="str">
        <f>IF($M45="","",INDEX(po_num,$M45)&amp;"")</f>
        <v/>
      </c>
      <c r="B45" s="66" t="str">
        <f>IF($M45="","",INDEX(po_supname,$M45)&amp;"")</f>
        <v/>
      </c>
      <c r="C45" s="66" t="str">
        <f>IF($M45="","",INDEX(po_ref,$M45)&amp;"")</f>
        <v/>
      </c>
      <c r="D45" s="66" t="str">
        <f>IF($M45="","",INDEX(po_des,$M45)&amp;"")</f>
        <v/>
      </c>
      <c r="E45" s="74" t="str">
        <f>IF($M45="","",N(INDEX(po_qty,$M45)))</f>
        <v/>
      </c>
      <c r="F45" s="74" t="str">
        <f>IF($M45="","",N(INDEX(po_rcv,$M45)))</f>
        <v/>
      </c>
      <c r="G45" s="74" t="str">
        <f>IF($M45="","",INDEX(po_rest,$M45))</f>
        <v/>
      </c>
      <c r="H45" s="73" t="str">
        <f>IF($M45="","",INDEX(po_due,$M45))</f>
        <v/>
      </c>
      <c r="I45" s="75" t="str">
        <f>IF($M45="","",IF(INDEX(po_status,$M45)="En retard",INDEX(po_late,$M45),""))</f>
        <v/>
      </c>
      <c r="J45" s="67" t="str">
        <f>IF($M45="","",INDEX(po_status,$M45)&amp;"")</f>
        <v/>
      </c>
      <c r="K45" s="70" t="str">
        <f>IF($M45="","",INDEX(po_restht,$M45))</f>
        <v/>
      </c>
      <c r="M45" t="str">
        <f>IFERROR(MATCH(SMALL(po_key,40),po_key,0),"")</f>
        <v/>
      </c>
    </row>
    <row r="46">
      <c r="A46" s="126" t="str">
        <f>IF($M46="","",INDEX(po_num,$M46)&amp;"")</f>
        <v/>
      </c>
      <c r="B46" s="66" t="str">
        <f>IF($M46="","",INDEX(po_supname,$M46)&amp;"")</f>
        <v/>
      </c>
      <c r="C46" s="66" t="str">
        <f>IF($M46="","",INDEX(po_ref,$M46)&amp;"")</f>
        <v/>
      </c>
      <c r="D46" s="66" t="str">
        <f>IF($M46="","",INDEX(po_des,$M46)&amp;"")</f>
        <v/>
      </c>
      <c r="E46" s="74" t="str">
        <f>IF($M46="","",N(INDEX(po_qty,$M46)))</f>
        <v/>
      </c>
      <c r="F46" s="74" t="str">
        <f>IF($M46="","",N(INDEX(po_rcv,$M46)))</f>
        <v/>
      </c>
      <c r="G46" s="74" t="str">
        <f>IF($M46="","",INDEX(po_rest,$M46))</f>
        <v/>
      </c>
      <c r="H46" s="73" t="str">
        <f>IF($M46="","",INDEX(po_due,$M46))</f>
        <v/>
      </c>
      <c r="I46" s="75" t="str">
        <f>IF($M46="","",IF(INDEX(po_status,$M46)="En retard",INDEX(po_late,$M46),""))</f>
        <v/>
      </c>
      <c r="J46" s="67" t="str">
        <f>IF($M46="","",INDEX(po_status,$M46)&amp;"")</f>
        <v/>
      </c>
      <c r="K46" s="70" t="str">
        <f>IF($M46="","",INDEX(po_restht,$M46))</f>
        <v/>
      </c>
      <c r="M46" t="str">
        <f>IFERROR(MATCH(SMALL(po_key,41),po_key,0),"")</f>
        <v/>
      </c>
    </row>
    <row r="47">
      <c r="A47" s="126" t="str">
        <f>IF($M47="","",INDEX(po_num,$M47)&amp;"")</f>
        <v/>
      </c>
      <c r="B47" s="66" t="str">
        <f>IF($M47="","",INDEX(po_supname,$M47)&amp;"")</f>
        <v/>
      </c>
      <c r="C47" s="66" t="str">
        <f>IF($M47="","",INDEX(po_ref,$M47)&amp;"")</f>
        <v/>
      </c>
      <c r="D47" s="66" t="str">
        <f>IF($M47="","",INDEX(po_des,$M47)&amp;"")</f>
        <v/>
      </c>
      <c r="E47" s="74" t="str">
        <f>IF($M47="","",N(INDEX(po_qty,$M47)))</f>
        <v/>
      </c>
      <c r="F47" s="74" t="str">
        <f>IF($M47="","",N(INDEX(po_rcv,$M47)))</f>
        <v/>
      </c>
      <c r="G47" s="74" t="str">
        <f>IF($M47="","",INDEX(po_rest,$M47))</f>
        <v/>
      </c>
      <c r="H47" s="73" t="str">
        <f>IF($M47="","",INDEX(po_due,$M47))</f>
        <v/>
      </c>
      <c r="I47" s="75" t="str">
        <f>IF($M47="","",IF(INDEX(po_status,$M47)="En retard",INDEX(po_late,$M47),""))</f>
        <v/>
      </c>
      <c r="J47" s="67" t="str">
        <f>IF($M47="","",INDEX(po_status,$M47)&amp;"")</f>
        <v/>
      </c>
      <c r="K47" s="70" t="str">
        <f>IF($M47="","",INDEX(po_restht,$M47))</f>
        <v/>
      </c>
      <c r="M47" t="str">
        <f>IFERROR(MATCH(SMALL(po_key,42),po_key,0),"")</f>
        <v/>
      </c>
    </row>
    <row r="48">
      <c r="A48" s="126" t="str">
        <f>IF($M48="","",INDEX(po_num,$M48)&amp;"")</f>
        <v/>
      </c>
      <c r="B48" s="66" t="str">
        <f>IF($M48="","",INDEX(po_supname,$M48)&amp;"")</f>
        <v/>
      </c>
      <c r="C48" s="66" t="str">
        <f>IF($M48="","",INDEX(po_ref,$M48)&amp;"")</f>
        <v/>
      </c>
      <c r="D48" s="66" t="str">
        <f>IF($M48="","",INDEX(po_des,$M48)&amp;"")</f>
        <v/>
      </c>
      <c r="E48" s="74" t="str">
        <f>IF($M48="","",N(INDEX(po_qty,$M48)))</f>
        <v/>
      </c>
      <c r="F48" s="74" t="str">
        <f>IF($M48="","",N(INDEX(po_rcv,$M48)))</f>
        <v/>
      </c>
      <c r="G48" s="74" t="str">
        <f>IF($M48="","",INDEX(po_rest,$M48))</f>
        <v/>
      </c>
      <c r="H48" s="73" t="str">
        <f>IF($M48="","",INDEX(po_due,$M48))</f>
        <v/>
      </c>
      <c r="I48" s="75" t="str">
        <f>IF($M48="","",IF(INDEX(po_status,$M48)="En retard",INDEX(po_late,$M48),""))</f>
        <v/>
      </c>
      <c r="J48" s="67" t="str">
        <f>IF($M48="","",INDEX(po_status,$M48)&amp;"")</f>
        <v/>
      </c>
      <c r="K48" s="70" t="str">
        <f>IF($M48="","",INDEX(po_restht,$M48))</f>
        <v/>
      </c>
      <c r="M48" t="str">
        <f>IFERROR(MATCH(SMALL(po_key,43),po_key,0),"")</f>
        <v/>
      </c>
    </row>
    <row r="49">
      <c r="A49" s="126" t="str">
        <f>IF($M49="","",INDEX(po_num,$M49)&amp;"")</f>
        <v/>
      </c>
      <c r="B49" s="66" t="str">
        <f>IF($M49="","",INDEX(po_supname,$M49)&amp;"")</f>
        <v/>
      </c>
      <c r="C49" s="66" t="str">
        <f>IF($M49="","",INDEX(po_ref,$M49)&amp;"")</f>
        <v/>
      </c>
      <c r="D49" s="66" t="str">
        <f>IF($M49="","",INDEX(po_des,$M49)&amp;"")</f>
        <v/>
      </c>
      <c r="E49" s="74" t="str">
        <f>IF($M49="","",N(INDEX(po_qty,$M49)))</f>
        <v/>
      </c>
      <c r="F49" s="74" t="str">
        <f>IF($M49="","",N(INDEX(po_rcv,$M49)))</f>
        <v/>
      </c>
      <c r="G49" s="74" t="str">
        <f>IF($M49="","",INDEX(po_rest,$M49))</f>
        <v/>
      </c>
      <c r="H49" s="73" t="str">
        <f>IF($M49="","",INDEX(po_due,$M49))</f>
        <v/>
      </c>
      <c r="I49" s="75" t="str">
        <f>IF($M49="","",IF(INDEX(po_status,$M49)="En retard",INDEX(po_late,$M49),""))</f>
        <v/>
      </c>
      <c r="J49" s="67" t="str">
        <f>IF($M49="","",INDEX(po_status,$M49)&amp;"")</f>
        <v/>
      </c>
      <c r="K49" s="70" t="str">
        <f>IF($M49="","",INDEX(po_restht,$M49))</f>
        <v/>
      </c>
      <c r="M49" t="str">
        <f>IFERROR(MATCH(SMALL(po_key,44),po_key,0),"")</f>
        <v/>
      </c>
    </row>
    <row r="50">
      <c r="A50" s="126" t="str">
        <f>IF($M50="","",INDEX(po_num,$M50)&amp;"")</f>
        <v/>
      </c>
      <c r="B50" s="66" t="str">
        <f>IF($M50="","",INDEX(po_supname,$M50)&amp;"")</f>
        <v/>
      </c>
      <c r="C50" s="66" t="str">
        <f>IF($M50="","",INDEX(po_ref,$M50)&amp;"")</f>
        <v/>
      </c>
      <c r="D50" s="66" t="str">
        <f>IF($M50="","",INDEX(po_des,$M50)&amp;"")</f>
        <v/>
      </c>
      <c r="E50" s="74" t="str">
        <f>IF($M50="","",N(INDEX(po_qty,$M50)))</f>
        <v/>
      </c>
      <c r="F50" s="74" t="str">
        <f>IF($M50="","",N(INDEX(po_rcv,$M50)))</f>
        <v/>
      </c>
      <c r="G50" s="74" t="str">
        <f>IF($M50="","",INDEX(po_rest,$M50))</f>
        <v/>
      </c>
      <c r="H50" s="73" t="str">
        <f>IF($M50="","",INDEX(po_due,$M50))</f>
        <v/>
      </c>
      <c r="I50" s="75" t="str">
        <f>IF($M50="","",IF(INDEX(po_status,$M50)="En retard",INDEX(po_late,$M50),""))</f>
        <v/>
      </c>
      <c r="J50" s="67" t="str">
        <f>IF($M50="","",INDEX(po_status,$M50)&amp;"")</f>
        <v/>
      </c>
      <c r="K50" s="70" t="str">
        <f>IF($M50="","",INDEX(po_restht,$M50))</f>
        <v/>
      </c>
      <c r="M50" t="str">
        <f>IFERROR(MATCH(SMALL(po_key,45),po_key,0),"")</f>
        <v/>
      </c>
    </row>
    <row r="51">
      <c r="A51" s="126" t="str">
        <f>IF($M51="","",INDEX(po_num,$M51)&amp;"")</f>
        <v/>
      </c>
      <c r="B51" s="66" t="str">
        <f>IF($M51="","",INDEX(po_supname,$M51)&amp;"")</f>
        <v/>
      </c>
      <c r="C51" s="66" t="str">
        <f>IF($M51="","",INDEX(po_ref,$M51)&amp;"")</f>
        <v/>
      </c>
      <c r="D51" s="66" t="str">
        <f>IF($M51="","",INDEX(po_des,$M51)&amp;"")</f>
        <v/>
      </c>
      <c r="E51" s="74" t="str">
        <f>IF($M51="","",N(INDEX(po_qty,$M51)))</f>
        <v/>
      </c>
      <c r="F51" s="74" t="str">
        <f>IF($M51="","",N(INDEX(po_rcv,$M51)))</f>
        <v/>
      </c>
      <c r="G51" s="74" t="str">
        <f>IF($M51="","",INDEX(po_rest,$M51))</f>
        <v/>
      </c>
      <c r="H51" s="73" t="str">
        <f>IF($M51="","",INDEX(po_due,$M51))</f>
        <v/>
      </c>
      <c r="I51" s="75" t="str">
        <f>IF($M51="","",IF(INDEX(po_status,$M51)="En retard",INDEX(po_late,$M51),""))</f>
        <v/>
      </c>
      <c r="J51" s="67" t="str">
        <f>IF($M51="","",INDEX(po_status,$M51)&amp;"")</f>
        <v/>
      </c>
      <c r="K51" s="70" t="str">
        <f>IF($M51="","",INDEX(po_restht,$M51))</f>
        <v/>
      </c>
      <c r="M51" t="str">
        <f>IFERROR(MATCH(SMALL(po_key,46),po_key,0),"")</f>
        <v/>
      </c>
    </row>
    <row r="52">
      <c r="A52" s="126" t="str">
        <f>IF($M52="","",INDEX(po_num,$M52)&amp;"")</f>
        <v/>
      </c>
      <c r="B52" s="66" t="str">
        <f>IF($M52="","",INDEX(po_supname,$M52)&amp;"")</f>
        <v/>
      </c>
      <c r="C52" s="66" t="str">
        <f>IF($M52="","",INDEX(po_ref,$M52)&amp;"")</f>
        <v/>
      </c>
      <c r="D52" s="66" t="str">
        <f>IF($M52="","",INDEX(po_des,$M52)&amp;"")</f>
        <v/>
      </c>
      <c r="E52" s="74" t="str">
        <f>IF($M52="","",N(INDEX(po_qty,$M52)))</f>
        <v/>
      </c>
      <c r="F52" s="74" t="str">
        <f>IF($M52="","",N(INDEX(po_rcv,$M52)))</f>
        <v/>
      </c>
      <c r="G52" s="74" t="str">
        <f>IF($M52="","",INDEX(po_rest,$M52))</f>
        <v/>
      </c>
      <c r="H52" s="73" t="str">
        <f>IF($M52="","",INDEX(po_due,$M52))</f>
        <v/>
      </c>
      <c r="I52" s="75" t="str">
        <f>IF($M52="","",IF(INDEX(po_status,$M52)="En retard",INDEX(po_late,$M52),""))</f>
        <v/>
      </c>
      <c r="J52" s="67" t="str">
        <f>IF($M52="","",INDEX(po_status,$M52)&amp;"")</f>
        <v/>
      </c>
      <c r="K52" s="70" t="str">
        <f>IF($M52="","",INDEX(po_restht,$M52))</f>
        <v/>
      </c>
      <c r="M52" t="str">
        <f>IFERROR(MATCH(SMALL(po_key,47),po_key,0),"")</f>
        <v/>
      </c>
    </row>
    <row r="53">
      <c r="A53" s="126" t="str">
        <f>IF($M53="","",INDEX(po_num,$M53)&amp;"")</f>
        <v/>
      </c>
      <c r="B53" s="66" t="str">
        <f>IF($M53="","",INDEX(po_supname,$M53)&amp;"")</f>
        <v/>
      </c>
      <c r="C53" s="66" t="str">
        <f>IF($M53="","",INDEX(po_ref,$M53)&amp;"")</f>
        <v/>
      </c>
      <c r="D53" s="66" t="str">
        <f>IF($M53="","",INDEX(po_des,$M53)&amp;"")</f>
        <v/>
      </c>
      <c r="E53" s="74" t="str">
        <f>IF($M53="","",N(INDEX(po_qty,$M53)))</f>
        <v/>
      </c>
      <c r="F53" s="74" t="str">
        <f>IF($M53="","",N(INDEX(po_rcv,$M53)))</f>
        <v/>
      </c>
      <c r="G53" s="74" t="str">
        <f>IF($M53="","",INDEX(po_rest,$M53))</f>
        <v/>
      </c>
      <c r="H53" s="73" t="str">
        <f>IF($M53="","",INDEX(po_due,$M53))</f>
        <v/>
      </c>
      <c r="I53" s="75" t="str">
        <f>IF($M53="","",IF(INDEX(po_status,$M53)="En retard",INDEX(po_late,$M53),""))</f>
        <v/>
      </c>
      <c r="J53" s="67" t="str">
        <f>IF($M53="","",INDEX(po_status,$M53)&amp;"")</f>
        <v/>
      </c>
      <c r="K53" s="70" t="str">
        <f>IF($M53="","",INDEX(po_restht,$M53))</f>
        <v/>
      </c>
      <c r="M53" t="str">
        <f>IFERROR(MATCH(SMALL(po_key,48),po_key,0),"")</f>
        <v/>
      </c>
    </row>
    <row r="54">
      <c r="A54" s="126" t="str">
        <f>IF($M54="","",INDEX(po_num,$M54)&amp;"")</f>
        <v/>
      </c>
      <c r="B54" s="66" t="str">
        <f>IF($M54="","",INDEX(po_supname,$M54)&amp;"")</f>
        <v/>
      </c>
      <c r="C54" s="66" t="str">
        <f>IF($M54="","",INDEX(po_ref,$M54)&amp;"")</f>
        <v/>
      </c>
      <c r="D54" s="66" t="str">
        <f>IF($M54="","",INDEX(po_des,$M54)&amp;"")</f>
        <v/>
      </c>
      <c r="E54" s="74" t="str">
        <f>IF($M54="","",N(INDEX(po_qty,$M54)))</f>
        <v/>
      </c>
      <c r="F54" s="74" t="str">
        <f>IF($M54="","",N(INDEX(po_rcv,$M54)))</f>
        <v/>
      </c>
      <c r="G54" s="74" t="str">
        <f>IF($M54="","",INDEX(po_rest,$M54))</f>
        <v/>
      </c>
      <c r="H54" s="73" t="str">
        <f>IF($M54="","",INDEX(po_due,$M54))</f>
        <v/>
      </c>
      <c r="I54" s="75" t="str">
        <f>IF($M54="","",IF(INDEX(po_status,$M54)="En retard",INDEX(po_late,$M54),""))</f>
        <v/>
      </c>
      <c r="J54" s="67" t="str">
        <f>IF($M54="","",INDEX(po_status,$M54)&amp;"")</f>
        <v/>
      </c>
      <c r="K54" s="70" t="str">
        <f>IF($M54="","",INDEX(po_restht,$M54))</f>
        <v/>
      </c>
      <c r="M54" t="str">
        <f>IFERROR(MATCH(SMALL(po_key,49),po_key,0),"")</f>
        <v/>
      </c>
    </row>
    <row r="55">
      <c r="A55" s="126" t="str">
        <f>IF($M55="","",INDEX(po_num,$M55)&amp;"")</f>
        <v/>
      </c>
      <c r="B55" s="66" t="str">
        <f>IF($M55="","",INDEX(po_supname,$M55)&amp;"")</f>
        <v/>
      </c>
      <c r="C55" s="66" t="str">
        <f>IF($M55="","",INDEX(po_ref,$M55)&amp;"")</f>
        <v/>
      </c>
      <c r="D55" s="66" t="str">
        <f>IF($M55="","",INDEX(po_des,$M55)&amp;"")</f>
        <v/>
      </c>
      <c r="E55" s="74" t="str">
        <f>IF($M55="","",N(INDEX(po_qty,$M55)))</f>
        <v/>
      </c>
      <c r="F55" s="74" t="str">
        <f>IF($M55="","",N(INDEX(po_rcv,$M55)))</f>
        <v/>
      </c>
      <c r="G55" s="74" t="str">
        <f>IF($M55="","",INDEX(po_rest,$M55))</f>
        <v/>
      </c>
      <c r="H55" s="73" t="str">
        <f>IF($M55="","",INDEX(po_due,$M55))</f>
        <v/>
      </c>
      <c r="I55" s="75" t="str">
        <f>IF($M55="","",IF(INDEX(po_status,$M55)="En retard",INDEX(po_late,$M55),""))</f>
        <v/>
      </c>
      <c r="J55" s="67" t="str">
        <f>IF($M55="","",INDEX(po_status,$M55)&amp;"")</f>
        <v/>
      </c>
      <c r="K55" s="70" t="str">
        <f>IF($M55="","",INDEX(po_restht,$M55))</f>
        <v/>
      </c>
      <c r="M55" t="str">
        <f>IFERROR(MATCH(SMALL(po_key,50),po_key,0),"")</f>
        <v/>
      </c>
    </row>
    <row r="56">
      <c r="A56" s="126" t="str">
        <f>IF($M56="","",INDEX(po_num,$M56)&amp;"")</f>
        <v/>
      </c>
      <c r="B56" s="66" t="str">
        <f>IF($M56="","",INDEX(po_supname,$M56)&amp;"")</f>
        <v/>
      </c>
      <c r="C56" s="66" t="str">
        <f>IF($M56="","",INDEX(po_ref,$M56)&amp;"")</f>
        <v/>
      </c>
      <c r="D56" s="66" t="str">
        <f>IF($M56="","",INDEX(po_des,$M56)&amp;"")</f>
        <v/>
      </c>
      <c r="E56" s="74" t="str">
        <f>IF($M56="","",N(INDEX(po_qty,$M56)))</f>
        <v/>
      </c>
      <c r="F56" s="74" t="str">
        <f>IF($M56="","",N(INDEX(po_rcv,$M56)))</f>
        <v/>
      </c>
      <c r="G56" s="74" t="str">
        <f>IF($M56="","",INDEX(po_rest,$M56))</f>
        <v/>
      </c>
      <c r="H56" s="73" t="str">
        <f>IF($M56="","",INDEX(po_due,$M56))</f>
        <v/>
      </c>
      <c r="I56" s="75" t="str">
        <f>IF($M56="","",IF(INDEX(po_status,$M56)="En retard",INDEX(po_late,$M56),""))</f>
        <v/>
      </c>
      <c r="J56" s="67" t="str">
        <f>IF($M56="","",INDEX(po_status,$M56)&amp;"")</f>
        <v/>
      </c>
      <c r="K56" s="70" t="str">
        <f>IF($M56="","",INDEX(po_restht,$M56))</f>
        <v/>
      </c>
      <c r="M56" t="str">
        <f>IFERROR(MATCH(SMALL(po_key,51),po_key,0),"")</f>
        <v/>
      </c>
    </row>
    <row r="57">
      <c r="A57" s="126" t="str">
        <f>IF($M57="","",INDEX(po_num,$M57)&amp;"")</f>
        <v/>
      </c>
      <c r="B57" s="66" t="str">
        <f>IF($M57="","",INDEX(po_supname,$M57)&amp;"")</f>
        <v/>
      </c>
      <c r="C57" s="66" t="str">
        <f>IF($M57="","",INDEX(po_ref,$M57)&amp;"")</f>
        <v/>
      </c>
      <c r="D57" s="66" t="str">
        <f>IF($M57="","",INDEX(po_des,$M57)&amp;"")</f>
        <v/>
      </c>
      <c r="E57" s="74" t="str">
        <f>IF($M57="","",N(INDEX(po_qty,$M57)))</f>
        <v/>
      </c>
      <c r="F57" s="74" t="str">
        <f>IF($M57="","",N(INDEX(po_rcv,$M57)))</f>
        <v/>
      </c>
      <c r="G57" s="74" t="str">
        <f>IF($M57="","",INDEX(po_rest,$M57))</f>
        <v/>
      </c>
      <c r="H57" s="73" t="str">
        <f>IF($M57="","",INDEX(po_due,$M57))</f>
        <v/>
      </c>
      <c r="I57" s="75" t="str">
        <f>IF($M57="","",IF(INDEX(po_status,$M57)="En retard",INDEX(po_late,$M57),""))</f>
        <v/>
      </c>
      <c r="J57" s="67" t="str">
        <f>IF($M57="","",INDEX(po_status,$M57)&amp;"")</f>
        <v/>
      </c>
      <c r="K57" s="70" t="str">
        <f>IF($M57="","",INDEX(po_restht,$M57))</f>
        <v/>
      </c>
      <c r="M57" t="str">
        <f>IFERROR(MATCH(SMALL(po_key,52),po_key,0),"")</f>
        <v/>
      </c>
    </row>
    <row r="58">
      <c r="A58" s="126" t="str">
        <f>IF($M58="","",INDEX(po_num,$M58)&amp;"")</f>
        <v/>
      </c>
      <c r="B58" s="66" t="str">
        <f>IF($M58="","",INDEX(po_supname,$M58)&amp;"")</f>
        <v/>
      </c>
      <c r="C58" s="66" t="str">
        <f>IF($M58="","",INDEX(po_ref,$M58)&amp;"")</f>
        <v/>
      </c>
      <c r="D58" s="66" t="str">
        <f>IF($M58="","",INDEX(po_des,$M58)&amp;"")</f>
        <v/>
      </c>
      <c r="E58" s="74" t="str">
        <f>IF($M58="","",N(INDEX(po_qty,$M58)))</f>
        <v/>
      </c>
      <c r="F58" s="74" t="str">
        <f>IF($M58="","",N(INDEX(po_rcv,$M58)))</f>
        <v/>
      </c>
      <c r="G58" s="74" t="str">
        <f>IF($M58="","",INDEX(po_rest,$M58))</f>
        <v/>
      </c>
      <c r="H58" s="73" t="str">
        <f>IF($M58="","",INDEX(po_due,$M58))</f>
        <v/>
      </c>
      <c r="I58" s="75" t="str">
        <f>IF($M58="","",IF(INDEX(po_status,$M58)="En retard",INDEX(po_late,$M58),""))</f>
        <v/>
      </c>
      <c r="J58" s="67" t="str">
        <f>IF($M58="","",INDEX(po_status,$M58)&amp;"")</f>
        <v/>
      </c>
      <c r="K58" s="70" t="str">
        <f>IF($M58="","",INDEX(po_restht,$M58))</f>
        <v/>
      </c>
      <c r="M58" t="str">
        <f>IFERROR(MATCH(SMALL(po_key,53),po_key,0),"")</f>
        <v/>
      </c>
    </row>
    <row r="59">
      <c r="A59" s="126" t="str">
        <f>IF($M59="","",INDEX(po_num,$M59)&amp;"")</f>
        <v/>
      </c>
      <c r="B59" s="66" t="str">
        <f>IF($M59="","",INDEX(po_supname,$M59)&amp;"")</f>
        <v/>
      </c>
      <c r="C59" s="66" t="str">
        <f>IF($M59="","",INDEX(po_ref,$M59)&amp;"")</f>
        <v/>
      </c>
      <c r="D59" s="66" t="str">
        <f>IF($M59="","",INDEX(po_des,$M59)&amp;"")</f>
        <v/>
      </c>
      <c r="E59" s="74" t="str">
        <f>IF($M59="","",N(INDEX(po_qty,$M59)))</f>
        <v/>
      </c>
      <c r="F59" s="74" t="str">
        <f>IF($M59="","",N(INDEX(po_rcv,$M59)))</f>
        <v/>
      </c>
      <c r="G59" s="74" t="str">
        <f>IF($M59="","",INDEX(po_rest,$M59))</f>
        <v/>
      </c>
      <c r="H59" s="73" t="str">
        <f>IF($M59="","",INDEX(po_due,$M59))</f>
        <v/>
      </c>
      <c r="I59" s="75" t="str">
        <f>IF($M59="","",IF(INDEX(po_status,$M59)="En retard",INDEX(po_late,$M59),""))</f>
        <v/>
      </c>
      <c r="J59" s="67" t="str">
        <f>IF($M59="","",INDEX(po_status,$M59)&amp;"")</f>
        <v/>
      </c>
      <c r="K59" s="70" t="str">
        <f>IF($M59="","",INDEX(po_restht,$M59))</f>
        <v/>
      </c>
      <c r="M59" t="str">
        <f>IFERROR(MATCH(SMALL(po_key,54),po_key,0),"")</f>
        <v/>
      </c>
    </row>
    <row r="60">
      <c r="A60" s="126" t="str">
        <f>IF($M60="","",INDEX(po_num,$M60)&amp;"")</f>
        <v/>
      </c>
      <c r="B60" s="66" t="str">
        <f>IF($M60="","",INDEX(po_supname,$M60)&amp;"")</f>
        <v/>
      </c>
      <c r="C60" s="66" t="str">
        <f>IF($M60="","",INDEX(po_ref,$M60)&amp;"")</f>
        <v/>
      </c>
      <c r="D60" s="66" t="str">
        <f>IF($M60="","",INDEX(po_des,$M60)&amp;"")</f>
        <v/>
      </c>
      <c r="E60" s="74" t="str">
        <f>IF($M60="","",N(INDEX(po_qty,$M60)))</f>
        <v/>
      </c>
      <c r="F60" s="74" t="str">
        <f>IF($M60="","",N(INDEX(po_rcv,$M60)))</f>
        <v/>
      </c>
      <c r="G60" s="74" t="str">
        <f>IF($M60="","",INDEX(po_rest,$M60))</f>
        <v/>
      </c>
      <c r="H60" s="73" t="str">
        <f>IF($M60="","",INDEX(po_due,$M60))</f>
        <v/>
      </c>
      <c r="I60" s="75" t="str">
        <f>IF($M60="","",IF(INDEX(po_status,$M60)="En retard",INDEX(po_late,$M60),""))</f>
        <v/>
      </c>
      <c r="J60" s="67" t="str">
        <f>IF($M60="","",INDEX(po_status,$M60)&amp;"")</f>
        <v/>
      </c>
      <c r="K60" s="70" t="str">
        <f>IF($M60="","",INDEX(po_restht,$M60))</f>
        <v/>
      </c>
      <c r="M60" t="str">
        <f>IFERROR(MATCH(SMALL(po_key,55),po_key,0),"")</f>
        <v/>
      </c>
    </row>
    <row r="61">
      <c r="A61" s="126" t="str">
        <f>IF($M61="","",INDEX(po_num,$M61)&amp;"")</f>
        <v/>
      </c>
      <c r="B61" s="66" t="str">
        <f>IF($M61="","",INDEX(po_supname,$M61)&amp;"")</f>
        <v/>
      </c>
      <c r="C61" s="66" t="str">
        <f>IF($M61="","",INDEX(po_ref,$M61)&amp;"")</f>
        <v/>
      </c>
      <c r="D61" s="66" t="str">
        <f>IF($M61="","",INDEX(po_des,$M61)&amp;"")</f>
        <v/>
      </c>
      <c r="E61" s="74" t="str">
        <f>IF($M61="","",N(INDEX(po_qty,$M61)))</f>
        <v/>
      </c>
      <c r="F61" s="74" t="str">
        <f>IF($M61="","",N(INDEX(po_rcv,$M61)))</f>
        <v/>
      </c>
      <c r="G61" s="74" t="str">
        <f>IF($M61="","",INDEX(po_rest,$M61))</f>
        <v/>
      </c>
      <c r="H61" s="73" t="str">
        <f>IF($M61="","",INDEX(po_due,$M61))</f>
        <v/>
      </c>
      <c r="I61" s="75" t="str">
        <f>IF($M61="","",IF(INDEX(po_status,$M61)="En retard",INDEX(po_late,$M61),""))</f>
        <v/>
      </c>
      <c r="J61" s="67" t="str">
        <f>IF($M61="","",INDEX(po_status,$M61)&amp;"")</f>
        <v/>
      </c>
      <c r="K61" s="70" t="str">
        <f>IF($M61="","",INDEX(po_restht,$M61))</f>
        <v/>
      </c>
      <c r="M61" t="str">
        <f>IFERROR(MATCH(SMALL(po_key,56),po_key,0),"")</f>
        <v/>
      </c>
    </row>
    <row r="62">
      <c r="A62" s="126" t="str">
        <f>IF($M62="","",INDEX(po_num,$M62)&amp;"")</f>
        <v/>
      </c>
      <c r="B62" s="66" t="str">
        <f>IF($M62="","",INDEX(po_supname,$M62)&amp;"")</f>
        <v/>
      </c>
      <c r="C62" s="66" t="str">
        <f>IF($M62="","",INDEX(po_ref,$M62)&amp;"")</f>
        <v/>
      </c>
      <c r="D62" s="66" t="str">
        <f>IF($M62="","",INDEX(po_des,$M62)&amp;"")</f>
        <v/>
      </c>
      <c r="E62" s="74" t="str">
        <f>IF($M62="","",N(INDEX(po_qty,$M62)))</f>
        <v/>
      </c>
      <c r="F62" s="74" t="str">
        <f>IF($M62="","",N(INDEX(po_rcv,$M62)))</f>
        <v/>
      </c>
      <c r="G62" s="74" t="str">
        <f>IF($M62="","",INDEX(po_rest,$M62))</f>
        <v/>
      </c>
      <c r="H62" s="73" t="str">
        <f>IF($M62="","",INDEX(po_due,$M62))</f>
        <v/>
      </c>
      <c r="I62" s="75" t="str">
        <f>IF($M62="","",IF(INDEX(po_status,$M62)="En retard",INDEX(po_late,$M62),""))</f>
        <v/>
      </c>
      <c r="J62" s="67" t="str">
        <f>IF($M62="","",INDEX(po_status,$M62)&amp;"")</f>
        <v/>
      </c>
      <c r="K62" s="70" t="str">
        <f>IF($M62="","",INDEX(po_restht,$M62))</f>
        <v/>
      </c>
      <c r="M62" t="str">
        <f>IFERROR(MATCH(SMALL(po_key,57),po_key,0),"")</f>
        <v/>
      </c>
    </row>
    <row r="63">
      <c r="A63" s="126" t="str">
        <f>IF($M63="","",INDEX(po_num,$M63)&amp;"")</f>
        <v/>
      </c>
      <c r="B63" s="66" t="str">
        <f>IF($M63="","",INDEX(po_supname,$M63)&amp;"")</f>
        <v/>
      </c>
      <c r="C63" s="66" t="str">
        <f>IF($M63="","",INDEX(po_ref,$M63)&amp;"")</f>
        <v/>
      </c>
      <c r="D63" s="66" t="str">
        <f>IF($M63="","",INDEX(po_des,$M63)&amp;"")</f>
        <v/>
      </c>
      <c r="E63" s="74" t="str">
        <f>IF($M63="","",N(INDEX(po_qty,$M63)))</f>
        <v/>
      </c>
      <c r="F63" s="74" t="str">
        <f>IF($M63="","",N(INDEX(po_rcv,$M63)))</f>
        <v/>
      </c>
      <c r="G63" s="74" t="str">
        <f>IF($M63="","",INDEX(po_rest,$M63))</f>
        <v/>
      </c>
      <c r="H63" s="73" t="str">
        <f>IF($M63="","",INDEX(po_due,$M63))</f>
        <v/>
      </c>
      <c r="I63" s="75" t="str">
        <f>IF($M63="","",IF(INDEX(po_status,$M63)="En retard",INDEX(po_late,$M63),""))</f>
        <v/>
      </c>
      <c r="J63" s="67" t="str">
        <f>IF($M63="","",INDEX(po_status,$M63)&amp;"")</f>
        <v/>
      </c>
      <c r="K63" s="70" t="str">
        <f>IF($M63="","",INDEX(po_restht,$M63))</f>
        <v/>
      </c>
      <c r="M63" t="str">
        <f>IFERROR(MATCH(SMALL(po_key,58),po_key,0),"")</f>
        <v/>
      </c>
    </row>
    <row r="64">
      <c r="A64" s="126" t="str">
        <f>IF($M64="","",INDEX(po_num,$M64)&amp;"")</f>
        <v/>
      </c>
      <c r="B64" s="66" t="str">
        <f>IF($M64="","",INDEX(po_supname,$M64)&amp;"")</f>
        <v/>
      </c>
      <c r="C64" s="66" t="str">
        <f>IF($M64="","",INDEX(po_ref,$M64)&amp;"")</f>
        <v/>
      </c>
      <c r="D64" s="66" t="str">
        <f>IF($M64="","",INDEX(po_des,$M64)&amp;"")</f>
        <v/>
      </c>
      <c r="E64" s="74" t="str">
        <f>IF($M64="","",N(INDEX(po_qty,$M64)))</f>
        <v/>
      </c>
      <c r="F64" s="74" t="str">
        <f>IF($M64="","",N(INDEX(po_rcv,$M64)))</f>
        <v/>
      </c>
      <c r="G64" s="74" t="str">
        <f>IF($M64="","",INDEX(po_rest,$M64))</f>
        <v/>
      </c>
      <c r="H64" s="73" t="str">
        <f>IF($M64="","",INDEX(po_due,$M64))</f>
        <v/>
      </c>
      <c r="I64" s="75" t="str">
        <f>IF($M64="","",IF(INDEX(po_status,$M64)="En retard",INDEX(po_late,$M64),""))</f>
        <v/>
      </c>
      <c r="J64" s="67" t="str">
        <f>IF($M64="","",INDEX(po_status,$M64)&amp;"")</f>
        <v/>
      </c>
      <c r="K64" s="70" t="str">
        <f>IF($M64="","",INDEX(po_restht,$M64))</f>
        <v/>
      </c>
      <c r="M64" t="str">
        <f>IFERROR(MATCH(SMALL(po_key,59),po_key,0),"")</f>
        <v/>
      </c>
    </row>
    <row r="65">
      <c r="A65" s="126" t="str">
        <f>IF($M65="","",INDEX(po_num,$M65)&amp;"")</f>
        <v/>
      </c>
      <c r="B65" s="66" t="str">
        <f>IF($M65="","",INDEX(po_supname,$M65)&amp;"")</f>
        <v/>
      </c>
      <c r="C65" s="66" t="str">
        <f>IF($M65="","",INDEX(po_ref,$M65)&amp;"")</f>
        <v/>
      </c>
      <c r="D65" s="66" t="str">
        <f>IF($M65="","",INDEX(po_des,$M65)&amp;"")</f>
        <v/>
      </c>
      <c r="E65" s="74" t="str">
        <f>IF($M65="","",N(INDEX(po_qty,$M65)))</f>
        <v/>
      </c>
      <c r="F65" s="74" t="str">
        <f>IF($M65="","",N(INDEX(po_rcv,$M65)))</f>
        <v/>
      </c>
      <c r="G65" s="74" t="str">
        <f>IF($M65="","",INDEX(po_rest,$M65))</f>
        <v/>
      </c>
      <c r="H65" s="73" t="str">
        <f>IF($M65="","",INDEX(po_due,$M65))</f>
        <v/>
      </c>
      <c r="I65" s="75" t="str">
        <f>IF($M65="","",IF(INDEX(po_status,$M65)="En retard",INDEX(po_late,$M65),""))</f>
        <v/>
      </c>
      <c r="J65" s="67" t="str">
        <f>IF($M65="","",INDEX(po_status,$M65)&amp;"")</f>
        <v/>
      </c>
      <c r="K65" s="70" t="str">
        <f>IF($M65="","",INDEX(po_restht,$M65))</f>
        <v/>
      </c>
      <c r="M65" t="str">
        <f>IFERROR(MATCH(SMALL(po_key,60),po_key,0),"")</f>
        <v/>
      </c>
    </row>
    <row r="66">
      <c r="A66" s="126" t="str">
        <f>IF($M66="","",INDEX(po_num,$M66)&amp;"")</f>
        <v/>
      </c>
      <c r="B66" s="66" t="str">
        <f>IF($M66="","",INDEX(po_supname,$M66)&amp;"")</f>
        <v/>
      </c>
      <c r="C66" s="66" t="str">
        <f>IF($M66="","",INDEX(po_ref,$M66)&amp;"")</f>
        <v/>
      </c>
      <c r="D66" s="66" t="str">
        <f>IF($M66="","",INDEX(po_des,$M66)&amp;"")</f>
        <v/>
      </c>
      <c r="E66" s="74" t="str">
        <f>IF($M66="","",N(INDEX(po_qty,$M66)))</f>
        <v/>
      </c>
      <c r="F66" s="74" t="str">
        <f>IF($M66="","",N(INDEX(po_rcv,$M66)))</f>
        <v/>
      </c>
      <c r="G66" s="74" t="str">
        <f>IF($M66="","",INDEX(po_rest,$M66))</f>
        <v/>
      </c>
      <c r="H66" s="73" t="str">
        <f>IF($M66="","",INDEX(po_due,$M66))</f>
        <v/>
      </c>
      <c r="I66" s="75" t="str">
        <f>IF($M66="","",IF(INDEX(po_status,$M66)="En retard",INDEX(po_late,$M66),""))</f>
        <v/>
      </c>
      <c r="J66" s="67" t="str">
        <f>IF($M66="","",INDEX(po_status,$M66)&amp;"")</f>
        <v/>
      </c>
      <c r="K66" s="70" t="str">
        <f>IF($M66="","",INDEX(po_restht,$M66))</f>
        <v/>
      </c>
      <c r="M66" t="str">
        <f>IFERROR(MATCH(SMALL(po_key,61),po_key,0),"")</f>
        <v/>
      </c>
    </row>
    <row r="67">
      <c r="A67" s="126" t="str">
        <f>IF($M67="","",INDEX(po_num,$M67)&amp;"")</f>
        <v/>
      </c>
      <c r="B67" s="66" t="str">
        <f>IF($M67="","",INDEX(po_supname,$M67)&amp;"")</f>
        <v/>
      </c>
      <c r="C67" s="66" t="str">
        <f>IF($M67="","",INDEX(po_ref,$M67)&amp;"")</f>
        <v/>
      </c>
      <c r="D67" s="66" t="str">
        <f>IF($M67="","",INDEX(po_des,$M67)&amp;"")</f>
        <v/>
      </c>
      <c r="E67" s="74" t="str">
        <f>IF($M67="","",N(INDEX(po_qty,$M67)))</f>
        <v/>
      </c>
      <c r="F67" s="74" t="str">
        <f>IF($M67="","",N(INDEX(po_rcv,$M67)))</f>
        <v/>
      </c>
      <c r="G67" s="74" t="str">
        <f>IF($M67="","",INDEX(po_rest,$M67))</f>
        <v/>
      </c>
      <c r="H67" s="73" t="str">
        <f>IF($M67="","",INDEX(po_due,$M67))</f>
        <v/>
      </c>
      <c r="I67" s="75" t="str">
        <f>IF($M67="","",IF(INDEX(po_status,$M67)="En retard",INDEX(po_late,$M67),""))</f>
        <v/>
      </c>
      <c r="J67" s="67" t="str">
        <f>IF($M67="","",INDEX(po_status,$M67)&amp;"")</f>
        <v/>
      </c>
      <c r="K67" s="70" t="str">
        <f>IF($M67="","",INDEX(po_restht,$M67))</f>
        <v/>
      </c>
      <c r="M67" t="str">
        <f>IFERROR(MATCH(SMALL(po_key,62),po_key,0),"")</f>
        <v/>
      </c>
    </row>
    <row r="68">
      <c r="A68" s="126" t="str">
        <f>IF($M68="","",INDEX(po_num,$M68)&amp;"")</f>
        <v/>
      </c>
      <c r="B68" s="66" t="str">
        <f>IF($M68="","",INDEX(po_supname,$M68)&amp;"")</f>
        <v/>
      </c>
      <c r="C68" s="66" t="str">
        <f>IF($M68="","",INDEX(po_ref,$M68)&amp;"")</f>
        <v/>
      </c>
      <c r="D68" s="66" t="str">
        <f>IF($M68="","",INDEX(po_des,$M68)&amp;"")</f>
        <v/>
      </c>
      <c r="E68" s="74" t="str">
        <f>IF($M68="","",N(INDEX(po_qty,$M68)))</f>
        <v/>
      </c>
      <c r="F68" s="74" t="str">
        <f>IF($M68="","",N(INDEX(po_rcv,$M68)))</f>
        <v/>
      </c>
      <c r="G68" s="74" t="str">
        <f>IF($M68="","",INDEX(po_rest,$M68))</f>
        <v/>
      </c>
      <c r="H68" s="73" t="str">
        <f>IF($M68="","",INDEX(po_due,$M68))</f>
        <v/>
      </c>
      <c r="I68" s="75" t="str">
        <f>IF($M68="","",IF(INDEX(po_status,$M68)="En retard",INDEX(po_late,$M68),""))</f>
        <v/>
      </c>
      <c r="J68" s="67" t="str">
        <f>IF($M68="","",INDEX(po_status,$M68)&amp;"")</f>
        <v/>
      </c>
      <c r="K68" s="70" t="str">
        <f>IF($M68="","",INDEX(po_restht,$M68))</f>
        <v/>
      </c>
      <c r="M68" t="str">
        <f>IFERROR(MATCH(SMALL(po_key,63),po_key,0),"")</f>
        <v/>
      </c>
    </row>
    <row r="69">
      <c r="A69" s="126" t="str">
        <f>IF($M69="","",INDEX(po_num,$M69)&amp;"")</f>
        <v/>
      </c>
      <c r="B69" s="66" t="str">
        <f>IF($M69="","",INDEX(po_supname,$M69)&amp;"")</f>
        <v/>
      </c>
      <c r="C69" s="66" t="str">
        <f>IF($M69="","",INDEX(po_ref,$M69)&amp;"")</f>
        <v/>
      </c>
      <c r="D69" s="66" t="str">
        <f>IF($M69="","",INDEX(po_des,$M69)&amp;"")</f>
        <v/>
      </c>
      <c r="E69" s="74" t="str">
        <f>IF($M69="","",N(INDEX(po_qty,$M69)))</f>
        <v/>
      </c>
      <c r="F69" s="74" t="str">
        <f>IF($M69="","",N(INDEX(po_rcv,$M69)))</f>
        <v/>
      </c>
      <c r="G69" s="74" t="str">
        <f>IF($M69="","",INDEX(po_rest,$M69))</f>
        <v/>
      </c>
      <c r="H69" s="73" t="str">
        <f>IF($M69="","",INDEX(po_due,$M69))</f>
        <v/>
      </c>
      <c r="I69" s="75" t="str">
        <f>IF($M69="","",IF(INDEX(po_status,$M69)="En retard",INDEX(po_late,$M69),""))</f>
        <v/>
      </c>
      <c r="J69" s="67" t="str">
        <f>IF($M69="","",INDEX(po_status,$M69)&amp;"")</f>
        <v/>
      </c>
      <c r="K69" s="70" t="str">
        <f>IF($M69="","",INDEX(po_restht,$M69))</f>
        <v/>
      </c>
      <c r="M69" t="str">
        <f>IFERROR(MATCH(SMALL(po_key,64),po_key,0),"")</f>
        <v/>
      </c>
    </row>
    <row r="70">
      <c r="A70" s="126" t="str">
        <f>IF($M70="","",INDEX(po_num,$M70)&amp;"")</f>
        <v/>
      </c>
      <c r="B70" s="66" t="str">
        <f>IF($M70="","",INDEX(po_supname,$M70)&amp;"")</f>
        <v/>
      </c>
      <c r="C70" s="66" t="str">
        <f>IF($M70="","",INDEX(po_ref,$M70)&amp;"")</f>
        <v/>
      </c>
      <c r="D70" s="66" t="str">
        <f>IF($M70="","",INDEX(po_des,$M70)&amp;"")</f>
        <v/>
      </c>
      <c r="E70" s="74" t="str">
        <f>IF($M70="","",N(INDEX(po_qty,$M70)))</f>
        <v/>
      </c>
      <c r="F70" s="74" t="str">
        <f>IF($M70="","",N(INDEX(po_rcv,$M70)))</f>
        <v/>
      </c>
      <c r="G70" s="74" t="str">
        <f>IF($M70="","",INDEX(po_rest,$M70))</f>
        <v/>
      </c>
      <c r="H70" s="73" t="str">
        <f>IF($M70="","",INDEX(po_due,$M70))</f>
        <v/>
      </c>
      <c r="I70" s="75" t="str">
        <f>IF($M70="","",IF(INDEX(po_status,$M70)="En retard",INDEX(po_late,$M70),""))</f>
        <v/>
      </c>
      <c r="J70" s="67" t="str">
        <f>IF($M70="","",INDEX(po_status,$M70)&amp;"")</f>
        <v/>
      </c>
      <c r="K70" s="70" t="str">
        <f>IF($M70="","",INDEX(po_restht,$M70))</f>
        <v/>
      </c>
      <c r="M70" t="str">
        <f>IFERROR(MATCH(SMALL(po_key,65),po_key,0),"")</f>
        <v/>
      </c>
    </row>
    <row r="71">
      <c r="A71" s="126" t="str">
        <f>IF($M71="","",INDEX(po_num,$M71)&amp;"")</f>
        <v/>
      </c>
      <c r="B71" s="66" t="str">
        <f>IF($M71="","",INDEX(po_supname,$M71)&amp;"")</f>
        <v/>
      </c>
      <c r="C71" s="66" t="str">
        <f>IF($M71="","",INDEX(po_ref,$M71)&amp;"")</f>
        <v/>
      </c>
      <c r="D71" s="66" t="str">
        <f>IF($M71="","",INDEX(po_des,$M71)&amp;"")</f>
        <v/>
      </c>
      <c r="E71" s="74" t="str">
        <f>IF($M71="","",N(INDEX(po_qty,$M71)))</f>
        <v/>
      </c>
      <c r="F71" s="74" t="str">
        <f>IF($M71="","",N(INDEX(po_rcv,$M71)))</f>
        <v/>
      </c>
      <c r="G71" s="74" t="str">
        <f>IF($M71="","",INDEX(po_rest,$M71))</f>
        <v/>
      </c>
      <c r="H71" s="73" t="str">
        <f>IF($M71="","",INDEX(po_due,$M71))</f>
        <v/>
      </c>
      <c r="I71" s="75" t="str">
        <f>IF($M71="","",IF(INDEX(po_status,$M71)="En retard",INDEX(po_late,$M71),""))</f>
        <v/>
      </c>
      <c r="J71" s="67" t="str">
        <f>IF($M71="","",INDEX(po_status,$M71)&amp;"")</f>
        <v/>
      </c>
      <c r="K71" s="70" t="str">
        <f>IF($M71="","",INDEX(po_restht,$M71))</f>
        <v/>
      </c>
      <c r="M71" t="str">
        <f>IFERROR(MATCH(SMALL(po_key,66),po_key,0),"")</f>
        <v/>
      </c>
    </row>
    <row r="72">
      <c r="A72" s="126" t="str">
        <f>IF($M72="","",INDEX(po_num,$M72)&amp;"")</f>
        <v/>
      </c>
      <c r="B72" s="66" t="str">
        <f>IF($M72="","",INDEX(po_supname,$M72)&amp;"")</f>
        <v/>
      </c>
      <c r="C72" s="66" t="str">
        <f>IF($M72="","",INDEX(po_ref,$M72)&amp;"")</f>
        <v/>
      </c>
      <c r="D72" s="66" t="str">
        <f>IF($M72="","",INDEX(po_des,$M72)&amp;"")</f>
        <v/>
      </c>
      <c r="E72" s="74" t="str">
        <f>IF($M72="","",N(INDEX(po_qty,$M72)))</f>
        <v/>
      </c>
      <c r="F72" s="74" t="str">
        <f>IF($M72="","",N(INDEX(po_rcv,$M72)))</f>
        <v/>
      </c>
      <c r="G72" s="74" t="str">
        <f>IF($M72="","",INDEX(po_rest,$M72))</f>
        <v/>
      </c>
      <c r="H72" s="73" t="str">
        <f>IF($M72="","",INDEX(po_due,$M72))</f>
        <v/>
      </c>
      <c r="I72" s="75" t="str">
        <f>IF($M72="","",IF(INDEX(po_status,$M72)="En retard",INDEX(po_late,$M72),""))</f>
        <v/>
      </c>
      <c r="J72" s="67" t="str">
        <f>IF($M72="","",INDEX(po_status,$M72)&amp;"")</f>
        <v/>
      </c>
      <c r="K72" s="70" t="str">
        <f>IF($M72="","",INDEX(po_restht,$M72))</f>
        <v/>
      </c>
      <c r="M72" t="str">
        <f>IFERROR(MATCH(SMALL(po_key,67),po_key,0),"")</f>
        <v/>
      </c>
    </row>
    <row r="73">
      <c r="A73" s="126" t="str">
        <f>IF($M73="","",INDEX(po_num,$M73)&amp;"")</f>
        <v/>
      </c>
      <c r="B73" s="66" t="str">
        <f>IF($M73="","",INDEX(po_supname,$M73)&amp;"")</f>
        <v/>
      </c>
      <c r="C73" s="66" t="str">
        <f>IF($M73="","",INDEX(po_ref,$M73)&amp;"")</f>
        <v/>
      </c>
      <c r="D73" s="66" t="str">
        <f>IF($M73="","",INDEX(po_des,$M73)&amp;"")</f>
        <v/>
      </c>
      <c r="E73" s="74" t="str">
        <f>IF($M73="","",N(INDEX(po_qty,$M73)))</f>
        <v/>
      </c>
      <c r="F73" s="74" t="str">
        <f>IF($M73="","",N(INDEX(po_rcv,$M73)))</f>
        <v/>
      </c>
      <c r="G73" s="74" t="str">
        <f>IF($M73="","",INDEX(po_rest,$M73))</f>
        <v/>
      </c>
      <c r="H73" s="73" t="str">
        <f>IF($M73="","",INDEX(po_due,$M73))</f>
        <v/>
      </c>
      <c r="I73" s="75" t="str">
        <f>IF($M73="","",IF(INDEX(po_status,$M73)="En retard",INDEX(po_late,$M73),""))</f>
        <v/>
      </c>
      <c r="J73" s="67" t="str">
        <f>IF($M73="","",INDEX(po_status,$M73)&amp;"")</f>
        <v/>
      </c>
      <c r="K73" s="70" t="str">
        <f>IF($M73="","",INDEX(po_restht,$M73))</f>
        <v/>
      </c>
      <c r="M73" t="str">
        <f>IFERROR(MATCH(SMALL(po_key,68),po_key,0),"")</f>
        <v/>
      </c>
    </row>
    <row r="74">
      <c r="A74" s="126" t="str">
        <f>IF($M74="","",INDEX(po_num,$M74)&amp;"")</f>
        <v/>
      </c>
      <c r="B74" s="66" t="str">
        <f>IF($M74="","",INDEX(po_supname,$M74)&amp;"")</f>
        <v/>
      </c>
      <c r="C74" s="66" t="str">
        <f>IF($M74="","",INDEX(po_ref,$M74)&amp;"")</f>
        <v/>
      </c>
      <c r="D74" s="66" t="str">
        <f>IF($M74="","",INDEX(po_des,$M74)&amp;"")</f>
        <v/>
      </c>
      <c r="E74" s="74" t="str">
        <f>IF($M74="","",N(INDEX(po_qty,$M74)))</f>
        <v/>
      </c>
      <c r="F74" s="74" t="str">
        <f>IF($M74="","",N(INDEX(po_rcv,$M74)))</f>
        <v/>
      </c>
      <c r="G74" s="74" t="str">
        <f>IF($M74="","",INDEX(po_rest,$M74))</f>
        <v/>
      </c>
      <c r="H74" s="73" t="str">
        <f>IF($M74="","",INDEX(po_due,$M74))</f>
        <v/>
      </c>
      <c r="I74" s="75" t="str">
        <f>IF($M74="","",IF(INDEX(po_status,$M74)="En retard",INDEX(po_late,$M74),""))</f>
        <v/>
      </c>
      <c r="J74" s="67" t="str">
        <f>IF($M74="","",INDEX(po_status,$M74)&amp;"")</f>
        <v/>
      </c>
      <c r="K74" s="70" t="str">
        <f>IF($M74="","",INDEX(po_restht,$M74))</f>
        <v/>
      </c>
      <c r="M74" t="str">
        <f>IFERROR(MATCH(SMALL(po_key,69),po_key,0),"")</f>
        <v/>
      </c>
    </row>
    <row r="75">
      <c r="A75" s="126" t="str">
        <f>IF($M75="","",INDEX(po_num,$M75)&amp;"")</f>
        <v/>
      </c>
      <c r="B75" s="66" t="str">
        <f>IF($M75="","",INDEX(po_supname,$M75)&amp;"")</f>
        <v/>
      </c>
      <c r="C75" s="66" t="str">
        <f>IF($M75="","",INDEX(po_ref,$M75)&amp;"")</f>
        <v/>
      </c>
      <c r="D75" s="66" t="str">
        <f>IF($M75="","",INDEX(po_des,$M75)&amp;"")</f>
        <v/>
      </c>
      <c r="E75" s="74" t="str">
        <f>IF($M75="","",N(INDEX(po_qty,$M75)))</f>
        <v/>
      </c>
      <c r="F75" s="74" t="str">
        <f>IF($M75="","",N(INDEX(po_rcv,$M75)))</f>
        <v/>
      </c>
      <c r="G75" s="74" t="str">
        <f>IF($M75="","",INDEX(po_rest,$M75))</f>
        <v/>
      </c>
      <c r="H75" s="73" t="str">
        <f>IF($M75="","",INDEX(po_due,$M75))</f>
        <v/>
      </c>
      <c r="I75" s="75" t="str">
        <f>IF($M75="","",IF(INDEX(po_status,$M75)="En retard",INDEX(po_late,$M75),""))</f>
        <v/>
      </c>
      <c r="J75" s="67" t="str">
        <f>IF($M75="","",INDEX(po_status,$M75)&amp;"")</f>
        <v/>
      </c>
      <c r="K75" s="70" t="str">
        <f>IF($M75="","",INDEX(po_restht,$M75))</f>
        <v/>
      </c>
      <c r="M75" t="str">
        <f>IFERROR(MATCH(SMALL(po_key,70),po_key,0),"")</f>
        <v/>
      </c>
    </row>
    <row r="76">
      <c r="A76" s="126" t="str">
        <f>IF($M76="","",INDEX(po_num,$M76)&amp;"")</f>
        <v/>
      </c>
      <c r="B76" s="66" t="str">
        <f>IF($M76="","",INDEX(po_supname,$M76)&amp;"")</f>
        <v/>
      </c>
      <c r="C76" s="66" t="str">
        <f>IF($M76="","",INDEX(po_ref,$M76)&amp;"")</f>
        <v/>
      </c>
      <c r="D76" s="66" t="str">
        <f>IF($M76="","",INDEX(po_des,$M76)&amp;"")</f>
        <v/>
      </c>
      <c r="E76" s="74" t="str">
        <f>IF($M76="","",N(INDEX(po_qty,$M76)))</f>
        <v/>
      </c>
      <c r="F76" s="74" t="str">
        <f>IF($M76="","",N(INDEX(po_rcv,$M76)))</f>
        <v/>
      </c>
      <c r="G76" s="74" t="str">
        <f>IF($M76="","",INDEX(po_rest,$M76))</f>
        <v/>
      </c>
      <c r="H76" s="73" t="str">
        <f>IF($M76="","",INDEX(po_due,$M76))</f>
        <v/>
      </c>
      <c r="I76" s="75" t="str">
        <f>IF($M76="","",IF(INDEX(po_status,$M76)="En retard",INDEX(po_late,$M76),""))</f>
        <v/>
      </c>
      <c r="J76" s="67" t="str">
        <f>IF($M76="","",INDEX(po_status,$M76)&amp;"")</f>
        <v/>
      </c>
      <c r="K76" s="70" t="str">
        <f>IF($M76="","",INDEX(po_restht,$M76))</f>
        <v/>
      </c>
      <c r="M76" t="str">
        <f>IFERROR(MATCH(SMALL(po_key,71),po_key,0),"")</f>
        <v/>
      </c>
    </row>
    <row r="77">
      <c r="A77" s="126" t="str">
        <f>IF($M77="","",INDEX(po_num,$M77)&amp;"")</f>
        <v/>
      </c>
      <c r="B77" s="66" t="str">
        <f>IF($M77="","",INDEX(po_supname,$M77)&amp;"")</f>
        <v/>
      </c>
      <c r="C77" s="66" t="str">
        <f>IF($M77="","",INDEX(po_ref,$M77)&amp;"")</f>
        <v/>
      </c>
      <c r="D77" s="66" t="str">
        <f>IF($M77="","",INDEX(po_des,$M77)&amp;"")</f>
        <v/>
      </c>
      <c r="E77" s="74" t="str">
        <f>IF($M77="","",N(INDEX(po_qty,$M77)))</f>
        <v/>
      </c>
      <c r="F77" s="74" t="str">
        <f>IF($M77="","",N(INDEX(po_rcv,$M77)))</f>
        <v/>
      </c>
      <c r="G77" s="74" t="str">
        <f>IF($M77="","",INDEX(po_rest,$M77))</f>
        <v/>
      </c>
      <c r="H77" s="73" t="str">
        <f>IF($M77="","",INDEX(po_due,$M77))</f>
        <v/>
      </c>
      <c r="I77" s="75" t="str">
        <f>IF($M77="","",IF(INDEX(po_status,$M77)="En retard",INDEX(po_late,$M77),""))</f>
        <v/>
      </c>
      <c r="J77" s="67" t="str">
        <f>IF($M77="","",INDEX(po_status,$M77)&amp;"")</f>
        <v/>
      </c>
      <c r="K77" s="70" t="str">
        <f>IF($M77="","",INDEX(po_restht,$M77))</f>
        <v/>
      </c>
      <c r="M77" t="str">
        <f>IFERROR(MATCH(SMALL(po_key,72),po_key,0),"")</f>
        <v/>
      </c>
    </row>
    <row r="78">
      <c r="A78" s="126" t="str">
        <f>IF($M78="","",INDEX(po_num,$M78)&amp;"")</f>
        <v/>
      </c>
      <c r="B78" s="66" t="str">
        <f>IF($M78="","",INDEX(po_supname,$M78)&amp;"")</f>
        <v/>
      </c>
      <c r="C78" s="66" t="str">
        <f>IF($M78="","",INDEX(po_ref,$M78)&amp;"")</f>
        <v/>
      </c>
      <c r="D78" s="66" t="str">
        <f>IF($M78="","",INDEX(po_des,$M78)&amp;"")</f>
        <v/>
      </c>
      <c r="E78" s="74" t="str">
        <f>IF($M78="","",N(INDEX(po_qty,$M78)))</f>
        <v/>
      </c>
      <c r="F78" s="74" t="str">
        <f>IF($M78="","",N(INDEX(po_rcv,$M78)))</f>
        <v/>
      </c>
      <c r="G78" s="74" t="str">
        <f>IF($M78="","",INDEX(po_rest,$M78))</f>
        <v/>
      </c>
      <c r="H78" s="73" t="str">
        <f>IF($M78="","",INDEX(po_due,$M78))</f>
        <v/>
      </c>
      <c r="I78" s="75" t="str">
        <f>IF($M78="","",IF(INDEX(po_status,$M78)="En retard",INDEX(po_late,$M78),""))</f>
        <v/>
      </c>
      <c r="J78" s="67" t="str">
        <f>IF($M78="","",INDEX(po_status,$M78)&amp;"")</f>
        <v/>
      </c>
      <c r="K78" s="70" t="str">
        <f>IF($M78="","",INDEX(po_restht,$M78))</f>
        <v/>
      </c>
      <c r="M78" t="str">
        <f>IFERROR(MATCH(SMALL(po_key,73),po_key,0),"")</f>
        <v/>
      </c>
    </row>
    <row r="79">
      <c r="A79" s="126" t="str">
        <f>IF($M79="","",INDEX(po_num,$M79)&amp;"")</f>
        <v/>
      </c>
      <c r="B79" s="66" t="str">
        <f>IF($M79="","",INDEX(po_supname,$M79)&amp;"")</f>
        <v/>
      </c>
      <c r="C79" s="66" t="str">
        <f>IF($M79="","",INDEX(po_ref,$M79)&amp;"")</f>
        <v/>
      </c>
      <c r="D79" s="66" t="str">
        <f>IF($M79="","",INDEX(po_des,$M79)&amp;"")</f>
        <v/>
      </c>
      <c r="E79" s="74" t="str">
        <f>IF($M79="","",N(INDEX(po_qty,$M79)))</f>
        <v/>
      </c>
      <c r="F79" s="74" t="str">
        <f>IF($M79="","",N(INDEX(po_rcv,$M79)))</f>
        <v/>
      </c>
      <c r="G79" s="74" t="str">
        <f>IF($M79="","",INDEX(po_rest,$M79))</f>
        <v/>
      </c>
      <c r="H79" s="73" t="str">
        <f>IF($M79="","",INDEX(po_due,$M79))</f>
        <v/>
      </c>
      <c r="I79" s="75" t="str">
        <f>IF($M79="","",IF(INDEX(po_status,$M79)="En retard",INDEX(po_late,$M79),""))</f>
        <v/>
      </c>
      <c r="J79" s="67" t="str">
        <f>IF($M79="","",INDEX(po_status,$M79)&amp;"")</f>
        <v/>
      </c>
      <c r="K79" s="70" t="str">
        <f>IF($M79="","",INDEX(po_restht,$M79))</f>
        <v/>
      </c>
      <c r="M79" t="str">
        <f>IFERROR(MATCH(SMALL(po_key,74),po_key,0),"")</f>
        <v/>
      </c>
    </row>
    <row r="80">
      <c r="A80" s="126" t="str">
        <f>IF($M80="","",INDEX(po_num,$M80)&amp;"")</f>
        <v/>
      </c>
      <c r="B80" s="66" t="str">
        <f>IF($M80="","",INDEX(po_supname,$M80)&amp;"")</f>
        <v/>
      </c>
      <c r="C80" s="66" t="str">
        <f>IF($M80="","",INDEX(po_ref,$M80)&amp;"")</f>
        <v/>
      </c>
      <c r="D80" s="66" t="str">
        <f>IF($M80="","",INDEX(po_des,$M80)&amp;"")</f>
        <v/>
      </c>
      <c r="E80" s="74" t="str">
        <f>IF($M80="","",N(INDEX(po_qty,$M80)))</f>
        <v/>
      </c>
      <c r="F80" s="74" t="str">
        <f>IF($M80="","",N(INDEX(po_rcv,$M80)))</f>
        <v/>
      </c>
      <c r="G80" s="74" t="str">
        <f>IF($M80="","",INDEX(po_rest,$M80))</f>
        <v/>
      </c>
      <c r="H80" s="73" t="str">
        <f>IF($M80="","",INDEX(po_due,$M80))</f>
        <v/>
      </c>
      <c r="I80" s="75" t="str">
        <f>IF($M80="","",IF(INDEX(po_status,$M80)="En retard",INDEX(po_late,$M80),""))</f>
        <v/>
      </c>
      <c r="J80" s="67" t="str">
        <f>IF($M80="","",INDEX(po_status,$M80)&amp;"")</f>
        <v/>
      </c>
      <c r="K80" s="70" t="str">
        <f>IF($M80="","",INDEX(po_restht,$M80))</f>
        <v/>
      </c>
      <c r="M80" t="str">
        <f>IFERROR(MATCH(SMALL(po_key,75),po_key,0),"")</f>
        <v/>
      </c>
    </row>
    <row r="81">
      <c r="A81" s="126" t="str">
        <f>IF($M81="","",INDEX(po_num,$M81)&amp;"")</f>
        <v/>
      </c>
      <c r="B81" s="66" t="str">
        <f>IF($M81="","",INDEX(po_supname,$M81)&amp;"")</f>
        <v/>
      </c>
      <c r="C81" s="66" t="str">
        <f>IF($M81="","",INDEX(po_ref,$M81)&amp;"")</f>
        <v/>
      </c>
      <c r="D81" s="66" t="str">
        <f>IF($M81="","",INDEX(po_des,$M81)&amp;"")</f>
        <v/>
      </c>
      <c r="E81" s="74" t="str">
        <f>IF($M81="","",N(INDEX(po_qty,$M81)))</f>
        <v/>
      </c>
      <c r="F81" s="74" t="str">
        <f>IF($M81="","",N(INDEX(po_rcv,$M81)))</f>
        <v/>
      </c>
      <c r="G81" s="74" t="str">
        <f>IF($M81="","",INDEX(po_rest,$M81))</f>
        <v/>
      </c>
      <c r="H81" s="73" t="str">
        <f>IF($M81="","",INDEX(po_due,$M81))</f>
        <v/>
      </c>
      <c r="I81" s="75" t="str">
        <f>IF($M81="","",IF(INDEX(po_status,$M81)="En retard",INDEX(po_late,$M81),""))</f>
        <v/>
      </c>
      <c r="J81" s="67" t="str">
        <f>IF($M81="","",INDEX(po_status,$M81)&amp;"")</f>
        <v/>
      </c>
      <c r="K81" s="70" t="str">
        <f>IF($M81="","",INDEX(po_restht,$M81))</f>
        <v/>
      </c>
      <c r="M81" t="str">
        <f>IFERROR(MATCH(SMALL(po_key,76),po_key,0),"")</f>
        <v/>
      </c>
    </row>
    <row r="82">
      <c r="A82" s="126" t="str">
        <f>IF($M82="","",INDEX(po_num,$M82)&amp;"")</f>
        <v/>
      </c>
      <c r="B82" s="66" t="str">
        <f>IF($M82="","",INDEX(po_supname,$M82)&amp;"")</f>
        <v/>
      </c>
      <c r="C82" s="66" t="str">
        <f>IF($M82="","",INDEX(po_ref,$M82)&amp;"")</f>
        <v/>
      </c>
      <c r="D82" s="66" t="str">
        <f>IF($M82="","",INDEX(po_des,$M82)&amp;"")</f>
        <v/>
      </c>
      <c r="E82" s="74" t="str">
        <f>IF($M82="","",N(INDEX(po_qty,$M82)))</f>
        <v/>
      </c>
      <c r="F82" s="74" t="str">
        <f>IF($M82="","",N(INDEX(po_rcv,$M82)))</f>
        <v/>
      </c>
      <c r="G82" s="74" t="str">
        <f>IF($M82="","",INDEX(po_rest,$M82))</f>
        <v/>
      </c>
      <c r="H82" s="73" t="str">
        <f>IF($M82="","",INDEX(po_due,$M82))</f>
        <v/>
      </c>
      <c r="I82" s="75" t="str">
        <f>IF($M82="","",IF(INDEX(po_status,$M82)="En retard",INDEX(po_late,$M82),""))</f>
        <v/>
      </c>
      <c r="J82" s="67" t="str">
        <f>IF($M82="","",INDEX(po_status,$M82)&amp;"")</f>
        <v/>
      </c>
      <c r="K82" s="70" t="str">
        <f>IF($M82="","",INDEX(po_restht,$M82))</f>
        <v/>
      </c>
      <c r="M82" t="str">
        <f>IFERROR(MATCH(SMALL(po_key,77),po_key,0),"")</f>
        <v/>
      </c>
    </row>
    <row r="83">
      <c r="A83" s="126" t="str">
        <f>IF($M83="","",INDEX(po_num,$M83)&amp;"")</f>
        <v/>
      </c>
      <c r="B83" s="66" t="str">
        <f>IF($M83="","",INDEX(po_supname,$M83)&amp;"")</f>
        <v/>
      </c>
      <c r="C83" s="66" t="str">
        <f>IF($M83="","",INDEX(po_ref,$M83)&amp;"")</f>
        <v/>
      </c>
      <c r="D83" s="66" t="str">
        <f>IF($M83="","",INDEX(po_des,$M83)&amp;"")</f>
        <v/>
      </c>
      <c r="E83" s="74" t="str">
        <f>IF($M83="","",N(INDEX(po_qty,$M83)))</f>
        <v/>
      </c>
      <c r="F83" s="74" t="str">
        <f>IF($M83="","",N(INDEX(po_rcv,$M83)))</f>
        <v/>
      </c>
      <c r="G83" s="74" t="str">
        <f>IF($M83="","",INDEX(po_rest,$M83))</f>
        <v/>
      </c>
      <c r="H83" s="73" t="str">
        <f>IF($M83="","",INDEX(po_due,$M83))</f>
        <v/>
      </c>
      <c r="I83" s="75" t="str">
        <f>IF($M83="","",IF(INDEX(po_status,$M83)="En retard",INDEX(po_late,$M83),""))</f>
        <v/>
      </c>
      <c r="J83" s="67" t="str">
        <f>IF($M83="","",INDEX(po_status,$M83)&amp;"")</f>
        <v/>
      </c>
      <c r="K83" s="70" t="str">
        <f>IF($M83="","",INDEX(po_restht,$M83))</f>
        <v/>
      </c>
      <c r="M83" t="str">
        <f>IFERROR(MATCH(SMALL(po_key,78),po_key,0),"")</f>
        <v/>
      </c>
    </row>
    <row r="84">
      <c r="A84" s="126" t="str">
        <f>IF($M84="","",INDEX(po_num,$M84)&amp;"")</f>
        <v/>
      </c>
      <c r="B84" s="66" t="str">
        <f>IF($M84="","",INDEX(po_supname,$M84)&amp;"")</f>
        <v/>
      </c>
      <c r="C84" s="66" t="str">
        <f>IF($M84="","",INDEX(po_ref,$M84)&amp;"")</f>
        <v/>
      </c>
      <c r="D84" s="66" t="str">
        <f>IF($M84="","",INDEX(po_des,$M84)&amp;"")</f>
        <v/>
      </c>
      <c r="E84" s="74" t="str">
        <f>IF($M84="","",N(INDEX(po_qty,$M84)))</f>
        <v/>
      </c>
      <c r="F84" s="74" t="str">
        <f>IF($M84="","",N(INDEX(po_rcv,$M84)))</f>
        <v/>
      </c>
      <c r="G84" s="74" t="str">
        <f>IF($M84="","",INDEX(po_rest,$M84))</f>
        <v/>
      </c>
      <c r="H84" s="73" t="str">
        <f>IF($M84="","",INDEX(po_due,$M84))</f>
        <v/>
      </c>
      <c r="I84" s="75" t="str">
        <f>IF($M84="","",IF(INDEX(po_status,$M84)="En retard",INDEX(po_late,$M84),""))</f>
        <v/>
      </c>
      <c r="J84" s="67" t="str">
        <f>IF($M84="","",INDEX(po_status,$M84)&amp;"")</f>
        <v/>
      </c>
      <c r="K84" s="70" t="str">
        <f>IF($M84="","",INDEX(po_restht,$M84))</f>
        <v/>
      </c>
      <c r="M84" t="str">
        <f>IFERROR(MATCH(SMALL(po_key,79),po_key,0),"")</f>
        <v/>
      </c>
    </row>
    <row r="85">
      <c r="A85" s="126" t="str">
        <f>IF($M85="","",INDEX(po_num,$M85)&amp;"")</f>
        <v/>
      </c>
      <c r="B85" s="66" t="str">
        <f>IF($M85="","",INDEX(po_supname,$M85)&amp;"")</f>
        <v/>
      </c>
      <c r="C85" s="66" t="str">
        <f>IF($M85="","",INDEX(po_ref,$M85)&amp;"")</f>
        <v/>
      </c>
      <c r="D85" s="66" t="str">
        <f>IF($M85="","",INDEX(po_des,$M85)&amp;"")</f>
        <v/>
      </c>
      <c r="E85" s="74" t="str">
        <f>IF($M85="","",N(INDEX(po_qty,$M85)))</f>
        <v/>
      </c>
      <c r="F85" s="74" t="str">
        <f>IF($M85="","",N(INDEX(po_rcv,$M85)))</f>
        <v/>
      </c>
      <c r="G85" s="74" t="str">
        <f>IF($M85="","",INDEX(po_rest,$M85))</f>
        <v/>
      </c>
      <c r="H85" s="73" t="str">
        <f>IF($M85="","",INDEX(po_due,$M85))</f>
        <v/>
      </c>
      <c r="I85" s="75" t="str">
        <f>IF($M85="","",IF(INDEX(po_status,$M85)="En retard",INDEX(po_late,$M85),""))</f>
        <v/>
      </c>
      <c r="J85" s="67" t="str">
        <f>IF($M85="","",INDEX(po_status,$M85)&amp;"")</f>
        <v/>
      </c>
      <c r="K85" s="70" t="str">
        <f>IF($M85="","",INDEX(po_restht,$M85))</f>
        <v/>
      </c>
      <c r="M85" t="str">
        <f>IFERROR(MATCH(SMALL(po_key,80),po_key,0),"")</f>
        <v/>
      </c>
    </row>
    <row r="86">
      <c r="A86" s="126" t="str">
        <f>IF($M86="","",INDEX(po_num,$M86)&amp;"")</f>
        <v/>
      </c>
      <c r="B86" s="66" t="str">
        <f>IF($M86="","",INDEX(po_supname,$M86)&amp;"")</f>
        <v/>
      </c>
      <c r="C86" s="66" t="str">
        <f>IF($M86="","",INDEX(po_ref,$M86)&amp;"")</f>
        <v/>
      </c>
      <c r="D86" s="66" t="str">
        <f>IF($M86="","",INDEX(po_des,$M86)&amp;"")</f>
        <v/>
      </c>
      <c r="E86" s="74" t="str">
        <f>IF($M86="","",N(INDEX(po_qty,$M86)))</f>
        <v/>
      </c>
      <c r="F86" s="74" t="str">
        <f>IF($M86="","",N(INDEX(po_rcv,$M86)))</f>
        <v/>
      </c>
      <c r="G86" s="74" t="str">
        <f>IF($M86="","",INDEX(po_rest,$M86))</f>
        <v/>
      </c>
      <c r="H86" s="73" t="str">
        <f>IF($M86="","",INDEX(po_due,$M86))</f>
        <v/>
      </c>
      <c r="I86" s="75" t="str">
        <f>IF($M86="","",IF(INDEX(po_status,$M86)="En retard",INDEX(po_late,$M86),""))</f>
        <v/>
      </c>
      <c r="J86" s="67" t="str">
        <f>IF($M86="","",INDEX(po_status,$M86)&amp;"")</f>
        <v/>
      </c>
      <c r="K86" s="70" t="str">
        <f>IF($M86="","",INDEX(po_restht,$M86))</f>
        <v/>
      </c>
      <c r="M86" t="str">
        <f>IFERROR(MATCH(SMALL(po_key,81),po_key,0),"")</f>
        <v/>
      </c>
    </row>
    <row r="87">
      <c r="A87" s="126" t="str">
        <f>IF($M87="","",INDEX(po_num,$M87)&amp;"")</f>
        <v/>
      </c>
      <c r="B87" s="66" t="str">
        <f>IF($M87="","",INDEX(po_supname,$M87)&amp;"")</f>
        <v/>
      </c>
      <c r="C87" s="66" t="str">
        <f>IF($M87="","",INDEX(po_ref,$M87)&amp;"")</f>
        <v/>
      </c>
      <c r="D87" s="66" t="str">
        <f>IF($M87="","",INDEX(po_des,$M87)&amp;"")</f>
        <v/>
      </c>
      <c r="E87" s="74" t="str">
        <f>IF($M87="","",N(INDEX(po_qty,$M87)))</f>
        <v/>
      </c>
      <c r="F87" s="74" t="str">
        <f>IF($M87="","",N(INDEX(po_rcv,$M87)))</f>
        <v/>
      </c>
      <c r="G87" s="74" t="str">
        <f>IF($M87="","",INDEX(po_rest,$M87))</f>
        <v/>
      </c>
      <c r="H87" s="73" t="str">
        <f>IF($M87="","",INDEX(po_due,$M87))</f>
        <v/>
      </c>
      <c r="I87" s="75" t="str">
        <f>IF($M87="","",IF(INDEX(po_status,$M87)="En retard",INDEX(po_late,$M87),""))</f>
        <v/>
      </c>
      <c r="J87" s="67" t="str">
        <f>IF($M87="","",INDEX(po_status,$M87)&amp;"")</f>
        <v/>
      </c>
      <c r="K87" s="70" t="str">
        <f>IF($M87="","",INDEX(po_restht,$M87))</f>
        <v/>
      </c>
      <c r="M87" t="str">
        <f>IFERROR(MATCH(SMALL(po_key,82),po_key,0),"")</f>
        <v/>
      </c>
    </row>
    <row r="88">
      <c r="A88" s="126" t="str">
        <f>IF($M88="","",INDEX(po_num,$M88)&amp;"")</f>
        <v/>
      </c>
      <c r="B88" s="66" t="str">
        <f>IF($M88="","",INDEX(po_supname,$M88)&amp;"")</f>
        <v/>
      </c>
      <c r="C88" s="66" t="str">
        <f>IF($M88="","",INDEX(po_ref,$M88)&amp;"")</f>
        <v/>
      </c>
      <c r="D88" s="66" t="str">
        <f>IF($M88="","",INDEX(po_des,$M88)&amp;"")</f>
        <v/>
      </c>
      <c r="E88" s="74" t="str">
        <f>IF($M88="","",N(INDEX(po_qty,$M88)))</f>
        <v/>
      </c>
      <c r="F88" s="74" t="str">
        <f>IF($M88="","",N(INDEX(po_rcv,$M88)))</f>
        <v/>
      </c>
      <c r="G88" s="74" t="str">
        <f>IF($M88="","",INDEX(po_rest,$M88))</f>
        <v/>
      </c>
      <c r="H88" s="73" t="str">
        <f>IF($M88="","",INDEX(po_due,$M88))</f>
        <v/>
      </c>
      <c r="I88" s="75" t="str">
        <f>IF($M88="","",IF(INDEX(po_status,$M88)="En retard",INDEX(po_late,$M88),""))</f>
        <v/>
      </c>
      <c r="J88" s="67" t="str">
        <f>IF($M88="","",INDEX(po_status,$M88)&amp;"")</f>
        <v/>
      </c>
      <c r="K88" s="70" t="str">
        <f>IF($M88="","",INDEX(po_restht,$M88))</f>
        <v/>
      </c>
      <c r="M88" t="str">
        <f>IFERROR(MATCH(SMALL(po_key,83),po_key,0),"")</f>
        <v/>
      </c>
    </row>
    <row r="89">
      <c r="A89" s="126" t="str">
        <f>IF($M89="","",INDEX(po_num,$M89)&amp;"")</f>
        <v/>
      </c>
      <c r="B89" s="66" t="str">
        <f>IF($M89="","",INDEX(po_supname,$M89)&amp;"")</f>
        <v/>
      </c>
      <c r="C89" s="66" t="str">
        <f>IF($M89="","",INDEX(po_ref,$M89)&amp;"")</f>
        <v/>
      </c>
      <c r="D89" s="66" t="str">
        <f>IF($M89="","",INDEX(po_des,$M89)&amp;"")</f>
        <v/>
      </c>
      <c r="E89" s="74" t="str">
        <f>IF($M89="","",N(INDEX(po_qty,$M89)))</f>
        <v/>
      </c>
      <c r="F89" s="74" t="str">
        <f>IF($M89="","",N(INDEX(po_rcv,$M89)))</f>
        <v/>
      </c>
      <c r="G89" s="74" t="str">
        <f>IF($M89="","",INDEX(po_rest,$M89))</f>
        <v/>
      </c>
      <c r="H89" s="73" t="str">
        <f>IF($M89="","",INDEX(po_due,$M89))</f>
        <v/>
      </c>
      <c r="I89" s="75" t="str">
        <f>IF($M89="","",IF(INDEX(po_status,$M89)="En retard",INDEX(po_late,$M89),""))</f>
        <v/>
      </c>
      <c r="J89" s="67" t="str">
        <f>IF($M89="","",INDEX(po_status,$M89)&amp;"")</f>
        <v/>
      </c>
      <c r="K89" s="70" t="str">
        <f>IF($M89="","",INDEX(po_restht,$M89))</f>
        <v/>
      </c>
      <c r="M89" t="str">
        <f>IFERROR(MATCH(SMALL(po_key,84),po_key,0),"")</f>
        <v/>
      </c>
    </row>
    <row r="90">
      <c r="A90" s="126" t="str">
        <f>IF($M90="","",INDEX(po_num,$M90)&amp;"")</f>
        <v/>
      </c>
      <c r="B90" s="66" t="str">
        <f>IF($M90="","",INDEX(po_supname,$M90)&amp;"")</f>
        <v/>
      </c>
      <c r="C90" s="66" t="str">
        <f>IF($M90="","",INDEX(po_ref,$M90)&amp;"")</f>
        <v/>
      </c>
      <c r="D90" s="66" t="str">
        <f>IF($M90="","",INDEX(po_des,$M90)&amp;"")</f>
        <v/>
      </c>
      <c r="E90" s="74" t="str">
        <f>IF($M90="","",N(INDEX(po_qty,$M90)))</f>
        <v/>
      </c>
      <c r="F90" s="74" t="str">
        <f>IF($M90="","",N(INDEX(po_rcv,$M90)))</f>
        <v/>
      </c>
      <c r="G90" s="74" t="str">
        <f>IF($M90="","",INDEX(po_rest,$M90))</f>
        <v/>
      </c>
      <c r="H90" s="73" t="str">
        <f>IF($M90="","",INDEX(po_due,$M90))</f>
        <v/>
      </c>
      <c r="I90" s="75" t="str">
        <f>IF($M90="","",IF(INDEX(po_status,$M90)="En retard",INDEX(po_late,$M90),""))</f>
        <v/>
      </c>
      <c r="J90" s="67" t="str">
        <f>IF($M90="","",INDEX(po_status,$M90)&amp;"")</f>
        <v/>
      </c>
      <c r="K90" s="70" t="str">
        <f>IF($M90="","",INDEX(po_restht,$M90))</f>
        <v/>
      </c>
      <c r="M90" t="str">
        <f>IFERROR(MATCH(SMALL(po_key,85),po_key,0),"")</f>
        <v/>
      </c>
    </row>
    <row r="91">
      <c r="A91" s="126" t="str">
        <f>IF($M91="","",INDEX(po_num,$M91)&amp;"")</f>
        <v/>
      </c>
      <c r="B91" s="66" t="str">
        <f>IF($M91="","",INDEX(po_supname,$M91)&amp;"")</f>
        <v/>
      </c>
      <c r="C91" s="66" t="str">
        <f>IF($M91="","",INDEX(po_ref,$M91)&amp;"")</f>
        <v/>
      </c>
      <c r="D91" s="66" t="str">
        <f>IF($M91="","",INDEX(po_des,$M91)&amp;"")</f>
        <v/>
      </c>
      <c r="E91" s="74" t="str">
        <f>IF($M91="","",N(INDEX(po_qty,$M91)))</f>
        <v/>
      </c>
      <c r="F91" s="74" t="str">
        <f>IF($M91="","",N(INDEX(po_rcv,$M91)))</f>
        <v/>
      </c>
      <c r="G91" s="74" t="str">
        <f>IF($M91="","",INDEX(po_rest,$M91))</f>
        <v/>
      </c>
      <c r="H91" s="73" t="str">
        <f>IF($M91="","",INDEX(po_due,$M91))</f>
        <v/>
      </c>
      <c r="I91" s="75" t="str">
        <f>IF($M91="","",IF(INDEX(po_status,$M91)="En retard",INDEX(po_late,$M91),""))</f>
        <v/>
      </c>
      <c r="J91" s="67" t="str">
        <f>IF($M91="","",INDEX(po_status,$M91)&amp;"")</f>
        <v/>
      </c>
      <c r="K91" s="70" t="str">
        <f>IF($M91="","",INDEX(po_restht,$M91))</f>
        <v/>
      </c>
      <c r="M91" t="str">
        <f>IFERROR(MATCH(SMALL(po_key,86),po_key,0),"")</f>
        <v/>
      </c>
    </row>
    <row r="92">
      <c r="A92" s="126" t="str">
        <f>IF($M92="","",INDEX(po_num,$M92)&amp;"")</f>
        <v/>
      </c>
      <c r="B92" s="66" t="str">
        <f>IF($M92="","",INDEX(po_supname,$M92)&amp;"")</f>
        <v/>
      </c>
      <c r="C92" s="66" t="str">
        <f>IF($M92="","",INDEX(po_ref,$M92)&amp;"")</f>
        <v/>
      </c>
      <c r="D92" s="66" t="str">
        <f>IF($M92="","",INDEX(po_des,$M92)&amp;"")</f>
        <v/>
      </c>
      <c r="E92" s="74" t="str">
        <f>IF($M92="","",N(INDEX(po_qty,$M92)))</f>
        <v/>
      </c>
      <c r="F92" s="74" t="str">
        <f>IF($M92="","",N(INDEX(po_rcv,$M92)))</f>
        <v/>
      </c>
      <c r="G92" s="74" t="str">
        <f>IF($M92="","",INDEX(po_rest,$M92))</f>
        <v/>
      </c>
      <c r="H92" s="73" t="str">
        <f>IF($M92="","",INDEX(po_due,$M92))</f>
        <v/>
      </c>
      <c r="I92" s="75" t="str">
        <f>IF($M92="","",IF(INDEX(po_status,$M92)="En retard",INDEX(po_late,$M92),""))</f>
        <v/>
      </c>
      <c r="J92" s="67" t="str">
        <f>IF($M92="","",INDEX(po_status,$M92)&amp;"")</f>
        <v/>
      </c>
      <c r="K92" s="70" t="str">
        <f>IF($M92="","",INDEX(po_restht,$M92))</f>
        <v/>
      </c>
      <c r="M92" t="str">
        <f>IFERROR(MATCH(SMALL(po_key,87),po_key,0),"")</f>
        <v/>
      </c>
    </row>
    <row r="93">
      <c r="A93" s="126" t="str">
        <f>IF($M93="","",INDEX(po_num,$M93)&amp;"")</f>
        <v/>
      </c>
      <c r="B93" s="66" t="str">
        <f>IF($M93="","",INDEX(po_supname,$M93)&amp;"")</f>
        <v/>
      </c>
      <c r="C93" s="66" t="str">
        <f>IF($M93="","",INDEX(po_ref,$M93)&amp;"")</f>
        <v/>
      </c>
      <c r="D93" s="66" t="str">
        <f>IF($M93="","",INDEX(po_des,$M93)&amp;"")</f>
        <v/>
      </c>
      <c r="E93" s="74" t="str">
        <f>IF($M93="","",N(INDEX(po_qty,$M93)))</f>
        <v/>
      </c>
      <c r="F93" s="74" t="str">
        <f>IF($M93="","",N(INDEX(po_rcv,$M93)))</f>
        <v/>
      </c>
      <c r="G93" s="74" t="str">
        <f>IF($M93="","",INDEX(po_rest,$M93))</f>
        <v/>
      </c>
      <c r="H93" s="73" t="str">
        <f>IF($M93="","",INDEX(po_due,$M93))</f>
        <v/>
      </c>
      <c r="I93" s="75" t="str">
        <f>IF($M93="","",IF(INDEX(po_status,$M93)="En retard",INDEX(po_late,$M93),""))</f>
        <v/>
      </c>
      <c r="J93" s="67" t="str">
        <f>IF($M93="","",INDEX(po_status,$M93)&amp;"")</f>
        <v/>
      </c>
      <c r="K93" s="70" t="str">
        <f>IF($M93="","",INDEX(po_restht,$M93))</f>
        <v/>
      </c>
      <c r="M93" t="str">
        <f>IFERROR(MATCH(SMALL(po_key,88),po_key,0),"")</f>
        <v/>
      </c>
    </row>
    <row r="94">
      <c r="A94" s="126" t="str">
        <f>IF($M94="","",INDEX(po_num,$M94)&amp;"")</f>
        <v/>
      </c>
      <c r="B94" s="66" t="str">
        <f>IF($M94="","",INDEX(po_supname,$M94)&amp;"")</f>
        <v/>
      </c>
      <c r="C94" s="66" t="str">
        <f>IF($M94="","",INDEX(po_ref,$M94)&amp;"")</f>
        <v/>
      </c>
      <c r="D94" s="66" t="str">
        <f>IF($M94="","",INDEX(po_des,$M94)&amp;"")</f>
        <v/>
      </c>
      <c r="E94" s="74" t="str">
        <f>IF($M94="","",N(INDEX(po_qty,$M94)))</f>
        <v/>
      </c>
      <c r="F94" s="74" t="str">
        <f>IF($M94="","",N(INDEX(po_rcv,$M94)))</f>
        <v/>
      </c>
      <c r="G94" s="74" t="str">
        <f>IF($M94="","",INDEX(po_rest,$M94))</f>
        <v/>
      </c>
      <c r="H94" s="73" t="str">
        <f>IF($M94="","",INDEX(po_due,$M94))</f>
        <v/>
      </c>
      <c r="I94" s="75" t="str">
        <f>IF($M94="","",IF(INDEX(po_status,$M94)="En retard",INDEX(po_late,$M94),""))</f>
        <v/>
      </c>
      <c r="J94" s="67" t="str">
        <f>IF($M94="","",INDEX(po_status,$M94)&amp;"")</f>
        <v/>
      </c>
      <c r="K94" s="70" t="str">
        <f>IF($M94="","",INDEX(po_restht,$M94))</f>
        <v/>
      </c>
      <c r="M94" t="str">
        <f>IFERROR(MATCH(SMALL(po_key,89),po_key,0),"")</f>
        <v/>
      </c>
    </row>
    <row r="95">
      <c r="A95" s="126" t="str">
        <f>IF($M95="","",INDEX(po_num,$M95)&amp;"")</f>
        <v/>
      </c>
      <c r="B95" s="66" t="str">
        <f>IF($M95="","",INDEX(po_supname,$M95)&amp;"")</f>
        <v/>
      </c>
      <c r="C95" s="66" t="str">
        <f>IF($M95="","",INDEX(po_ref,$M95)&amp;"")</f>
        <v/>
      </c>
      <c r="D95" s="66" t="str">
        <f>IF($M95="","",INDEX(po_des,$M95)&amp;"")</f>
        <v/>
      </c>
      <c r="E95" s="74" t="str">
        <f>IF($M95="","",N(INDEX(po_qty,$M95)))</f>
        <v/>
      </c>
      <c r="F95" s="74" t="str">
        <f>IF($M95="","",N(INDEX(po_rcv,$M95)))</f>
        <v/>
      </c>
      <c r="G95" s="74" t="str">
        <f>IF($M95="","",INDEX(po_rest,$M95))</f>
        <v/>
      </c>
      <c r="H95" s="73" t="str">
        <f>IF($M95="","",INDEX(po_due,$M95))</f>
        <v/>
      </c>
      <c r="I95" s="75" t="str">
        <f>IF($M95="","",IF(INDEX(po_status,$M95)="En retard",INDEX(po_late,$M95),""))</f>
        <v/>
      </c>
      <c r="J95" s="67" t="str">
        <f>IF($M95="","",INDEX(po_status,$M95)&amp;"")</f>
        <v/>
      </c>
      <c r="K95" s="70" t="str">
        <f>IF($M95="","",INDEX(po_restht,$M95))</f>
        <v/>
      </c>
      <c r="M95" t="str">
        <f>IFERROR(MATCH(SMALL(po_key,90),po_key,0),"")</f>
        <v/>
      </c>
    </row>
    <row r="96">
      <c r="A96" s="126" t="str">
        <f>IF($M96="","",INDEX(po_num,$M96)&amp;"")</f>
        <v/>
      </c>
      <c r="B96" s="66" t="str">
        <f>IF($M96="","",INDEX(po_supname,$M96)&amp;"")</f>
        <v/>
      </c>
      <c r="C96" s="66" t="str">
        <f>IF($M96="","",INDEX(po_ref,$M96)&amp;"")</f>
        <v/>
      </c>
      <c r="D96" s="66" t="str">
        <f>IF($M96="","",INDEX(po_des,$M96)&amp;"")</f>
        <v/>
      </c>
      <c r="E96" s="74" t="str">
        <f>IF($M96="","",N(INDEX(po_qty,$M96)))</f>
        <v/>
      </c>
      <c r="F96" s="74" t="str">
        <f>IF($M96="","",N(INDEX(po_rcv,$M96)))</f>
        <v/>
      </c>
      <c r="G96" s="74" t="str">
        <f>IF($M96="","",INDEX(po_rest,$M96))</f>
        <v/>
      </c>
      <c r="H96" s="73" t="str">
        <f>IF($M96="","",INDEX(po_due,$M96))</f>
        <v/>
      </c>
      <c r="I96" s="75" t="str">
        <f>IF($M96="","",IF(INDEX(po_status,$M96)="En retard",INDEX(po_late,$M96),""))</f>
        <v/>
      </c>
      <c r="J96" s="67" t="str">
        <f>IF($M96="","",INDEX(po_status,$M96)&amp;"")</f>
        <v/>
      </c>
      <c r="K96" s="70" t="str">
        <f>IF($M96="","",INDEX(po_restht,$M96))</f>
        <v/>
      </c>
      <c r="M96" t="str">
        <f>IFERROR(MATCH(SMALL(po_key,91),po_key,0),"")</f>
        <v/>
      </c>
    </row>
    <row r="97">
      <c r="A97" s="126" t="str">
        <f>IF($M97="","",INDEX(po_num,$M97)&amp;"")</f>
        <v/>
      </c>
      <c r="B97" s="66" t="str">
        <f>IF($M97="","",INDEX(po_supname,$M97)&amp;"")</f>
        <v/>
      </c>
      <c r="C97" s="66" t="str">
        <f>IF($M97="","",INDEX(po_ref,$M97)&amp;"")</f>
        <v/>
      </c>
      <c r="D97" s="66" t="str">
        <f>IF($M97="","",INDEX(po_des,$M97)&amp;"")</f>
        <v/>
      </c>
      <c r="E97" s="74" t="str">
        <f>IF($M97="","",N(INDEX(po_qty,$M97)))</f>
        <v/>
      </c>
      <c r="F97" s="74" t="str">
        <f>IF($M97="","",N(INDEX(po_rcv,$M97)))</f>
        <v/>
      </c>
      <c r="G97" s="74" t="str">
        <f>IF($M97="","",INDEX(po_rest,$M97))</f>
        <v/>
      </c>
      <c r="H97" s="73" t="str">
        <f>IF($M97="","",INDEX(po_due,$M97))</f>
        <v/>
      </c>
      <c r="I97" s="75" t="str">
        <f>IF($M97="","",IF(INDEX(po_status,$M97)="En retard",INDEX(po_late,$M97),""))</f>
        <v/>
      </c>
      <c r="J97" s="67" t="str">
        <f>IF($M97="","",INDEX(po_status,$M97)&amp;"")</f>
        <v/>
      </c>
      <c r="K97" s="70" t="str">
        <f>IF($M97="","",INDEX(po_restht,$M97))</f>
        <v/>
      </c>
      <c r="M97" t="str">
        <f>IFERROR(MATCH(SMALL(po_key,92),po_key,0),"")</f>
        <v/>
      </c>
    </row>
    <row r="98">
      <c r="A98" s="126" t="str">
        <f>IF($M98="","",INDEX(po_num,$M98)&amp;"")</f>
        <v/>
      </c>
      <c r="B98" s="66" t="str">
        <f>IF($M98="","",INDEX(po_supname,$M98)&amp;"")</f>
        <v/>
      </c>
      <c r="C98" s="66" t="str">
        <f>IF($M98="","",INDEX(po_ref,$M98)&amp;"")</f>
        <v/>
      </c>
      <c r="D98" s="66" t="str">
        <f>IF($M98="","",INDEX(po_des,$M98)&amp;"")</f>
        <v/>
      </c>
      <c r="E98" s="74" t="str">
        <f>IF($M98="","",N(INDEX(po_qty,$M98)))</f>
        <v/>
      </c>
      <c r="F98" s="74" t="str">
        <f>IF($M98="","",N(INDEX(po_rcv,$M98)))</f>
        <v/>
      </c>
      <c r="G98" s="74" t="str">
        <f>IF($M98="","",INDEX(po_rest,$M98))</f>
        <v/>
      </c>
      <c r="H98" s="73" t="str">
        <f>IF($M98="","",INDEX(po_due,$M98))</f>
        <v/>
      </c>
      <c r="I98" s="75" t="str">
        <f>IF($M98="","",IF(INDEX(po_status,$M98)="En retard",INDEX(po_late,$M98),""))</f>
        <v/>
      </c>
      <c r="J98" s="67" t="str">
        <f>IF($M98="","",INDEX(po_status,$M98)&amp;"")</f>
        <v/>
      </c>
      <c r="K98" s="70" t="str">
        <f>IF($M98="","",INDEX(po_restht,$M98))</f>
        <v/>
      </c>
      <c r="M98" t="str">
        <f>IFERROR(MATCH(SMALL(po_key,93),po_key,0),"")</f>
        <v/>
      </c>
    </row>
    <row r="99">
      <c r="A99" s="126" t="str">
        <f>IF($M99="","",INDEX(po_num,$M99)&amp;"")</f>
        <v/>
      </c>
      <c r="B99" s="66" t="str">
        <f>IF($M99="","",INDEX(po_supname,$M99)&amp;"")</f>
        <v/>
      </c>
      <c r="C99" s="66" t="str">
        <f>IF($M99="","",INDEX(po_ref,$M99)&amp;"")</f>
        <v/>
      </c>
      <c r="D99" s="66" t="str">
        <f>IF($M99="","",INDEX(po_des,$M99)&amp;"")</f>
        <v/>
      </c>
      <c r="E99" s="74" t="str">
        <f>IF($M99="","",N(INDEX(po_qty,$M99)))</f>
        <v/>
      </c>
      <c r="F99" s="74" t="str">
        <f>IF($M99="","",N(INDEX(po_rcv,$M99)))</f>
        <v/>
      </c>
      <c r="G99" s="74" t="str">
        <f>IF($M99="","",INDEX(po_rest,$M99))</f>
        <v/>
      </c>
      <c r="H99" s="73" t="str">
        <f>IF($M99="","",INDEX(po_due,$M99))</f>
        <v/>
      </c>
      <c r="I99" s="75" t="str">
        <f>IF($M99="","",IF(INDEX(po_status,$M99)="En retard",INDEX(po_late,$M99),""))</f>
        <v/>
      </c>
      <c r="J99" s="67" t="str">
        <f>IF($M99="","",INDEX(po_status,$M99)&amp;"")</f>
        <v/>
      </c>
      <c r="K99" s="70" t="str">
        <f>IF($M99="","",INDEX(po_restht,$M99))</f>
        <v/>
      </c>
      <c r="M99" t="str">
        <f>IFERROR(MATCH(SMALL(po_key,94),po_key,0),"")</f>
        <v/>
      </c>
    </row>
    <row r="100">
      <c r="A100" s="126" t="str">
        <f>IF($M100="","",INDEX(po_num,$M100)&amp;"")</f>
        <v/>
      </c>
      <c r="B100" s="66" t="str">
        <f>IF($M100="","",INDEX(po_supname,$M100)&amp;"")</f>
        <v/>
      </c>
      <c r="C100" s="66" t="str">
        <f>IF($M100="","",INDEX(po_ref,$M100)&amp;"")</f>
        <v/>
      </c>
      <c r="D100" s="66" t="str">
        <f>IF($M100="","",INDEX(po_des,$M100)&amp;"")</f>
        <v/>
      </c>
      <c r="E100" s="74" t="str">
        <f>IF($M100="","",N(INDEX(po_qty,$M100)))</f>
        <v/>
      </c>
      <c r="F100" s="74" t="str">
        <f>IF($M100="","",N(INDEX(po_rcv,$M100)))</f>
        <v/>
      </c>
      <c r="G100" s="74" t="str">
        <f>IF($M100="","",INDEX(po_rest,$M100))</f>
        <v/>
      </c>
      <c r="H100" s="73" t="str">
        <f>IF($M100="","",INDEX(po_due,$M100))</f>
        <v/>
      </c>
      <c r="I100" s="75" t="str">
        <f>IF($M100="","",IF(INDEX(po_status,$M100)="En retard",INDEX(po_late,$M100),""))</f>
        <v/>
      </c>
      <c r="J100" s="67" t="str">
        <f>IF($M100="","",INDEX(po_status,$M100)&amp;"")</f>
        <v/>
      </c>
      <c r="K100" s="70" t="str">
        <f>IF($M100="","",INDEX(po_restht,$M100))</f>
        <v/>
      </c>
      <c r="M100" t="str">
        <f>IFERROR(MATCH(SMALL(po_key,95),po_key,0),"")</f>
        <v/>
      </c>
    </row>
    <row r="101">
      <c r="A101" s="126" t="str">
        <f>IF($M101="","",INDEX(po_num,$M101)&amp;"")</f>
        <v/>
      </c>
      <c r="B101" s="66" t="str">
        <f>IF($M101="","",INDEX(po_supname,$M101)&amp;"")</f>
        <v/>
      </c>
      <c r="C101" s="66" t="str">
        <f>IF($M101="","",INDEX(po_ref,$M101)&amp;"")</f>
        <v/>
      </c>
      <c r="D101" s="66" t="str">
        <f>IF($M101="","",INDEX(po_des,$M101)&amp;"")</f>
        <v/>
      </c>
      <c r="E101" s="74" t="str">
        <f>IF($M101="","",N(INDEX(po_qty,$M101)))</f>
        <v/>
      </c>
      <c r="F101" s="74" t="str">
        <f>IF($M101="","",N(INDEX(po_rcv,$M101)))</f>
        <v/>
      </c>
      <c r="G101" s="74" t="str">
        <f>IF($M101="","",INDEX(po_rest,$M101))</f>
        <v/>
      </c>
      <c r="H101" s="73" t="str">
        <f>IF($M101="","",INDEX(po_due,$M101))</f>
        <v/>
      </c>
      <c r="I101" s="75" t="str">
        <f>IF($M101="","",IF(INDEX(po_status,$M101)="En retard",INDEX(po_late,$M101),""))</f>
        <v/>
      </c>
      <c r="J101" s="67" t="str">
        <f>IF($M101="","",INDEX(po_status,$M101)&amp;"")</f>
        <v/>
      </c>
      <c r="K101" s="70" t="str">
        <f>IF($M101="","",INDEX(po_restht,$M101))</f>
        <v/>
      </c>
      <c r="M101" t="str">
        <f>IFERROR(MATCH(SMALL(po_key,96),po_key,0),"")</f>
        <v/>
      </c>
    </row>
    <row r="102">
      <c r="A102" s="126" t="str">
        <f>IF($M102="","",INDEX(po_num,$M102)&amp;"")</f>
        <v/>
      </c>
      <c r="B102" s="66" t="str">
        <f>IF($M102="","",INDEX(po_supname,$M102)&amp;"")</f>
        <v/>
      </c>
      <c r="C102" s="66" t="str">
        <f>IF($M102="","",INDEX(po_ref,$M102)&amp;"")</f>
        <v/>
      </c>
      <c r="D102" s="66" t="str">
        <f>IF($M102="","",INDEX(po_des,$M102)&amp;"")</f>
        <v/>
      </c>
      <c r="E102" s="74" t="str">
        <f>IF($M102="","",N(INDEX(po_qty,$M102)))</f>
        <v/>
      </c>
      <c r="F102" s="74" t="str">
        <f>IF($M102="","",N(INDEX(po_rcv,$M102)))</f>
        <v/>
      </c>
      <c r="G102" s="74" t="str">
        <f>IF($M102="","",INDEX(po_rest,$M102))</f>
        <v/>
      </c>
      <c r="H102" s="73" t="str">
        <f>IF($M102="","",INDEX(po_due,$M102))</f>
        <v/>
      </c>
      <c r="I102" s="75" t="str">
        <f>IF($M102="","",IF(INDEX(po_status,$M102)="En retard",INDEX(po_late,$M102),""))</f>
        <v/>
      </c>
      <c r="J102" s="67" t="str">
        <f>IF($M102="","",INDEX(po_status,$M102)&amp;"")</f>
        <v/>
      </c>
      <c r="K102" s="70" t="str">
        <f>IF($M102="","",INDEX(po_restht,$M102))</f>
        <v/>
      </c>
      <c r="M102" t="str">
        <f>IFERROR(MATCH(SMALL(po_key,97),po_key,0),"")</f>
        <v/>
      </c>
    </row>
    <row r="103">
      <c r="A103" s="126" t="str">
        <f>IF($M103="","",INDEX(po_num,$M103)&amp;"")</f>
        <v/>
      </c>
      <c r="B103" s="66" t="str">
        <f>IF($M103="","",INDEX(po_supname,$M103)&amp;"")</f>
        <v/>
      </c>
      <c r="C103" s="66" t="str">
        <f>IF($M103="","",INDEX(po_ref,$M103)&amp;"")</f>
        <v/>
      </c>
      <c r="D103" s="66" t="str">
        <f>IF($M103="","",INDEX(po_des,$M103)&amp;"")</f>
        <v/>
      </c>
      <c r="E103" s="74" t="str">
        <f>IF($M103="","",N(INDEX(po_qty,$M103)))</f>
        <v/>
      </c>
      <c r="F103" s="74" t="str">
        <f>IF($M103="","",N(INDEX(po_rcv,$M103)))</f>
        <v/>
      </c>
      <c r="G103" s="74" t="str">
        <f>IF($M103="","",INDEX(po_rest,$M103))</f>
        <v/>
      </c>
      <c r="H103" s="73" t="str">
        <f>IF($M103="","",INDEX(po_due,$M103))</f>
        <v/>
      </c>
      <c r="I103" s="75" t="str">
        <f>IF($M103="","",IF(INDEX(po_status,$M103)="En retard",INDEX(po_late,$M103),""))</f>
        <v/>
      </c>
      <c r="J103" s="67" t="str">
        <f>IF($M103="","",INDEX(po_status,$M103)&amp;"")</f>
        <v/>
      </c>
      <c r="K103" s="70" t="str">
        <f>IF($M103="","",INDEX(po_restht,$M103))</f>
        <v/>
      </c>
      <c r="M103" t="str">
        <f>IFERROR(MATCH(SMALL(po_key,98),po_key,0),"")</f>
        <v/>
      </c>
    </row>
    <row r="104">
      <c r="A104" s="126" t="str">
        <f>IF($M104="","",INDEX(po_num,$M104)&amp;"")</f>
        <v/>
      </c>
      <c r="B104" s="66" t="str">
        <f>IF($M104="","",INDEX(po_supname,$M104)&amp;"")</f>
        <v/>
      </c>
      <c r="C104" s="66" t="str">
        <f>IF($M104="","",INDEX(po_ref,$M104)&amp;"")</f>
        <v/>
      </c>
      <c r="D104" s="66" t="str">
        <f>IF($M104="","",INDEX(po_des,$M104)&amp;"")</f>
        <v/>
      </c>
      <c r="E104" s="74" t="str">
        <f>IF($M104="","",N(INDEX(po_qty,$M104)))</f>
        <v/>
      </c>
      <c r="F104" s="74" t="str">
        <f>IF($M104="","",N(INDEX(po_rcv,$M104)))</f>
        <v/>
      </c>
      <c r="G104" s="74" t="str">
        <f>IF($M104="","",INDEX(po_rest,$M104))</f>
        <v/>
      </c>
      <c r="H104" s="73" t="str">
        <f>IF($M104="","",INDEX(po_due,$M104))</f>
        <v/>
      </c>
      <c r="I104" s="75" t="str">
        <f>IF($M104="","",IF(INDEX(po_status,$M104)="En retard",INDEX(po_late,$M104),""))</f>
        <v/>
      </c>
      <c r="J104" s="67" t="str">
        <f>IF($M104="","",INDEX(po_status,$M104)&amp;"")</f>
        <v/>
      </c>
      <c r="K104" s="70" t="str">
        <f>IF($M104="","",INDEX(po_restht,$M104))</f>
        <v/>
      </c>
      <c r="M104" t="str">
        <f>IFERROR(MATCH(SMALL(po_key,99),po_key,0),"")</f>
        <v/>
      </c>
    </row>
    <row r="105">
      <c r="A105" s="126" t="str">
        <f>IF($M105="","",INDEX(po_num,$M105)&amp;"")</f>
        <v/>
      </c>
      <c r="B105" s="66" t="str">
        <f>IF($M105="","",INDEX(po_supname,$M105)&amp;"")</f>
        <v/>
      </c>
      <c r="C105" s="66" t="str">
        <f>IF($M105="","",INDEX(po_ref,$M105)&amp;"")</f>
        <v/>
      </c>
      <c r="D105" s="66" t="str">
        <f>IF($M105="","",INDEX(po_des,$M105)&amp;"")</f>
        <v/>
      </c>
      <c r="E105" s="74" t="str">
        <f>IF($M105="","",N(INDEX(po_qty,$M105)))</f>
        <v/>
      </c>
      <c r="F105" s="74" t="str">
        <f>IF($M105="","",N(INDEX(po_rcv,$M105)))</f>
        <v/>
      </c>
      <c r="G105" s="74" t="str">
        <f>IF($M105="","",INDEX(po_rest,$M105))</f>
        <v/>
      </c>
      <c r="H105" s="73" t="str">
        <f>IF($M105="","",INDEX(po_due,$M105))</f>
        <v/>
      </c>
      <c r="I105" s="75" t="str">
        <f>IF($M105="","",IF(INDEX(po_status,$M105)="En retard",INDEX(po_late,$M105),""))</f>
        <v/>
      </c>
      <c r="J105" s="67" t="str">
        <f>IF($M105="","",INDEX(po_status,$M105)&amp;"")</f>
        <v/>
      </c>
      <c r="K105" s="70" t="str">
        <f>IF($M105="","",INDEX(po_restht,$M105))</f>
        <v/>
      </c>
      <c r="M105" t="str">
        <f>IFERROR(MATCH(SMALL(po_key,100),po_key,0),"")</f>
        <v/>
      </c>
    </row>
    <row r="106">
      <c r="A106" s="126" t="str">
        <f>IF($M106="","",INDEX(po_num,$M106)&amp;"")</f>
        <v/>
      </c>
      <c r="B106" s="66" t="str">
        <f>IF($M106="","",INDEX(po_supname,$M106)&amp;"")</f>
        <v/>
      </c>
      <c r="C106" s="66" t="str">
        <f>IF($M106="","",INDEX(po_ref,$M106)&amp;"")</f>
        <v/>
      </c>
      <c r="D106" s="66" t="str">
        <f>IF($M106="","",INDEX(po_des,$M106)&amp;"")</f>
        <v/>
      </c>
      <c r="E106" s="74" t="str">
        <f>IF($M106="","",N(INDEX(po_qty,$M106)))</f>
        <v/>
      </c>
      <c r="F106" s="74" t="str">
        <f>IF($M106="","",N(INDEX(po_rcv,$M106)))</f>
        <v/>
      </c>
      <c r="G106" s="74" t="str">
        <f>IF($M106="","",INDEX(po_rest,$M106))</f>
        <v/>
      </c>
      <c r="H106" s="73" t="str">
        <f>IF($M106="","",INDEX(po_due,$M106))</f>
        <v/>
      </c>
      <c r="I106" s="75" t="str">
        <f>IF($M106="","",IF(INDEX(po_status,$M106)="En retard",INDEX(po_late,$M106),""))</f>
        <v/>
      </c>
      <c r="J106" s="67" t="str">
        <f>IF($M106="","",INDEX(po_status,$M106)&amp;"")</f>
        <v/>
      </c>
      <c r="K106" s="70" t="str">
        <f>IF($M106="","",INDEX(po_restht,$M106))</f>
        <v/>
      </c>
      <c r="M106" t="str">
        <f>IFERROR(MATCH(SMALL(po_key,101),po_key,0),"")</f>
        <v/>
      </c>
    </row>
    <row r="107">
      <c r="A107" s="126" t="str">
        <f>IF($M107="","",INDEX(po_num,$M107)&amp;"")</f>
        <v/>
      </c>
      <c r="B107" s="66" t="str">
        <f>IF($M107="","",INDEX(po_supname,$M107)&amp;"")</f>
        <v/>
      </c>
      <c r="C107" s="66" t="str">
        <f>IF($M107="","",INDEX(po_ref,$M107)&amp;"")</f>
        <v/>
      </c>
      <c r="D107" s="66" t="str">
        <f>IF($M107="","",INDEX(po_des,$M107)&amp;"")</f>
        <v/>
      </c>
      <c r="E107" s="74" t="str">
        <f>IF($M107="","",N(INDEX(po_qty,$M107)))</f>
        <v/>
      </c>
      <c r="F107" s="74" t="str">
        <f>IF($M107="","",N(INDEX(po_rcv,$M107)))</f>
        <v/>
      </c>
      <c r="G107" s="74" t="str">
        <f>IF($M107="","",INDEX(po_rest,$M107))</f>
        <v/>
      </c>
      <c r="H107" s="73" t="str">
        <f>IF($M107="","",INDEX(po_due,$M107))</f>
        <v/>
      </c>
      <c r="I107" s="75" t="str">
        <f>IF($M107="","",IF(INDEX(po_status,$M107)="En retard",INDEX(po_late,$M107),""))</f>
        <v/>
      </c>
      <c r="J107" s="67" t="str">
        <f>IF($M107="","",INDEX(po_status,$M107)&amp;"")</f>
        <v/>
      </c>
      <c r="K107" s="70" t="str">
        <f>IF($M107="","",INDEX(po_restht,$M107))</f>
        <v/>
      </c>
      <c r="M107" t="str">
        <f>IFERROR(MATCH(SMALL(po_key,102),po_key,0),"")</f>
        <v/>
      </c>
    </row>
    <row r="108">
      <c r="A108" s="126" t="str">
        <f>IF($M108="","",INDEX(po_num,$M108)&amp;"")</f>
        <v/>
      </c>
      <c r="B108" s="66" t="str">
        <f>IF($M108="","",INDEX(po_supname,$M108)&amp;"")</f>
        <v/>
      </c>
      <c r="C108" s="66" t="str">
        <f>IF($M108="","",INDEX(po_ref,$M108)&amp;"")</f>
        <v/>
      </c>
      <c r="D108" s="66" t="str">
        <f>IF($M108="","",INDEX(po_des,$M108)&amp;"")</f>
        <v/>
      </c>
      <c r="E108" s="74" t="str">
        <f>IF($M108="","",N(INDEX(po_qty,$M108)))</f>
        <v/>
      </c>
      <c r="F108" s="74" t="str">
        <f>IF($M108="","",N(INDEX(po_rcv,$M108)))</f>
        <v/>
      </c>
      <c r="G108" s="74" t="str">
        <f>IF($M108="","",INDEX(po_rest,$M108))</f>
        <v/>
      </c>
      <c r="H108" s="73" t="str">
        <f>IF($M108="","",INDEX(po_due,$M108))</f>
        <v/>
      </c>
      <c r="I108" s="75" t="str">
        <f>IF($M108="","",IF(INDEX(po_status,$M108)="En retard",INDEX(po_late,$M108),""))</f>
        <v/>
      </c>
      <c r="J108" s="67" t="str">
        <f>IF($M108="","",INDEX(po_status,$M108)&amp;"")</f>
        <v/>
      </c>
      <c r="K108" s="70" t="str">
        <f>IF($M108="","",INDEX(po_restht,$M108))</f>
        <v/>
      </c>
      <c r="M108" t="str">
        <f>IFERROR(MATCH(SMALL(po_key,103),po_key,0),"")</f>
        <v/>
      </c>
    </row>
    <row r="109">
      <c r="A109" s="126" t="str">
        <f>IF($M109="","",INDEX(po_num,$M109)&amp;"")</f>
        <v/>
      </c>
      <c r="B109" s="66" t="str">
        <f>IF($M109="","",INDEX(po_supname,$M109)&amp;"")</f>
        <v/>
      </c>
      <c r="C109" s="66" t="str">
        <f>IF($M109="","",INDEX(po_ref,$M109)&amp;"")</f>
        <v/>
      </c>
      <c r="D109" s="66" t="str">
        <f>IF($M109="","",INDEX(po_des,$M109)&amp;"")</f>
        <v/>
      </c>
      <c r="E109" s="74" t="str">
        <f>IF($M109="","",N(INDEX(po_qty,$M109)))</f>
        <v/>
      </c>
      <c r="F109" s="74" t="str">
        <f>IF($M109="","",N(INDEX(po_rcv,$M109)))</f>
        <v/>
      </c>
      <c r="G109" s="74" t="str">
        <f>IF($M109="","",INDEX(po_rest,$M109))</f>
        <v/>
      </c>
      <c r="H109" s="73" t="str">
        <f>IF($M109="","",INDEX(po_due,$M109))</f>
        <v/>
      </c>
      <c r="I109" s="75" t="str">
        <f>IF($M109="","",IF(INDEX(po_status,$M109)="En retard",INDEX(po_late,$M109),""))</f>
        <v/>
      </c>
      <c r="J109" s="67" t="str">
        <f>IF($M109="","",INDEX(po_status,$M109)&amp;"")</f>
        <v/>
      </c>
      <c r="K109" s="70" t="str">
        <f>IF($M109="","",INDEX(po_restht,$M109))</f>
        <v/>
      </c>
      <c r="M109" t="str">
        <f>IFERROR(MATCH(SMALL(po_key,104),po_key,0),"")</f>
        <v/>
      </c>
    </row>
    <row r="110">
      <c r="A110" s="126" t="str">
        <f>IF($M110="","",INDEX(po_num,$M110)&amp;"")</f>
        <v/>
      </c>
      <c r="B110" s="66" t="str">
        <f>IF($M110="","",INDEX(po_supname,$M110)&amp;"")</f>
        <v/>
      </c>
      <c r="C110" s="66" t="str">
        <f>IF($M110="","",INDEX(po_ref,$M110)&amp;"")</f>
        <v/>
      </c>
      <c r="D110" s="66" t="str">
        <f>IF($M110="","",INDEX(po_des,$M110)&amp;"")</f>
        <v/>
      </c>
      <c r="E110" s="74" t="str">
        <f>IF($M110="","",N(INDEX(po_qty,$M110)))</f>
        <v/>
      </c>
      <c r="F110" s="74" t="str">
        <f>IF($M110="","",N(INDEX(po_rcv,$M110)))</f>
        <v/>
      </c>
      <c r="G110" s="74" t="str">
        <f>IF($M110="","",INDEX(po_rest,$M110))</f>
        <v/>
      </c>
      <c r="H110" s="73" t="str">
        <f>IF($M110="","",INDEX(po_due,$M110))</f>
        <v/>
      </c>
      <c r="I110" s="75" t="str">
        <f>IF($M110="","",IF(INDEX(po_status,$M110)="En retard",INDEX(po_late,$M110),""))</f>
        <v/>
      </c>
      <c r="J110" s="67" t="str">
        <f>IF($M110="","",INDEX(po_status,$M110)&amp;"")</f>
        <v/>
      </c>
      <c r="K110" s="70" t="str">
        <f>IF($M110="","",INDEX(po_restht,$M110))</f>
        <v/>
      </c>
      <c r="M110" t="str">
        <f>IFERROR(MATCH(SMALL(po_key,105),po_key,0),"")</f>
        <v/>
      </c>
    </row>
    <row r="111">
      <c r="A111" s="126" t="str">
        <f>IF($M111="","",INDEX(po_num,$M111)&amp;"")</f>
        <v/>
      </c>
      <c r="B111" s="66" t="str">
        <f>IF($M111="","",INDEX(po_supname,$M111)&amp;"")</f>
        <v/>
      </c>
      <c r="C111" s="66" t="str">
        <f>IF($M111="","",INDEX(po_ref,$M111)&amp;"")</f>
        <v/>
      </c>
      <c r="D111" s="66" t="str">
        <f>IF($M111="","",INDEX(po_des,$M111)&amp;"")</f>
        <v/>
      </c>
      <c r="E111" s="74" t="str">
        <f>IF($M111="","",N(INDEX(po_qty,$M111)))</f>
        <v/>
      </c>
      <c r="F111" s="74" t="str">
        <f>IF($M111="","",N(INDEX(po_rcv,$M111)))</f>
        <v/>
      </c>
      <c r="G111" s="74" t="str">
        <f>IF($M111="","",INDEX(po_rest,$M111))</f>
        <v/>
      </c>
      <c r="H111" s="73" t="str">
        <f>IF($M111="","",INDEX(po_due,$M111))</f>
        <v/>
      </c>
      <c r="I111" s="75" t="str">
        <f>IF($M111="","",IF(INDEX(po_status,$M111)="En retard",INDEX(po_late,$M111),""))</f>
        <v/>
      </c>
      <c r="J111" s="67" t="str">
        <f>IF($M111="","",INDEX(po_status,$M111)&amp;"")</f>
        <v/>
      </c>
      <c r="K111" s="70" t="str">
        <f>IF($M111="","",INDEX(po_restht,$M111))</f>
        <v/>
      </c>
      <c r="M111" t="str">
        <f>IFERROR(MATCH(SMALL(po_key,106),po_key,0),"")</f>
        <v/>
      </c>
    </row>
    <row r="112">
      <c r="A112" s="126" t="str">
        <f>IF($M112="","",INDEX(po_num,$M112)&amp;"")</f>
        <v/>
      </c>
      <c r="B112" s="66" t="str">
        <f>IF($M112="","",INDEX(po_supname,$M112)&amp;"")</f>
        <v/>
      </c>
      <c r="C112" s="66" t="str">
        <f>IF($M112="","",INDEX(po_ref,$M112)&amp;"")</f>
        <v/>
      </c>
      <c r="D112" s="66" t="str">
        <f>IF($M112="","",INDEX(po_des,$M112)&amp;"")</f>
        <v/>
      </c>
      <c r="E112" s="74" t="str">
        <f>IF($M112="","",N(INDEX(po_qty,$M112)))</f>
        <v/>
      </c>
      <c r="F112" s="74" t="str">
        <f>IF($M112="","",N(INDEX(po_rcv,$M112)))</f>
        <v/>
      </c>
      <c r="G112" s="74" t="str">
        <f>IF($M112="","",INDEX(po_rest,$M112))</f>
        <v/>
      </c>
      <c r="H112" s="73" t="str">
        <f>IF($M112="","",INDEX(po_due,$M112))</f>
        <v/>
      </c>
      <c r="I112" s="75" t="str">
        <f>IF($M112="","",IF(INDEX(po_status,$M112)="En retard",INDEX(po_late,$M112),""))</f>
        <v/>
      </c>
      <c r="J112" s="67" t="str">
        <f>IF($M112="","",INDEX(po_status,$M112)&amp;"")</f>
        <v/>
      </c>
      <c r="K112" s="70" t="str">
        <f>IF($M112="","",INDEX(po_restht,$M112))</f>
        <v/>
      </c>
      <c r="M112" t="str">
        <f>IFERROR(MATCH(SMALL(po_key,107),po_key,0),"")</f>
        <v/>
      </c>
    </row>
    <row r="113">
      <c r="A113" s="126" t="str">
        <f>IF($M113="","",INDEX(po_num,$M113)&amp;"")</f>
        <v/>
      </c>
      <c r="B113" s="66" t="str">
        <f>IF($M113="","",INDEX(po_supname,$M113)&amp;"")</f>
        <v/>
      </c>
      <c r="C113" s="66" t="str">
        <f>IF($M113="","",INDEX(po_ref,$M113)&amp;"")</f>
        <v/>
      </c>
      <c r="D113" s="66" t="str">
        <f>IF($M113="","",INDEX(po_des,$M113)&amp;"")</f>
        <v/>
      </c>
      <c r="E113" s="74" t="str">
        <f>IF($M113="","",N(INDEX(po_qty,$M113)))</f>
        <v/>
      </c>
      <c r="F113" s="74" t="str">
        <f>IF($M113="","",N(INDEX(po_rcv,$M113)))</f>
        <v/>
      </c>
      <c r="G113" s="74" t="str">
        <f>IF($M113="","",INDEX(po_rest,$M113))</f>
        <v/>
      </c>
      <c r="H113" s="73" t="str">
        <f>IF($M113="","",INDEX(po_due,$M113))</f>
        <v/>
      </c>
      <c r="I113" s="75" t="str">
        <f>IF($M113="","",IF(INDEX(po_status,$M113)="En retard",INDEX(po_late,$M113),""))</f>
        <v/>
      </c>
      <c r="J113" s="67" t="str">
        <f>IF($M113="","",INDEX(po_status,$M113)&amp;"")</f>
        <v/>
      </c>
      <c r="K113" s="70" t="str">
        <f>IF($M113="","",INDEX(po_restht,$M113))</f>
        <v/>
      </c>
      <c r="M113" t="str">
        <f>IFERROR(MATCH(SMALL(po_key,108),po_key,0),"")</f>
        <v/>
      </c>
    </row>
    <row r="114">
      <c r="A114" s="126" t="str">
        <f>IF($M114="","",INDEX(po_num,$M114)&amp;"")</f>
        <v/>
      </c>
      <c r="B114" s="66" t="str">
        <f>IF($M114="","",INDEX(po_supname,$M114)&amp;"")</f>
        <v/>
      </c>
      <c r="C114" s="66" t="str">
        <f>IF($M114="","",INDEX(po_ref,$M114)&amp;"")</f>
        <v/>
      </c>
      <c r="D114" s="66" t="str">
        <f>IF($M114="","",INDEX(po_des,$M114)&amp;"")</f>
        <v/>
      </c>
      <c r="E114" s="74" t="str">
        <f>IF($M114="","",N(INDEX(po_qty,$M114)))</f>
        <v/>
      </c>
      <c r="F114" s="74" t="str">
        <f>IF($M114="","",N(INDEX(po_rcv,$M114)))</f>
        <v/>
      </c>
      <c r="G114" s="74" t="str">
        <f>IF($M114="","",INDEX(po_rest,$M114))</f>
        <v/>
      </c>
      <c r="H114" s="73" t="str">
        <f>IF($M114="","",INDEX(po_due,$M114))</f>
        <v/>
      </c>
      <c r="I114" s="75" t="str">
        <f>IF($M114="","",IF(INDEX(po_status,$M114)="En retard",INDEX(po_late,$M114),""))</f>
        <v/>
      </c>
      <c r="J114" s="67" t="str">
        <f>IF($M114="","",INDEX(po_status,$M114)&amp;"")</f>
        <v/>
      </c>
      <c r="K114" s="70" t="str">
        <f>IF($M114="","",INDEX(po_restht,$M114))</f>
        <v/>
      </c>
      <c r="M114" t="str">
        <f>IFERROR(MATCH(SMALL(po_key,109),po_key,0),"")</f>
        <v/>
      </c>
    </row>
    <row r="115">
      <c r="A115" s="126" t="str">
        <f>IF($M115="","",INDEX(po_num,$M115)&amp;"")</f>
        <v/>
      </c>
      <c r="B115" s="66" t="str">
        <f>IF($M115="","",INDEX(po_supname,$M115)&amp;"")</f>
        <v/>
      </c>
      <c r="C115" s="66" t="str">
        <f>IF($M115="","",INDEX(po_ref,$M115)&amp;"")</f>
        <v/>
      </c>
      <c r="D115" s="66" t="str">
        <f>IF($M115="","",INDEX(po_des,$M115)&amp;"")</f>
        <v/>
      </c>
      <c r="E115" s="74" t="str">
        <f>IF($M115="","",N(INDEX(po_qty,$M115)))</f>
        <v/>
      </c>
      <c r="F115" s="74" t="str">
        <f>IF($M115="","",N(INDEX(po_rcv,$M115)))</f>
        <v/>
      </c>
      <c r="G115" s="74" t="str">
        <f>IF($M115="","",INDEX(po_rest,$M115))</f>
        <v/>
      </c>
      <c r="H115" s="73" t="str">
        <f>IF($M115="","",INDEX(po_due,$M115))</f>
        <v/>
      </c>
      <c r="I115" s="75" t="str">
        <f>IF($M115="","",IF(INDEX(po_status,$M115)="En retard",INDEX(po_late,$M115),""))</f>
        <v/>
      </c>
      <c r="J115" s="67" t="str">
        <f>IF($M115="","",INDEX(po_status,$M115)&amp;"")</f>
        <v/>
      </c>
      <c r="K115" s="70" t="str">
        <f>IF($M115="","",INDEX(po_restht,$M115))</f>
        <v/>
      </c>
      <c r="M115" t="str">
        <f>IFERROR(MATCH(SMALL(po_key,110),po_key,0),"")</f>
        <v/>
      </c>
    </row>
    <row r="116">
      <c r="A116" s="126" t="str">
        <f>IF($M116="","",INDEX(po_num,$M116)&amp;"")</f>
        <v/>
      </c>
      <c r="B116" s="66" t="str">
        <f>IF($M116="","",INDEX(po_supname,$M116)&amp;"")</f>
        <v/>
      </c>
      <c r="C116" s="66" t="str">
        <f>IF($M116="","",INDEX(po_ref,$M116)&amp;"")</f>
        <v/>
      </c>
      <c r="D116" s="66" t="str">
        <f>IF($M116="","",INDEX(po_des,$M116)&amp;"")</f>
        <v/>
      </c>
      <c r="E116" s="74" t="str">
        <f>IF($M116="","",N(INDEX(po_qty,$M116)))</f>
        <v/>
      </c>
      <c r="F116" s="74" t="str">
        <f>IF($M116="","",N(INDEX(po_rcv,$M116)))</f>
        <v/>
      </c>
      <c r="G116" s="74" t="str">
        <f>IF($M116="","",INDEX(po_rest,$M116))</f>
        <v/>
      </c>
      <c r="H116" s="73" t="str">
        <f>IF($M116="","",INDEX(po_due,$M116))</f>
        <v/>
      </c>
      <c r="I116" s="75" t="str">
        <f>IF($M116="","",IF(INDEX(po_status,$M116)="En retard",INDEX(po_late,$M116),""))</f>
        <v/>
      </c>
      <c r="J116" s="67" t="str">
        <f>IF($M116="","",INDEX(po_status,$M116)&amp;"")</f>
        <v/>
      </c>
      <c r="K116" s="70" t="str">
        <f>IF($M116="","",INDEX(po_restht,$M116))</f>
        <v/>
      </c>
      <c r="M116" t="str">
        <f>IFERROR(MATCH(SMALL(po_key,111),po_key,0),"")</f>
        <v/>
      </c>
    </row>
    <row r="117">
      <c r="A117" s="126" t="str">
        <f>IF($M117="","",INDEX(po_num,$M117)&amp;"")</f>
        <v/>
      </c>
      <c r="B117" s="66" t="str">
        <f>IF($M117="","",INDEX(po_supname,$M117)&amp;"")</f>
        <v/>
      </c>
      <c r="C117" s="66" t="str">
        <f>IF($M117="","",INDEX(po_ref,$M117)&amp;"")</f>
        <v/>
      </c>
      <c r="D117" s="66" t="str">
        <f>IF($M117="","",INDEX(po_des,$M117)&amp;"")</f>
        <v/>
      </c>
      <c r="E117" s="74" t="str">
        <f>IF($M117="","",N(INDEX(po_qty,$M117)))</f>
        <v/>
      </c>
      <c r="F117" s="74" t="str">
        <f>IF($M117="","",N(INDEX(po_rcv,$M117)))</f>
        <v/>
      </c>
      <c r="G117" s="74" t="str">
        <f>IF($M117="","",INDEX(po_rest,$M117))</f>
        <v/>
      </c>
      <c r="H117" s="73" t="str">
        <f>IF($M117="","",INDEX(po_due,$M117))</f>
        <v/>
      </c>
      <c r="I117" s="75" t="str">
        <f>IF($M117="","",IF(INDEX(po_status,$M117)="En retard",INDEX(po_late,$M117),""))</f>
        <v/>
      </c>
      <c r="J117" s="67" t="str">
        <f>IF($M117="","",INDEX(po_status,$M117)&amp;"")</f>
        <v/>
      </c>
      <c r="K117" s="70" t="str">
        <f>IF($M117="","",INDEX(po_restht,$M117))</f>
        <v/>
      </c>
      <c r="M117" t="str">
        <f>IFERROR(MATCH(SMALL(po_key,112),po_key,0),"")</f>
        <v/>
      </c>
    </row>
    <row r="118">
      <c r="A118" s="126" t="str">
        <f>IF($M118="","",INDEX(po_num,$M118)&amp;"")</f>
        <v/>
      </c>
      <c r="B118" s="66" t="str">
        <f>IF($M118="","",INDEX(po_supname,$M118)&amp;"")</f>
        <v/>
      </c>
      <c r="C118" s="66" t="str">
        <f>IF($M118="","",INDEX(po_ref,$M118)&amp;"")</f>
        <v/>
      </c>
      <c r="D118" s="66" t="str">
        <f>IF($M118="","",INDEX(po_des,$M118)&amp;"")</f>
        <v/>
      </c>
      <c r="E118" s="74" t="str">
        <f>IF($M118="","",N(INDEX(po_qty,$M118)))</f>
        <v/>
      </c>
      <c r="F118" s="74" t="str">
        <f>IF($M118="","",N(INDEX(po_rcv,$M118)))</f>
        <v/>
      </c>
      <c r="G118" s="74" t="str">
        <f>IF($M118="","",INDEX(po_rest,$M118))</f>
        <v/>
      </c>
      <c r="H118" s="73" t="str">
        <f>IF($M118="","",INDEX(po_due,$M118))</f>
        <v/>
      </c>
      <c r="I118" s="75" t="str">
        <f>IF($M118="","",IF(INDEX(po_status,$M118)="En retard",INDEX(po_late,$M118),""))</f>
        <v/>
      </c>
      <c r="J118" s="67" t="str">
        <f>IF($M118="","",INDEX(po_status,$M118)&amp;"")</f>
        <v/>
      </c>
      <c r="K118" s="70" t="str">
        <f>IF($M118="","",INDEX(po_restht,$M118))</f>
        <v/>
      </c>
      <c r="M118" t="str">
        <f>IFERROR(MATCH(SMALL(po_key,113),po_key,0),"")</f>
        <v/>
      </c>
    </row>
    <row r="119">
      <c r="A119" s="126" t="str">
        <f>IF($M119="","",INDEX(po_num,$M119)&amp;"")</f>
        <v/>
      </c>
      <c r="B119" s="66" t="str">
        <f>IF($M119="","",INDEX(po_supname,$M119)&amp;"")</f>
        <v/>
      </c>
      <c r="C119" s="66" t="str">
        <f>IF($M119="","",INDEX(po_ref,$M119)&amp;"")</f>
        <v/>
      </c>
      <c r="D119" s="66" t="str">
        <f>IF($M119="","",INDEX(po_des,$M119)&amp;"")</f>
        <v/>
      </c>
      <c r="E119" s="74" t="str">
        <f>IF($M119="","",N(INDEX(po_qty,$M119)))</f>
        <v/>
      </c>
      <c r="F119" s="74" t="str">
        <f>IF($M119="","",N(INDEX(po_rcv,$M119)))</f>
        <v/>
      </c>
      <c r="G119" s="74" t="str">
        <f>IF($M119="","",INDEX(po_rest,$M119))</f>
        <v/>
      </c>
      <c r="H119" s="73" t="str">
        <f>IF($M119="","",INDEX(po_due,$M119))</f>
        <v/>
      </c>
      <c r="I119" s="75" t="str">
        <f>IF($M119="","",IF(INDEX(po_status,$M119)="En retard",INDEX(po_late,$M119),""))</f>
        <v/>
      </c>
      <c r="J119" s="67" t="str">
        <f>IF($M119="","",INDEX(po_status,$M119)&amp;"")</f>
        <v/>
      </c>
      <c r="K119" s="70" t="str">
        <f>IF($M119="","",INDEX(po_restht,$M119))</f>
        <v/>
      </c>
      <c r="M119" t="str">
        <f>IFERROR(MATCH(SMALL(po_key,114),po_key,0),"")</f>
        <v/>
      </c>
    </row>
    <row r="120">
      <c r="A120" s="126" t="str">
        <f>IF($M120="","",INDEX(po_num,$M120)&amp;"")</f>
        <v/>
      </c>
      <c r="B120" s="66" t="str">
        <f>IF($M120="","",INDEX(po_supname,$M120)&amp;"")</f>
        <v/>
      </c>
      <c r="C120" s="66" t="str">
        <f>IF($M120="","",INDEX(po_ref,$M120)&amp;"")</f>
        <v/>
      </c>
      <c r="D120" s="66" t="str">
        <f>IF($M120="","",INDEX(po_des,$M120)&amp;"")</f>
        <v/>
      </c>
      <c r="E120" s="74" t="str">
        <f>IF($M120="","",N(INDEX(po_qty,$M120)))</f>
        <v/>
      </c>
      <c r="F120" s="74" t="str">
        <f>IF($M120="","",N(INDEX(po_rcv,$M120)))</f>
        <v/>
      </c>
      <c r="G120" s="74" t="str">
        <f>IF($M120="","",INDEX(po_rest,$M120))</f>
        <v/>
      </c>
      <c r="H120" s="73" t="str">
        <f>IF($M120="","",INDEX(po_due,$M120))</f>
        <v/>
      </c>
      <c r="I120" s="75" t="str">
        <f>IF($M120="","",IF(INDEX(po_status,$M120)="En retard",INDEX(po_late,$M120),""))</f>
        <v/>
      </c>
      <c r="J120" s="67" t="str">
        <f>IF($M120="","",INDEX(po_status,$M120)&amp;"")</f>
        <v/>
      </c>
      <c r="K120" s="70" t="str">
        <f>IF($M120="","",INDEX(po_restht,$M120))</f>
        <v/>
      </c>
      <c r="M120" t="str">
        <f>IFERROR(MATCH(SMALL(po_key,115),po_key,0),"")</f>
        <v/>
      </c>
    </row>
    <row r="121">
      <c r="A121" s="126" t="str">
        <f>IF($M121="","",INDEX(po_num,$M121)&amp;"")</f>
        <v/>
      </c>
      <c r="B121" s="66" t="str">
        <f>IF($M121="","",INDEX(po_supname,$M121)&amp;"")</f>
        <v/>
      </c>
      <c r="C121" s="66" t="str">
        <f>IF($M121="","",INDEX(po_ref,$M121)&amp;"")</f>
        <v/>
      </c>
      <c r="D121" s="66" t="str">
        <f>IF($M121="","",INDEX(po_des,$M121)&amp;"")</f>
        <v/>
      </c>
      <c r="E121" s="74" t="str">
        <f>IF($M121="","",N(INDEX(po_qty,$M121)))</f>
        <v/>
      </c>
      <c r="F121" s="74" t="str">
        <f>IF($M121="","",N(INDEX(po_rcv,$M121)))</f>
        <v/>
      </c>
      <c r="G121" s="74" t="str">
        <f>IF($M121="","",INDEX(po_rest,$M121))</f>
        <v/>
      </c>
      <c r="H121" s="73" t="str">
        <f>IF($M121="","",INDEX(po_due,$M121))</f>
        <v/>
      </c>
      <c r="I121" s="75" t="str">
        <f>IF($M121="","",IF(INDEX(po_status,$M121)="En retard",INDEX(po_late,$M121),""))</f>
        <v/>
      </c>
      <c r="J121" s="67" t="str">
        <f>IF($M121="","",INDEX(po_status,$M121)&amp;"")</f>
        <v/>
      </c>
      <c r="K121" s="70" t="str">
        <f>IF($M121="","",INDEX(po_restht,$M121))</f>
        <v/>
      </c>
      <c r="M121" t="str">
        <f>IFERROR(MATCH(SMALL(po_key,116),po_key,0),"")</f>
        <v/>
      </c>
    </row>
    <row r="122">
      <c r="A122" s="126" t="str">
        <f>IF($M122="","",INDEX(po_num,$M122)&amp;"")</f>
        <v/>
      </c>
      <c r="B122" s="66" t="str">
        <f>IF($M122="","",INDEX(po_supname,$M122)&amp;"")</f>
        <v/>
      </c>
      <c r="C122" s="66" t="str">
        <f>IF($M122="","",INDEX(po_ref,$M122)&amp;"")</f>
        <v/>
      </c>
      <c r="D122" s="66" t="str">
        <f>IF($M122="","",INDEX(po_des,$M122)&amp;"")</f>
        <v/>
      </c>
      <c r="E122" s="74" t="str">
        <f>IF($M122="","",N(INDEX(po_qty,$M122)))</f>
        <v/>
      </c>
      <c r="F122" s="74" t="str">
        <f>IF($M122="","",N(INDEX(po_rcv,$M122)))</f>
        <v/>
      </c>
      <c r="G122" s="74" t="str">
        <f>IF($M122="","",INDEX(po_rest,$M122))</f>
        <v/>
      </c>
      <c r="H122" s="73" t="str">
        <f>IF($M122="","",INDEX(po_due,$M122))</f>
        <v/>
      </c>
      <c r="I122" s="75" t="str">
        <f>IF($M122="","",IF(INDEX(po_status,$M122)="En retard",INDEX(po_late,$M122),""))</f>
        <v/>
      </c>
      <c r="J122" s="67" t="str">
        <f>IF($M122="","",INDEX(po_status,$M122)&amp;"")</f>
        <v/>
      </c>
      <c r="K122" s="70" t="str">
        <f>IF($M122="","",INDEX(po_restht,$M122))</f>
        <v/>
      </c>
      <c r="M122" t="str">
        <f>IFERROR(MATCH(SMALL(po_key,117),po_key,0),"")</f>
        <v/>
      </c>
    </row>
    <row r="123">
      <c r="A123" s="126" t="str">
        <f>IF($M123="","",INDEX(po_num,$M123)&amp;"")</f>
        <v/>
      </c>
      <c r="B123" s="66" t="str">
        <f>IF($M123="","",INDEX(po_supname,$M123)&amp;"")</f>
        <v/>
      </c>
      <c r="C123" s="66" t="str">
        <f>IF($M123="","",INDEX(po_ref,$M123)&amp;"")</f>
        <v/>
      </c>
      <c r="D123" s="66" t="str">
        <f>IF($M123="","",INDEX(po_des,$M123)&amp;"")</f>
        <v/>
      </c>
      <c r="E123" s="74" t="str">
        <f>IF($M123="","",N(INDEX(po_qty,$M123)))</f>
        <v/>
      </c>
      <c r="F123" s="74" t="str">
        <f>IF($M123="","",N(INDEX(po_rcv,$M123)))</f>
        <v/>
      </c>
      <c r="G123" s="74" t="str">
        <f>IF($M123="","",INDEX(po_rest,$M123))</f>
        <v/>
      </c>
      <c r="H123" s="73" t="str">
        <f>IF($M123="","",INDEX(po_due,$M123))</f>
        <v/>
      </c>
      <c r="I123" s="75" t="str">
        <f>IF($M123="","",IF(INDEX(po_status,$M123)="En retard",INDEX(po_late,$M123),""))</f>
        <v/>
      </c>
      <c r="J123" s="67" t="str">
        <f>IF($M123="","",INDEX(po_status,$M123)&amp;"")</f>
        <v/>
      </c>
      <c r="K123" s="70" t="str">
        <f>IF($M123="","",INDEX(po_restht,$M123))</f>
        <v/>
      </c>
      <c r="M123" t="str">
        <f>IFERROR(MATCH(SMALL(po_key,118),po_key,0),"")</f>
        <v/>
      </c>
    </row>
    <row r="124">
      <c r="A124" s="126" t="str">
        <f>IF($M124="","",INDEX(po_num,$M124)&amp;"")</f>
        <v/>
      </c>
      <c r="B124" s="66" t="str">
        <f>IF($M124="","",INDEX(po_supname,$M124)&amp;"")</f>
        <v/>
      </c>
      <c r="C124" s="66" t="str">
        <f>IF($M124="","",INDEX(po_ref,$M124)&amp;"")</f>
        <v/>
      </c>
      <c r="D124" s="66" t="str">
        <f>IF($M124="","",INDEX(po_des,$M124)&amp;"")</f>
        <v/>
      </c>
      <c r="E124" s="74" t="str">
        <f>IF($M124="","",N(INDEX(po_qty,$M124)))</f>
        <v/>
      </c>
      <c r="F124" s="74" t="str">
        <f>IF($M124="","",N(INDEX(po_rcv,$M124)))</f>
        <v/>
      </c>
      <c r="G124" s="74" t="str">
        <f>IF($M124="","",INDEX(po_rest,$M124))</f>
        <v/>
      </c>
      <c r="H124" s="73" t="str">
        <f>IF($M124="","",INDEX(po_due,$M124))</f>
        <v/>
      </c>
      <c r="I124" s="75" t="str">
        <f>IF($M124="","",IF(INDEX(po_status,$M124)="En retard",INDEX(po_late,$M124),""))</f>
        <v/>
      </c>
      <c r="J124" s="67" t="str">
        <f>IF($M124="","",INDEX(po_status,$M124)&amp;"")</f>
        <v/>
      </c>
      <c r="K124" s="70" t="str">
        <f>IF($M124="","",INDEX(po_restht,$M124))</f>
        <v/>
      </c>
      <c r="M124" t="str">
        <f>IFERROR(MATCH(SMALL(po_key,119),po_key,0),"")</f>
        <v/>
      </c>
    </row>
    <row r="125">
      <c r="A125" s="126" t="str">
        <f>IF($M125="","",INDEX(po_num,$M125)&amp;"")</f>
        <v/>
      </c>
      <c r="B125" s="66" t="str">
        <f>IF($M125="","",INDEX(po_supname,$M125)&amp;"")</f>
        <v/>
      </c>
      <c r="C125" s="66" t="str">
        <f>IF($M125="","",INDEX(po_ref,$M125)&amp;"")</f>
        <v/>
      </c>
      <c r="D125" s="66" t="str">
        <f>IF($M125="","",INDEX(po_des,$M125)&amp;"")</f>
        <v/>
      </c>
      <c r="E125" s="74" t="str">
        <f>IF($M125="","",N(INDEX(po_qty,$M125)))</f>
        <v/>
      </c>
      <c r="F125" s="74" t="str">
        <f>IF($M125="","",N(INDEX(po_rcv,$M125)))</f>
        <v/>
      </c>
      <c r="G125" s="74" t="str">
        <f>IF($M125="","",INDEX(po_rest,$M125))</f>
        <v/>
      </c>
      <c r="H125" s="73" t="str">
        <f>IF($M125="","",INDEX(po_due,$M125))</f>
        <v/>
      </c>
      <c r="I125" s="75" t="str">
        <f>IF($M125="","",IF(INDEX(po_status,$M125)="En retard",INDEX(po_late,$M125),""))</f>
        <v/>
      </c>
      <c r="J125" s="67" t="str">
        <f>IF($M125="","",INDEX(po_status,$M125)&amp;"")</f>
        <v/>
      </c>
      <c r="K125" s="70" t="str">
        <f>IF($M125="","",INDEX(po_restht,$M125))</f>
        <v/>
      </c>
      <c r="M125" t="str">
        <f>IFERROR(MATCH(SMALL(po_key,120),po_key,0),"")</f>
        <v/>
      </c>
    </row>
    <row r="126">
      <c r="A126" s="126" t="str">
        <f>IF($M126="","",INDEX(po_num,$M126)&amp;"")</f>
        <v/>
      </c>
      <c r="B126" s="66" t="str">
        <f>IF($M126="","",INDEX(po_supname,$M126)&amp;"")</f>
        <v/>
      </c>
      <c r="C126" s="66" t="str">
        <f>IF($M126="","",INDEX(po_ref,$M126)&amp;"")</f>
        <v/>
      </c>
      <c r="D126" s="66" t="str">
        <f>IF($M126="","",INDEX(po_des,$M126)&amp;"")</f>
        <v/>
      </c>
      <c r="E126" s="74" t="str">
        <f>IF($M126="","",N(INDEX(po_qty,$M126)))</f>
        <v/>
      </c>
      <c r="F126" s="74" t="str">
        <f>IF($M126="","",N(INDEX(po_rcv,$M126)))</f>
        <v/>
      </c>
      <c r="G126" s="74" t="str">
        <f>IF($M126="","",INDEX(po_rest,$M126))</f>
        <v/>
      </c>
      <c r="H126" s="73" t="str">
        <f>IF($M126="","",INDEX(po_due,$M126))</f>
        <v/>
      </c>
      <c r="I126" s="75" t="str">
        <f>IF($M126="","",IF(INDEX(po_status,$M126)="En retard",INDEX(po_late,$M126),""))</f>
        <v/>
      </c>
      <c r="J126" s="67" t="str">
        <f>IF($M126="","",INDEX(po_status,$M126)&amp;"")</f>
        <v/>
      </c>
      <c r="K126" s="70" t="str">
        <f>IF($M126="","",INDEX(po_restht,$M126))</f>
        <v/>
      </c>
      <c r="M126" t="str">
        <f>IFERROR(MATCH(SMALL(po_key,121),po_key,0),"")</f>
        <v/>
      </c>
    </row>
    <row r="127">
      <c r="A127" s="126" t="str">
        <f>IF($M127="","",INDEX(po_num,$M127)&amp;"")</f>
        <v/>
      </c>
      <c r="B127" s="66" t="str">
        <f>IF($M127="","",INDEX(po_supname,$M127)&amp;"")</f>
        <v/>
      </c>
      <c r="C127" s="66" t="str">
        <f>IF($M127="","",INDEX(po_ref,$M127)&amp;"")</f>
        <v/>
      </c>
      <c r="D127" s="66" t="str">
        <f>IF($M127="","",INDEX(po_des,$M127)&amp;"")</f>
        <v/>
      </c>
      <c r="E127" s="74" t="str">
        <f>IF($M127="","",N(INDEX(po_qty,$M127)))</f>
        <v/>
      </c>
      <c r="F127" s="74" t="str">
        <f>IF($M127="","",N(INDEX(po_rcv,$M127)))</f>
        <v/>
      </c>
      <c r="G127" s="74" t="str">
        <f>IF($M127="","",INDEX(po_rest,$M127))</f>
        <v/>
      </c>
      <c r="H127" s="73" t="str">
        <f>IF($M127="","",INDEX(po_due,$M127))</f>
        <v/>
      </c>
      <c r="I127" s="75" t="str">
        <f>IF($M127="","",IF(INDEX(po_status,$M127)="En retard",INDEX(po_late,$M127),""))</f>
        <v/>
      </c>
      <c r="J127" s="67" t="str">
        <f>IF($M127="","",INDEX(po_status,$M127)&amp;"")</f>
        <v/>
      </c>
      <c r="K127" s="70" t="str">
        <f>IF($M127="","",INDEX(po_restht,$M127))</f>
        <v/>
      </c>
      <c r="M127" t="str">
        <f>IFERROR(MATCH(SMALL(po_key,122),po_key,0),"")</f>
        <v/>
      </c>
    </row>
    <row r="128">
      <c r="A128" s="126" t="str">
        <f>IF($M128="","",INDEX(po_num,$M128)&amp;"")</f>
        <v/>
      </c>
      <c r="B128" s="66" t="str">
        <f>IF($M128="","",INDEX(po_supname,$M128)&amp;"")</f>
        <v/>
      </c>
      <c r="C128" s="66" t="str">
        <f>IF($M128="","",INDEX(po_ref,$M128)&amp;"")</f>
        <v/>
      </c>
      <c r="D128" s="66" t="str">
        <f>IF($M128="","",INDEX(po_des,$M128)&amp;"")</f>
        <v/>
      </c>
      <c r="E128" s="74" t="str">
        <f>IF($M128="","",N(INDEX(po_qty,$M128)))</f>
        <v/>
      </c>
      <c r="F128" s="74" t="str">
        <f>IF($M128="","",N(INDEX(po_rcv,$M128)))</f>
        <v/>
      </c>
      <c r="G128" s="74" t="str">
        <f>IF($M128="","",INDEX(po_rest,$M128))</f>
        <v/>
      </c>
      <c r="H128" s="73" t="str">
        <f>IF($M128="","",INDEX(po_due,$M128))</f>
        <v/>
      </c>
      <c r="I128" s="75" t="str">
        <f>IF($M128="","",IF(INDEX(po_status,$M128)="En retard",INDEX(po_late,$M128),""))</f>
        <v/>
      </c>
      <c r="J128" s="67" t="str">
        <f>IF($M128="","",INDEX(po_status,$M128)&amp;"")</f>
        <v/>
      </c>
      <c r="K128" s="70" t="str">
        <f>IF($M128="","",INDEX(po_restht,$M128))</f>
        <v/>
      </c>
      <c r="M128" t="str">
        <f>IFERROR(MATCH(SMALL(po_key,123),po_key,0),"")</f>
        <v/>
      </c>
    </row>
    <row r="129">
      <c r="A129" s="126" t="str">
        <f>IF($M129="","",INDEX(po_num,$M129)&amp;"")</f>
        <v/>
      </c>
      <c r="B129" s="66" t="str">
        <f>IF($M129="","",INDEX(po_supname,$M129)&amp;"")</f>
        <v/>
      </c>
      <c r="C129" s="66" t="str">
        <f>IF($M129="","",INDEX(po_ref,$M129)&amp;"")</f>
        <v/>
      </c>
      <c r="D129" s="66" t="str">
        <f>IF($M129="","",INDEX(po_des,$M129)&amp;"")</f>
        <v/>
      </c>
      <c r="E129" s="74" t="str">
        <f>IF($M129="","",N(INDEX(po_qty,$M129)))</f>
        <v/>
      </c>
      <c r="F129" s="74" t="str">
        <f>IF($M129="","",N(INDEX(po_rcv,$M129)))</f>
        <v/>
      </c>
      <c r="G129" s="74" t="str">
        <f>IF($M129="","",INDEX(po_rest,$M129))</f>
        <v/>
      </c>
      <c r="H129" s="73" t="str">
        <f>IF($M129="","",INDEX(po_due,$M129))</f>
        <v/>
      </c>
      <c r="I129" s="75" t="str">
        <f>IF($M129="","",IF(INDEX(po_status,$M129)="En retard",INDEX(po_late,$M129),""))</f>
        <v/>
      </c>
      <c r="J129" s="67" t="str">
        <f>IF($M129="","",INDEX(po_status,$M129)&amp;"")</f>
        <v/>
      </c>
      <c r="K129" s="70" t="str">
        <f>IF($M129="","",INDEX(po_restht,$M129))</f>
        <v/>
      </c>
      <c r="M129" t="str">
        <f>IFERROR(MATCH(SMALL(po_key,124),po_key,0),"")</f>
        <v/>
      </c>
    </row>
    <row r="130">
      <c r="A130" s="126" t="str">
        <f>IF($M130="","",INDEX(po_num,$M130)&amp;"")</f>
        <v/>
      </c>
      <c r="B130" s="66" t="str">
        <f>IF($M130="","",INDEX(po_supname,$M130)&amp;"")</f>
        <v/>
      </c>
      <c r="C130" s="66" t="str">
        <f>IF($M130="","",INDEX(po_ref,$M130)&amp;"")</f>
        <v/>
      </c>
      <c r="D130" s="66" t="str">
        <f>IF($M130="","",INDEX(po_des,$M130)&amp;"")</f>
        <v/>
      </c>
      <c r="E130" s="74" t="str">
        <f>IF($M130="","",N(INDEX(po_qty,$M130)))</f>
        <v/>
      </c>
      <c r="F130" s="74" t="str">
        <f>IF($M130="","",N(INDEX(po_rcv,$M130)))</f>
        <v/>
      </c>
      <c r="G130" s="74" t="str">
        <f>IF($M130="","",INDEX(po_rest,$M130))</f>
        <v/>
      </c>
      <c r="H130" s="73" t="str">
        <f>IF($M130="","",INDEX(po_due,$M130))</f>
        <v/>
      </c>
      <c r="I130" s="75" t="str">
        <f>IF($M130="","",IF(INDEX(po_status,$M130)="En retard",INDEX(po_late,$M130),""))</f>
        <v/>
      </c>
      <c r="J130" s="67" t="str">
        <f>IF($M130="","",INDEX(po_status,$M130)&amp;"")</f>
        <v/>
      </c>
      <c r="K130" s="70" t="str">
        <f>IF($M130="","",INDEX(po_restht,$M130))</f>
        <v/>
      </c>
      <c r="M130" t="str">
        <f>IFERROR(MATCH(SMALL(po_key,125),po_key,0),"")</f>
        <v/>
      </c>
    </row>
    <row r="131">
      <c r="A131" s="126" t="str">
        <f>IF($M131="","",INDEX(po_num,$M131)&amp;"")</f>
        <v/>
      </c>
      <c r="B131" s="66" t="str">
        <f>IF($M131="","",INDEX(po_supname,$M131)&amp;"")</f>
        <v/>
      </c>
      <c r="C131" s="66" t="str">
        <f>IF($M131="","",INDEX(po_ref,$M131)&amp;"")</f>
        <v/>
      </c>
      <c r="D131" s="66" t="str">
        <f>IF($M131="","",INDEX(po_des,$M131)&amp;"")</f>
        <v/>
      </c>
      <c r="E131" s="74" t="str">
        <f>IF($M131="","",N(INDEX(po_qty,$M131)))</f>
        <v/>
      </c>
      <c r="F131" s="74" t="str">
        <f>IF($M131="","",N(INDEX(po_rcv,$M131)))</f>
        <v/>
      </c>
      <c r="G131" s="74" t="str">
        <f>IF($M131="","",INDEX(po_rest,$M131))</f>
        <v/>
      </c>
      <c r="H131" s="73" t="str">
        <f>IF($M131="","",INDEX(po_due,$M131))</f>
        <v/>
      </c>
      <c r="I131" s="75" t="str">
        <f>IF($M131="","",IF(INDEX(po_status,$M131)="En retard",INDEX(po_late,$M131),""))</f>
        <v/>
      </c>
      <c r="J131" s="67" t="str">
        <f>IF($M131="","",INDEX(po_status,$M131)&amp;"")</f>
        <v/>
      </c>
      <c r="K131" s="70" t="str">
        <f>IF($M131="","",INDEX(po_restht,$M131))</f>
        <v/>
      </c>
      <c r="M131" t="str">
        <f>IFERROR(MATCH(SMALL(po_key,126),po_key,0),"")</f>
        <v/>
      </c>
    </row>
    <row r="132">
      <c r="A132" s="126" t="str">
        <f>IF($M132="","",INDEX(po_num,$M132)&amp;"")</f>
        <v/>
      </c>
      <c r="B132" s="66" t="str">
        <f>IF($M132="","",INDEX(po_supname,$M132)&amp;"")</f>
        <v/>
      </c>
      <c r="C132" s="66" t="str">
        <f>IF($M132="","",INDEX(po_ref,$M132)&amp;"")</f>
        <v/>
      </c>
      <c r="D132" s="66" t="str">
        <f>IF($M132="","",INDEX(po_des,$M132)&amp;"")</f>
        <v/>
      </c>
      <c r="E132" s="74" t="str">
        <f>IF($M132="","",N(INDEX(po_qty,$M132)))</f>
        <v/>
      </c>
      <c r="F132" s="74" t="str">
        <f>IF($M132="","",N(INDEX(po_rcv,$M132)))</f>
        <v/>
      </c>
      <c r="G132" s="74" t="str">
        <f>IF($M132="","",INDEX(po_rest,$M132))</f>
        <v/>
      </c>
      <c r="H132" s="73" t="str">
        <f>IF($M132="","",INDEX(po_due,$M132))</f>
        <v/>
      </c>
      <c r="I132" s="75" t="str">
        <f>IF($M132="","",IF(INDEX(po_status,$M132)="En retard",INDEX(po_late,$M132),""))</f>
        <v/>
      </c>
      <c r="J132" s="67" t="str">
        <f>IF($M132="","",INDEX(po_status,$M132)&amp;"")</f>
        <v/>
      </c>
      <c r="K132" s="70" t="str">
        <f>IF($M132="","",INDEX(po_restht,$M132))</f>
        <v/>
      </c>
      <c r="M132" t="str">
        <f>IFERROR(MATCH(SMALL(po_key,127),po_key,0),"")</f>
        <v/>
      </c>
    </row>
    <row r="133">
      <c r="A133" s="126" t="str">
        <f>IF($M133="","",INDEX(po_num,$M133)&amp;"")</f>
        <v/>
      </c>
      <c r="B133" s="66" t="str">
        <f>IF($M133="","",INDEX(po_supname,$M133)&amp;"")</f>
        <v/>
      </c>
      <c r="C133" s="66" t="str">
        <f>IF($M133="","",INDEX(po_ref,$M133)&amp;"")</f>
        <v/>
      </c>
      <c r="D133" s="66" t="str">
        <f>IF($M133="","",INDEX(po_des,$M133)&amp;"")</f>
        <v/>
      </c>
      <c r="E133" s="74" t="str">
        <f>IF($M133="","",N(INDEX(po_qty,$M133)))</f>
        <v/>
      </c>
      <c r="F133" s="74" t="str">
        <f>IF($M133="","",N(INDEX(po_rcv,$M133)))</f>
        <v/>
      </c>
      <c r="G133" s="74" t="str">
        <f>IF($M133="","",INDEX(po_rest,$M133))</f>
        <v/>
      </c>
      <c r="H133" s="73" t="str">
        <f>IF($M133="","",INDEX(po_due,$M133))</f>
        <v/>
      </c>
      <c r="I133" s="75" t="str">
        <f>IF($M133="","",IF(INDEX(po_status,$M133)="En retard",INDEX(po_late,$M133),""))</f>
        <v/>
      </c>
      <c r="J133" s="67" t="str">
        <f>IF($M133="","",INDEX(po_status,$M133)&amp;"")</f>
        <v/>
      </c>
      <c r="K133" s="70" t="str">
        <f>IF($M133="","",INDEX(po_restht,$M133))</f>
        <v/>
      </c>
      <c r="M133" t="str">
        <f>IFERROR(MATCH(SMALL(po_key,128),po_key,0),"")</f>
        <v/>
      </c>
    </row>
    <row r="134">
      <c r="A134" s="126" t="str">
        <f>IF($M134="","",INDEX(po_num,$M134)&amp;"")</f>
        <v/>
      </c>
      <c r="B134" s="66" t="str">
        <f>IF($M134="","",INDEX(po_supname,$M134)&amp;"")</f>
        <v/>
      </c>
      <c r="C134" s="66" t="str">
        <f>IF($M134="","",INDEX(po_ref,$M134)&amp;"")</f>
        <v/>
      </c>
      <c r="D134" s="66" t="str">
        <f>IF($M134="","",INDEX(po_des,$M134)&amp;"")</f>
        <v/>
      </c>
      <c r="E134" s="74" t="str">
        <f>IF($M134="","",N(INDEX(po_qty,$M134)))</f>
        <v/>
      </c>
      <c r="F134" s="74" t="str">
        <f>IF($M134="","",N(INDEX(po_rcv,$M134)))</f>
        <v/>
      </c>
      <c r="G134" s="74" t="str">
        <f>IF($M134="","",INDEX(po_rest,$M134))</f>
        <v/>
      </c>
      <c r="H134" s="73" t="str">
        <f>IF($M134="","",INDEX(po_due,$M134))</f>
        <v/>
      </c>
      <c r="I134" s="75" t="str">
        <f>IF($M134="","",IF(INDEX(po_status,$M134)="En retard",INDEX(po_late,$M134),""))</f>
        <v/>
      </c>
      <c r="J134" s="67" t="str">
        <f>IF($M134="","",INDEX(po_status,$M134)&amp;"")</f>
        <v/>
      </c>
      <c r="K134" s="70" t="str">
        <f>IF($M134="","",INDEX(po_restht,$M134))</f>
        <v/>
      </c>
      <c r="M134" t="str">
        <f>IFERROR(MATCH(SMALL(po_key,129),po_key,0),"")</f>
        <v/>
      </c>
    </row>
    <row r="135">
      <c r="A135" s="126" t="str">
        <f>IF($M135="","",INDEX(po_num,$M135)&amp;"")</f>
        <v/>
      </c>
      <c r="B135" s="66" t="str">
        <f>IF($M135="","",INDEX(po_supname,$M135)&amp;"")</f>
        <v/>
      </c>
      <c r="C135" s="66" t="str">
        <f>IF($M135="","",INDEX(po_ref,$M135)&amp;"")</f>
        <v/>
      </c>
      <c r="D135" s="66" t="str">
        <f>IF($M135="","",INDEX(po_des,$M135)&amp;"")</f>
        <v/>
      </c>
      <c r="E135" s="74" t="str">
        <f>IF($M135="","",N(INDEX(po_qty,$M135)))</f>
        <v/>
      </c>
      <c r="F135" s="74" t="str">
        <f>IF($M135="","",N(INDEX(po_rcv,$M135)))</f>
        <v/>
      </c>
      <c r="G135" s="74" t="str">
        <f>IF($M135="","",INDEX(po_rest,$M135))</f>
        <v/>
      </c>
      <c r="H135" s="73" t="str">
        <f>IF($M135="","",INDEX(po_due,$M135))</f>
        <v/>
      </c>
      <c r="I135" s="75" t="str">
        <f>IF($M135="","",IF(INDEX(po_status,$M135)="En retard",INDEX(po_late,$M135),""))</f>
        <v/>
      </c>
      <c r="J135" s="67" t="str">
        <f>IF($M135="","",INDEX(po_status,$M135)&amp;"")</f>
        <v/>
      </c>
      <c r="K135" s="70" t="str">
        <f>IF($M135="","",INDEX(po_restht,$M135))</f>
        <v/>
      </c>
      <c r="M135" t="str">
        <f>IFERROR(MATCH(SMALL(po_key,130),po_key,0),"")</f>
        <v/>
      </c>
    </row>
    <row r="136">
      <c r="A136" s="126" t="str">
        <f>IF($M136="","",INDEX(po_num,$M136)&amp;"")</f>
        <v/>
      </c>
      <c r="B136" s="66" t="str">
        <f>IF($M136="","",INDEX(po_supname,$M136)&amp;"")</f>
        <v/>
      </c>
      <c r="C136" s="66" t="str">
        <f>IF($M136="","",INDEX(po_ref,$M136)&amp;"")</f>
        <v/>
      </c>
      <c r="D136" s="66" t="str">
        <f>IF($M136="","",INDEX(po_des,$M136)&amp;"")</f>
        <v/>
      </c>
      <c r="E136" s="74" t="str">
        <f>IF($M136="","",N(INDEX(po_qty,$M136)))</f>
        <v/>
      </c>
      <c r="F136" s="74" t="str">
        <f>IF($M136="","",N(INDEX(po_rcv,$M136)))</f>
        <v/>
      </c>
      <c r="G136" s="74" t="str">
        <f>IF($M136="","",INDEX(po_rest,$M136))</f>
        <v/>
      </c>
      <c r="H136" s="73" t="str">
        <f>IF($M136="","",INDEX(po_due,$M136))</f>
        <v/>
      </c>
      <c r="I136" s="75" t="str">
        <f>IF($M136="","",IF(INDEX(po_status,$M136)="En retard",INDEX(po_late,$M136),""))</f>
        <v/>
      </c>
      <c r="J136" s="67" t="str">
        <f>IF($M136="","",INDEX(po_status,$M136)&amp;"")</f>
        <v/>
      </c>
      <c r="K136" s="70" t="str">
        <f>IF($M136="","",INDEX(po_restht,$M136))</f>
        <v/>
      </c>
      <c r="M136" t="str">
        <f>IFERROR(MATCH(SMALL(po_key,131),po_key,0),"")</f>
        <v/>
      </c>
    </row>
    <row r="137">
      <c r="A137" s="126" t="str">
        <f>IF($M137="","",INDEX(po_num,$M137)&amp;"")</f>
        <v/>
      </c>
      <c r="B137" s="66" t="str">
        <f>IF($M137="","",INDEX(po_supname,$M137)&amp;"")</f>
        <v/>
      </c>
      <c r="C137" s="66" t="str">
        <f>IF($M137="","",INDEX(po_ref,$M137)&amp;"")</f>
        <v/>
      </c>
      <c r="D137" s="66" t="str">
        <f>IF($M137="","",INDEX(po_des,$M137)&amp;"")</f>
        <v/>
      </c>
      <c r="E137" s="74" t="str">
        <f>IF($M137="","",N(INDEX(po_qty,$M137)))</f>
        <v/>
      </c>
      <c r="F137" s="74" t="str">
        <f>IF($M137="","",N(INDEX(po_rcv,$M137)))</f>
        <v/>
      </c>
      <c r="G137" s="74" t="str">
        <f>IF($M137="","",INDEX(po_rest,$M137))</f>
        <v/>
      </c>
      <c r="H137" s="73" t="str">
        <f>IF($M137="","",INDEX(po_due,$M137))</f>
        <v/>
      </c>
      <c r="I137" s="75" t="str">
        <f>IF($M137="","",IF(INDEX(po_status,$M137)="En retard",INDEX(po_late,$M137),""))</f>
        <v/>
      </c>
      <c r="J137" s="67" t="str">
        <f>IF($M137="","",INDEX(po_status,$M137)&amp;"")</f>
        <v/>
      </c>
      <c r="K137" s="70" t="str">
        <f>IF($M137="","",INDEX(po_restht,$M137))</f>
        <v/>
      </c>
      <c r="M137" t="str">
        <f>IFERROR(MATCH(SMALL(po_key,132),po_key,0),"")</f>
        <v/>
      </c>
    </row>
    <row r="138">
      <c r="A138" s="126" t="str">
        <f>IF($M138="","",INDEX(po_num,$M138)&amp;"")</f>
        <v/>
      </c>
      <c r="B138" s="66" t="str">
        <f>IF($M138="","",INDEX(po_supname,$M138)&amp;"")</f>
        <v/>
      </c>
      <c r="C138" s="66" t="str">
        <f>IF($M138="","",INDEX(po_ref,$M138)&amp;"")</f>
        <v/>
      </c>
      <c r="D138" s="66" t="str">
        <f>IF($M138="","",INDEX(po_des,$M138)&amp;"")</f>
        <v/>
      </c>
      <c r="E138" s="74" t="str">
        <f>IF($M138="","",N(INDEX(po_qty,$M138)))</f>
        <v/>
      </c>
      <c r="F138" s="74" t="str">
        <f>IF($M138="","",N(INDEX(po_rcv,$M138)))</f>
        <v/>
      </c>
      <c r="G138" s="74" t="str">
        <f>IF($M138="","",INDEX(po_rest,$M138))</f>
        <v/>
      </c>
      <c r="H138" s="73" t="str">
        <f>IF($M138="","",INDEX(po_due,$M138))</f>
        <v/>
      </c>
      <c r="I138" s="75" t="str">
        <f>IF($M138="","",IF(INDEX(po_status,$M138)="En retard",INDEX(po_late,$M138),""))</f>
        <v/>
      </c>
      <c r="J138" s="67" t="str">
        <f>IF($M138="","",INDEX(po_status,$M138)&amp;"")</f>
        <v/>
      </c>
      <c r="K138" s="70" t="str">
        <f>IF($M138="","",INDEX(po_restht,$M138))</f>
        <v/>
      </c>
      <c r="M138" t="str">
        <f>IFERROR(MATCH(SMALL(po_key,133),po_key,0),"")</f>
        <v/>
      </c>
    </row>
    <row r="139">
      <c r="A139" s="126" t="str">
        <f>IF($M139="","",INDEX(po_num,$M139)&amp;"")</f>
        <v/>
      </c>
      <c r="B139" s="66" t="str">
        <f>IF($M139="","",INDEX(po_supname,$M139)&amp;"")</f>
        <v/>
      </c>
      <c r="C139" s="66" t="str">
        <f>IF($M139="","",INDEX(po_ref,$M139)&amp;"")</f>
        <v/>
      </c>
      <c r="D139" s="66" t="str">
        <f>IF($M139="","",INDEX(po_des,$M139)&amp;"")</f>
        <v/>
      </c>
      <c r="E139" s="74" t="str">
        <f>IF($M139="","",N(INDEX(po_qty,$M139)))</f>
        <v/>
      </c>
      <c r="F139" s="74" t="str">
        <f>IF($M139="","",N(INDEX(po_rcv,$M139)))</f>
        <v/>
      </c>
      <c r="G139" s="74" t="str">
        <f>IF($M139="","",INDEX(po_rest,$M139))</f>
        <v/>
      </c>
      <c r="H139" s="73" t="str">
        <f>IF($M139="","",INDEX(po_due,$M139))</f>
        <v/>
      </c>
      <c r="I139" s="75" t="str">
        <f>IF($M139="","",IF(INDEX(po_status,$M139)="En retard",INDEX(po_late,$M139),""))</f>
        <v/>
      </c>
      <c r="J139" s="67" t="str">
        <f>IF($M139="","",INDEX(po_status,$M139)&amp;"")</f>
        <v/>
      </c>
      <c r="K139" s="70" t="str">
        <f>IF($M139="","",INDEX(po_restht,$M139))</f>
        <v/>
      </c>
      <c r="M139" t="str">
        <f>IFERROR(MATCH(SMALL(po_key,134),po_key,0),"")</f>
        <v/>
      </c>
    </row>
    <row r="140">
      <c r="A140" s="126" t="str">
        <f>IF($M140="","",INDEX(po_num,$M140)&amp;"")</f>
        <v/>
      </c>
      <c r="B140" s="66" t="str">
        <f>IF($M140="","",INDEX(po_supname,$M140)&amp;"")</f>
        <v/>
      </c>
      <c r="C140" s="66" t="str">
        <f>IF($M140="","",INDEX(po_ref,$M140)&amp;"")</f>
        <v/>
      </c>
      <c r="D140" s="66" t="str">
        <f>IF($M140="","",INDEX(po_des,$M140)&amp;"")</f>
        <v/>
      </c>
      <c r="E140" s="74" t="str">
        <f>IF($M140="","",N(INDEX(po_qty,$M140)))</f>
        <v/>
      </c>
      <c r="F140" s="74" t="str">
        <f>IF($M140="","",N(INDEX(po_rcv,$M140)))</f>
        <v/>
      </c>
      <c r="G140" s="74" t="str">
        <f>IF($M140="","",INDEX(po_rest,$M140))</f>
        <v/>
      </c>
      <c r="H140" s="73" t="str">
        <f>IF($M140="","",INDEX(po_due,$M140))</f>
        <v/>
      </c>
      <c r="I140" s="75" t="str">
        <f>IF($M140="","",IF(INDEX(po_status,$M140)="En retard",INDEX(po_late,$M140),""))</f>
        <v/>
      </c>
      <c r="J140" s="67" t="str">
        <f>IF($M140="","",INDEX(po_status,$M140)&amp;"")</f>
        <v/>
      </c>
      <c r="K140" s="70" t="str">
        <f>IF($M140="","",INDEX(po_restht,$M140))</f>
        <v/>
      </c>
      <c r="M140" t="str">
        <f>IFERROR(MATCH(SMALL(po_key,135),po_key,0),"")</f>
        <v/>
      </c>
    </row>
    <row r="141">
      <c r="A141" s="126" t="str">
        <f>IF($M141="","",INDEX(po_num,$M141)&amp;"")</f>
        <v/>
      </c>
      <c r="B141" s="66" t="str">
        <f>IF($M141="","",INDEX(po_supname,$M141)&amp;"")</f>
        <v/>
      </c>
      <c r="C141" s="66" t="str">
        <f>IF($M141="","",INDEX(po_ref,$M141)&amp;"")</f>
        <v/>
      </c>
      <c r="D141" s="66" t="str">
        <f>IF($M141="","",INDEX(po_des,$M141)&amp;"")</f>
        <v/>
      </c>
      <c r="E141" s="74" t="str">
        <f>IF($M141="","",N(INDEX(po_qty,$M141)))</f>
        <v/>
      </c>
      <c r="F141" s="74" t="str">
        <f>IF($M141="","",N(INDEX(po_rcv,$M141)))</f>
        <v/>
      </c>
      <c r="G141" s="74" t="str">
        <f>IF($M141="","",INDEX(po_rest,$M141))</f>
        <v/>
      </c>
      <c r="H141" s="73" t="str">
        <f>IF($M141="","",INDEX(po_due,$M141))</f>
        <v/>
      </c>
      <c r="I141" s="75" t="str">
        <f>IF($M141="","",IF(INDEX(po_status,$M141)="En retard",INDEX(po_late,$M141),""))</f>
        <v/>
      </c>
      <c r="J141" s="67" t="str">
        <f>IF($M141="","",INDEX(po_status,$M141)&amp;"")</f>
        <v/>
      </c>
      <c r="K141" s="70" t="str">
        <f>IF($M141="","",INDEX(po_restht,$M141))</f>
        <v/>
      </c>
      <c r="M141" t="str">
        <f>IFERROR(MATCH(SMALL(po_key,136),po_key,0),"")</f>
        <v/>
      </c>
    </row>
    <row r="142">
      <c r="A142" s="126" t="str">
        <f>IF($M142="","",INDEX(po_num,$M142)&amp;"")</f>
        <v/>
      </c>
      <c r="B142" s="66" t="str">
        <f>IF($M142="","",INDEX(po_supname,$M142)&amp;"")</f>
        <v/>
      </c>
      <c r="C142" s="66" t="str">
        <f>IF($M142="","",INDEX(po_ref,$M142)&amp;"")</f>
        <v/>
      </c>
      <c r="D142" s="66" t="str">
        <f>IF($M142="","",INDEX(po_des,$M142)&amp;"")</f>
        <v/>
      </c>
      <c r="E142" s="74" t="str">
        <f>IF($M142="","",N(INDEX(po_qty,$M142)))</f>
        <v/>
      </c>
      <c r="F142" s="74" t="str">
        <f>IF($M142="","",N(INDEX(po_rcv,$M142)))</f>
        <v/>
      </c>
      <c r="G142" s="74" t="str">
        <f>IF($M142="","",INDEX(po_rest,$M142))</f>
        <v/>
      </c>
      <c r="H142" s="73" t="str">
        <f>IF($M142="","",INDEX(po_due,$M142))</f>
        <v/>
      </c>
      <c r="I142" s="75" t="str">
        <f>IF($M142="","",IF(INDEX(po_status,$M142)="En retard",INDEX(po_late,$M142),""))</f>
        <v/>
      </c>
      <c r="J142" s="67" t="str">
        <f>IF($M142="","",INDEX(po_status,$M142)&amp;"")</f>
        <v/>
      </c>
      <c r="K142" s="70" t="str">
        <f>IF($M142="","",INDEX(po_restht,$M142))</f>
        <v/>
      </c>
      <c r="M142" t="str">
        <f>IFERROR(MATCH(SMALL(po_key,137),po_key,0),"")</f>
        <v/>
      </c>
    </row>
    <row r="143">
      <c r="A143" s="126" t="str">
        <f>IF($M143="","",INDEX(po_num,$M143)&amp;"")</f>
        <v/>
      </c>
      <c r="B143" s="66" t="str">
        <f>IF($M143="","",INDEX(po_supname,$M143)&amp;"")</f>
        <v/>
      </c>
      <c r="C143" s="66" t="str">
        <f>IF($M143="","",INDEX(po_ref,$M143)&amp;"")</f>
        <v/>
      </c>
      <c r="D143" s="66" t="str">
        <f>IF($M143="","",INDEX(po_des,$M143)&amp;"")</f>
        <v/>
      </c>
      <c r="E143" s="74" t="str">
        <f>IF($M143="","",N(INDEX(po_qty,$M143)))</f>
        <v/>
      </c>
      <c r="F143" s="74" t="str">
        <f>IF($M143="","",N(INDEX(po_rcv,$M143)))</f>
        <v/>
      </c>
      <c r="G143" s="74" t="str">
        <f>IF($M143="","",INDEX(po_rest,$M143))</f>
        <v/>
      </c>
      <c r="H143" s="73" t="str">
        <f>IF($M143="","",INDEX(po_due,$M143))</f>
        <v/>
      </c>
      <c r="I143" s="75" t="str">
        <f>IF($M143="","",IF(INDEX(po_status,$M143)="En retard",INDEX(po_late,$M143),""))</f>
        <v/>
      </c>
      <c r="J143" s="67" t="str">
        <f>IF($M143="","",INDEX(po_status,$M143)&amp;"")</f>
        <v/>
      </c>
      <c r="K143" s="70" t="str">
        <f>IF($M143="","",INDEX(po_restht,$M143))</f>
        <v/>
      </c>
      <c r="M143" t="str">
        <f>IFERROR(MATCH(SMALL(po_key,138),po_key,0),"")</f>
        <v/>
      </c>
    </row>
    <row r="144">
      <c r="A144" s="126" t="str">
        <f>IF($M144="","",INDEX(po_num,$M144)&amp;"")</f>
        <v/>
      </c>
      <c r="B144" s="66" t="str">
        <f>IF($M144="","",INDEX(po_supname,$M144)&amp;"")</f>
        <v/>
      </c>
      <c r="C144" s="66" t="str">
        <f>IF($M144="","",INDEX(po_ref,$M144)&amp;"")</f>
        <v/>
      </c>
      <c r="D144" s="66" t="str">
        <f>IF($M144="","",INDEX(po_des,$M144)&amp;"")</f>
        <v/>
      </c>
      <c r="E144" s="74" t="str">
        <f>IF($M144="","",N(INDEX(po_qty,$M144)))</f>
        <v/>
      </c>
      <c r="F144" s="74" t="str">
        <f>IF($M144="","",N(INDEX(po_rcv,$M144)))</f>
        <v/>
      </c>
      <c r="G144" s="74" t="str">
        <f>IF($M144="","",INDEX(po_rest,$M144))</f>
        <v/>
      </c>
      <c r="H144" s="73" t="str">
        <f>IF($M144="","",INDEX(po_due,$M144))</f>
        <v/>
      </c>
      <c r="I144" s="75" t="str">
        <f>IF($M144="","",IF(INDEX(po_status,$M144)="En retard",INDEX(po_late,$M144),""))</f>
        <v/>
      </c>
      <c r="J144" s="67" t="str">
        <f>IF($M144="","",INDEX(po_status,$M144)&amp;"")</f>
        <v/>
      </c>
      <c r="K144" s="70" t="str">
        <f>IF($M144="","",INDEX(po_restht,$M144))</f>
        <v/>
      </c>
      <c r="M144" t="str">
        <f>IFERROR(MATCH(SMALL(po_key,139),po_key,0),"")</f>
        <v/>
      </c>
    </row>
    <row r="145">
      <c r="A145" s="126" t="str">
        <f>IF($M145="","",INDEX(po_num,$M145)&amp;"")</f>
        <v/>
      </c>
      <c r="B145" s="66" t="str">
        <f>IF($M145="","",INDEX(po_supname,$M145)&amp;"")</f>
        <v/>
      </c>
      <c r="C145" s="66" t="str">
        <f>IF($M145="","",INDEX(po_ref,$M145)&amp;"")</f>
        <v/>
      </c>
      <c r="D145" s="66" t="str">
        <f>IF($M145="","",INDEX(po_des,$M145)&amp;"")</f>
        <v/>
      </c>
      <c r="E145" s="74" t="str">
        <f>IF($M145="","",N(INDEX(po_qty,$M145)))</f>
        <v/>
      </c>
      <c r="F145" s="74" t="str">
        <f>IF($M145="","",N(INDEX(po_rcv,$M145)))</f>
        <v/>
      </c>
      <c r="G145" s="74" t="str">
        <f>IF($M145="","",INDEX(po_rest,$M145))</f>
        <v/>
      </c>
      <c r="H145" s="73" t="str">
        <f>IF($M145="","",INDEX(po_due,$M145))</f>
        <v/>
      </c>
      <c r="I145" s="75" t="str">
        <f>IF($M145="","",IF(INDEX(po_status,$M145)="En retard",INDEX(po_late,$M145),""))</f>
        <v/>
      </c>
      <c r="J145" s="67" t="str">
        <f>IF($M145="","",INDEX(po_status,$M145)&amp;"")</f>
        <v/>
      </c>
      <c r="K145" s="70" t="str">
        <f>IF($M145="","",INDEX(po_restht,$M145))</f>
        <v/>
      </c>
      <c r="M145" t="str">
        <f>IFERROR(MATCH(SMALL(po_key,140),po_key,0),"")</f>
        <v/>
      </c>
    </row>
    <row r="146">
      <c r="A146" s="126" t="str">
        <f>IF($M146="","",INDEX(po_num,$M146)&amp;"")</f>
        <v/>
      </c>
      <c r="B146" s="66" t="str">
        <f>IF($M146="","",INDEX(po_supname,$M146)&amp;"")</f>
        <v/>
      </c>
      <c r="C146" s="66" t="str">
        <f>IF($M146="","",INDEX(po_ref,$M146)&amp;"")</f>
        <v/>
      </c>
      <c r="D146" s="66" t="str">
        <f>IF($M146="","",INDEX(po_des,$M146)&amp;"")</f>
        <v/>
      </c>
      <c r="E146" s="74" t="str">
        <f>IF($M146="","",N(INDEX(po_qty,$M146)))</f>
        <v/>
      </c>
      <c r="F146" s="74" t="str">
        <f>IF($M146="","",N(INDEX(po_rcv,$M146)))</f>
        <v/>
      </c>
      <c r="G146" s="74" t="str">
        <f>IF($M146="","",INDEX(po_rest,$M146))</f>
        <v/>
      </c>
      <c r="H146" s="73" t="str">
        <f>IF($M146="","",INDEX(po_due,$M146))</f>
        <v/>
      </c>
      <c r="I146" s="75" t="str">
        <f>IF($M146="","",IF(INDEX(po_status,$M146)="En retard",INDEX(po_late,$M146),""))</f>
        <v/>
      </c>
      <c r="J146" s="67" t="str">
        <f>IF($M146="","",INDEX(po_status,$M146)&amp;"")</f>
        <v/>
      </c>
      <c r="K146" s="70" t="str">
        <f>IF($M146="","",INDEX(po_restht,$M146))</f>
        <v/>
      </c>
      <c r="M146" t="str">
        <f>IFERROR(MATCH(SMALL(po_key,141),po_key,0),"")</f>
        <v/>
      </c>
    </row>
    <row r="147">
      <c r="A147" s="126" t="str">
        <f>IF($M147="","",INDEX(po_num,$M147)&amp;"")</f>
        <v/>
      </c>
      <c r="B147" s="66" t="str">
        <f>IF($M147="","",INDEX(po_supname,$M147)&amp;"")</f>
        <v/>
      </c>
      <c r="C147" s="66" t="str">
        <f>IF($M147="","",INDEX(po_ref,$M147)&amp;"")</f>
        <v/>
      </c>
      <c r="D147" s="66" t="str">
        <f>IF($M147="","",INDEX(po_des,$M147)&amp;"")</f>
        <v/>
      </c>
      <c r="E147" s="74" t="str">
        <f>IF($M147="","",N(INDEX(po_qty,$M147)))</f>
        <v/>
      </c>
      <c r="F147" s="74" t="str">
        <f>IF($M147="","",N(INDEX(po_rcv,$M147)))</f>
        <v/>
      </c>
      <c r="G147" s="74" t="str">
        <f>IF($M147="","",INDEX(po_rest,$M147))</f>
        <v/>
      </c>
      <c r="H147" s="73" t="str">
        <f>IF($M147="","",INDEX(po_due,$M147))</f>
        <v/>
      </c>
      <c r="I147" s="75" t="str">
        <f>IF($M147="","",IF(INDEX(po_status,$M147)="En retard",INDEX(po_late,$M147),""))</f>
        <v/>
      </c>
      <c r="J147" s="67" t="str">
        <f>IF($M147="","",INDEX(po_status,$M147)&amp;"")</f>
        <v/>
      </c>
      <c r="K147" s="70" t="str">
        <f>IF($M147="","",INDEX(po_restht,$M147))</f>
        <v/>
      </c>
      <c r="M147" t="str">
        <f>IFERROR(MATCH(SMALL(po_key,142),po_key,0),"")</f>
        <v/>
      </c>
    </row>
    <row r="148">
      <c r="A148" s="126" t="str">
        <f>IF($M148="","",INDEX(po_num,$M148)&amp;"")</f>
        <v/>
      </c>
      <c r="B148" s="66" t="str">
        <f>IF($M148="","",INDEX(po_supname,$M148)&amp;"")</f>
        <v/>
      </c>
      <c r="C148" s="66" t="str">
        <f>IF($M148="","",INDEX(po_ref,$M148)&amp;"")</f>
        <v/>
      </c>
      <c r="D148" s="66" t="str">
        <f>IF($M148="","",INDEX(po_des,$M148)&amp;"")</f>
        <v/>
      </c>
      <c r="E148" s="74" t="str">
        <f>IF($M148="","",N(INDEX(po_qty,$M148)))</f>
        <v/>
      </c>
      <c r="F148" s="74" t="str">
        <f>IF($M148="","",N(INDEX(po_rcv,$M148)))</f>
        <v/>
      </c>
      <c r="G148" s="74" t="str">
        <f>IF($M148="","",INDEX(po_rest,$M148))</f>
        <v/>
      </c>
      <c r="H148" s="73" t="str">
        <f>IF($M148="","",INDEX(po_due,$M148))</f>
        <v/>
      </c>
      <c r="I148" s="75" t="str">
        <f>IF($M148="","",IF(INDEX(po_status,$M148)="En retard",INDEX(po_late,$M148),""))</f>
        <v/>
      </c>
      <c r="J148" s="67" t="str">
        <f>IF($M148="","",INDEX(po_status,$M148)&amp;"")</f>
        <v/>
      </c>
      <c r="K148" s="70" t="str">
        <f>IF($M148="","",INDEX(po_restht,$M148))</f>
        <v/>
      </c>
      <c r="M148" t="str">
        <f>IFERROR(MATCH(SMALL(po_key,143),po_key,0),"")</f>
        <v/>
      </c>
    </row>
    <row r="149">
      <c r="A149" s="126" t="str">
        <f>IF($M149="","",INDEX(po_num,$M149)&amp;"")</f>
        <v/>
      </c>
      <c r="B149" s="66" t="str">
        <f>IF($M149="","",INDEX(po_supname,$M149)&amp;"")</f>
        <v/>
      </c>
      <c r="C149" s="66" t="str">
        <f>IF($M149="","",INDEX(po_ref,$M149)&amp;"")</f>
        <v/>
      </c>
      <c r="D149" s="66" t="str">
        <f>IF($M149="","",INDEX(po_des,$M149)&amp;"")</f>
        <v/>
      </c>
      <c r="E149" s="74" t="str">
        <f>IF($M149="","",N(INDEX(po_qty,$M149)))</f>
        <v/>
      </c>
      <c r="F149" s="74" t="str">
        <f>IF($M149="","",N(INDEX(po_rcv,$M149)))</f>
        <v/>
      </c>
      <c r="G149" s="74" t="str">
        <f>IF($M149="","",INDEX(po_rest,$M149))</f>
        <v/>
      </c>
      <c r="H149" s="73" t="str">
        <f>IF($M149="","",INDEX(po_due,$M149))</f>
        <v/>
      </c>
      <c r="I149" s="75" t="str">
        <f>IF($M149="","",IF(INDEX(po_status,$M149)="En retard",INDEX(po_late,$M149),""))</f>
        <v/>
      </c>
      <c r="J149" s="67" t="str">
        <f>IF($M149="","",INDEX(po_status,$M149)&amp;"")</f>
        <v/>
      </c>
      <c r="K149" s="70" t="str">
        <f>IF($M149="","",INDEX(po_restht,$M149))</f>
        <v/>
      </c>
      <c r="M149" t="str">
        <f>IFERROR(MATCH(SMALL(po_key,144),po_key,0),"")</f>
        <v/>
      </c>
    </row>
    <row r="150">
      <c r="A150" s="126" t="str">
        <f>IF($M150="","",INDEX(po_num,$M150)&amp;"")</f>
        <v/>
      </c>
      <c r="B150" s="66" t="str">
        <f>IF($M150="","",INDEX(po_supname,$M150)&amp;"")</f>
        <v/>
      </c>
      <c r="C150" s="66" t="str">
        <f>IF($M150="","",INDEX(po_ref,$M150)&amp;"")</f>
        <v/>
      </c>
      <c r="D150" s="66" t="str">
        <f>IF($M150="","",INDEX(po_des,$M150)&amp;"")</f>
        <v/>
      </c>
      <c r="E150" s="74" t="str">
        <f>IF($M150="","",N(INDEX(po_qty,$M150)))</f>
        <v/>
      </c>
      <c r="F150" s="74" t="str">
        <f>IF($M150="","",N(INDEX(po_rcv,$M150)))</f>
        <v/>
      </c>
      <c r="G150" s="74" t="str">
        <f>IF($M150="","",INDEX(po_rest,$M150))</f>
        <v/>
      </c>
      <c r="H150" s="73" t="str">
        <f>IF($M150="","",INDEX(po_due,$M150))</f>
        <v/>
      </c>
      <c r="I150" s="75" t="str">
        <f>IF($M150="","",IF(INDEX(po_status,$M150)="En retard",INDEX(po_late,$M150),""))</f>
        <v/>
      </c>
      <c r="J150" s="67" t="str">
        <f>IF($M150="","",INDEX(po_status,$M150)&amp;"")</f>
        <v/>
      </c>
      <c r="K150" s="70" t="str">
        <f>IF($M150="","",INDEX(po_restht,$M150))</f>
        <v/>
      </c>
      <c r="M150" t="str">
        <f>IFERROR(MATCH(SMALL(po_key,145),po_key,0),"")</f>
        <v/>
      </c>
    </row>
    <row r="151">
      <c r="A151" s="126" t="str">
        <f>IF($M151="","",INDEX(po_num,$M151)&amp;"")</f>
        <v/>
      </c>
      <c r="B151" s="66" t="str">
        <f>IF($M151="","",INDEX(po_supname,$M151)&amp;"")</f>
        <v/>
      </c>
      <c r="C151" s="66" t="str">
        <f>IF($M151="","",INDEX(po_ref,$M151)&amp;"")</f>
        <v/>
      </c>
      <c r="D151" s="66" t="str">
        <f>IF($M151="","",INDEX(po_des,$M151)&amp;"")</f>
        <v/>
      </c>
      <c r="E151" s="74" t="str">
        <f>IF($M151="","",N(INDEX(po_qty,$M151)))</f>
        <v/>
      </c>
      <c r="F151" s="74" t="str">
        <f>IF($M151="","",N(INDEX(po_rcv,$M151)))</f>
        <v/>
      </c>
      <c r="G151" s="74" t="str">
        <f>IF($M151="","",INDEX(po_rest,$M151))</f>
        <v/>
      </c>
      <c r="H151" s="73" t="str">
        <f>IF($M151="","",INDEX(po_due,$M151))</f>
        <v/>
      </c>
      <c r="I151" s="75" t="str">
        <f>IF($M151="","",IF(INDEX(po_status,$M151)="En retard",INDEX(po_late,$M151),""))</f>
        <v/>
      </c>
      <c r="J151" s="67" t="str">
        <f>IF($M151="","",INDEX(po_status,$M151)&amp;"")</f>
        <v/>
      </c>
      <c r="K151" s="70" t="str">
        <f>IF($M151="","",INDEX(po_restht,$M151))</f>
        <v/>
      </c>
      <c r="M151" t="str">
        <f>IFERROR(MATCH(SMALL(po_key,146),po_key,0),"")</f>
        <v/>
      </c>
    </row>
    <row r="152">
      <c r="A152" s="126" t="str">
        <f>IF($M152="","",INDEX(po_num,$M152)&amp;"")</f>
        <v/>
      </c>
      <c r="B152" s="66" t="str">
        <f>IF($M152="","",INDEX(po_supname,$M152)&amp;"")</f>
        <v/>
      </c>
      <c r="C152" s="66" t="str">
        <f>IF($M152="","",INDEX(po_ref,$M152)&amp;"")</f>
        <v/>
      </c>
      <c r="D152" s="66" t="str">
        <f>IF($M152="","",INDEX(po_des,$M152)&amp;"")</f>
        <v/>
      </c>
      <c r="E152" s="74" t="str">
        <f>IF($M152="","",N(INDEX(po_qty,$M152)))</f>
        <v/>
      </c>
      <c r="F152" s="74" t="str">
        <f>IF($M152="","",N(INDEX(po_rcv,$M152)))</f>
        <v/>
      </c>
      <c r="G152" s="74" t="str">
        <f>IF($M152="","",INDEX(po_rest,$M152))</f>
        <v/>
      </c>
      <c r="H152" s="73" t="str">
        <f>IF($M152="","",INDEX(po_due,$M152))</f>
        <v/>
      </c>
      <c r="I152" s="75" t="str">
        <f>IF($M152="","",IF(INDEX(po_status,$M152)="En retard",INDEX(po_late,$M152),""))</f>
        <v/>
      </c>
      <c r="J152" s="67" t="str">
        <f>IF($M152="","",INDEX(po_status,$M152)&amp;"")</f>
        <v/>
      </c>
      <c r="K152" s="70" t="str">
        <f>IF($M152="","",INDEX(po_restht,$M152))</f>
        <v/>
      </c>
      <c r="M152" t="str">
        <f>IFERROR(MATCH(SMALL(po_key,147),po_key,0),"")</f>
        <v/>
      </c>
    </row>
    <row r="153">
      <c r="A153" s="126" t="str">
        <f>IF($M153="","",INDEX(po_num,$M153)&amp;"")</f>
        <v/>
      </c>
      <c r="B153" s="66" t="str">
        <f>IF($M153="","",INDEX(po_supname,$M153)&amp;"")</f>
        <v/>
      </c>
      <c r="C153" s="66" t="str">
        <f>IF($M153="","",INDEX(po_ref,$M153)&amp;"")</f>
        <v/>
      </c>
      <c r="D153" s="66" t="str">
        <f>IF($M153="","",INDEX(po_des,$M153)&amp;"")</f>
        <v/>
      </c>
      <c r="E153" s="74" t="str">
        <f>IF($M153="","",N(INDEX(po_qty,$M153)))</f>
        <v/>
      </c>
      <c r="F153" s="74" t="str">
        <f>IF($M153="","",N(INDEX(po_rcv,$M153)))</f>
        <v/>
      </c>
      <c r="G153" s="74" t="str">
        <f>IF($M153="","",INDEX(po_rest,$M153))</f>
        <v/>
      </c>
      <c r="H153" s="73" t="str">
        <f>IF($M153="","",INDEX(po_due,$M153))</f>
        <v/>
      </c>
      <c r="I153" s="75" t="str">
        <f>IF($M153="","",IF(INDEX(po_status,$M153)="En retard",INDEX(po_late,$M153),""))</f>
        <v/>
      </c>
      <c r="J153" s="67" t="str">
        <f>IF($M153="","",INDEX(po_status,$M153)&amp;"")</f>
        <v/>
      </c>
      <c r="K153" s="70" t="str">
        <f>IF($M153="","",INDEX(po_restht,$M153))</f>
        <v/>
      </c>
      <c r="M153" t="str">
        <f>IFERROR(MATCH(SMALL(po_key,148),po_key,0),"")</f>
        <v/>
      </c>
    </row>
    <row r="154">
      <c r="A154" s="126" t="str">
        <f>IF($M154="","",INDEX(po_num,$M154)&amp;"")</f>
        <v/>
      </c>
      <c r="B154" s="66" t="str">
        <f>IF($M154="","",INDEX(po_supname,$M154)&amp;"")</f>
        <v/>
      </c>
      <c r="C154" s="66" t="str">
        <f>IF($M154="","",INDEX(po_ref,$M154)&amp;"")</f>
        <v/>
      </c>
      <c r="D154" s="66" t="str">
        <f>IF($M154="","",INDEX(po_des,$M154)&amp;"")</f>
        <v/>
      </c>
      <c r="E154" s="74" t="str">
        <f>IF($M154="","",N(INDEX(po_qty,$M154)))</f>
        <v/>
      </c>
      <c r="F154" s="74" t="str">
        <f>IF($M154="","",N(INDEX(po_rcv,$M154)))</f>
        <v/>
      </c>
      <c r="G154" s="74" t="str">
        <f>IF($M154="","",INDEX(po_rest,$M154))</f>
        <v/>
      </c>
      <c r="H154" s="73" t="str">
        <f>IF($M154="","",INDEX(po_due,$M154))</f>
        <v/>
      </c>
      <c r="I154" s="75" t="str">
        <f>IF($M154="","",IF(INDEX(po_status,$M154)="En retard",INDEX(po_late,$M154),""))</f>
        <v/>
      </c>
      <c r="J154" s="67" t="str">
        <f>IF($M154="","",INDEX(po_status,$M154)&amp;"")</f>
        <v/>
      </c>
      <c r="K154" s="70" t="str">
        <f>IF($M154="","",INDEX(po_restht,$M154))</f>
        <v/>
      </c>
      <c r="M154" t="str">
        <f>IFERROR(MATCH(SMALL(po_key,149),po_key,0),"")</f>
        <v/>
      </c>
    </row>
    <row r="155">
      <c r="A155" s="126" t="str">
        <f>IF($M155="","",INDEX(po_num,$M155)&amp;"")</f>
        <v/>
      </c>
      <c r="B155" s="66" t="str">
        <f>IF($M155="","",INDEX(po_supname,$M155)&amp;"")</f>
        <v/>
      </c>
      <c r="C155" s="66" t="str">
        <f>IF($M155="","",INDEX(po_ref,$M155)&amp;"")</f>
        <v/>
      </c>
      <c r="D155" s="66" t="str">
        <f>IF($M155="","",INDEX(po_des,$M155)&amp;"")</f>
        <v/>
      </c>
      <c r="E155" s="74" t="str">
        <f>IF($M155="","",N(INDEX(po_qty,$M155)))</f>
        <v/>
      </c>
      <c r="F155" s="74" t="str">
        <f>IF($M155="","",N(INDEX(po_rcv,$M155)))</f>
        <v/>
      </c>
      <c r="G155" s="74" t="str">
        <f>IF($M155="","",INDEX(po_rest,$M155))</f>
        <v/>
      </c>
      <c r="H155" s="73" t="str">
        <f>IF($M155="","",INDEX(po_due,$M155))</f>
        <v/>
      </c>
      <c r="I155" s="75" t="str">
        <f>IF($M155="","",IF(INDEX(po_status,$M155)="En retard",INDEX(po_late,$M155),""))</f>
        <v/>
      </c>
      <c r="J155" s="67" t="str">
        <f>IF($M155="","",INDEX(po_status,$M155)&amp;"")</f>
        <v/>
      </c>
      <c r="K155" s="70" t="str">
        <f>IF($M155="","",INDEX(po_restht,$M155))</f>
        <v/>
      </c>
      <c r="M155" t="str">
        <f>IFERROR(MATCH(SMALL(po_key,150),po_key,0),"")</f>
        <v/>
      </c>
    </row>
  </sheetData>
  <conditionalFormatting sqref="E6:E155">
    <cfRule type="expression" priority="1" dxfId="28">
      <formula>AND(ISNUMBER(E6),E6&lt;&gt;INT(E6))</formula>
    </cfRule>
  </conditionalFormatting>
  <conditionalFormatting sqref="F6:F155">
    <cfRule type="expression" priority="2" dxfId="29">
      <formula>AND(ISNUMBER(F6),F6&lt;&gt;INT(F6))</formula>
    </cfRule>
  </conditionalFormatting>
  <conditionalFormatting sqref="G6:G155">
    <cfRule type="expression" priority="3" dxfId="30">
      <formula>AND(ISNUMBER(G6),G6&lt;&gt;INT(G6))</formula>
    </cfRule>
  </conditionalFormatting>
  <conditionalFormatting sqref="J6:J155">
    <cfRule type="expression" priority="4" dxfId="0">
      <formula>$J6="Brouillon"</formula>
    </cfRule>
    <cfRule type="expression" priority="5" dxfId="1">
      <formula>$J6="Envoyé"</formula>
    </cfRule>
    <cfRule type="expression" priority="6" dxfId="2">
      <formula>$J6="Partiel"</formula>
    </cfRule>
    <cfRule type="expression" priority="7" dxfId="3">
      <formula>$J6="En retard"</formula>
    </cfRule>
    <cfRule type="expression" priority="8" dxfId="4">
      <formula>$J6="Reçu"</formula>
    </cfRule>
    <cfRule type="expression" priority="9" dxfId="5">
      <formula>$J6="Annulé"</formula>
    </cfRule>
  </conditionalFormatting>
  <conditionalFormatting sqref="I6:I155">
    <cfRule type="expression" priority="10" dxfId="6">
      <formula>N($I6)&gt;0</formula>
    </cfRule>
  </conditionalFormatting>
  <conditionalFormatting sqref="K6:K155">
    <cfRule type="expression" priority="11" dxfId="17">
      <formula>p_currency="MAD"</formula>
    </cfRule>
    <cfRule type="expression" priority="12" dxfId="18">
      <formula>p_currency="EUR"</formula>
    </cfRule>
    <cfRule type="expression" priority="13" dxfId="19">
      <formula>p_currency="USD"</formula>
    </cfRule>
  </conditionalFormatting>
  <hyperlinks>
    <hyperlink ref="K1" location="'Mode d''emploi'!A1"/>
  </hyperlinks>
  <printOptions horizontalCentered="1"/>
  <pageMargins left="0.4" right="0.4" top="0.5" bottom="0.5" header="0.5" footer="0.5"/>
  <pageSetup orientation="landscape" paperSize="9" fitToHeight="0" fitToWidth="1"/>
</worksheet>
</file>

<file path=xl/worksheets/sheet6.xml><?xml version="1.0" encoding="utf-8"?>
<worksheet xmlns="http://schemas.openxmlformats.org/spreadsheetml/2006/main">
  <sheetPr>
    <tabColor rgb="FF1D4ED8"/>
    <outlinePr summaryBelow="1" summaryRight="1"/>
    <pageSetUpPr fitToPage="1"/>
  </sheetPr>
  <dimension ref="A1:R3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26" customWidth="1" min="2" max="2"/>
    <col width="30" customWidth="1" min="3" max="3"/>
    <col width="17" customWidth="1" min="4" max="4"/>
    <col width="9" customWidth="1" min="5" max="5"/>
    <col width="21" customWidth="1" min="6" max="6"/>
    <col width="17" customWidth="1" min="7" max="7"/>
    <col width="14" customWidth="1" min="8" max="8"/>
    <col width="27" customWidth="1" min="9" max="9"/>
    <col width="19" customWidth="1" min="10" max="10"/>
    <col width="9" customWidth="1" min="11" max="11"/>
    <col width="8" customWidth="1" min="12" max="12"/>
    <col width="14" customWidth="1" min="13" max="13"/>
    <col width="9" customWidth="1" min="14" max="14"/>
    <col width="11" customWidth="1" min="15" max="15"/>
    <col width="24" customWidth="1" min="16" max="16"/>
    <col hidden="1" width="12" customWidth="1" min="17" max="17"/>
    <col hidden="1" width="12" customWidth="1" min="18" max="18"/>
  </cols>
  <sheetData>
    <row r="1" ht="38" customHeight="1">
      <c r="A1" s="2" t="inlineStr">
        <is>
          <t>Fournisseurs</t>
        </is>
      </c>
      <c r="B1" s="1" t="n"/>
      <c r="C1" s="1" t="n"/>
      <c r="D1" s="1" t="n"/>
      <c r="E1" s="1" t="n"/>
      <c r="F1" s="1" t="n"/>
      <c r="G1" s="1" t="n"/>
      <c r="H1" s="1" t="n"/>
      <c r="I1" s="1" t="n"/>
      <c r="J1" s="1" t="n"/>
      <c r="K1" s="1" t="n"/>
      <c r="L1" s="1" t="n"/>
      <c r="M1" s="1" t="n"/>
      <c r="N1" s="1" t="n"/>
      <c r="O1" s="1" t="n"/>
      <c r="P1" s="18" t="inlineStr">
        <is>
          <t>⌂ Mode d'emploi</t>
        </is>
      </c>
    </row>
    <row r="2" ht="22" customHeight="1">
      <c r="A2" s="4" t="inlineStr">
        <is>
          <t>Une ligne par fournisseur. Le code sert dans « Commandes », le reste s'imprime sur le bon.</t>
        </is>
      </c>
      <c r="B2" s="3" t="n"/>
      <c r="C2" s="3" t="n"/>
      <c r="D2" s="3" t="n"/>
      <c r="E2" s="3" t="n"/>
      <c r="F2" s="3" t="n"/>
      <c r="G2" s="3" t="n"/>
      <c r="H2" s="3" t="n"/>
      <c r="I2" s="3" t="n"/>
      <c r="J2" s="3" t="n"/>
      <c r="K2" s="3" t="n"/>
      <c r="L2" s="3" t="n"/>
      <c r="M2" s="3" t="n"/>
      <c r="N2" s="3" t="n"/>
      <c r="O2" s="3" t="n"/>
      <c r="P2" s="3" t="n"/>
    </row>
    <row r="3" ht="18" customHeight="1">
      <c r="O3" s="16" t="inlineStr">
        <is>
          <t>Saisie</t>
        </is>
      </c>
      <c r="P3" s="17" t="inlineStr">
        <is>
          <t>Calcul auto</t>
        </is>
      </c>
    </row>
    <row r="5" ht="34" customHeight="1">
      <c r="A5" s="45" t="inlineStr">
        <is>
          <t>Code</t>
        </is>
      </c>
      <c r="B5" s="45" t="inlineStr">
        <is>
          <t>Raison sociale</t>
        </is>
      </c>
      <c r="C5" s="45" t="inlineStr">
        <is>
          <t>Adresse</t>
        </is>
      </c>
      <c r="D5" s="45" t="inlineStr">
        <is>
          <t>Code postal et ville</t>
        </is>
      </c>
      <c r="E5" s="45" t="inlineStr">
        <is>
          <t>Pays</t>
        </is>
      </c>
      <c r="F5" s="45" t="inlineStr">
        <is>
          <t>Identifiant légal (ICE, SIRET...)</t>
        </is>
      </c>
      <c r="G5" s="45" t="inlineStr">
        <is>
          <t>Contact</t>
        </is>
      </c>
      <c r="H5" s="45" t="inlineStr">
        <is>
          <t>Téléphone</t>
        </is>
      </c>
      <c r="I5" s="45" t="inlineStr">
        <is>
          <t>E-mail</t>
        </is>
      </c>
      <c r="J5" s="45" t="inlineStr">
        <is>
          <t>Conditions de paiement</t>
        </is>
      </c>
      <c r="K5" s="45" t="inlineStr">
        <is>
          <t>Délai (jours)</t>
        </is>
      </c>
      <c r="L5" s="45" t="inlineStr">
        <is>
          <t>Bons</t>
        </is>
      </c>
      <c r="M5" s="45" t="inlineStr">
        <is>
          <t>Achats HT</t>
        </is>
      </c>
      <c r="N5" s="45" t="inlineStr">
        <is>
          <t>Lignes en retard</t>
        </is>
      </c>
      <c r="O5" s="45" t="inlineStr">
        <is>
          <t>Taux de service</t>
        </is>
      </c>
      <c r="P5" s="45" t="inlineStr">
        <is>
          <t>Contrôle</t>
        </is>
      </c>
      <c r="Q5" s="45" t="inlineStr">
        <is>
          <t>Achats HT année</t>
        </is>
      </c>
      <c r="R5" s="45" t="inlineStr">
        <is>
          <t>Rang</t>
        </is>
      </c>
    </row>
    <row r="6">
      <c r="A6" s="65" t="inlineStr">
        <is>
          <t>MET01</t>
        </is>
      </c>
      <c r="B6" s="63" t="inlineStr">
        <is>
          <t>Métaux Atlas SARL</t>
        </is>
      </c>
      <c r="C6" s="63" t="inlineStr">
        <is>
          <t>14 rue des Fondeurs, Aïn Sebaâ</t>
        </is>
      </c>
      <c r="D6" s="63" t="inlineStr">
        <is>
          <t>20250 Casablanca</t>
        </is>
      </c>
      <c r="E6" s="65" t="inlineStr">
        <is>
          <t>Maroc</t>
        </is>
      </c>
      <c r="F6" s="63" t="inlineStr">
        <is>
          <t>ICE 001523874000052</t>
        </is>
      </c>
      <c r="G6" s="63" t="inlineStr">
        <is>
          <t>Karim Bennani</t>
        </is>
      </c>
      <c r="H6" s="63" t="inlineStr">
        <is>
          <t>0522 00 41 20</t>
        </is>
      </c>
      <c r="I6" s="63" t="inlineStr">
        <is>
          <t>metaux.atlas@exemple.ma</t>
        </is>
      </c>
      <c r="J6" s="63" t="inlineStr">
        <is>
          <t>30 jours fin de mois</t>
        </is>
      </c>
      <c r="K6" s="127" t="n">
        <v>7</v>
      </c>
      <c r="L6" s="128">
        <f>IF(A6="","",COUNTIFS(po_sup,A6,po_first,1))</f>
        <v>3.0</v>
      </c>
      <c r="M6" s="70">
        <f>IF(A6="","",SUMIFS(po_ht,po_sup,A6,po_status,"&lt;&gt;Annulé"))</f>
        <v>67468.0</v>
      </c>
      <c r="N6" s="128">
        <f>IF(A6="","",COUNTIFS(po_sup,A6,po_status,"En retard"))</f>
        <v>0.0</v>
      </c>
      <c r="O6" s="72">
        <f>IF(A6="","",IF(COUNTIFS(po_sup,A6,po_ontime,"&gt;=0")=0,"",COUNTIFS(po_sup,A6,po_ontime,1)/COUNTIFS(po_sup,A6,po_ontime,"&gt;=0")))</f>
        <v>1.0</v>
      </c>
      <c r="P6" s="67" t="str">
        <f>IF(A6="","",IF(COUNTIF(sup_code,A6)&gt;1,"Code en double",IF(B6="","Raison sociale manquante",IF(AND(K6&lt;&gt;"",OR(NOT(ISNUMBER(K6)),N(K6)&lt;0)),"Délai invalide","OK"))))</f>
        <v>OK</v>
      </c>
      <c r="Q6" s="70">
        <f>IF(A6="","",SUMIFS(po_ht,po_sup,A6,po_status,"&lt;&gt;Annulé",po_date,"&gt;="&amp;p_y0,po_date,"&lt;"&amp;p_y1))</f>
        <v>67468.0</v>
      </c>
      <c r="R6" s="66">
        <f>IF(N(Q6)&gt;0,Q6-ROW()/10000000,"")</f>
        <v>67467.9999994</v>
      </c>
    </row>
    <row r="7">
      <c r="A7" s="65" t="inlineStr">
        <is>
          <t>TUB02</t>
        </is>
      </c>
      <c r="B7" s="63" t="inlineStr">
        <is>
          <t>Tubes et Profilés du Nord</t>
        </is>
      </c>
      <c r="C7" s="63" t="inlineStr">
        <is>
          <t>Zone franche, lot 112</t>
        </is>
      </c>
      <c r="D7" s="63" t="inlineStr">
        <is>
          <t>90000 Tanger</t>
        </is>
      </c>
      <c r="E7" s="65" t="inlineStr">
        <is>
          <t>Maroc</t>
        </is>
      </c>
      <c r="F7" s="63" t="inlineStr">
        <is>
          <t>ICE 002104598000071</t>
        </is>
      </c>
      <c r="G7" s="63" t="inlineStr">
        <is>
          <t>Salma Idrissi</t>
        </is>
      </c>
      <c r="H7" s="63" t="inlineStr">
        <is>
          <t>0539 00 18 44</t>
        </is>
      </c>
      <c r="I7" s="63" t="inlineStr">
        <is>
          <t>tubes.nord@exemple.ma</t>
        </is>
      </c>
      <c r="J7" s="63" t="inlineStr">
        <is>
          <t>60 jours</t>
        </is>
      </c>
      <c r="K7" s="127" t="n">
        <v>10</v>
      </c>
      <c r="L7" s="128">
        <f>IF(A7="","",COUNTIFS(po_sup,A7,po_first,1))</f>
        <v>3.0</v>
      </c>
      <c r="M7" s="70">
        <f>IF(A7="","",SUMIFS(po_ht,po_sup,A7,po_status,"&lt;&gt;Annulé"))</f>
        <v>52240.0</v>
      </c>
      <c r="N7" s="128">
        <f>IF(A7="","",COUNTIFS(po_sup,A7,po_status,"En retard"))</f>
        <v>2.0</v>
      </c>
      <c r="O7" s="72">
        <f>IF(A7="","",IF(COUNTIFS(po_sup,A7,po_ontime,"&gt;=0")=0,"",COUNTIFS(po_sup,A7,po_ontime,1)/COUNTIFS(po_sup,A7,po_ontime,"&gt;=0")))</f>
        <v>1.0</v>
      </c>
      <c r="P7" s="67" t="str">
        <f>IF(A7="","",IF(COUNTIF(sup_code,A7)&gt;1,"Code en double",IF(B7="","Raison sociale manquante",IF(AND(K7&lt;&gt;"",OR(NOT(ISNUMBER(K7)),N(K7)&lt;0)),"Délai invalide","OK"))))</f>
        <v>OK</v>
      </c>
      <c r="Q7" s="70">
        <f>IF(A7="","",SUMIFS(po_ht,po_sup,A7,po_status,"&lt;&gt;Annulé",po_date,"&gt;="&amp;p_y0,po_date,"&lt;"&amp;p_y1))</f>
        <v>52240.0</v>
      </c>
      <c r="R7" s="66">
        <f>IF(N(Q7)&gt;0,Q7-ROW()/10000000,"")</f>
        <v>52239.9999993</v>
      </c>
    </row>
    <row r="8">
      <c r="A8" s="65" t="inlineStr">
        <is>
          <t>FIX03</t>
        </is>
      </c>
      <c r="B8" s="63" t="inlineStr">
        <is>
          <t>Fixations Souss SARL</t>
        </is>
      </c>
      <c r="C8" s="63" t="inlineStr">
        <is>
          <t>Parc industriel Aït Melloul, lot 9</t>
        </is>
      </c>
      <c r="D8" s="63" t="inlineStr">
        <is>
          <t>80150 Agadir</t>
        </is>
      </c>
      <c r="E8" s="65" t="inlineStr">
        <is>
          <t>Maroc</t>
        </is>
      </c>
      <c r="F8" s="63" t="inlineStr">
        <is>
          <t>ICE 001987452000039</t>
        </is>
      </c>
      <c r="G8" s="63" t="inlineStr">
        <is>
          <t>Youssef Amrani</t>
        </is>
      </c>
      <c r="H8" s="63" t="inlineStr">
        <is>
          <t>0528 00 27 63</t>
        </is>
      </c>
      <c r="I8" s="63" t="inlineStr">
        <is>
          <t>fixations.souss@exemple.ma</t>
        </is>
      </c>
      <c r="J8" s="63" t="inlineStr">
        <is>
          <t>30 jours</t>
        </is>
      </c>
      <c r="K8" s="127" t="n">
        <v>5</v>
      </c>
      <c r="L8" s="128">
        <f>IF(A8="","",COUNTIFS(po_sup,A8,po_first,1))</f>
        <v>2.0</v>
      </c>
      <c r="M8" s="70">
        <f>IF(A8="","",SUMIFS(po_ht,po_sup,A8,po_status,"&lt;&gt;Annulé"))</f>
        <v>3602.75</v>
      </c>
      <c r="N8" s="128">
        <f>IF(A8="","",COUNTIFS(po_sup,A8,po_status,"En retard"))</f>
        <v>1.0</v>
      </c>
      <c r="O8" s="72">
        <f>IF(A8="","",IF(COUNTIFS(po_sup,A8,po_ontime,"&gt;=0")=0,"",COUNTIFS(po_sup,A8,po_ontime,1)/COUNTIFS(po_sup,A8,po_ontime,"&gt;=0")))</f>
        <v>0.25</v>
      </c>
      <c r="P8" s="67" t="str">
        <f>IF(A8="","",IF(COUNTIF(sup_code,A8)&gt;1,"Code en double",IF(B8="","Raison sociale manquante",IF(AND(K8&lt;&gt;"",OR(NOT(ISNUMBER(K8)),N(K8)&lt;0)),"Délai invalide","OK"))))</f>
        <v>OK</v>
      </c>
      <c r="Q8" s="70">
        <f>IF(A8="","",SUMIFS(po_ht,po_sup,A8,po_status,"&lt;&gt;Annulé",po_date,"&gt;="&amp;p_y0,po_date,"&lt;"&amp;p_y1))</f>
        <v>3602.75</v>
      </c>
      <c r="R8" s="66">
        <f>IF(N(Q8)&gt;0,Q8-ROW()/10000000,"")</f>
        <v>3602.7499992</v>
      </c>
    </row>
    <row r="9">
      <c r="A9" s="65" t="inlineStr">
        <is>
          <t>ROU04</t>
        </is>
      </c>
      <c r="B9" s="63" t="inlineStr">
        <is>
          <t>Roulements Express</t>
        </is>
      </c>
      <c r="C9" s="63" t="inlineStr">
        <is>
          <t>62 boulevard Moulay Ismaïl</t>
        </is>
      </c>
      <c r="D9" s="63" t="inlineStr">
        <is>
          <t>20290 Casablanca</t>
        </is>
      </c>
      <c r="E9" s="65" t="inlineStr">
        <is>
          <t>Maroc</t>
        </is>
      </c>
      <c r="F9" s="63" t="inlineStr">
        <is>
          <t>ICE 002318764000018</t>
        </is>
      </c>
      <c r="G9" s="63" t="inlineStr">
        <is>
          <t>Nadia Cherkaoui</t>
        </is>
      </c>
      <c r="H9" s="63" t="inlineStr">
        <is>
          <t>0522 00 66 10</t>
        </is>
      </c>
      <c r="I9" s="63" t="inlineStr">
        <is>
          <t>roulements.express@exemple.ma</t>
        </is>
      </c>
      <c r="J9" s="63" t="inlineStr">
        <is>
          <t>Comptant</t>
        </is>
      </c>
      <c r="K9" s="127" t="n">
        <v>3</v>
      </c>
      <c r="L9" s="128">
        <f>IF(A9="","",COUNTIFS(po_sup,A9,po_first,1))</f>
        <v>2.0</v>
      </c>
      <c r="M9" s="70">
        <f>IF(A9="","",SUMIFS(po_ht,po_sup,A9,po_status,"&lt;&gt;Annulé"))</f>
        <v>18420.0</v>
      </c>
      <c r="N9" s="128">
        <f>IF(A9="","",COUNTIFS(po_sup,A9,po_status,"En retard"))</f>
        <v>1.0</v>
      </c>
      <c r="O9" s="72">
        <f>IF(A9="","",IF(COUNTIFS(po_sup,A9,po_ontime,"&gt;=0")=0,"",COUNTIFS(po_sup,A9,po_ontime,1)/COUNTIFS(po_sup,A9,po_ontime,"&gt;=0")))</f>
        <v>1.0</v>
      </c>
      <c r="P9" s="67" t="str">
        <f>IF(A9="","",IF(COUNTIF(sup_code,A9)&gt;1,"Code en double",IF(B9="","Raison sociale manquante",IF(AND(K9&lt;&gt;"",OR(NOT(ISNUMBER(K9)),N(K9)&lt;0)),"Délai invalide","OK"))))</f>
        <v>OK</v>
      </c>
      <c r="Q9" s="70">
        <f>IF(A9="","",SUMIFS(po_ht,po_sup,A9,po_status,"&lt;&gt;Annulé",po_date,"&gt;="&amp;p_y0,po_date,"&lt;"&amp;p_y1))</f>
        <v>18420.0</v>
      </c>
      <c r="R9" s="66">
        <f>IF(N(Q9)&gt;0,Q9-ROW()/10000000,"")</f>
        <v>18419.9999991</v>
      </c>
    </row>
    <row r="10">
      <c r="A10" s="65" t="inlineStr">
        <is>
          <t>SOU05</t>
        </is>
      </c>
      <c r="B10" s="63" t="inlineStr">
        <is>
          <t>Gaz et Soudure Kénitra</t>
        </is>
      </c>
      <c r="C10" s="63" t="inlineStr">
        <is>
          <t>Quartier industriel, rue 7</t>
        </is>
      </c>
      <c r="D10" s="63" t="inlineStr">
        <is>
          <t>14000 Kénitra</t>
        </is>
      </c>
      <c r="E10" s="65" t="inlineStr">
        <is>
          <t>Maroc</t>
        </is>
      </c>
      <c r="F10" s="63" t="inlineStr">
        <is>
          <t>ICE 001765230000084</t>
        </is>
      </c>
      <c r="G10" s="63" t="inlineStr">
        <is>
          <t>Hamid Tazi</t>
        </is>
      </c>
      <c r="H10" s="63" t="inlineStr">
        <is>
          <t>0537 00 52 91</t>
        </is>
      </c>
      <c r="I10" s="63" t="inlineStr">
        <is>
          <t>gaz.soudure@exemple.ma</t>
        </is>
      </c>
      <c r="J10" s="63" t="inlineStr">
        <is>
          <t>30 jours</t>
        </is>
      </c>
      <c r="K10" s="127" t="n">
        <v>4</v>
      </c>
      <c r="L10" s="128">
        <f>IF(A10="","",COUNTIFS(po_sup,A10,po_first,1))</f>
        <v>2.0</v>
      </c>
      <c r="M10" s="70">
        <f>IF(A10="","",SUMIFS(po_ht,po_sup,A10,po_status,"&lt;&gt;Annulé"))</f>
        <v>10330.0</v>
      </c>
      <c r="N10" s="128">
        <f>IF(A10="","",COUNTIFS(po_sup,A10,po_status,"En retard"))</f>
        <v>0.0</v>
      </c>
      <c r="O10" s="72">
        <f>IF(A10="","",IF(COUNTIFS(po_sup,A10,po_ontime,"&gt;=0")=0,"",COUNTIFS(po_sup,A10,po_ontime,1)/COUNTIFS(po_sup,A10,po_ontime,"&gt;=0")))</f>
        <v>1.0</v>
      </c>
      <c r="P10" s="67" t="str">
        <f>IF(A10="","",IF(COUNTIF(sup_code,A10)&gt;1,"Code en double",IF(B10="","Raison sociale manquante",IF(AND(K10&lt;&gt;"",OR(NOT(ISNUMBER(K10)),N(K10)&lt;0)),"Délai invalide","OK"))))</f>
        <v>OK</v>
      </c>
      <c r="Q10" s="70">
        <f>IF(A10="","",SUMIFS(po_ht,po_sup,A10,po_status,"&lt;&gt;Annulé",po_date,"&gt;="&amp;p_y0,po_date,"&lt;"&amp;p_y1))</f>
        <v>10330.0</v>
      </c>
      <c r="R10" s="66">
        <f>IF(N(Q10)&gt;0,Q10-ROW()/10000000,"")</f>
        <v>10329.999999</v>
      </c>
    </row>
    <row r="11">
      <c r="A11" s="65" t="inlineStr">
        <is>
          <t>PEI06</t>
        </is>
      </c>
      <c r="B11" s="63" t="inlineStr">
        <is>
          <t>Peintures Oasis Industrie</t>
        </is>
      </c>
      <c r="C11" s="63" t="inlineStr">
        <is>
          <t>Route de Rabat, km 3</t>
        </is>
      </c>
      <c r="D11" s="63" t="inlineStr">
        <is>
          <t>28810 Mohammedia</t>
        </is>
      </c>
      <c r="E11" s="65" t="inlineStr">
        <is>
          <t>Maroc</t>
        </is>
      </c>
      <c r="F11" s="63" t="inlineStr">
        <is>
          <t>ICE 002450981000027</t>
        </is>
      </c>
      <c r="G11" s="63" t="inlineStr">
        <is>
          <t>Leila Berrada</t>
        </is>
      </c>
      <c r="H11" s="63" t="inlineStr">
        <is>
          <t>0523 00 31 75</t>
        </is>
      </c>
      <c r="I11" s="63" t="inlineStr">
        <is>
          <t>peintures.oasis@exemple.ma</t>
        </is>
      </c>
      <c r="J11" s="63" t="inlineStr">
        <is>
          <t>60 jours fin de mois</t>
        </is>
      </c>
      <c r="K11" s="127" t="n">
        <v>12</v>
      </c>
      <c r="L11" s="128">
        <f>IF(A11="","",COUNTIFS(po_sup,A11,po_first,1))</f>
        <v>2.0</v>
      </c>
      <c r="M11" s="70">
        <f>IF(A11="","",SUMIFS(po_ht,po_sup,A11,po_status,"&lt;&gt;Annulé"))</f>
        <v>28260.0</v>
      </c>
      <c r="N11" s="128">
        <f>IF(A11="","",COUNTIFS(po_sup,A11,po_status,"En retard"))</f>
        <v>0.0</v>
      </c>
      <c r="O11" s="72">
        <f>IF(A11="","",IF(COUNTIFS(po_sup,A11,po_ontime,"&gt;=0")=0,"",COUNTIFS(po_sup,A11,po_ontime,1)/COUNTIFS(po_sup,A11,po_ontime,"&gt;=0")))</f>
        <v>0.0</v>
      </c>
      <c r="P11" s="67" t="str">
        <f>IF(A11="","",IF(COUNTIF(sup_code,A11)&gt;1,"Code en double",IF(B11="","Raison sociale manquante",IF(AND(K11&lt;&gt;"",OR(NOT(ISNUMBER(K11)),N(K11)&lt;0)),"Délai invalide","OK"))))</f>
        <v>OK</v>
      </c>
      <c r="Q11" s="70">
        <f>IF(A11="","",SUMIFS(po_ht,po_sup,A11,po_status,"&lt;&gt;Annulé",po_date,"&gt;="&amp;p_y0,po_date,"&lt;"&amp;p_y1))</f>
        <v>28260.0</v>
      </c>
      <c r="R11" s="66">
        <f>IF(N(Q11)&gt;0,Q11-ROW()/10000000,"")</f>
        <v>28259.9999989</v>
      </c>
    </row>
    <row r="12">
      <c r="A12" s="65" t="inlineStr">
        <is>
          <t>OUT07</t>
        </is>
      </c>
      <c r="B12" s="63" t="inlineStr">
        <is>
          <t>Outillage Médina Pro</t>
        </is>
      </c>
      <c r="C12" s="63" t="inlineStr">
        <is>
          <t>Sidi Brahim, lot 31</t>
        </is>
      </c>
      <c r="D12" s="63" t="inlineStr">
        <is>
          <t>30000 Fès</t>
        </is>
      </c>
      <c r="E12" s="65" t="inlineStr">
        <is>
          <t>Maroc</t>
        </is>
      </c>
      <c r="F12" s="63" t="inlineStr">
        <is>
          <t>ICE 001634097000065</t>
        </is>
      </c>
      <c r="G12" s="63" t="inlineStr">
        <is>
          <t>Omar Fassi</t>
        </is>
      </c>
      <c r="H12" s="63" t="inlineStr">
        <is>
          <t>0535 00 74 02</t>
        </is>
      </c>
      <c r="I12" s="63" t="inlineStr">
        <is>
          <t>outillage.medina@exemple.ma</t>
        </is>
      </c>
      <c r="J12" s="63" t="inlineStr">
        <is>
          <t>30 jours</t>
        </is>
      </c>
      <c r="K12" s="127" t="n">
        <v>6</v>
      </c>
      <c r="L12" s="128">
        <f>IF(A12="","",COUNTIFS(po_sup,A12,po_first,1))</f>
        <v>2.0</v>
      </c>
      <c r="M12" s="70">
        <f>IF(A12="","",SUMIFS(po_ht,po_sup,A12,po_status,"&lt;&gt;Annulé"))</f>
        <v>11410.0</v>
      </c>
      <c r="N12" s="128">
        <f>IF(A12="","",COUNTIFS(po_sup,A12,po_status,"En retard"))</f>
        <v>0.0</v>
      </c>
      <c r="O12" s="72">
        <f>IF(A12="","",IF(COUNTIFS(po_sup,A12,po_ontime,"&gt;=0")=0,"",COUNTIFS(po_sup,A12,po_ontime,1)/COUNTIFS(po_sup,A12,po_ontime,"&gt;=0")))</f>
        <v>1.0</v>
      </c>
      <c r="P12" s="67" t="str">
        <f>IF(A12="","",IF(COUNTIF(sup_code,A12)&gt;1,"Code en double",IF(B12="","Raison sociale manquante",IF(AND(K12&lt;&gt;"",OR(NOT(ISNUMBER(K12)),N(K12)&lt;0)),"Délai invalide","OK"))))</f>
        <v>OK</v>
      </c>
      <c r="Q12" s="70">
        <f>IF(A12="","",SUMIFS(po_ht,po_sup,A12,po_status,"&lt;&gt;Annulé",po_date,"&gt;="&amp;p_y0,po_date,"&lt;"&amp;p_y1))</f>
        <v>11410.0</v>
      </c>
      <c r="R12" s="66">
        <f>IF(N(Q12)&gt;0,Q12-ROW()/10000000,"")</f>
        <v>11409.9999988</v>
      </c>
    </row>
    <row r="13">
      <c r="A13" s="65" t="inlineStr">
        <is>
          <t>EMB08</t>
        </is>
      </c>
      <c r="B13" s="63" t="inlineStr">
        <is>
          <t>Emballages Atlas Sud</t>
        </is>
      </c>
      <c r="C13" s="63" t="inlineStr">
        <is>
          <t>Zone industrielle Sidi Ghanem</t>
        </is>
      </c>
      <c r="D13" s="63" t="inlineStr">
        <is>
          <t>40110 Marrakech</t>
        </is>
      </c>
      <c r="E13" s="65" t="inlineStr">
        <is>
          <t>Maroc</t>
        </is>
      </c>
      <c r="F13" s="63" t="inlineStr">
        <is>
          <t>ICE 002087316000043</t>
        </is>
      </c>
      <c r="G13" s="63" t="inlineStr">
        <is>
          <t>Imane Alaoui</t>
        </is>
      </c>
      <c r="H13" s="63" t="inlineStr">
        <is>
          <t>0524 00 39 58</t>
        </is>
      </c>
      <c r="I13" s="63" t="inlineStr">
        <is>
          <t>emballages.sud@exemple.ma</t>
        </is>
      </c>
      <c r="J13" s="63" t="inlineStr">
        <is>
          <t>30 jours</t>
        </is>
      </c>
      <c r="K13" s="127" t="n">
        <v>8</v>
      </c>
      <c r="L13" s="128">
        <f>IF(A13="","",COUNTIFS(po_sup,A13,po_first,1))</f>
        <v>2.0</v>
      </c>
      <c r="M13" s="70">
        <f>IF(A13="","",SUMIFS(po_ht,po_sup,A13,po_status,"&lt;&gt;Annulé"))</f>
        <v>11050.0</v>
      </c>
      <c r="N13" s="128">
        <f>IF(A13="","",COUNTIFS(po_sup,A13,po_status,"En retard"))</f>
        <v>0.0</v>
      </c>
      <c r="O13" s="72">
        <f>IF(A13="","",IF(COUNTIFS(po_sup,A13,po_ontime,"&gt;=0")=0,"",COUNTIFS(po_sup,A13,po_ontime,1)/COUNTIFS(po_sup,A13,po_ontime,"&gt;=0")))</f>
        <v>0.0</v>
      </c>
      <c r="P13" s="67" t="str">
        <f>IF(A13="","",IF(COUNTIF(sup_code,A13)&gt;1,"Code en double",IF(B13="","Raison sociale manquante",IF(AND(K13&lt;&gt;"",OR(NOT(ISNUMBER(K13)),N(K13)&lt;0)),"Délai invalide","OK"))))</f>
        <v>OK</v>
      </c>
      <c r="Q13" s="70">
        <f>IF(A13="","",SUMIFS(po_ht,po_sup,A13,po_status,"&lt;&gt;Annulé",po_date,"&gt;="&amp;p_y0,po_date,"&lt;"&amp;p_y1))</f>
        <v>11050.0</v>
      </c>
      <c r="R13" s="66">
        <f>IF(N(Q13)&gt;0,Q13-ROW()/10000000,"")</f>
        <v>11049.9999987</v>
      </c>
    </row>
    <row r="14">
      <c r="A14" s="65" t="inlineStr">
        <is>
          <t>TRA09</t>
        </is>
      </c>
      <c r="B14" s="63" t="inlineStr">
        <is>
          <t>Transports Rapides Chaouia</t>
        </is>
      </c>
      <c r="C14" s="63" t="inlineStr">
        <is>
          <t>Avenue Hassan II, 118</t>
        </is>
      </c>
      <c r="D14" s="63" t="inlineStr">
        <is>
          <t>26000 Settat</t>
        </is>
      </c>
      <c r="E14" s="65" t="inlineStr">
        <is>
          <t>Maroc</t>
        </is>
      </c>
      <c r="F14" s="63" t="inlineStr">
        <is>
          <t>ICE 001842670000090</t>
        </is>
      </c>
      <c r="G14" s="63" t="inlineStr">
        <is>
          <t>Rachid Ziani</t>
        </is>
      </c>
      <c r="H14" s="63" t="inlineStr">
        <is>
          <t>0523 00 40 87</t>
        </is>
      </c>
      <c r="I14" s="63" t="inlineStr">
        <is>
          <t>transports.chaouia@exemple.ma</t>
        </is>
      </c>
      <c r="J14" s="63" t="inlineStr">
        <is>
          <t>30 jours</t>
        </is>
      </c>
      <c r="K14" s="127" t="n">
        <v>2</v>
      </c>
      <c r="L14" s="128">
        <f>IF(A14="","",COUNTIFS(po_sup,A14,po_first,1))</f>
        <v>1.0</v>
      </c>
      <c r="M14" s="70">
        <f>IF(A14="","",SUMIFS(po_ht,po_sup,A14,po_status,"&lt;&gt;Annulé"))</f>
        <v>2550.0</v>
      </c>
      <c r="N14" s="128">
        <f>IF(A14="","",COUNTIFS(po_sup,A14,po_status,"En retard"))</f>
        <v>0.0</v>
      </c>
      <c r="O14" s="72">
        <f>IF(A14="","",IF(COUNTIFS(po_sup,A14,po_ontime,"&gt;=0")=0,"",COUNTIFS(po_sup,A14,po_ontime,1)/COUNTIFS(po_sup,A14,po_ontime,"&gt;=0")))</f>
        <v>1.0</v>
      </c>
      <c r="P14" s="67" t="str">
        <f>IF(A14="","",IF(COUNTIF(sup_code,A14)&gt;1,"Code en double",IF(B14="","Raison sociale manquante",IF(AND(K14&lt;&gt;"",OR(NOT(ISNUMBER(K14)),N(K14)&lt;0)),"Délai invalide","OK"))))</f>
        <v>OK</v>
      </c>
      <c r="Q14" s="70">
        <f>IF(A14="","",SUMIFS(po_ht,po_sup,A14,po_status,"&lt;&gt;Annulé",po_date,"&gt;="&amp;p_y0,po_date,"&lt;"&amp;p_y1))</f>
        <v>2550.0</v>
      </c>
      <c r="R14" s="66">
        <f>IF(N(Q14)&gt;0,Q14-ROW()/10000000,"")</f>
        <v>2549.9999986</v>
      </c>
    </row>
    <row r="15">
      <c r="A15" s="65" t="n"/>
      <c r="B15" s="63" t="n"/>
      <c r="C15" s="63" t="n"/>
      <c r="D15" s="63" t="n"/>
      <c r="E15" s="65" t="n"/>
      <c r="F15" s="63" t="n"/>
      <c r="G15" s="63" t="n"/>
      <c r="H15" s="63" t="n"/>
      <c r="I15" s="63" t="n"/>
      <c r="J15" s="63" t="n"/>
      <c r="K15" s="127" t="n"/>
      <c r="L15" s="128" t="str">
        <f>IF(A15="","",COUNTIFS(po_sup,A15,po_first,1))</f>
        <v/>
      </c>
      <c r="M15" s="70" t="str">
        <f>IF(A15="","",SUMIFS(po_ht,po_sup,A15,po_status,"&lt;&gt;Annulé"))</f>
        <v/>
      </c>
      <c r="N15" s="128" t="str">
        <f>IF(A15="","",COUNTIFS(po_sup,A15,po_status,"En retard"))</f>
        <v/>
      </c>
      <c r="O15" s="72" t="str">
        <f>IF(A15="","",IF(COUNTIFS(po_sup,A15,po_ontime,"&gt;=0")=0,"",COUNTIFS(po_sup,A15,po_ontime,1)/COUNTIFS(po_sup,A15,po_ontime,"&gt;=0")))</f>
        <v/>
      </c>
      <c r="P15" s="67" t="str">
        <f>IF(A15="","",IF(COUNTIF(sup_code,A15)&gt;1,"Code en double",IF(B15="","Raison sociale manquante",IF(AND(K15&lt;&gt;"",OR(NOT(ISNUMBER(K15)),N(K15)&lt;0)),"Délai invalide","OK"))))</f>
        <v/>
      </c>
      <c r="Q15" s="70" t="str">
        <f>IF(A15="","",SUMIFS(po_ht,po_sup,A15,po_status,"&lt;&gt;Annulé",po_date,"&gt;="&amp;p_y0,po_date,"&lt;"&amp;p_y1))</f>
        <v/>
      </c>
      <c r="R15" s="66" t="str">
        <f>IF(N(Q15)&gt;0,Q15-ROW()/10000000,"")</f>
        <v/>
      </c>
    </row>
    <row r="16">
      <c r="A16" s="65" t="n"/>
      <c r="B16" s="63" t="n"/>
      <c r="C16" s="63" t="n"/>
      <c r="D16" s="63" t="n"/>
      <c r="E16" s="65" t="n"/>
      <c r="F16" s="63" t="n"/>
      <c r="G16" s="63" t="n"/>
      <c r="H16" s="63" t="n"/>
      <c r="I16" s="63" t="n"/>
      <c r="J16" s="63" t="n"/>
      <c r="K16" s="127" t="n"/>
      <c r="L16" s="128" t="str">
        <f>IF(A16="","",COUNTIFS(po_sup,A16,po_first,1))</f>
        <v/>
      </c>
      <c r="M16" s="70" t="str">
        <f>IF(A16="","",SUMIFS(po_ht,po_sup,A16,po_status,"&lt;&gt;Annulé"))</f>
        <v/>
      </c>
      <c r="N16" s="128" t="str">
        <f>IF(A16="","",COUNTIFS(po_sup,A16,po_status,"En retard"))</f>
        <v/>
      </c>
      <c r="O16" s="72" t="str">
        <f>IF(A16="","",IF(COUNTIFS(po_sup,A16,po_ontime,"&gt;=0")=0,"",COUNTIFS(po_sup,A16,po_ontime,1)/COUNTIFS(po_sup,A16,po_ontime,"&gt;=0")))</f>
        <v/>
      </c>
      <c r="P16" s="67" t="str">
        <f>IF(A16="","",IF(COUNTIF(sup_code,A16)&gt;1,"Code en double",IF(B16="","Raison sociale manquante",IF(AND(K16&lt;&gt;"",OR(NOT(ISNUMBER(K16)),N(K16)&lt;0)),"Délai invalide","OK"))))</f>
        <v/>
      </c>
      <c r="Q16" s="70" t="str">
        <f>IF(A16="","",SUMIFS(po_ht,po_sup,A16,po_status,"&lt;&gt;Annulé",po_date,"&gt;="&amp;p_y0,po_date,"&lt;"&amp;p_y1))</f>
        <v/>
      </c>
      <c r="R16" s="66" t="str">
        <f>IF(N(Q16)&gt;0,Q16-ROW()/10000000,"")</f>
        <v/>
      </c>
    </row>
    <row r="17">
      <c r="A17" s="65" t="n"/>
      <c r="B17" s="63" t="n"/>
      <c r="C17" s="63" t="n"/>
      <c r="D17" s="63" t="n"/>
      <c r="E17" s="65" t="n"/>
      <c r="F17" s="63" t="n"/>
      <c r="G17" s="63" t="n"/>
      <c r="H17" s="63" t="n"/>
      <c r="I17" s="63" t="n"/>
      <c r="J17" s="63" t="n"/>
      <c r="K17" s="127" t="n"/>
      <c r="L17" s="128" t="str">
        <f>IF(A17="","",COUNTIFS(po_sup,A17,po_first,1))</f>
        <v/>
      </c>
      <c r="M17" s="70" t="str">
        <f>IF(A17="","",SUMIFS(po_ht,po_sup,A17,po_status,"&lt;&gt;Annulé"))</f>
        <v/>
      </c>
      <c r="N17" s="128" t="str">
        <f>IF(A17="","",COUNTIFS(po_sup,A17,po_status,"En retard"))</f>
        <v/>
      </c>
      <c r="O17" s="72" t="str">
        <f>IF(A17="","",IF(COUNTIFS(po_sup,A17,po_ontime,"&gt;=0")=0,"",COUNTIFS(po_sup,A17,po_ontime,1)/COUNTIFS(po_sup,A17,po_ontime,"&gt;=0")))</f>
        <v/>
      </c>
      <c r="P17" s="67" t="str">
        <f>IF(A17="","",IF(COUNTIF(sup_code,A17)&gt;1,"Code en double",IF(B17="","Raison sociale manquante",IF(AND(K17&lt;&gt;"",OR(NOT(ISNUMBER(K17)),N(K17)&lt;0)),"Délai invalide","OK"))))</f>
        <v/>
      </c>
      <c r="Q17" s="70" t="str">
        <f>IF(A17="","",SUMIFS(po_ht,po_sup,A17,po_status,"&lt;&gt;Annulé",po_date,"&gt;="&amp;p_y0,po_date,"&lt;"&amp;p_y1))</f>
        <v/>
      </c>
      <c r="R17" s="66" t="str">
        <f>IF(N(Q17)&gt;0,Q17-ROW()/10000000,"")</f>
        <v/>
      </c>
    </row>
    <row r="18">
      <c r="A18" s="65" t="n"/>
      <c r="B18" s="63" t="n"/>
      <c r="C18" s="63" t="n"/>
      <c r="D18" s="63" t="n"/>
      <c r="E18" s="65" t="n"/>
      <c r="F18" s="63" t="n"/>
      <c r="G18" s="63" t="n"/>
      <c r="H18" s="63" t="n"/>
      <c r="I18" s="63" t="n"/>
      <c r="J18" s="63" t="n"/>
      <c r="K18" s="127" t="n"/>
      <c r="L18" s="128" t="str">
        <f>IF(A18="","",COUNTIFS(po_sup,A18,po_first,1))</f>
        <v/>
      </c>
      <c r="M18" s="70" t="str">
        <f>IF(A18="","",SUMIFS(po_ht,po_sup,A18,po_status,"&lt;&gt;Annulé"))</f>
        <v/>
      </c>
      <c r="N18" s="128" t="str">
        <f>IF(A18="","",COUNTIFS(po_sup,A18,po_status,"En retard"))</f>
        <v/>
      </c>
      <c r="O18" s="72" t="str">
        <f>IF(A18="","",IF(COUNTIFS(po_sup,A18,po_ontime,"&gt;=0")=0,"",COUNTIFS(po_sup,A18,po_ontime,1)/COUNTIFS(po_sup,A18,po_ontime,"&gt;=0")))</f>
        <v/>
      </c>
      <c r="P18" s="67" t="str">
        <f>IF(A18="","",IF(COUNTIF(sup_code,A18)&gt;1,"Code en double",IF(B18="","Raison sociale manquante",IF(AND(K18&lt;&gt;"",OR(NOT(ISNUMBER(K18)),N(K18)&lt;0)),"Délai invalide","OK"))))</f>
        <v/>
      </c>
      <c r="Q18" s="70" t="str">
        <f>IF(A18="","",SUMIFS(po_ht,po_sup,A18,po_status,"&lt;&gt;Annulé",po_date,"&gt;="&amp;p_y0,po_date,"&lt;"&amp;p_y1))</f>
        <v/>
      </c>
      <c r="R18" s="66" t="str">
        <f>IF(N(Q18)&gt;0,Q18-ROW()/10000000,"")</f>
        <v/>
      </c>
    </row>
    <row r="19">
      <c r="A19" s="65" t="n"/>
      <c r="B19" s="63" t="n"/>
      <c r="C19" s="63" t="n"/>
      <c r="D19" s="63" t="n"/>
      <c r="E19" s="65" t="n"/>
      <c r="F19" s="63" t="n"/>
      <c r="G19" s="63" t="n"/>
      <c r="H19" s="63" t="n"/>
      <c r="I19" s="63" t="n"/>
      <c r="J19" s="63" t="n"/>
      <c r="K19" s="127" t="n"/>
      <c r="L19" s="128" t="str">
        <f>IF(A19="","",COUNTIFS(po_sup,A19,po_first,1))</f>
        <v/>
      </c>
      <c r="M19" s="70" t="str">
        <f>IF(A19="","",SUMIFS(po_ht,po_sup,A19,po_status,"&lt;&gt;Annulé"))</f>
        <v/>
      </c>
      <c r="N19" s="128" t="str">
        <f>IF(A19="","",COUNTIFS(po_sup,A19,po_status,"En retard"))</f>
        <v/>
      </c>
      <c r="O19" s="72" t="str">
        <f>IF(A19="","",IF(COUNTIFS(po_sup,A19,po_ontime,"&gt;=0")=0,"",COUNTIFS(po_sup,A19,po_ontime,1)/COUNTIFS(po_sup,A19,po_ontime,"&gt;=0")))</f>
        <v/>
      </c>
      <c r="P19" s="67" t="str">
        <f>IF(A19="","",IF(COUNTIF(sup_code,A19)&gt;1,"Code en double",IF(B19="","Raison sociale manquante",IF(AND(K19&lt;&gt;"",OR(NOT(ISNUMBER(K19)),N(K19)&lt;0)),"Délai invalide","OK"))))</f>
        <v/>
      </c>
      <c r="Q19" s="70" t="str">
        <f>IF(A19="","",SUMIFS(po_ht,po_sup,A19,po_status,"&lt;&gt;Annulé",po_date,"&gt;="&amp;p_y0,po_date,"&lt;"&amp;p_y1))</f>
        <v/>
      </c>
      <c r="R19" s="66" t="str">
        <f>IF(N(Q19)&gt;0,Q19-ROW()/10000000,"")</f>
        <v/>
      </c>
    </row>
    <row r="20">
      <c r="A20" s="65" t="n"/>
      <c r="B20" s="63" t="n"/>
      <c r="C20" s="63" t="n"/>
      <c r="D20" s="63" t="n"/>
      <c r="E20" s="65" t="n"/>
      <c r="F20" s="63" t="n"/>
      <c r="G20" s="63" t="n"/>
      <c r="H20" s="63" t="n"/>
      <c r="I20" s="63" t="n"/>
      <c r="J20" s="63" t="n"/>
      <c r="K20" s="127" t="n"/>
      <c r="L20" s="128" t="str">
        <f>IF(A20="","",COUNTIFS(po_sup,A20,po_first,1))</f>
        <v/>
      </c>
      <c r="M20" s="70" t="str">
        <f>IF(A20="","",SUMIFS(po_ht,po_sup,A20,po_status,"&lt;&gt;Annulé"))</f>
        <v/>
      </c>
      <c r="N20" s="128" t="str">
        <f>IF(A20="","",COUNTIFS(po_sup,A20,po_status,"En retard"))</f>
        <v/>
      </c>
      <c r="O20" s="72" t="str">
        <f>IF(A20="","",IF(COUNTIFS(po_sup,A20,po_ontime,"&gt;=0")=0,"",COUNTIFS(po_sup,A20,po_ontime,1)/COUNTIFS(po_sup,A20,po_ontime,"&gt;=0")))</f>
        <v/>
      </c>
      <c r="P20" s="67" t="str">
        <f>IF(A20="","",IF(COUNTIF(sup_code,A20)&gt;1,"Code en double",IF(B20="","Raison sociale manquante",IF(AND(K20&lt;&gt;"",OR(NOT(ISNUMBER(K20)),N(K20)&lt;0)),"Délai invalide","OK"))))</f>
        <v/>
      </c>
      <c r="Q20" s="70" t="str">
        <f>IF(A20="","",SUMIFS(po_ht,po_sup,A20,po_status,"&lt;&gt;Annulé",po_date,"&gt;="&amp;p_y0,po_date,"&lt;"&amp;p_y1))</f>
        <v/>
      </c>
      <c r="R20" s="66" t="str">
        <f>IF(N(Q20)&gt;0,Q20-ROW()/10000000,"")</f>
        <v/>
      </c>
    </row>
    <row r="21">
      <c r="A21" s="65" t="n"/>
      <c r="B21" s="63" t="n"/>
      <c r="C21" s="63" t="n"/>
      <c r="D21" s="63" t="n"/>
      <c r="E21" s="65" t="n"/>
      <c r="F21" s="63" t="n"/>
      <c r="G21" s="63" t="n"/>
      <c r="H21" s="63" t="n"/>
      <c r="I21" s="63" t="n"/>
      <c r="J21" s="63" t="n"/>
      <c r="K21" s="127" t="n"/>
      <c r="L21" s="128" t="str">
        <f>IF(A21="","",COUNTIFS(po_sup,A21,po_first,1))</f>
        <v/>
      </c>
      <c r="M21" s="70" t="str">
        <f>IF(A21="","",SUMIFS(po_ht,po_sup,A21,po_status,"&lt;&gt;Annulé"))</f>
        <v/>
      </c>
      <c r="N21" s="128" t="str">
        <f>IF(A21="","",COUNTIFS(po_sup,A21,po_status,"En retard"))</f>
        <v/>
      </c>
      <c r="O21" s="72" t="str">
        <f>IF(A21="","",IF(COUNTIFS(po_sup,A21,po_ontime,"&gt;=0")=0,"",COUNTIFS(po_sup,A21,po_ontime,1)/COUNTIFS(po_sup,A21,po_ontime,"&gt;=0")))</f>
        <v/>
      </c>
      <c r="P21" s="67" t="str">
        <f>IF(A21="","",IF(COUNTIF(sup_code,A21)&gt;1,"Code en double",IF(B21="","Raison sociale manquante",IF(AND(K21&lt;&gt;"",OR(NOT(ISNUMBER(K21)),N(K21)&lt;0)),"Délai invalide","OK"))))</f>
        <v/>
      </c>
      <c r="Q21" s="70" t="str">
        <f>IF(A21="","",SUMIFS(po_ht,po_sup,A21,po_status,"&lt;&gt;Annulé",po_date,"&gt;="&amp;p_y0,po_date,"&lt;"&amp;p_y1))</f>
        <v/>
      </c>
      <c r="R21" s="66" t="str">
        <f>IF(N(Q21)&gt;0,Q21-ROW()/10000000,"")</f>
        <v/>
      </c>
    </row>
    <row r="22">
      <c r="A22" s="65" t="n"/>
      <c r="B22" s="63" t="n"/>
      <c r="C22" s="63" t="n"/>
      <c r="D22" s="63" t="n"/>
      <c r="E22" s="65" t="n"/>
      <c r="F22" s="63" t="n"/>
      <c r="G22" s="63" t="n"/>
      <c r="H22" s="63" t="n"/>
      <c r="I22" s="63" t="n"/>
      <c r="J22" s="63" t="n"/>
      <c r="K22" s="127" t="n"/>
      <c r="L22" s="128" t="str">
        <f>IF(A22="","",COUNTIFS(po_sup,A22,po_first,1))</f>
        <v/>
      </c>
      <c r="M22" s="70" t="str">
        <f>IF(A22="","",SUMIFS(po_ht,po_sup,A22,po_status,"&lt;&gt;Annulé"))</f>
        <v/>
      </c>
      <c r="N22" s="128" t="str">
        <f>IF(A22="","",COUNTIFS(po_sup,A22,po_status,"En retard"))</f>
        <v/>
      </c>
      <c r="O22" s="72" t="str">
        <f>IF(A22="","",IF(COUNTIFS(po_sup,A22,po_ontime,"&gt;=0")=0,"",COUNTIFS(po_sup,A22,po_ontime,1)/COUNTIFS(po_sup,A22,po_ontime,"&gt;=0")))</f>
        <v/>
      </c>
      <c r="P22" s="67" t="str">
        <f>IF(A22="","",IF(COUNTIF(sup_code,A22)&gt;1,"Code en double",IF(B22="","Raison sociale manquante",IF(AND(K22&lt;&gt;"",OR(NOT(ISNUMBER(K22)),N(K22)&lt;0)),"Délai invalide","OK"))))</f>
        <v/>
      </c>
      <c r="Q22" s="70" t="str">
        <f>IF(A22="","",SUMIFS(po_ht,po_sup,A22,po_status,"&lt;&gt;Annulé",po_date,"&gt;="&amp;p_y0,po_date,"&lt;"&amp;p_y1))</f>
        <v/>
      </c>
      <c r="R22" s="66" t="str">
        <f>IF(N(Q22)&gt;0,Q22-ROW()/10000000,"")</f>
        <v/>
      </c>
    </row>
    <row r="23">
      <c r="A23" s="65" t="n"/>
      <c r="B23" s="63" t="n"/>
      <c r="C23" s="63" t="n"/>
      <c r="D23" s="63" t="n"/>
      <c r="E23" s="65" t="n"/>
      <c r="F23" s="63" t="n"/>
      <c r="G23" s="63" t="n"/>
      <c r="H23" s="63" t="n"/>
      <c r="I23" s="63" t="n"/>
      <c r="J23" s="63" t="n"/>
      <c r="K23" s="127" t="n"/>
      <c r="L23" s="128" t="str">
        <f>IF(A23="","",COUNTIFS(po_sup,A23,po_first,1))</f>
        <v/>
      </c>
      <c r="M23" s="70" t="str">
        <f>IF(A23="","",SUMIFS(po_ht,po_sup,A23,po_status,"&lt;&gt;Annulé"))</f>
        <v/>
      </c>
      <c r="N23" s="128" t="str">
        <f>IF(A23="","",COUNTIFS(po_sup,A23,po_status,"En retard"))</f>
        <v/>
      </c>
      <c r="O23" s="72" t="str">
        <f>IF(A23="","",IF(COUNTIFS(po_sup,A23,po_ontime,"&gt;=0")=0,"",COUNTIFS(po_sup,A23,po_ontime,1)/COUNTIFS(po_sup,A23,po_ontime,"&gt;=0")))</f>
        <v/>
      </c>
      <c r="P23" s="67" t="str">
        <f>IF(A23="","",IF(COUNTIF(sup_code,A23)&gt;1,"Code en double",IF(B23="","Raison sociale manquante",IF(AND(K23&lt;&gt;"",OR(NOT(ISNUMBER(K23)),N(K23)&lt;0)),"Délai invalide","OK"))))</f>
        <v/>
      </c>
      <c r="Q23" s="70" t="str">
        <f>IF(A23="","",SUMIFS(po_ht,po_sup,A23,po_status,"&lt;&gt;Annulé",po_date,"&gt;="&amp;p_y0,po_date,"&lt;"&amp;p_y1))</f>
        <v/>
      </c>
      <c r="R23" s="66" t="str">
        <f>IF(N(Q23)&gt;0,Q23-ROW()/10000000,"")</f>
        <v/>
      </c>
    </row>
    <row r="24">
      <c r="A24" s="65" t="n"/>
      <c r="B24" s="63" t="n"/>
      <c r="C24" s="63" t="n"/>
      <c r="D24" s="63" t="n"/>
      <c r="E24" s="65" t="n"/>
      <c r="F24" s="63" t="n"/>
      <c r="G24" s="63" t="n"/>
      <c r="H24" s="63" t="n"/>
      <c r="I24" s="63" t="n"/>
      <c r="J24" s="63" t="n"/>
      <c r="K24" s="127" t="n"/>
      <c r="L24" s="128" t="str">
        <f>IF(A24="","",COUNTIFS(po_sup,A24,po_first,1))</f>
        <v/>
      </c>
      <c r="M24" s="70" t="str">
        <f>IF(A24="","",SUMIFS(po_ht,po_sup,A24,po_status,"&lt;&gt;Annulé"))</f>
        <v/>
      </c>
      <c r="N24" s="128" t="str">
        <f>IF(A24="","",COUNTIFS(po_sup,A24,po_status,"En retard"))</f>
        <v/>
      </c>
      <c r="O24" s="72" t="str">
        <f>IF(A24="","",IF(COUNTIFS(po_sup,A24,po_ontime,"&gt;=0")=0,"",COUNTIFS(po_sup,A24,po_ontime,1)/COUNTIFS(po_sup,A24,po_ontime,"&gt;=0")))</f>
        <v/>
      </c>
      <c r="P24" s="67" t="str">
        <f>IF(A24="","",IF(COUNTIF(sup_code,A24)&gt;1,"Code en double",IF(B24="","Raison sociale manquante",IF(AND(K24&lt;&gt;"",OR(NOT(ISNUMBER(K24)),N(K24)&lt;0)),"Délai invalide","OK"))))</f>
        <v/>
      </c>
      <c r="Q24" s="70" t="str">
        <f>IF(A24="","",SUMIFS(po_ht,po_sup,A24,po_status,"&lt;&gt;Annulé",po_date,"&gt;="&amp;p_y0,po_date,"&lt;"&amp;p_y1))</f>
        <v/>
      </c>
      <c r="R24" s="66" t="str">
        <f>IF(N(Q24)&gt;0,Q24-ROW()/10000000,"")</f>
        <v/>
      </c>
    </row>
    <row r="25">
      <c r="A25" s="65" t="n"/>
      <c r="B25" s="63" t="n"/>
      <c r="C25" s="63" t="n"/>
      <c r="D25" s="63" t="n"/>
      <c r="E25" s="65" t="n"/>
      <c r="F25" s="63" t="n"/>
      <c r="G25" s="63" t="n"/>
      <c r="H25" s="63" t="n"/>
      <c r="I25" s="63" t="n"/>
      <c r="J25" s="63" t="n"/>
      <c r="K25" s="127" t="n"/>
      <c r="L25" s="128" t="str">
        <f>IF(A25="","",COUNTIFS(po_sup,A25,po_first,1))</f>
        <v/>
      </c>
      <c r="M25" s="70" t="str">
        <f>IF(A25="","",SUMIFS(po_ht,po_sup,A25,po_status,"&lt;&gt;Annulé"))</f>
        <v/>
      </c>
      <c r="N25" s="128" t="str">
        <f>IF(A25="","",COUNTIFS(po_sup,A25,po_status,"En retard"))</f>
        <v/>
      </c>
      <c r="O25" s="72" t="str">
        <f>IF(A25="","",IF(COUNTIFS(po_sup,A25,po_ontime,"&gt;=0")=0,"",COUNTIFS(po_sup,A25,po_ontime,1)/COUNTIFS(po_sup,A25,po_ontime,"&gt;=0")))</f>
        <v/>
      </c>
      <c r="P25" s="67" t="str">
        <f>IF(A25="","",IF(COUNTIF(sup_code,A25)&gt;1,"Code en double",IF(B25="","Raison sociale manquante",IF(AND(K25&lt;&gt;"",OR(NOT(ISNUMBER(K25)),N(K25)&lt;0)),"Délai invalide","OK"))))</f>
        <v/>
      </c>
      <c r="Q25" s="70" t="str">
        <f>IF(A25="","",SUMIFS(po_ht,po_sup,A25,po_status,"&lt;&gt;Annulé",po_date,"&gt;="&amp;p_y0,po_date,"&lt;"&amp;p_y1))</f>
        <v/>
      </c>
      <c r="R25" s="66" t="str">
        <f>IF(N(Q25)&gt;0,Q25-ROW()/10000000,"")</f>
        <v/>
      </c>
    </row>
    <row r="26">
      <c r="A26" s="65" t="n"/>
      <c r="B26" s="63" t="n"/>
      <c r="C26" s="63" t="n"/>
      <c r="D26" s="63" t="n"/>
      <c r="E26" s="65" t="n"/>
      <c r="F26" s="63" t="n"/>
      <c r="G26" s="63" t="n"/>
      <c r="H26" s="63" t="n"/>
      <c r="I26" s="63" t="n"/>
      <c r="J26" s="63" t="n"/>
      <c r="K26" s="127" t="n"/>
      <c r="L26" s="128" t="str">
        <f>IF(A26="","",COUNTIFS(po_sup,A26,po_first,1))</f>
        <v/>
      </c>
      <c r="M26" s="70" t="str">
        <f>IF(A26="","",SUMIFS(po_ht,po_sup,A26,po_status,"&lt;&gt;Annulé"))</f>
        <v/>
      </c>
      <c r="N26" s="128" t="str">
        <f>IF(A26="","",COUNTIFS(po_sup,A26,po_status,"En retard"))</f>
        <v/>
      </c>
      <c r="O26" s="72" t="str">
        <f>IF(A26="","",IF(COUNTIFS(po_sup,A26,po_ontime,"&gt;=0")=0,"",COUNTIFS(po_sup,A26,po_ontime,1)/COUNTIFS(po_sup,A26,po_ontime,"&gt;=0")))</f>
        <v/>
      </c>
      <c r="P26" s="67" t="str">
        <f>IF(A26="","",IF(COUNTIF(sup_code,A26)&gt;1,"Code en double",IF(B26="","Raison sociale manquante",IF(AND(K26&lt;&gt;"",OR(NOT(ISNUMBER(K26)),N(K26)&lt;0)),"Délai invalide","OK"))))</f>
        <v/>
      </c>
      <c r="Q26" s="70" t="str">
        <f>IF(A26="","",SUMIFS(po_ht,po_sup,A26,po_status,"&lt;&gt;Annulé",po_date,"&gt;="&amp;p_y0,po_date,"&lt;"&amp;p_y1))</f>
        <v/>
      </c>
      <c r="R26" s="66" t="str">
        <f>IF(N(Q26)&gt;0,Q26-ROW()/10000000,"")</f>
        <v/>
      </c>
    </row>
    <row r="27">
      <c r="A27" s="65" t="n"/>
      <c r="B27" s="63" t="n"/>
      <c r="C27" s="63" t="n"/>
      <c r="D27" s="63" t="n"/>
      <c r="E27" s="65" t="n"/>
      <c r="F27" s="63" t="n"/>
      <c r="G27" s="63" t="n"/>
      <c r="H27" s="63" t="n"/>
      <c r="I27" s="63" t="n"/>
      <c r="J27" s="63" t="n"/>
      <c r="K27" s="127" t="n"/>
      <c r="L27" s="128" t="str">
        <f>IF(A27="","",COUNTIFS(po_sup,A27,po_first,1))</f>
        <v/>
      </c>
      <c r="M27" s="70" t="str">
        <f>IF(A27="","",SUMIFS(po_ht,po_sup,A27,po_status,"&lt;&gt;Annulé"))</f>
        <v/>
      </c>
      <c r="N27" s="128" t="str">
        <f>IF(A27="","",COUNTIFS(po_sup,A27,po_status,"En retard"))</f>
        <v/>
      </c>
      <c r="O27" s="72" t="str">
        <f>IF(A27="","",IF(COUNTIFS(po_sup,A27,po_ontime,"&gt;=0")=0,"",COUNTIFS(po_sup,A27,po_ontime,1)/COUNTIFS(po_sup,A27,po_ontime,"&gt;=0")))</f>
        <v/>
      </c>
      <c r="P27" s="67" t="str">
        <f>IF(A27="","",IF(COUNTIF(sup_code,A27)&gt;1,"Code en double",IF(B27="","Raison sociale manquante",IF(AND(K27&lt;&gt;"",OR(NOT(ISNUMBER(K27)),N(K27)&lt;0)),"Délai invalide","OK"))))</f>
        <v/>
      </c>
      <c r="Q27" s="70" t="str">
        <f>IF(A27="","",SUMIFS(po_ht,po_sup,A27,po_status,"&lt;&gt;Annulé",po_date,"&gt;="&amp;p_y0,po_date,"&lt;"&amp;p_y1))</f>
        <v/>
      </c>
      <c r="R27" s="66" t="str">
        <f>IF(N(Q27)&gt;0,Q27-ROW()/10000000,"")</f>
        <v/>
      </c>
    </row>
    <row r="28">
      <c r="A28" s="65" t="n"/>
      <c r="B28" s="63" t="n"/>
      <c r="C28" s="63" t="n"/>
      <c r="D28" s="63" t="n"/>
      <c r="E28" s="65" t="n"/>
      <c r="F28" s="63" t="n"/>
      <c r="G28" s="63" t="n"/>
      <c r="H28" s="63" t="n"/>
      <c r="I28" s="63" t="n"/>
      <c r="J28" s="63" t="n"/>
      <c r="K28" s="127" t="n"/>
      <c r="L28" s="128" t="str">
        <f>IF(A28="","",COUNTIFS(po_sup,A28,po_first,1))</f>
        <v/>
      </c>
      <c r="M28" s="70" t="str">
        <f>IF(A28="","",SUMIFS(po_ht,po_sup,A28,po_status,"&lt;&gt;Annulé"))</f>
        <v/>
      </c>
      <c r="N28" s="128" t="str">
        <f>IF(A28="","",COUNTIFS(po_sup,A28,po_status,"En retard"))</f>
        <v/>
      </c>
      <c r="O28" s="72" t="str">
        <f>IF(A28="","",IF(COUNTIFS(po_sup,A28,po_ontime,"&gt;=0")=0,"",COUNTIFS(po_sup,A28,po_ontime,1)/COUNTIFS(po_sup,A28,po_ontime,"&gt;=0")))</f>
        <v/>
      </c>
      <c r="P28" s="67" t="str">
        <f>IF(A28="","",IF(COUNTIF(sup_code,A28)&gt;1,"Code en double",IF(B28="","Raison sociale manquante",IF(AND(K28&lt;&gt;"",OR(NOT(ISNUMBER(K28)),N(K28)&lt;0)),"Délai invalide","OK"))))</f>
        <v/>
      </c>
      <c r="Q28" s="70" t="str">
        <f>IF(A28="","",SUMIFS(po_ht,po_sup,A28,po_status,"&lt;&gt;Annulé",po_date,"&gt;="&amp;p_y0,po_date,"&lt;"&amp;p_y1))</f>
        <v/>
      </c>
      <c r="R28" s="66" t="str">
        <f>IF(N(Q28)&gt;0,Q28-ROW()/10000000,"")</f>
        <v/>
      </c>
    </row>
    <row r="29">
      <c r="A29" s="65" t="n"/>
      <c r="B29" s="63" t="n"/>
      <c r="C29" s="63" t="n"/>
      <c r="D29" s="63" t="n"/>
      <c r="E29" s="65" t="n"/>
      <c r="F29" s="63" t="n"/>
      <c r="G29" s="63" t="n"/>
      <c r="H29" s="63" t="n"/>
      <c r="I29" s="63" t="n"/>
      <c r="J29" s="63" t="n"/>
      <c r="K29" s="127" t="n"/>
      <c r="L29" s="128" t="str">
        <f>IF(A29="","",COUNTIFS(po_sup,A29,po_first,1))</f>
        <v/>
      </c>
      <c r="M29" s="70" t="str">
        <f>IF(A29="","",SUMIFS(po_ht,po_sup,A29,po_status,"&lt;&gt;Annulé"))</f>
        <v/>
      </c>
      <c r="N29" s="128" t="str">
        <f>IF(A29="","",COUNTIFS(po_sup,A29,po_status,"En retard"))</f>
        <v/>
      </c>
      <c r="O29" s="72" t="str">
        <f>IF(A29="","",IF(COUNTIFS(po_sup,A29,po_ontime,"&gt;=0")=0,"",COUNTIFS(po_sup,A29,po_ontime,1)/COUNTIFS(po_sup,A29,po_ontime,"&gt;=0")))</f>
        <v/>
      </c>
      <c r="P29" s="67" t="str">
        <f>IF(A29="","",IF(COUNTIF(sup_code,A29)&gt;1,"Code en double",IF(B29="","Raison sociale manquante",IF(AND(K29&lt;&gt;"",OR(NOT(ISNUMBER(K29)),N(K29)&lt;0)),"Délai invalide","OK"))))</f>
        <v/>
      </c>
      <c r="Q29" s="70" t="str">
        <f>IF(A29="","",SUMIFS(po_ht,po_sup,A29,po_status,"&lt;&gt;Annulé",po_date,"&gt;="&amp;p_y0,po_date,"&lt;"&amp;p_y1))</f>
        <v/>
      </c>
      <c r="R29" s="66" t="str">
        <f>IF(N(Q29)&gt;0,Q29-ROW()/10000000,"")</f>
        <v/>
      </c>
    </row>
    <row r="30">
      <c r="A30" s="65" t="n"/>
      <c r="B30" s="63" t="n"/>
      <c r="C30" s="63" t="n"/>
      <c r="D30" s="63" t="n"/>
      <c r="E30" s="65" t="n"/>
      <c r="F30" s="63" t="n"/>
      <c r="G30" s="63" t="n"/>
      <c r="H30" s="63" t="n"/>
      <c r="I30" s="63" t="n"/>
      <c r="J30" s="63" t="n"/>
      <c r="K30" s="127" t="n"/>
      <c r="L30" s="128" t="str">
        <f>IF(A30="","",COUNTIFS(po_sup,A30,po_first,1))</f>
        <v/>
      </c>
      <c r="M30" s="70" t="str">
        <f>IF(A30="","",SUMIFS(po_ht,po_sup,A30,po_status,"&lt;&gt;Annulé"))</f>
        <v/>
      </c>
      <c r="N30" s="128" t="str">
        <f>IF(A30="","",COUNTIFS(po_sup,A30,po_status,"En retard"))</f>
        <v/>
      </c>
      <c r="O30" s="72" t="str">
        <f>IF(A30="","",IF(COUNTIFS(po_sup,A30,po_ontime,"&gt;=0")=0,"",COUNTIFS(po_sup,A30,po_ontime,1)/COUNTIFS(po_sup,A30,po_ontime,"&gt;=0")))</f>
        <v/>
      </c>
      <c r="P30" s="67" t="str">
        <f>IF(A30="","",IF(COUNTIF(sup_code,A30)&gt;1,"Code en double",IF(B30="","Raison sociale manquante",IF(AND(K30&lt;&gt;"",OR(NOT(ISNUMBER(K30)),N(K30)&lt;0)),"Délai invalide","OK"))))</f>
        <v/>
      </c>
      <c r="Q30" s="70" t="str">
        <f>IF(A30="","",SUMIFS(po_ht,po_sup,A30,po_status,"&lt;&gt;Annulé",po_date,"&gt;="&amp;p_y0,po_date,"&lt;"&amp;p_y1))</f>
        <v/>
      </c>
      <c r="R30" s="66" t="str">
        <f>IF(N(Q30)&gt;0,Q30-ROW()/10000000,"")</f>
        <v/>
      </c>
    </row>
    <row r="31">
      <c r="A31" s="65" t="n"/>
      <c r="B31" s="63" t="n"/>
      <c r="C31" s="63" t="n"/>
      <c r="D31" s="63" t="n"/>
      <c r="E31" s="65" t="n"/>
      <c r="F31" s="63" t="n"/>
      <c r="G31" s="63" t="n"/>
      <c r="H31" s="63" t="n"/>
      <c r="I31" s="63" t="n"/>
      <c r="J31" s="63" t="n"/>
      <c r="K31" s="127" t="n"/>
      <c r="L31" s="128" t="str">
        <f>IF(A31="","",COUNTIFS(po_sup,A31,po_first,1))</f>
        <v/>
      </c>
      <c r="M31" s="70" t="str">
        <f>IF(A31="","",SUMIFS(po_ht,po_sup,A31,po_status,"&lt;&gt;Annulé"))</f>
        <v/>
      </c>
      <c r="N31" s="128" t="str">
        <f>IF(A31="","",COUNTIFS(po_sup,A31,po_status,"En retard"))</f>
        <v/>
      </c>
      <c r="O31" s="72" t="str">
        <f>IF(A31="","",IF(COUNTIFS(po_sup,A31,po_ontime,"&gt;=0")=0,"",COUNTIFS(po_sup,A31,po_ontime,1)/COUNTIFS(po_sup,A31,po_ontime,"&gt;=0")))</f>
        <v/>
      </c>
      <c r="P31" s="67" t="str">
        <f>IF(A31="","",IF(COUNTIF(sup_code,A31)&gt;1,"Code en double",IF(B31="","Raison sociale manquante",IF(AND(K31&lt;&gt;"",OR(NOT(ISNUMBER(K31)),N(K31)&lt;0)),"Délai invalide","OK"))))</f>
        <v/>
      </c>
      <c r="Q31" s="70" t="str">
        <f>IF(A31="","",SUMIFS(po_ht,po_sup,A31,po_status,"&lt;&gt;Annulé",po_date,"&gt;="&amp;p_y0,po_date,"&lt;"&amp;p_y1))</f>
        <v/>
      </c>
      <c r="R31" s="66" t="str">
        <f>IF(N(Q31)&gt;0,Q31-ROW()/10000000,"")</f>
        <v/>
      </c>
    </row>
    <row r="32">
      <c r="A32" s="65" t="n"/>
      <c r="B32" s="63" t="n"/>
      <c r="C32" s="63" t="n"/>
      <c r="D32" s="63" t="n"/>
      <c r="E32" s="65" t="n"/>
      <c r="F32" s="63" t="n"/>
      <c r="G32" s="63" t="n"/>
      <c r="H32" s="63" t="n"/>
      <c r="I32" s="63" t="n"/>
      <c r="J32" s="63" t="n"/>
      <c r="K32" s="127" t="n"/>
      <c r="L32" s="128" t="str">
        <f>IF(A32="","",COUNTIFS(po_sup,A32,po_first,1))</f>
        <v/>
      </c>
      <c r="M32" s="70" t="str">
        <f>IF(A32="","",SUMIFS(po_ht,po_sup,A32,po_status,"&lt;&gt;Annulé"))</f>
        <v/>
      </c>
      <c r="N32" s="128" t="str">
        <f>IF(A32="","",COUNTIFS(po_sup,A32,po_status,"En retard"))</f>
        <v/>
      </c>
      <c r="O32" s="72" t="str">
        <f>IF(A32="","",IF(COUNTIFS(po_sup,A32,po_ontime,"&gt;=0")=0,"",COUNTIFS(po_sup,A32,po_ontime,1)/COUNTIFS(po_sup,A32,po_ontime,"&gt;=0")))</f>
        <v/>
      </c>
      <c r="P32" s="67" t="str">
        <f>IF(A32="","",IF(COUNTIF(sup_code,A32)&gt;1,"Code en double",IF(B32="","Raison sociale manquante",IF(AND(K32&lt;&gt;"",OR(NOT(ISNUMBER(K32)),N(K32)&lt;0)),"Délai invalide","OK"))))</f>
        <v/>
      </c>
      <c r="Q32" s="70" t="str">
        <f>IF(A32="","",SUMIFS(po_ht,po_sup,A32,po_status,"&lt;&gt;Annulé",po_date,"&gt;="&amp;p_y0,po_date,"&lt;"&amp;p_y1))</f>
        <v/>
      </c>
      <c r="R32" s="66" t="str">
        <f>IF(N(Q32)&gt;0,Q32-ROW()/10000000,"")</f>
        <v/>
      </c>
    </row>
    <row r="33">
      <c r="A33" s="65" t="n"/>
      <c r="B33" s="63" t="n"/>
      <c r="C33" s="63" t="n"/>
      <c r="D33" s="63" t="n"/>
      <c r="E33" s="65" t="n"/>
      <c r="F33" s="63" t="n"/>
      <c r="G33" s="63" t="n"/>
      <c r="H33" s="63" t="n"/>
      <c r="I33" s="63" t="n"/>
      <c r="J33" s="63" t="n"/>
      <c r="K33" s="127" t="n"/>
      <c r="L33" s="128" t="str">
        <f>IF(A33="","",COUNTIFS(po_sup,A33,po_first,1))</f>
        <v/>
      </c>
      <c r="M33" s="70" t="str">
        <f>IF(A33="","",SUMIFS(po_ht,po_sup,A33,po_status,"&lt;&gt;Annulé"))</f>
        <v/>
      </c>
      <c r="N33" s="128" t="str">
        <f>IF(A33="","",COUNTIFS(po_sup,A33,po_status,"En retard"))</f>
        <v/>
      </c>
      <c r="O33" s="72" t="str">
        <f>IF(A33="","",IF(COUNTIFS(po_sup,A33,po_ontime,"&gt;=0")=0,"",COUNTIFS(po_sup,A33,po_ontime,1)/COUNTIFS(po_sup,A33,po_ontime,"&gt;=0")))</f>
        <v/>
      </c>
      <c r="P33" s="67" t="str">
        <f>IF(A33="","",IF(COUNTIF(sup_code,A33)&gt;1,"Code en double",IF(B33="","Raison sociale manquante",IF(AND(K33&lt;&gt;"",OR(NOT(ISNUMBER(K33)),N(K33)&lt;0)),"Délai invalide","OK"))))</f>
        <v/>
      </c>
      <c r="Q33" s="70" t="str">
        <f>IF(A33="","",SUMIFS(po_ht,po_sup,A33,po_status,"&lt;&gt;Annulé",po_date,"&gt;="&amp;p_y0,po_date,"&lt;"&amp;p_y1))</f>
        <v/>
      </c>
      <c r="R33" s="66" t="str">
        <f>IF(N(Q33)&gt;0,Q33-ROW()/10000000,"")</f>
        <v/>
      </c>
    </row>
    <row r="34">
      <c r="A34" s="65" t="n"/>
      <c r="B34" s="63" t="n"/>
      <c r="C34" s="63" t="n"/>
      <c r="D34" s="63" t="n"/>
      <c r="E34" s="65" t="n"/>
      <c r="F34" s="63" t="n"/>
      <c r="G34" s="63" t="n"/>
      <c r="H34" s="63" t="n"/>
      <c r="I34" s="63" t="n"/>
      <c r="J34" s="63" t="n"/>
      <c r="K34" s="127" t="n"/>
      <c r="L34" s="128" t="str">
        <f>IF(A34="","",COUNTIFS(po_sup,A34,po_first,1))</f>
        <v/>
      </c>
      <c r="M34" s="70" t="str">
        <f>IF(A34="","",SUMIFS(po_ht,po_sup,A34,po_status,"&lt;&gt;Annulé"))</f>
        <v/>
      </c>
      <c r="N34" s="128" t="str">
        <f>IF(A34="","",COUNTIFS(po_sup,A34,po_status,"En retard"))</f>
        <v/>
      </c>
      <c r="O34" s="72" t="str">
        <f>IF(A34="","",IF(COUNTIFS(po_sup,A34,po_ontime,"&gt;=0")=0,"",COUNTIFS(po_sup,A34,po_ontime,1)/COUNTIFS(po_sup,A34,po_ontime,"&gt;=0")))</f>
        <v/>
      </c>
      <c r="P34" s="67" t="str">
        <f>IF(A34="","",IF(COUNTIF(sup_code,A34)&gt;1,"Code en double",IF(B34="","Raison sociale manquante",IF(AND(K34&lt;&gt;"",OR(NOT(ISNUMBER(K34)),N(K34)&lt;0)),"Délai invalide","OK"))))</f>
        <v/>
      </c>
      <c r="Q34" s="70" t="str">
        <f>IF(A34="","",SUMIFS(po_ht,po_sup,A34,po_status,"&lt;&gt;Annulé",po_date,"&gt;="&amp;p_y0,po_date,"&lt;"&amp;p_y1))</f>
        <v/>
      </c>
      <c r="R34" s="66" t="str">
        <f>IF(N(Q34)&gt;0,Q34-ROW()/10000000,"")</f>
        <v/>
      </c>
    </row>
    <row r="35">
      <c r="A35" s="65" t="n"/>
      <c r="B35" s="63" t="n"/>
      <c r="C35" s="63" t="n"/>
      <c r="D35" s="63" t="n"/>
      <c r="E35" s="65" t="n"/>
      <c r="F35" s="63" t="n"/>
      <c r="G35" s="63" t="n"/>
      <c r="H35" s="63" t="n"/>
      <c r="I35" s="63" t="n"/>
      <c r="J35" s="63" t="n"/>
      <c r="K35" s="127" t="n"/>
      <c r="L35" s="128" t="str">
        <f>IF(A35="","",COUNTIFS(po_sup,A35,po_first,1))</f>
        <v/>
      </c>
      <c r="M35" s="70" t="str">
        <f>IF(A35="","",SUMIFS(po_ht,po_sup,A35,po_status,"&lt;&gt;Annulé"))</f>
        <v/>
      </c>
      <c r="N35" s="128" t="str">
        <f>IF(A35="","",COUNTIFS(po_sup,A35,po_status,"En retard"))</f>
        <v/>
      </c>
      <c r="O35" s="72" t="str">
        <f>IF(A35="","",IF(COUNTIFS(po_sup,A35,po_ontime,"&gt;=0")=0,"",COUNTIFS(po_sup,A35,po_ontime,1)/COUNTIFS(po_sup,A35,po_ontime,"&gt;=0")))</f>
        <v/>
      </c>
      <c r="P35" s="67" t="str">
        <f>IF(A35="","",IF(COUNTIF(sup_code,A35)&gt;1,"Code en double",IF(B35="","Raison sociale manquante",IF(AND(K35&lt;&gt;"",OR(NOT(ISNUMBER(K35)),N(K35)&lt;0)),"Délai invalide","OK"))))</f>
        <v/>
      </c>
      <c r="Q35" s="70" t="str">
        <f>IF(A35="","",SUMIFS(po_ht,po_sup,A35,po_status,"&lt;&gt;Annulé",po_date,"&gt;="&amp;p_y0,po_date,"&lt;"&amp;p_y1))</f>
        <v/>
      </c>
      <c r="R35" s="66" t="str">
        <f>IF(N(Q35)&gt;0,Q35-ROW()/10000000,"")</f>
        <v/>
      </c>
    </row>
    <row r="36">
      <c r="A36" s="65" t="n"/>
      <c r="B36" s="63" t="n"/>
      <c r="C36" s="63" t="n"/>
      <c r="D36" s="63" t="n"/>
      <c r="E36" s="65" t="n"/>
      <c r="F36" s="63" t="n"/>
      <c r="G36" s="63" t="n"/>
      <c r="H36" s="63" t="n"/>
      <c r="I36" s="63" t="n"/>
      <c r="J36" s="63" t="n"/>
      <c r="K36" s="127" t="n"/>
      <c r="L36" s="128" t="str">
        <f>IF(A36="","",COUNTIFS(po_sup,A36,po_first,1))</f>
        <v/>
      </c>
      <c r="M36" s="70" t="str">
        <f>IF(A36="","",SUMIFS(po_ht,po_sup,A36,po_status,"&lt;&gt;Annulé"))</f>
        <v/>
      </c>
      <c r="N36" s="128" t="str">
        <f>IF(A36="","",COUNTIFS(po_sup,A36,po_status,"En retard"))</f>
        <v/>
      </c>
      <c r="O36" s="72" t="str">
        <f>IF(A36="","",IF(COUNTIFS(po_sup,A36,po_ontime,"&gt;=0")=0,"",COUNTIFS(po_sup,A36,po_ontime,1)/COUNTIFS(po_sup,A36,po_ontime,"&gt;=0")))</f>
        <v/>
      </c>
      <c r="P36" s="67" t="str">
        <f>IF(A36="","",IF(COUNTIF(sup_code,A36)&gt;1,"Code en double",IF(B36="","Raison sociale manquante",IF(AND(K36&lt;&gt;"",OR(NOT(ISNUMBER(K36)),N(K36)&lt;0)),"Délai invalide","OK"))))</f>
        <v/>
      </c>
      <c r="Q36" s="70" t="str">
        <f>IF(A36="","",SUMIFS(po_ht,po_sup,A36,po_status,"&lt;&gt;Annulé",po_date,"&gt;="&amp;p_y0,po_date,"&lt;"&amp;p_y1))</f>
        <v/>
      </c>
      <c r="R36" s="66" t="str">
        <f>IF(N(Q36)&gt;0,Q36-ROW()/10000000,"")</f>
        <v/>
      </c>
    </row>
    <row r="37">
      <c r="A37" s="65" t="n"/>
      <c r="B37" s="63" t="n"/>
      <c r="C37" s="63" t="n"/>
      <c r="D37" s="63" t="n"/>
      <c r="E37" s="65" t="n"/>
      <c r="F37" s="63" t="n"/>
      <c r="G37" s="63" t="n"/>
      <c r="H37" s="63" t="n"/>
      <c r="I37" s="63" t="n"/>
      <c r="J37" s="63" t="n"/>
      <c r="K37" s="127" t="n"/>
      <c r="L37" s="128" t="str">
        <f>IF(A37="","",COUNTIFS(po_sup,A37,po_first,1))</f>
        <v/>
      </c>
      <c r="M37" s="70" t="str">
        <f>IF(A37="","",SUMIFS(po_ht,po_sup,A37,po_status,"&lt;&gt;Annulé"))</f>
        <v/>
      </c>
      <c r="N37" s="128" t="str">
        <f>IF(A37="","",COUNTIFS(po_sup,A37,po_status,"En retard"))</f>
        <v/>
      </c>
      <c r="O37" s="72" t="str">
        <f>IF(A37="","",IF(COUNTIFS(po_sup,A37,po_ontime,"&gt;=0")=0,"",COUNTIFS(po_sup,A37,po_ontime,1)/COUNTIFS(po_sup,A37,po_ontime,"&gt;=0")))</f>
        <v/>
      </c>
      <c r="P37" s="67" t="str">
        <f>IF(A37="","",IF(COUNTIF(sup_code,A37)&gt;1,"Code en double",IF(B37="","Raison sociale manquante",IF(AND(K37&lt;&gt;"",OR(NOT(ISNUMBER(K37)),N(K37)&lt;0)),"Délai invalide","OK"))))</f>
        <v/>
      </c>
      <c r="Q37" s="70" t="str">
        <f>IF(A37="","",SUMIFS(po_ht,po_sup,A37,po_status,"&lt;&gt;Annulé",po_date,"&gt;="&amp;p_y0,po_date,"&lt;"&amp;p_y1))</f>
        <v/>
      </c>
      <c r="R37" s="66" t="str">
        <f>IF(N(Q37)&gt;0,Q37-ROW()/10000000,"")</f>
        <v/>
      </c>
    </row>
    <row r="38">
      <c r="A38" s="65" t="n"/>
      <c r="B38" s="63" t="n"/>
      <c r="C38" s="63" t="n"/>
      <c r="D38" s="63" t="n"/>
      <c r="E38" s="65" t="n"/>
      <c r="F38" s="63" t="n"/>
      <c r="G38" s="63" t="n"/>
      <c r="H38" s="63" t="n"/>
      <c r="I38" s="63" t="n"/>
      <c r="J38" s="63" t="n"/>
      <c r="K38" s="127" t="n"/>
      <c r="L38" s="128" t="str">
        <f>IF(A38="","",COUNTIFS(po_sup,A38,po_first,1))</f>
        <v/>
      </c>
      <c r="M38" s="70" t="str">
        <f>IF(A38="","",SUMIFS(po_ht,po_sup,A38,po_status,"&lt;&gt;Annulé"))</f>
        <v/>
      </c>
      <c r="N38" s="128" t="str">
        <f>IF(A38="","",COUNTIFS(po_sup,A38,po_status,"En retard"))</f>
        <v/>
      </c>
      <c r="O38" s="72" t="str">
        <f>IF(A38="","",IF(COUNTIFS(po_sup,A38,po_ontime,"&gt;=0")=0,"",COUNTIFS(po_sup,A38,po_ontime,1)/COUNTIFS(po_sup,A38,po_ontime,"&gt;=0")))</f>
        <v/>
      </c>
      <c r="P38" s="67" t="str">
        <f>IF(A38="","",IF(COUNTIF(sup_code,A38)&gt;1,"Code en double",IF(B38="","Raison sociale manquante",IF(AND(K38&lt;&gt;"",OR(NOT(ISNUMBER(K38)),N(K38)&lt;0)),"Délai invalide","OK"))))</f>
        <v/>
      </c>
      <c r="Q38" s="70" t="str">
        <f>IF(A38="","",SUMIFS(po_ht,po_sup,A38,po_status,"&lt;&gt;Annulé",po_date,"&gt;="&amp;p_y0,po_date,"&lt;"&amp;p_y1))</f>
        <v/>
      </c>
      <c r="R38" s="66" t="str">
        <f>IF(N(Q38)&gt;0,Q38-ROW()/10000000,"")</f>
        <v/>
      </c>
    </row>
    <row r="39">
      <c r="A39" s="65" t="n"/>
      <c r="B39" s="63" t="n"/>
      <c r="C39" s="63" t="n"/>
      <c r="D39" s="63" t="n"/>
      <c r="E39" s="65" t="n"/>
      <c r="F39" s="63" t="n"/>
      <c r="G39" s="63" t="n"/>
      <c r="H39" s="63" t="n"/>
      <c r="I39" s="63" t="n"/>
      <c r="J39" s="63" t="n"/>
      <c r="K39" s="127" t="n"/>
      <c r="L39" s="128" t="str">
        <f>IF(A39="","",COUNTIFS(po_sup,A39,po_first,1))</f>
        <v/>
      </c>
      <c r="M39" s="70" t="str">
        <f>IF(A39="","",SUMIFS(po_ht,po_sup,A39,po_status,"&lt;&gt;Annulé"))</f>
        <v/>
      </c>
      <c r="N39" s="128" t="str">
        <f>IF(A39="","",COUNTIFS(po_sup,A39,po_status,"En retard"))</f>
        <v/>
      </c>
      <c r="O39" s="72" t="str">
        <f>IF(A39="","",IF(COUNTIFS(po_sup,A39,po_ontime,"&gt;=0")=0,"",COUNTIFS(po_sup,A39,po_ontime,1)/COUNTIFS(po_sup,A39,po_ontime,"&gt;=0")))</f>
        <v/>
      </c>
      <c r="P39" s="67" t="str">
        <f>IF(A39="","",IF(COUNTIF(sup_code,A39)&gt;1,"Code en double",IF(B39="","Raison sociale manquante",IF(AND(K39&lt;&gt;"",OR(NOT(ISNUMBER(K39)),N(K39)&lt;0)),"Délai invalide","OK"))))</f>
        <v/>
      </c>
      <c r="Q39" s="70" t="str">
        <f>IF(A39="","",SUMIFS(po_ht,po_sup,A39,po_status,"&lt;&gt;Annulé",po_date,"&gt;="&amp;p_y0,po_date,"&lt;"&amp;p_y1))</f>
        <v/>
      </c>
      <c r="R39" s="66" t="str">
        <f>IF(N(Q39)&gt;0,Q39-ROW()/10000000,"")</f>
        <v/>
      </c>
    </row>
    <row r="40">
      <c r="A40" s="65" t="n"/>
      <c r="B40" s="63" t="n"/>
      <c r="C40" s="63" t="n"/>
      <c r="D40" s="63" t="n"/>
      <c r="E40" s="65" t="n"/>
      <c r="F40" s="63" t="n"/>
      <c r="G40" s="63" t="n"/>
      <c r="H40" s="63" t="n"/>
      <c r="I40" s="63" t="n"/>
      <c r="J40" s="63" t="n"/>
      <c r="K40" s="127" t="n"/>
      <c r="L40" s="128" t="str">
        <f>IF(A40="","",COUNTIFS(po_sup,A40,po_first,1))</f>
        <v/>
      </c>
      <c r="M40" s="70" t="str">
        <f>IF(A40="","",SUMIFS(po_ht,po_sup,A40,po_status,"&lt;&gt;Annulé"))</f>
        <v/>
      </c>
      <c r="N40" s="128" t="str">
        <f>IF(A40="","",COUNTIFS(po_sup,A40,po_status,"En retard"))</f>
        <v/>
      </c>
      <c r="O40" s="72" t="str">
        <f>IF(A40="","",IF(COUNTIFS(po_sup,A40,po_ontime,"&gt;=0")=0,"",COUNTIFS(po_sup,A40,po_ontime,1)/COUNTIFS(po_sup,A40,po_ontime,"&gt;=0")))</f>
        <v/>
      </c>
      <c r="P40" s="67" t="str">
        <f>IF(A40="","",IF(COUNTIF(sup_code,A40)&gt;1,"Code en double",IF(B40="","Raison sociale manquante",IF(AND(K40&lt;&gt;"",OR(NOT(ISNUMBER(K40)),N(K40)&lt;0)),"Délai invalide","OK"))))</f>
        <v/>
      </c>
      <c r="Q40" s="70" t="str">
        <f>IF(A40="","",SUMIFS(po_ht,po_sup,A40,po_status,"&lt;&gt;Annulé",po_date,"&gt;="&amp;p_y0,po_date,"&lt;"&amp;p_y1))</f>
        <v/>
      </c>
      <c r="R40" s="66" t="str">
        <f>IF(N(Q40)&gt;0,Q40-ROW()/10000000,"")</f>
        <v/>
      </c>
    </row>
    <row r="41">
      <c r="A41" s="65" t="n"/>
      <c r="B41" s="63" t="n"/>
      <c r="C41" s="63" t="n"/>
      <c r="D41" s="63" t="n"/>
      <c r="E41" s="65" t="n"/>
      <c r="F41" s="63" t="n"/>
      <c r="G41" s="63" t="n"/>
      <c r="H41" s="63" t="n"/>
      <c r="I41" s="63" t="n"/>
      <c r="J41" s="63" t="n"/>
      <c r="K41" s="127" t="n"/>
      <c r="L41" s="128" t="str">
        <f>IF(A41="","",COUNTIFS(po_sup,A41,po_first,1))</f>
        <v/>
      </c>
      <c r="M41" s="70" t="str">
        <f>IF(A41="","",SUMIFS(po_ht,po_sup,A41,po_status,"&lt;&gt;Annulé"))</f>
        <v/>
      </c>
      <c r="N41" s="128" t="str">
        <f>IF(A41="","",COUNTIFS(po_sup,A41,po_status,"En retard"))</f>
        <v/>
      </c>
      <c r="O41" s="72" t="str">
        <f>IF(A41="","",IF(COUNTIFS(po_sup,A41,po_ontime,"&gt;=0")=0,"",COUNTIFS(po_sup,A41,po_ontime,1)/COUNTIFS(po_sup,A41,po_ontime,"&gt;=0")))</f>
        <v/>
      </c>
      <c r="P41" s="67" t="str">
        <f>IF(A41="","",IF(COUNTIF(sup_code,A41)&gt;1,"Code en double",IF(B41="","Raison sociale manquante",IF(AND(K41&lt;&gt;"",OR(NOT(ISNUMBER(K41)),N(K41)&lt;0)),"Délai invalide","OK"))))</f>
        <v/>
      </c>
      <c r="Q41" s="70" t="str">
        <f>IF(A41="","",SUMIFS(po_ht,po_sup,A41,po_status,"&lt;&gt;Annulé",po_date,"&gt;="&amp;p_y0,po_date,"&lt;"&amp;p_y1))</f>
        <v/>
      </c>
      <c r="R41" s="66" t="str">
        <f>IF(N(Q41)&gt;0,Q41-ROW()/10000000,"")</f>
        <v/>
      </c>
    </row>
    <row r="42">
      <c r="A42" s="65" t="n"/>
      <c r="B42" s="63" t="n"/>
      <c r="C42" s="63" t="n"/>
      <c r="D42" s="63" t="n"/>
      <c r="E42" s="65" t="n"/>
      <c r="F42" s="63" t="n"/>
      <c r="G42" s="63" t="n"/>
      <c r="H42" s="63" t="n"/>
      <c r="I42" s="63" t="n"/>
      <c r="J42" s="63" t="n"/>
      <c r="K42" s="127" t="n"/>
      <c r="L42" s="128" t="str">
        <f>IF(A42="","",COUNTIFS(po_sup,A42,po_first,1))</f>
        <v/>
      </c>
      <c r="M42" s="70" t="str">
        <f>IF(A42="","",SUMIFS(po_ht,po_sup,A42,po_status,"&lt;&gt;Annulé"))</f>
        <v/>
      </c>
      <c r="N42" s="128" t="str">
        <f>IF(A42="","",COUNTIFS(po_sup,A42,po_status,"En retard"))</f>
        <v/>
      </c>
      <c r="O42" s="72" t="str">
        <f>IF(A42="","",IF(COUNTIFS(po_sup,A42,po_ontime,"&gt;=0")=0,"",COUNTIFS(po_sup,A42,po_ontime,1)/COUNTIFS(po_sup,A42,po_ontime,"&gt;=0")))</f>
        <v/>
      </c>
      <c r="P42" s="67" t="str">
        <f>IF(A42="","",IF(COUNTIF(sup_code,A42)&gt;1,"Code en double",IF(B42="","Raison sociale manquante",IF(AND(K42&lt;&gt;"",OR(NOT(ISNUMBER(K42)),N(K42)&lt;0)),"Délai invalide","OK"))))</f>
        <v/>
      </c>
      <c r="Q42" s="70" t="str">
        <f>IF(A42="","",SUMIFS(po_ht,po_sup,A42,po_status,"&lt;&gt;Annulé",po_date,"&gt;="&amp;p_y0,po_date,"&lt;"&amp;p_y1))</f>
        <v/>
      </c>
      <c r="R42" s="66" t="str">
        <f>IF(N(Q42)&gt;0,Q42-ROW()/10000000,"")</f>
        <v/>
      </c>
    </row>
    <row r="43">
      <c r="A43" s="65" t="n"/>
      <c r="B43" s="63" t="n"/>
      <c r="C43" s="63" t="n"/>
      <c r="D43" s="63" t="n"/>
      <c r="E43" s="65" t="n"/>
      <c r="F43" s="63" t="n"/>
      <c r="G43" s="63" t="n"/>
      <c r="H43" s="63" t="n"/>
      <c r="I43" s="63" t="n"/>
      <c r="J43" s="63" t="n"/>
      <c r="K43" s="127" t="n"/>
      <c r="L43" s="128" t="str">
        <f>IF(A43="","",COUNTIFS(po_sup,A43,po_first,1))</f>
        <v/>
      </c>
      <c r="M43" s="70" t="str">
        <f>IF(A43="","",SUMIFS(po_ht,po_sup,A43,po_status,"&lt;&gt;Annulé"))</f>
        <v/>
      </c>
      <c r="N43" s="128" t="str">
        <f>IF(A43="","",COUNTIFS(po_sup,A43,po_status,"En retard"))</f>
        <v/>
      </c>
      <c r="O43" s="72" t="str">
        <f>IF(A43="","",IF(COUNTIFS(po_sup,A43,po_ontime,"&gt;=0")=0,"",COUNTIFS(po_sup,A43,po_ontime,1)/COUNTIFS(po_sup,A43,po_ontime,"&gt;=0")))</f>
        <v/>
      </c>
      <c r="P43" s="67" t="str">
        <f>IF(A43="","",IF(COUNTIF(sup_code,A43)&gt;1,"Code en double",IF(B43="","Raison sociale manquante",IF(AND(K43&lt;&gt;"",OR(NOT(ISNUMBER(K43)),N(K43)&lt;0)),"Délai invalide","OK"))))</f>
        <v/>
      </c>
      <c r="Q43" s="70" t="str">
        <f>IF(A43="","",SUMIFS(po_ht,po_sup,A43,po_status,"&lt;&gt;Annulé",po_date,"&gt;="&amp;p_y0,po_date,"&lt;"&amp;p_y1))</f>
        <v/>
      </c>
      <c r="R43" s="66" t="str">
        <f>IF(N(Q43)&gt;0,Q43-ROW()/10000000,"")</f>
        <v/>
      </c>
    </row>
    <row r="44">
      <c r="A44" s="65" t="n"/>
      <c r="B44" s="63" t="n"/>
      <c r="C44" s="63" t="n"/>
      <c r="D44" s="63" t="n"/>
      <c r="E44" s="65" t="n"/>
      <c r="F44" s="63" t="n"/>
      <c r="G44" s="63" t="n"/>
      <c r="H44" s="63" t="n"/>
      <c r="I44" s="63" t="n"/>
      <c r="J44" s="63" t="n"/>
      <c r="K44" s="127" t="n"/>
      <c r="L44" s="128" t="str">
        <f>IF(A44="","",COUNTIFS(po_sup,A44,po_first,1))</f>
        <v/>
      </c>
      <c r="M44" s="70" t="str">
        <f>IF(A44="","",SUMIFS(po_ht,po_sup,A44,po_status,"&lt;&gt;Annulé"))</f>
        <v/>
      </c>
      <c r="N44" s="128" t="str">
        <f>IF(A44="","",COUNTIFS(po_sup,A44,po_status,"En retard"))</f>
        <v/>
      </c>
      <c r="O44" s="72" t="str">
        <f>IF(A44="","",IF(COUNTIFS(po_sup,A44,po_ontime,"&gt;=0")=0,"",COUNTIFS(po_sup,A44,po_ontime,1)/COUNTIFS(po_sup,A44,po_ontime,"&gt;=0")))</f>
        <v/>
      </c>
      <c r="P44" s="67" t="str">
        <f>IF(A44="","",IF(COUNTIF(sup_code,A44)&gt;1,"Code en double",IF(B44="","Raison sociale manquante",IF(AND(K44&lt;&gt;"",OR(NOT(ISNUMBER(K44)),N(K44)&lt;0)),"Délai invalide","OK"))))</f>
        <v/>
      </c>
      <c r="Q44" s="70" t="str">
        <f>IF(A44="","",SUMIFS(po_ht,po_sup,A44,po_status,"&lt;&gt;Annulé",po_date,"&gt;="&amp;p_y0,po_date,"&lt;"&amp;p_y1))</f>
        <v/>
      </c>
      <c r="R44" s="66" t="str">
        <f>IF(N(Q44)&gt;0,Q44-ROW()/10000000,"")</f>
        <v/>
      </c>
    </row>
    <row r="45">
      <c r="A45" s="65" t="n"/>
      <c r="B45" s="63" t="n"/>
      <c r="C45" s="63" t="n"/>
      <c r="D45" s="63" t="n"/>
      <c r="E45" s="65" t="n"/>
      <c r="F45" s="63" t="n"/>
      <c r="G45" s="63" t="n"/>
      <c r="H45" s="63" t="n"/>
      <c r="I45" s="63" t="n"/>
      <c r="J45" s="63" t="n"/>
      <c r="K45" s="127" t="n"/>
      <c r="L45" s="128" t="str">
        <f>IF(A45="","",COUNTIFS(po_sup,A45,po_first,1))</f>
        <v/>
      </c>
      <c r="M45" s="70" t="str">
        <f>IF(A45="","",SUMIFS(po_ht,po_sup,A45,po_status,"&lt;&gt;Annulé"))</f>
        <v/>
      </c>
      <c r="N45" s="128" t="str">
        <f>IF(A45="","",COUNTIFS(po_sup,A45,po_status,"En retard"))</f>
        <v/>
      </c>
      <c r="O45" s="72" t="str">
        <f>IF(A45="","",IF(COUNTIFS(po_sup,A45,po_ontime,"&gt;=0")=0,"",COUNTIFS(po_sup,A45,po_ontime,1)/COUNTIFS(po_sup,A45,po_ontime,"&gt;=0")))</f>
        <v/>
      </c>
      <c r="P45" s="67" t="str">
        <f>IF(A45="","",IF(COUNTIF(sup_code,A45)&gt;1,"Code en double",IF(B45="","Raison sociale manquante",IF(AND(K45&lt;&gt;"",OR(NOT(ISNUMBER(K45)),N(K45)&lt;0)),"Délai invalide","OK"))))</f>
        <v/>
      </c>
      <c r="Q45" s="70" t="str">
        <f>IF(A45="","",SUMIFS(po_ht,po_sup,A45,po_status,"&lt;&gt;Annulé",po_date,"&gt;="&amp;p_y0,po_date,"&lt;"&amp;p_y1))</f>
        <v/>
      </c>
      <c r="R45" s="66" t="str">
        <f>IF(N(Q45)&gt;0,Q45-ROW()/10000000,"")</f>
        <v/>
      </c>
    </row>
    <row r="46">
      <c r="A46" s="65" t="n"/>
      <c r="B46" s="63" t="n"/>
      <c r="C46" s="63" t="n"/>
      <c r="D46" s="63" t="n"/>
      <c r="E46" s="65" t="n"/>
      <c r="F46" s="63" t="n"/>
      <c r="G46" s="63" t="n"/>
      <c r="H46" s="63" t="n"/>
      <c r="I46" s="63" t="n"/>
      <c r="J46" s="63" t="n"/>
      <c r="K46" s="127" t="n"/>
      <c r="L46" s="128" t="str">
        <f>IF(A46="","",COUNTIFS(po_sup,A46,po_first,1))</f>
        <v/>
      </c>
      <c r="M46" s="70" t="str">
        <f>IF(A46="","",SUMIFS(po_ht,po_sup,A46,po_status,"&lt;&gt;Annulé"))</f>
        <v/>
      </c>
      <c r="N46" s="128" t="str">
        <f>IF(A46="","",COUNTIFS(po_sup,A46,po_status,"En retard"))</f>
        <v/>
      </c>
      <c r="O46" s="72" t="str">
        <f>IF(A46="","",IF(COUNTIFS(po_sup,A46,po_ontime,"&gt;=0")=0,"",COUNTIFS(po_sup,A46,po_ontime,1)/COUNTIFS(po_sup,A46,po_ontime,"&gt;=0")))</f>
        <v/>
      </c>
      <c r="P46" s="67" t="str">
        <f>IF(A46="","",IF(COUNTIF(sup_code,A46)&gt;1,"Code en double",IF(B46="","Raison sociale manquante",IF(AND(K46&lt;&gt;"",OR(NOT(ISNUMBER(K46)),N(K46)&lt;0)),"Délai invalide","OK"))))</f>
        <v/>
      </c>
      <c r="Q46" s="70" t="str">
        <f>IF(A46="","",SUMIFS(po_ht,po_sup,A46,po_status,"&lt;&gt;Annulé",po_date,"&gt;="&amp;p_y0,po_date,"&lt;"&amp;p_y1))</f>
        <v/>
      </c>
      <c r="R46" s="66" t="str">
        <f>IF(N(Q46)&gt;0,Q46-ROW()/10000000,"")</f>
        <v/>
      </c>
    </row>
    <row r="47">
      <c r="A47" s="65" t="n"/>
      <c r="B47" s="63" t="n"/>
      <c r="C47" s="63" t="n"/>
      <c r="D47" s="63" t="n"/>
      <c r="E47" s="65" t="n"/>
      <c r="F47" s="63" t="n"/>
      <c r="G47" s="63" t="n"/>
      <c r="H47" s="63" t="n"/>
      <c r="I47" s="63" t="n"/>
      <c r="J47" s="63" t="n"/>
      <c r="K47" s="127" t="n"/>
      <c r="L47" s="128" t="str">
        <f>IF(A47="","",COUNTIFS(po_sup,A47,po_first,1))</f>
        <v/>
      </c>
      <c r="M47" s="70" t="str">
        <f>IF(A47="","",SUMIFS(po_ht,po_sup,A47,po_status,"&lt;&gt;Annulé"))</f>
        <v/>
      </c>
      <c r="N47" s="128" t="str">
        <f>IF(A47="","",COUNTIFS(po_sup,A47,po_status,"En retard"))</f>
        <v/>
      </c>
      <c r="O47" s="72" t="str">
        <f>IF(A47="","",IF(COUNTIFS(po_sup,A47,po_ontime,"&gt;=0")=0,"",COUNTIFS(po_sup,A47,po_ontime,1)/COUNTIFS(po_sup,A47,po_ontime,"&gt;=0")))</f>
        <v/>
      </c>
      <c r="P47" s="67" t="str">
        <f>IF(A47="","",IF(COUNTIF(sup_code,A47)&gt;1,"Code en double",IF(B47="","Raison sociale manquante",IF(AND(K47&lt;&gt;"",OR(NOT(ISNUMBER(K47)),N(K47)&lt;0)),"Délai invalide","OK"))))</f>
        <v/>
      </c>
      <c r="Q47" s="70" t="str">
        <f>IF(A47="","",SUMIFS(po_ht,po_sup,A47,po_status,"&lt;&gt;Annulé",po_date,"&gt;="&amp;p_y0,po_date,"&lt;"&amp;p_y1))</f>
        <v/>
      </c>
      <c r="R47" s="66" t="str">
        <f>IF(N(Q47)&gt;0,Q47-ROW()/10000000,"")</f>
        <v/>
      </c>
    </row>
    <row r="48">
      <c r="A48" s="65" t="n"/>
      <c r="B48" s="63" t="n"/>
      <c r="C48" s="63" t="n"/>
      <c r="D48" s="63" t="n"/>
      <c r="E48" s="65" t="n"/>
      <c r="F48" s="63" t="n"/>
      <c r="G48" s="63" t="n"/>
      <c r="H48" s="63" t="n"/>
      <c r="I48" s="63" t="n"/>
      <c r="J48" s="63" t="n"/>
      <c r="K48" s="127" t="n"/>
      <c r="L48" s="128" t="str">
        <f>IF(A48="","",COUNTIFS(po_sup,A48,po_first,1))</f>
        <v/>
      </c>
      <c r="M48" s="70" t="str">
        <f>IF(A48="","",SUMIFS(po_ht,po_sup,A48,po_status,"&lt;&gt;Annulé"))</f>
        <v/>
      </c>
      <c r="N48" s="128" t="str">
        <f>IF(A48="","",COUNTIFS(po_sup,A48,po_status,"En retard"))</f>
        <v/>
      </c>
      <c r="O48" s="72" t="str">
        <f>IF(A48="","",IF(COUNTIFS(po_sup,A48,po_ontime,"&gt;=0")=0,"",COUNTIFS(po_sup,A48,po_ontime,1)/COUNTIFS(po_sup,A48,po_ontime,"&gt;=0")))</f>
        <v/>
      </c>
      <c r="P48" s="67" t="str">
        <f>IF(A48="","",IF(COUNTIF(sup_code,A48)&gt;1,"Code en double",IF(B48="","Raison sociale manquante",IF(AND(K48&lt;&gt;"",OR(NOT(ISNUMBER(K48)),N(K48)&lt;0)),"Délai invalide","OK"))))</f>
        <v/>
      </c>
      <c r="Q48" s="70" t="str">
        <f>IF(A48="","",SUMIFS(po_ht,po_sup,A48,po_status,"&lt;&gt;Annulé",po_date,"&gt;="&amp;p_y0,po_date,"&lt;"&amp;p_y1))</f>
        <v/>
      </c>
      <c r="R48" s="66" t="str">
        <f>IF(N(Q48)&gt;0,Q48-ROW()/10000000,"")</f>
        <v/>
      </c>
    </row>
    <row r="49">
      <c r="A49" s="65" t="n"/>
      <c r="B49" s="63" t="n"/>
      <c r="C49" s="63" t="n"/>
      <c r="D49" s="63" t="n"/>
      <c r="E49" s="65" t="n"/>
      <c r="F49" s="63" t="n"/>
      <c r="G49" s="63" t="n"/>
      <c r="H49" s="63" t="n"/>
      <c r="I49" s="63" t="n"/>
      <c r="J49" s="63" t="n"/>
      <c r="K49" s="127" t="n"/>
      <c r="L49" s="128" t="str">
        <f>IF(A49="","",COUNTIFS(po_sup,A49,po_first,1))</f>
        <v/>
      </c>
      <c r="M49" s="70" t="str">
        <f>IF(A49="","",SUMIFS(po_ht,po_sup,A49,po_status,"&lt;&gt;Annulé"))</f>
        <v/>
      </c>
      <c r="N49" s="128" t="str">
        <f>IF(A49="","",COUNTIFS(po_sup,A49,po_status,"En retard"))</f>
        <v/>
      </c>
      <c r="O49" s="72" t="str">
        <f>IF(A49="","",IF(COUNTIFS(po_sup,A49,po_ontime,"&gt;=0")=0,"",COUNTIFS(po_sup,A49,po_ontime,1)/COUNTIFS(po_sup,A49,po_ontime,"&gt;=0")))</f>
        <v/>
      </c>
      <c r="P49" s="67" t="str">
        <f>IF(A49="","",IF(COUNTIF(sup_code,A49)&gt;1,"Code en double",IF(B49="","Raison sociale manquante",IF(AND(K49&lt;&gt;"",OR(NOT(ISNUMBER(K49)),N(K49)&lt;0)),"Délai invalide","OK"))))</f>
        <v/>
      </c>
      <c r="Q49" s="70" t="str">
        <f>IF(A49="","",SUMIFS(po_ht,po_sup,A49,po_status,"&lt;&gt;Annulé",po_date,"&gt;="&amp;p_y0,po_date,"&lt;"&amp;p_y1))</f>
        <v/>
      </c>
      <c r="R49" s="66" t="str">
        <f>IF(N(Q49)&gt;0,Q49-ROW()/10000000,"")</f>
        <v/>
      </c>
    </row>
    <row r="50">
      <c r="A50" s="65" t="n"/>
      <c r="B50" s="63" t="n"/>
      <c r="C50" s="63" t="n"/>
      <c r="D50" s="63" t="n"/>
      <c r="E50" s="65" t="n"/>
      <c r="F50" s="63" t="n"/>
      <c r="G50" s="63" t="n"/>
      <c r="H50" s="63" t="n"/>
      <c r="I50" s="63" t="n"/>
      <c r="J50" s="63" t="n"/>
      <c r="K50" s="127" t="n"/>
      <c r="L50" s="128" t="str">
        <f>IF(A50="","",COUNTIFS(po_sup,A50,po_first,1))</f>
        <v/>
      </c>
      <c r="M50" s="70" t="str">
        <f>IF(A50="","",SUMIFS(po_ht,po_sup,A50,po_status,"&lt;&gt;Annulé"))</f>
        <v/>
      </c>
      <c r="N50" s="128" t="str">
        <f>IF(A50="","",COUNTIFS(po_sup,A50,po_status,"En retard"))</f>
        <v/>
      </c>
      <c r="O50" s="72" t="str">
        <f>IF(A50="","",IF(COUNTIFS(po_sup,A50,po_ontime,"&gt;=0")=0,"",COUNTIFS(po_sup,A50,po_ontime,1)/COUNTIFS(po_sup,A50,po_ontime,"&gt;=0")))</f>
        <v/>
      </c>
      <c r="P50" s="67" t="str">
        <f>IF(A50="","",IF(COUNTIF(sup_code,A50)&gt;1,"Code en double",IF(B50="","Raison sociale manquante",IF(AND(K50&lt;&gt;"",OR(NOT(ISNUMBER(K50)),N(K50)&lt;0)),"Délai invalide","OK"))))</f>
        <v/>
      </c>
      <c r="Q50" s="70" t="str">
        <f>IF(A50="","",SUMIFS(po_ht,po_sup,A50,po_status,"&lt;&gt;Annulé",po_date,"&gt;="&amp;p_y0,po_date,"&lt;"&amp;p_y1))</f>
        <v/>
      </c>
      <c r="R50" s="66" t="str">
        <f>IF(N(Q50)&gt;0,Q50-ROW()/10000000,"")</f>
        <v/>
      </c>
    </row>
    <row r="51">
      <c r="A51" s="65" t="n"/>
      <c r="B51" s="63" t="n"/>
      <c r="C51" s="63" t="n"/>
      <c r="D51" s="63" t="n"/>
      <c r="E51" s="65" t="n"/>
      <c r="F51" s="63" t="n"/>
      <c r="G51" s="63" t="n"/>
      <c r="H51" s="63" t="n"/>
      <c r="I51" s="63" t="n"/>
      <c r="J51" s="63" t="n"/>
      <c r="K51" s="127" t="n"/>
      <c r="L51" s="128" t="str">
        <f>IF(A51="","",COUNTIFS(po_sup,A51,po_first,1))</f>
        <v/>
      </c>
      <c r="M51" s="70" t="str">
        <f>IF(A51="","",SUMIFS(po_ht,po_sup,A51,po_status,"&lt;&gt;Annulé"))</f>
        <v/>
      </c>
      <c r="N51" s="128" t="str">
        <f>IF(A51="","",COUNTIFS(po_sup,A51,po_status,"En retard"))</f>
        <v/>
      </c>
      <c r="O51" s="72" t="str">
        <f>IF(A51="","",IF(COUNTIFS(po_sup,A51,po_ontime,"&gt;=0")=0,"",COUNTIFS(po_sup,A51,po_ontime,1)/COUNTIFS(po_sup,A51,po_ontime,"&gt;=0")))</f>
        <v/>
      </c>
      <c r="P51" s="67" t="str">
        <f>IF(A51="","",IF(COUNTIF(sup_code,A51)&gt;1,"Code en double",IF(B51="","Raison sociale manquante",IF(AND(K51&lt;&gt;"",OR(NOT(ISNUMBER(K51)),N(K51)&lt;0)),"Délai invalide","OK"))))</f>
        <v/>
      </c>
      <c r="Q51" s="70" t="str">
        <f>IF(A51="","",SUMIFS(po_ht,po_sup,A51,po_status,"&lt;&gt;Annulé",po_date,"&gt;="&amp;p_y0,po_date,"&lt;"&amp;p_y1))</f>
        <v/>
      </c>
      <c r="R51" s="66" t="str">
        <f>IF(N(Q51)&gt;0,Q51-ROW()/10000000,"")</f>
        <v/>
      </c>
    </row>
    <row r="52">
      <c r="A52" s="65" t="n"/>
      <c r="B52" s="63" t="n"/>
      <c r="C52" s="63" t="n"/>
      <c r="D52" s="63" t="n"/>
      <c r="E52" s="65" t="n"/>
      <c r="F52" s="63" t="n"/>
      <c r="G52" s="63" t="n"/>
      <c r="H52" s="63" t="n"/>
      <c r="I52" s="63" t="n"/>
      <c r="J52" s="63" t="n"/>
      <c r="K52" s="127" t="n"/>
      <c r="L52" s="128" t="str">
        <f>IF(A52="","",COUNTIFS(po_sup,A52,po_first,1))</f>
        <v/>
      </c>
      <c r="M52" s="70" t="str">
        <f>IF(A52="","",SUMIFS(po_ht,po_sup,A52,po_status,"&lt;&gt;Annulé"))</f>
        <v/>
      </c>
      <c r="N52" s="128" t="str">
        <f>IF(A52="","",COUNTIFS(po_sup,A52,po_status,"En retard"))</f>
        <v/>
      </c>
      <c r="O52" s="72" t="str">
        <f>IF(A52="","",IF(COUNTIFS(po_sup,A52,po_ontime,"&gt;=0")=0,"",COUNTIFS(po_sup,A52,po_ontime,1)/COUNTIFS(po_sup,A52,po_ontime,"&gt;=0")))</f>
        <v/>
      </c>
      <c r="P52" s="67" t="str">
        <f>IF(A52="","",IF(COUNTIF(sup_code,A52)&gt;1,"Code en double",IF(B52="","Raison sociale manquante",IF(AND(K52&lt;&gt;"",OR(NOT(ISNUMBER(K52)),N(K52)&lt;0)),"Délai invalide","OK"))))</f>
        <v/>
      </c>
      <c r="Q52" s="70" t="str">
        <f>IF(A52="","",SUMIFS(po_ht,po_sup,A52,po_status,"&lt;&gt;Annulé",po_date,"&gt;="&amp;p_y0,po_date,"&lt;"&amp;p_y1))</f>
        <v/>
      </c>
      <c r="R52" s="66" t="str">
        <f>IF(N(Q52)&gt;0,Q52-ROW()/10000000,"")</f>
        <v/>
      </c>
    </row>
    <row r="53">
      <c r="A53" s="65" t="n"/>
      <c r="B53" s="63" t="n"/>
      <c r="C53" s="63" t="n"/>
      <c r="D53" s="63" t="n"/>
      <c r="E53" s="65" t="n"/>
      <c r="F53" s="63" t="n"/>
      <c r="G53" s="63" t="n"/>
      <c r="H53" s="63" t="n"/>
      <c r="I53" s="63" t="n"/>
      <c r="J53" s="63" t="n"/>
      <c r="K53" s="127" t="n"/>
      <c r="L53" s="128" t="str">
        <f>IF(A53="","",COUNTIFS(po_sup,A53,po_first,1))</f>
        <v/>
      </c>
      <c r="M53" s="70" t="str">
        <f>IF(A53="","",SUMIFS(po_ht,po_sup,A53,po_status,"&lt;&gt;Annulé"))</f>
        <v/>
      </c>
      <c r="N53" s="128" t="str">
        <f>IF(A53="","",COUNTIFS(po_sup,A53,po_status,"En retard"))</f>
        <v/>
      </c>
      <c r="O53" s="72" t="str">
        <f>IF(A53="","",IF(COUNTIFS(po_sup,A53,po_ontime,"&gt;=0")=0,"",COUNTIFS(po_sup,A53,po_ontime,1)/COUNTIFS(po_sup,A53,po_ontime,"&gt;=0")))</f>
        <v/>
      </c>
      <c r="P53" s="67" t="str">
        <f>IF(A53="","",IF(COUNTIF(sup_code,A53)&gt;1,"Code en double",IF(B53="","Raison sociale manquante",IF(AND(K53&lt;&gt;"",OR(NOT(ISNUMBER(K53)),N(K53)&lt;0)),"Délai invalide","OK"))))</f>
        <v/>
      </c>
      <c r="Q53" s="70" t="str">
        <f>IF(A53="","",SUMIFS(po_ht,po_sup,A53,po_status,"&lt;&gt;Annulé",po_date,"&gt;="&amp;p_y0,po_date,"&lt;"&amp;p_y1))</f>
        <v/>
      </c>
      <c r="R53" s="66" t="str">
        <f>IF(N(Q53)&gt;0,Q53-ROW()/10000000,"")</f>
        <v/>
      </c>
    </row>
    <row r="54">
      <c r="A54" s="65" t="n"/>
      <c r="B54" s="63" t="n"/>
      <c r="C54" s="63" t="n"/>
      <c r="D54" s="63" t="n"/>
      <c r="E54" s="65" t="n"/>
      <c r="F54" s="63" t="n"/>
      <c r="G54" s="63" t="n"/>
      <c r="H54" s="63" t="n"/>
      <c r="I54" s="63" t="n"/>
      <c r="J54" s="63" t="n"/>
      <c r="K54" s="127" t="n"/>
      <c r="L54" s="128" t="str">
        <f>IF(A54="","",COUNTIFS(po_sup,A54,po_first,1))</f>
        <v/>
      </c>
      <c r="M54" s="70" t="str">
        <f>IF(A54="","",SUMIFS(po_ht,po_sup,A54,po_status,"&lt;&gt;Annulé"))</f>
        <v/>
      </c>
      <c r="N54" s="128" t="str">
        <f>IF(A54="","",COUNTIFS(po_sup,A54,po_status,"En retard"))</f>
        <v/>
      </c>
      <c r="O54" s="72" t="str">
        <f>IF(A54="","",IF(COUNTIFS(po_sup,A54,po_ontime,"&gt;=0")=0,"",COUNTIFS(po_sup,A54,po_ontime,1)/COUNTIFS(po_sup,A54,po_ontime,"&gt;=0")))</f>
        <v/>
      </c>
      <c r="P54" s="67" t="str">
        <f>IF(A54="","",IF(COUNTIF(sup_code,A54)&gt;1,"Code en double",IF(B54="","Raison sociale manquante",IF(AND(K54&lt;&gt;"",OR(NOT(ISNUMBER(K54)),N(K54)&lt;0)),"Délai invalide","OK"))))</f>
        <v/>
      </c>
      <c r="Q54" s="70" t="str">
        <f>IF(A54="","",SUMIFS(po_ht,po_sup,A54,po_status,"&lt;&gt;Annulé",po_date,"&gt;="&amp;p_y0,po_date,"&lt;"&amp;p_y1))</f>
        <v/>
      </c>
      <c r="R54" s="66" t="str">
        <f>IF(N(Q54)&gt;0,Q54-ROW()/10000000,"")</f>
        <v/>
      </c>
    </row>
    <row r="55">
      <c r="A55" s="65" t="n"/>
      <c r="B55" s="63" t="n"/>
      <c r="C55" s="63" t="n"/>
      <c r="D55" s="63" t="n"/>
      <c r="E55" s="65" t="n"/>
      <c r="F55" s="63" t="n"/>
      <c r="G55" s="63" t="n"/>
      <c r="H55" s="63" t="n"/>
      <c r="I55" s="63" t="n"/>
      <c r="J55" s="63" t="n"/>
      <c r="K55" s="127" t="n"/>
      <c r="L55" s="128" t="str">
        <f>IF(A55="","",COUNTIFS(po_sup,A55,po_first,1))</f>
        <v/>
      </c>
      <c r="M55" s="70" t="str">
        <f>IF(A55="","",SUMIFS(po_ht,po_sup,A55,po_status,"&lt;&gt;Annulé"))</f>
        <v/>
      </c>
      <c r="N55" s="128" t="str">
        <f>IF(A55="","",COUNTIFS(po_sup,A55,po_status,"En retard"))</f>
        <v/>
      </c>
      <c r="O55" s="72" t="str">
        <f>IF(A55="","",IF(COUNTIFS(po_sup,A55,po_ontime,"&gt;=0")=0,"",COUNTIFS(po_sup,A55,po_ontime,1)/COUNTIFS(po_sup,A55,po_ontime,"&gt;=0")))</f>
        <v/>
      </c>
      <c r="P55" s="67" t="str">
        <f>IF(A55="","",IF(COUNTIF(sup_code,A55)&gt;1,"Code en double",IF(B55="","Raison sociale manquante",IF(AND(K55&lt;&gt;"",OR(NOT(ISNUMBER(K55)),N(K55)&lt;0)),"Délai invalide","OK"))))</f>
        <v/>
      </c>
      <c r="Q55" s="70" t="str">
        <f>IF(A55="","",SUMIFS(po_ht,po_sup,A55,po_status,"&lt;&gt;Annulé",po_date,"&gt;="&amp;p_y0,po_date,"&lt;"&amp;p_y1))</f>
        <v/>
      </c>
      <c r="R55" s="66" t="str">
        <f>IF(N(Q55)&gt;0,Q55-ROW()/10000000,"")</f>
        <v/>
      </c>
    </row>
    <row r="56">
      <c r="A56" s="65" t="n"/>
      <c r="B56" s="63" t="n"/>
      <c r="C56" s="63" t="n"/>
      <c r="D56" s="63" t="n"/>
      <c r="E56" s="65" t="n"/>
      <c r="F56" s="63" t="n"/>
      <c r="G56" s="63" t="n"/>
      <c r="H56" s="63" t="n"/>
      <c r="I56" s="63" t="n"/>
      <c r="J56" s="63" t="n"/>
      <c r="K56" s="127" t="n"/>
      <c r="L56" s="128" t="str">
        <f>IF(A56="","",COUNTIFS(po_sup,A56,po_first,1))</f>
        <v/>
      </c>
      <c r="M56" s="70" t="str">
        <f>IF(A56="","",SUMIFS(po_ht,po_sup,A56,po_status,"&lt;&gt;Annulé"))</f>
        <v/>
      </c>
      <c r="N56" s="128" t="str">
        <f>IF(A56="","",COUNTIFS(po_sup,A56,po_status,"En retard"))</f>
        <v/>
      </c>
      <c r="O56" s="72" t="str">
        <f>IF(A56="","",IF(COUNTIFS(po_sup,A56,po_ontime,"&gt;=0")=0,"",COUNTIFS(po_sup,A56,po_ontime,1)/COUNTIFS(po_sup,A56,po_ontime,"&gt;=0")))</f>
        <v/>
      </c>
      <c r="P56" s="67" t="str">
        <f>IF(A56="","",IF(COUNTIF(sup_code,A56)&gt;1,"Code en double",IF(B56="","Raison sociale manquante",IF(AND(K56&lt;&gt;"",OR(NOT(ISNUMBER(K56)),N(K56)&lt;0)),"Délai invalide","OK"))))</f>
        <v/>
      </c>
      <c r="Q56" s="70" t="str">
        <f>IF(A56="","",SUMIFS(po_ht,po_sup,A56,po_status,"&lt;&gt;Annulé",po_date,"&gt;="&amp;p_y0,po_date,"&lt;"&amp;p_y1))</f>
        <v/>
      </c>
      <c r="R56" s="66" t="str">
        <f>IF(N(Q56)&gt;0,Q56-ROW()/10000000,"")</f>
        <v/>
      </c>
    </row>
    <row r="57">
      <c r="A57" s="65" t="n"/>
      <c r="B57" s="63" t="n"/>
      <c r="C57" s="63" t="n"/>
      <c r="D57" s="63" t="n"/>
      <c r="E57" s="65" t="n"/>
      <c r="F57" s="63" t="n"/>
      <c r="G57" s="63" t="n"/>
      <c r="H57" s="63" t="n"/>
      <c r="I57" s="63" t="n"/>
      <c r="J57" s="63" t="n"/>
      <c r="K57" s="127" t="n"/>
      <c r="L57" s="128" t="str">
        <f>IF(A57="","",COUNTIFS(po_sup,A57,po_first,1))</f>
        <v/>
      </c>
      <c r="M57" s="70" t="str">
        <f>IF(A57="","",SUMIFS(po_ht,po_sup,A57,po_status,"&lt;&gt;Annulé"))</f>
        <v/>
      </c>
      <c r="N57" s="128" t="str">
        <f>IF(A57="","",COUNTIFS(po_sup,A57,po_status,"En retard"))</f>
        <v/>
      </c>
      <c r="O57" s="72" t="str">
        <f>IF(A57="","",IF(COUNTIFS(po_sup,A57,po_ontime,"&gt;=0")=0,"",COUNTIFS(po_sup,A57,po_ontime,1)/COUNTIFS(po_sup,A57,po_ontime,"&gt;=0")))</f>
        <v/>
      </c>
      <c r="P57" s="67" t="str">
        <f>IF(A57="","",IF(COUNTIF(sup_code,A57)&gt;1,"Code en double",IF(B57="","Raison sociale manquante",IF(AND(K57&lt;&gt;"",OR(NOT(ISNUMBER(K57)),N(K57)&lt;0)),"Délai invalide","OK"))))</f>
        <v/>
      </c>
      <c r="Q57" s="70" t="str">
        <f>IF(A57="","",SUMIFS(po_ht,po_sup,A57,po_status,"&lt;&gt;Annulé",po_date,"&gt;="&amp;p_y0,po_date,"&lt;"&amp;p_y1))</f>
        <v/>
      </c>
      <c r="R57" s="66" t="str">
        <f>IF(N(Q57)&gt;0,Q57-ROW()/10000000,"")</f>
        <v/>
      </c>
    </row>
    <row r="58">
      <c r="A58" s="65" t="n"/>
      <c r="B58" s="63" t="n"/>
      <c r="C58" s="63" t="n"/>
      <c r="D58" s="63" t="n"/>
      <c r="E58" s="65" t="n"/>
      <c r="F58" s="63" t="n"/>
      <c r="G58" s="63" t="n"/>
      <c r="H58" s="63" t="n"/>
      <c r="I58" s="63" t="n"/>
      <c r="J58" s="63" t="n"/>
      <c r="K58" s="127" t="n"/>
      <c r="L58" s="128" t="str">
        <f>IF(A58="","",COUNTIFS(po_sup,A58,po_first,1))</f>
        <v/>
      </c>
      <c r="M58" s="70" t="str">
        <f>IF(A58="","",SUMIFS(po_ht,po_sup,A58,po_status,"&lt;&gt;Annulé"))</f>
        <v/>
      </c>
      <c r="N58" s="128" t="str">
        <f>IF(A58="","",COUNTIFS(po_sup,A58,po_status,"En retard"))</f>
        <v/>
      </c>
      <c r="O58" s="72" t="str">
        <f>IF(A58="","",IF(COUNTIFS(po_sup,A58,po_ontime,"&gt;=0")=0,"",COUNTIFS(po_sup,A58,po_ontime,1)/COUNTIFS(po_sup,A58,po_ontime,"&gt;=0")))</f>
        <v/>
      </c>
      <c r="P58" s="67" t="str">
        <f>IF(A58="","",IF(COUNTIF(sup_code,A58)&gt;1,"Code en double",IF(B58="","Raison sociale manquante",IF(AND(K58&lt;&gt;"",OR(NOT(ISNUMBER(K58)),N(K58)&lt;0)),"Délai invalide","OK"))))</f>
        <v/>
      </c>
      <c r="Q58" s="70" t="str">
        <f>IF(A58="","",SUMIFS(po_ht,po_sup,A58,po_status,"&lt;&gt;Annulé",po_date,"&gt;="&amp;p_y0,po_date,"&lt;"&amp;p_y1))</f>
        <v/>
      </c>
      <c r="R58" s="66" t="str">
        <f>IF(N(Q58)&gt;0,Q58-ROW()/10000000,"")</f>
        <v/>
      </c>
    </row>
    <row r="59">
      <c r="A59" s="65" t="n"/>
      <c r="B59" s="63" t="n"/>
      <c r="C59" s="63" t="n"/>
      <c r="D59" s="63" t="n"/>
      <c r="E59" s="65" t="n"/>
      <c r="F59" s="63" t="n"/>
      <c r="G59" s="63" t="n"/>
      <c r="H59" s="63" t="n"/>
      <c r="I59" s="63" t="n"/>
      <c r="J59" s="63" t="n"/>
      <c r="K59" s="127" t="n"/>
      <c r="L59" s="128" t="str">
        <f>IF(A59="","",COUNTIFS(po_sup,A59,po_first,1))</f>
        <v/>
      </c>
      <c r="M59" s="70" t="str">
        <f>IF(A59="","",SUMIFS(po_ht,po_sup,A59,po_status,"&lt;&gt;Annulé"))</f>
        <v/>
      </c>
      <c r="N59" s="128" t="str">
        <f>IF(A59="","",COUNTIFS(po_sup,A59,po_status,"En retard"))</f>
        <v/>
      </c>
      <c r="O59" s="72" t="str">
        <f>IF(A59="","",IF(COUNTIFS(po_sup,A59,po_ontime,"&gt;=0")=0,"",COUNTIFS(po_sup,A59,po_ontime,1)/COUNTIFS(po_sup,A59,po_ontime,"&gt;=0")))</f>
        <v/>
      </c>
      <c r="P59" s="67" t="str">
        <f>IF(A59="","",IF(COUNTIF(sup_code,A59)&gt;1,"Code en double",IF(B59="","Raison sociale manquante",IF(AND(K59&lt;&gt;"",OR(NOT(ISNUMBER(K59)),N(K59)&lt;0)),"Délai invalide","OK"))))</f>
        <v/>
      </c>
      <c r="Q59" s="70" t="str">
        <f>IF(A59="","",SUMIFS(po_ht,po_sup,A59,po_status,"&lt;&gt;Annulé",po_date,"&gt;="&amp;p_y0,po_date,"&lt;"&amp;p_y1))</f>
        <v/>
      </c>
      <c r="R59" s="66" t="str">
        <f>IF(N(Q59)&gt;0,Q59-ROW()/10000000,"")</f>
        <v/>
      </c>
    </row>
    <row r="60">
      <c r="A60" s="65" t="n"/>
      <c r="B60" s="63" t="n"/>
      <c r="C60" s="63" t="n"/>
      <c r="D60" s="63" t="n"/>
      <c r="E60" s="65" t="n"/>
      <c r="F60" s="63" t="n"/>
      <c r="G60" s="63" t="n"/>
      <c r="H60" s="63" t="n"/>
      <c r="I60" s="63" t="n"/>
      <c r="J60" s="63" t="n"/>
      <c r="K60" s="127" t="n"/>
      <c r="L60" s="128" t="str">
        <f>IF(A60="","",COUNTIFS(po_sup,A60,po_first,1))</f>
        <v/>
      </c>
      <c r="M60" s="70" t="str">
        <f>IF(A60="","",SUMIFS(po_ht,po_sup,A60,po_status,"&lt;&gt;Annulé"))</f>
        <v/>
      </c>
      <c r="N60" s="128" t="str">
        <f>IF(A60="","",COUNTIFS(po_sup,A60,po_status,"En retard"))</f>
        <v/>
      </c>
      <c r="O60" s="72" t="str">
        <f>IF(A60="","",IF(COUNTIFS(po_sup,A60,po_ontime,"&gt;=0")=0,"",COUNTIFS(po_sup,A60,po_ontime,1)/COUNTIFS(po_sup,A60,po_ontime,"&gt;=0")))</f>
        <v/>
      </c>
      <c r="P60" s="67" t="str">
        <f>IF(A60="","",IF(COUNTIF(sup_code,A60)&gt;1,"Code en double",IF(B60="","Raison sociale manquante",IF(AND(K60&lt;&gt;"",OR(NOT(ISNUMBER(K60)),N(K60)&lt;0)),"Délai invalide","OK"))))</f>
        <v/>
      </c>
      <c r="Q60" s="70" t="str">
        <f>IF(A60="","",SUMIFS(po_ht,po_sup,A60,po_status,"&lt;&gt;Annulé",po_date,"&gt;="&amp;p_y0,po_date,"&lt;"&amp;p_y1))</f>
        <v/>
      </c>
      <c r="R60" s="66" t="str">
        <f>IF(N(Q60)&gt;0,Q60-ROW()/10000000,"")</f>
        <v/>
      </c>
    </row>
    <row r="61">
      <c r="A61" s="65" t="n"/>
      <c r="B61" s="63" t="n"/>
      <c r="C61" s="63" t="n"/>
      <c r="D61" s="63" t="n"/>
      <c r="E61" s="65" t="n"/>
      <c r="F61" s="63" t="n"/>
      <c r="G61" s="63" t="n"/>
      <c r="H61" s="63" t="n"/>
      <c r="I61" s="63" t="n"/>
      <c r="J61" s="63" t="n"/>
      <c r="K61" s="127" t="n"/>
      <c r="L61" s="128" t="str">
        <f>IF(A61="","",COUNTIFS(po_sup,A61,po_first,1))</f>
        <v/>
      </c>
      <c r="M61" s="70" t="str">
        <f>IF(A61="","",SUMIFS(po_ht,po_sup,A61,po_status,"&lt;&gt;Annulé"))</f>
        <v/>
      </c>
      <c r="N61" s="128" t="str">
        <f>IF(A61="","",COUNTIFS(po_sup,A61,po_status,"En retard"))</f>
        <v/>
      </c>
      <c r="O61" s="72" t="str">
        <f>IF(A61="","",IF(COUNTIFS(po_sup,A61,po_ontime,"&gt;=0")=0,"",COUNTIFS(po_sup,A61,po_ontime,1)/COUNTIFS(po_sup,A61,po_ontime,"&gt;=0")))</f>
        <v/>
      </c>
      <c r="P61" s="67" t="str">
        <f>IF(A61="","",IF(COUNTIF(sup_code,A61)&gt;1,"Code en double",IF(B61="","Raison sociale manquante",IF(AND(K61&lt;&gt;"",OR(NOT(ISNUMBER(K61)),N(K61)&lt;0)),"Délai invalide","OK"))))</f>
        <v/>
      </c>
      <c r="Q61" s="70" t="str">
        <f>IF(A61="","",SUMIFS(po_ht,po_sup,A61,po_status,"&lt;&gt;Annulé",po_date,"&gt;="&amp;p_y0,po_date,"&lt;"&amp;p_y1))</f>
        <v/>
      </c>
      <c r="R61" s="66" t="str">
        <f>IF(N(Q61)&gt;0,Q61-ROW()/10000000,"")</f>
        <v/>
      </c>
    </row>
    <row r="62">
      <c r="A62" s="65" t="n"/>
      <c r="B62" s="63" t="n"/>
      <c r="C62" s="63" t="n"/>
      <c r="D62" s="63" t="n"/>
      <c r="E62" s="65" t="n"/>
      <c r="F62" s="63" t="n"/>
      <c r="G62" s="63" t="n"/>
      <c r="H62" s="63" t="n"/>
      <c r="I62" s="63" t="n"/>
      <c r="J62" s="63" t="n"/>
      <c r="K62" s="127" t="n"/>
      <c r="L62" s="128" t="str">
        <f>IF(A62="","",COUNTIFS(po_sup,A62,po_first,1))</f>
        <v/>
      </c>
      <c r="M62" s="70" t="str">
        <f>IF(A62="","",SUMIFS(po_ht,po_sup,A62,po_status,"&lt;&gt;Annulé"))</f>
        <v/>
      </c>
      <c r="N62" s="128" t="str">
        <f>IF(A62="","",COUNTIFS(po_sup,A62,po_status,"En retard"))</f>
        <v/>
      </c>
      <c r="O62" s="72" t="str">
        <f>IF(A62="","",IF(COUNTIFS(po_sup,A62,po_ontime,"&gt;=0")=0,"",COUNTIFS(po_sup,A62,po_ontime,1)/COUNTIFS(po_sup,A62,po_ontime,"&gt;=0")))</f>
        <v/>
      </c>
      <c r="P62" s="67" t="str">
        <f>IF(A62="","",IF(COUNTIF(sup_code,A62)&gt;1,"Code en double",IF(B62="","Raison sociale manquante",IF(AND(K62&lt;&gt;"",OR(NOT(ISNUMBER(K62)),N(K62)&lt;0)),"Délai invalide","OK"))))</f>
        <v/>
      </c>
      <c r="Q62" s="70" t="str">
        <f>IF(A62="","",SUMIFS(po_ht,po_sup,A62,po_status,"&lt;&gt;Annulé",po_date,"&gt;="&amp;p_y0,po_date,"&lt;"&amp;p_y1))</f>
        <v/>
      </c>
      <c r="R62" s="66" t="str">
        <f>IF(N(Q62)&gt;0,Q62-ROW()/10000000,"")</f>
        <v/>
      </c>
    </row>
    <row r="63">
      <c r="A63" s="65" t="n"/>
      <c r="B63" s="63" t="n"/>
      <c r="C63" s="63" t="n"/>
      <c r="D63" s="63" t="n"/>
      <c r="E63" s="65" t="n"/>
      <c r="F63" s="63" t="n"/>
      <c r="G63" s="63" t="n"/>
      <c r="H63" s="63" t="n"/>
      <c r="I63" s="63" t="n"/>
      <c r="J63" s="63" t="n"/>
      <c r="K63" s="127" t="n"/>
      <c r="L63" s="128" t="str">
        <f>IF(A63="","",COUNTIFS(po_sup,A63,po_first,1))</f>
        <v/>
      </c>
      <c r="M63" s="70" t="str">
        <f>IF(A63="","",SUMIFS(po_ht,po_sup,A63,po_status,"&lt;&gt;Annulé"))</f>
        <v/>
      </c>
      <c r="N63" s="128" t="str">
        <f>IF(A63="","",COUNTIFS(po_sup,A63,po_status,"En retard"))</f>
        <v/>
      </c>
      <c r="O63" s="72" t="str">
        <f>IF(A63="","",IF(COUNTIFS(po_sup,A63,po_ontime,"&gt;=0")=0,"",COUNTIFS(po_sup,A63,po_ontime,1)/COUNTIFS(po_sup,A63,po_ontime,"&gt;=0")))</f>
        <v/>
      </c>
      <c r="P63" s="67" t="str">
        <f>IF(A63="","",IF(COUNTIF(sup_code,A63)&gt;1,"Code en double",IF(B63="","Raison sociale manquante",IF(AND(K63&lt;&gt;"",OR(NOT(ISNUMBER(K63)),N(K63)&lt;0)),"Délai invalide","OK"))))</f>
        <v/>
      </c>
      <c r="Q63" s="70" t="str">
        <f>IF(A63="","",SUMIFS(po_ht,po_sup,A63,po_status,"&lt;&gt;Annulé",po_date,"&gt;="&amp;p_y0,po_date,"&lt;"&amp;p_y1))</f>
        <v/>
      </c>
      <c r="R63" s="66" t="str">
        <f>IF(N(Q63)&gt;0,Q63-ROW()/10000000,"")</f>
        <v/>
      </c>
    </row>
    <row r="64">
      <c r="A64" s="65" t="n"/>
      <c r="B64" s="63" t="n"/>
      <c r="C64" s="63" t="n"/>
      <c r="D64" s="63" t="n"/>
      <c r="E64" s="65" t="n"/>
      <c r="F64" s="63" t="n"/>
      <c r="G64" s="63" t="n"/>
      <c r="H64" s="63" t="n"/>
      <c r="I64" s="63" t="n"/>
      <c r="J64" s="63" t="n"/>
      <c r="K64" s="127" t="n"/>
      <c r="L64" s="128" t="str">
        <f>IF(A64="","",COUNTIFS(po_sup,A64,po_first,1))</f>
        <v/>
      </c>
      <c r="M64" s="70" t="str">
        <f>IF(A64="","",SUMIFS(po_ht,po_sup,A64,po_status,"&lt;&gt;Annulé"))</f>
        <v/>
      </c>
      <c r="N64" s="128" t="str">
        <f>IF(A64="","",COUNTIFS(po_sup,A64,po_status,"En retard"))</f>
        <v/>
      </c>
      <c r="O64" s="72" t="str">
        <f>IF(A64="","",IF(COUNTIFS(po_sup,A64,po_ontime,"&gt;=0")=0,"",COUNTIFS(po_sup,A64,po_ontime,1)/COUNTIFS(po_sup,A64,po_ontime,"&gt;=0")))</f>
        <v/>
      </c>
      <c r="P64" s="67" t="str">
        <f>IF(A64="","",IF(COUNTIF(sup_code,A64)&gt;1,"Code en double",IF(B64="","Raison sociale manquante",IF(AND(K64&lt;&gt;"",OR(NOT(ISNUMBER(K64)),N(K64)&lt;0)),"Délai invalide","OK"))))</f>
        <v/>
      </c>
      <c r="Q64" s="70" t="str">
        <f>IF(A64="","",SUMIFS(po_ht,po_sup,A64,po_status,"&lt;&gt;Annulé",po_date,"&gt;="&amp;p_y0,po_date,"&lt;"&amp;p_y1))</f>
        <v/>
      </c>
      <c r="R64" s="66" t="str">
        <f>IF(N(Q64)&gt;0,Q64-ROW()/10000000,"")</f>
        <v/>
      </c>
    </row>
    <row r="65">
      <c r="A65" s="65" t="n"/>
      <c r="B65" s="63" t="n"/>
      <c r="C65" s="63" t="n"/>
      <c r="D65" s="63" t="n"/>
      <c r="E65" s="65" t="n"/>
      <c r="F65" s="63" t="n"/>
      <c r="G65" s="63" t="n"/>
      <c r="H65" s="63" t="n"/>
      <c r="I65" s="63" t="n"/>
      <c r="J65" s="63" t="n"/>
      <c r="K65" s="127" t="n"/>
      <c r="L65" s="128" t="str">
        <f>IF(A65="","",COUNTIFS(po_sup,A65,po_first,1))</f>
        <v/>
      </c>
      <c r="M65" s="70" t="str">
        <f>IF(A65="","",SUMIFS(po_ht,po_sup,A65,po_status,"&lt;&gt;Annulé"))</f>
        <v/>
      </c>
      <c r="N65" s="128" t="str">
        <f>IF(A65="","",COUNTIFS(po_sup,A65,po_status,"En retard"))</f>
        <v/>
      </c>
      <c r="O65" s="72" t="str">
        <f>IF(A65="","",IF(COUNTIFS(po_sup,A65,po_ontime,"&gt;=0")=0,"",COUNTIFS(po_sup,A65,po_ontime,1)/COUNTIFS(po_sup,A65,po_ontime,"&gt;=0")))</f>
        <v/>
      </c>
      <c r="P65" s="67" t="str">
        <f>IF(A65="","",IF(COUNTIF(sup_code,A65)&gt;1,"Code en double",IF(B65="","Raison sociale manquante",IF(AND(K65&lt;&gt;"",OR(NOT(ISNUMBER(K65)),N(K65)&lt;0)),"Délai invalide","OK"))))</f>
        <v/>
      </c>
      <c r="Q65" s="70" t="str">
        <f>IF(A65="","",SUMIFS(po_ht,po_sup,A65,po_status,"&lt;&gt;Annulé",po_date,"&gt;="&amp;p_y0,po_date,"&lt;"&amp;p_y1))</f>
        <v/>
      </c>
      <c r="R65" s="66" t="str">
        <f>IF(N(Q65)&gt;0,Q65-ROW()/10000000,"")</f>
        <v/>
      </c>
    </row>
    <row r="66">
      <c r="A66" s="65" t="n"/>
      <c r="B66" s="63" t="n"/>
      <c r="C66" s="63" t="n"/>
      <c r="D66" s="63" t="n"/>
      <c r="E66" s="65" t="n"/>
      <c r="F66" s="63" t="n"/>
      <c r="G66" s="63" t="n"/>
      <c r="H66" s="63" t="n"/>
      <c r="I66" s="63" t="n"/>
      <c r="J66" s="63" t="n"/>
      <c r="K66" s="127" t="n"/>
      <c r="L66" s="128" t="str">
        <f>IF(A66="","",COUNTIFS(po_sup,A66,po_first,1))</f>
        <v/>
      </c>
      <c r="M66" s="70" t="str">
        <f>IF(A66="","",SUMIFS(po_ht,po_sup,A66,po_status,"&lt;&gt;Annulé"))</f>
        <v/>
      </c>
      <c r="N66" s="128" t="str">
        <f>IF(A66="","",COUNTIFS(po_sup,A66,po_status,"En retard"))</f>
        <v/>
      </c>
      <c r="O66" s="72" t="str">
        <f>IF(A66="","",IF(COUNTIFS(po_sup,A66,po_ontime,"&gt;=0")=0,"",COUNTIFS(po_sup,A66,po_ontime,1)/COUNTIFS(po_sup,A66,po_ontime,"&gt;=0")))</f>
        <v/>
      </c>
      <c r="P66" s="67" t="str">
        <f>IF(A66="","",IF(COUNTIF(sup_code,A66)&gt;1,"Code en double",IF(B66="","Raison sociale manquante",IF(AND(K66&lt;&gt;"",OR(NOT(ISNUMBER(K66)),N(K66)&lt;0)),"Délai invalide","OK"))))</f>
        <v/>
      </c>
      <c r="Q66" s="70" t="str">
        <f>IF(A66="","",SUMIFS(po_ht,po_sup,A66,po_status,"&lt;&gt;Annulé",po_date,"&gt;="&amp;p_y0,po_date,"&lt;"&amp;p_y1))</f>
        <v/>
      </c>
      <c r="R66" s="66" t="str">
        <f>IF(N(Q66)&gt;0,Q66-ROW()/10000000,"")</f>
        <v/>
      </c>
    </row>
    <row r="67">
      <c r="A67" s="65" t="n"/>
      <c r="B67" s="63" t="n"/>
      <c r="C67" s="63" t="n"/>
      <c r="D67" s="63" t="n"/>
      <c r="E67" s="65" t="n"/>
      <c r="F67" s="63" t="n"/>
      <c r="G67" s="63" t="n"/>
      <c r="H67" s="63" t="n"/>
      <c r="I67" s="63" t="n"/>
      <c r="J67" s="63" t="n"/>
      <c r="K67" s="127" t="n"/>
      <c r="L67" s="128" t="str">
        <f>IF(A67="","",COUNTIFS(po_sup,A67,po_first,1))</f>
        <v/>
      </c>
      <c r="M67" s="70" t="str">
        <f>IF(A67="","",SUMIFS(po_ht,po_sup,A67,po_status,"&lt;&gt;Annulé"))</f>
        <v/>
      </c>
      <c r="N67" s="128" t="str">
        <f>IF(A67="","",COUNTIFS(po_sup,A67,po_status,"En retard"))</f>
        <v/>
      </c>
      <c r="O67" s="72" t="str">
        <f>IF(A67="","",IF(COUNTIFS(po_sup,A67,po_ontime,"&gt;=0")=0,"",COUNTIFS(po_sup,A67,po_ontime,1)/COUNTIFS(po_sup,A67,po_ontime,"&gt;=0")))</f>
        <v/>
      </c>
      <c r="P67" s="67" t="str">
        <f>IF(A67="","",IF(COUNTIF(sup_code,A67)&gt;1,"Code en double",IF(B67="","Raison sociale manquante",IF(AND(K67&lt;&gt;"",OR(NOT(ISNUMBER(K67)),N(K67)&lt;0)),"Délai invalide","OK"))))</f>
        <v/>
      </c>
      <c r="Q67" s="70" t="str">
        <f>IF(A67="","",SUMIFS(po_ht,po_sup,A67,po_status,"&lt;&gt;Annulé",po_date,"&gt;="&amp;p_y0,po_date,"&lt;"&amp;p_y1))</f>
        <v/>
      </c>
      <c r="R67" s="66" t="str">
        <f>IF(N(Q67)&gt;0,Q67-ROW()/10000000,"")</f>
        <v/>
      </c>
    </row>
    <row r="68">
      <c r="A68" s="65" t="n"/>
      <c r="B68" s="63" t="n"/>
      <c r="C68" s="63" t="n"/>
      <c r="D68" s="63" t="n"/>
      <c r="E68" s="65" t="n"/>
      <c r="F68" s="63" t="n"/>
      <c r="G68" s="63" t="n"/>
      <c r="H68" s="63" t="n"/>
      <c r="I68" s="63" t="n"/>
      <c r="J68" s="63" t="n"/>
      <c r="K68" s="127" t="n"/>
      <c r="L68" s="128" t="str">
        <f>IF(A68="","",COUNTIFS(po_sup,A68,po_first,1))</f>
        <v/>
      </c>
      <c r="M68" s="70" t="str">
        <f>IF(A68="","",SUMIFS(po_ht,po_sup,A68,po_status,"&lt;&gt;Annulé"))</f>
        <v/>
      </c>
      <c r="N68" s="128" t="str">
        <f>IF(A68="","",COUNTIFS(po_sup,A68,po_status,"En retard"))</f>
        <v/>
      </c>
      <c r="O68" s="72" t="str">
        <f>IF(A68="","",IF(COUNTIFS(po_sup,A68,po_ontime,"&gt;=0")=0,"",COUNTIFS(po_sup,A68,po_ontime,1)/COUNTIFS(po_sup,A68,po_ontime,"&gt;=0")))</f>
        <v/>
      </c>
      <c r="P68" s="67" t="str">
        <f>IF(A68="","",IF(COUNTIF(sup_code,A68)&gt;1,"Code en double",IF(B68="","Raison sociale manquante",IF(AND(K68&lt;&gt;"",OR(NOT(ISNUMBER(K68)),N(K68)&lt;0)),"Délai invalide","OK"))))</f>
        <v/>
      </c>
      <c r="Q68" s="70" t="str">
        <f>IF(A68="","",SUMIFS(po_ht,po_sup,A68,po_status,"&lt;&gt;Annulé",po_date,"&gt;="&amp;p_y0,po_date,"&lt;"&amp;p_y1))</f>
        <v/>
      </c>
      <c r="R68" s="66" t="str">
        <f>IF(N(Q68)&gt;0,Q68-ROW()/10000000,"")</f>
        <v/>
      </c>
    </row>
    <row r="69">
      <c r="A69" s="65" t="n"/>
      <c r="B69" s="63" t="n"/>
      <c r="C69" s="63" t="n"/>
      <c r="D69" s="63" t="n"/>
      <c r="E69" s="65" t="n"/>
      <c r="F69" s="63" t="n"/>
      <c r="G69" s="63" t="n"/>
      <c r="H69" s="63" t="n"/>
      <c r="I69" s="63" t="n"/>
      <c r="J69" s="63" t="n"/>
      <c r="K69" s="127" t="n"/>
      <c r="L69" s="128" t="str">
        <f>IF(A69="","",COUNTIFS(po_sup,A69,po_first,1))</f>
        <v/>
      </c>
      <c r="M69" s="70" t="str">
        <f>IF(A69="","",SUMIFS(po_ht,po_sup,A69,po_status,"&lt;&gt;Annulé"))</f>
        <v/>
      </c>
      <c r="N69" s="128" t="str">
        <f>IF(A69="","",COUNTIFS(po_sup,A69,po_status,"En retard"))</f>
        <v/>
      </c>
      <c r="O69" s="72" t="str">
        <f>IF(A69="","",IF(COUNTIFS(po_sup,A69,po_ontime,"&gt;=0")=0,"",COUNTIFS(po_sup,A69,po_ontime,1)/COUNTIFS(po_sup,A69,po_ontime,"&gt;=0")))</f>
        <v/>
      </c>
      <c r="P69" s="67" t="str">
        <f>IF(A69="","",IF(COUNTIF(sup_code,A69)&gt;1,"Code en double",IF(B69="","Raison sociale manquante",IF(AND(K69&lt;&gt;"",OR(NOT(ISNUMBER(K69)),N(K69)&lt;0)),"Délai invalide","OK"))))</f>
        <v/>
      </c>
      <c r="Q69" s="70" t="str">
        <f>IF(A69="","",SUMIFS(po_ht,po_sup,A69,po_status,"&lt;&gt;Annulé",po_date,"&gt;="&amp;p_y0,po_date,"&lt;"&amp;p_y1))</f>
        <v/>
      </c>
      <c r="R69" s="66" t="str">
        <f>IF(N(Q69)&gt;0,Q69-ROW()/10000000,"")</f>
        <v/>
      </c>
    </row>
    <row r="70">
      <c r="A70" s="65" t="n"/>
      <c r="B70" s="63" t="n"/>
      <c r="C70" s="63" t="n"/>
      <c r="D70" s="63" t="n"/>
      <c r="E70" s="65" t="n"/>
      <c r="F70" s="63" t="n"/>
      <c r="G70" s="63" t="n"/>
      <c r="H70" s="63" t="n"/>
      <c r="I70" s="63" t="n"/>
      <c r="J70" s="63" t="n"/>
      <c r="K70" s="127" t="n"/>
      <c r="L70" s="128" t="str">
        <f>IF(A70="","",COUNTIFS(po_sup,A70,po_first,1))</f>
        <v/>
      </c>
      <c r="M70" s="70" t="str">
        <f>IF(A70="","",SUMIFS(po_ht,po_sup,A70,po_status,"&lt;&gt;Annulé"))</f>
        <v/>
      </c>
      <c r="N70" s="128" t="str">
        <f>IF(A70="","",COUNTIFS(po_sup,A70,po_status,"En retard"))</f>
        <v/>
      </c>
      <c r="O70" s="72" t="str">
        <f>IF(A70="","",IF(COUNTIFS(po_sup,A70,po_ontime,"&gt;=0")=0,"",COUNTIFS(po_sup,A70,po_ontime,1)/COUNTIFS(po_sup,A70,po_ontime,"&gt;=0")))</f>
        <v/>
      </c>
      <c r="P70" s="67" t="str">
        <f>IF(A70="","",IF(COUNTIF(sup_code,A70)&gt;1,"Code en double",IF(B70="","Raison sociale manquante",IF(AND(K70&lt;&gt;"",OR(NOT(ISNUMBER(K70)),N(K70)&lt;0)),"Délai invalide","OK"))))</f>
        <v/>
      </c>
      <c r="Q70" s="70" t="str">
        <f>IF(A70="","",SUMIFS(po_ht,po_sup,A70,po_status,"&lt;&gt;Annulé",po_date,"&gt;="&amp;p_y0,po_date,"&lt;"&amp;p_y1))</f>
        <v/>
      </c>
      <c r="R70" s="66" t="str">
        <f>IF(N(Q70)&gt;0,Q70-ROW()/10000000,"")</f>
        <v/>
      </c>
    </row>
    <row r="71">
      <c r="A71" s="65" t="n"/>
      <c r="B71" s="63" t="n"/>
      <c r="C71" s="63" t="n"/>
      <c r="D71" s="63" t="n"/>
      <c r="E71" s="65" t="n"/>
      <c r="F71" s="63" t="n"/>
      <c r="G71" s="63" t="n"/>
      <c r="H71" s="63" t="n"/>
      <c r="I71" s="63" t="n"/>
      <c r="J71" s="63" t="n"/>
      <c r="K71" s="127" t="n"/>
      <c r="L71" s="128" t="str">
        <f>IF(A71="","",COUNTIFS(po_sup,A71,po_first,1))</f>
        <v/>
      </c>
      <c r="M71" s="70" t="str">
        <f>IF(A71="","",SUMIFS(po_ht,po_sup,A71,po_status,"&lt;&gt;Annulé"))</f>
        <v/>
      </c>
      <c r="N71" s="128" t="str">
        <f>IF(A71="","",COUNTIFS(po_sup,A71,po_status,"En retard"))</f>
        <v/>
      </c>
      <c r="O71" s="72" t="str">
        <f>IF(A71="","",IF(COUNTIFS(po_sup,A71,po_ontime,"&gt;=0")=0,"",COUNTIFS(po_sup,A71,po_ontime,1)/COUNTIFS(po_sup,A71,po_ontime,"&gt;=0")))</f>
        <v/>
      </c>
      <c r="P71" s="67" t="str">
        <f>IF(A71="","",IF(COUNTIF(sup_code,A71)&gt;1,"Code en double",IF(B71="","Raison sociale manquante",IF(AND(K71&lt;&gt;"",OR(NOT(ISNUMBER(K71)),N(K71)&lt;0)),"Délai invalide","OK"))))</f>
        <v/>
      </c>
      <c r="Q71" s="70" t="str">
        <f>IF(A71="","",SUMIFS(po_ht,po_sup,A71,po_status,"&lt;&gt;Annulé",po_date,"&gt;="&amp;p_y0,po_date,"&lt;"&amp;p_y1))</f>
        <v/>
      </c>
      <c r="R71" s="66" t="str">
        <f>IF(N(Q71)&gt;0,Q71-ROW()/10000000,"")</f>
        <v/>
      </c>
    </row>
    <row r="72">
      <c r="A72" s="65" t="n"/>
      <c r="B72" s="63" t="n"/>
      <c r="C72" s="63" t="n"/>
      <c r="D72" s="63" t="n"/>
      <c r="E72" s="65" t="n"/>
      <c r="F72" s="63" t="n"/>
      <c r="G72" s="63" t="n"/>
      <c r="H72" s="63" t="n"/>
      <c r="I72" s="63" t="n"/>
      <c r="J72" s="63" t="n"/>
      <c r="K72" s="127" t="n"/>
      <c r="L72" s="128" t="str">
        <f>IF(A72="","",COUNTIFS(po_sup,A72,po_first,1))</f>
        <v/>
      </c>
      <c r="M72" s="70" t="str">
        <f>IF(A72="","",SUMIFS(po_ht,po_sup,A72,po_status,"&lt;&gt;Annulé"))</f>
        <v/>
      </c>
      <c r="N72" s="128" t="str">
        <f>IF(A72="","",COUNTIFS(po_sup,A72,po_status,"En retard"))</f>
        <v/>
      </c>
      <c r="O72" s="72" t="str">
        <f>IF(A72="","",IF(COUNTIFS(po_sup,A72,po_ontime,"&gt;=0")=0,"",COUNTIFS(po_sup,A72,po_ontime,1)/COUNTIFS(po_sup,A72,po_ontime,"&gt;=0")))</f>
        <v/>
      </c>
      <c r="P72" s="67" t="str">
        <f>IF(A72="","",IF(COUNTIF(sup_code,A72)&gt;1,"Code en double",IF(B72="","Raison sociale manquante",IF(AND(K72&lt;&gt;"",OR(NOT(ISNUMBER(K72)),N(K72)&lt;0)),"Délai invalide","OK"))))</f>
        <v/>
      </c>
      <c r="Q72" s="70" t="str">
        <f>IF(A72="","",SUMIFS(po_ht,po_sup,A72,po_status,"&lt;&gt;Annulé",po_date,"&gt;="&amp;p_y0,po_date,"&lt;"&amp;p_y1))</f>
        <v/>
      </c>
      <c r="R72" s="66" t="str">
        <f>IF(N(Q72)&gt;0,Q72-ROW()/10000000,"")</f>
        <v/>
      </c>
    </row>
    <row r="73">
      <c r="A73" s="65" t="n"/>
      <c r="B73" s="63" t="n"/>
      <c r="C73" s="63" t="n"/>
      <c r="D73" s="63" t="n"/>
      <c r="E73" s="65" t="n"/>
      <c r="F73" s="63" t="n"/>
      <c r="G73" s="63" t="n"/>
      <c r="H73" s="63" t="n"/>
      <c r="I73" s="63" t="n"/>
      <c r="J73" s="63" t="n"/>
      <c r="K73" s="127" t="n"/>
      <c r="L73" s="128" t="str">
        <f>IF(A73="","",COUNTIFS(po_sup,A73,po_first,1))</f>
        <v/>
      </c>
      <c r="M73" s="70" t="str">
        <f>IF(A73="","",SUMIFS(po_ht,po_sup,A73,po_status,"&lt;&gt;Annulé"))</f>
        <v/>
      </c>
      <c r="N73" s="128" t="str">
        <f>IF(A73="","",COUNTIFS(po_sup,A73,po_status,"En retard"))</f>
        <v/>
      </c>
      <c r="O73" s="72" t="str">
        <f>IF(A73="","",IF(COUNTIFS(po_sup,A73,po_ontime,"&gt;=0")=0,"",COUNTIFS(po_sup,A73,po_ontime,1)/COUNTIFS(po_sup,A73,po_ontime,"&gt;=0")))</f>
        <v/>
      </c>
      <c r="P73" s="67" t="str">
        <f>IF(A73="","",IF(COUNTIF(sup_code,A73)&gt;1,"Code en double",IF(B73="","Raison sociale manquante",IF(AND(K73&lt;&gt;"",OR(NOT(ISNUMBER(K73)),N(K73)&lt;0)),"Délai invalide","OK"))))</f>
        <v/>
      </c>
      <c r="Q73" s="70" t="str">
        <f>IF(A73="","",SUMIFS(po_ht,po_sup,A73,po_status,"&lt;&gt;Annulé",po_date,"&gt;="&amp;p_y0,po_date,"&lt;"&amp;p_y1))</f>
        <v/>
      </c>
      <c r="R73" s="66" t="str">
        <f>IF(N(Q73)&gt;0,Q73-ROW()/10000000,"")</f>
        <v/>
      </c>
    </row>
    <row r="74">
      <c r="A74" s="65" t="n"/>
      <c r="B74" s="63" t="n"/>
      <c r="C74" s="63" t="n"/>
      <c r="D74" s="63" t="n"/>
      <c r="E74" s="65" t="n"/>
      <c r="F74" s="63" t="n"/>
      <c r="G74" s="63" t="n"/>
      <c r="H74" s="63" t="n"/>
      <c r="I74" s="63" t="n"/>
      <c r="J74" s="63" t="n"/>
      <c r="K74" s="127" t="n"/>
      <c r="L74" s="128" t="str">
        <f>IF(A74="","",COUNTIFS(po_sup,A74,po_first,1))</f>
        <v/>
      </c>
      <c r="M74" s="70" t="str">
        <f>IF(A74="","",SUMIFS(po_ht,po_sup,A74,po_status,"&lt;&gt;Annulé"))</f>
        <v/>
      </c>
      <c r="N74" s="128" t="str">
        <f>IF(A74="","",COUNTIFS(po_sup,A74,po_status,"En retard"))</f>
        <v/>
      </c>
      <c r="O74" s="72" t="str">
        <f>IF(A74="","",IF(COUNTIFS(po_sup,A74,po_ontime,"&gt;=0")=0,"",COUNTIFS(po_sup,A74,po_ontime,1)/COUNTIFS(po_sup,A74,po_ontime,"&gt;=0")))</f>
        <v/>
      </c>
      <c r="P74" s="67" t="str">
        <f>IF(A74="","",IF(COUNTIF(sup_code,A74)&gt;1,"Code en double",IF(B74="","Raison sociale manquante",IF(AND(K74&lt;&gt;"",OR(NOT(ISNUMBER(K74)),N(K74)&lt;0)),"Délai invalide","OK"))))</f>
        <v/>
      </c>
      <c r="Q74" s="70" t="str">
        <f>IF(A74="","",SUMIFS(po_ht,po_sup,A74,po_status,"&lt;&gt;Annulé",po_date,"&gt;="&amp;p_y0,po_date,"&lt;"&amp;p_y1))</f>
        <v/>
      </c>
      <c r="R74" s="66" t="str">
        <f>IF(N(Q74)&gt;0,Q74-ROW()/10000000,"")</f>
        <v/>
      </c>
    </row>
    <row r="75">
      <c r="A75" s="65" t="n"/>
      <c r="B75" s="63" t="n"/>
      <c r="C75" s="63" t="n"/>
      <c r="D75" s="63" t="n"/>
      <c r="E75" s="65" t="n"/>
      <c r="F75" s="63" t="n"/>
      <c r="G75" s="63" t="n"/>
      <c r="H75" s="63" t="n"/>
      <c r="I75" s="63" t="n"/>
      <c r="J75" s="63" t="n"/>
      <c r="K75" s="127" t="n"/>
      <c r="L75" s="128" t="str">
        <f>IF(A75="","",COUNTIFS(po_sup,A75,po_first,1))</f>
        <v/>
      </c>
      <c r="M75" s="70" t="str">
        <f>IF(A75="","",SUMIFS(po_ht,po_sup,A75,po_status,"&lt;&gt;Annulé"))</f>
        <v/>
      </c>
      <c r="N75" s="128" t="str">
        <f>IF(A75="","",COUNTIFS(po_sup,A75,po_status,"En retard"))</f>
        <v/>
      </c>
      <c r="O75" s="72" t="str">
        <f>IF(A75="","",IF(COUNTIFS(po_sup,A75,po_ontime,"&gt;=0")=0,"",COUNTIFS(po_sup,A75,po_ontime,1)/COUNTIFS(po_sup,A75,po_ontime,"&gt;=0")))</f>
        <v/>
      </c>
      <c r="P75" s="67" t="str">
        <f>IF(A75="","",IF(COUNTIF(sup_code,A75)&gt;1,"Code en double",IF(B75="","Raison sociale manquante",IF(AND(K75&lt;&gt;"",OR(NOT(ISNUMBER(K75)),N(K75)&lt;0)),"Délai invalide","OK"))))</f>
        <v/>
      </c>
      <c r="Q75" s="70" t="str">
        <f>IF(A75="","",SUMIFS(po_ht,po_sup,A75,po_status,"&lt;&gt;Annulé",po_date,"&gt;="&amp;p_y0,po_date,"&lt;"&amp;p_y1))</f>
        <v/>
      </c>
      <c r="R75" s="66" t="str">
        <f>IF(N(Q75)&gt;0,Q75-ROW()/10000000,"")</f>
        <v/>
      </c>
    </row>
    <row r="76">
      <c r="A76" s="65" t="n"/>
      <c r="B76" s="63" t="n"/>
      <c r="C76" s="63" t="n"/>
      <c r="D76" s="63" t="n"/>
      <c r="E76" s="65" t="n"/>
      <c r="F76" s="63" t="n"/>
      <c r="G76" s="63" t="n"/>
      <c r="H76" s="63" t="n"/>
      <c r="I76" s="63" t="n"/>
      <c r="J76" s="63" t="n"/>
      <c r="K76" s="127" t="n"/>
      <c r="L76" s="128" t="str">
        <f>IF(A76="","",COUNTIFS(po_sup,A76,po_first,1))</f>
        <v/>
      </c>
      <c r="M76" s="70" t="str">
        <f>IF(A76="","",SUMIFS(po_ht,po_sup,A76,po_status,"&lt;&gt;Annulé"))</f>
        <v/>
      </c>
      <c r="N76" s="128" t="str">
        <f>IF(A76="","",COUNTIFS(po_sup,A76,po_status,"En retard"))</f>
        <v/>
      </c>
      <c r="O76" s="72" t="str">
        <f>IF(A76="","",IF(COUNTIFS(po_sup,A76,po_ontime,"&gt;=0")=0,"",COUNTIFS(po_sup,A76,po_ontime,1)/COUNTIFS(po_sup,A76,po_ontime,"&gt;=0")))</f>
        <v/>
      </c>
      <c r="P76" s="67" t="str">
        <f>IF(A76="","",IF(COUNTIF(sup_code,A76)&gt;1,"Code en double",IF(B76="","Raison sociale manquante",IF(AND(K76&lt;&gt;"",OR(NOT(ISNUMBER(K76)),N(K76)&lt;0)),"Délai invalide","OK"))))</f>
        <v/>
      </c>
      <c r="Q76" s="70" t="str">
        <f>IF(A76="","",SUMIFS(po_ht,po_sup,A76,po_status,"&lt;&gt;Annulé",po_date,"&gt;="&amp;p_y0,po_date,"&lt;"&amp;p_y1))</f>
        <v/>
      </c>
      <c r="R76" s="66" t="str">
        <f>IF(N(Q76)&gt;0,Q76-ROW()/10000000,"")</f>
        <v/>
      </c>
    </row>
    <row r="77">
      <c r="A77" s="65" t="n"/>
      <c r="B77" s="63" t="n"/>
      <c r="C77" s="63" t="n"/>
      <c r="D77" s="63" t="n"/>
      <c r="E77" s="65" t="n"/>
      <c r="F77" s="63" t="n"/>
      <c r="G77" s="63" t="n"/>
      <c r="H77" s="63" t="n"/>
      <c r="I77" s="63" t="n"/>
      <c r="J77" s="63" t="n"/>
      <c r="K77" s="127" t="n"/>
      <c r="L77" s="128" t="str">
        <f>IF(A77="","",COUNTIFS(po_sup,A77,po_first,1))</f>
        <v/>
      </c>
      <c r="M77" s="70" t="str">
        <f>IF(A77="","",SUMIFS(po_ht,po_sup,A77,po_status,"&lt;&gt;Annulé"))</f>
        <v/>
      </c>
      <c r="N77" s="128" t="str">
        <f>IF(A77="","",COUNTIFS(po_sup,A77,po_status,"En retard"))</f>
        <v/>
      </c>
      <c r="O77" s="72" t="str">
        <f>IF(A77="","",IF(COUNTIFS(po_sup,A77,po_ontime,"&gt;=0")=0,"",COUNTIFS(po_sup,A77,po_ontime,1)/COUNTIFS(po_sup,A77,po_ontime,"&gt;=0")))</f>
        <v/>
      </c>
      <c r="P77" s="67" t="str">
        <f>IF(A77="","",IF(COUNTIF(sup_code,A77)&gt;1,"Code en double",IF(B77="","Raison sociale manquante",IF(AND(K77&lt;&gt;"",OR(NOT(ISNUMBER(K77)),N(K77)&lt;0)),"Délai invalide","OK"))))</f>
        <v/>
      </c>
      <c r="Q77" s="70" t="str">
        <f>IF(A77="","",SUMIFS(po_ht,po_sup,A77,po_status,"&lt;&gt;Annulé",po_date,"&gt;="&amp;p_y0,po_date,"&lt;"&amp;p_y1))</f>
        <v/>
      </c>
      <c r="R77" s="66" t="str">
        <f>IF(N(Q77)&gt;0,Q77-ROW()/10000000,"")</f>
        <v/>
      </c>
    </row>
    <row r="78">
      <c r="A78" s="65" t="n"/>
      <c r="B78" s="63" t="n"/>
      <c r="C78" s="63" t="n"/>
      <c r="D78" s="63" t="n"/>
      <c r="E78" s="65" t="n"/>
      <c r="F78" s="63" t="n"/>
      <c r="G78" s="63" t="n"/>
      <c r="H78" s="63" t="n"/>
      <c r="I78" s="63" t="n"/>
      <c r="J78" s="63" t="n"/>
      <c r="K78" s="127" t="n"/>
      <c r="L78" s="128" t="str">
        <f>IF(A78="","",COUNTIFS(po_sup,A78,po_first,1))</f>
        <v/>
      </c>
      <c r="M78" s="70" t="str">
        <f>IF(A78="","",SUMIFS(po_ht,po_sup,A78,po_status,"&lt;&gt;Annulé"))</f>
        <v/>
      </c>
      <c r="N78" s="128" t="str">
        <f>IF(A78="","",COUNTIFS(po_sup,A78,po_status,"En retard"))</f>
        <v/>
      </c>
      <c r="O78" s="72" t="str">
        <f>IF(A78="","",IF(COUNTIFS(po_sup,A78,po_ontime,"&gt;=0")=0,"",COUNTIFS(po_sup,A78,po_ontime,1)/COUNTIFS(po_sup,A78,po_ontime,"&gt;=0")))</f>
        <v/>
      </c>
      <c r="P78" s="67" t="str">
        <f>IF(A78="","",IF(COUNTIF(sup_code,A78)&gt;1,"Code en double",IF(B78="","Raison sociale manquante",IF(AND(K78&lt;&gt;"",OR(NOT(ISNUMBER(K78)),N(K78)&lt;0)),"Délai invalide","OK"))))</f>
        <v/>
      </c>
      <c r="Q78" s="70" t="str">
        <f>IF(A78="","",SUMIFS(po_ht,po_sup,A78,po_status,"&lt;&gt;Annulé",po_date,"&gt;="&amp;p_y0,po_date,"&lt;"&amp;p_y1))</f>
        <v/>
      </c>
      <c r="R78" s="66" t="str">
        <f>IF(N(Q78)&gt;0,Q78-ROW()/10000000,"")</f>
        <v/>
      </c>
    </row>
    <row r="79">
      <c r="A79" s="65" t="n"/>
      <c r="B79" s="63" t="n"/>
      <c r="C79" s="63" t="n"/>
      <c r="D79" s="63" t="n"/>
      <c r="E79" s="65" t="n"/>
      <c r="F79" s="63" t="n"/>
      <c r="G79" s="63" t="n"/>
      <c r="H79" s="63" t="n"/>
      <c r="I79" s="63" t="n"/>
      <c r="J79" s="63" t="n"/>
      <c r="K79" s="127" t="n"/>
      <c r="L79" s="128" t="str">
        <f>IF(A79="","",COUNTIFS(po_sup,A79,po_first,1))</f>
        <v/>
      </c>
      <c r="M79" s="70" t="str">
        <f>IF(A79="","",SUMIFS(po_ht,po_sup,A79,po_status,"&lt;&gt;Annulé"))</f>
        <v/>
      </c>
      <c r="N79" s="128" t="str">
        <f>IF(A79="","",COUNTIFS(po_sup,A79,po_status,"En retard"))</f>
        <v/>
      </c>
      <c r="O79" s="72" t="str">
        <f>IF(A79="","",IF(COUNTIFS(po_sup,A79,po_ontime,"&gt;=0")=0,"",COUNTIFS(po_sup,A79,po_ontime,1)/COUNTIFS(po_sup,A79,po_ontime,"&gt;=0")))</f>
        <v/>
      </c>
      <c r="P79" s="67" t="str">
        <f>IF(A79="","",IF(COUNTIF(sup_code,A79)&gt;1,"Code en double",IF(B79="","Raison sociale manquante",IF(AND(K79&lt;&gt;"",OR(NOT(ISNUMBER(K79)),N(K79)&lt;0)),"Délai invalide","OK"))))</f>
        <v/>
      </c>
      <c r="Q79" s="70" t="str">
        <f>IF(A79="","",SUMIFS(po_ht,po_sup,A79,po_status,"&lt;&gt;Annulé",po_date,"&gt;="&amp;p_y0,po_date,"&lt;"&amp;p_y1))</f>
        <v/>
      </c>
      <c r="R79" s="66" t="str">
        <f>IF(N(Q79)&gt;0,Q79-ROW()/10000000,"")</f>
        <v/>
      </c>
    </row>
    <row r="80">
      <c r="A80" s="65" t="n"/>
      <c r="B80" s="63" t="n"/>
      <c r="C80" s="63" t="n"/>
      <c r="D80" s="63" t="n"/>
      <c r="E80" s="65" t="n"/>
      <c r="F80" s="63" t="n"/>
      <c r="G80" s="63" t="n"/>
      <c r="H80" s="63" t="n"/>
      <c r="I80" s="63" t="n"/>
      <c r="J80" s="63" t="n"/>
      <c r="K80" s="127" t="n"/>
      <c r="L80" s="128" t="str">
        <f>IF(A80="","",COUNTIFS(po_sup,A80,po_first,1))</f>
        <v/>
      </c>
      <c r="M80" s="70" t="str">
        <f>IF(A80="","",SUMIFS(po_ht,po_sup,A80,po_status,"&lt;&gt;Annulé"))</f>
        <v/>
      </c>
      <c r="N80" s="128" t="str">
        <f>IF(A80="","",COUNTIFS(po_sup,A80,po_status,"En retard"))</f>
        <v/>
      </c>
      <c r="O80" s="72" t="str">
        <f>IF(A80="","",IF(COUNTIFS(po_sup,A80,po_ontime,"&gt;=0")=0,"",COUNTIFS(po_sup,A80,po_ontime,1)/COUNTIFS(po_sup,A80,po_ontime,"&gt;=0")))</f>
        <v/>
      </c>
      <c r="P80" s="67" t="str">
        <f>IF(A80="","",IF(COUNTIF(sup_code,A80)&gt;1,"Code en double",IF(B80="","Raison sociale manquante",IF(AND(K80&lt;&gt;"",OR(NOT(ISNUMBER(K80)),N(K80)&lt;0)),"Délai invalide","OK"))))</f>
        <v/>
      </c>
      <c r="Q80" s="70" t="str">
        <f>IF(A80="","",SUMIFS(po_ht,po_sup,A80,po_status,"&lt;&gt;Annulé",po_date,"&gt;="&amp;p_y0,po_date,"&lt;"&amp;p_y1))</f>
        <v/>
      </c>
      <c r="R80" s="66" t="str">
        <f>IF(N(Q80)&gt;0,Q80-ROW()/10000000,"")</f>
        <v/>
      </c>
    </row>
    <row r="81">
      <c r="A81" s="65" t="n"/>
      <c r="B81" s="63" t="n"/>
      <c r="C81" s="63" t="n"/>
      <c r="D81" s="63" t="n"/>
      <c r="E81" s="65" t="n"/>
      <c r="F81" s="63" t="n"/>
      <c r="G81" s="63" t="n"/>
      <c r="H81" s="63" t="n"/>
      <c r="I81" s="63" t="n"/>
      <c r="J81" s="63" t="n"/>
      <c r="K81" s="127" t="n"/>
      <c r="L81" s="128" t="str">
        <f>IF(A81="","",COUNTIFS(po_sup,A81,po_first,1))</f>
        <v/>
      </c>
      <c r="M81" s="70" t="str">
        <f>IF(A81="","",SUMIFS(po_ht,po_sup,A81,po_status,"&lt;&gt;Annulé"))</f>
        <v/>
      </c>
      <c r="N81" s="128" t="str">
        <f>IF(A81="","",COUNTIFS(po_sup,A81,po_status,"En retard"))</f>
        <v/>
      </c>
      <c r="O81" s="72" t="str">
        <f>IF(A81="","",IF(COUNTIFS(po_sup,A81,po_ontime,"&gt;=0")=0,"",COUNTIFS(po_sup,A81,po_ontime,1)/COUNTIFS(po_sup,A81,po_ontime,"&gt;=0")))</f>
        <v/>
      </c>
      <c r="P81" s="67" t="str">
        <f>IF(A81="","",IF(COUNTIF(sup_code,A81)&gt;1,"Code en double",IF(B81="","Raison sociale manquante",IF(AND(K81&lt;&gt;"",OR(NOT(ISNUMBER(K81)),N(K81)&lt;0)),"Délai invalide","OK"))))</f>
        <v/>
      </c>
      <c r="Q81" s="70" t="str">
        <f>IF(A81="","",SUMIFS(po_ht,po_sup,A81,po_status,"&lt;&gt;Annulé",po_date,"&gt;="&amp;p_y0,po_date,"&lt;"&amp;p_y1))</f>
        <v/>
      </c>
      <c r="R81" s="66" t="str">
        <f>IF(N(Q81)&gt;0,Q81-ROW()/10000000,"")</f>
        <v/>
      </c>
    </row>
    <row r="82">
      <c r="A82" s="65" t="n"/>
      <c r="B82" s="63" t="n"/>
      <c r="C82" s="63" t="n"/>
      <c r="D82" s="63" t="n"/>
      <c r="E82" s="65" t="n"/>
      <c r="F82" s="63" t="n"/>
      <c r="G82" s="63" t="n"/>
      <c r="H82" s="63" t="n"/>
      <c r="I82" s="63" t="n"/>
      <c r="J82" s="63" t="n"/>
      <c r="K82" s="127" t="n"/>
      <c r="L82" s="128" t="str">
        <f>IF(A82="","",COUNTIFS(po_sup,A82,po_first,1))</f>
        <v/>
      </c>
      <c r="M82" s="70" t="str">
        <f>IF(A82="","",SUMIFS(po_ht,po_sup,A82,po_status,"&lt;&gt;Annulé"))</f>
        <v/>
      </c>
      <c r="N82" s="128" t="str">
        <f>IF(A82="","",COUNTIFS(po_sup,A82,po_status,"En retard"))</f>
        <v/>
      </c>
      <c r="O82" s="72" t="str">
        <f>IF(A82="","",IF(COUNTIFS(po_sup,A82,po_ontime,"&gt;=0")=0,"",COUNTIFS(po_sup,A82,po_ontime,1)/COUNTIFS(po_sup,A82,po_ontime,"&gt;=0")))</f>
        <v/>
      </c>
      <c r="P82" s="67" t="str">
        <f>IF(A82="","",IF(COUNTIF(sup_code,A82)&gt;1,"Code en double",IF(B82="","Raison sociale manquante",IF(AND(K82&lt;&gt;"",OR(NOT(ISNUMBER(K82)),N(K82)&lt;0)),"Délai invalide","OK"))))</f>
        <v/>
      </c>
      <c r="Q82" s="70" t="str">
        <f>IF(A82="","",SUMIFS(po_ht,po_sup,A82,po_status,"&lt;&gt;Annulé",po_date,"&gt;="&amp;p_y0,po_date,"&lt;"&amp;p_y1))</f>
        <v/>
      </c>
      <c r="R82" s="66" t="str">
        <f>IF(N(Q82)&gt;0,Q82-ROW()/10000000,"")</f>
        <v/>
      </c>
    </row>
    <row r="83">
      <c r="A83" s="65" t="n"/>
      <c r="B83" s="63" t="n"/>
      <c r="C83" s="63" t="n"/>
      <c r="D83" s="63" t="n"/>
      <c r="E83" s="65" t="n"/>
      <c r="F83" s="63" t="n"/>
      <c r="G83" s="63" t="n"/>
      <c r="H83" s="63" t="n"/>
      <c r="I83" s="63" t="n"/>
      <c r="J83" s="63" t="n"/>
      <c r="K83" s="127" t="n"/>
      <c r="L83" s="128" t="str">
        <f>IF(A83="","",COUNTIFS(po_sup,A83,po_first,1))</f>
        <v/>
      </c>
      <c r="M83" s="70" t="str">
        <f>IF(A83="","",SUMIFS(po_ht,po_sup,A83,po_status,"&lt;&gt;Annulé"))</f>
        <v/>
      </c>
      <c r="N83" s="128" t="str">
        <f>IF(A83="","",COUNTIFS(po_sup,A83,po_status,"En retard"))</f>
        <v/>
      </c>
      <c r="O83" s="72" t="str">
        <f>IF(A83="","",IF(COUNTIFS(po_sup,A83,po_ontime,"&gt;=0")=0,"",COUNTIFS(po_sup,A83,po_ontime,1)/COUNTIFS(po_sup,A83,po_ontime,"&gt;=0")))</f>
        <v/>
      </c>
      <c r="P83" s="67" t="str">
        <f>IF(A83="","",IF(COUNTIF(sup_code,A83)&gt;1,"Code en double",IF(B83="","Raison sociale manquante",IF(AND(K83&lt;&gt;"",OR(NOT(ISNUMBER(K83)),N(K83)&lt;0)),"Délai invalide","OK"))))</f>
        <v/>
      </c>
      <c r="Q83" s="70" t="str">
        <f>IF(A83="","",SUMIFS(po_ht,po_sup,A83,po_status,"&lt;&gt;Annulé",po_date,"&gt;="&amp;p_y0,po_date,"&lt;"&amp;p_y1))</f>
        <v/>
      </c>
      <c r="R83" s="66" t="str">
        <f>IF(N(Q83)&gt;0,Q83-ROW()/10000000,"")</f>
        <v/>
      </c>
    </row>
    <row r="84">
      <c r="A84" s="65" t="n"/>
      <c r="B84" s="63" t="n"/>
      <c r="C84" s="63" t="n"/>
      <c r="D84" s="63" t="n"/>
      <c r="E84" s="65" t="n"/>
      <c r="F84" s="63" t="n"/>
      <c r="G84" s="63" t="n"/>
      <c r="H84" s="63" t="n"/>
      <c r="I84" s="63" t="n"/>
      <c r="J84" s="63" t="n"/>
      <c r="K84" s="127" t="n"/>
      <c r="L84" s="128" t="str">
        <f>IF(A84="","",COUNTIFS(po_sup,A84,po_first,1))</f>
        <v/>
      </c>
      <c r="M84" s="70" t="str">
        <f>IF(A84="","",SUMIFS(po_ht,po_sup,A84,po_status,"&lt;&gt;Annulé"))</f>
        <v/>
      </c>
      <c r="N84" s="128" t="str">
        <f>IF(A84="","",COUNTIFS(po_sup,A84,po_status,"En retard"))</f>
        <v/>
      </c>
      <c r="O84" s="72" t="str">
        <f>IF(A84="","",IF(COUNTIFS(po_sup,A84,po_ontime,"&gt;=0")=0,"",COUNTIFS(po_sup,A84,po_ontime,1)/COUNTIFS(po_sup,A84,po_ontime,"&gt;=0")))</f>
        <v/>
      </c>
      <c r="P84" s="67" t="str">
        <f>IF(A84="","",IF(COUNTIF(sup_code,A84)&gt;1,"Code en double",IF(B84="","Raison sociale manquante",IF(AND(K84&lt;&gt;"",OR(NOT(ISNUMBER(K84)),N(K84)&lt;0)),"Délai invalide","OK"))))</f>
        <v/>
      </c>
      <c r="Q84" s="70" t="str">
        <f>IF(A84="","",SUMIFS(po_ht,po_sup,A84,po_status,"&lt;&gt;Annulé",po_date,"&gt;="&amp;p_y0,po_date,"&lt;"&amp;p_y1))</f>
        <v/>
      </c>
      <c r="R84" s="66" t="str">
        <f>IF(N(Q84)&gt;0,Q84-ROW()/10000000,"")</f>
        <v/>
      </c>
    </row>
    <row r="85">
      <c r="A85" s="65" t="n"/>
      <c r="B85" s="63" t="n"/>
      <c r="C85" s="63" t="n"/>
      <c r="D85" s="63" t="n"/>
      <c r="E85" s="65" t="n"/>
      <c r="F85" s="63" t="n"/>
      <c r="G85" s="63" t="n"/>
      <c r="H85" s="63" t="n"/>
      <c r="I85" s="63" t="n"/>
      <c r="J85" s="63" t="n"/>
      <c r="K85" s="127" t="n"/>
      <c r="L85" s="128" t="str">
        <f>IF(A85="","",COUNTIFS(po_sup,A85,po_first,1))</f>
        <v/>
      </c>
      <c r="M85" s="70" t="str">
        <f>IF(A85="","",SUMIFS(po_ht,po_sup,A85,po_status,"&lt;&gt;Annulé"))</f>
        <v/>
      </c>
      <c r="N85" s="128" t="str">
        <f>IF(A85="","",COUNTIFS(po_sup,A85,po_status,"En retard"))</f>
        <v/>
      </c>
      <c r="O85" s="72" t="str">
        <f>IF(A85="","",IF(COUNTIFS(po_sup,A85,po_ontime,"&gt;=0")=0,"",COUNTIFS(po_sup,A85,po_ontime,1)/COUNTIFS(po_sup,A85,po_ontime,"&gt;=0")))</f>
        <v/>
      </c>
      <c r="P85" s="67" t="str">
        <f>IF(A85="","",IF(COUNTIF(sup_code,A85)&gt;1,"Code en double",IF(B85="","Raison sociale manquante",IF(AND(K85&lt;&gt;"",OR(NOT(ISNUMBER(K85)),N(K85)&lt;0)),"Délai invalide","OK"))))</f>
        <v/>
      </c>
      <c r="Q85" s="70" t="str">
        <f>IF(A85="","",SUMIFS(po_ht,po_sup,A85,po_status,"&lt;&gt;Annulé",po_date,"&gt;="&amp;p_y0,po_date,"&lt;"&amp;p_y1))</f>
        <v/>
      </c>
      <c r="R85" s="66" t="str">
        <f>IF(N(Q85)&gt;0,Q85-ROW()/10000000,"")</f>
        <v/>
      </c>
    </row>
    <row r="86">
      <c r="A86" s="65" t="n"/>
      <c r="B86" s="63" t="n"/>
      <c r="C86" s="63" t="n"/>
      <c r="D86" s="63" t="n"/>
      <c r="E86" s="65" t="n"/>
      <c r="F86" s="63" t="n"/>
      <c r="G86" s="63" t="n"/>
      <c r="H86" s="63" t="n"/>
      <c r="I86" s="63" t="n"/>
      <c r="J86" s="63" t="n"/>
      <c r="K86" s="127" t="n"/>
      <c r="L86" s="128" t="str">
        <f>IF(A86="","",COUNTIFS(po_sup,A86,po_first,1))</f>
        <v/>
      </c>
      <c r="M86" s="70" t="str">
        <f>IF(A86="","",SUMIFS(po_ht,po_sup,A86,po_status,"&lt;&gt;Annulé"))</f>
        <v/>
      </c>
      <c r="N86" s="128" t="str">
        <f>IF(A86="","",COUNTIFS(po_sup,A86,po_status,"En retard"))</f>
        <v/>
      </c>
      <c r="O86" s="72" t="str">
        <f>IF(A86="","",IF(COUNTIFS(po_sup,A86,po_ontime,"&gt;=0")=0,"",COUNTIFS(po_sup,A86,po_ontime,1)/COUNTIFS(po_sup,A86,po_ontime,"&gt;=0")))</f>
        <v/>
      </c>
      <c r="P86" s="67" t="str">
        <f>IF(A86="","",IF(COUNTIF(sup_code,A86)&gt;1,"Code en double",IF(B86="","Raison sociale manquante",IF(AND(K86&lt;&gt;"",OR(NOT(ISNUMBER(K86)),N(K86)&lt;0)),"Délai invalide","OK"))))</f>
        <v/>
      </c>
      <c r="Q86" s="70" t="str">
        <f>IF(A86="","",SUMIFS(po_ht,po_sup,A86,po_status,"&lt;&gt;Annulé",po_date,"&gt;="&amp;p_y0,po_date,"&lt;"&amp;p_y1))</f>
        <v/>
      </c>
      <c r="R86" s="66" t="str">
        <f>IF(N(Q86)&gt;0,Q86-ROW()/10000000,"")</f>
        <v/>
      </c>
    </row>
    <row r="87">
      <c r="A87" s="65" t="n"/>
      <c r="B87" s="63" t="n"/>
      <c r="C87" s="63" t="n"/>
      <c r="D87" s="63" t="n"/>
      <c r="E87" s="65" t="n"/>
      <c r="F87" s="63" t="n"/>
      <c r="G87" s="63" t="n"/>
      <c r="H87" s="63" t="n"/>
      <c r="I87" s="63" t="n"/>
      <c r="J87" s="63" t="n"/>
      <c r="K87" s="127" t="n"/>
      <c r="L87" s="128" t="str">
        <f>IF(A87="","",COUNTIFS(po_sup,A87,po_first,1))</f>
        <v/>
      </c>
      <c r="M87" s="70" t="str">
        <f>IF(A87="","",SUMIFS(po_ht,po_sup,A87,po_status,"&lt;&gt;Annulé"))</f>
        <v/>
      </c>
      <c r="N87" s="128" t="str">
        <f>IF(A87="","",COUNTIFS(po_sup,A87,po_status,"En retard"))</f>
        <v/>
      </c>
      <c r="O87" s="72" t="str">
        <f>IF(A87="","",IF(COUNTIFS(po_sup,A87,po_ontime,"&gt;=0")=0,"",COUNTIFS(po_sup,A87,po_ontime,1)/COUNTIFS(po_sup,A87,po_ontime,"&gt;=0")))</f>
        <v/>
      </c>
      <c r="P87" s="67" t="str">
        <f>IF(A87="","",IF(COUNTIF(sup_code,A87)&gt;1,"Code en double",IF(B87="","Raison sociale manquante",IF(AND(K87&lt;&gt;"",OR(NOT(ISNUMBER(K87)),N(K87)&lt;0)),"Délai invalide","OK"))))</f>
        <v/>
      </c>
      <c r="Q87" s="70" t="str">
        <f>IF(A87="","",SUMIFS(po_ht,po_sup,A87,po_status,"&lt;&gt;Annulé",po_date,"&gt;="&amp;p_y0,po_date,"&lt;"&amp;p_y1))</f>
        <v/>
      </c>
      <c r="R87" s="66" t="str">
        <f>IF(N(Q87)&gt;0,Q87-ROW()/10000000,"")</f>
        <v/>
      </c>
    </row>
    <row r="88">
      <c r="A88" s="65" t="n"/>
      <c r="B88" s="63" t="n"/>
      <c r="C88" s="63" t="n"/>
      <c r="D88" s="63" t="n"/>
      <c r="E88" s="65" t="n"/>
      <c r="F88" s="63" t="n"/>
      <c r="G88" s="63" t="n"/>
      <c r="H88" s="63" t="n"/>
      <c r="I88" s="63" t="n"/>
      <c r="J88" s="63" t="n"/>
      <c r="K88" s="127" t="n"/>
      <c r="L88" s="128" t="str">
        <f>IF(A88="","",COUNTIFS(po_sup,A88,po_first,1))</f>
        <v/>
      </c>
      <c r="M88" s="70" t="str">
        <f>IF(A88="","",SUMIFS(po_ht,po_sup,A88,po_status,"&lt;&gt;Annulé"))</f>
        <v/>
      </c>
      <c r="N88" s="128" t="str">
        <f>IF(A88="","",COUNTIFS(po_sup,A88,po_status,"En retard"))</f>
        <v/>
      </c>
      <c r="O88" s="72" t="str">
        <f>IF(A88="","",IF(COUNTIFS(po_sup,A88,po_ontime,"&gt;=0")=0,"",COUNTIFS(po_sup,A88,po_ontime,1)/COUNTIFS(po_sup,A88,po_ontime,"&gt;=0")))</f>
        <v/>
      </c>
      <c r="P88" s="67" t="str">
        <f>IF(A88="","",IF(COUNTIF(sup_code,A88)&gt;1,"Code en double",IF(B88="","Raison sociale manquante",IF(AND(K88&lt;&gt;"",OR(NOT(ISNUMBER(K88)),N(K88)&lt;0)),"Délai invalide","OK"))))</f>
        <v/>
      </c>
      <c r="Q88" s="70" t="str">
        <f>IF(A88="","",SUMIFS(po_ht,po_sup,A88,po_status,"&lt;&gt;Annulé",po_date,"&gt;="&amp;p_y0,po_date,"&lt;"&amp;p_y1))</f>
        <v/>
      </c>
      <c r="R88" s="66" t="str">
        <f>IF(N(Q88)&gt;0,Q88-ROW()/10000000,"")</f>
        <v/>
      </c>
    </row>
    <row r="89">
      <c r="A89" s="65" t="n"/>
      <c r="B89" s="63" t="n"/>
      <c r="C89" s="63" t="n"/>
      <c r="D89" s="63" t="n"/>
      <c r="E89" s="65" t="n"/>
      <c r="F89" s="63" t="n"/>
      <c r="G89" s="63" t="n"/>
      <c r="H89" s="63" t="n"/>
      <c r="I89" s="63" t="n"/>
      <c r="J89" s="63" t="n"/>
      <c r="K89" s="127" t="n"/>
      <c r="L89" s="128" t="str">
        <f>IF(A89="","",COUNTIFS(po_sup,A89,po_first,1))</f>
        <v/>
      </c>
      <c r="M89" s="70" t="str">
        <f>IF(A89="","",SUMIFS(po_ht,po_sup,A89,po_status,"&lt;&gt;Annulé"))</f>
        <v/>
      </c>
      <c r="N89" s="128" t="str">
        <f>IF(A89="","",COUNTIFS(po_sup,A89,po_status,"En retard"))</f>
        <v/>
      </c>
      <c r="O89" s="72" t="str">
        <f>IF(A89="","",IF(COUNTIFS(po_sup,A89,po_ontime,"&gt;=0")=0,"",COUNTIFS(po_sup,A89,po_ontime,1)/COUNTIFS(po_sup,A89,po_ontime,"&gt;=0")))</f>
        <v/>
      </c>
      <c r="P89" s="67" t="str">
        <f>IF(A89="","",IF(COUNTIF(sup_code,A89)&gt;1,"Code en double",IF(B89="","Raison sociale manquante",IF(AND(K89&lt;&gt;"",OR(NOT(ISNUMBER(K89)),N(K89)&lt;0)),"Délai invalide","OK"))))</f>
        <v/>
      </c>
      <c r="Q89" s="70" t="str">
        <f>IF(A89="","",SUMIFS(po_ht,po_sup,A89,po_status,"&lt;&gt;Annulé",po_date,"&gt;="&amp;p_y0,po_date,"&lt;"&amp;p_y1))</f>
        <v/>
      </c>
      <c r="R89" s="66" t="str">
        <f>IF(N(Q89)&gt;0,Q89-ROW()/10000000,"")</f>
        <v/>
      </c>
    </row>
    <row r="90">
      <c r="A90" s="65" t="n"/>
      <c r="B90" s="63" t="n"/>
      <c r="C90" s="63" t="n"/>
      <c r="D90" s="63" t="n"/>
      <c r="E90" s="65" t="n"/>
      <c r="F90" s="63" t="n"/>
      <c r="G90" s="63" t="n"/>
      <c r="H90" s="63" t="n"/>
      <c r="I90" s="63" t="n"/>
      <c r="J90" s="63" t="n"/>
      <c r="K90" s="127" t="n"/>
      <c r="L90" s="128" t="str">
        <f>IF(A90="","",COUNTIFS(po_sup,A90,po_first,1))</f>
        <v/>
      </c>
      <c r="M90" s="70" t="str">
        <f>IF(A90="","",SUMIFS(po_ht,po_sup,A90,po_status,"&lt;&gt;Annulé"))</f>
        <v/>
      </c>
      <c r="N90" s="128" t="str">
        <f>IF(A90="","",COUNTIFS(po_sup,A90,po_status,"En retard"))</f>
        <v/>
      </c>
      <c r="O90" s="72" t="str">
        <f>IF(A90="","",IF(COUNTIFS(po_sup,A90,po_ontime,"&gt;=0")=0,"",COUNTIFS(po_sup,A90,po_ontime,1)/COUNTIFS(po_sup,A90,po_ontime,"&gt;=0")))</f>
        <v/>
      </c>
      <c r="P90" s="67" t="str">
        <f>IF(A90="","",IF(COUNTIF(sup_code,A90)&gt;1,"Code en double",IF(B90="","Raison sociale manquante",IF(AND(K90&lt;&gt;"",OR(NOT(ISNUMBER(K90)),N(K90)&lt;0)),"Délai invalide","OK"))))</f>
        <v/>
      </c>
      <c r="Q90" s="70" t="str">
        <f>IF(A90="","",SUMIFS(po_ht,po_sup,A90,po_status,"&lt;&gt;Annulé",po_date,"&gt;="&amp;p_y0,po_date,"&lt;"&amp;p_y1))</f>
        <v/>
      </c>
      <c r="R90" s="66" t="str">
        <f>IF(N(Q90)&gt;0,Q90-ROW()/10000000,"")</f>
        <v/>
      </c>
    </row>
    <row r="91">
      <c r="A91" s="65" t="n"/>
      <c r="B91" s="63" t="n"/>
      <c r="C91" s="63" t="n"/>
      <c r="D91" s="63" t="n"/>
      <c r="E91" s="65" t="n"/>
      <c r="F91" s="63" t="n"/>
      <c r="G91" s="63" t="n"/>
      <c r="H91" s="63" t="n"/>
      <c r="I91" s="63" t="n"/>
      <c r="J91" s="63" t="n"/>
      <c r="K91" s="127" t="n"/>
      <c r="L91" s="128" t="str">
        <f>IF(A91="","",COUNTIFS(po_sup,A91,po_first,1))</f>
        <v/>
      </c>
      <c r="M91" s="70" t="str">
        <f>IF(A91="","",SUMIFS(po_ht,po_sup,A91,po_status,"&lt;&gt;Annulé"))</f>
        <v/>
      </c>
      <c r="N91" s="128" t="str">
        <f>IF(A91="","",COUNTIFS(po_sup,A91,po_status,"En retard"))</f>
        <v/>
      </c>
      <c r="O91" s="72" t="str">
        <f>IF(A91="","",IF(COUNTIFS(po_sup,A91,po_ontime,"&gt;=0")=0,"",COUNTIFS(po_sup,A91,po_ontime,1)/COUNTIFS(po_sup,A91,po_ontime,"&gt;=0")))</f>
        <v/>
      </c>
      <c r="P91" s="67" t="str">
        <f>IF(A91="","",IF(COUNTIF(sup_code,A91)&gt;1,"Code en double",IF(B91="","Raison sociale manquante",IF(AND(K91&lt;&gt;"",OR(NOT(ISNUMBER(K91)),N(K91)&lt;0)),"Délai invalide","OK"))))</f>
        <v/>
      </c>
      <c r="Q91" s="70" t="str">
        <f>IF(A91="","",SUMIFS(po_ht,po_sup,A91,po_status,"&lt;&gt;Annulé",po_date,"&gt;="&amp;p_y0,po_date,"&lt;"&amp;p_y1))</f>
        <v/>
      </c>
      <c r="R91" s="66" t="str">
        <f>IF(N(Q91)&gt;0,Q91-ROW()/10000000,"")</f>
        <v/>
      </c>
    </row>
    <row r="92">
      <c r="A92" s="65" t="n"/>
      <c r="B92" s="63" t="n"/>
      <c r="C92" s="63" t="n"/>
      <c r="D92" s="63" t="n"/>
      <c r="E92" s="65" t="n"/>
      <c r="F92" s="63" t="n"/>
      <c r="G92" s="63" t="n"/>
      <c r="H92" s="63" t="n"/>
      <c r="I92" s="63" t="n"/>
      <c r="J92" s="63" t="n"/>
      <c r="K92" s="127" t="n"/>
      <c r="L92" s="128" t="str">
        <f>IF(A92="","",COUNTIFS(po_sup,A92,po_first,1))</f>
        <v/>
      </c>
      <c r="M92" s="70" t="str">
        <f>IF(A92="","",SUMIFS(po_ht,po_sup,A92,po_status,"&lt;&gt;Annulé"))</f>
        <v/>
      </c>
      <c r="N92" s="128" t="str">
        <f>IF(A92="","",COUNTIFS(po_sup,A92,po_status,"En retard"))</f>
        <v/>
      </c>
      <c r="O92" s="72" t="str">
        <f>IF(A92="","",IF(COUNTIFS(po_sup,A92,po_ontime,"&gt;=0")=0,"",COUNTIFS(po_sup,A92,po_ontime,1)/COUNTIFS(po_sup,A92,po_ontime,"&gt;=0")))</f>
        <v/>
      </c>
      <c r="P92" s="67" t="str">
        <f>IF(A92="","",IF(COUNTIF(sup_code,A92)&gt;1,"Code en double",IF(B92="","Raison sociale manquante",IF(AND(K92&lt;&gt;"",OR(NOT(ISNUMBER(K92)),N(K92)&lt;0)),"Délai invalide","OK"))))</f>
        <v/>
      </c>
      <c r="Q92" s="70" t="str">
        <f>IF(A92="","",SUMIFS(po_ht,po_sup,A92,po_status,"&lt;&gt;Annulé",po_date,"&gt;="&amp;p_y0,po_date,"&lt;"&amp;p_y1))</f>
        <v/>
      </c>
      <c r="R92" s="66" t="str">
        <f>IF(N(Q92)&gt;0,Q92-ROW()/10000000,"")</f>
        <v/>
      </c>
    </row>
    <row r="93">
      <c r="A93" s="65" t="n"/>
      <c r="B93" s="63" t="n"/>
      <c r="C93" s="63" t="n"/>
      <c r="D93" s="63" t="n"/>
      <c r="E93" s="65" t="n"/>
      <c r="F93" s="63" t="n"/>
      <c r="G93" s="63" t="n"/>
      <c r="H93" s="63" t="n"/>
      <c r="I93" s="63" t="n"/>
      <c r="J93" s="63" t="n"/>
      <c r="K93" s="127" t="n"/>
      <c r="L93" s="128" t="str">
        <f>IF(A93="","",COUNTIFS(po_sup,A93,po_first,1))</f>
        <v/>
      </c>
      <c r="M93" s="70" t="str">
        <f>IF(A93="","",SUMIFS(po_ht,po_sup,A93,po_status,"&lt;&gt;Annulé"))</f>
        <v/>
      </c>
      <c r="N93" s="128" t="str">
        <f>IF(A93="","",COUNTIFS(po_sup,A93,po_status,"En retard"))</f>
        <v/>
      </c>
      <c r="O93" s="72" t="str">
        <f>IF(A93="","",IF(COUNTIFS(po_sup,A93,po_ontime,"&gt;=0")=0,"",COUNTIFS(po_sup,A93,po_ontime,1)/COUNTIFS(po_sup,A93,po_ontime,"&gt;=0")))</f>
        <v/>
      </c>
      <c r="P93" s="67" t="str">
        <f>IF(A93="","",IF(COUNTIF(sup_code,A93)&gt;1,"Code en double",IF(B93="","Raison sociale manquante",IF(AND(K93&lt;&gt;"",OR(NOT(ISNUMBER(K93)),N(K93)&lt;0)),"Délai invalide","OK"))))</f>
        <v/>
      </c>
      <c r="Q93" s="70" t="str">
        <f>IF(A93="","",SUMIFS(po_ht,po_sup,A93,po_status,"&lt;&gt;Annulé",po_date,"&gt;="&amp;p_y0,po_date,"&lt;"&amp;p_y1))</f>
        <v/>
      </c>
      <c r="R93" s="66" t="str">
        <f>IF(N(Q93)&gt;0,Q93-ROW()/10000000,"")</f>
        <v/>
      </c>
    </row>
    <row r="94">
      <c r="A94" s="65" t="n"/>
      <c r="B94" s="63" t="n"/>
      <c r="C94" s="63" t="n"/>
      <c r="D94" s="63" t="n"/>
      <c r="E94" s="65" t="n"/>
      <c r="F94" s="63" t="n"/>
      <c r="G94" s="63" t="n"/>
      <c r="H94" s="63" t="n"/>
      <c r="I94" s="63" t="n"/>
      <c r="J94" s="63" t="n"/>
      <c r="K94" s="127" t="n"/>
      <c r="L94" s="128" t="str">
        <f>IF(A94="","",COUNTIFS(po_sup,A94,po_first,1))</f>
        <v/>
      </c>
      <c r="M94" s="70" t="str">
        <f>IF(A94="","",SUMIFS(po_ht,po_sup,A94,po_status,"&lt;&gt;Annulé"))</f>
        <v/>
      </c>
      <c r="N94" s="128" t="str">
        <f>IF(A94="","",COUNTIFS(po_sup,A94,po_status,"En retard"))</f>
        <v/>
      </c>
      <c r="O94" s="72" t="str">
        <f>IF(A94="","",IF(COUNTIFS(po_sup,A94,po_ontime,"&gt;=0")=0,"",COUNTIFS(po_sup,A94,po_ontime,1)/COUNTIFS(po_sup,A94,po_ontime,"&gt;=0")))</f>
        <v/>
      </c>
      <c r="P94" s="67" t="str">
        <f>IF(A94="","",IF(COUNTIF(sup_code,A94)&gt;1,"Code en double",IF(B94="","Raison sociale manquante",IF(AND(K94&lt;&gt;"",OR(NOT(ISNUMBER(K94)),N(K94)&lt;0)),"Délai invalide","OK"))))</f>
        <v/>
      </c>
      <c r="Q94" s="70" t="str">
        <f>IF(A94="","",SUMIFS(po_ht,po_sup,A94,po_status,"&lt;&gt;Annulé",po_date,"&gt;="&amp;p_y0,po_date,"&lt;"&amp;p_y1))</f>
        <v/>
      </c>
      <c r="R94" s="66" t="str">
        <f>IF(N(Q94)&gt;0,Q94-ROW()/10000000,"")</f>
        <v/>
      </c>
    </row>
    <row r="95">
      <c r="A95" s="65" t="n"/>
      <c r="B95" s="63" t="n"/>
      <c r="C95" s="63" t="n"/>
      <c r="D95" s="63" t="n"/>
      <c r="E95" s="65" t="n"/>
      <c r="F95" s="63" t="n"/>
      <c r="G95" s="63" t="n"/>
      <c r="H95" s="63" t="n"/>
      <c r="I95" s="63" t="n"/>
      <c r="J95" s="63" t="n"/>
      <c r="K95" s="127" t="n"/>
      <c r="L95" s="128" t="str">
        <f>IF(A95="","",COUNTIFS(po_sup,A95,po_first,1))</f>
        <v/>
      </c>
      <c r="M95" s="70" t="str">
        <f>IF(A95="","",SUMIFS(po_ht,po_sup,A95,po_status,"&lt;&gt;Annulé"))</f>
        <v/>
      </c>
      <c r="N95" s="128" t="str">
        <f>IF(A95="","",COUNTIFS(po_sup,A95,po_status,"En retard"))</f>
        <v/>
      </c>
      <c r="O95" s="72" t="str">
        <f>IF(A95="","",IF(COUNTIFS(po_sup,A95,po_ontime,"&gt;=0")=0,"",COUNTIFS(po_sup,A95,po_ontime,1)/COUNTIFS(po_sup,A95,po_ontime,"&gt;=0")))</f>
        <v/>
      </c>
      <c r="P95" s="67" t="str">
        <f>IF(A95="","",IF(COUNTIF(sup_code,A95)&gt;1,"Code en double",IF(B95="","Raison sociale manquante",IF(AND(K95&lt;&gt;"",OR(NOT(ISNUMBER(K95)),N(K95)&lt;0)),"Délai invalide","OK"))))</f>
        <v/>
      </c>
      <c r="Q95" s="70" t="str">
        <f>IF(A95="","",SUMIFS(po_ht,po_sup,A95,po_status,"&lt;&gt;Annulé",po_date,"&gt;="&amp;p_y0,po_date,"&lt;"&amp;p_y1))</f>
        <v/>
      </c>
      <c r="R95" s="66" t="str">
        <f>IF(N(Q95)&gt;0,Q95-ROW()/10000000,"")</f>
        <v/>
      </c>
    </row>
    <row r="96">
      <c r="A96" s="65" t="n"/>
      <c r="B96" s="63" t="n"/>
      <c r="C96" s="63" t="n"/>
      <c r="D96" s="63" t="n"/>
      <c r="E96" s="65" t="n"/>
      <c r="F96" s="63" t="n"/>
      <c r="G96" s="63" t="n"/>
      <c r="H96" s="63" t="n"/>
      <c r="I96" s="63" t="n"/>
      <c r="J96" s="63" t="n"/>
      <c r="K96" s="127" t="n"/>
      <c r="L96" s="128" t="str">
        <f>IF(A96="","",COUNTIFS(po_sup,A96,po_first,1))</f>
        <v/>
      </c>
      <c r="M96" s="70" t="str">
        <f>IF(A96="","",SUMIFS(po_ht,po_sup,A96,po_status,"&lt;&gt;Annulé"))</f>
        <v/>
      </c>
      <c r="N96" s="128" t="str">
        <f>IF(A96="","",COUNTIFS(po_sup,A96,po_status,"En retard"))</f>
        <v/>
      </c>
      <c r="O96" s="72" t="str">
        <f>IF(A96="","",IF(COUNTIFS(po_sup,A96,po_ontime,"&gt;=0")=0,"",COUNTIFS(po_sup,A96,po_ontime,1)/COUNTIFS(po_sup,A96,po_ontime,"&gt;=0")))</f>
        <v/>
      </c>
      <c r="P96" s="67" t="str">
        <f>IF(A96="","",IF(COUNTIF(sup_code,A96)&gt;1,"Code en double",IF(B96="","Raison sociale manquante",IF(AND(K96&lt;&gt;"",OR(NOT(ISNUMBER(K96)),N(K96)&lt;0)),"Délai invalide","OK"))))</f>
        <v/>
      </c>
      <c r="Q96" s="70" t="str">
        <f>IF(A96="","",SUMIFS(po_ht,po_sup,A96,po_status,"&lt;&gt;Annulé",po_date,"&gt;="&amp;p_y0,po_date,"&lt;"&amp;p_y1))</f>
        <v/>
      </c>
      <c r="R96" s="66" t="str">
        <f>IF(N(Q96)&gt;0,Q96-ROW()/10000000,"")</f>
        <v/>
      </c>
    </row>
    <row r="97">
      <c r="A97" s="65" t="n"/>
      <c r="B97" s="63" t="n"/>
      <c r="C97" s="63" t="n"/>
      <c r="D97" s="63" t="n"/>
      <c r="E97" s="65" t="n"/>
      <c r="F97" s="63" t="n"/>
      <c r="G97" s="63" t="n"/>
      <c r="H97" s="63" t="n"/>
      <c r="I97" s="63" t="n"/>
      <c r="J97" s="63" t="n"/>
      <c r="K97" s="127" t="n"/>
      <c r="L97" s="128" t="str">
        <f>IF(A97="","",COUNTIFS(po_sup,A97,po_first,1))</f>
        <v/>
      </c>
      <c r="M97" s="70" t="str">
        <f>IF(A97="","",SUMIFS(po_ht,po_sup,A97,po_status,"&lt;&gt;Annulé"))</f>
        <v/>
      </c>
      <c r="N97" s="128" t="str">
        <f>IF(A97="","",COUNTIFS(po_sup,A97,po_status,"En retard"))</f>
        <v/>
      </c>
      <c r="O97" s="72" t="str">
        <f>IF(A97="","",IF(COUNTIFS(po_sup,A97,po_ontime,"&gt;=0")=0,"",COUNTIFS(po_sup,A97,po_ontime,1)/COUNTIFS(po_sup,A97,po_ontime,"&gt;=0")))</f>
        <v/>
      </c>
      <c r="P97" s="67" t="str">
        <f>IF(A97="","",IF(COUNTIF(sup_code,A97)&gt;1,"Code en double",IF(B97="","Raison sociale manquante",IF(AND(K97&lt;&gt;"",OR(NOT(ISNUMBER(K97)),N(K97)&lt;0)),"Délai invalide","OK"))))</f>
        <v/>
      </c>
      <c r="Q97" s="70" t="str">
        <f>IF(A97="","",SUMIFS(po_ht,po_sup,A97,po_status,"&lt;&gt;Annulé",po_date,"&gt;="&amp;p_y0,po_date,"&lt;"&amp;p_y1))</f>
        <v/>
      </c>
      <c r="R97" s="66" t="str">
        <f>IF(N(Q97)&gt;0,Q97-ROW()/10000000,"")</f>
        <v/>
      </c>
    </row>
    <row r="98">
      <c r="A98" s="65" t="n"/>
      <c r="B98" s="63" t="n"/>
      <c r="C98" s="63" t="n"/>
      <c r="D98" s="63" t="n"/>
      <c r="E98" s="65" t="n"/>
      <c r="F98" s="63" t="n"/>
      <c r="G98" s="63" t="n"/>
      <c r="H98" s="63" t="n"/>
      <c r="I98" s="63" t="n"/>
      <c r="J98" s="63" t="n"/>
      <c r="K98" s="127" t="n"/>
      <c r="L98" s="128" t="str">
        <f>IF(A98="","",COUNTIFS(po_sup,A98,po_first,1))</f>
        <v/>
      </c>
      <c r="M98" s="70" t="str">
        <f>IF(A98="","",SUMIFS(po_ht,po_sup,A98,po_status,"&lt;&gt;Annulé"))</f>
        <v/>
      </c>
      <c r="N98" s="128" t="str">
        <f>IF(A98="","",COUNTIFS(po_sup,A98,po_status,"En retard"))</f>
        <v/>
      </c>
      <c r="O98" s="72" t="str">
        <f>IF(A98="","",IF(COUNTIFS(po_sup,A98,po_ontime,"&gt;=0")=0,"",COUNTIFS(po_sup,A98,po_ontime,1)/COUNTIFS(po_sup,A98,po_ontime,"&gt;=0")))</f>
        <v/>
      </c>
      <c r="P98" s="67" t="str">
        <f>IF(A98="","",IF(COUNTIF(sup_code,A98)&gt;1,"Code en double",IF(B98="","Raison sociale manquante",IF(AND(K98&lt;&gt;"",OR(NOT(ISNUMBER(K98)),N(K98)&lt;0)),"Délai invalide","OK"))))</f>
        <v/>
      </c>
      <c r="Q98" s="70" t="str">
        <f>IF(A98="","",SUMIFS(po_ht,po_sup,A98,po_status,"&lt;&gt;Annulé",po_date,"&gt;="&amp;p_y0,po_date,"&lt;"&amp;p_y1))</f>
        <v/>
      </c>
      <c r="R98" s="66" t="str">
        <f>IF(N(Q98)&gt;0,Q98-ROW()/10000000,"")</f>
        <v/>
      </c>
    </row>
    <row r="99">
      <c r="A99" s="65" t="n"/>
      <c r="B99" s="63" t="n"/>
      <c r="C99" s="63" t="n"/>
      <c r="D99" s="63" t="n"/>
      <c r="E99" s="65" t="n"/>
      <c r="F99" s="63" t="n"/>
      <c r="G99" s="63" t="n"/>
      <c r="H99" s="63" t="n"/>
      <c r="I99" s="63" t="n"/>
      <c r="J99" s="63" t="n"/>
      <c r="K99" s="127" t="n"/>
      <c r="L99" s="128" t="str">
        <f>IF(A99="","",COUNTIFS(po_sup,A99,po_first,1))</f>
        <v/>
      </c>
      <c r="M99" s="70" t="str">
        <f>IF(A99="","",SUMIFS(po_ht,po_sup,A99,po_status,"&lt;&gt;Annulé"))</f>
        <v/>
      </c>
      <c r="N99" s="128" t="str">
        <f>IF(A99="","",COUNTIFS(po_sup,A99,po_status,"En retard"))</f>
        <v/>
      </c>
      <c r="O99" s="72" t="str">
        <f>IF(A99="","",IF(COUNTIFS(po_sup,A99,po_ontime,"&gt;=0")=0,"",COUNTIFS(po_sup,A99,po_ontime,1)/COUNTIFS(po_sup,A99,po_ontime,"&gt;=0")))</f>
        <v/>
      </c>
      <c r="P99" s="67" t="str">
        <f>IF(A99="","",IF(COUNTIF(sup_code,A99)&gt;1,"Code en double",IF(B99="","Raison sociale manquante",IF(AND(K99&lt;&gt;"",OR(NOT(ISNUMBER(K99)),N(K99)&lt;0)),"Délai invalide","OK"))))</f>
        <v/>
      </c>
      <c r="Q99" s="70" t="str">
        <f>IF(A99="","",SUMIFS(po_ht,po_sup,A99,po_status,"&lt;&gt;Annulé",po_date,"&gt;="&amp;p_y0,po_date,"&lt;"&amp;p_y1))</f>
        <v/>
      </c>
      <c r="R99" s="66" t="str">
        <f>IF(N(Q99)&gt;0,Q99-ROW()/10000000,"")</f>
        <v/>
      </c>
    </row>
    <row r="100">
      <c r="A100" s="65" t="n"/>
      <c r="B100" s="63" t="n"/>
      <c r="C100" s="63" t="n"/>
      <c r="D100" s="63" t="n"/>
      <c r="E100" s="65" t="n"/>
      <c r="F100" s="63" t="n"/>
      <c r="G100" s="63" t="n"/>
      <c r="H100" s="63" t="n"/>
      <c r="I100" s="63" t="n"/>
      <c r="J100" s="63" t="n"/>
      <c r="K100" s="127" t="n"/>
      <c r="L100" s="128" t="str">
        <f>IF(A100="","",COUNTIFS(po_sup,A100,po_first,1))</f>
        <v/>
      </c>
      <c r="M100" s="70" t="str">
        <f>IF(A100="","",SUMIFS(po_ht,po_sup,A100,po_status,"&lt;&gt;Annulé"))</f>
        <v/>
      </c>
      <c r="N100" s="128" t="str">
        <f>IF(A100="","",COUNTIFS(po_sup,A100,po_status,"En retard"))</f>
        <v/>
      </c>
      <c r="O100" s="72" t="str">
        <f>IF(A100="","",IF(COUNTIFS(po_sup,A100,po_ontime,"&gt;=0")=0,"",COUNTIFS(po_sup,A100,po_ontime,1)/COUNTIFS(po_sup,A100,po_ontime,"&gt;=0")))</f>
        <v/>
      </c>
      <c r="P100" s="67" t="str">
        <f>IF(A100="","",IF(COUNTIF(sup_code,A100)&gt;1,"Code en double",IF(B100="","Raison sociale manquante",IF(AND(K100&lt;&gt;"",OR(NOT(ISNUMBER(K100)),N(K100)&lt;0)),"Délai invalide","OK"))))</f>
        <v/>
      </c>
      <c r="Q100" s="70" t="str">
        <f>IF(A100="","",SUMIFS(po_ht,po_sup,A100,po_status,"&lt;&gt;Annulé",po_date,"&gt;="&amp;p_y0,po_date,"&lt;"&amp;p_y1))</f>
        <v/>
      </c>
      <c r="R100" s="66" t="str">
        <f>IF(N(Q100)&gt;0,Q100-ROW()/10000000,"")</f>
        <v/>
      </c>
    </row>
    <row r="101">
      <c r="A101" s="65" t="n"/>
      <c r="B101" s="63" t="n"/>
      <c r="C101" s="63" t="n"/>
      <c r="D101" s="63" t="n"/>
      <c r="E101" s="65" t="n"/>
      <c r="F101" s="63" t="n"/>
      <c r="G101" s="63" t="n"/>
      <c r="H101" s="63" t="n"/>
      <c r="I101" s="63" t="n"/>
      <c r="J101" s="63" t="n"/>
      <c r="K101" s="127" t="n"/>
      <c r="L101" s="128" t="str">
        <f>IF(A101="","",COUNTIFS(po_sup,A101,po_first,1))</f>
        <v/>
      </c>
      <c r="M101" s="70" t="str">
        <f>IF(A101="","",SUMIFS(po_ht,po_sup,A101,po_status,"&lt;&gt;Annulé"))</f>
        <v/>
      </c>
      <c r="N101" s="128" t="str">
        <f>IF(A101="","",COUNTIFS(po_sup,A101,po_status,"En retard"))</f>
        <v/>
      </c>
      <c r="O101" s="72" t="str">
        <f>IF(A101="","",IF(COUNTIFS(po_sup,A101,po_ontime,"&gt;=0")=0,"",COUNTIFS(po_sup,A101,po_ontime,1)/COUNTIFS(po_sup,A101,po_ontime,"&gt;=0")))</f>
        <v/>
      </c>
      <c r="P101" s="67" t="str">
        <f>IF(A101="","",IF(COUNTIF(sup_code,A101)&gt;1,"Code en double",IF(B101="","Raison sociale manquante",IF(AND(K101&lt;&gt;"",OR(NOT(ISNUMBER(K101)),N(K101)&lt;0)),"Délai invalide","OK"))))</f>
        <v/>
      </c>
      <c r="Q101" s="70" t="str">
        <f>IF(A101="","",SUMIFS(po_ht,po_sup,A101,po_status,"&lt;&gt;Annulé",po_date,"&gt;="&amp;p_y0,po_date,"&lt;"&amp;p_y1))</f>
        <v/>
      </c>
      <c r="R101" s="66" t="str">
        <f>IF(N(Q101)&gt;0,Q101-ROW()/10000000,"")</f>
        <v/>
      </c>
    </row>
    <row r="102">
      <c r="A102" s="65" t="n"/>
      <c r="B102" s="63" t="n"/>
      <c r="C102" s="63" t="n"/>
      <c r="D102" s="63" t="n"/>
      <c r="E102" s="65" t="n"/>
      <c r="F102" s="63" t="n"/>
      <c r="G102" s="63" t="n"/>
      <c r="H102" s="63" t="n"/>
      <c r="I102" s="63" t="n"/>
      <c r="J102" s="63" t="n"/>
      <c r="K102" s="127" t="n"/>
      <c r="L102" s="128" t="str">
        <f>IF(A102="","",COUNTIFS(po_sup,A102,po_first,1))</f>
        <v/>
      </c>
      <c r="M102" s="70" t="str">
        <f>IF(A102="","",SUMIFS(po_ht,po_sup,A102,po_status,"&lt;&gt;Annulé"))</f>
        <v/>
      </c>
      <c r="N102" s="128" t="str">
        <f>IF(A102="","",COUNTIFS(po_sup,A102,po_status,"En retard"))</f>
        <v/>
      </c>
      <c r="O102" s="72" t="str">
        <f>IF(A102="","",IF(COUNTIFS(po_sup,A102,po_ontime,"&gt;=0")=0,"",COUNTIFS(po_sup,A102,po_ontime,1)/COUNTIFS(po_sup,A102,po_ontime,"&gt;=0")))</f>
        <v/>
      </c>
      <c r="P102" s="67" t="str">
        <f>IF(A102="","",IF(COUNTIF(sup_code,A102)&gt;1,"Code en double",IF(B102="","Raison sociale manquante",IF(AND(K102&lt;&gt;"",OR(NOT(ISNUMBER(K102)),N(K102)&lt;0)),"Délai invalide","OK"))))</f>
        <v/>
      </c>
      <c r="Q102" s="70" t="str">
        <f>IF(A102="","",SUMIFS(po_ht,po_sup,A102,po_status,"&lt;&gt;Annulé",po_date,"&gt;="&amp;p_y0,po_date,"&lt;"&amp;p_y1))</f>
        <v/>
      </c>
      <c r="R102" s="66" t="str">
        <f>IF(N(Q102)&gt;0,Q102-ROW()/10000000,"")</f>
        <v/>
      </c>
    </row>
    <row r="103">
      <c r="A103" s="65" t="n"/>
      <c r="B103" s="63" t="n"/>
      <c r="C103" s="63" t="n"/>
      <c r="D103" s="63" t="n"/>
      <c r="E103" s="65" t="n"/>
      <c r="F103" s="63" t="n"/>
      <c r="G103" s="63" t="n"/>
      <c r="H103" s="63" t="n"/>
      <c r="I103" s="63" t="n"/>
      <c r="J103" s="63" t="n"/>
      <c r="K103" s="127" t="n"/>
      <c r="L103" s="128" t="str">
        <f>IF(A103="","",COUNTIFS(po_sup,A103,po_first,1))</f>
        <v/>
      </c>
      <c r="M103" s="70" t="str">
        <f>IF(A103="","",SUMIFS(po_ht,po_sup,A103,po_status,"&lt;&gt;Annulé"))</f>
        <v/>
      </c>
      <c r="N103" s="128" t="str">
        <f>IF(A103="","",COUNTIFS(po_sup,A103,po_status,"En retard"))</f>
        <v/>
      </c>
      <c r="O103" s="72" t="str">
        <f>IF(A103="","",IF(COUNTIFS(po_sup,A103,po_ontime,"&gt;=0")=0,"",COUNTIFS(po_sup,A103,po_ontime,1)/COUNTIFS(po_sup,A103,po_ontime,"&gt;=0")))</f>
        <v/>
      </c>
      <c r="P103" s="67" t="str">
        <f>IF(A103="","",IF(COUNTIF(sup_code,A103)&gt;1,"Code en double",IF(B103="","Raison sociale manquante",IF(AND(K103&lt;&gt;"",OR(NOT(ISNUMBER(K103)),N(K103)&lt;0)),"Délai invalide","OK"))))</f>
        <v/>
      </c>
      <c r="Q103" s="70" t="str">
        <f>IF(A103="","",SUMIFS(po_ht,po_sup,A103,po_status,"&lt;&gt;Annulé",po_date,"&gt;="&amp;p_y0,po_date,"&lt;"&amp;p_y1))</f>
        <v/>
      </c>
      <c r="R103" s="66" t="str">
        <f>IF(N(Q103)&gt;0,Q103-ROW()/10000000,"")</f>
        <v/>
      </c>
    </row>
    <row r="104">
      <c r="A104" s="65" t="n"/>
      <c r="B104" s="63" t="n"/>
      <c r="C104" s="63" t="n"/>
      <c r="D104" s="63" t="n"/>
      <c r="E104" s="65" t="n"/>
      <c r="F104" s="63" t="n"/>
      <c r="G104" s="63" t="n"/>
      <c r="H104" s="63" t="n"/>
      <c r="I104" s="63" t="n"/>
      <c r="J104" s="63" t="n"/>
      <c r="K104" s="127" t="n"/>
      <c r="L104" s="128" t="str">
        <f>IF(A104="","",COUNTIFS(po_sup,A104,po_first,1))</f>
        <v/>
      </c>
      <c r="M104" s="70" t="str">
        <f>IF(A104="","",SUMIFS(po_ht,po_sup,A104,po_status,"&lt;&gt;Annulé"))</f>
        <v/>
      </c>
      <c r="N104" s="128" t="str">
        <f>IF(A104="","",COUNTIFS(po_sup,A104,po_status,"En retard"))</f>
        <v/>
      </c>
      <c r="O104" s="72" t="str">
        <f>IF(A104="","",IF(COUNTIFS(po_sup,A104,po_ontime,"&gt;=0")=0,"",COUNTIFS(po_sup,A104,po_ontime,1)/COUNTIFS(po_sup,A104,po_ontime,"&gt;=0")))</f>
        <v/>
      </c>
      <c r="P104" s="67" t="str">
        <f>IF(A104="","",IF(COUNTIF(sup_code,A104)&gt;1,"Code en double",IF(B104="","Raison sociale manquante",IF(AND(K104&lt;&gt;"",OR(NOT(ISNUMBER(K104)),N(K104)&lt;0)),"Délai invalide","OK"))))</f>
        <v/>
      </c>
      <c r="Q104" s="70" t="str">
        <f>IF(A104="","",SUMIFS(po_ht,po_sup,A104,po_status,"&lt;&gt;Annulé",po_date,"&gt;="&amp;p_y0,po_date,"&lt;"&amp;p_y1))</f>
        <v/>
      </c>
      <c r="R104" s="66" t="str">
        <f>IF(N(Q104)&gt;0,Q104-ROW()/10000000,"")</f>
        <v/>
      </c>
    </row>
    <row r="105">
      <c r="A105" s="65" t="n"/>
      <c r="B105" s="63" t="n"/>
      <c r="C105" s="63" t="n"/>
      <c r="D105" s="63" t="n"/>
      <c r="E105" s="65" t="n"/>
      <c r="F105" s="63" t="n"/>
      <c r="G105" s="63" t="n"/>
      <c r="H105" s="63" t="n"/>
      <c r="I105" s="63" t="n"/>
      <c r="J105" s="63" t="n"/>
      <c r="K105" s="127" t="n"/>
      <c r="L105" s="128" t="str">
        <f>IF(A105="","",COUNTIFS(po_sup,A105,po_first,1))</f>
        <v/>
      </c>
      <c r="M105" s="70" t="str">
        <f>IF(A105="","",SUMIFS(po_ht,po_sup,A105,po_status,"&lt;&gt;Annulé"))</f>
        <v/>
      </c>
      <c r="N105" s="128" t="str">
        <f>IF(A105="","",COUNTIFS(po_sup,A105,po_status,"En retard"))</f>
        <v/>
      </c>
      <c r="O105" s="72" t="str">
        <f>IF(A105="","",IF(COUNTIFS(po_sup,A105,po_ontime,"&gt;=0")=0,"",COUNTIFS(po_sup,A105,po_ontime,1)/COUNTIFS(po_sup,A105,po_ontime,"&gt;=0")))</f>
        <v/>
      </c>
      <c r="P105" s="67" t="str">
        <f>IF(A105="","",IF(COUNTIF(sup_code,A105)&gt;1,"Code en double",IF(B105="","Raison sociale manquante",IF(AND(K105&lt;&gt;"",OR(NOT(ISNUMBER(K105)),N(K105)&lt;0)),"Délai invalide","OK"))))</f>
        <v/>
      </c>
      <c r="Q105" s="70" t="str">
        <f>IF(A105="","",SUMIFS(po_ht,po_sup,A105,po_status,"&lt;&gt;Annulé",po_date,"&gt;="&amp;p_y0,po_date,"&lt;"&amp;p_y1))</f>
        <v/>
      </c>
      <c r="R105" s="66" t="str">
        <f>IF(N(Q105)&gt;0,Q105-ROW()/10000000,"")</f>
        <v/>
      </c>
    </row>
    <row r="106">
      <c r="A106" s="65" t="n"/>
      <c r="B106" s="63" t="n"/>
      <c r="C106" s="63" t="n"/>
      <c r="D106" s="63" t="n"/>
      <c r="E106" s="65" t="n"/>
      <c r="F106" s="63" t="n"/>
      <c r="G106" s="63" t="n"/>
      <c r="H106" s="63" t="n"/>
      <c r="I106" s="63" t="n"/>
      <c r="J106" s="63" t="n"/>
      <c r="K106" s="127" t="n"/>
      <c r="L106" s="128" t="str">
        <f>IF(A106="","",COUNTIFS(po_sup,A106,po_first,1))</f>
        <v/>
      </c>
      <c r="M106" s="70" t="str">
        <f>IF(A106="","",SUMIFS(po_ht,po_sup,A106,po_status,"&lt;&gt;Annulé"))</f>
        <v/>
      </c>
      <c r="N106" s="128" t="str">
        <f>IF(A106="","",COUNTIFS(po_sup,A106,po_status,"En retard"))</f>
        <v/>
      </c>
      <c r="O106" s="72" t="str">
        <f>IF(A106="","",IF(COUNTIFS(po_sup,A106,po_ontime,"&gt;=0")=0,"",COUNTIFS(po_sup,A106,po_ontime,1)/COUNTIFS(po_sup,A106,po_ontime,"&gt;=0")))</f>
        <v/>
      </c>
      <c r="P106" s="67" t="str">
        <f>IF(A106="","",IF(COUNTIF(sup_code,A106)&gt;1,"Code en double",IF(B106="","Raison sociale manquante",IF(AND(K106&lt;&gt;"",OR(NOT(ISNUMBER(K106)),N(K106)&lt;0)),"Délai invalide","OK"))))</f>
        <v/>
      </c>
      <c r="Q106" s="70" t="str">
        <f>IF(A106="","",SUMIFS(po_ht,po_sup,A106,po_status,"&lt;&gt;Annulé",po_date,"&gt;="&amp;p_y0,po_date,"&lt;"&amp;p_y1))</f>
        <v/>
      </c>
      <c r="R106" s="66" t="str">
        <f>IF(N(Q106)&gt;0,Q106-ROW()/10000000,"")</f>
        <v/>
      </c>
    </row>
    <row r="107">
      <c r="A107" s="65" t="n"/>
      <c r="B107" s="63" t="n"/>
      <c r="C107" s="63" t="n"/>
      <c r="D107" s="63" t="n"/>
      <c r="E107" s="65" t="n"/>
      <c r="F107" s="63" t="n"/>
      <c r="G107" s="63" t="n"/>
      <c r="H107" s="63" t="n"/>
      <c r="I107" s="63" t="n"/>
      <c r="J107" s="63" t="n"/>
      <c r="K107" s="127" t="n"/>
      <c r="L107" s="128" t="str">
        <f>IF(A107="","",COUNTIFS(po_sup,A107,po_first,1))</f>
        <v/>
      </c>
      <c r="M107" s="70" t="str">
        <f>IF(A107="","",SUMIFS(po_ht,po_sup,A107,po_status,"&lt;&gt;Annulé"))</f>
        <v/>
      </c>
      <c r="N107" s="128" t="str">
        <f>IF(A107="","",COUNTIFS(po_sup,A107,po_status,"En retard"))</f>
        <v/>
      </c>
      <c r="O107" s="72" t="str">
        <f>IF(A107="","",IF(COUNTIFS(po_sup,A107,po_ontime,"&gt;=0")=0,"",COUNTIFS(po_sup,A107,po_ontime,1)/COUNTIFS(po_sup,A107,po_ontime,"&gt;=0")))</f>
        <v/>
      </c>
      <c r="P107" s="67" t="str">
        <f>IF(A107="","",IF(COUNTIF(sup_code,A107)&gt;1,"Code en double",IF(B107="","Raison sociale manquante",IF(AND(K107&lt;&gt;"",OR(NOT(ISNUMBER(K107)),N(K107)&lt;0)),"Délai invalide","OK"))))</f>
        <v/>
      </c>
      <c r="Q107" s="70" t="str">
        <f>IF(A107="","",SUMIFS(po_ht,po_sup,A107,po_status,"&lt;&gt;Annulé",po_date,"&gt;="&amp;p_y0,po_date,"&lt;"&amp;p_y1))</f>
        <v/>
      </c>
      <c r="R107" s="66" t="str">
        <f>IF(N(Q107)&gt;0,Q107-ROW()/10000000,"")</f>
        <v/>
      </c>
    </row>
    <row r="108">
      <c r="A108" s="65" t="n"/>
      <c r="B108" s="63" t="n"/>
      <c r="C108" s="63" t="n"/>
      <c r="D108" s="63" t="n"/>
      <c r="E108" s="65" t="n"/>
      <c r="F108" s="63" t="n"/>
      <c r="G108" s="63" t="n"/>
      <c r="H108" s="63" t="n"/>
      <c r="I108" s="63" t="n"/>
      <c r="J108" s="63" t="n"/>
      <c r="K108" s="127" t="n"/>
      <c r="L108" s="128" t="str">
        <f>IF(A108="","",COUNTIFS(po_sup,A108,po_first,1))</f>
        <v/>
      </c>
      <c r="M108" s="70" t="str">
        <f>IF(A108="","",SUMIFS(po_ht,po_sup,A108,po_status,"&lt;&gt;Annulé"))</f>
        <v/>
      </c>
      <c r="N108" s="128" t="str">
        <f>IF(A108="","",COUNTIFS(po_sup,A108,po_status,"En retard"))</f>
        <v/>
      </c>
      <c r="O108" s="72" t="str">
        <f>IF(A108="","",IF(COUNTIFS(po_sup,A108,po_ontime,"&gt;=0")=0,"",COUNTIFS(po_sup,A108,po_ontime,1)/COUNTIFS(po_sup,A108,po_ontime,"&gt;=0")))</f>
        <v/>
      </c>
      <c r="P108" s="67" t="str">
        <f>IF(A108="","",IF(COUNTIF(sup_code,A108)&gt;1,"Code en double",IF(B108="","Raison sociale manquante",IF(AND(K108&lt;&gt;"",OR(NOT(ISNUMBER(K108)),N(K108)&lt;0)),"Délai invalide","OK"))))</f>
        <v/>
      </c>
      <c r="Q108" s="70" t="str">
        <f>IF(A108="","",SUMIFS(po_ht,po_sup,A108,po_status,"&lt;&gt;Annulé",po_date,"&gt;="&amp;p_y0,po_date,"&lt;"&amp;p_y1))</f>
        <v/>
      </c>
      <c r="R108" s="66" t="str">
        <f>IF(N(Q108)&gt;0,Q108-ROW()/10000000,"")</f>
        <v/>
      </c>
    </row>
    <row r="109">
      <c r="A109" s="65" t="n"/>
      <c r="B109" s="63" t="n"/>
      <c r="C109" s="63" t="n"/>
      <c r="D109" s="63" t="n"/>
      <c r="E109" s="65" t="n"/>
      <c r="F109" s="63" t="n"/>
      <c r="G109" s="63" t="n"/>
      <c r="H109" s="63" t="n"/>
      <c r="I109" s="63" t="n"/>
      <c r="J109" s="63" t="n"/>
      <c r="K109" s="127" t="n"/>
      <c r="L109" s="128" t="str">
        <f>IF(A109="","",COUNTIFS(po_sup,A109,po_first,1))</f>
        <v/>
      </c>
      <c r="M109" s="70" t="str">
        <f>IF(A109="","",SUMIFS(po_ht,po_sup,A109,po_status,"&lt;&gt;Annulé"))</f>
        <v/>
      </c>
      <c r="N109" s="128" t="str">
        <f>IF(A109="","",COUNTIFS(po_sup,A109,po_status,"En retard"))</f>
        <v/>
      </c>
      <c r="O109" s="72" t="str">
        <f>IF(A109="","",IF(COUNTIFS(po_sup,A109,po_ontime,"&gt;=0")=0,"",COUNTIFS(po_sup,A109,po_ontime,1)/COUNTIFS(po_sup,A109,po_ontime,"&gt;=0")))</f>
        <v/>
      </c>
      <c r="P109" s="67" t="str">
        <f>IF(A109="","",IF(COUNTIF(sup_code,A109)&gt;1,"Code en double",IF(B109="","Raison sociale manquante",IF(AND(K109&lt;&gt;"",OR(NOT(ISNUMBER(K109)),N(K109)&lt;0)),"Délai invalide","OK"))))</f>
        <v/>
      </c>
      <c r="Q109" s="70" t="str">
        <f>IF(A109="","",SUMIFS(po_ht,po_sup,A109,po_status,"&lt;&gt;Annulé",po_date,"&gt;="&amp;p_y0,po_date,"&lt;"&amp;p_y1))</f>
        <v/>
      </c>
      <c r="R109" s="66" t="str">
        <f>IF(N(Q109)&gt;0,Q109-ROW()/10000000,"")</f>
        <v/>
      </c>
    </row>
    <row r="110">
      <c r="A110" s="65" t="n"/>
      <c r="B110" s="63" t="n"/>
      <c r="C110" s="63" t="n"/>
      <c r="D110" s="63" t="n"/>
      <c r="E110" s="65" t="n"/>
      <c r="F110" s="63" t="n"/>
      <c r="G110" s="63" t="n"/>
      <c r="H110" s="63" t="n"/>
      <c r="I110" s="63" t="n"/>
      <c r="J110" s="63" t="n"/>
      <c r="K110" s="127" t="n"/>
      <c r="L110" s="128" t="str">
        <f>IF(A110="","",COUNTIFS(po_sup,A110,po_first,1))</f>
        <v/>
      </c>
      <c r="M110" s="70" t="str">
        <f>IF(A110="","",SUMIFS(po_ht,po_sup,A110,po_status,"&lt;&gt;Annulé"))</f>
        <v/>
      </c>
      <c r="N110" s="128" t="str">
        <f>IF(A110="","",COUNTIFS(po_sup,A110,po_status,"En retard"))</f>
        <v/>
      </c>
      <c r="O110" s="72" t="str">
        <f>IF(A110="","",IF(COUNTIFS(po_sup,A110,po_ontime,"&gt;=0")=0,"",COUNTIFS(po_sup,A110,po_ontime,1)/COUNTIFS(po_sup,A110,po_ontime,"&gt;=0")))</f>
        <v/>
      </c>
      <c r="P110" s="67" t="str">
        <f>IF(A110="","",IF(COUNTIF(sup_code,A110)&gt;1,"Code en double",IF(B110="","Raison sociale manquante",IF(AND(K110&lt;&gt;"",OR(NOT(ISNUMBER(K110)),N(K110)&lt;0)),"Délai invalide","OK"))))</f>
        <v/>
      </c>
      <c r="Q110" s="70" t="str">
        <f>IF(A110="","",SUMIFS(po_ht,po_sup,A110,po_status,"&lt;&gt;Annulé",po_date,"&gt;="&amp;p_y0,po_date,"&lt;"&amp;p_y1))</f>
        <v/>
      </c>
      <c r="R110" s="66" t="str">
        <f>IF(N(Q110)&gt;0,Q110-ROW()/10000000,"")</f>
        <v/>
      </c>
    </row>
    <row r="111">
      <c r="A111" s="65" t="n"/>
      <c r="B111" s="63" t="n"/>
      <c r="C111" s="63" t="n"/>
      <c r="D111" s="63" t="n"/>
      <c r="E111" s="65" t="n"/>
      <c r="F111" s="63" t="n"/>
      <c r="G111" s="63" t="n"/>
      <c r="H111" s="63" t="n"/>
      <c r="I111" s="63" t="n"/>
      <c r="J111" s="63" t="n"/>
      <c r="K111" s="127" t="n"/>
      <c r="L111" s="128" t="str">
        <f>IF(A111="","",COUNTIFS(po_sup,A111,po_first,1))</f>
        <v/>
      </c>
      <c r="M111" s="70" t="str">
        <f>IF(A111="","",SUMIFS(po_ht,po_sup,A111,po_status,"&lt;&gt;Annulé"))</f>
        <v/>
      </c>
      <c r="N111" s="128" t="str">
        <f>IF(A111="","",COUNTIFS(po_sup,A111,po_status,"En retard"))</f>
        <v/>
      </c>
      <c r="O111" s="72" t="str">
        <f>IF(A111="","",IF(COUNTIFS(po_sup,A111,po_ontime,"&gt;=0")=0,"",COUNTIFS(po_sup,A111,po_ontime,1)/COUNTIFS(po_sup,A111,po_ontime,"&gt;=0")))</f>
        <v/>
      </c>
      <c r="P111" s="67" t="str">
        <f>IF(A111="","",IF(COUNTIF(sup_code,A111)&gt;1,"Code en double",IF(B111="","Raison sociale manquante",IF(AND(K111&lt;&gt;"",OR(NOT(ISNUMBER(K111)),N(K111)&lt;0)),"Délai invalide","OK"))))</f>
        <v/>
      </c>
      <c r="Q111" s="70" t="str">
        <f>IF(A111="","",SUMIFS(po_ht,po_sup,A111,po_status,"&lt;&gt;Annulé",po_date,"&gt;="&amp;p_y0,po_date,"&lt;"&amp;p_y1))</f>
        <v/>
      </c>
      <c r="R111" s="66" t="str">
        <f>IF(N(Q111)&gt;0,Q111-ROW()/10000000,"")</f>
        <v/>
      </c>
    </row>
    <row r="112">
      <c r="A112" s="65" t="n"/>
      <c r="B112" s="63" t="n"/>
      <c r="C112" s="63" t="n"/>
      <c r="D112" s="63" t="n"/>
      <c r="E112" s="65" t="n"/>
      <c r="F112" s="63" t="n"/>
      <c r="G112" s="63" t="n"/>
      <c r="H112" s="63" t="n"/>
      <c r="I112" s="63" t="n"/>
      <c r="J112" s="63" t="n"/>
      <c r="K112" s="127" t="n"/>
      <c r="L112" s="128" t="str">
        <f>IF(A112="","",COUNTIFS(po_sup,A112,po_first,1))</f>
        <v/>
      </c>
      <c r="M112" s="70" t="str">
        <f>IF(A112="","",SUMIFS(po_ht,po_sup,A112,po_status,"&lt;&gt;Annulé"))</f>
        <v/>
      </c>
      <c r="N112" s="128" t="str">
        <f>IF(A112="","",COUNTIFS(po_sup,A112,po_status,"En retard"))</f>
        <v/>
      </c>
      <c r="O112" s="72" t="str">
        <f>IF(A112="","",IF(COUNTIFS(po_sup,A112,po_ontime,"&gt;=0")=0,"",COUNTIFS(po_sup,A112,po_ontime,1)/COUNTIFS(po_sup,A112,po_ontime,"&gt;=0")))</f>
        <v/>
      </c>
      <c r="P112" s="67" t="str">
        <f>IF(A112="","",IF(COUNTIF(sup_code,A112)&gt;1,"Code en double",IF(B112="","Raison sociale manquante",IF(AND(K112&lt;&gt;"",OR(NOT(ISNUMBER(K112)),N(K112)&lt;0)),"Délai invalide","OK"))))</f>
        <v/>
      </c>
      <c r="Q112" s="70" t="str">
        <f>IF(A112="","",SUMIFS(po_ht,po_sup,A112,po_status,"&lt;&gt;Annulé",po_date,"&gt;="&amp;p_y0,po_date,"&lt;"&amp;p_y1))</f>
        <v/>
      </c>
      <c r="R112" s="66" t="str">
        <f>IF(N(Q112)&gt;0,Q112-ROW()/10000000,"")</f>
        <v/>
      </c>
    </row>
    <row r="113">
      <c r="A113" s="65" t="n"/>
      <c r="B113" s="63" t="n"/>
      <c r="C113" s="63" t="n"/>
      <c r="D113" s="63" t="n"/>
      <c r="E113" s="65" t="n"/>
      <c r="F113" s="63" t="n"/>
      <c r="G113" s="63" t="n"/>
      <c r="H113" s="63" t="n"/>
      <c r="I113" s="63" t="n"/>
      <c r="J113" s="63" t="n"/>
      <c r="K113" s="127" t="n"/>
      <c r="L113" s="128" t="str">
        <f>IF(A113="","",COUNTIFS(po_sup,A113,po_first,1))</f>
        <v/>
      </c>
      <c r="M113" s="70" t="str">
        <f>IF(A113="","",SUMIFS(po_ht,po_sup,A113,po_status,"&lt;&gt;Annulé"))</f>
        <v/>
      </c>
      <c r="N113" s="128" t="str">
        <f>IF(A113="","",COUNTIFS(po_sup,A113,po_status,"En retard"))</f>
        <v/>
      </c>
      <c r="O113" s="72" t="str">
        <f>IF(A113="","",IF(COUNTIFS(po_sup,A113,po_ontime,"&gt;=0")=0,"",COUNTIFS(po_sup,A113,po_ontime,1)/COUNTIFS(po_sup,A113,po_ontime,"&gt;=0")))</f>
        <v/>
      </c>
      <c r="P113" s="67" t="str">
        <f>IF(A113="","",IF(COUNTIF(sup_code,A113)&gt;1,"Code en double",IF(B113="","Raison sociale manquante",IF(AND(K113&lt;&gt;"",OR(NOT(ISNUMBER(K113)),N(K113)&lt;0)),"Délai invalide","OK"))))</f>
        <v/>
      </c>
      <c r="Q113" s="70" t="str">
        <f>IF(A113="","",SUMIFS(po_ht,po_sup,A113,po_status,"&lt;&gt;Annulé",po_date,"&gt;="&amp;p_y0,po_date,"&lt;"&amp;p_y1))</f>
        <v/>
      </c>
      <c r="R113" s="66" t="str">
        <f>IF(N(Q113)&gt;0,Q113-ROW()/10000000,"")</f>
        <v/>
      </c>
    </row>
    <row r="114">
      <c r="A114" s="65" t="n"/>
      <c r="B114" s="63" t="n"/>
      <c r="C114" s="63" t="n"/>
      <c r="D114" s="63" t="n"/>
      <c r="E114" s="65" t="n"/>
      <c r="F114" s="63" t="n"/>
      <c r="G114" s="63" t="n"/>
      <c r="H114" s="63" t="n"/>
      <c r="I114" s="63" t="n"/>
      <c r="J114" s="63" t="n"/>
      <c r="K114" s="127" t="n"/>
      <c r="L114" s="128" t="str">
        <f>IF(A114="","",COUNTIFS(po_sup,A114,po_first,1))</f>
        <v/>
      </c>
      <c r="M114" s="70" t="str">
        <f>IF(A114="","",SUMIFS(po_ht,po_sup,A114,po_status,"&lt;&gt;Annulé"))</f>
        <v/>
      </c>
      <c r="N114" s="128" t="str">
        <f>IF(A114="","",COUNTIFS(po_sup,A114,po_status,"En retard"))</f>
        <v/>
      </c>
      <c r="O114" s="72" t="str">
        <f>IF(A114="","",IF(COUNTIFS(po_sup,A114,po_ontime,"&gt;=0")=0,"",COUNTIFS(po_sup,A114,po_ontime,1)/COUNTIFS(po_sup,A114,po_ontime,"&gt;=0")))</f>
        <v/>
      </c>
      <c r="P114" s="67" t="str">
        <f>IF(A114="","",IF(COUNTIF(sup_code,A114)&gt;1,"Code en double",IF(B114="","Raison sociale manquante",IF(AND(K114&lt;&gt;"",OR(NOT(ISNUMBER(K114)),N(K114)&lt;0)),"Délai invalide","OK"))))</f>
        <v/>
      </c>
      <c r="Q114" s="70" t="str">
        <f>IF(A114="","",SUMIFS(po_ht,po_sup,A114,po_status,"&lt;&gt;Annulé",po_date,"&gt;="&amp;p_y0,po_date,"&lt;"&amp;p_y1))</f>
        <v/>
      </c>
      <c r="R114" s="66" t="str">
        <f>IF(N(Q114)&gt;0,Q114-ROW()/10000000,"")</f>
        <v/>
      </c>
    </row>
    <row r="115">
      <c r="A115" s="65" t="n"/>
      <c r="B115" s="63" t="n"/>
      <c r="C115" s="63" t="n"/>
      <c r="D115" s="63" t="n"/>
      <c r="E115" s="65" t="n"/>
      <c r="F115" s="63" t="n"/>
      <c r="G115" s="63" t="n"/>
      <c r="H115" s="63" t="n"/>
      <c r="I115" s="63" t="n"/>
      <c r="J115" s="63" t="n"/>
      <c r="K115" s="127" t="n"/>
      <c r="L115" s="128" t="str">
        <f>IF(A115="","",COUNTIFS(po_sup,A115,po_first,1))</f>
        <v/>
      </c>
      <c r="M115" s="70" t="str">
        <f>IF(A115="","",SUMIFS(po_ht,po_sup,A115,po_status,"&lt;&gt;Annulé"))</f>
        <v/>
      </c>
      <c r="N115" s="128" t="str">
        <f>IF(A115="","",COUNTIFS(po_sup,A115,po_status,"En retard"))</f>
        <v/>
      </c>
      <c r="O115" s="72" t="str">
        <f>IF(A115="","",IF(COUNTIFS(po_sup,A115,po_ontime,"&gt;=0")=0,"",COUNTIFS(po_sup,A115,po_ontime,1)/COUNTIFS(po_sup,A115,po_ontime,"&gt;=0")))</f>
        <v/>
      </c>
      <c r="P115" s="67" t="str">
        <f>IF(A115="","",IF(COUNTIF(sup_code,A115)&gt;1,"Code en double",IF(B115="","Raison sociale manquante",IF(AND(K115&lt;&gt;"",OR(NOT(ISNUMBER(K115)),N(K115)&lt;0)),"Délai invalide","OK"))))</f>
        <v/>
      </c>
      <c r="Q115" s="70" t="str">
        <f>IF(A115="","",SUMIFS(po_ht,po_sup,A115,po_status,"&lt;&gt;Annulé",po_date,"&gt;="&amp;p_y0,po_date,"&lt;"&amp;p_y1))</f>
        <v/>
      </c>
      <c r="R115" s="66" t="str">
        <f>IF(N(Q115)&gt;0,Q115-ROW()/10000000,"")</f>
        <v/>
      </c>
    </row>
    <row r="116">
      <c r="A116" s="65" t="n"/>
      <c r="B116" s="63" t="n"/>
      <c r="C116" s="63" t="n"/>
      <c r="D116" s="63" t="n"/>
      <c r="E116" s="65" t="n"/>
      <c r="F116" s="63" t="n"/>
      <c r="G116" s="63" t="n"/>
      <c r="H116" s="63" t="n"/>
      <c r="I116" s="63" t="n"/>
      <c r="J116" s="63" t="n"/>
      <c r="K116" s="127" t="n"/>
      <c r="L116" s="128" t="str">
        <f>IF(A116="","",COUNTIFS(po_sup,A116,po_first,1))</f>
        <v/>
      </c>
      <c r="M116" s="70" t="str">
        <f>IF(A116="","",SUMIFS(po_ht,po_sup,A116,po_status,"&lt;&gt;Annulé"))</f>
        <v/>
      </c>
      <c r="N116" s="128" t="str">
        <f>IF(A116="","",COUNTIFS(po_sup,A116,po_status,"En retard"))</f>
        <v/>
      </c>
      <c r="O116" s="72" t="str">
        <f>IF(A116="","",IF(COUNTIFS(po_sup,A116,po_ontime,"&gt;=0")=0,"",COUNTIFS(po_sup,A116,po_ontime,1)/COUNTIFS(po_sup,A116,po_ontime,"&gt;=0")))</f>
        <v/>
      </c>
      <c r="P116" s="67" t="str">
        <f>IF(A116="","",IF(COUNTIF(sup_code,A116)&gt;1,"Code en double",IF(B116="","Raison sociale manquante",IF(AND(K116&lt;&gt;"",OR(NOT(ISNUMBER(K116)),N(K116)&lt;0)),"Délai invalide","OK"))))</f>
        <v/>
      </c>
      <c r="Q116" s="70" t="str">
        <f>IF(A116="","",SUMIFS(po_ht,po_sup,A116,po_status,"&lt;&gt;Annulé",po_date,"&gt;="&amp;p_y0,po_date,"&lt;"&amp;p_y1))</f>
        <v/>
      </c>
      <c r="R116" s="66" t="str">
        <f>IF(N(Q116)&gt;0,Q116-ROW()/10000000,"")</f>
        <v/>
      </c>
    </row>
    <row r="117">
      <c r="A117" s="65" t="n"/>
      <c r="B117" s="63" t="n"/>
      <c r="C117" s="63" t="n"/>
      <c r="D117" s="63" t="n"/>
      <c r="E117" s="65" t="n"/>
      <c r="F117" s="63" t="n"/>
      <c r="G117" s="63" t="n"/>
      <c r="H117" s="63" t="n"/>
      <c r="I117" s="63" t="n"/>
      <c r="J117" s="63" t="n"/>
      <c r="K117" s="127" t="n"/>
      <c r="L117" s="128" t="str">
        <f>IF(A117="","",COUNTIFS(po_sup,A117,po_first,1))</f>
        <v/>
      </c>
      <c r="M117" s="70" t="str">
        <f>IF(A117="","",SUMIFS(po_ht,po_sup,A117,po_status,"&lt;&gt;Annulé"))</f>
        <v/>
      </c>
      <c r="N117" s="128" t="str">
        <f>IF(A117="","",COUNTIFS(po_sup,A117,po_status,"En retard"))</f>
        <v/>
      </c>
      <c r="O117" s="72" t="str">
        <f>IF(A117="","",IF(COUNTIFS(po_sup,A117,po_ontime,"&gt;=0")=0,"",COUNTIFS(po_sup,A117,po_ontime,1)/COUNTIFS(po_sup,A117,po_ontime,"&gt;=0")))</f>
        <v/>
      </c>
      <c r="P117" s="67" t="str">
        <f>IF(A117="","",IF(COUNTIF(sup_code,A117)&gt;1,"Code en double",IF(B117="","Raison sociale manquante",IF(AND(K117&lt;&gt;"",OR(NOT(ISNUMBER(K117)),N(K117)&lt;0)),"Délai invalide","OK"))))</f>
        <v/>
      </c>
      <c r="Q117" s="70" t="str">
        <f>IF(A117="","",SUMIFS(po_ht,po_sup,A117,po_status,"&lt;&gt;Annulé",po_date,"&gt;="&amp;p_y0,po_date,"&lt;"&amp;p_y1))</f>
        <v/>
      </c>
      <c r="R117" s="66" t="str">
        <f>IF(N(Q117)&gt;0,Q117-ROW()/10000000,"")</f>
        <v/>
      </c>
    </row>
    <row r="118">
      <c r="A118" s="65" t="n"/>
      <c r="B118" s="63" t="n"/>
      <c r="C118" s="63" t="n"/>
      <c r="D118" s="63" t="n"/>
      <c r="E118" s="65" t="n"/>
      <c r="F118" s="63" t="n"/>
      <c r="G118" s="63" t="n"/>
      <c r="H118" s="63" t="n"/>
      <c r="I118" s="63" t="n"/>
      <c r="J118" s="63" t="n"/>
      <c r="K118" s="127" t="n"/>
      <c r="L118" s="128" t="str">
        <f>IF(A118="","",COUNTIFS(po_sup,A118,po_first,1))</f>
        <v/>
      </c>
      <c r="M118" s="70" t="str">
        <f>IF(A118="","",SUMIFS(po_ht,po_sup,A118,po_status,"&lt;&gt;Annulé"))</f>
        <v/>
      </c>
      <c r="N118" s="128" t="str">
        <f>IF(A118="","",COUNTIFS(po_sup,A118,po_status,"En retard"))</f>
        <v/>
      </c>
      <c r="O118" s="72" t="str">
        <f>IF(A118="","",IF(COUNTIFS(po_sup,A118,po_ontime,"&gt;=0")=0,"",COUNTIFS(po_sup,A118,po_ontime,1)/COUNTIFS(po_sup,A118,po_ontime,"&gt;=0")))</f>
        <v/>
      </c>
      <c r="P118" s="67" t="str">
        <f>IF(A118="","",IF(COUNTIF(sup_code,A118)&gt;1,"Code en double",IF(B118="","Raison sociale manquante",IF(AND(K118&lt;&gt;"",OR(NOT(ISNUMBER(K118)),N(K118)&lt;0)),"Délai invalide","OK"))))</f>
        <v/>
      </c>
      <c r="Q118" s="70" t="str">
        <f>IF(A118="","",SUMIFS(po_ht,po_sup,A118,po_status,"&lt;&gt;Annulé",po_date,"&gt;="&amp;p_y0,po_date,"&lt;"&amp;p_y1))</f>
        <v/>
      </c>
      <c r="R118" s="66" t="str">
        <f>IF(N(Q118)&gt;0,Q118-ROW()/10000000,"")</f>
        <v/>
      </c>
    </row>
    <row r="119">
      <c r="A119" s="65" t="n"/>
      <c r="B119" s="63" t="n"/>
      <c r="C119" s="63" t="n"/>
      <c r="D119" s="63" t="n"/>
      <c r="E119" s="65" t="n"/>
      <c r="F119" s="63" t="n"/>
      <c r="G119" s="63" t="n"/>
      <c r="H119" s="63" t="n"/>
      <c r="I119" s="63" t="n"/>
      <c r="J119" s="63" t="n"/>
      <c r="K119" s="127" t="n"/>
      <c r="L119" s="128" t="str">
        <f>IF(A119="","",COUNTIFS(po_sup,A119,po_first,1))</f>
        <v/>
      </c>
      <c r="M119" s="70" t="str">
        <f>IF(A119="","",SUMIFS(po_ht,po_sup,A119,po_status,"&lt;&gt;Annulé"))</f>
        <v/>
      </c>
      <c r="N119" s="128" t="str">
        <f>IF(A119="","",COUNTIFS(po_sup,A119,po_status,"En retard"))</f>
        <v/>
      </c>
      <c r="O119" s="72" t="str">
        <f>IF(A119="","",IF(COUNTIFS(po_sup,A119,po_ontime,"&gt;=0")=0,"",COUNTIFS(po_sup,A119,po_ontime,1)/COUNTIFS(po_sup,A119,po_ontime,"&gt;=0")))</f>
        <v/>
      </c>
      <c r="P119" s="67" t="str">
        <f>IF(A119="","",IF(COUNTIF(sup_code,A119)&gt;1,"Code en double",IF(B119="","Raison sociale manquante",IF(AND(K119&lt;&gt;"",OR(NOT(ISNUMBER(K119)),N(K119)&lt;0)),"Délai invalide","OK"))))</f>
        <v/>
      </c>
      <c r="Q119" s="70" t="str">
        <f>IF(A119="","",SUMIFS(po_ht,po_sup,A119,po_status,"&lt;&gt;Annulé",po_date,"&gt;="&amp;p_y0,po_date,"&lt;"&amp;p_y1))</f>
        <v/>
      </c>
      <c r="R119" s="66" t="str">
        <f>IF(N(Q119)&gt;0,Q119-ROW()/10000000,"")</f>
        <v/>
      </c>
    </row>
    <row r="120">
      <c r="A120" s="65" t="n"/>
      <c r="B120" s="63" t="n"/>
      <c r="C120" s="63" t="n"/>
      <c r="D120" s="63" t="n"/>
      <c r="E120" s="65" t="n"/>
      <c r="F120" s="63" t="n"/>
      <c r="G120" s="63" t="n"/>
      <c r="H120" s="63" t="n"/>
      <c r="I120" s="63" t="n"/>
      <c r="J120" s="63" t="n"/>
      <c r="K120" s="127" t="n"/>
      <c r="L120" s="128" t="str">
        <f>IF(A120="","",COUNTIFS(po_sup,A120,po_first,1))</f>
        <v/>
      </c>
      <c r="M120" s="70" t="str">
        <f>IF(A120="","",SUMIFS(po_ht,po_sup,A120,po_status,"&lt;&gt;Annulé"))</f>
        <v/>
      </c>
      <c r="N120" s="128" t="str">
        <f>IF(A120="","",COUNTIFS(po_sup,A120,po_status,"En retard"))</f>
        <v/>
      </c>
      <c r="O120" s="72" t="str">
        <f>IF(A120="","",IF(COUNTIFS(po_sup,A120,po_ontime,"&gt;=0")=0,"",COUNTIFS(po_sup,A120,po_ontime,1)/COUNTIFS(po_sup,A120,po_ontime,"&gt;=0")))</f>
        <v/>
      </c>
      <c r="P120" s="67" t="str">
        <f>IF(A120="","",IF(COUNTIF(sup_code,A120)&gt;1,"Code en double",IF(B120="","Raison sociale manquante",IF(AND(K120&lt;&gt;"",OR(NOT(ISNUMBER(K120)),N(K120)&lt;0)),"Délai invalide","OK"))))</f>
        <v/>
      </c>
      <c r="Q120" s="70" t="str">
        <f>IF(A120="","",SUMIFS(po_ht,po_sup,A120,po_status,"&lt;&gt;Annulé",po_date,"&gt;="&amp;p_y0,po_date,"&lt;"&amp;p_y1))</f>
        <v/>
      </c>
      <c r="R120" s="66" t="str">
        <f>IF(N(Q120)&gt;0,Q120-ROW()/10000000,"")</f>
        <v/>
      </c>
    </row>
    <row r="121">
      <c r="A121" s="65" t="n"/>
      <c r="B121" s="63" t="n"/>
      <c r="C121" s="63" t="n"/>
      <c r="D121" s="63" t="n"/>
      <c r="E121" s="65" t="n"/>
      <c r="F121" s="63" t="n"/>
      <c r="G121" s="63" t="n"/>
      <c r="H121" s="63" t="n"/>
      <c r="I121" s="63" t="n"/>
      <c r="J121" s="63" t="n"/>
      <c r="K121" s="127" t="n"/>
      <c r="L121" s="128" t="str">
        <f>IF(A121="","",COUNTIFS(po_sup,A121,po_first,1))</f>
        <v/>
      </c>
      <c r="M121" s="70" t="str">
        <f>IF(A121="","",SUMIFS(po_ht,po_sup,A121,po_status,"&lt;&gt;Annulé"))</f>
        <v/>
      </c>
      <c r="N121" s="128" t="str">
        <f>IF(A121="","",COUNTIFS(po_sup,A121,po_status,"En retard"))</f>
        <v/>
      </c>
      <c r="O121" s="72" t="str">
        <f>IF(A121="","",IF(COUNTIFS(po_sup,A121,po_ontime,"&gt;=0")=0,"",COUNTIFS(po_sup,A121,po_ontime,1)/COUNTIFS(po_sup,A121,po_ontime,"&gt;=0")))</f>
        <v/>
      </c>
      <c r="P121" s="67" t="str">
        <f>IF(A121="","",IF(COUNTIF(sup_code,A121)&gt;1,"Code en double",IF(B121="","Raison sociale manquante",IF(AND(K121&lt;&gt;"",OR(NOT(ISNUMBER(K121)),N(K121)&lt;0)),"Délai invalide","OK"))))</f>
        <v/>
      </c>
      <c r="Q121" s="70" t="str">
        <f>IF(A121="","",SUMIFS(po_ht,po_sup,A121,po_status,"&lt;&gt;Annulé",po_date,"&gt;="&amp;p_y0,po_date,"&lt;"&amp;p_y1))</f>
        <v/>
      </c>
      <c r="R121" s="66" t="str">
        <f>IF(N(Q121)&gt;0,Q121-ROW()/10000000,"")</f>
        <v/>
      </c>
    </row>
    <row r="122">
      <c r="A122" s="65" t="n"/>
      <c r="B122" s="63" t="n"/>
      <c r="C122" s="63" t="n"/>
      <c r="D122" s="63" t="n"/>
      <c r="E122" s="65" t="n"/>
      <c r="F122" s="63" t="n"/>
      <c r="G122" s="63" t="n"/>
      <c r="H122" s="63" t="n"/>
      <c r="I122" s="63" t="n"/>
      <c r="J122" s="63" t="n"/>
      <c r="K122" s="127" t="n"/>
      <c r="L122" s="128" t="str">
        <f>IF(A122="","",COUNTIFS(po_sup,A122,po_first,1))</f>
        <v/>
      </c>
      <c r="M122" s="70" t="str">
        <f>IF(A122="","",SUMIFS(po_ht,po_sup,A122,po_status,"&lt;&gt;Annulé"))</f>
        <v/>
      </c>
      <c r="N122" s="128" t="str">
        <f>IF(A122="","",COUNTIFS(po_sup,A122,po_status,"En retard"))</f>
        <v/>
      </c>
      <c r="O122" s="72" t="str">
        <f>IF(A122="","",IF(COUNTIFS(po_sup,A122,po_ontime,"&gt;=0")=0,"",COUNTIFS(po_sup,A122,po_ontime,1)/COUNTIFS(po_sup,A122,po_ontime,"&gt;=0")))</f>
        <v/>
      </c>
      <c r="P122" s="67" t="str">
        <f>IF(A122="","",IF(COUNTIF(sup_code,A122)&gt;1,"Code en double",IF(B122="","Raison sociale manquante",IF(AND(K122&lt;&gt;"",OR(NOT(ISNUMBER(K122)),N(K122)&lt;0)),"Délai invalide","OK"))))</f>
        <v/>
      </c>
      <c r="Q122" s="70" t="str">
        <f>IF(A122="","",SUMIFS(po_ht,po_sup,A122,po_status,"&lt;&gt;Annulé",po_date,"&gt;="&amp;p_y0,po_date,"&lt;"&amp;p_y1))</f>
        <v/>
      </c>
      <c r="R122" s="66" t="str">
        <f>IF(N(Q122)&gt;0,Q122-ROW()/10000000,"")</f>
        <v/>
      </c>
    </row>
    <row r="123">
      <c r="A123" s="65" t="n"/>
      <c r="B123" s="63" t="n"/>
      <c r="C123" s="63" t="n"/>
      <c r="D123" s="63" t="n"/>
      <c r="E123" s="65" t="n"/>
      <c r="F123" s="63" t="n"/>
      <c r="G123" s="63" t="n"/>
      <c r="H123" s="63" t="n"/>
      <c r="I123" s="63" t="n"/>
      <c r="J123" s="63" t="n"/>
      <c r="K123" s="127" t="n"/>
      <c r="L123" s="128" t="str">
        <f>IF(A123="","",COUNTIFS(po_sup,A123,po_first,1))</f>
        <v/>
      </c>
      <c r="M123" s="70" t="str">
        <f>IF(A123="","",SUMIFS(po_ht,po_sup,A123,po_status,"&lt;&gt;Annulé"))</f>
        <v/>
      </c>
      <c r="N123" s="128" t="str">
        <f>IF(A123="","",COUNTIFS(po_sup,A123,po_status,"En retard"))</f>
        <v/>
      </c>
      <c r="O123" s="72" t="str">
        <f>IF(A123="","",IF(COUNTIFS(po_sup,A123,po_ontime,"&gt;=0")=0,"",COUNTIFS(po_sup,A123,po_ontime,1)/COUNTIFS(po_sup,A123,po_ontime,"&gt;=0")))</f>
        <v/>
      </c>
      <c r="P123" s="67" t="str">
        <f>IF(A123="","",IF(COUNTIF(sup_code,A123)&gt;1,"Code en double",IF(B123="","Raison sociale manquante",IF(AND(K123&lt;&gt;"",OR(NOT(ISNUMBER(K123)),N(K123)&lt;0)),"Délai invalide","OK"))))</f>
        <v/>
      </c>
      <c r="Q123" s="70" t="str">
        <f>IF(A123="","",SUMIFS(po_ht,po_sup,A123,po_status,"&lt;&gt;Annulé",po_date,"&gt;="&amp;p_y0,po_date,"&lt;"&amp;p_y1))</f>
        <v/>
      </c>
      <c r="R123" s="66" t="str">
        <f>IF(N(Q123)&gt;0,Q123-ROW()/10000000,"")</f>
        <v/>
      </c>
    </row>
    <row r="124">
      <c r="A124" s="65" t="n"/>
      <c r="B124" s="63" t="n"/>
      <c r="C124" s="63" t="n"/>
      <c r="D124" s="63" t="n"/>
      <c r="E124" s="65" t="n"/>
      <c r="F124" s="63" t="n"/>
      <c r="G124" s="63" t="n"/>
      <c r="H124" s="63" t="n"/>
      <c r="I124" s="63" t="n"/>
      <c r="J124" s="63" t="n"/>
      <c r="K124" s="127" t="n"/>
      <c r="L124" s="128" t="str">
        <f>IF(A124="","",COUNTIFS(po_sup,A124,po_first,1))</f>
        <v/>
      </c>
      <c r="M124" s="70" t="str">
        <f>IF(A124="","",SUMIFS(po_ht,po_sup,A124,po_status,"&lt;&gt;Annulé"))</f>
        <v/>
      </c>
      <c r="N124" s="128" t="str">
        <f>IF(A124="","",COUNTIFS(po_sup,A124,po_status,"En retard"))</f>
        <v/>
      </c>
      <c r="O124" s="72" t="str">
        <f>IF(A124="","",IF(COUNTIFS(po_sup,A124,po_ontime,"&gt;=0")=0,"",COUNTIFS(po_sup,A124,po_ontime,1)/COUNTIFS(po_sup,A124,po_ontime,"&gt;=0")))</f>
        <v/>
      </c>
      <c r="P124" s="67" t="str">
        <f>IF(A124="","",IF(COUNTIF(sup_code,A124)&gt;1,"Code en double",IF(B124="","Raison sociale manquante",IF(AND(K124&lt;&gt;"",OR(NOT(ISNUMBER(K124)),N(K124)&lt;0)),"Délai invalide","OK"))))</f>
        <v/>
      </c>
      <c r="Q124" s="70" t="str">
        <f>IF(A124="","",SUMIFS(po_ht,po_sup,A124,po_status,"&lt;&gt;Annulé",po_date,"&gt;="&amp;p_y0,po_date,"&lt;"&amp;p_y1))</f>
        <v/>
      </c>
      <c r="R124" s="66" t="str">
        <f>IF(N(Q124)&gt;0,Q124-ROW()/10000000,"")</f>
        <v/>
      </c>
    </row>
    <row r="125">
      <c r="A125" s="65" t="n"/>
      <c r="B125" s="63" t="n"/>
      <c r="C125" s="63" t="n"/>
      <c r="D125" s="63" t="n"/>
      <c r="E125" s="65" t="n"/>
      <c r="F125" s="63" t="n"/>
      <c r="G125" s="63" t="n"/>
      <c r="H125" s="63" t="n"/>
      <c r="I125" s="63" t="n"/>
      <c r="J125" s="63" t="n"/>
      <c r="K125" s="127" t="n"/>
      <c r="L125" s="128" t="str">
        <f>IF(A125="","",COUNTIFS(po_sup,A125,po_first,1))</f>
        <v/>
      </c>
      <c r="M125" s="70" t="str">
        <f>IF(A125="","",SUMIFS(po_ht,po_sup,A125,po_status,"&lt;&gt;Annulé"))</f>
        <v/>
      </c>
      <c r="N125" s="128" t="str">
        <f>IF(A125="","",COUNTIFS(po_sup,A125,po_status,"En retard"))</f>
        <v/>
      </c>
      <c r="O125" s="72" t="str">
        <f>IF(A125="","",IF(COUNTIFS(po_sup,A125,po_ontime,"&gt;=0")=0,"",COUNTIFS(po_sup,A125,po_ontime,1)/COUNTIFS(po_sup,A125,po_ontime,"&gt;=0")))</f>
        <v/>
      </c>
      <c r="P125" s="67" t="str">
        <f>IF(A125="","",IF(COUNTIF(sup_code,A125)&gt;1,"Code en double",IF(B125="","Raison sociale manquante",IF(AND(K125&lt;&gt;"",OR(NOT(ISNUMBER(K125)),N(K125)&lt;0)),"Délai invalide","OK"))))</f>
        <v/>
      </c>
      <c r="Q125" s="70" t="str">
        <f>IF(A125="","",SUMIFS(po_ht,po_sup,A125,po_status,"&lt;&gt;Annulé",po_date,"&gt;="&amp;p_y0,po_date,"&lt;"&amp;p_y1))</f>
        <v/>
      </c>
      <c r="R125" s="66" t="str">
        <f>IF(N(Q125)&gt;0,Q125-ROW()/10000000,"")</f>
        <v/>
      </c>
    </row>
    <row r="126">
      <c r="A126" s="65" t="n"/>
      <c r="B126" s="63" t="n"/>
      <c r="C126" s="63" t="n"/>
      <c r="D126" s="63" t="n"/>
      <c r="E126" s="65" t="n"/>
      <c r="F126" s="63" t="n"/>
      <c r="G126" s="63" t="n"/>
      <c r="H126" s="63" t="n"/>
      <c r="I126" s="63" t="n"/>
      <c r="J126" s="63" t="n"/>
      <c r="K126" s="127" t="n"/>
      <c r="L126" s="128" t="str">
        <f>IF(A126="","",COUNTIFS(po_sup,A126,po_first,1))</f>
        <v/>
      </c>
      <c r="M126" s="70" t="str">
        <f>IF(A126="","",SUMIFS(po_ht,po_sup,A126,po_status,"&lt;&gt;Annulé"))</f>
        <v/>
      </c>
      <c r="N126" s="128" t="str">
        <f>IF(A126="","",COUNTIFS(po_sup,A126,po_status,"En retard"))</f>
        <v/>
      </c>
      <c r="O126" s="72" t="str">
        <f>IF(A126="","",IF(COUNTIFS(po_sup,A126,po_ontime,"&gt;=0")=0,"",COUNTIFS(po_sup,A126,po_ontime,1)/COUNTIFS(po_sup,A126,po_ontime,"&gt;=0")))</f>
        <v/>
      </c>
      <c r="P126" s="67" t="str">
        <f>IF(A126="","",IF(COUNTIF(sup_code,A126)&gt;1,"Code en double",IF(B126="","Raison sociale manquante",IF(AND(K126&lt;&gt;"",OR(NOT(ISNUMBER(K126)),N(K126)&lt;0)),"Délai invalide","OK"))))</f>
        <v/>
      </c>
      <c r="Q126" s="70" t="str">
        <f>IF(A126="","",SUMIFS(po_ht,po_sup,A126,po_status,"&lt;&gt;Annulé",po_date,"&gt;="&amp;p_y0,po_date,"&lt;"&amp;p_y1))</f>
        <v/>
      </c>
      <c r="R126" s="66" t="str">
        <f>IF(N(Q126)&gt;0,Q126-ROW()/10000000,"")</f>
        <v/>
      </c>
    </row>
    <row r="127">
      <c r="A127" s="65" t="n"/>
      <c r="B127" s="63" t="n"/>
      <c r="C127" s="63" t="n"/>
      <c r="D127" s="63" t="n"/>
      <c r="E127" s="65" t="n"/>
      <c r="F127" s="63" t="n"/>
      <c r="G127" s="63" t="n"/>
      <c r="H127" s="63" t="n"/>
      <c r="I127" s="63" t="n"/>
      <c r="J127" s="63" t="n"/>
      <c r="K127" s="127" t="n"/>
      <c r="L127" s="128" t="str">
        <f>IF(A127="","",COUNTIFS(po_sup,A127,po_first,1))</f>
        <v/>
      </c>
      <c r="M127" s="70" t="str">
        <f>IF(A127="","",SUMIFS(po_ht,po_sup,A127,po_status,"&lt;&gt;Annulé"))</f>
        <v/>
      </c>
      <c r="N127" s="128" t="str">
        <f>IF(A127="","",COUNTIFS(po_sup,A127,po_status,"En retard"))</f>
        <v/>
      </c>
      <c r="O127" s="72" t="str">
        <f>IF(A127="","",IF(COUNTIFS(po_sup,A127,po_ontime,"&gt;=0")=0,"",COUNTIFS(po_sup,A127,po_ontime,1)/COUNTIFS(po_sup,A127,po_ontime,"&gt;=0")))</f>
        <v/>
      </c>
      <c r="P127" s="67" t="str">
        <f>IF(A127="","",IF(COUNTIF(sup_code,A127)&gt;1,"Code en double",IF(B127="","Raison sociale manquante",IF(AND(K127&lt;&gt;"",OR(NOT(ISNUMBER(K127)),N(K127)&lt;0)),"Délai invalide","OK"))))</f>
        <v/>
      </c>
      <c r="Q127" s="70" t="str">
        <f>IF(A127="","",SUMIFS(po_ht,po_sup,A127,po_status,"&lt;&gt;Annulé",po_date,"&gt;="&amp;p_y0,po_date,"&lt;"&amp;p_y1))</f>
        <v/>
      </c>
      <c r="R127" s="66" t="str">
        <f>IF(N(Q127)&gt;0,Q127-ROW()/10000000,"")</f>
        <v/>
      </c>
    </row>
    <row r="128">
      <c r="A128" s="65" t="n"/>
      <c r="B128" s="63" t="n"/>
      <c r="C128" s="63" t="n"/>
      <c r="D128" s="63" t="n"/>
      <c r="E128" s="65" t="n"/>
      <c r="F128" s="63" t="n"/>
      <c r="G128" s="63" t="n"/>
      <c r="H128" s="63" t="n"/>
      <c r="I128" s="63" t="n"/>
      <c r="J128" s="63" t="n"/>
      <c r="K128" s="127" t="n"/>
      <c r="L128" s="128" t="str">
        <f>IF(A128="","",COUNTIFS(po_sup,A128,po_first,1))</f>
        <v/>
      </c>
      <c r="M128" s="70" t="str">
        <f>IF(A128="","",SUMIFS(po_ht,po_sup,A128,po_status,"&lt;&gt;Annulé"))</f>
        <v/>
      </c>
      <c r="N128" s="128" t="str">
        <f>IF(A128="","",COUNTIFS(po_sup,A128,po_status,"En retard"))</f>
        <v/>
      </c>
      <c r="O128" s="72" t="str">
        <f>IF(A128="","",IF(COUNTIFS(po_sup,A128,po_ontime,"&gt;=0")=0,"",COUNTIFS(po_sup,A128,po_ontime,1)/COUNTIFS(po_sup,A128,po_ontime,"&gt;=0")))</f>
        <v/>
      </c>
      <c r="P128" s="67" t="str">
        <f>IF(A128="","",IF(COUNTIF(sup_code,A128)&gt;1,"Code en double",IF(B128="","Raison sociale manquante",IF(AND(K128&lt;&gt;"",OR(NOT(ISNUMBER(K128)),N(K128)&lt;0)),"Délai invalide","OK"))))</f>
        <v/>
      </c>
      <c r="Q128" s="70" t="str">
        <f>IF(A128="","",SUMIFS(po_ht,po_sup,A128,po_status,"&lt;&gt;Annulé",po_date,"&gt;="&amp;p_y0,po_date,"&lt;"&amp;p_y1))</f>
        <v/>
      </c>
      <c r="R128" s="66" t="str">
        <f>IF(N(Q128)&gt;0,Q128-ROW()/10000000,"")</f>
        <v/>
      </c>
    </row>
    <row r="129">
      <c r="A129" s="65" t="n"/>
      <c r="B129" s="63" t="n"/>
      <c r="C129" s="63" t="n"/>
      <c r="D129" s="63" t="n"/>
      <c r="E129" s="65" t="n"/>
      <c r="F129" s="63" t="n"/>
      <c r="G129" s="63" t="n"/>
      <c r="H129" s="63" t="n"/>
      <c r="I129" s="63" t="n"/>
      <c r="J129" s="63" t="n"/>
      <c r="K129" s="127" t="n"/>
      <c r="L129" s="128" t="str">
        <f>IF(A129="","",COUNTIFS(po_sup,A129,po_first,1))</f>
        <v/>
      </c>
      <c r="M129" s="70" t="str">
        <f>IF(A129="","",SUMIFS(po_ht,po_sup,A129,po_status,"&lt;&gt;Annulé"))</f>
        <v/>
      </c>
      <c r="N129" s="128" t="str">
        <f>IF(A129="","",COUNTIFS(po_sup,A129,po_status,"En retard"))</f>
        <v/>
      </c>
      <c r="O129" s="72" t="str">
        <f>IF(A129="","",IF(COUNTIFS(po_sup,A129,po_ontime,"&gt;=0")=0,"",COUNTIFS(po_sup,A129,po_ontime,1)/COUNTIFS(po_sup,A129,po_ontime,"&gt;=0")))</f>
        <v/>
      </c>
      <c r="P129" s="67" t="str">
        <f>IF(A129="","",IF(COUNTIF(sup_code,A129)&gt;1,"Code en double",IF(B129="","Raison sociale manquante",IF(AND(K129&lt;&gt;"",OR(NOT(ISNUMBER(K129)),N(K129)&lt;0)),"Délai invalide","OK"))))</f>
        <v/>
      </c>
      <c r="Q129" s="70" t="str">
        <f>IF(A129="","",SUMIFS(po_ht,po_sup,A129,po_status,"&lt;&gt;Annulé",po_date,"&gt;="&amp;p_y0,po_date,"&lt;"&amp;p_y1))</f>
        <v/>
      </c>
      <c r="R129" s="66" t="str">
        <f>IF(N(Q129)&gt;0,Q129-ROW()/10000000,"")</f>
        <v/>
      </c>
    </row>
    <row r="130">
      <c r="A130" s="65" t="n"/>
      <c r="B130" s="63" t="n"/>
      <c r="C130" s="63" t="n"/>
      <c r="D130" s="63" t="n"/>
      <c r="E130" s="65" t="n"/>
      <c r="F130" s="63" t="n"/>
      <c r="G130" s="63" t="n"/>
      <c r="H130" s="63" t="n"/>
      <c r="I130" s="63" t="n"/>
      <c r="J130" s="63" t="n"/>
      <c r="K130" s="127" t="n"/>
      <c r="L130" s="128" t="str">
        <f>IF(A130="","",COUNTIFS(po_sup,A130,po_first,1))</f>
        <v/>
      </c>
      <c r="M130" s="70" t="str">
        <f>IF(A130="","",SUMIFS(po_ht,po_sup,A130,po_status,"&lt;&gt;Annulé"))</f>
        <v/>
      </c>
      <c r="N130" s="128" t="str">
        <f>IF(A130="","",COUNTIFS(po_sup,A130,po_status,"En retard"))</f>
        <v/>
      </c>
      <c r="O130" s="72" t="str">
        <f>IF(A130="","",IF(COUNTIFS(po_sup,A130,po_ontime,"&gt;=0")=0,"",COUNTIFS(po_sup,A130,po_ontime,1)/COUNTIFS(po_sup,A130,po_ontime,"&gt;=0")))</f>
        <v/>
      </c>
      <c r="P130" s="67" t="str">
        <f>IF(A130="","",IF(COUNTIF(sup_code,A130)&gt;1,"Code en double",IF(B130="","Raison sociale manquante",IF(AND(K130&lt;&gt;"",OR(NOT(ISNUMBER(K130)),N(K130)&lt;0)),"Délai invalide","OK"))))</f>
        <v/>
      </c>
      <c r="Q130" s="70" t="str">
        <f>IF(A130="","",SUMIFS(po_ht,po_sup,A130,po_status,"&lt;&gt;Annulé",po_date,"&gt;="&amp;p_y0,po_date,"&lt;"&amp;p_y1))</f>
        <v/>
      </c>
      <c r="R130" s="66" t="str">
        <f>IF(N(Q130)&gt;0,Q130-ROW()/10000000,"")</f>
        <v/>
      </c>
    </row>
    <row r="131">
      <c r="A131" s="65" t="n"/>
      <c r="B131" s="63" t="n"/>
      <c r="C131" s="63" t="n"/>
      <c r="D131" s="63" t="n"/>
      <c r="E131" s="65" t="n"/>
      <c r="F131" s="63" t="n"/>
      <c r="G131" s="63" t="n"/>
      <c r="H131" s="63" t="n"/>
      <c r="I131" s="63" t="n"/>
      <c r="J131" s="63" t="n"/>
      <c r="K131" s="127" t="n"/>
      <c r="L131" s="128" t="str">
        <f>IF(A131="","",COUNTIFS(po_sup,A131,po_first,1))</f>
        <v/>
      </c>
      <c r="M131" s="70" t="str">
        <f>IF(A131="","",SUMIFS(po_ht,po_sup,A131,po_status,"&lt;&gt;Annulé"))</f>
        <v/>
      </c>
      <c r="N131" s="128" t="str">
        <f>IF(A131="","",COUNTIFS(po_sup,A131,po_status,"En retard"))</f>
        <v/>
      </c>
      <c r="O131" s="72" t="str">
        <f>IF(A131="","",IF(COUNTIFS(po_sup,A131,po_ontime,"&gt;=0")=0,"",COUNTIFS(po_sup,A131,po_ontime,1)/COUNTIFS(po_sup,A131,po_ontime,"&gt;=0")))</f>
        <v/>
      </c>
      <c r="P131" s="67" t="str">
        <f>IF(A131="","",IF(COUNTIF(sup_code,A131)&gt;1,"Code en double",IF(B131="","Raison sociale manquante",IF(AND(K131&lt;&gt;"",OR(NOT(ISNUMBER(K131)),N(K131)&lt;0)),"Délai invalide","OK"))))</f>
        <v/>
      </c>
      <c r="Q131" s="70" t="str">
        <f>IF(A131="","",SUMIFS(po_ht,po_sup,A131,po_status,"&lt;&gt;Annulé",po_date,"&gt;="&amp;p_y0,po_date,"&lt;"&amp;p_y1))</f>
        <v/>
      </c>
      <c r="R131" s="66" t="str">
        <f>IF(N(Q131)&gt;0,Q131-ROW()/10000000,"")</f>
        <v/>
      </c>
    </row>
    <row r="132">
      <c r="A132" s="65" t="n"/>
      <c r="B132" s="63" t="n"/>
      <c r="C132" s="63" t="n"/>
      <c r="D132" s="63" t="n"/>
      <c r="E132" s="65" t="n"/>
      <c r="F132" s="63" t="n"/>
      <c r="G132" s="63" t="n"/>
      <c r="H132" s="63" t="n"/>
      <c r="I132" s="63" t="n"/>
      <c r="J132" s="63" t="n"/>
      <c r="K132" s="127" t="n"/>
      <c r="L132" s="128" t="str">
        <f>IF(A132="","",COUNTIFS(po_sup,A132,po_first,1))</f>
        <v/>
      </c>
      <c r="M132" s="70" t="str">
        <f>IF(A132="","",SUMIFS(po_ht,po_sup,A132,po_status,"&lt;&gt;Annulé"))</f>
        <v/>
      </c>
      <c r="N132" s="128" t="str">
        <f>IF(A132="","",COUNTIFS(po_sup,A132,po_status,"En retard"))</f>
        <v/>
      </c>
      <c r="O132" s="72" t="str">
        <f>IF(A132="","",IF(COUNTIFS(po_sup,A132,po_ontime,"&gt;=0")=0,"",COUNTIFS(po_sup,A132,po_ontime,1)/COUNTIFS(po_sup,A132,po_ontime,"&gt;=0")))</f>
        <v/>
      </c>
      <c r="P132" s="67" t="str">
        <f>IF(A132="","",IF(COUNTIF(sup_code,A132)&gt;1,"Code en double",IF(B132="","Raison sociale manquante",IF(AND(K132&lt;&gt;"",OR(NOT(ISNUMBER(K132)),N(K132)&lt;0)),"Délai invalide","OK"))))</f>
        <v/>
      </c>
      <c r="Q132" s="70" t="str">
        <f>IF(A132="","",SUMIFS(po_ht,po_sup,A132,po_status,"&lt;&gt;Annulé",po_date,"&gt;="&amp;p_y0,po_date,"&lt;"&amp;p_y1))</f>
        <v/>
      </c>
      <c r="R132" s="66" t="str">
        <f>IF(N(Q132)&gt;0,Q132-ROW()/10000000,"")</f>
        <v/>
      </c>
    </row>
    <row r="133">
      <c r="A133" s="65" t="n"/>
      <c r="B133" s="63" t="n"/>
      <c r="C133" s="63" t="n"/>
      <c r="D133" s="63" t="n"/>
      <c r="E133" s="65" t="n"/>
      <c r="F133" s="63" t="n"/>
      <c r="G133" s="63" t="n"/>
      <c r="H133" s="63" t="n"/>
      <c r="I133" s="63" t="n"/>
      <c r="J133" s="63" t="n"/>
      <c r="K133" s="127" t="n"/>
      <c r="L133" s="128" t="str">
        <f>IF(A133="","",COUNTIFS(po_sup,A133,po_first,1))</f>
        <v/>
      </c>
      <c r="M133" s="70" t="str">
        <f>IF(A133="","",SUMIFS(po_ht,po_sup,A133,po_status,"&lt;&gt;Annulé"))</f>
        <v/>
      </c>
      <c r="N133" s="128" t="str">
        <f>IF(A133="","",COUNTIFS(po_sup,A133,po_status,"En retard"))</f>
        <v/>
      </c>
      <c r="O133" s="72" t="str">
        <f>IF(A133="","",IF(COUNTIFS(po_sup,A133,po_ontime,"&gt;=0")=0,"",COUNTIFS(po_sup,A133,po_ontime,1)/COUNTIFS(po_sup,A133,po_ontime,"&gt;=0")))</f>
        <v/>
      </c>
      <c r="P133" s="67" t="str">
        <f>IF(A133="","",IF(COUNTIF(sup_code,A133)&gt;1,"Code en double",IF(B133="","Raison sociale manquante",IF(AND(K133&lt;&gt;"",OR(NOT(ISNUMBER(K133)),N(K133)&lt;0)),"Délai invalide","OK"))))</f>
        <v/>
      </c>
      <c r="Q133" s="70" t="str">
        <f>IF(A133="","",SUMIFS(po_ht,po_sup,A133,po_status,"&lt;&gt;Annulé",po_date,"&gt;="&amp;p_y0,po_date,"&lt;"&amp;p_y1))</f>
        <v/>
      </c>
      <c r="R133" s="66" t="str">
        <f>IF(N(Q133)&gt;0,Q133-ROW()/10000000,"")</f>
        <v/>
      </c>
    </row>
    <row r="134">
      <c r="A134" s="65" t="n"/>
      <c r="B134" s="63" t="n"/>
      <c r="C134" s="63" t="n"/>
      <c r="D134" s="63" t="n"/>
      <c r="E134" s="65" t="n"/>
      <c r="F134" s="63" t="n"/>
      <c r="G134" s="63" t="n"/>
      <c r="H134" s="63" t="n"/>
      <c r="I134" s="63" t="n"/>
      <c r="J134" s="63" t="n"/>
      <c r="K134" s="127" t="n"/>
      <c r="L134" s="128" t="str">
        <f>IF(A134="","",COUNTIFS(po_sup,A134,po_first,1))</f>
        <v/>
      </c>
      <c r="M134" s="70" t="str">
        <f>IF(A134="","",SUMIFS(po_ht,po_sup,A134,po_status,"&lt;&gt;Annulé"))</f>
        <v/>
      </c>
      <c r="N134" s="128" t="str">
        <f>IF(A134="","",COUNTIFS(po_sup,A134,po_status,"En retard"))</f>
        <v/>
      </c>
      <c r="O134" s="72" t="str">
        <f>IF(A134="","",IF(COUNTIFS(po_sup,A134,po_ontime,"&gt;=0")=0,"",COUNTIFS(po_sup,A134,po_ontime,1)/COUNTIFS(po_sup,A134,po_ontime,"&gt;=0")))</f>
        <v/>
      </c>
      <c r="P134" s="67" t="str">
        <f>IF(A134="","",IF(COUNTIF(sup_code,A134)&gt;1,"Code en double",IF(B134="","Raison sociale manquante",IF(AND(K134&lt;&gt;"",OR(NOT(ISNUMBER(K134)),N(K134)&lt;0)),"Délai invalide","OK"))))</f>
        <v/>
      </c>
      <c r="Q134" s="70" t="str">
        <f>IF(A134="","",SUMIFS(po_ht,po_sup,A134,po_status,"&lt;&gt;Annulé",po_date,"&gt;="&amp;p_y0,po_date,"&lt;"&amp;p_y1))</f>
        <v/>
      </c>
      <c r="R134" s="66" t="str">
        <f>IF(N(Q134)&gt;0,Q134-ROW()/10000000,"")</f>
        <v/>
      </c>
    </row>
    <row r="135">
      <c r="A135" s="65" t="n"/>
      <c r="B135" s="63" t="n"/>
      <c r="C135" s="63" t="n"/>
      <c r="D135" s="63" t="n"/>
      <c r="E135" s="65" t="n"/>
      <c r="F135" s="63" t="n"/>
      <c r="G135" s="63" t="n"/>
      <c r="H135" s="63" t="n"/>
      <c r="I135" s="63" t="n"/>
      <c r="J135" s="63" t="n"/>
      <c r="K135" s="127" t="n"/>
      <c r="L135" s="128" t="str">
        <f>IF(A135="","",COUNTIFS(po_sup,A135,po_first,1))</f>
        <v/>
      </c>
      <c r="M135" s="70" t="str">
        <f>IF(A135="","",SUMIFS(po_ht,po_sup,A135,po_status,"&lt;&gt;Annulé"))</f>
        <v/>
      </c>
      <c r="N135" s="128" t="str">
        <f>IF(A135="","",COUNTIFS(po_sup,A135,po_status,"En retard"))</f>
        <v/>
      </c>
      <c r="O135" s="72" t="str">
        <f>IF(A135="","",IF(COUNTIFS(po_sup,A135,po_ontime,"&gt;=0")=0,"",COUNTIFS(po_sup,A135,po_ontime,1)/COUNTIFS(po_sup,A135,po_ontime,"&gt;=0")))</f>
        <v/>
      </c>
      <c r="P135" s="67" t="str">
        <f>IF(A135="","",IF(COUNTIF(sup_code,A135)&gt;1,"Code en double",IF(B135="","Raison sociale manquante",IF(AND(K135&lt;&gt;"",OR(NOT(ISNUMBER(K135)),N(K135)&lt;0)),"Délai invalide","OK"))))</f>
        <v/>
      </c>
      <c r="Q135" s="70" t="str">
        <f>IF(A135="","",SUMIFS(po_ht,po_sup,A135,po_status,"&lt;&gt;Annulé",po_date,"&gt;="&amp;p_y0,po_date,"&lt;"&amp;p_y1))</f>
        <v/>
      </c>
      <c r="R135" s="66" t="str">
        <f>IF(N(Q135)&gt;0,Q135-ROW()/10000000,"")</f>
        <v/>
      </c>
    </row>
    <row r="136">
      <c r="A136" s="65" t="n"/>
      <c r="B136" s="63" t="n"/>
      <c r="C136" s="63" t="n"/>
      <c r="D136" s="63" t="n"/>
      <c r="E136" s="65" t="n"/>
      <c r="F136" s="63" t="n"/>
      <c r="G136" s="63" t="n"/>
      <c r="H136" s="63" t="n"/>
      <c r="I136" s="63" t="n"/>
      <c r="J136" s="63" t="n"/>
      <c r="K136" s="127" t="n"/>
      <c r="L136" s="128" t="str">
        <f>IF(A136="","",COUNTIFS(po_sup,A136,po_first,1))</f>
        <v/>
      </c>
      <c r="M136" s="70" t="str">
        <f>IF(A136="","",SUMIFS(po_ht,po_sup,A136,po_status,"&lt;&gt;Annulé"))</f>
        <v/>
      </c>
      <c r="N136" s="128" t="str">
        <f>IF(A136="","",COUNTIFS(po_sup,A136,po_status,"En retard"))</f>
        <v/>
      </c>
      <c r="O136" s="72" t="str">
        <f>IF(A136="","",IF(COUNTIFS(po_sup,A136,po_ontime,"&gt;=0")=0,"",COUNTIFS(po_sup,A136,po_ontime,1)/COUNTIFS(po_sup,A136,po_ontime,"&gt;=0")))</f>
        <v/>
      </c>
      <c r="P136" s="67" t="str">
        <f>IF(A136="","",IF(COUNTIF(sup_code,A136)&gt;1,"Code en double",IF(B136="","Raison sociale manquante",IF(AND(K136&lt;&gt;"",OR(NOT(ISNUMBER(K136)),N(K136)&lt;0)),"Délai invalide","OK"))))</f>
        <v/>
      </c>
      <c r="Q136" s="70" t="str">
        <f>IF(A136="","",SUMIFS(po_ht,po_sup,A136,po_status,"&lt;&gt;Annulé",po_date,"&gt;="&amp;p_y0,po_date,"&lt;"&amp;p_y1))</f>
        <v/>
      </c>
      <c r="R136" s="66" t="str">
        <f>IF(N(Q136)&gt;0,Q136-ROW()/10000000,"")</f>
        <v/>
      </c>
    </row>
    <row r="137">
      <c r="A137" s="65" t="n"/>
      <c r="B137" s="63" t="n"/>
      <c r="C137" s="63" t="n"/>
      <c r="D137" s="63" t="n"/>
      <c r="E137" s="65" t="n"/>
      <c r="F137" s="63" t="n"/>
      <c r="G137" s="63" t="n"/>
      <c r="H137" s="63" t="n"/>
      <c r="I137" s="63" t="n"/>
      <c r="J137" s="63" t="n"/>
      <c r="K137" s="127" t="n"/>
      <c r="L137" s="128" t="str">
        <f>IF(A137="","",COUNTIFS(po_sup,A137,po_first,1))</f>
        <v/>
      </c>
      <c r="M137" s="70" t="str">
        <f>IF(A137="","",SUMIFS(po_ht,po_sup,A137,po_status,"&lt;&gt;Annulé"))</f>
        <v/>
      </c>
      <c r="N137" s="128" t="str">
        <f>IF(A137="","",COUNTIFS(po_sup,A137,po_status,"En retard"))</f>
        <v/>
      </c>
      <c r="O137" s="72" t="str">
        <f>IF(A137="","",IF(COUNTIFS(po_sup,A137,po_ontime,"&gt;=0")=0,"",COUNTIFS(po_sup,A137,po_ontime,1)/COUNTIFS(po_sup,A137,po_ontime,"&gt;=0")))</f>
        <v/>
      </c>
      <c r="P137" s="67" t="str">
        <f>IF(A137="","",IF(COUNTIF(sup_code,A137)&gt;1,"Code en double",IF(B137="","Raison sociale manquante",IF(AND(K137&lt;&gt;"",OR(NOT(ISNUMBER(K137)),N(K137)&lt;0)),"Délai invalide","OK"))))</f>
        <v/>
      </c>
      <c r="Q137" s="70" t="str">
        <f>IF(A137="","",SUMIFS(po_ht,po_sup,A137,po_status,"&lt;&gt;Annulé",po_date,"&gt;="&amp;p_y0,po_date,"&lt;"&amp;p_y1))</f>
        <v/>
      </c>
      <c r="R137" s="66" t="str">
        <f>IF(N(Q137)&gt;0,Q137-ROW()/10000000,"")</f>
        <v/>
      </c>
    </row>
    <row r="138">
      <c r="A138" s="65" t="n"/>
      <c r="B138" s="63" t="n"/>
      <c r="C138" s="63" t="n"/>
      <c r="D138" s="63" t="n"/>
      <c r="E138" s="65" t="n"/>
      <c r="F138" s="63" t="n"/>
      <c r="G138" s="63" t="n"/>
      <c r="H138" s="63" t="n"/>
      <c r="I138" s="63" t="n"/>
      <c r="J138" s="63" t="n"/>
      <c r="K138" s="127" t="n"/>
      <c r="L138" s="128" t="str">
        <f>IF(A138="","",COUNTIFS(po_sup,A138,po_first,1))</f>
        <v/>
      </c>
      <c r="M138" s="70" t="str">
        <f>IF(A138="","",SUMIFS(po_ht,po_sup,A138,po_status,"&lt;&gt;Annulé"))</f>
        <v/>
      </c>
      <c r="N138" s="128" t="str">
        <f>IF(A138="","",COUNTIFS(po_sup,A138,po_status,"En retard"))</f>
        <v/>
      </c>
      <c r="O138" s="72" t="str">
        <f>IF(A138="","",IF(COUNTIFS(po_sup,A138,po_ontime,"&gt;=0")=0,"",COUNTIFS(po_sup,A138,po_ontime,1)/COUNTIFS(po_sup,A138,po_ontime,"&gt;=0")))</f>
        <v/>
      </c>
      <c r="P138" s="67" t="str">
        <f>IF(A138="","",IF(COUNTIF(sup_code,A138)&gt;1,"Code en double",IF(B138="","Raison sociale manquante",IF(AND(K138&lt;&gt;"",OR(NOT(ISNUMBER(K138)),N(K138)&lt;0)),"Délai invalide","OK"))))</f>
        <v/>
      </c>
      <c r="Q138" s="70" t="str">
        <f>IF(A138="","",SUMIFS(po_ht,po_sup,A138,po_status,"&lt;&gt;Annulé",po_date,"&gt;="&amp;p_y0,po_date,"&lt;"&amp;p_y1))</f>
        <v/>
      </c>
      <c r="R138" s="66" t="str">
        <f>IF(N(Q138)&gt;0,Q138-ROW()/10000000,"")</f>
        <v/>
      </c>
    </row>
    <row r="139">
      <c r="A139" s="65" t="n"/>
      <c r="B139" s="63" t="n"/>
      <c r="C139" s="63" t="n"/>
      <c r="D139" s="63" t="n"/>
      <c r="E139" s="65" t="n"/>
      <c r="F139" s="63" t="n"/>
      <c r="G139" s="63" t="n"/>
      <c r="H139" s="63" t="n"/>
      <c r="I139" s="63" t="n"/>
      <c r="J139" s="63" t="n"/>
      <c r="K139" s="127" t="n"/>
      <c r="L139" s="128" t="str">
        <f>IF(A139="","",COUNTIFS(po_sup,A139,po_first,1))</f>
        <v/>
      </c>
      <c r="M139" s="70" t="str">
        <f>IF(A139="","",SUMIFS(po_ht,po_sup,A139,po_status,"&lt;&gt;Annulé"))</f>
        <v/>
      </c>
      <c r="N139" s="128" t="str">
        <f>IF(A139="","",COUNTIFS(po_sup,A139,po_status,"En retard"))</f>
        <v/>
      </c>
      <c r="O139" s="72" t="str">
        <f>IF(A139="","",IF(COUNTIFS(po_sup,A139,po_ontime,"&gt;=0")=0,"",COUNTIFS(po_sup,A139,po_ontime,1)/COUNTIFS(po_sup,A139,po_ontime,"&gt;=0")))</f>
        <v/>
      </c>
      <c r="P139" s="67" t="str">
        <f>IF(A139="","",IF(COUNTIF(sup_code,A139)&gt;1,"Code en double",IF(B139="","Raison sociale manquante",IF(AND(K139&lt;&gt;"",OR(NOT(ISNUMBER(K139)),N(K139)&lt;0)),"Délai invalide","OK"))))</f>
        <v/>
      </c>
      <c r="Q139" s="70" t="str">
        <f>IF(A139="","",SUMIFS(po_ht,po_sup,A139,po_status,"&lt;&gt;Annulé",po_date,"&gt;="&amp;p_y0,po_date,"&lt;"&amp;p_y1))</f>
        <v/>
      </c>
      <c r="R139" s="66" t="str">
        <f>IF(N(Q139)&gt;0,Q139-ROW()/10000000,"")</f>
        <v/>
      </c>
    </row>
    <row r="140">
      <c r="A140" s="65" t="n"/>
      <c r="B140" s="63" t="n"/>
      <c r="C140" s="63" t="n"/>
      <c r="D140" s="63" t="n"/>
      <c r="E140" s="65" t="n"/>
      <c r="F140" s="63" t="n"/>
      <c r="G140" s="63" t="n"/>
      <c r="H140" s="63" t="n"/>
      <c r="I140" s="63" t="n"/>
      <c r="J140" s="63" t="n"/>
      <c r="K140" s="127" t="n"/>
      <c r="L140" s="128" t="str">
        <f>IF(A140="","",COUNTIFS(po_sup,A140,po_first,1))</f>
        <v/>
      </c>
      <c r="M140" s="70" t="str">
        <f>IF(A140="","",SUMIFS(po_ht,po_sup,A140,po_status,"&lt;&gt;Annulé"))</f>
        <v/>
      </c>
      <c r="N140" s="128" t="str">
        <f>IF(A140="","",COUNTIFS(po_sup,A140,po_status,"En retard"))</f>
        <v/>
      </c>
      <c r="O140" s="72" t="str">
        <f>IF(A140="","",IF(COUNTIFS(po_sup,A140,po_ontime,"&gt;=0")=0,"",COUNTIFS(po_sup,A140,po_ontime,1)/COUNTIFS(po_sup,A140,po_ontime,"&gt;=0")))</f>
        <v/>
      </c>
      <c r="P140" s="67" t="str">
        <f>IF(A140="","",IF(COUNTIF(sup_code,A140)&gt;1,"Code en double",IF(B140="","Raison sociale manquante",IF(AND(K140&lt;&gt;"",OR(NOT(ISNUMBER(K140)),N(K140)&lt;0)),"Délai invalide","OK"))))</f>
        <v/>
      </c>
      <c r="Q140" s="70" t="str">
        <f>IF(A140="","",SUMIFS(po_ht,po_sup,A140,po_status,"&lt;&gt;Annulé",po_date,"&gt;="&amp;p_y0,po_date,"&lt;"&amp;p_y1))</f>
        <v/>
      </c>
      <c r="R140" s="66" t="str">
        <f>IF(N(Q140)&gt;0,Q140-ROW()/10000000,"")</f>
        <v/>
      </c>
    </row>
    <row r="141">
      <c r="A141" s="65" t="n"/>
      <c r="B141" s="63" t="n"/>
      <c r="C141" s="63" t="n"/>
      <c r="D141" s="63" t="n"/>
      <c r="E141" s="65" t="n"/>
      <c r="F141" s="63" t="n"/>
      <c r="G141" s="63" t="n"/>
      <c r="H141" s="63" t="n"/>
      <c r="I141" s="63" t="n"/>
      <c r="J141" s="63" t="n"/>
      <c r="K141" s="127" t="n"/>
      <c r="L141" s="128" t="str">
        <f>IF(A141="","",COUNTIFS(po_sup,A141,po_first,1))</f>
        <v/>
      </c>
      <c r="M141" s="70" t="str">
        <f>IF(A141="","",SUMIFS(po_ht,po_sup,A141,po_status,"&lt;&gt;Annulé"))</f>
        <v/>
      </c>
      <c r="N141" s="128" t="str">
        <f>IF(A141="","",COUNTIFS(po_sup,A141,po_status,"En retard"))</f>
        <v/>
      </c>
      <c r="O141" s="72" t="str">
        <f>IF(A141="","",IF(COUNTIFS(po_sup,A141,po_ontime,"&gt;=0")=0,"",COUNTIFS(po_sup,A141,po_ontime,1)/COUNTIFS(po_sup,A141,po_ontime,"&gt;=0")))</f>
        <v/>
      </c>
      <c r="P141" s="67" t="str">
        <f>IF(A141="","",IF(COUNTIF(sup_code,A141)&gt;1,"Code en double",IF(B141="","Raison sociale manquante",IF(AND(K141&lt;&gt;"",OR(NOT(ISNUMBER(K141)),N(K141)&lt;0)),"Délai invalide","OK"))))</f>
        <v/>
      </c>
      <c r="Q141" s="70" t="str">
        <f>IF(A141="","",SUMIFS(po_ht,po_sup,A141,po_status,"&lt;&gt;Annulé",po_date,"&gt;="&amp;p_y0,po_date,"&lt;"&amp;p_y1))</f>
        <v/>
      </c>
      <c r="R141" s="66" t="str">
        <f>IF(N(Q141)&gt;0,Q141-ROW()/10000000,"")</f>
        <v/>
      </c>
    </row>
    <row r="142">
      <c r="A142" s="65" t="n"/>
      <c r="B142" s="63" t="n"/>
      <c r="C142" s="63" t="n"/>
      <c r="D142" s="63" t="n"/>
      <c r="E142" s="65" t="n"/>
      <c r="F142" s="63" t="n"/>
      <c r="G142" s="63" t="n"/>
      <c r="H142" s="63" t="n"/>
      <c r="I142" s="63" t="n"/>
      <c r="J142" s="63" t="n"/>
      <c r="K142" s="127" t="n"/>
      <c r="L142" s="128" t="str">
        <f>IF(A142="","",COUNTIFS(po_sup,A142,po_first,1))</f>
        <v/>
      </c>
      <c r="M142" s="70" t="str">
        <f>IF(A142="","",SUMIFS(po_ht,po_sup,A142,po_status,"&lt;&gt;Annulé"))</f>
        <v/>
      </c>
      <c r="N142" s="128" t="str">
        <f>IF(A142="","",COUNTIFS(po_sup,A142,po_status,"En retard"))</f>
        <v/>
      </c>
      <c r="O142" s="72" t="str">
        <f>IF(A142="","",IF(COUNTIFS(po_sup,A142,po_ontime,"&gt;=0")=0,"",COUNTIFS(po_sup,A142,po_ontime,1)/COUNTIFS(po_sup,A142,po_ontime,"&gt;=0")))</f>
        <v/>
      </c>
      <c r="P142" s="67" t="str">
        <f>IF(A142="","",IF(COUNTIF(sup_code,A142)&gt;1,"Code en double",IF(B142="","Raison sociale manquante",IF(AND(K142&lt;&gt;"",OR(NOT(ISNUMBER(K142)),N(K142)&lt;0)),"Délai invalide","OK"))))</f>
        <v/>
      </c>
      <c r="Q142" s="70" t="str">
        <f>IF(A142="","",SUMIFS(po_ht,po_sup,A142,po_status,"&lt;&gt;Annulé",po_date,"&gt;="&amp;p_y0,po_date,"&lt;"&amp;p_y1))</f>
        <v/>
      </c>
      <c r="R142" s="66" t="str">
        <f>IF(N(Q142)&gt;0,Q142-ROW()/10000000,"")</f>
        <v/>
      </c>
    </row>
    <row r="143">
      <c r="A143" s="65" t="n"/>
      <c r="B143" s="63" t="n"/>
      <c r="C143" s="63" t="n"/>
      <c r="D143" s="63" t="n"/>
      <c r="E143" s="65" t="n"/>
      <c r="F143" s="63" t="n"/>
      <c r="G143" s="63" t="n"/>
      <c r="H143" s="63" t="n"/>
      <c r="I143" s="63" t="n"/>
      <c r="J143" s="63" t="n"/>
      <c r="K143" s="127" t="n"/>
      <c r="L143" s="128" t="str">
        <f>IF(A143="","",COUNTIFS(po_sup,A143,po_first,1))</f>
        <v/>
      </c>
      <c r="M143" s="70" t="str">
        <f>IF(A143="","",SUMIFS(po_ht,po_sup,A143,po_status,"&lt;&gt;Annulé"))</f>
        <v/>
      </c>
      <c r="N143" s="128" t="str">
        <f>IF(A143="","",COUNTIFS(po_sup,A143,po_status,"En retard"))</f>
        <v/>
      </c>
      <c r="O143" s="72" t="str">
        <f>IF(A143="","",IF(COUNTIFS(po_sup,A143,po_ontime,"&gt;=0")=0,"",COUNTIFS(po_sup,A143,po_ontime,1)/COUNTIFS(po_sup,A143,po_ontime,"&gt;=0")))</f>
        <v/>
      </c>
      <c r="P143" s="67" t="str">
        <f>IF(A143="","",IF(COUNTIF(sup_code,A143)&gt;1,"Code en double",IF(B143="","Raison sociale manquante",IF(AND(K143&lt;&gt;"",OR(NOT(ISNUMBER(K143)),N(K143)&lt;0)),"Délai invalide","OK"))))</f>
        <v/>
      </c>
      <c r="Q143" s="70" t="str">
        <f>IF(A143="","",SUMIFS(po_ht,po_sup,A143,po_status,"&lt;&gt;Annulé",po_date,"&gt;="&amp;p_y0,po_date,"&lt;"&amp;p_y1))</f>
        <v/>
      </c>
      <c r="R143" s="66" t="str">
        <f>IF(N(Q143)&gt;0,Q143-ROW()/10000000,"")</f>
        <v/>
      </c>
    </row>
    <row r="144">
      <c r="A144" s="65" t="n"/>
      <c r="B144" s="63" t="n"/>
      <c r="C144" s="63" t="n"/>
      <c r="D144" s="63" t="n"/>
      <c r="E144" s="65" t="n"/>
      <c r="F144" s="63" t="n"/>
      <c r="G144" s="63" t="n"/>
      <c r="H144" s="63" t="n"/>
      <c r="I144" s="63" t="n"/>
      <c r="J144" s="63" t="n"/>
      <c r="K144" s="127" t="n"/>
      <c r="L144" s="128" t="str">
        <f>IF(A144="","",COUNTIFS(po_sup,A144,po_first,1))</f>
        <v/>
      </c>
      <c r="M144" s="70" t="str">
        <f>IF(A144="","",SUMIFS(po_ht,po_sup,A144,po_status,"&lt;&gt;Annulé"))</f>
        <v/>
      </c>
      <c r="N144" s="128" t="str">
        <f>IF(A144="","",COUNTIFS(po_sup,A144,po_status,"En retard"))</f>
        <v/>
      </c>
      <c r="O144" s="72" t="str">
        <f>IF(A144="","",IF(COUNTIFS(po_sup,A144,po_ontime,"&gt;=0")=0,"",COUNTIFS(po_sup,A144,po_ontime,1)/COUNTIFS(po_sup,A144,po_ontime,"&gt;=0")))</f>
        <v/>
      </c>
      <c r="P144" s="67" t="str">
        <f>IF(A144="","",IF(COUNTIF(sup_code,A144)&gt;1,"Code en double",IF(B144="","Raison sociale manquante",IF(AND(K144&lt;&gt;"",OR(NOT(ISNUMBER(K144)),N(K144)&lt;0)),"Délai invalide","OK"))))</f>
        <v/>
      </c>
      <c r="Q144" s="70" t="str">
        <f>IF(A144="","",SUMIFS(po_ht,po_sup,A144,po_status,"&lt;&gt;Annulé",po_date,"&gt;="&amp;p_y0,po_date,"&lt;"&amp;p_y1))</f>
        <v/>
      </c>
      <c r="R144" s="66" t="str">
        <f>IF(N(Q144)&gt;0,Q144-ROW()/10000000,"")</f>
        <v/>
      </c>
    </row>
    <row r="145">
      <c r="A145" s="65" t="n"/>
      <c r="B145" s="63" t="n"/>
      <c r="C145" s="63" t="n"/>
      <c r="D145" s="63" t="n"/>
      <c r="E145" s="65" t="n"/>
      <c r="F145" s="63" t="n"/>
      <c r="G145" s="63" t="n"/>
      <c r="H145" s="63" t="n"/>
      <c r="I145" s="63" t="n"/>
      <c r="J145" s="63" t="n"/>
      <c r="K145" s="127" t="n"/>
      <c r="L145" s="128" t="str">
        <f>IF(A145="","",COUNTIFS(po_sup,A145,po_first,1))</f>
        <v/>
      </c>
      <c r="M145" s="70" t="str">
        <f>IF(A145="","",SUMIFS(po_ht,po_sup,A145,po_status,"&lt;&gt;Annulé"))</f>
        <v/>
      </c>
      <c r="N145" s="128" t="str">
        <f>IF(A145="","",COUNTIFS(po_sup,A145,po_status,"En retard"))</f>
        <v/>
      </c>
      <c r="O145" s="72" t="str">
        <f>IF(A145="","",IF(COUNTIFS(po_sup,A145,po_ontime,"&gt;=0")=0,"",COUNTIFS(po_sup,A145,po_ontime,1)/COUNTIFS(po_sup,A145,po_ontime,"&gt;=0")))</f>
        <v/>
      </c>
      <c r="P145" s="67" t="str">
        <f>IF(A145="","",IF(COUNTIF(sup_code,A145)&gt;1,"Code en double",IF(B145="","Raison sociale manquante",IF(AND(K145&lt;&gt;"",OR(NOT(ISNUMBER(K145)),N(K145)&lt;0)),"Délai invalide","OK"))))</f>
        <v/>
      </c>
      <c r="Q145" s="70" t="str">
        <f>IF(A145="","",SUMIFS(po_ht,po_sup,A145,po_status,"&lt;&gt;Annulé",po_date,"&gt;="&amp;p_y0,po_date,"&lt;"&amp;p_y1))</f>
        <v/>
      </c>
      <c r="R145" s="66" t="str">
        <f>IF(N(Q145)&gt;0,Q145-ROW()/10000000,"")</f>
        <v/>
      </c>
    </row>
    <row r="146">
      <c r="A146" s="65" t="n"/>
      <c r="B146" s="63" t="n"/>
      <c r="C146" s="63" t="n"/>
      <c r="D146" s="63" t="n"/>
      <c r="E146" s="65" t="n"/>
      <c r="F146" s="63" t="n"/>
      <c r="G146" s="63" t="n"/>
      <c r="H146" s="63" t="n"/>
      <c r="I146" s="63" t="n"/>
      <c r="J146" s="63" t="n"/>
      <c r="K146" s="127" t="n"/>
      <c r="L146" s="128" t="str">
        <f>IF(A146="","",COUNTIFS(po_sup,A146,po_first,1))</f>
        <v/>
      </c>
      <c r="M146" s="70" t="str">
        <f>IF(A146="","",SUMIFS(po_ht,po_sup,A146,po_status,"&lt;&gt;Annulé"))</f>
        <v/>
      </c>
      <c r="N146" s="128" t="str">
        <f>IF(A146="","",COUNTIFS(po_sup,A146,po_status,"En retard"))</f>
        <v/>
      </c>
      <c r="O146" s="72" t="str">
        <f>IF(A146="","",IF(COUNTIFS(po_sup,A146,po_ontime,"&gt;=0")=0,"",COUNTIFS(po_sup,A146,po_ontime,1)/COUNTIFS(po_sup,A146,po_ontime,"&gt;=0")))</f>
        <v/>
      </c>
      <c r="P146" s="67" t="str">
        <f>IF(A146="","",IF(COUNTIF(sup_code,A146)&gt;1,"Code en double",IF(B146="","Raison sociale manquante",IF(AND(K146&lt;&gt;"",OR(NOT(ISNUMBER(K146)),N(K146)&lt;0)),"Délai invalide","OK"))))</f>
        <v/>
      </c>
      <c r="Q146" s="70" t="str">
        <f>IF(A146="","",SUMIFS(po_ht,po_sup,A146,po_status,"&lt;&gt;Annulé",po_date,"&gt;="&amp;p_y0,po_date,"&lt;"&amp;p_y1))</f>
        <v/>
      </c>
      <c r="R146" s="66" t="str">
        <f>IF(N(Q146)&gt;0,Q146-ROW()/10000000,"")</f>
        <v/>
      </c>
    </row>
    <row r="147">
      <c r="A147" s="65" t="n"/>
      <c r="B147" s="63" t="n"/>
      <c r="C147" s="63" t="n"/>
      <c r="D147" s="63" t="n"/>
      <c r="E147" s="65" t="n"/>
      <c r="F147" s="63" t="n"/>
      <c r="G147" s="63" t="n"/>
      <c r="H147" s="63" t="n"/>
      <c r="I147" s="63" t="n"/>
      <c r="J147" s="63" t="n"/>
      <c r="K147" s="127" t="n"/>
      <c r="L147" s="128" t="str">
        <f>IF(A147="","",COUNTIFS(po_sup,A147,po_first,1))</f>
        <v/>
      </c>
      <c r="M147" s="70" t="str">
        <f>IF(A147="","",SUMIFS(po_ht,po_sup,A147,po_status,"&lt;&gt;Annulé"))</f>
        <v/>
      </c>
      <c r="N147" s="128" t="str">
        <f>IF(A147="","",COUNTIFS(po_sup,A147,po_status,"En retard"))</f>
        <v/>
      </c>
      <c r="O147" s="72" t="str">
        <f>IF(A147="","",IF(COUNTIFS(po_sup,A147,po_ontime,"&gt;=0")=0,"",COUNTIFS(po_sup,A147,po_ontime,1)/COUNTIFS(po_sup,A147,po_ontime,"&gt;=0")))</f>
        <v/>
      </c>
      <c r="P147" s="67" t="str">
        <f>IF(A147="","",IF(COUNTIF(sup_code,A147)&gt;1,"Code en double",IF(B147="","Raison sociale manquante",IF(AND(K147&lt;&gt;"",OR(NOT(ISNUMBER(K147)),N(K147)&lt;0)),"Délai invalide","OK"))))</f>
        <v/>
      </c>
      <c r="Q147" s="70" t="str">
        <f>IF(A147="","",SUMIFS(po_ht,po_sup,A147,po_status,"&lt;&gt;Annulé",po_date,"&gt;="&amp;p_y0,po_date,"&lt;"&amp;p_y1))</f>
        <v/>
      </c>
      <c r="R147" s="66" t="str">
        <f>IF(N(Q147)&gt;0,Q147-ROW()/10000000,"")</f>
        <v/>
      </c>
    </row>
    <row r="148">
      <c r="A148" s="65" t="n"/>
      <c r="B148" s="63" t="n"/>
      <c r="C148" s="63" t="n"/>
      <c r="D148" s="63" t="n"/>
      <c r="E148" s="65" t="n"/>
      <c r="F148" s="63" t="n"/>
      <c r="G148" s="63" t="n"/>
      <c r="H148" s="63" t="n"/>
      <c r="I148" s="63" t="n"/>
      <c r="J148" s="63" t="n"/>
      <c r="K148" s="127" t="n"/>
      <c r="L148" s="128" t="str">
        <f>IF(A148="","",COUNTIFS(po_sup,A148,po_first,1))</f>
        <v/>
      </c>
      <c r="M148" s="70" t="str">
        <f>IF(A148="","",SUMIFS(po_ht,po_sup,A148,po_status,"&lt;&gt;Annulé"))</f>
        <v/>
      </c>
      <c r="N148" s="128" t="str">
        <f>IF(A148="","",COUNTIFS(po_sup,A148,po_status,"En retard"))</f>
        <v/>
      </c>
      <c r="O148" s="72" t="str">
        <f>IF(A148="","",IF(COUNTIFS(po_sup,A148,po_ontime,"&gt;=0")=0,"",COUNTIFS(po_sup,A148,po_ontime,1)/COUNTIFS(po_sup,A148,po_ontime,"&gt;=0")))</f>
        <v/>
      </c>
      <c r="P148" s="67" t="str">
        <f>IF(A148="","",IF(COUNTIF(sup_code,A148)&gt;1,"Code en double",IF(B148="","Raison sociale manquante",IF(AND(K148&lt;&gt;"",OR(NOT(ISNUMBER(K148)),N(K148)&lt;0)),"Délai invalide","OK"))))</f>
        <v/>
      </c>
      <c r="Q148" s="70" t="str">
        <f>IF(A148="","",SUMIFS(po_ht,po_sup,A148,po_status,"&lt;&gt;Annulé",po_date,"&gt;="&amp;p_y0,po_date,"&lt;"&amp;p_y1))</f>
        <v/>
      </c>
      <c r="R148" s="66" t="str">
        <f>IF(N(Q148)&gt;0,Q148-ROW()/10000000,"")</f>
        <v/>
      </c>
    </row>
    <row r="149">
      <c r="A149" s="65" t="n"/>
      <c r="B149" s="63" t="n"/>
      <c r="C149" s="63" t="n"/>
      <c r="D149" s="63" t="n"/>
      <c r="E149" s="65" t="n"/>
      <c r="F149" s="63" t="n"/>
      <c r="G149" s="63" t="n"/>
      <c r="H149" s="63" t="n"/>
      <c r="I149" s="63" t="n"/>
      <c r="J149" s="63" t="n"/>
      <c r="K149" s="127" t="n"/>
      <c r="L149" s="128" t="str">
        <f>IF(A149="","",COUNTIFS(po_sup,A149,po_first,1))</f>
        <v/>
      </c>
      <c r="M149" s="70" t="str">
        <f>IF(A149="","",SUMIFS(po_ht,po_sup,A149,po_status,"&lt;&gt;Annulé"))</f>
        <v/>
      </c>
      <c r="N149" s="128" t="str">
        <f>IF(A149="","",COUNTIFS(po_sup,A149,po_status,"En retard"))</f>
        <v/>
      </c>
      <c r="O149" s="72" t="str">
        <f>IF(A149="","",IF(COUNTIFS(po_sup,A149,po_ontime,"&gt;=0")=0,"",COUNTIFS(po_sup,A149,po_ontime,1)/COUNTIFS(po_sup,A149,po_ontime,"&gt;=0")))</f>
        <v/>
      </c>
      <c r="P149" s="67" t="str">
        <f>IF(A149="","",IF(COUNTIF(sup_code,A149)&gt;1,"Code en double",IF(B149="","Raison sociale manquante",IF(AND(K149&lt;&gt;"",OR(NOT(ISNUMBER(K149)),N(K149)&lt;0)),"Délai invalide","OK"))))</f>
        <v/>
      </c>
      <c r="Q149" s="70" t="str">
        <f>IF(A149="","",SUMIFS(po_ht,po_sup,A149,po_status,"&lt;&gt;Annulé",po_date,"&gt;="&amp;p_y0,po_date,"&lt;"&amp;p_y1))</f>
        <v/>
      </c>
      <c r="R149" s="66" t="str">
        <f>IF(N(Q149)&gt;0,Q149-ROW()/10000000,"")</f>
        <v/>
      </c>
    </row>
    <row r="150">
      <c r="A150" s="65" t="n"/>
      <c r="B150" s="63" t="n"/>
      <c r="C150" s="63" t="n"/>
      <c r="D150" s="63" t="n"/>
      <c r="E150" s="65" t="n"/>
      <c r="F150" s="63" t="n"/>
      <c r="G150" s="63" t="n"/>
      <c r="H150" s="63" t="n"/>
      <c r="I150" s="63" t="n"/>
      <c r="J150" s="63" t="n"/>
      <c r="K150" s="127" t="n"/>
      <c r="L150" s="128" t="str">
        <f>IF(A150="","",COUNTIFS(po_sup,A150,po_first,1))</f>
        <v/>
      </c>
      <c r="M150" s="70" t="str">
        <f>IF(A150="","",SUMIFS(po_ht,po_sup,A150,po_status,"&lt;&gt;Annulé"))</f>
        <v/>
      </c>
      <c r="N150" s="128" t="str">
        <f>IF(A150="","",COUNTIFS(po_sup,A150,po_status,"En retard"))</f>
        <v/>
      </c>
      <c r="O150" s="72" t="str">
        <f>IF(A150="","",IF(COUNTIFS(po_sup,A150,po_ontime,"&gt;=0")=0,"",COUNTIFS(po_sup,A150,po_ontime,1)/COUNTIFS(po_sup,A150,po_ontime,"&gt;=0")))</f>
        <v/>
      </c>
      <c r="P150" s="67" t="str">
        <f>IF(A150="","",IF(COUNTIF(sup_code,A150)&gt;1,"Code en double",IF(B150="","Raison sociale manquante",IF(AND(K150&lt;&gt;"",OR(NOT(ISNUMBER(K150)),N(K150)&lt;0)),"Délai invalide","OK"))))</f>
        <v/>
      </c>
      <c r="Q150" s="70" t="str">
        <f>IF(A150="","",SUMIFS(po_ht,po_sup,A150,po_status,"&lt;&gt;Annulé",po_date,"&gt;="&amp;p_y0,po_date,"&lt;"&amp;p_y1))</f>
        <v/>
      </c>
      <c r="R150" s="66" t="str">
        <f>IF(N(Q150)&gt;0,Q150-ROW()/10000000,"")</f>
        <v/>
      </c>
    </row>
    <row r="151">
      <c r="A151" s="65" t="n"/>
      <c r="B151" s="63" t="n"/>
      <c r="C151" s="63" t="n"/>
      <c r="D151" s="63" t="n"/>
      <c r="E151" s="65" t="n"/>
      <c r="F151" s="63" t="n"/>
      <c r="G151" s="63" t="n"/>
      <c r="H151" s="63" t="n"/>
      <c r="I151" s="63" t="n"/>
      <c r="J151" s="63" t="n"/>
      <c r="K151" s="127" t="n"/>
      <c r="L151" s="128" t="str">
        <f>IF(A151="","",COUNTIFS(po_sup,A151,po_first,1))</f>
        <v/>
      </c>
      <c r="M151" s="70" t="str">
        <f>IF(A151="","",SUMIFS(po_ht,po_sup,A151,po_status,"&lt;&gt;Annulé"))</f>
        <v/>
      </c>
      <c r="N151" s="128" t="str">
        <f>IF(A151="","",COUNTIFS(po_sup,A151,po_status,"En retard"))</f>
        <v/>
      </c>
      <c r="O151" s="72" t="str">
        <f>IF(A151="","",IF(COUNTIFS(po_sup,A151,po_ontime,"&gt;=0")=0,"",COUNTIFS(po_sup,A151,po_ontime,1)/COUNTIFS(po_sup,A151,po_ontime,"&gt;=0")))</f>
        <v/>
      </c>
      <c r="P151" s="67" t="str">
        <f>IF(A151="","",IF(COUNTIF(sup_code,A151)&gt;1,"Code en double",IF(B151="","Raison sociale manquante",IF(AND(K151&lt;&gt;"",OR(NOT(ISNUMBER(K151)),N(K151)&lt;0)),"Délai invalide","OK"))))</f>
        <v/>
      </c>
      <c r="Q151" s="70" t="str">
        <f>IF(A151="","",SUMIFS(po_ht,po_sup,A151,po_status,"&lt;&gt;Annulé",po_date,"&gt;="&amp;p_y0,po_date,"&lt;"&amp;p_y1))</f>
        <v/>
      </c>
      <c r="R151" s="66" t="str">
        <f>IF(N(Q151)&gt;0,Q151-ROW()/10000000,"")</f>
        <v/>
      </c>
    </row>
    <row r="152">
      <c r="A152" s="65" t="n"/>
      <c r="B152" s="63" t="n"/>
      <c r="C152" s="63" t="n"/>
      <c r="D152" s="63" t="n"/>
      <c r="E152" s="65" t="n"/>
      <c r="F152" s="63" t="n"/>
      <c r="G152" s="63" t="n"/>
      <c r="H152" s="63" t="n"/>
      <c r="I152" s="63" t="n"/>
      <c r="J152" s="63" t="n"/>
      <c r="K152" s="127" t="n"/>
      <c r="L152" s="128" t="str">
        <f>IF(A152="","",COUNTIFS(po_sup,A152,po_first,1))</f>
        <v/>
      </c>
      <c r="M152" s="70" t="str">
        <f>IF(A152="","",SUMIFS(po_ht,po_sup,A152,po_status,"&lt;&gt;Annulé"))</f>
        <v/>
      </c>
      <c r="N152" s="128" t="str">
        <f>IF(A152="","",COUNTIFS(po_sup,A152,po_status,"En retard"))</f>
        <v/>
      </c>
      <c r="O152" s="72" t="str">
        <f>IF(A152="","",IF(COUNTIFS(po_sup,A152,po_ontime,"&gt;=0")=0,"",COUNTIFS(po_sup,A152,po_ontime,1)/COUNTIFS(po_sup,A152,po_ontime,"&gt;=0")))</f>
        <v/>
      </c>
      <c r="P152" s="67" t="str">
        <f>IF(A152="","",IF(COUNTIF(sup_code,A152)&gt;1,"Code en double",IF(B152="","Raison sociale manquante",IF(AND(K152&lt;&gt;"",OR(NOT(ISNUMBER(K152)),N(K152)&lt;0)),"Délai invalide","OK"))))</f>
        <v/>
      </c>
      <c r="Q152" s="70" t="str">
        <f>IF(A152="","",SUMIFS(po_ht,po_sup,A152,po_status,"&lt;&gt;Annulé",po_date,"&gt;="&amp;p_y0,po_date,"&lt;"&amp;p_y1))</f>
        <v/>
      </c>
      <c r="R152" s="66" t="str">
        <f>IF(N(Q152)&gt;0,Q152-ROW()/10000000,"")</f>
        <v/>
      </c>
    </row>
    <row r="153">
      <c r="A153" s="65" t="n"/>
      <c r="B153" s="63" t="n"/>
      <c r="C153" s="63" t="n"/>
      <c r="D153" s="63" t="n"/>
      <c r="E153" s="65" t="n"/>
      <c r="F153" s="63" t="n"/>
      <c r="G153" s="63" t="n"/>
      <c r="H153" s="63" t="n"/>
      <c r="I153" s="63" t="n"/>
      <c r="J153" s="63" t="n"/>
      <c r="K153" s="127" t="n"/>
      <c r="L153" s="128" t="str">
        <f>IF(A153="","",COUNTIFS(po_sup,A153,po_first,1))</f>
        <v/>
      </c>
      <c r="M153" s="70" t="str">
        <f>IF(A153="","",SUMIFS(po_ht,po_sup,A153,po_status,"&lt;&gt;Annulé"))</f>
        <v/>
      </c>
      <c r="N153" s="128" t="str">
        <f>IF(A153="","",COUNTIFS(po_sup,A153,po_status,"En retard"))</f>
        <v/>
      </c>
      <c r="O153" s="72" t="str">
        <f>IF(A153="","",IF(COUNTIFS(po_sup,A153,po_ontime,"&gt;=0")=0,"",COUNTIFS(po_sup,A153,po_ontime,1)/COUNTIFS(po_sup,A153,po_ontime,"&gt;=0")))</f>
        <v/>
      </c>
      <c r="P153" s="67" t="str">
        <f>IF(A153="","",IF(COUNTIF(sup_code,A153)&gt;1,"Code en double",IF(B153="","Raison sociale manquante",IF(AND(K153&lt;&gt;"",OR(NOT(ISNUMBER(K153)),N(K153)&lt;0)),"Délai invalide","OK"))))</f>
        <v/>
      </c>
      <c r="Q153" s="70" t="str">
        <f>IF(A153="","",SUMIFS(po_ht,po_sup,A153,po_status,"&lt;&gt;Annulé",po_date,"&gt;="&amp;p_y0,po_date,"&lt;"&amp;p_y1))</f>
        <v/>
      </c>
      <c r="R153" s="66" t="str">
        <f>IF(N(Q153)&gt;0,Q153-ROW()/10000000,"")</f>
        <v/>
      </c>
    </row>
    <row r="154">
      <c r="A154" s="65" t="n"/>
      <c r="B154" s="63" t="n"/>
      <c r="C154" s="63" t="n"/>
      <c r="D154" s="63" t="n"/>
      <c r="E154" s="65" t="n"/>
      <c r="F154" s="63" t="n"/>
      <c r="G154" s="63" t="n"/>
      <c r="H154" s="63" t="n"/>
      <c r="I154" s="63" t="n"/>
      <c r="J154" s="63" t="n"/>
      <c r="K154" s="127" t="n"/>
      <c r="L154" s="128" t="str">
        <f>IF(A154="","",COUNTIFS(po_sup,A154,po_first,1))</f>
        <v/>
      </c>
      <c r="M154" s="70" t="str">
        <f>IF(A154="","",SUMIFS(po_ht,po_sup,A154,po_status,"&lt;&gt;Annulé"))</f>
        <v/>
      </c>
      <c r="N154" s="128" t="str">
        <f>IF(A154="","",COUNTIFS(po_sup,A154,po_status,"En retard"))</f>
        <v/>
      </c>
      <c r="O154" s="72" t="str">
        <f>IF(A154="","",IF(COUNTIFS(po_sup,A154,po_ontime,"&gt;=0")=0,"",COUNTIFS(po_sup,A154,po_ontime,1)/COUNTIFS(po_sup,A154,po_ontime,"&gt;=0")))</f>
        <v/>
      </c>
      <c r="P154" s="67" t="str">
        <f>IF(A154="","",IF(COUNTIF(sup_code,A154)&gt;1,"Code en double",IF(B154="","Raison sociale manquante",IF(AND(K154&lt;&gt;"",OR(NOT(ISNUMBER(K154)),N(K154)&lt;0)),"Délai invalide","OK"))))</f>
        <v/>
      </c>
      <c r="Q154" s="70" t="str">
        <f>IF(A154="","",SUMIFS(po_ht,po_sup,A154,po_status,"&lt;&gt;Annulé",po_date,"&gt;="&amp;p_y0,po_date,"&lt;"&amp;p_y1))</f>
        <v/>
      </c>
      <c r="R154" s="66" t="str">
        <f>IF(N(Q154)&gt;0,Q154-ROW()/10000000,"")</f>
        <v/>
      </c>
    </row>
    <row r="155">
      <c r="A155" s="65" t="n"/>
      <c r="B155" s="63" t="n"/>
      <c r="C155" s="63" t="n"/>
      <c r="D155" s="63" t="n"/>
      <c r="E155" s="65" t="n"/>
      <c r="F155" s="63" t="n"/>
      <c r="G155" s="63" t="n"/>
      <c r="H155" s="63" t="n"/>
      <c r="I155" s="63" t="n"/>
      <c r="J155" s="63" t="n"/>
      <c r="K155" s="127" t="n"/>
      <c r="L155" s="128" t="str">
        <f>IF(A155="","",COUNTIFS(po_sup,A155,po_first,1))</f>
        <v/>
      </c>
      <c r="M155" s="70" t="str">
        <f>IF(A155="","",SUMIFS(po_ht,po_sup,A155,po_status,"&lt;&gt;Annulé"))</f>
        <v/>
      </c>
      <c r="N155" s="128" t="str">
        <f>IF(A155="","",COUNTIFS(po_sup,A155,po_status,"En retard"))</f>
        <v/>
      </c>
      <c r="O155" s="72" t="str">
        <f>IF(A155="","",IF(COUNTIFS(po_sup,A155,po_ontime,"&gt;=0")=0,"",COUNTIFS(po_sup,A155,po_ontime,1)/COUNTIFS(po_sup,A155,po_ontime,"&gt;=0")))</f>
        <v/>
      </c>
      <c r="P155" s="67" t="str">
        <f>IF(A155="","",IF(COUNTIF(sup_code,A155)&gt;1,"Code en double",IF(B155="","Raison sociale manquante",IF(AND(K155&lt;&gt;"",OR(NOT(ISNUMBER(K155)),N(K155)&lt;0)),"Délai invalide","OK"))))</f>
        <v/>
      </c>
      <c r="Q155" s="70" t="str">
        <f>IF(A155="","",SUMIFS(po_ht,po_sup,A155,po_status,"&lt;&gt;Annulé",po_date,"&gt;="&amp;p_y0,po_date,"&lt;"&amp;p_y1))</f>
        <v/>
      </c>
      <c r="R155" s="66" t="str">
        <f>IF(N(Q155)&gt;0,Q155-ROW()/10000000,"")</f>
        <v/>
      </c>
    </row>
    <row r="156">
      <c r="A156" s="65" t="n"/>
      <c r="B156" s="63" t="n"/>
      <c r="C156" s="63" t="n"/>
      <c r="D156" s="63" t="n"/>
      <c r="E156" s="65" t="n"/>
      <c r="F156" s="63" t="n"/>
      <c r="G156" s="63" t="n"/>
      <c r="H156" s="63" t="n"/>
      <c r="I156" s="63" t="n"/>
      <c r="J156" s="63" t="n"/>
      <c r="K156" s="127" t="n"/>
      <c r="L156" s="128" t="str">
        <f>IF(A156="","",COUNTIFS(po_sup,A156,po_first,1))</f>
        <v/>
      </c>
      <c r="M156" s="70" t="str">
        <f>IF(A156="","",SUMIFS(po_ht,po_sup,A156,po_status,"&lt;&gt;Annulé"))</f>
        <v/>
      </c>
      <c r="N156" s="128" t="str">
        <f>IF(A156="","",COUNTIFS(po_sup,A156,po_status,"En retard"))</f>
        <v/>
      </c>
      <c r="O156" s="72" t="str">
        <f>IF(A156="","",IF(COUNTIFS(po_sup,A156,po_ontime,"&gt;=0")=0,"",COUNTIFS(po_sup,A156,po_ontime,1)/COUNTIFS(po_sup,A156,po_ontime,"&gt;=0")))</f>
        <v/>
      </c>
      <c r="P156" s="67" t="str">
        <f>IF(A156="","",IF(COUNTIF(sup_code,A156)&gt;1,"Code en double",IF(B156="","Raison sociale manquante",IF(AND(K156&lt;&gt;"",OR(NOT(ISNUMBER(K156)),N(K156)&lt;0)),"Délai invalide","OK"))))</f>
        <v/>
      </c>
      <c r="Q156" s="70" t="str">
        <f>IF(A156="","",SUMIFS(po_ht,po_sup,A156,po_status,"&lt;&gt;Annulé",po_date,"&gt;="&amp;p_y0,po_date,"&lt;"&amp;p_y1))</f>
        <v/>
      </c>
      <c r="R156" s="66" t="str">
        <f>IF(N(Q156)&gt;0,Q156-ROW()/10000000,"")</f>
        <v/>
      </c>
    </row>
    <row r="157">
      <c r="A157" s="65" t="n"/>
      <c r="B157" s="63" t="n"/>
      <c r="C157" s="63" t="n"/>
      <c r="D157" s="63" t="n"/>
      <c r="E157" s="65" t="n"/>
      <c r="F157" s="63" t="n"/>
      <c r="G157" s="63" t="n"/>
      <c r="H157" s="63" t="n"/>
      <c r="I157" s="63" t="n"/>
      <c r="J157" s="63" t="n"/>
      <c r="K157" s="127" t="n"/>
      <c r="L157" s="128" t="str">
        <f>IF(A157="","",COUNTIFS(po_sup,A157,po_first,1))</f>
        <v/>
      </c>
      <c r="M157" s="70" t="str">
        <f>IF(A157="","",SUMIFS(po_ht,po_sup,A157,po_status,"&lt;&gt;Annulé"))</f>
        <v/>
      </c>
      <c r="N157" s="128" t="str">
        <f>IF(A157="","",COUNTIFS(po_sup,A157,po_status,"En retard"))</f>
        <v/>
      </c>
      <c r="O157" s="72" t="str">
        <f>IF(A157="","",IF(COUNTIFS(po_sup,A157,po_ontime,"&gt;=0")=0,"",COUNTIFS(po_sup,A157,po_ontime,1)/COUNTIFS(po_sup,A157,po_ontime,"&gt;=0")))</f>
        <v/>
      </c>
      <c r="P157" s="67" t="str">
        <f>IF(A157="","",IF(COUNTIF(sup_code,A157)&gt;1,"Code en double",IF(B157="","Raison sociale manquante",IF(AND(K157&lt;&gt;"",OR(NOT(ISNUMBER(K157)),N(K157)&lt;0)),"Délai invalide","OK"))))</f>
        <v/>
      </c>
      <c r="Q157" s="70" t="str">
        <f>IF(A157="","",SUMIFS(po_ht,po_sup,A157,po_status,"&lt;&gt;Annulé",po_date,"&gt;="&amp;p_y0,po_date,"&lt;"&amp;p_y1))</f>
        <v/>
      </c>
      <c r="R157" s="66" t="str">
        <f>IF(N(Q157)&gt;0,Q157-ROW()/10000000,"")</f>
        <v/>
      </c>
    </row>
    <row r="158">
      <c r="A158" s="65" t="n"/>
      <c r="B158" s="63" t="n"/>
      <c r="C158" s="63" t="n"/>
      <c r="D158" s="63" t="n"/>
      <c r="E158" s="65" t="n"/>
      <c r="F158" s="63" t="n"/>
      <c r="G158" s="63" t="n"/>
      <c r="H158" s="63" t="n"/>
      <c r="I158" s="63" t="n"/>
      <c r="J158" s="63" t="n"/>
      <c r="K158" s="127" t="n"/>
      <c r="L158" s="128" t="str">
        <f>IF(A158="","",COUNTIFS(po_sup,A158,po_first,1))</f>
        <v/>
      </c>
      <c r="M158" s="70" t="str">
        <f>IF(A158="","",SUMIFS(po_ht,po_sup,A158,po_status,"&lt;&gt;Annulé"))</f>
        <v/>
      </c>
      <c r="N158" s="128" t="str">
        <f>IF(A158="","",COUNTIFS(po_sup,A158,po_status,"En retard"))</f>
        <v/>
      </c>
      <c r="O158" s="72" t="str">
        <f>IF(A158="","",IF(COUNTIFS(po_sup,A158,po_ontime,"&gt;=0")=0,"",COUNTIFS(po_sup,A158,po_ontime,1)/COUNTIFS(po_sup,A158,po_ontime,"&gt;=0")))</f>
        <v/>
      </c>
      <c r="P158" s="67" t="str">
        <f>IF(A158="","",IF(COUNTIF(sup_code,A158)&gt;1,"Code en double",IF(B158="","Raison sociale manquante",IF(AND(K158&lt;&gt;"",OR(NOT(ISNUMBER(K158)),N(K158)&lt;0)),"Délai invalide","OK"))))</f>
        <v/>
      </c>
      <c r="Q158" s="70" t="str">
        <f>IF(A158="","",SUMIFS(po_ht,po_sup,A158,po_status,"&lt;&gt;Annulé",po_date,"&gt;="&amp;p_y0,po_date,"&lt;"&amp;p_y1))</f>
        <v/>
      </c>
      <c r="R158" s="66" t="str">
        <f>IF(N(Q158)&gt;0,Q158-ROW()/10000000,"")</f>
        <v/>
      </c>
    </row>
    <row r="159">
      <c r="A159" s="65" t="n"/>
      <c r="B159" s="63" t="n"/>
      <c r="C159" s="63" t="n"/>
      <c r="D159" s="63" t="n"/>
      <c r="E159" s="65" t="n"/>
      <c r="F159" s="63" t="n"/>
      <c r="G159" s="63" t="n"/>
      <c r="H159" s="63" t="n"/>
      <c r="I159" s="63" t="n"/>
      <c r="J159" s="63" t="n"/>
      <c r="K159" s="127" t="n"/>
      <c r="L159" s="128" t="str">
        <f>IF(A159="","",COUNTIFS(po_sup,A159,po_first,1))</f>
        <v/>
      </c>
      <c r="M159" s="70" t="str">
        <f>IF(A159="","",SUMIFS(po_ht,po_sup,A159,po_status,"&lt;&gt;Annulé"))</f>
        <v/>
      </c>
      <c r="N159" s="128" t="str">
        <f>IF(A159="","",COUNTIFS(po_sup,A159,po_status,"En retard"))</f>
        <v/>
      </c>
      <c r="O159" s="72" t="str">
        <f>IF(A159="","",IF(COUNTIFS(po_sup,A159,po_ontime,"&gt;=0")=0,"",COUNTIFS(po_sup,A159,po_ontime,1)/COUNTIFS(po_sup,A159,po_ontime,"&gt;=0")))</f>
        <v/>
      </c>
      <c r="P159" s="67" t="str">
        <f>IF(A159="","",IF(COUNTIF(sup_code,A159)&gt;1,"Code en double",IF(B159="","Raison sociale manquante",IF(AND(K159&lt;&gt;"",OR(NOT(ISNUMBER(K159)),N(K159)&lt;0)),"Délai invalide","OK"))))</f>
        <v/>
      </c>
      <c r="Q159" s="70" t="str">
        <f>IF(A159="","",SUMIFS(po_ht,po_sup,A159,po_status,"&lt;&gt;Annulé",po_date,"&gt;="&amp;p_y0,po_date,"&lt;"&amp;p_y1))</f>
        <v/>
      </c>
      <c r="R159" s="66" t="str">
        <f>IF(N(Q159)&gt;0,Q159-ROW()/10000000,"")</f>
        <v/>
      </c>
    </row>
    <row r="160">
      <c r="A160" s="65" t="n"/>
      <c r="B160" s="63" t="n"/>
      <c r="C160" s="63" t="n"/>
      <c r="D160" s="63" t="n"/>
      <c r="E160" s="65" t="n"/>
      <c r="F160" s="63" t="n"/>
      <c r="G160" s="63" t="n"/>
      <c r="H160" s="63" t="n"/>
      <c r="I160" s="63" t="n"/>
      <c r="J160" s="63" t="n"/>
      <c r="K160" s="127" t="n"/>
      <c r="L160" s="128" t="str">
        <f>IF(A160="","",COUNTIFS(po_sup,A160,po_first,1))</f>
        <v/>
      </c>
      <c r="M160" s="70" t="str">
        <f>IF(A160="","",SUMIFS(po_ht,po_sup,A160,po_status,"&lt;&gt;Annulé"))</f>
        <v/>
      </c>
      <c r="N160" s="128" t="str">
        <f>IF(A160="","",COUNTIFS(po_sup,A160,po_status,"En retard"))</f>
        <v/>
      </c>
      <c r="O160" s="72" t="str">
        <f>IF(A160="","",IF(COUNTIFS(po_sup,A160,po_ontime,"&gt;=0")=0,"",COUNTIFS(po_sup,A160,po_ontime,1)/COUNTIFS(po_sup,A160,po_ontime,"&gt;=0")))</f>
        <v/>
      </c>
      <c r="P160" s="67" t="str">
        <f>IF(A160="","",IF(COUNTIF(sup_code,A160)&gt;1,"Code en double",IF(B160="","Raison sociale manquante",IF(AND(K160&lt;&gt;"",OR(NOT(ISNUMBER(K160)),N(K160)&lt;0)),"Délai invalide","OK"))))</f>
        <v/>
      </c>
      <c r="Q160" s="70" t="str">
        <f>IF(A160="","",SUMIFS(po_ht,po_sup,A160,po_status,"&lt;&gt;Annulé",po_date,"&gt;="&amp;p_y0,po_date,"&lt;"&amp;p_y1))</f>
        <v/>
      </c>
      <c r="R160" s="66" t="str">
        <f>IF(N(Q160)&gt;0,Q160-ROW()/10000000,"")</f>
        <v/>
      </c>
    </row>
    <row r="161">
      <c r="A161" s="65" t="n"/>
      <c r="B161" s="63" t="n"/>
      <c r="C161" s="63" t="n"/>
      <c r="D161" s="63" t="n"/>
      <c r="E161" s="65" t="n"/>
      <c r="F161" s="63" t="n"/>
      <c r="G161" s="63" t="n"/>
      <c r="H161" s="63" t="n"/>
      <c r="I161" s="63" t="n"/>
      <c r="J161" s="63" t="n"/>
      <c r="K161" s="127" t="n"/>
      <c r="L161" s="128" t="str">
        <f>IF(A161="","",COUNTIFS(po_sup,A161,po_first,1))</f>
        <v/>
      </c>
      <c r="M161" s="70" t="str">
        <f>IF(A161="","",SUMIFS(po_ht,po_sup,A161,po_status,"&lt;&gt;Annulé"))</f>
        <v/>
      </c>
      <c r="N161" s="128" t="str">
        <f>IF(A161="","",COUNTIFS(po_sup,A161,po_status,"En retard"))</f>
        <v/>
      </c>
      <c r="O161" s="72" t="str">
        <f>IF(A161="","",IF(COUNTIFS(po_sup,A161,po_ontime,"&gt;=0")=0,"",COUNTIFS(po_sup,A161,po_ontime,1)/COUNTIFS(po_sup,A161,po_ontime,"&gt;=0")))</f>
        <v/>
      </c>
      <c r="P161" s="67" t="str">
        <f>IF(A161="","",IF(COUNTIF(sup_code,A161)&gt;1,"Code en double",IF(B161="","Raison sociale manquante",IF(AND(K161&lt;&gt;"",OR(NOT(ISNUMBER(K161)),N(K161)&lt;0)),"Délai invalide","OK"))))</f>
        <v/>
      </c>
      <c r="Q161" s="70" t="str">
        <f>IF(A161="","",SUMIFS(po_ht,po_sup,A161,po_status,"&lt;&gt;Annulé",po_date,"&gt;="&amp;p_y0,po_date,"&lt;"&amp;p_y1))</f>
        <v/>
      </c>
      <c r="R161" s="66" t="str">
        <f>IF(N(Q161)&gt;0,Q161-ROW()/10000000,"")</f>
        <v/>
      </c>
    </row>
    <row r="162">
      <c r="A162" s="65" t="n"/>
      <c r="B162" s="63" t="n"/>
      <c r="C162" s="63" t="n"/>
      <c r="D162" s="63" t="n"/>
      <c r="E162" s="65" t="n"/>
      <c r="F162" s="63" t="n"/>
      <c r="G162" s="63" t="n"/>
      <c r="H162" s="63" t="n"/>
      <c r="I162" s="63" t="n"/>
      <c r="J162" s="63" t="n"/>
      <c r="K162" s="127" t="n"/>
      <c r="L162" s="128" t="str">
        <f>IF(A162="","",COUNTIFS(po_sup,A162,po_first,1))</f>
        <v/>
      </c>
      <c r="M162" s="70" t="str">
        <f>IF(A162="","",SUMIFS(po_ht,po_sup,A162,po_status,"&lt;&gt;Annulé"))</f>
        <v/>
      </c>
      <c r="N162" s="128" t="str">
        <f>IF(A162="","",COUNTIFS(po_sup,A162,po_status,"En retard"))</f>
        <v/>
      </c>
      <c r="O162" s="72" t="str">
        <f>IF(A162="","",IF(COUNTIFS(po_sup,A162,po_ontime,"&gt;=0")=0,"",COUNTIFS(po_sup,A162,po_ontime,1)/COUNTIFS(po_sup,A162,po_ontime,"&gt;=0")))</f>
        <v/>
      </c>
      <c r="P162" s="67" t="str">
        <f>IF(A162="","",IF(COUNTIF(sup_code,A162)&gt;1,"Code en double",IF(B162="","Raison sociale manquante",IF(AND(K162&lt;&gt;"",OR(NOT(ISNUMBER(K162)),N(K162)&lt;0)),"Délai invalide","OK"))))</f>
        <v/>
      </c>
      <c r="Q162" s="70" t="str">
        <f>IF(A162="","",SUMIFS(po_ht,po_sup,A162,po_status,"&lt;&gt;Annulé",po_date,"&gt;="&amp;p_y0,po_date,"&lt;"&amp;p_y1))</f>
        <v/>
      </c>
      <c r="R162" s="66" t="str">
        <f>IF(N(Q162)&gt;0,Q162-ROW()/10000000,"")</f>
        <v/>
      </c>
    </row>
    <row r="163">
      <c r="A163" s="65" t="n"/>
      <c r="B163" s="63" t="n"/>
      <c r="C163" s="63" t="n"/>
      <c r="D163" s="63" t="n"/>
      <c r="E163" s="65" t="n"/>
      <c r="F163" s="63" t="n"/>
      <c r="G163" s="63" t="n"/>
      <c r="H163" s="63" t="n"/>
      <c r="I163" s="63" t="n"/>
      <c r="J163" s="63" t="n"/>
      <c r="K163" s="127" t="n"/>
      <c r="L163" s="128" t="str">
        <f>IF(A163="","",COUNTIFS(po_sup,A163,po_first,1))</f>
        <v/>
      </c>
      <c r="M163" s="70" t="str">
        <f>IF(A163="","",SUMIFS(po_ht,po_sup,A163,po_status,"&lt;&gt;Annulé"))</f>
        <v/>
      </c>
      <c r="N163" s="128" t="str">
        <f>IF(A163="","",COUNTIFS(po_sup,A163,po_status,"En retard"))</f>
        <v/>
      </c>
      <c r="O163" s="72" t="str">
        <f>IF(A163="","",IF(COUNTIFS(po_sup,A163,po_ontime,"&gt;=0")=0,"",COUNTIFS(po_sup,A163,po_ontime,1)/COUNTIFS(po_sup,A163,po_ontime,"&gt;=0")))</f>
        <v/>
      </c>
      <c r="P163" s="67" t="str">
        <f>IF(A163="","",IF(COUNTIF(sup_code,A163)&gt;1,"Code en double",IF(B163="","Raison sociale manquante",IF(AND(K163&lt;&gt;"",OR(NOT(ISNUMBER(K163)),N(K163)&lt;0)),"Délai invalide","OK"))))</f>
        <v/>
      </c>
      <c r="Q163" s="70" t="str">
        <f>IF(A163="","",SUMIFS(po_ht,po_sup,A163,po_status,"&lt;&gt;Annulé",po_date,"&gt;="&amp;p_y0,po_date,"&lt;"&amp;p_y1))</f>
        <v/>
      </c>
      <c r="R163" s="66" t="str">
        <f>IF(N(Q163)&gt;0,Q163-ROW()/10000000,"")</f>
        <v/>
      </c>
    </row>
    <row r="164">
      <c r="A164" s="65" t="n"/>
      <c r="B164" s="63" t="n"/>
      <c r="C164" s="63" t="n"/>
      <c r="D164" s="63" t="n"/>
      <c r="E164" s="65" t="n"/>
      <c r="F164" s="63" t="n"/>
      <c r="G164" s="63" t="n"/>
      <c r="H164" s="63" t="n"/>
      <c r="I164" s="63" t="n"/>
      <c r="J164" s="63" t="n"/>
      <c r="K164" s="127" t="n"/>
      <c r="L164" s="128" t="str">
        <f>IF(A164="","",COUNTIFS(po_sup,A164,po_first,1))</f>
        <v/>
      </c>
      <c r="M164" s="70" t="str">
        <f>IF(A164="","",SUMIFS(po_ht,po_sup,A164,po_status,"&lt;&gt;Annulé"))</f>
        <v/>
      </c>
      <c r="N164" s="128" t="str">
        <f>IF(A164="","",COUNTIFS(po_sup,A164,po_status,"En retard"))</f>
        <v/>
      </c>
      <c r="O164" s="72" t="str">
        <f>IF(A164="","",IF(COUNTIFS(po_sup,A164,po_ontime,"&gt;=0")=0,"",COUNTIFS(po_sup,A164,po_ontime,1)/COUNTIFS(po_sup,A164,po_ontime,"&gt;=0")))</f>
        <v/>
      </c>
      <c r="P164" s="67" t="str">
        <f>IF(A164="","",IF(COUNTIF(sup_code,A164)&gt;1,"Code en double",IF(B164="","Raison sociale manquante",IF(AND(K164&lt;&gt;"",OR(NOT(ISNUMBER(K164)),N(K164)&lt;0)),"Délai invalide","OK"))))</f>
        <v/>
      </c>
      <c r="Q164" s="70" t="str">
        <f>IF(A164="","",SUMIFS(po_ht,po_sup,A164,po_status,"&lt;&gt;Annulé",po_date,"&gt;="&amp;p_y0,po_date,"&lt;"&amp;p_y1))</f>
        <v/>
      </c>
      <c r="R164" s="66" t="str">
        <f>IF(N(Q164)&gt;0,Q164-ROW()/10000000,"")</f>
        <v/>
      </c>
    </row>
    <row r="165">
      <c r="A165" s="65" t="n"/>
      <c r="B165" s="63" t="n"/>
      <c r="C165" s="63" t="n"/>
      <c r="D165" s="63" t="n"/>
      <c r="E165" s="65" t="n"/>
      <c r="F165" s="63" t="n"/>
      <c r="G165" s="63" t="n"/>
      <c r="H165" s="63" t="n"/>
      <c r="I165" s="63" t="n"/>
      <c r="J165" s="63" t="n"/>
      <c r="K165" s="127" t="n"/>
      <c r="L165" s="128" t="str">
        <f>IF(A165="","",COUNTIFS(po_sup,A165,po_first,1))</f>
        <v/>
      </c>
      <c r="M165" s="70" t="str">
        <f>IF(A165="","",SUMIFS(po_ht,po_sup,A165,po_status,"&lt;&gt;Annulé"))</f>
        <v/>
      </c>
      <c r="N165" s="128" t="str">
        <f>IF(A165="","",COUNTIFS(po_sup,A165,po_status,"En retard"))</f>
        <v/>
      </c>
      <c r="O165" s="72" t="str">
        <f>IF(A165="","",IF(COUNTIFS(po_sup,A165,po_ontime,"&gt;=0")=0,"",COUNTIFS(po_sup,A165,po_ontime,1)/COUNTIFS(po_sup,A165,po_ontime,"&gt;=0")))</f>
        <v/>
      </c>
      <c r="P165" s="67" t="str">
        <f>IF(A165="","",IF(COUNTIF(sup_code,A165)&gt;1,"Code en double",IF(B165="","Raison sociale manquante",IF(AND(K165&lt;&gt;"",OR(NOT(ISNUMBER(K165)),N(K165)&lt;0)),"Délai invalide","OK"))))</f>
        <v/>
      </c>
      <c r="Q165" s="70" t="str">
        <f>IF(A165="","",SUMIFS(po_ht,po_sup,A165,po_status,"&lt;&gt;Annulé",po_date,"&gt;="&amp;p_y0,po_date,"&lt;"&amp;p_y1))</f>
        <v/>
      </c>
      <c r="R165" s="66" t="str">
        <f>IF(N(Q165)&gt;0,Q165-ROW()/10000000,"")</f>
        <v/>
      </c>
    </row>
    <row r="166">
      <c r="A166" s="65" t="n"/>
      <c r="B166" s="63" t="n"/>
      <c r="C166" s="63" t="n"/>
      <c r="D166" s="63" t="n"/>
      <c r="E166" s="65" t="n"/>
      <c r="F166" s="63" t="n"/>
      <c r="G166" s="63" t="n"/>
      <c r="H166" s="63" t="n"/>
      <c r="I166" s="63" t="n"/>
      <c r="J166" s="63" t="n"/>
      <c r="K166" s="127" t="n"/>
      <c r="L166" s="128" t="str">
        <f>IF(A166="","",COUNTIFS(po_sup,A166,po_first,1))</f>
        <v/>
      </c>
      <c r="M166" s="70" t="str">
        <f>IF(A166="","",SUMIFS(po_ht,po_sup,A166,po_status,"&lt;&gt;Annulé"))</f>
        <v/>
      </c>
      <c r="N166" s="128" t="str">
        <f>IF(A166="","",COUNTIFS(po_sup,A166,po_status,"En retard"))</f>
        <v/>
      </c>
      <c r="O166" s="72" t="str">
        <f>IF(A166="","",IF(COUNTIFS(po_sup,A166,po_ontime,"&gt;=0")=0,"",COUNTIFS(po_sup,A166,po_ontime,1)/COUNTIFS(po_sup,A166,po_ontime,"&gt;=0")))</f>
        <v/>
      </c>
      <c r="P166" s="67" t="str">
        <f>IF(A166="","",IF(COUNTIF(sup_code,A166)&gt;1,"Code en double",IF(B166="","Raison sociale manquante",IF(AND(K166&lt;&gt;"",OR(NOT(ISNUMBER(K166)),N(K166)&lt;0)),"Délai invalide","OK"))))</f>
        <v/>
      </c>
      <c r="Q166" s="70" t="str">
        <f>IF(A166="","",SUMIFS(po_ht,po_sup,A166,po_status,"&lt;&gt;Annulé",po_date,"&gt;="&amp;p_y0,po_date,"&lt;"&amp;p_y1))</f>
        <v/>
      </c>
      <c r="R166" s="66" t="str">
        <f>IF(N(Q166)&gt;0,Q166-ROW()/10000000,"")</f>
        <v/>
      </c>
    </row>
    <row r="167">
      <c r="A167" s="65" t="n"/>
      <c r="B167" s="63" t="n"/>
      <c r="C167" s="63" t="n"/>
      <c r="D167" s="63" t="n"/>
      <c r="E167" s="65" t="n"/>
      <c r="F167" s="63" t="n"/>
      <c r="G167" s="63" t="n"/>
      <c r="H167" s="63" t="n"/>
      <c r="I167" s="63" t="n"/>
      <c r="J167" s="63" t="n"/>
      <c r="K167" s="127" t="n"/>
      <c r="L167" s="128" t="str">
        <f>IF(A167="","",COUNTIFS(po_sup,A167,po_first,1))</f>
        <v/>
      </c>
      <c r="M167" s="70" t="str">
        <f>IF(A167="","",SUMIFS(po_ht,po_sup,A167,po_status,"&lt;&gt;Annulé"))</f>
        <v/>
      </c>
      <c r="N167" s="128" t="str">
        <f>IF(A167="","",COUNTIFS(po_sup,A167,po_status,"En retard"))</f>
        <v/>
      </c>
      <c r="O167" s="72" t="str">
        <f>IF(A167="","",IF(COUNTIFS(po_sup,A167,po_ontime,"&gt;=0")=0,"",COUNTIFS(po_sup,A167,po_ontime,1)/COUNTIFS(po_sup,A167,po_ontime,"&gt;=0")))</f>
        <v/>
      </c>
      <c r="P167" s="67" t="str">
        <f>IF(A167="","",IF(COUNTIF(sup_code,A167)&gt;1,"Code en double",IF(B167="","Raison sociale manquante",IF(AND(K167&lt;&gt;"",OR(NOT(ISNUMBER(K167)),N(K167)&lt;0)),"Délai invalide","OK"))))</f>
        <v/>
      </c>
      <c r="Q167" s="70" t="str">
        <f>IF(A167="","",SUMIFS(po_ht,po_sup,A167,po_status,"&lt;&gt;Annulé",po_date,"&gt;="&amp;p_y0,po_date,"&lt;"&amp;p_y1))</f>
        <v/>
      </c>
      <c r="R167" s="66" t="str">
        <f>IF(N(Q167)&gt;0,Q167-ROW()/10000000,"")</f>
        <v/>
      </c>
    </row>
    <row r="168">
      <c r="A168" s="65" t="n"/>
      <c r="B168" s="63" t="n"/>
      <c r="C168" s="63" t="n"/>
      <c r="D168" s="63" t="n"/>
      <c r="E168" s="65" t="n"/>
      <c r="F168" s="63" t="n"/>
      <c r="G168" s="63" t="n"/>
      <c r="H168" s="63" t="n"/>
      <c r="I168" s="63" t="n"/>
      <c r="J168" s="63" t="n"/>
      <c r="K168" s="127" t="n"/>
      <c r="L168" s="128" t="str">
        <f>IF(A168="","",COUNTIFS(po_sup,A168,po_first,1))</f>
        <v/>
      </c>
      <c r="M168" s="70" t="str">
        <f>IF(A168="","",SUMIFS(po_ht,po_sup,A168,po_status,"&lt;&gt;Annulé"))</f>
        <v/>
      </c>
      <c r="N168" s="128" t="str">
        <f>IF(A168="","",COUNTIFS(po_sup,A168,po_status,"En retard"))</f>
        <v/>
      </c>
      <c r="O168" s="72" t="str">
        <f>IF(A168="","",IF(COUNTIFS(po_sup,A168,po_ontime,"&gt;=0")=0,"",COUNTIFS(po_sup,A168,po_ontime,1)/COUNTIFS(po_sup,A168,po_ontime,"&gt;=0")))</f>
        <v/>
      </c>
      <c r="P168" s="67" t="str">
        <f>IF(A168="","",IF(COUNTIF(sup_code,A168)&gt;1,"Code en double",IF(B168="","Raison sociale manquante",IF(AND(K168&lt;&gt;"",OR(NOT(ISNUMBER(K168)),N(K168)&lt;0)),"Délai invalide","OK"))))</f>
        <v/>
      </c>
      <c r="Q168" s="70" t="str">
        <f>IF(A168="","",SUMIFS(po_ht,po_sup,A168,po_status,"&lt;&gt;Annulé",po_date,"&gt;="&amp;p_y0,po_date,"&lt;"&amp;p_y1))</f>
        <v/>
      </c>
      <c r="R168" s="66" t="str">
        <f>IF(N(Q168)&gt;0,Q168-ROW()/10000000,"")</f>
        <v/>
      </c>
    </row>
    <row r="169">
      <c r="A169" s="65" t="n"/>
      <c r="B169" s="63" t="n"/>
      <c r="C169" s="63" t="n"/>
      <c r="D169" s="63" t="n"/>
      <c r="E169" s="65" t="n"/>
      <c r="F169" s="63" t="n"/>
      <c r="G169" s="63" t="n"/>
      <c r="H169" s="63" t="n"/>
      <c r="I169" s="63" t="n"/>
      <c r="J169" s="63" t="n"/>
      <c r="K169" s="127" t="n"/>
      <c r="L169" s="128" t="str">
        <f>IF(A169="","",COUNTIFS(po_sup,A169,po_first,1))</f>
        <v/>
      </c>
      <c r="M169" s="70" t="str">
        <f>IF(A169="","",SUMIFS(po_ht,po_sup,A169,po_status,"&lt;&gt;Annulé"))</f>
        <v/>
      </c>
      <c r="N169" s="128" t="str">
        <f>IF(A169="","",COUNTIFS(po_sup,A169,po_status,"En retard"))</f>
        <v/>
      </c>
      <c r="O169" s="72" t="str">
        <f>IF(A169="","",IF(COUNTIFS(po_sup,A169,po_ontime,"&gt;=0")=0,"",COUNTIFS(po_sup,A169,po_ontime,1)/COUNTIFS(po_sup,A169,po_ontime,"&gt;=0")))</f>
        <v/>
      </c>
      <c r="P169" s="67" t="str">
        <f>IF(A169="","",IF(COUNTIF(sup_code,A169)&gt;1,"Code en double",IF(B169="","Raison sociale manquante",IF(AND(K169&lt;&gt;"",OR(NOT(ISNUMBER(K169)),N(K169)&lt;0)),"Délai invalide","OK"))))</f>
        <v/>
      </c>
      <c r="Q169" s="70" t="str">
        <f>IF(A169="","",SUMIFS(po_ht,po_sup,A169,po_status,"&lt;&gt;Annulé",po_date,"&gt;="&amp;p_y0,po_date,"&lt;"&amp;p_y1))</f>
        <v/>
      </c>
      <c r="R169" s="66" t="str">
        <f>IF(N(Q169)&gt;0,Q169-ROW()/10000000,"")</f>
        <v/>
      </c>
    </row>
    <row r="170">
      <c r="A170" s="65" t="n"/>
      <c r="B170" s="63" t="n"/>
      <c r="C170" s="63" t="n"/>
      <c r="D170" s="63" t="n"/>
      <c r="E170" s="65" t="n"/>
      <c r="F170" s="63" t="n"/>
      <c r="G170" s="63" t="n"/>
      <c r="H170" s="63" t="n"/>
      <c r="I170" s="63" t="n"/>
      <c r="J170" s="63" t="n"/>
      <c r="K170" s="127" t="n"/>
      <c r="L170" s="128" t="str">
        <f>IF(A170="","",COUNTIFS(po_sup,A170,po_first,1))</f>
        <v/>
      </c>
      <c r="M170" s="70" t="str">
        <f>IF(A170="","",SUMIFS(po_ht,po_sup,A170,po_status,"&lt;&gt;Annulé"))</f>
        <v/>
      </c>
      <c r="N170" s="128" t="str">
        <f>IF(A170="","",COUNTIFS(po_sup,A170,po_status,"En retard"))</f>
        <v/>
      </c>
      <c r="O170" s="72" t="str">
        <f>IF(A170="","",IF(COUNTIFS(po_sup,A170,po_ontime,"&gt;=0")=0,"",COUNTIFS(po_sup,A170,po_ontime,1)/COUNTIFS(po_sup,A170,po_ontime,"&gt;=0")))</f>
        <v/>
      </c>
      <c r="P170" s="67" t="str">
        <f>IF(A170="","",IF(COUNTIF(sup_code,A170)&gt;1,"Code en double",IF(B170="","Raison sociale manquante",IF(AND(K170&lt;&gt;"",OR(NOT(ISNUMBER(K170)),N(K170)&lt;0)),"Délai invalide","OK"))))</f>
        <v/>
      </c>
      <c r="Q170" s="70" t="str">
        <f>IF(A170="","",SUMIFS(po_ht,po_sup,A170,po_status,"&lt;&gt;Annulé",po_date,"&gt;="&amp;p_y0,po_date,"&lt;"&amp;p_y1))</f>
        <v/>
      </c>
      <c r="R170" s="66" t="str">
        <f>IF(N(Q170)&gt;0,Q170-ROW()/10000000,"")</f>
        <v/>
      </c>
    </row>
    <row r="171">
      <c r="A171" s="65" t="n"/>
      <c r="B171" s="63" t="n"/>
      <c r="C171" s="63" t="n"/>
      <c r="D171" s="63" t="n"/>
      <c r="E171" s="65" t="n"/>
      <c r="F171" s="63" t="n"/>
      <c r="G171" s="63" t="n"/>
      <c r="H171" s="63" t="n"/>
      <c r="I171" s="63" t="n"/>
      <c r="J171" s="63" t="n"/>
      <c r="K171" s="127" t="n"/>
      <c r="L171" s="128" t="str">
        <f>IF(A171="","",COUNTIFS(po_sup,A171,po_first,1))</f>
        <v/>
      </c>
      <c r="M171" s="70" t="str">
        <f>IF(A171="","",SUMIFS(po_ht,po_sup,A171,po_status,"&lt;&gt;Annulé"))</f>
        <v/>
      </c>
      <c r="N171" s="128" t="str">
        <f>IF(A171="","",COUNTIFS(po_sup,A171,po_status,"En retard"))</f>
        <v/>
      </c>
      <c r="O171" s="72" t="str">
        <f>IF(A171="","",IF(COUNTIFS(po_sup,A171,po_ontime,"&gt;=0")=0,"",COUNTIFS(po_sup,A171,po_ontime,1)/COUNTIFS(po_sup,A171,po_ontime,"&gt;=0")))</f>
        <v/>
      </c>
      <c r="P171" s="67" t="str">
        <f>IF(A171="","",IF(COUNTIF(sup_code,A171)&gt;1,"Code en double",IF(B171="","Raison sociale manquante",IF(AND(K171&lt;&gt;"",OR(NOT(ISNUMBER(K171)),N(K171)&lt;0)),"Délai invalide","OK"))))</f>
        <v/>
      </c>
      <c r="Q171" s="70" t="str">
        <f>IF(A171="","",SUMIFS(po_ht,po_sup,A171,po_status,"&lt;&gt;Annulé",po_date,"&gt;="&amp;p_y0,po_date,"&lt;"&amp;p_y1))</f>
        <v/>
      </c>
      <c r="R171" s="66" t="str">
        <f>IF(N(Q171)&gt;0,Q171-ROW()/10000000,"")</f>
        <v/>
      </c>
    </row>
    <row r="172">
      <c r="A172" s="65" t="n"/>
      <c r="B172" s="63" t="n"/>
      <c r="C172" s="63" t="n"/>
      <c r="D172" s="63" t="n"/>
      <c r="E172" s="65" t="n"/>
      <c r="F172" s="63" t="n"/>
      <c r="G172" s="63" t="n"/>
      <c r="H172" s="63" t="n"/>
      <c r="I172" s="63" t="n"/>
      <c r="J172" s="63" t="n"/>
      <c r="K172" s="127" t="n"/>
      <c r="L172" s="128" t="str">
        <f>IF(A172="","",COUNTIFS(po_sup,A172,po_first,1))</f>
        <v/>
      </c>
      <c r="M172" s="70" t="str">
        <f>IF(A172="","",SUMIFS(po_ht,po_sup,A172,po_status,"&lt;&gt;Annulé"))</f>
        <v/>
      </c>
      <c r="N172" s="128" t="str">
        <f>IF(A172="","",COUNTIFS(po_sup,A172,po_status,"En retard"))</f>
        <v/>
      </c>
      <c r="O172" s="72" t="str">
        <f>IF(A172="","",IF(COUNTIFS(po_sup,A172,po_ontime,"&gt;=0")=0,"",COUNTIFS(po_sup,A172,po_ontime,1)/COUNTIFS(po_sup,A172,po_ontime,"&gt;=0")))</f>
        <v/>
      </c>
      <c r="P172" s="67" t="str">
        <f>IF(A172="","",IF(COUNTIF(sup_code,A172)&gt;1,"Code en double",IF(B172="","Raison sociale manquante",IF(AND(K172&lt;&gt;"",OR(NOT(ISNUMBER(K172)),N(K172)&lt;0)),"Délai invalide","OK"))))</f>
        <v/>
      </c>
      <c r="Q172" s="70" t="str">
        <f>IF(A172="","",SUMIFS(po_ht,po_sup,A172,po_status,"&lt;&gt;Annulé",po_date,"&gt;="&amp;p_y0,po_date,"&lt;"&amp;p_y1))</f>
        <v/>
      </c>
      <c r="R172" s="66" t="str">
        <f>IF(N(Q172)&gt;0,Q172-ROW()/10000000,"")</f>
        <v/>
      </c>
    </row>
    <row r="173">
      <c r="A173" s="65" t="n"/>
      <c r="B173" s="63" t="n"/>
      <c r="C173" s="63" t="n"/>
      <c r="D173" s="63" t="n"/>
      <c r="E173" s="65" t="n"/>
      <c r="F173" s="63" t="n"/>
      <c r="G173" s="63" t="n"/>
      <c r="H173" s="63" t="n"/>
      <c r="I173" s="63" t="n"/>
      <c r="J173" s="63" t="n"/>
      <c r="K173" s="127" t="n"/>
      <c r="L173" s="128" t="str">
        <f>IF(A173="","",COUNTIFS(po_sup,A173,po_first,1))</f>
        <v/>
      </c>
      <c r="M173" s="70" t="str">
        <f>IF(A173="","",SUMIFS(po_ht,po_sup,A173,po_status,"&lt;&gt;Annulé"))</f>
        <v/>
      </c>
      <c r="N173" s="128" t="str">
        <f>IF(A173="","",COUNTIFS(po_sup,A173,po_status,"En retard"))</f>
        <v/>
      </c>
      <c r="O173" s="72" t="str">
        <f>IF(A173="","",IF(COUNTIFS(po_sup,A173,po_ontime,"&gt;=0")=0,"",COUNTIFS(po_sup,A173,po_ontime,1)/COUNTIFS(po_sup,A173,po_ontime,"&gt;=0")))</f>
        <v/>
      </c>
      <c r="P173" s="67" t="str">
        <f>IF(A173="","",IF(COUNTIF(sup_code,A173)&gt;1,"Code en double",IF(B173="","Raison sociale manquante",IF(AND(K173&lt;&gt;"",OR(NOT(ISNUMBER(K173)),N(K173)&lt;0)),"Délai invalide","OK"))))</f>
        <v/>
      </c>
      <c r="Q173" s="70" t="str">
        <f>IF(A173="","",SUMIFS(po_ht,po_sup,A173,po_status,"&lt;&gt;Annulé",po_date,"&gt;="&amp;p_y0,po_date,"&lt;"&amp;p_y1))</f>
        <v/>
      </c>
      <c r="R173" s="66" t="str">
        <f>IF(N(Q173)&gt;0,Q173-ROW()/10000000,"")</f>
        <v/>
      </c>
    </row>
    <row r="174">
      <c r="A174" s="65" t="n"/>
      <c r="B174" s="63" t="n"/>
      <c r="C174" s="63" t="n"/>
      <c r="D174" s="63" t="n"/>
      <c r="E174" s="65" t="n"/>
      <c r="F174" s="63" t="n"/>
      <c r="G174" s="63" t="n"/>
      <c r="H174" s="63" t="n"/>
      <c r="I174" s="63" t="n"/>
      <c r="J174" s="63" t="n"/>
      <c r="K174" s="127" t="n"/>
      <c r="L174" s="128" t="str">
        <f>IF(A174="","",COUNTIFS(po_sup,A174,po_first,1))</f>
        <v/>
      </c>
      <c r="M174" s="70" t="str">
        <f>IF(A174="","",SUMIFS(po_ht,po_sup,A174,po_status,"&lt;&gt;Annulé"))</f>
        <v/>
      </c>
      <c r="N174" s="128" t="str">
        <f>IF(A174="","",COUNTIFS(po_sup,A174,po_status,"En retard"))</f>
        <v/>
      </c>
      <c r="O174" s="72" t="str">
        <f>IF(A174="","",IF(COUNTIFS(po_sup,A174,po_ontime,"&gt;=0")=0,"",COUNTIFS(po_sup,A174,po_ontime,1)/COUNTIFS(po_sup,A174,po_ontime,"&gt;=0")))</f>
        <v/>
      </c>
      <c r="P174" s="67" t="str">
        <f>IF(A174="","",IF(COUNTIF(sup_code,A174)&gt;1,"Code en double",IF(B174="","Raison sociale manquante",IF(AND(K174&lt;&gt;"",OR(NOT(ISNUMBER(K174)),N(K174)&lt;0)),"Délai invalide","OK"))))</f>
        <v/>
      </c>
      <c r="Q174" s="70" t="str">
        <f>IF(A174="","",SUMIFS(po_ht,po_sup,A174,po_status,"&lt;&gt;Annulé",po_date,"&gt;="&amp;p_y0,po_date,"&lt;"&amp;p_y1))</f>
        <v/>
      </c>
      <c r="R174" s="66" t="str">
        <f>IF(N(Q174)&gt;0,Q174-ROW()/10000000,"")</f>
        <v/>
      </c>
    </row>
    <row r="175">
      <c r="A175" s="65" t="n"/>
      <c r="B175" s="63" t="n"/>
      <c r="C175" s="63" t="n"/>
      <c r="D175" s="63" t="n"/>
      <c r="E175" s="65" t="n"/>
      <c r="F175" s="63" t="n"/>
      <c r="G175" s="63" t="n"/>
      <c r="H175" s="63" t="n"/>
      <c r="I175" s="63" t="n"/>
      <c r="J175" s="63" t="n"/>
      <c r="K175" s="127" t="n"/>
      <c r="L175" s="128" t="str">
        <f>IF(A175="","",COUNTIFS(po_sup,A175,po_first,1))</f>
        <v/>
      </c>
      <c r="M175" s="70" t="str">
        <f>IF(A175="","",SUMIFS(po_ht,po_sup,A175,po_status,"&lt;&gt;Annulé"))</f>
        <v/>
      </c>
      <c r="N175" s="128" t="str">
        <f>IF(A175="","",COUNTIFS(po_sup,A175,po_status,"En retard"))</f>
        <v/>
      </c>
      <c r="O175" s="72" t="str">
        <f>IF(A175="","",IF(COUNTIFS(po_sup,A175,po_ontime,"&gt;=0")=0,"",COUNTIFS(po_sup,A175,po_ontime,1)/COUNTIFS(po_sup,A175,po_ontime,"&gt;=0")))</f>
        <v/>
      </c>
      <c r="P175" s="67" t="str">
        <f>IF(A175="","",IF(COUNTIF(sup_code,A175)&gt;1,"Code en double",IF(B175="","Raison sociale manquante",IF(AND(K175&lt;&gt;"",OR(NOT(ISNUMBER(K175)),N(K175)&lt;0)),"Délai invalide","OK"))))</f>
        <v/>
      </c>
      <c r="Q175" s="70" t="str">
        <f>IF(A175="","",SUMIFS(po_ht,po_sup,A175,po_status,"&lt;&gt;Annulé",po_date,"&gt;="&amp;p_y0,po_date,"&lt;"&amp;p_y1))</f>
        <v/>
      </c>
      <c r="R175" s="66" t="str">
        <f>IF(N(Q175)&gt;0,Q175-ROW()/10000000,"")</f>
        <v/>
      </c>
    </row>
    <row r="176">
      <c r="A176" s="65" t="n"/>
      <c r="B176" s="63" t="n"/>
      <c r="C176" s="63" t="n"/>
      <c r="D176" s="63" t="n"/>
      <c r="E176" s="65" t="n"/>
      <c r="F176" s="63" t="n"/>
      <c r="G176" s="63" t="n"/>
      <c r="H176" s="63" t="n"/>
      <c r="I176" s="63" t="n"/>
      <c r="J176" s="63" t="n"/>
      <c r="K176" s="127" t="n"/>
      <c r="L176" s="128" t="str">
        <f>IF(A176="","",COUNTIFS(po_sup,A176,po_first,1))</f>
        <v/>
      </c>
      <c r="M176" s="70" t="str">
        <f>IF(A176="","",SUMIFS(po_ht,po_sup,A176,po_status,"&lt;&gt;Annulé"))</f>
        <v/>
      </c>
      <c r="N176" s="128" t="str">
        <f>IF(A176="","",COUNTIFS(po_sup,A176,po_status,"En retard"))</f>
        <v/>
      </c>
      <c r="O176" s="72" t="str">
        <f>IF(A176="","",IF(COUNTIFS(po_sup,A176,po_ontime,"&gt;=0")=0,"",COUNTIFS(po_sup,A176,po_ontime,1)/COUNTIFS(po_sup,A176,po_ontime,"&gt;=0")))</f>
        <v/>
      </c>
      <c r="P176" s="67" t="str">
        <f>IF(A176="","",IF(COUNTIF(sup_code,A176)&gt;1,"Code en double",IF(B176="","Raison sociale manquante",IF(AND(K176&lt;&gt;"",OR(NOT(ISNUMBER(K176)),N(K176)&lt;0)),"Délai invalide","OK"))))</f>
        <v/>
      </c>
      <c r="Q176" s="70" t="str">
        <f>IF(A176="","",SUMIFS(po_ht,po_sup,A176,po_status,"&lt;&gt;Annulé",po_date,"&gt;="&amp;p_y0,po_date,"&lt;"&amp;p_y1))</f>
        <v/>
      </c>
      <c r="R176" s="66" t="str">
        <f>IF(N(Q176)&gt;0,Q176-ROW()/10000000,"")</f>
        <v/>
      </c>
    </row>
    <row r="177">
      <c r="A177" s="65" t="n"/>
      <c r="B177" s="63" t="n"/>
      <c r="C177" s="63" t="n"/>
      <c r="D177" s="63" t="n"/>
      <c r="E177" s="65" t="n"/>
      <c r="F177" s="63" t="n"/>
      <c r="G177" s="63" t="n"/>
      <c r="H177" s="63" t="n"/>
      <c r="I177" s="63" t="n"/>
      <c r="J177" s="63" t="n"/>
      <c r="K177" s="127" t="n"/>
      <c r="L177" s="128" t="str">
        <f>IF(A177="","",COUNTIFS(po_sup,A177,po_first,1))</f>
        <v/>
      </c>
      <c r="M177" s="70" t="str">
        <f>IF(A177="","",SUMIFS(po_ht,po_sup,A177,po_status,"&lt;&gt;Annulé"))</f>
        <v/>
      </c>
      <c r="N177" s="128" t="str">
        <f>IF(A177="","",COUNTIFS(po_sup,A177,po_status,"En retard"))</f>
        <v/>
      </c>
      <c r="O177" s="72" t="str">
        <f>IF(A177="","",IF(COUNTIFS(po_sup,A177,po_ontime,"&gt;=0")=0,"",COUNTIFS(po_sup,A177,po_ontime,1)/COUNTIFS(po_sup,A177,po_ontime,"&gt;=0")))</f>
        <v/>
      </c>
      <c r="P177" s="67" t="str">
        <f>IF(A177="","",IF(COUNTIF(sup_code,A177)&gt;1,"Code en double",IF(B177="","Raison sociale manquante",IF(AND(K177&lt;&gt;"",OR(NOT(ISNUMBER(K177)),N(K177)&lt;0)),"Délai invalide","OK"))))</f>
        <v/>
      </c>
      <c r="Q177" s="70" t="str">
        <f>IF(A177="","",SUMIFS(po_ht,po_sup,A177,po_status,"&lt;&gt;Annulé",po_date,"&gt;="&amp;p_y0,po_date,"&lt;"&amp;p_y1))</f>
        <v/>
      </c>
      <c r="R177" s="66" t="str">
        <f>IF(N(Q177)&gt;0,Q177-ROW()/10000000,"")</f>
        <v/>
      </c>
    </row>
    <row r="178">
      <c r="A178" s="65" t="n"/>
      <c r="B178" s="63" t="n"/>
      <c r="C178" s="63" t="n"/>
      <c r="D178" s="63" t="n"/>
      <c r="E178" s="65" t="n"/>
      <c r="F178" s="63" t="n"/>
      <c r="G178" s="63" t="n"/>
      <c r="H178" s="63" t="n"/>
      <c r="I178" s="63" t="n"/>
      <c r="J178" s="63" t="n"/>
      <c r="K178" s="127" t="n"/>
      <c r="L178" s="128" t="str">
        <f>IF(A178="","",COUNTIFS(po_sup,A178,po_first,1))</f>
        <v/>
      </c>
      <c r="M178" s="70" t="str">
        <f>IF(A178="","",SUMIFS(po_ht,po_sup,A178,po_status,"&lt;&gt;Annulé"))</f>
        <v/>
      </c>
      <c r="N178" s="128" t="str">
        <f>IF(A178="","",COUNTIFS(po_sup,A178,po_status,"En retard"))</f>
        <v/>
      </c>
      <c r="O178" s="72" t="str">
        <f>IF(A178="","",IF(COUNTIFS(po_sup,A178,po_ontime,"&gt;=0")=0,"",COUNTIFS(po_sup,A178,po_ontime,1)/COUNTIFS(po_sup,A178,po_ontime,"&gt;=0")))</f>
        <v/>
      </c>
      <c r="P178" s="67" t="str">
        <f>IF(A178="","",IF(COUNTIF(sup_code,A178)&gt;1,"Code en double",IF(B178="","Raison sociale manquante",IF(AND(K178&lt;&gt;"",OR(NOT(ISNUMBER(K178)),N(K178)&lt;0)),"Délai invalide","OK"))))</f>
        <v/>
      </c>
      <c r="Q178" s="70" t="str">
        <f>IF(A178="","",SUMIFS(po_ht,po_sup,A178,po_status,"&lt;&gt;Annulé",po_date,"&gt;="&amp;p_y0,po_date,"&lt;"&amp;p_y1))</f>
        <v/>
      </c>
      <c r="R178" s="66" t="str">
        <f>IF(N(Q178)&gt;0,Q178-ROW()/10000000,"")</f>
        <v/>
      </c>
    </row>
    <row r="179">
      <c r="A179" s="65" t="n"/>
      <c r="B179" s="63" t="n"/>
      <c r="C179" s="63" t="n"/>
      <c r="D179" s="63" t="n"/>
      <c r="E179" s="65" t="n"/>
      <c r="F179" s="63" t="n"/>
      <c r="G179" s="63" t="n"/>
      <c r="H179" s="63" t="n"/>
      <c r="I179" s="63" t="n"/>
      <c r="J179" s="63" t="n"/>
      <c r="K179" s="127" t="n"/>
      <c r="L179" s="128" t="str">
        <f>IF(A179="","",COUNTIFS(po_sup,A179,po_first,1))</f>
        <v/>
      </c>
      <c r="M179" s="70" t="str">
        <f>IF(A179="","",SUMIFS(po_ht,po_sup,A179,po_status,"&lt;&gt;Annulé"))</f>
        <v/>
      </c>
      <c r="N179" s="128" t="str">
        <f>IF(A179="","",COUNTIFS(po_sup,A179,po_status,"En retard"))</f>
        <v/>
      </c>
      <c r="O179" s="72" t="str">
        <f>IF(A179="","",IF(COUNTIFS(po_sup,A179,po_ontime,"&gt;=0")=0,"",COUNTIFS(po_sup,A179,po_ontime,1)/COUNTIFS(po_sup,A179,po_ontime,"&gt;=0")))</f>
        <v/>
      </c>
      <c r="P179" s="67" t="str">
        <f>IF(A179="","",IF(COUNTIF(sup_code,A179)&gt;1,"Code en double",IF(B179="","Raison sociale manquante",IF(AND(K179&lt;&gt;"",OR(NOT(ISNUMBER(K179)),N(K179)&lt;0)),"Délai invalide","OK"))))</f>
        <v/>
      </c>
      <c r="Q179" s="70" t="str">
        <f>IF(A179="","",SUMIFS(po_ht,po_sup,A179,po_status,"&lt;&gt;Annulé",po_date,"&gt;="&amp;p_y0,po_date,"&lt;"&amp;p_y1))</f>
        <v/>
      </c>
      <c r="R179" s="66" t="str">
        <f>IF(N(Q179)&gt;0,Q179-ROW()/10000000,"")</f>
        <v/>
      </c>
    </row>
    <row r="180">
      <c r="A180" s="65" t="n"/>
      <c r="B180" s="63" t="n"/>
      <c r="C180" s="63" t="n"/>
      <c r="D180" s="63" t="n"/>
      <c r="E180" s="65" t="n"/>
      <c r="F180" s="63" t="n"/>
      <c r="G180" s="63" t="n"/>
      <c r="H180" s="63" t="n"/>
      <c r="I180" s="63" t="n"/>
      <c r="J180" s="63" t="n"/>
      <c r="K180" s="127" t="n"/>
      <c r="L180" s="128" t="str">
        <f>IF(A180="","",COUNTIFS(po_sup,A180,po_first,1))</f>
        <v/>
      </c>
      <c r="M180" s="70" t="str">
        <f>IF(A180="","",SUMIFS(po_ht,po_sup,A180,po_status,"&lt;&gt;Annulé"))</f>
        <v/>
      </c>
      <c r="N180" s="128" t="str">
        <f>IF(A180="","",COUNTIFS(po_sup,A180,po_status,"En retard"))</f>
        <v/>
      </c>
      <c r="O180" s="72" t="str">
        <f>IF(A180="","",IF(COUNTIFS(po_sup,A180,po_ontime,"&gt;=0")=0,"",COUNTIFS(po_sup,A180,po_ontime,1)/COUNTIFS(po_sup,A180,po_ontime,"&gt;=0")))</f>
        <v/>
      </c>
      <c r="P180" s="67" t="str">
        <f>IF(A180="","",IF(COUNTIF(sup_code,A180)&gt;1,"Code en double",IF(B180="","Raison sociale manquante",IF(AND(K180&lt;&gt;"",OR(NOT(ISNUMBER(K180)),N(K180)&lt;0)),"Délai invalide","OK"))))</f>
        <v/>
      </c>
      <c r="Q180" s="70" t="str">
        <f>IF(A180="","",SUMIFS(po_ht,po_sup,A180,po_status,"&lt;&gt;Annulé",po_date,"&gt;="&amp;p_y0,po_date,"&lt;"&amp;p_y1))</f>
        <v/>
      </c>
      <c r="R180" s="66" t="str">
        <f>IF(N(Q180)&gt;0,Q180-ROW()/10000000,"")</f>
        <v/>
      </c>
    </row>
    <row r="181">
      <c r="A181" s="65" t="n"/>
      <c r="B181" s="63" t="n"/>
      <c r="C181" s="63" t="n"/>
      <c r="D181" s="63" t="n"/>
      <c r="E181" s="65" t="n"/>
      <c r="F181" s="63" t="n"/>
      <c r="G181" s="63" t="n"/>
      <c r="H181" s="63" t="n"/>
      <c r="I181" s="63" t="n"/>
      <c r="J181" s="63" t="n"/>
      <c r="K181" s="127" t="n"/>
      <c r="L181" s="128" t="str">
        <f>IF(A181="","",COUNTIFS(po_sup,A181,po_first,1))</f>
        <v/>
      </c>
      <c r="M181" s="70" t="str">
        <f>IF(A181="","",SUMIFS(po_ht,po_sup,A181,po_status,"&lt;&gt;Annulé"))</f>
        <v/>
      </c>
      <c r="N181" s="128" t="str">
        <f>IF(A181="","",COUNTIFS(po_sup,A181,po_status,"En retard"))</f>
        <v/>
      </c>
      <c r="O181" s="72" t="str">
        <f>IF(A181="","",IF(COUNTIFS(po_sup,A181,po_ontime,"&gt;=0")=0,"",COUNTIFS(po_sup,A181,po_ontime,1)/COUNTIFS(po_sup,A181,po_ontime,"&gt;=0")))</f>
        <v/>
      </c>
      <c r="P181" s="67" t="str">
        <f>IF(A181="","",IF(COUNTIF(sup_code,A181)&gt;1,"Code en double",IF(B181="","Raison sociale manquante",IF(AND(K181&lt;&gt;"",OR(NOT(ISNUMBER(K181)),N(K181)&lt;0)),"Délai invalide","OK"))))</f>
        <v/>
      </c>
      <c r="Q181" s="70" t="str">
        <f>IF(A181="","",SUMIFS(po_ht,po_sup,A181,po_status,"&lt;&gt;Annulé",po_date,"&gt;="&amp;p_y0,po_date,"&lt;"&amp;p_y1))</f>
        <v/>
      </c>
      <c r="R181" s="66" t="str">
        <f>IF(N(Q181)&gt;0,Q181-ROW()/10000000,"")</f>
        <v/>
      </c>
    </row>
    <row r="182">
      <c r="A182" s="65" t="n"/>
      <c r="B182" s="63" t="n"/>
      <c r="C182" s="63" t="n"/>
      <c r="D182" s="63" t="n"/>
      <c r="E182" s="65" t="n"/>
      <c r="F182" s="63" t="n"/>
      <c r="G182" s="63" t="n"/>
      <c r="H182" s="63" t="n"/>
      <c r="I182" s="63" t="n"/>
      <c r="J182" s="63" t="n"/>
      <c r="K182" s="127" t="n"/>
      <c r="L182" s="128" t="str">
        <f>IF(A182="","",COUNTIFS(po_sup,A182,po_first,1))</f>
        <v/>
      </c>
      <c r="M182" s="70" t="str">
        <f>IF(A182="","",SUMIFS(po_ht,po_sup,A182,po_status,"&lt;&gt;Annulé"))</f>
        <v/>
      </c>
      <c r="N182" s="128" t="str">
        <f>IF(A182="","",COUNTIFS(po_sup,A182,po_status,"En retard"))</f>
        <v/>
      </c>
      <c r="O182" s="72" t="str">
        <f>IF(A182="","",IF(COUNTIFS(po_sup,A182,po_ontime,"&gt;=0")=0,"",COUNTIFS(po_sup,A182,po_ontime,1)/COUNTIFS(po_sup,A182,po_ontime,"&gt;=0")))</f>
        <v/>
      </c>
      <c r="P182" s="67" t="str">
        <f>IF(A182="","",IF(COUNTIF(sup_code,A182)&gt;1,"Code en double",IF(B182="","Raison sociale manquante",IF(AND(K182&lt;&gt;"",OR(NOT(ISNUMBER(K182)),N(K182)&lt;0)),"Délai invalide","OK"))))</f>
        <v/>
      </c>
      <c r="Q182" s="70" t="str">
        <f>IF(A182="","",SUMIFS(po_ht,po_sup,A182,po_status,"&lt;&gt;Annulé",po_date,"&gt;="&amp;p_y0,po_date,"&lt;"&amp;p_y1))</f>
        <v/>
      </c>
      <c r="R182" s="66" t="str">
        <f>IF(N(Q182)&gt;0,Q182-ROW()/10000000,"")</f>
        <v/>
      </c>
    </row>
    <row r="183">
      <c r="A183" s="65" t="n"/>
      <c r="B183" s="63" t="n"/>
      <c r="C183" s="63" t="n"/>
      <c r="D183" s="63" t="n"/>
      <c r="E183" s="65" t="n"/>
      <c r="F183" s="63" t="n"/>
      <c r="G183" s="63" t="n"/>
      <c r="H183" s="63" t="n"/>
      <c r="I183" s="63" t="n"/>
      <c r="J183" s="63" t="n"/>
      <c r="K183" s="127" t="n"/>
      <c r="L183" s="128" t="str">
        <f>IF(A183="","",COUNTIFS(po_sup,A183,po_first,1))</f>
        <v/>
      </c>
      <c r="M183" s="70" t="str">
        <f>IF(A183="","",SUMIFS(po_ht,po_sup,A183,po_status,"&lt;&gt;Annulé"))</f>
        <v/>
      </c>
      <c r="N183" s="128" t="str">
        <f>IF(A183="","",COUNTIFS(po_sup,A183,po_status,"En retard"))</f>
        <v/>
      </c>
      <c r="O183" s="72" t="str">
        <f>IF(A183="","",IF(COUNTIFS(po_sup,A183,po_ontime,"&gt;=0")=0,"",COUNTIFS(po_sup,A183,po_ontime,1)/COUNTIFS(po_sup,A183,po_ontime,"&gt;=0")))</f>
        <v/>
      </c>
      <c r="P183" s="67" t="str">
        <f>IF(A183="","",IF(COUNTIF(sup_code,A183)&gt;1,"Code en double",IF(B183="","Raison sociale manquante",IF(AND(K183&lt;&gt;"",OR(NOT(ISNUMBER(K183)),N(K183)&lt;0)),"Délai invalide","OK"))))</f>
        <v/>
      </c>
      <c r="Q183" s="70" t="str">
        <f>IF(A183="","",SUMIFS(po_ht,po_sup,A183,po_status,"&lt;&gt;Annulé",po_date,"&gt;="&amp;p_y0,po_date,"&lt;"&amp;p_y1))</f>
        <v/>
      </c>
      <c r="R183" s="66" t="str">
        <f>IF(N(Q183)&gt;0,Q183-ROW()/10000000,"")</f>
        <v/>
      </c>
    </row>
    <row r="184">
      <c r="A184" s="65" t="n"/>
      <c r="B184" s="63" t="n"/>
      <c r="C184" s="63" t="n"/>
      <c r="D184" s="63" t="n"/>
      <c r="E184" s="65" t="n"/>
      <c r="F184" s="63" t="n"/>
      <c r="G184" s="63" t="n"/>
      <c r="H184" s="63" t="n"/>
      <c r="I184" s="63" t="n"/>
      <c r="J184" s="63" t="n"/>
      <c r="K184" s="127" t="n"/>
      <c r="L184" s="128" t="str">
        <f>IF(A184="","",COUNTIFS(po_sup,A184,po_first,1))</f>
        <v/>
      </c>
      <c r="M184" s="70" t="str">
        <f>IF(A184="","",SUMIFS(po_ht,po_sup,A184,po_status,"&lt;&gt;Annulé"))</f>
        <v/>
      </c>
      <c r="N184" s="128" t="str">
        <f>IF(A184="","",COUNTIFS(po_sup,A184,po_status,"En retard"))</f>
        <v/>
      </c>
      <c r="O184" s="72" t="str">
        <f>IF(A184="","",IF(COUNTIFS(po_sup,A184,po_ontime,"&gt;=0")=0,"",COUNTIFS(po_sup,A184,po_ontime,1)/COUNTIFS(po_sup,A184,po_ontime,"&gt;=0")))</f>
        <v/>
      </c>
      <c r="P184" s="67" t="str">
        <f>IF(A184="","",IF(COUNTIF(sup_code,A184)&gt;1,"Code en double",IF(B184="","Raison sociale manquante",IF(AND(K184&lt;&gt;"",OR(NOT(ISNUMBER(K184)),N(K184)&lt;0)),"Délai invalide","OK"))))</f>
        <v/>
      </c>
      <c r="Q184" s="70" t="str">
        <f>IF(A184="","",SUMIFS(po_ht,po_sup,A184,po_status,"&lt;&gt;Annulé",po_date,"&gt;="&amp;p_y0,po_date,"&lt;"&amp;p_y1))</f>
        <v/>
      </c>
      <c r="R184" s="66" t="str">
        <f>IF(N(Q184)&gt;0,Q184-ROW()/10000000,"")</f>
        <v/>
      </c>
    </row>
    <row r="185">
      <c r="A185" s="65" t="n"/>
      <c r="B185" s="63" t="n"/>
      <c r="C185" s="63" t="n"/>
      <c r="D185" s="63" t="n"/>
      <c r="E185" s="65" t="n"/>
      <c r="F185" s="63" t="n"/>
      <c r="G185" s="63" t="n"/>
      <c r="H185" s="63" t="n"/>
      <c r="I185" s="63" t="n"/>
      <c r="J185" s="63" t="n"/>
      <c r="K185" s="127" t="n"/>
      <c r="L185" s="128" t="str">
        <f>IF(A185="","",COUNTIFS(po_sup,A185,po_first,1))</f>
        <v/>
      </c>
      <c r="M185" s="70" t="str">
        <f>IF(A185="","",SUMIFS(po_ht,po_sup,A185,po_status,"&lt;&gt;Annulé"))</f>
        <v/>
      </c>
      <c r="N185" s="128" t="str">
        <f>IF(A185="","",COUNTIFS(po_sup,A185,po_status,"En retard"))</f>
        <v/>
      </c>
      <c r="O185" s="72" t="str">
        <f>IF(A185="","",IF(COUNTIFS(po_sup,A185,po_ontime,"&gt;=0")=0,"",COUNTIFS(po_sup,A185,po_ontime,1)/COUNTIFS(po_sup,A185,po_ontime,"&gt;=0")))</f>
        <v/>
      </c>
      <c r="P185" s="67" t="str">
        <f>IF(A185="","",IF(COUNTIF(sup_code,A185)&gt;1,"Code en double",IF(B185="","Raison sociale manquante",IF(AND(K185&lt;&gt;"",OR(NOT(ISNUMBER(K185)),N(K185)&lt;0)),"Délai invalide","OK"))))</f>
        <v/>
      </c>
      <c r="Q185" s="70" t="str">
        <f>IF(A185="","",SUMIFS(po_ht,po_sup,A185,po_status,"&lt;&gt;Annulé",po_date,"&gt;="&amp;p_y0,po_date,"&lt;"&amp;p_y1))</f>
        <v/>
      </c>
      <c r="R185" s="66" t="str">
        <f>IF(N(Q185)&gt;0,Q185-ROW()/10000000,"")</f>
        <v/>
      </c>
    </row>
    <row r="186">
      <c r="A186" s="65" t="n"/>
      <c r="B186" s="63" t="n"/>
      <c r="C186" s="63" t="n"/>
      <c r="D186" s="63" t="n"/>
      <c r="E186" s="65" t="n"/>
      <c r="F186" s="63" t="n"/>
      <c r="G186" s="63" t="n"/>
      <c r="H186" s="63" t="n"/>
      <c r="I186" s="63" t="n"/>
      <c r="J186" s="63" t="n"/>
      <c r="K186" s="127" t="n"/>
      <c r="L186" s="128" t="str">
        <f>IF(A186="","",COUNTIFS(po_sup,A186,po_first,1))</f>
        <v/>
      </c>
      <c r="M186" s="70" t="str">
        <f>IF(A186="","",SUMIFS(po_ht,po_sup,A186,po_status,"&lt;&gt;Annulé"))</f>
        <v/>
      </c>
      <c r="N186" s="128" t="str">
        <f>IF(A186="","",COUNTIFS(po_sup,A186,po_status,"En retard"))</f>
        <v/>
      </c>
      <c r="O186" s="72" t="str">
        <f>IF(A186="","",IF(COUNTIFS(po_sup,A186,po_ontime,"&gt;=0")=0,"",COUNTIFS(po_sup,A186,po_ontime,1)/COUNTIFS(po_sup,A186,po_ontime,"&gt;=0")))</f>
        <v/>
      </c>
      <c r="P186" s="67" t="str">
        <f>IF(A186="","",IF(COUNTIF(sup_code,A186)&gt;1,"Code en double",IF(B186="","Raison sociale manquante",IF(AND(K186&lt;&gt;"",OR(NOT(ISNUMBER(K186)),N(K186)&lt;0)),"Délai invalide","OK"))))</f>
        <v/>
      </c>
      <c r="Q186" s="70" t="str">
        <f>IF(A186="","",SUMIFS(po_ht,po_sup,A186,po_status,"&lt;&gt;Annulé",po_date,"&gt;="&amp;p_y0,po_date,"&lt;"&amp;p_y1))</f>
        <v/>
      </c>
      <c r="R186" s="66" t="str">
        <f>IF(N(Q186)&gt;0,Q186-ROW()/10000000,"")</f>
        <v/>
      </c>
    </row>
    <row r="187">
      <c r="A187" s="65" t="n"/>
      <c r="B187" s="63" t="n"/>
      <c r="C187" s="63" t="n"/>
      <c r="D187" s="63" t="n"/>
      <c r="E187" s="65" t="n"/>
      <c r="F187" s="63" t="n"/>
      <c r="G187" s="63" t="n"/>
      <c r="H187" s="63" t="n"/>
      <c r="I187" s="63" t="n"/>
      <c r="J187" s="63" t="n"/>
      <c r="K187" s="127" t="n"/>
      <c r="L187" s="128" t="str">
        <f>IF(A187="","",COUNTIFS(po_sup,A187,po_first,1))</f>
        <v/>
      </c>
      <c r="M187" s="70" t="str">
        <f>IF(A187="","",SUMIFS(po_ht,po_sup,A187,po_status,"&lt;&gt;Annulé"))</f>
        <v/>
      </c>
      <c r="N187" s="128" t="str">
        <f>IF(A187="","",COUNTIFS(po_sup,A187,po_status,"En retard"))</f>
        <v/>
      </c>
      <c r="O187" s="72" t="str">
        <f>IF(A187="","",IF(COUNTIFS(po_sup,A187,po_ontime,"&gt;=0")=0,"",COUNTIFS(po_sup,A187,po_ontime,1)/COUNTIFS(po_sup,A187,po_ontime,"&gt;=0")))</f>
        <v/>
      </c>
      <c r="P187" s="67" t="str">
        <f>IF(A187="","",IF(COUNTIF(sup_code,A187)&gt;1,"Code en double",IF(B187="","Raison sociale manquante",IF(AND(K187&lt;&gt;"",OR(NOT(ISNUMBER(K187)),N(K187)&lt;0)),"Délai invalide","OK"))))</f>
        <v/>
      </c>
      <c r="Q187" s="70" t="str">
        <f>IF(A187="","",SUMIFS(po_ht,po_sup,A187,po_status,"&lt;&gt;Annulé",po_date,"&gt;="&amp;p_y0,po_date,"&lt;"&amp;p_y1))</f>
        <v/>
      </c>
      <c r="R187" s="66" t="str">
        <f>IF(N(Q187)&gt;0,Q187-ROW()/10000000,"")</f>
        <v/>
      </c>
    </row>
    <row r="188">
      <c r="A188" s="65" t="n"/>
      <c r="B188" s="63" t="n"/>
      <c r="C188" s="63" t="n"/>
      <c r="D188" s="63" t="n"/>
      <c r="E188" s="65" t="n"/>
      <c r="F188" s="63" t="n"/>
      <c r="G188" s="63" t="n"/>
      <c r="H188" s="63" t="n"/>
      <c r="I188" s="63" t="n"/>
      <c r="J188" s="63" t="n"/>
      <c r="K188" s="127" t="n"/>
      <c r="L188" s="128" t="str">
        <f>IF(A188="","",COUNTIFS(po_sup,A188,po_first,1))</f>
        <v/>
      </c>
      <c r="M188" s="70" t="str">
        <f>IF(A188="","",SUMIFS(po_ht,po_sup,A188,po_status,"&lt;&gt;Annulé"))</f>
        <v/>
      </c>
      <c r="N188" s="128" t="str">
        <f>IF(A188="","",COUNTIFS(po_sup,A188,po_status,"En retard"))</f>
        <v/>
      </c>
      <c r="O188" s="72" t="str">
        <f>IF(A188="","",IF(COUNTIFS(po_sup,A188,po_ontime,"&gt;=0")=0,"",COUNTIFS(po_sup,A188,po_ontime,1)/COUNTIFS(po_sup,A188,po_ontime,"&gt;=0")))</f>
        <v/>
      </c>
      <c r="P188" s="67" t="str">
        <f>IF(A188="","",IF(COUNTIF(sup_code,A188)&gt;1,"Code en double",IF(B188="","Raison sociale manquante",IF(AND(K188&lt;&gt;"",OR(NOT(ISNUMBER(K188)),N(K188)&lt;0)),"Délai invalide","OK"))))</f>
        <v/>
      </c>
      <c r="Q188" s="70" t="str">
        <f>IF(A188="","",SUMIFS(po_ht,po_sup,A188,po_status,"&lt;&gt;Annulé",po_date,"&gt;="&amp;p_y0,po_date,"&lt;"&amp;p_y1))</f>
        <v/>
      </c>
      <c r="R188" s="66" t="str">
        <f>IF(N(Q188)&gt;0,Q188-ROW()/10000000,"")</f>
        <v/>
      </c>
    </row>
    <row r="189">
      <c r="A189" s="65" t="n"/>
      <c r="B189" s="63" t="n"/>
      <c r="C189" s="63" t="n"/>
      <c r="D189" s="63" t="n"/>
      <c r="E189" s="65" t="n"/>
      <c r="F189" s="63" t="n"/>
      <c r="G189" s="63" t="n"/>
      <c r="H189" s="63" t="n"/>
      <c r="I189" s="63" t="n"/>
      <c r="J189" s="63" t="n"/>
      <c r="K189" s="127" t="n"/>
      <c r="L189" s="128" t="str">
        <f>IF(A189="","",COUNTIFS(po_sup,A189,po_first,1))</f>
        <v/>
      </c>
      <c r="M189" s="70" t="str">
        <f>IF(A189="","",SUMIFS(po_ht,po_sup,A189,po_status,"&lt;&gt;Annulé"))</f>
        <v/>
      </c>
      <c r="N189" s="128" t="str">
        <f>IF(A189="","",COUNTIFS(po_sup,A189,po_status,"En retard"))</f>
        <v/>
      </c>
      <c r="O189" s="72" t="str">
        <f>IF(A189="","",IF(COUNTIFS(po_sup,A189,po_ontime,"&gt;=0")=0,"",COUNTIFS(po_sup,A189,po_ontime,1)/COUNTIFS(po_sup,A189,po_ontime,"&gt;=0")))</f>
        <v/>
      </c>
      <c r="P189" s="67" t="str">
        <f>IF(A189="","",IF(COUNTIF(sup_code,A189)&gt;1,"Code en double",IF(B189="","Raison sociale manquante",IF(AND(K189&lt;&gt;"",OR(NOT(ISNUMBER(K189)),N(K189)&lt;0)),"Délai invalide","OK"))))</f>
        <v/>
      </c>
      <c r="Q189" s="70" t="str">
        <f>IF(A189="","",SUMIFS(po_ht,po_sup,A189,po_status,"&lt;&gt;Annulé",po_date,"&gt;="&amp;p_y0,po_date,"&lt;"&amp;p_y1))</f>
        <v/>
      </c>
      <c r="R189" s="66" t="str">
        <f>IF(N(Q189)&gt;0,Q189-ROW()/10000000,"")</f>
        <v/>
      </c>
    </row>
    <row r="190">
      <c r="A190" s="65" t="n"/>
      <c r="B190" s="63" t="n"/>
      <c r="C190" s="63" t="n"/>
      <c r="D190" s="63" t="n"/>
      <c r="E190" s="65" t="n"/>
      <c r="F190" s="63" t="n"/>
      <c r="G190" s="63" t="n"/>
      <c r="H190" s="63" t="n"/>
      <c r="I190" s="63" t="n"/>
      <c r="J190" s="63" t="n"/>
      <c r="K190" s="127" t="n"/>
      <c r="L190" s="128" t="str">
        <f>IF(A190="","",COUNTIFS(po_sup,A190,po_first,1))</f>
        <v/>
      </c>
      <c r="M190" s="70" t="str">
        <f>IF(A190="","",SUMIFS(po_ht,po_sup,A190,po_status,"&lt;&gt;Annulé"))</f>
        <v/>
      </c>
      <c r="N190" s="128" t="str">
        <f>IF(A190="","",COUNTIFS(po_sup,A190,po_status,"En retard"))</f>
        <v/>
      </c>
      <c r="O190" s="72" t="str">
        <f>IF(A190="","",IF(COUNTIFS(po_sup,A190,po_ontime,"&gt;=0")=0,"",COUNTIFS(po_sup,A190,po_ontime,1)/COUNTIFS(po_sup,A190,po_ontime,"&gt;=0")))</f>
        <v/>
      </c>
      <c r="P190" s="67" t="str">
        <f>IF(A190="","",IF(COUNTIF(sup_code,A190)&gt;1,"Code en double",IF(B190="","Raison sociale manquante",IF(AND(K190&lt;&gt;"",OR(NOT(ISNUMBER(K190)),N(K190)&lt;0)),"Délai invalide","OK"))))</f>
        <v/>
      </c>
      <c r="Q190" s="70" t="str">
        <f>IF(A190="","",SUMIFS(po_ht,po_sup,A190,po_status,"&lt;&gt;Annulé",po_date,"&gt;="&amp;p_y0,po_date,"&lt;"&amp;p_y1))</f>
        <v/>
      </c>
      <c r="R190" s="66" t="str">
        <f>IF(N(Q190)&gt;0,Q190-ROW()/10000000,"")</f>
        <v/>
      </c>
    </row>
    <row r="191">
      <c r="A191" s="65" t="n"/>
      <c r="B191" s="63" t="n"/>
      <c r="C191" s="63" t="n"/>
      <c r="D191" s="63" t="n"/>
      <c r="E191" s="65" t="n"/>
      <c r="F191" s="63" t="n"/>
      <c r="G191" s="63" t="n"/>
      <c r="H191" s="63" t="n"/>
      <c r="I191" s="63" t="n"/>
      <c r="J191" s="63" t="n"/>
      <c r="K191" s="127" t="n"/>
      <c r="L191" s="128" t="str">
        <f>IF(A191="","",COUNTIFS(po_sup,A191,po_first,1))</f>
        <v/>
      </c>
      <c r="M191" s="70" t="str">
        <f>IF(A191="","",SUMIFS(po_ht,po_sup,A191,po_status,"&lt;&gt;Annulé"))</f>
        <v/>
      </c>
      <c r="N191" s="128" t="str">
        <f>IF(A191="","",COUNTIFS(po_sup,A191,po_status,"En retard"))</f>
        <v/>
      </c>
      <c r="O191" s="72" t="str">
        <f>IF(A191="","",IF(COUNTIFS(po_sup,A191,po_ontime,"&gt;=0")=0,"",COUNTIFS(po_sup,A191,po_ontime,1)/COUNTIFS(po_sup,A191,po_ontime,"&gt;=0")))</f>
        <v/>
      </c>
      <c r="P191" s="67" t="str">
        <f>IF(A191="","",IF(COUNTIF(sup_code,A191)&gt;1,"Code en double",IF(B191="","Raison sociale manquante",IF(AND(K191&lt;&gt;"",OR(NOT(ISNUMBER(K191)),N(K191)&lt;0)),"Délai invalide","OK"))))</f>
        <v/>
      </c>
      <c r="Q191" s="70" t="str">
        <f>IF(A191="","",SUMIFS(po_ht,po_sup,A191,po_status,"&lt;&gt;Annulé",po_date,"&gt;="&amp;p_y0,po_date,"&lt;"&amp;p_y1))</f>
        <v/>
      </c>
      <c r="R191" s="66" t="str">
        <f>IF(N(Q191)&gt;0,Q191-ROW()/10000000,"")</f>
        <v/>
      </c>
    </row>
    <row r="192">
      <c r="A192" s="65" t="n"/>
      <c r="B192" s="63" t="n"/>
      <c r="C192" s="63" t="n"/>
      <c r="D192" s="63" t="n"/>
      <c r="E192" s="65" t="n"/>
      <c r="F192" s="63" t="n"/>
      <c r="G192" s="63" t="n"/>
      <c r="H192" s="63" t="n"/>
      <c r="I192" s="63" t="n"/>
      <c r="J192" s="63" t="n"/>
      <c r="K192" s="127" t="n"/>
      <c r="L192" s="128" t="str">
        <f>IF(A192="","",COUNTIFS(po_sup,A192,po_first,1))</f>
        <v/>
      </c>
      <c r="M192" s="70" t="str">
        <f>IF(A192="","",SUMIFS(po_ht,po_sup,A192,po_status,"&lt;&gt;Annulé"))</f>
        <v/>
      </c>
      <c r="N192" s="128" t="str">
        <f>IF(A192="","",COUNTIFS(po_sup,A192,po_status,"En retard"))</f>
        <v/>
      </c>
      <c r="O192" s="72" t="str">
        <f>IF(A192="","",IF(COUNTIFS(po_sup,A192,po_ontime,"&gt;=0")=0,"",COUNTIFS(po_sup,A192,po_ontime,1)/COUNTIFS(po_sup,A192,po_ontime,"&gt;=0")))</f>
        <v/>
      </c>
      <c r="P192" s="67" t="str">
        <f>IF(A192="","",IF(COUNTIF(sup_code,A192)&gt;1,"Code en double",IF(B192="","Raison sociale manquante",IF(AND(K192&lt;&gt;"",OR(NOT(ISNUMBER(K192)),N(K192)&lt;0)),"Délai invalide","OK"))))</f>
        <v/>
      </c>
      <c r="Q192" s="70" t="str">
        <f>IF(A192="","",SUMIFS(po_ht,po_sup,A192,po_status,"&lt;&gt;Annulé",po_date,"&gt;="&amp;p_y0,po_date,"&lt;"&amp;p_y1))</f>
        <v/>
      </c>
      <c r="R192" s="66" t="str">
        <f>IF(N(Q192)&gt;0,Q192-ROW()/10000000,"")</f>
        <v/>
      </c>
    </row>
    <row r="193">
      <c r="A193" s="65" t="n"/>
      <c r="B193" s="63" t="n"/>
      <c r="C193" s="63" t="n"/>
      <c r="D193" s="63" t="n"/>
      <c r="E193" s="65" t="n"/>
      <c r="F193" s="63" t="n"/>
      <c r="G193" s="63" t="n"/>
      <c r="H193" s="63" t="n"/>
      <c r="I193" s="63" t="n"/>
      <c r="J193" s="63" t="n"/>
      <c r="K193" s="127" t="n"/>
      <c r="L193" s="128" t="str">
        <f>IF(A193="","",COUNTIFS(po_sup,A193,po_first,1))</f>
        <v/>
      </c>
      <c r="M193" s="70" t="str">
        <f>IF(A193="","",SUMIFS(po_ht,po_sup,A193,po_status,"&lt;&gt;Annulé"))</f>
        <v/>
      </c>
      <c r="N193" s="128" t="str">
        <f>IF(A193="","",COUNTIFS(po_sup,A193,po_status,"En retard"))</f>
        <v/>
      </c>
      <c r="O193" s="72" t="str">
        <f>IF(A193="","",IF(COUNTIFS(po_sup,A193,po_ontime,"&gt;=0")=0,"",COUNTIFS(po_sup,A193,po_ontime,1)/COUNTIFS(po_sup,A193,po_ontime,"&gt;=0")))</f>
        <v/>
      </c>
      <c r="P193" s="67" t="str">
        <f>IF(A193="","",IF(COUNTIF(sup_code,A193)&gt;1,"Code en double",IF(B193="","Raison sociale manquante",IF(AND(K193&lt;&gt;"",OR(NOT(ISNUMBER(K193)),N(K193)&lt;0)),"Délai invalide","OK"))))</f>
        <v/>
      </c>
      <c r="Q193" s="70" t="str">
        <f>IF(A193="","",SUMIFS(po_ht,po_sup,A193,po_status,"&lt;&gt;Annulé",po_date,"&gt;="&amp;p_y0,po_date,"&lt;"&amp;p_y1))</f>
        <v/>
      </c>
      <c r="R193" s="66" t="str">
        <f>IF(N(Q193)&gt;0,Q193-ROW()/10000000,"")</f>
        <v/>
      </c>
    </row>
    <row r="194">
      <c r="A194" s="65" t="n"/>
      <c r="B194" s="63" t="n"/>
      <c r="C194" s="63" t="n"/>
      <c r="D194" s="63" t="n"/>
      <c r="E194" s="65" t="n"/>
      <c r="F194" s="63" t="n"/>
      <c r="G194" s="63" t="n"/>
      <c r="H194" s="63" t="n"/>
      <c r="I194" s="63" t="n"/>
      <c r="J194" s="63" t="n"/>
      <c r="K194" s="127" t="n"/>
      <c r="L194" s="128" t="str">
        <f>IF(A194="","",COUNTIFS(po_sup,A194,po_first,1))</f>
        <v/>
      </c>
      <c r="M194" s="70" t="str">
        <f>IF(A194="","",SUMIFS(po_ht,po_sup,A194,po_status,"&lt;&gt;Annulé"))</f>
        <v/>
      </c>
      <c r="N194" s="128" t="str">
        <f>IF(A194="","",COUNTIFS(po_sup,A194,po_status,"En retard"))</f>
        <v/>
      </c>
      <c r="O194" s="72" t="str">
        <f>IF(A194="","",IF(COUNTIFS(po_sup,A194,po_ontime,"&gt;=0")=0,"",COUNTIFS(po_sup,A194,po_ontime,1)/COUNTIFS(po_sup,A194,po_ontime,"&gt;=0")))</f>
        <v/>
      </c>
      <c r="P194" s="67" t="str">
        <f>IF(A194="","",IF(COUNTIF(sup_code,A194)&gt;1,"Code en double",IF(B194="","Raison sociale manquante",IF(AND(K194&lt;&gt;"",OR(NOT(ISNUMBER(K194)),N(K194)&lt;0)),"Délai invalide","OK"))))</f>
        <v/>
      </c>
      <c r="Q194" s="70" t="str">
        <f>IF(A194="","",SUMIFS(po_ht,po_sup,A194,po_status,"&lt;&gt;Annulé",po_date,"&gt;="&amp;p_y0,po_date,"&lt;"&amp;p_y1))</f>
        <v/>
      </c>
      <c r="R194" s="66" t="str">
        <f>IF(N(Q194)&gt;0,Q194-ROW()/10000000,"")</f>
        <v/>
      </c>
    </row>
    <row r="195">
      <c r="A195" s="65" t="n"/>
      <c r="B195" s="63" t="n"/>
      <c r="C195" s="63" t="n"/>
      <c r="D195" s="63" t="n"/>
      <c r="E195" s="65" t="n"/>
      <c r="F195" s="63" t="n"/>
      <c r="G195" s="63" t="n"/>
      <c r="H195" s="63" t="n"/>
      <c r="I195" s="63" t="n"/>
      <c r="J195" s="63" t="n"/>
      <c r="K195" s="127" t="n"/>
      <c r="L195" s="128" t="str">
        <f>IF(A195="","",COUNTIFS(po_sup,A195,po_first,1))</f>
        <v/>
      </c>
      <c r="M195" s="70" t="str">
        <f>IF(A195="","",SUMIFS(po_ht,po_sup,A195,po_status,"&lt;&gt;Annulé"))</f>
        <v/>
      </c>
      <c r="N195" s="128" t="str">
        <f>IF(A195="","",COUNTIFS(po_sup,A195,po_status,"En retard"))</f>
        <v/>
      </c>
      <c r="O195" s="72" t="str">
        <f>IF(A195="","",IF(COUNTIFS(po_sup,A195,po_ontime,"&gt;=0")=0,"",COUNTIFS(po_sup,A195,po_ontime,1)/COUNTIFS(po_sup,A195,po_ontime,"&gt;=0")))</f>
        <v/>
      </c>
      <c r="P195" s="67" t="str">
        <f>IF(A195="","",IF(COUNTIF(sup_code,A195)&gt;1,"Code en double",IF(B195="","Raison sociale manquante",IF(AND(K195&lt;&gt;"",OR(NOT(ISNUMBER(K195)),N(K195)&lt;0)),"Délai invalide","OK"))))</f>
        <v/>
      </c>
      <c r="Q195" s="70" t="str">
        <f>IF(A195="","",SUMIFS(po_ht,po_sup,A195,po_status,"&lt;&gt;Annulé",po_date,"&gt;="&amp;p_y0,po_date,"&lt;"&amp;p_y1))</f>
        <v/>
      </c>
      <c r="R195" s="66" t="str">
        <f>IF(N(Q195)&gt;0,Q195-ROW()/10000000,"")</f>
        <v/>
      </c>
    </row>
    <row r="196">
      <c r="A196" s="65" t="n"/>
      <c r="B196" s="63" t="n"/>
      <c r="C196" s="63" t="n"/>
      <c r="D196" s="63" t="n"/>
      <c r="E196" s="65" t="n"/>
      <c r="F196" s="63" t="n"/>
      <c r="G196" s="63" t="n"/>
      <c r="H196" s="63" t="n"/>
      <c r="I196" s="63" t="n"/>
      <c r="J196" s="63" t="n"/>
      <c r="K196" s="127" t="n"/>
      <c r="L196" s="128" t="str">
        <f>IF(A196="","",COUNTIFS(po_sup,A196,po_first,1))</f>
        <v/>
      </c>
      <c r="M196" s="70" t="str">
        <f>IF(A196="","",SUMIFS(po_ht,po_sup,A196,po_status,"&lt;&gt;Annulé"))</f>
        <v/>
      </c>
      <c r="N196" s="128" t="str">
        <f>IF(A196="","",COUNTIFS(po_sup,A196,po_status,"En retard"))</f>
        <v/>
      </c>
      <c r="O196" s="72" t="str">
        <f>IF(A196="","",IF(COUNTIFS(po_sup,A196,po_ontime,"&gt;=0")=0,"",COUNTIFS(po_sup,A196,po_ontime,1)/COUNTIFS(po_sup,A196,po_ontime,"&gt;=0")))</f>
        <v/>
      </c>
      <c r="P196" s="67" t="str">
        <f>IF(A196="","",IF(COUNTIF(sup_code,A196)&gt;1,"Code en double",IF(B196="","Raison sociale manquante",IF(AND(K196&lt;&gt;"",OR(NOT(ISNUMBER(K196)),N(K196)&lt;0)),"Délai invalide","OK"))))</f>
        <v/>
      </c>
      <c r="Q196" s="70" t="str">
        <f>IF(A196="","",SUMIFS(po_ht,po_sup,A196,po_status,"&lt;&gt;Annulé",po_date,"&gt;="&amp;p_y0,po_date,"&lt;"&amp;p_y1))</f>
        <v/>
      </c>
      <c r="R196" s="66" t="str">
        <f>IF(N(Q196)&gt;0,Q196-ROW()/10000000,"")</f>
        <v/>
      </c>
    </row>
    <row r="197">
      <c r="A197" s="65" t="n"/>
      <c r="B197" s="63" t="n"/>
      <c r="C197" s="63" t="n"/>
      <c r="D197" s="63" t="n"/>
      <c r="E197" s="65" t="n"/>
      <c r="F197" s="63" t="n"/>
      <c r="G197" s="63" t="n"/>
      <c r="H197" s="63" t="n"/>
      <c r="I197" s="63" t="n"/>
      <c r="J197" s="63" t="n"/>
      <c r="K197" s="127" t="n"/>
      <c r="L197" s="128" t="str">
        <f>IF(A197="","",COUNTIFS(po_sup,A197,po_first,1))</f>
        <v/>
      </c>
      <c r="M197" s="70" t="str">
        <f>IF(A197="","",SUMIFS(po_ht,po_sup,A197,po_status,"&lt;&gt;Annulé"))</f>
        <v/>
      </c>
      <c r="N197" s="128" t="str">
        <f>IF(A197="","",COUNTIFS(po_sup,A197,po_status,"En retard"))</f>
        <v/>
      </c>
      <c r="O197" s="72" t="str">
        <f>IF(A197="","",IF(COUNTIFS(po_sup,A197,po_ontime,"&gt;=0")=0,"",COUNTIFS(po_sup,A197,po_ontime,1)/COUNTIFS(po_sup,A197,po_ontime,"&gt;=0")))</f>
        <v/>
      </c>
      <c r="P197" s="67" t="str">
        <f>IF(A197="","",IF(COUNTIF(sup_code,A197)&gt;1,"Code en double",IF(B197="","Raison sociale manquante",IF(AND(K197&lt;&gt;"",OR(NOT(ISNUMBER(K197)),N(K197)&lt;0)),"Délai invalide","OK"))))</f>
        <v/>
      </c>
      <c r="Q197" s="70" t="str">
        <f>IF(A197="","",SUMIFS(po_ht,po_sup,A197,po_status,"&lt;&gt;Annulé",po_date,"&gt;="&amp;p_y0,po_date,"&lt;"&amp;p_y1))</f>
        <v/>
      </c>
      <c r="R197" s="66" t="str">
        <f>IF(N(Q197)&gt;0,Q197-ROW()/10000000,"")</f>
        <v/>
      </c>
    </row>
    <row r="198">
      <c r="A198" s="65" t="n"/>
      <c r="B198" s="63" t="n"/>
      <c r="C198" s="63" t="n"/>
      <c r="D198" s="63" t="n"/>
      <c r="E198" s="65" t="n"/>
      <c r="F198" s="63" t="n"/>
      <c r="G198" s="63" t="n"/>
      <c r="H198" s="63" t="n"/>
      <c r="I198" s="63" t="n"/>
      <c r="J198" s="63" t="n"/>
      <c r="K198" s="127" t="n"/>
      <c r="L198" s="128" t="str">
        <f>IF(A198="","",COUNTIFS(po_sup,A198,po_first,1))</f>
        <v/>
      </c>
      <c r="M198" s="70" t="str">
        <f>IF(A198="","",SUMIFS(po_ht,po_sup,A198,po_status,"&lt;&gt;Annulé"))</f>
        <v/>
      </c>
      <c r="N198" s="128" t="str">
        <f>IF(A198="","",COUNTIFS(po_sup,A198,po_status,"En retard"))</f>
        <v/>
      </c>
      <c r="O198" s="72" t="str">
        <f>IF(A198="","",IF(COUNTIFS(po_sup,A198,po_ontime,"&gt;=0")=0,"",COUNTIFS(po_sup,A198,po_ontime,1)/COUNTIFS(po_sup,A198,po_ontime,"&gt;=0")))</f>
        <v/>
      </c>
      <c r="P198" s="67" t="str">
        <f>IF(A198="","",IF(COUNTIF(sup_code,A198)&gt;1,"Code en double",IF(B198="","Raison sociale manquante",IF(AND(K198&lt;&gt;"",OR(NOT(ISNUMBER(K198)),N(K198)&lt;0)),"Délai invalide","OK"))))</f>
        <v/>
      </c>
      <c r="Q198" s="70" t="str">
        <f>IF(A198="","",SUMIFS(po_ht,po_sup,A198,po_status,"&lt;&gt;Annulé",po_date,"&gt;="&amp;p_y0,po_date,"&lt;"&amp;p_y1))</f>
        <v/>
      </c>
      <c r="R198" s="66" t="str">
        <f>IF(N(Q198)&gt;0,Q198-ROW()/10000000,"")</f>
        <v/>
      </c>
    </row>
    <row r="199">
      <c r="A199" s="65" t="n"/>
      <c r="B199" s="63" t="n"/>
      <c r="C199" s="63" t="n"/>
      <c r="D199" s="63" t="n"/>
      <c r="E199" s="65" t="n"/>
      <c r="F199" s="63" t="n"/>
      <c r="G199" s="63" t="n"/>
      <c r="H199" s="63" t="n"/>
      <c r="I199" s="63" t="n"/>
      <c r="J199" s="63" t="n"/>
      <c r="K199" s="127" t="n"/>
      <c r="L199" s="128" t="str">
        <f>IF(A199="","",COUNTIFS(po_sup,A199,po_first,1))</f>
        <v/>
      </c>
      <c r="M199" s="70" t="str">
        <f>IF(A199="","",SUMIFS(po_ht,po_sup,A199,po_status,"&lt;&gt;Annulé"))</f>
        <v/>
      </c>
      <c r="N199" s="128" t="str">
        <f>IF(A199="","",COUNTIFS(po_sup,A199,po_status,"En retard"))</f>
        <v/>
      </c>
      <c r="O199" s="72" t="str">
        <f>IF(A199="","",IF(COUNTIFS(po_sup,A199,po_ontime,"&gt;=0")=0,"",COUNTIFS(po_sup,A199,po_ontime,1)/COUNTIFS(po_sup,A199,po_ontime,"&gt;=0")))</f>
        <v/>
      </c>
      <c r="P199" s="67" t="str">
        <f>IF(A199="","",IF(COUNTIF(sup_code,A199)&gt;1,"Code en double",IF(B199="","Raison sociale manquante",IF(AND(K199&lt;&gt;"",OR(NOT(ISNUMBER(K199)),N(K199)&lt;0)),"Délai invalide","OK"))))</f>
        <v/>
      </c>
      <c r="Q199" s="70" t="str">
        <f>IF(A199="","",SUMIFS(po_ht,po_sup,A199,po_status,"&lt;&gt;Annulé",po_date,"&gt;="&amp;p_y0,po_date,"&lt;"&amp;p_y1))</f>
        <v/>
      </c>
      <c r="R199" s="66" t="str">
        <f>IF(N(Q199)&gt;0,Q199-ROW()/10000000,"")</f>
        <v/>
      </c>
    </row>
    <row r="200">
      <c r="A200" s="65" t="n"/>
      <c r="B200" s="63" t="n"/>
      <c r="C200" s="63" t="n"/>
      <c r="D200" s="63" t="n"/>
      <c r="E200" s="65" t="n"/>
      <c r="F200" s="63" t="n"/>
      <c r="G200" s="63" t="n"/>
      <c r="H200" s="63" t="n"/>
      <c r="I200" s="63" t="n"/>
      <c r="J200" s="63" t="n"/>
      <c r="K200" s="127" t="n"/>
      <c r="L200" s="128" t="str">
        <f>IF(A200="","",COUNTIFS(po_sup,A200,po_first,1))</f>
        <v/>
      </c>
      <c r="M200" s="70" t="str">
        <f>IF(A200="","",SUMIFS(po_ht,po_sup,A200,po_status,"&lt;&gt;Annulé"))</f>
        <v/>
      </c>
      <c r="N200" s="128" t="str">
        <f>IF(A200="","",COUNTIFS(po_sup,A200,po_status,"En retard"))</f>
        <v/>
      </c>
      <c r="O200" s="72" t="str">
        <f>IF(A200="","",IF(COUNTIFS(po_sup,A200,po_ontime,"&gt;=0")=0,"",COUNTIFS(po_sup,A200,po_ontime,1)/COUNTIFS(po_sup,A200,po_ontime,"&gt;=0")))</f>
        <v/>
      </c>
      <c r="P200" s="67" t="str">
        <f>IF(A200="","",IF(COUNTIF(sup_code,A200)&gt;1,"Code en double",IF(B200="","Raison sociale manquante",IF(AND(K200&lt;&gt;"",OR(NOT(ISNUMBER(K200)),N(K200)&lt;0)),"Délai invalide","OK"))))</f>
        <v/>
      </c>
      <c r="Q200" s="70" t="str">
        <f>IF(A200="","",SUMIFS(po_ht,po_sup,A200,po_status,"&lt;&gt;Annulé",po_date,"&gt;="&amp;p_y0,po_date,"&lt;"&amp;p_y1))</f>
        <v/>
      </c>
      <c r="R200" s="66" t="str">
        <f>IF(N(Q200)&gt;0,Q200-ROW()/10000000,"")</f>
        <v/>
      </c>
    </row>
    <row r="201">
      <c r="A201" s="65" t="n"/>
      <c r="B201" s="63" t="n"/>
      <c r="C201" s="63" t="n"/>
      <c r="D201" s="63" t="n"/>
      <c r="E201" s="65" t="n"/>
      <c r="F201" s="63" t="n"/>
      <c r="G201" s="63" t="n"/>
      <c r="H201" s="63" t="n"/>
      <c r="I201" s="63" t="n"/>
      <c r="J201" s="63" t="n"/>
      <c r="K201" s="127" t="n"/>
      <c r="L201" s="128" t="str">
        <f>IF(A201="","",COUNTIFS(po_sup,A201,po_first,1))</f>
        <v/>
      </c>
      <c r="M201" s="70" t="str">
        <f>IF(A201="","",SUMIFS(po_ht,po_sup,A201,po_status,"&lt;&gt;Annulé"))</f>
        <v/>
      </c>
      <c r="N201" s="128" t="str">
        <f>IF(A201="","",COUNTIFS(po_sup,A201,po_status,"En retard"))</f>
        <v/>
      </c>
      <c r="O201" s="72" t="str">
        <f>IF(A201="","",IF(COUNTIFS(po_sup,A201,po_ontime,"&gt;=0")=0,"",COUNTIFS(po_sup,A201,po_ontime,1)/COUNTIFS(po_sup,A201,po_ontime,"&gt;=0")))</f>
        <v/>
      </c>
      <c r="P201" s="67" t="str">
        <f>IF(A201="","",IF(COUNTIF(sup_code,A201)&gt;1,"Code en double",IF(B201="","Raison sociale manquante",IF(AND(K201&lt;&gt;"",OR(NOT(ISNUMBER(K201)),N(K201)&lt;0)),"Délai invalide","OK"))))</f>
        <v/>
      </c>
      <c r="Q201" s="70" t="str">
        <f>IF(A201="","",SUMIFS(po_ht,po_sup,A201,po_status,"&lt;&gt;Annulé",po_date,"&gt;="&amp;p_y0,po_date,"&lt;"&amp;p_y1))</f>
        <v/>
      </c>
      <c r="R201" s="66" t="str">
        <f>IF(N(Q201)&gt;0,Q201-ROW()/10000000,"")</f>
        <v/>
      </c>
    </row>
    <row r="202">
      <c r="A202" s="65" t="n"/>
      <c r="B202" s="63" t="n"/>
      <c r="C202" s="63" t="n"/>
      <c r="D202" s="63" t="n"/>
      <c r="E202" s="65" t="n"/>
      <c r="F202" s="63" t="n"/>
      <c r="G202" s="63" t="n"/>
      <c r="H202" s="63" t="n"/>
      <c r="I202" s="63" t="n"/>
      <c r="J202" s="63" t="n"/>
      <c r="K202" s="127" t="n"/>
      <c r="L202" s="128" t="str">
        <f>IF(A202="","",COUNTIFS(po_sup,A202,po_first,1))</f>
        <v/>
      </c>
      <c r="M202" s="70" t="str">
        <f>IF(A202="","",SUMIFS(po_ht,po_sup,A202,po_status,"&lt;&gt;Annulé"))</f>
        <v/>
      </c>
      <c r="N202" s="128" t="str">
        <f>IF(A202="","",COUNTIFS(po_sup,A202,po_status,"En retard"))</f>
        <v/>
      </c>
      <c r="O202" s="72" t="str">
        <f>IF(A202="","",IF(COUNTIFS(po_sup,A202,po_ontime,"&gt;=0")=0,"",COUNTIFS(po_sup,A202,po_ontime,1)/COUNTIFS(po_sup,A202,po_ontime,"&gt;=0")))</f>
        <v/>
      </c>
      <c r="P202" s="67" t="str">
        <f>IF(A202="","",IF(COUNTIF(sup_code,A202)&gt;1,"Code en double",IF(B202="","Raison sociale manquante",IF(AND(K202&lt;&gt;"",OR(NOT(ISNUMBER(K202)),N(K202)&lt;0)),"Délai invalide","OK"))))</f>
        <v/>
      </c>
      <c r="Q202" s="70" t="str">
        <f>IF(A202="","",SUMIFS(po_ht,po_sup,A202,po_status,"&lt;&gt;Annulé",po_date,"&gt;="&amp;p_y0,po_date,"&lt;"&amp;p_y1))</f>
        <v/>
      </c>
      <c r="R202" s="66" t="str">
        <f>IF(N(Q202)&gt;0,Q202-ROW()/10000000,"")</f>
        <v/>
      </c>
    </row>
    <row r="203">
      <c r="A203" s="65" t="n"/>
      <c r="B203" s="63" t="n"/>
      <c r="C203" s="63" t="n"/>
      <c r="D203" s="63" t="n"/>
      <c r="E203" s="65" t="n"/>
      <c r="F203" s="63" t="n"/>
      <c r="G203" s="63" t="n"/>
      <c r="H203" s="63" t="n"/>
      <c r="I203" s="63" t="n"/>
      <c r="J203" s="63" t="n"/>
      <c r="K203" s="127" t="n"/>
      <c r="L203" s="128" t="str">
        <f>IF(A203="","",COUNTIFS(po_sup,A203,po_first,1))</f>
        <v/>
      </c>
      <c r="M203" s="70" t="str">
        <f>IF(A203="","",SUMIFS(po_ht,po_sup,A203,po_status,"&lt;&gt;Annulé"))</f>
        <v/>
      </c>
      <c r="N203" s="128" t="str">
        <f>IF(A203="","",COUNTIFS(po_sup,A203,po_status,"En retard"))</f>
        <v/>
      </c>
      <c r="O203" s="72" t="str">
        <f>IF(A203="","",IF(COUNTIFS(po_sup,A203,po_ontime,"&gt;=0")=0,"",COUNTIFS(po_sup,A203,po_ontime,1)/COUNTIFS(po_sup,A203,po_ontime,"&gt;=0")))</f>
        <v/>
      </c>
      <c r="P203" s="67" t="str">
        <f>IF(A203="","",IF(COUNTIF(sup_code,A203)&gt;1,"Code en double",IF(B203="","Raison sociale manquante",IF(AND(K203&lt;&gt;"",OR(NOT(ISNUMBER(K203)),N(K203)&lt;0)),"Délai invalide","OK"))))</f>
        <v/>
      </c>
      <c r="Q203" s="70" t="str">
        <f>IF(A203="","",SUMIFS(po_ht,po_sup,A203,po_status,"&lt;&gt;Annulé",po_date,"&gt;="&amp;p_y0,po_date,"&lt;"&amp;p_y1))</f>
        <v/>
      </c>
      <c r="R203" s="66" t="str">
        <f>IF(N(Q203)&gt;0,Q203-ROW()/10000000,"")</f>
        <v/>
      </c>
    </row>
    <row r="204">
      <c r="A204" s="65" t="n"/>
      <c r="B204" s="63" t="n"/>
      <c r="C204" s="63" t="n"/>
      <c r="D204" s="63" t="n"/>
      <c r="E204" s="65" t="n"/>
      <c r="F204" s="63" t="n"/>
      <c r="G204" s="63" t="n"/>
      <c r="H204" s="63" t="n"/>
      <c r="I204" s="63" t="n"/>
      <c r="J204" s="63" t="n"/>
      <c r="K204" s="127" t="n"/>
      <c r="L204" s="128" t="str">
        <f>IF(A204="","",COUNTIFS(po_sup,A204,po_first,1))</f>
        <v/>
      </c>
      <c r="M204" s="70" t="str">
        <f>IF(A204="","",SUMIFS(po_ht,po_sup,A204,po_status,"&lt;&gt;Annulé"))</f>
        <v/>
      </c>
      <c r="N204" s="128" t="str">
        <f>IF(A204="","",COUNTIFS(po_sup,A204,po_status,"En retard"))</f>
        <v/>
      </c>
      <c r="O204" s="72" t="str">
        <f>IF(A204="","",IF(COUNTIFS(po_sup,A204,po_ontime,"&gt;=0")=0,"",COUNTIFS(po_sup,A204,po_ontime,1)/COUNTIFS(po_sup,A204,po_ontime,"&gt;=0")))</f>
        <v/>
      </c>
      <c r="P204" s="67" t="str">
        <f>IF(A204="","",IF(COUNTIF(sup_code,A204)&gt;1,"Code en double",IF(B204="","Raison sociale manquante",IF(AND(K204&lt;&gt;"",OR(NOT(ISNUMBER(K204)),N(K204)&lt;0)),"Délai invalide","OK"))))</f>
        <v/>
      </c>
      <c r="Q204" s="70" t="str">
        <f>IF(A204="","",SUMIFS(po_ht,po_sup,A204,po_status,"&lt;&gt;Annulé",po_date,"&gt;="&amp;p_y0,po_date,"&lt;"&amp;p_y1))</f>
        <v/>
      </c>
      <c r="R204" s="66" t="str">
        <f>IF(N(Q204)&gt;0,Q204-ROW()/10000000,"")</f>
        <v/>
      </c>
    </row>
    <row r="205">
      <c r="A205" s="65" t="n"/>
      <c r="B205" s="63" t="n"/>
      <c r="C205" s="63" t="n"/>
      <c r="D205" s="63" t="n"/>
      <c r="E205" s="65" t="n"/>
      <c r="F205" s="63" t="n"/>
      <c r="G205" s="63" t="n"/>
      <c r="H205" s="63" t="n"/>
      <c r="I205" s="63" t="n"/>
      <c r="J205" s="63" t="n"/>
      <c r="K205" s="127" t="n"/>
      <c r="L205" s="128" t="str">
        <f>IF(A205="","",COUNTIFS(po_sup,A205,po_first,1))</f>
        <v/>
      </c>
      <c r="M205" s="70" t="str">
        <f>IF(A205="","",SUMIFS(po_ht,po_sup,A205,po_status,"&lt;&gt;Annulé"))</f>
        <v/>
      </c>
      <c r="N205" s="128" t="str">
        <f>IF(A205="","",COUNTIFS(po_sup,A205,po_status,"En retard"))</f>
        <v/>
      </c>
      <c r="O205" s="72" t="str">
        <f>IF(A205="","",IF(COUNTIFS(po_sup,A205,po_ontime,"&gt;=0")=0,"",COUNTIFS(po_sup,A205,po_ontime,1)/COUNTIFS(po_sup,A205,po_ontime,"&gt;=0")))</f>
        <v/>
      </c>
      <c r="P205" s="67" t="str">
        <f>IF(A205="","",IF(COUNTIF(sup_code,A205)&gt;1,"Code en double",IF(B205="","Raison sociale manquante",IF(AND(K205&lt;&gt;"",OR(NOT(ISNUMBER(K205)),N(K205)&lt;0)),"Délai invalide","OK"))))</f>
        <v/>
      </c>
      <c r="Q205" s="70" t="str">
        <f>IF(A205="","",SUMIFS(po_ht,po_sup,A205,po_status,"&lt;&gt;Annulé",po_date,"&gt;="&amp;p_y0,po_date,"&lt;"&amp;p_y1))</f>
        <v/>
      </c>
      <c r="R205" s="66" t="str">
        <f>IF(N(Q205)&gt;0,Q205-ROW()/10000000,"")</f>
        <v/>
      </c>
    </row>
    <row r="206">
      <c r="A206" s="65" t="n"/>
      <c r="B206" s="63" t="n"/>
      <c r="C206" s="63" t="n"/>
      <c r="D206" s="63" t="n"/>
      <c r="E206" s="65" t="n"/>
      <c r="F206" s="63" t="n"/>
      <c r="G206" s="63" t="n"/>
      <c r="H206" s="63" t="n"/>
      <c r="I206" s="63" t="n"/>
      <c r="J206" s="63" t="n"/>
      <c r="K206" s="127" t="n"/>
      <c r="L206" s="128" t="str">
        <f>IF(A206="","",COUNTIFS(po_sup,A206,po_first,1))</f>
        <v/>
      </c>
      <c r="M206" s="70" t="str">
        <f>IF(A206="","",SUMIFS(po_ht,po_sup,A206,po_status,"&lt;&gt;Annulé"))</f>
        <v/>
      </c>
      <c r="N206" s="128" t="str">
        <f>IF(A206="","",COUNTIFS(po_sup,A206,po_status,"En retard"))</f>
        <v/>
      </c>
      <c r="O206" s="72" t="str">
        <f>IF(A206="","",IF(COUNTIFS(po_sup,A206,po_ontime,"&gt;=0")=0,"",COUNTIFS(po_sup,A206,po_ontime,1)/COUNTIFS(po_sup,A206,po_ontime,"&gt;=0")))</f>
        <v/>
      </c>
      <c r="P206" s="67" t="str">
        <f>IF(A206="","",IF(COUNTIF(sup_code,A206)&gt;1,"Code en double",IF(B206="","Raison sociale manquante",IF(AND(K206&lt;&gt;"",OR(NOT(ISNUMBER(K206)),N(K206)&lt;0)),"Délai invalide","OK"))))</f>
        <v/>
      </c>
      <c r="Q206" s="70" t="str">
        <f>IF(A206="","",SUMIFS(po_ht,po_sup,A206,po_status,"&lt;&gt;Annulé",po_date,"&gt;="&amp;p_y0,po_date,"&lt;"&amp;p_y1))</f>
        <v/>
      </c>
      <c r="R206" s="66" t="str">
        <f>IF(N(Q206)&gt;0,Q206-ROW()/10000000,"")</f>
        <v/>
      </c>
    </row>
    <row r="207">
      <c r="A207" s="65" t="n"/>
      <c r="B207" s="63" t="n"/>
      <c r="C207" s="63" t="n"/>
      <c r="D207" s="63" t="n"/>
      <c r="E207" s="65" t="n"/>
      <c r="F207" s="63" t="n"/>
      <c r="G207" s="63" t="n"/>
      <c r="H207" s="63" t="n"/>
      <c r="I207" s="63" t="n"/>
      <c r="J207" s="63" t="n"/>
      <c r="K207" s="127" t="n"/>
      <c r="L207" s="128" t="str">
        <f>IF(A207="","",COUNTIFS(po_sup,A207,po_first,1))</f>
        <v/>
      </c>
      <c r="M207" s="70" t="str">
        <f>IF(A207="","",SUMIFS(po_ht,po_sup,A207,po_status,"&lt;&gt;Annulé"))</f>
        <v/>
      </c>
      <c r="N207" s="128" t="str">
        <f>IF(A207="","",COUNTIFS(po_sup,A207,po_status,"En retard"))</f>
        <v/>
      </c>
      <c r="O207" s="72" t="str">
        <f>IF(A207="","",IF(COUNTIFS(po_sup,A207,po_ontime,"&gt;=0")=0,"",COUNTIFS(po_sup,A207,po_ontime,1)/COUNTIFS(po_sup,A207,po_ontime,"&gt;=0")))</f>
        <v/>
      </c>
      <c r="P207" s="67" t="str">
        <f>IF(A207="","",IF(COUNTIF(sup_code,A207)&gt;1,"Code en double",IF(B207="","Raison sociale manquante",IF(AND(K207&lt;&gt;"",OR(NOT(ISNUMBER(K207)),N(K207)&lt;0)),"Délai invalide","OK"))))</f>
        <v/>
      </c>
      <c r="Q207" s="70" t="str">
        <f>IF(A207="","",SUMIFS(po_ht,po_sup,A207,po_status,"&lt;&gt;Annulé",po_date,"&gt;="&amp;p_y0,po_date,"&lt;"&amp;p_y1))</f>
        <v/>
      </c>
      <c r="R207" s="66" t="str">
        <f>IF(N(Q207)&gt;0,Q207-ROW()/10000000,"")</f>
        <v/>
      </c>
    </row>
    <row r="208">
      <c r="A208" s="65" t="n"/>
      <c r="B208" s="63" t="n"/>
      <c r="C208" s="63" t="n"/>
      <c r="D208" s="63" t="n"/>
      <c r="E208" s="65" t="n"/>
      <c r="F208" s="63" t="n"/>
      <c r="G208" s="63" t="n"/>
      <c r="H208" s="63" t="n"/>
      <c r="I208" s="63" t="n"/>
      <c r="J208" s="63" t="n"/>
      <c r="K208" s="127" t="n"/>
      <c r="L208" s="128" t="str">
        <f>IF(A208="","",COUNTIFS(po_sup,A208,po_first,1))</f>
        <v/>
      </c>
      <c r="M208" s="70" t="str">
        <f>IF(A208="","",SUMIFS(po_ht,po_sup,A208,po_status,"&lt;&gt;Annulé"))</f>
        <v/>
      </c>
      <c r="N208" s="128" t="str">
        <f>IF(A208="","",COUNTIFS(po_sup,A208,po_status,"En retard"))</f>
        <v/>
      </c>
      <c r="O208" s="72" t="str">
        <f>IF(A208="","",IF(COUNTIFS(po_sup,A208,po_ontime,"&gt;=0")=0,"",COUNTIFS(po_sup,A208,po_ontime,1)/COUNTIFS(po_sup,A208,po_ontime,"&gt;=0")))</f>
        <v/>
      </c>
      <c r="P208" s="67" t="str">
        <f>IF(A208="","",IF(COUNTIF(sup_code,A208)&gt;1,"Code en double",IF(B208="","Raison sociale manquante",IF(AND(K208&lt;&gt;"",OR(NOT(ISNUMBER(K208)),N(K208)&lt;0)),"Délai invalide","OK"))))</f>
        <v/>
      </c>
      <c r="Q208" s="70" t="str">
        <f>IF(A208="","",SUMIFS(po_ht,po_sup,A208,po_status,"&lt;&gt;Annulé",po_date,"&gt;="&amp;p_y0,po_date,"&lt;"&amp;p_y1))</f>
        <v/>
      </c>
      <c r="R208" s="66" t="str">
        <f>IF(N(Q208)&gt;0,Q208-ROW()/10000000,"")</f>
        <v/>
      </c>
    </row>
    <row r="209">
      <c r="A209" s="65" t="n"/>
      <c r="B209" s="63" t="n"/>
      <c r="C209" s="63" t="n"/>
      <c r="D209" s="63" t="n"/>
      <c r="E209" s="65" t="n"/>
      <c r="F209" s="63" t="n"/>
      <c r="G209" s="63" t="n"/>
      <c r="H209" s="63" t="n"/>
      <c r="I209" s="63" t="n"/>
      <c r="J209" s="63" t="n"/>
      <c r="K209" s="127" t="n"/>
      <c r="L209" s="128" t="str">
        <f>IF(A209="","",COUNTIFS(po_sup,A209,po_first,1))</f>
        <v/>
      </c>
      <c r="M209" s="70" t="str">
        <f>IF(A209="","",SUMIFS(po_ht,po_sup,A209,po_status,"&lt;&gt;Annulé"))</f>
        <v/>
      </c>
      <c r="N209" s="128" t="str">
        <f>IF(A209="","",COUNTIFS(po_sup,A209,po_status,"En retard"))</f>
        <v/>
      </c>
      <c r="O209" s="72" t="str">
        <f>IF(A209="","",IF(COUNTIFS(po_sup,A209,po_ontime,"&gt;=0")=0,"",COUNTIFS(po_sup,A209,po_ontime,1)/COUNTIFS(po_sup,A209,po_ontime,"&gt;=0")))</f>
        <v/>
      </c>
      <c r="P209" s="67" t="str">
        <f>IF(A209="","",IF(COUNTIF(sup_code,A209)&gt;1,"Code en double",IF(B209="","Raison sociale manquante",IF(AND(K209&lt;&gt;"",OR(NOT(ISNUMBER(K209)),N(K209)&lt;0)),"Délai invalide","OK"))))</f>
        <v/>
      </c>
      <c r="Q209" s="70" t="str">
        <f>IF(A209="","",SUMIFS(po_ht,po_sup,A209,po_status,"&lt;&gt;Annulé",po_date,"&gt;="&amp;p_y0,po_date,"&lt;"&amp;p_y1))</f>
        <v/>
      </c>
      <c r="R209" s="66" t="str">
        <f>IF(N(Q209)&gt;0,Q209-ROW()/10000000,"")</f>
        <v/>
      </c>
    </row>
    <row r="210">
      <c r="A210" s="65" t="n"/>
      <c r="B210" s="63" t="n"/>
      <c r="C210" s="63" t="n"/>
      <c r="D210" s="63" t="n"/>
      <c r="E210" s="65" t="n"/>
      <c r="F210" s="63" t="n"/>
      <c r="G210" s="63" t="n"/>
      <c r="H210" s="63" t="n"/>
      <c r="I210" s="63" t="n"/>
      <c r="J210" s="63" t="n"/>
      <c r="K210" s="127" t="n"/>
      <c r="L210" s="128" t="str">
        <f>IF(A210="","",COUNTIFS(po_sup,A210,po_first,1))</f>
        <v/>
      </c>
      <c r="M210" s="70" t="str">
        <f>IF(A210="","",SUMIFS(po_ht,po_sup,A210,po_status,"&lt;&gt;Annulé"))</f>
        <v/>
      </c>
      <c r="N210" s="128" t="str">
        <f>IF(A210="","",COUNTIFS(po_sup,A210,po_status,"En retard"))</f>
        <v/>
      </c>
      <c r="O210" s="72" t="str">
        <f>IF(A210="","",IF(COUNTIFS(po_sup,A210,po_ontime,"&gt;=0")=0,"",COUNTIFS(po_sup,A210,po_ontime,1)/COUNTIFS(po_sup,A210,po_ontime,"&gt;=0")))</f>
        <v/>
      </c>
      <c r="P210" s="67" t="str">
        <f>IF(A210="","",IF(COUNTIF(sup_code,A210)&gt;1,"Code en double",IF(B210="","Raison sociale manquante",IF(AND(K210&lt;&gt;"",OR(NOT(ISNUMBER(K210)),N(K210)&lt;0)),"Délai invalide","OK"))))</f>
        <v/>
      </c>
      <c r="Q210" s="70" t="str">
        <f>IF(A210="","",SUMIFS(po_ht,po_sup,A210,po_status,"&lt;&gt;Annulé",po_date,"&gt;="&amp;p_y0,po_date,"&lt;"&amp;p_y1))</f>
        <v/>
      </c>
      <c r="R210" s="66" t="str">
        <f>IF(N(Q210)&gt;0,Q210-ROW()/10000000,"")</f>
        <v/>
      </c>
    </row>
    <row r="211">
      <c r="A211" s="65" t="n"/>
      <c r="B211" s="63" t="n"/>
      <c r="C211" s="63" t="n"/>
      <c r="D211" s="63" t="n"/>
      <c r="E211" s="65" t="n"/>
      <c r="F211" s="63" t="n"/>
      <c r="G211" s="63" t="n"/>
      <c r="H211" s="63" t="n"/>
      <c r="I211" s="63" t="n"/>
      <c r="J211" s="63" t="n"/>
      <c r="K211" s="127" t="n"/>
      <c r="L211" s="128" t="str">
        <f>IF(A211="","",COUNTIFS(po_sup,A211,po_first,1))</f>
        <v/>
      </c>
      <c r="M211" s="70" t="str">
        <f>IF(A211="","",SUMIFS(po_ht,po_sup,A211,po_status,"&lt;&gt;Annulé"))</f>
        <v/>
      </c>
      <c r="N211" s="128" t="str">
        <f>IF(A211="","",COUNTIFS(po_sup,A211,po_status,"En retard"))</f>
        <v/>
      </c>
      <c r="O211" s="72" t="str">
        <f>IF(A211="","",IF(COUNTIFS(po_sup,A211,po_ontime,"&gt;=0")=0,"",COUNTIFS(po_sup,A211,po_ontime,1)/COUNTIFS(po_sup,A211,po_ontime,"&gt;=0")))</f>
        <v/>
      </c>
      <c r="P211" s="67" t="str">
        <f>IF(A211="","",IF(COUNTIF(sup_code,A211)&gt;1,"Code en double",IF(B211="","Raison sociale manquante",IF(AND(K211&lt;&gt;"",OR(NOT(ISNUMBER(K211)),N(K211)&lt;0)),"Délai invalide","OK"))))</f>
        <v/>
      </c>
      <c r="Q211" s="70" t="str">
        <f>IF(A211="","",SUMIFS(po_ht,po_sup,A211,po_status,"&lt;&gt;Annulé",po_date,"&gt;="&amp;p_y0,po_date,"&lt;"&amp;p_y1))</f>
        <v/>
      </c>
      <c r="R211" s="66" t="str">
        <f>IF(N(Q211)&gt;0,Q211-ROW()/10000000,"")</f>
        <v/>
      </c>
    </row>
    <row r="212">
      <c r="A212" s="65" t="n"/>
      <c r="B212" s="63" t="n"/>
      <c r="C212" s="63" t="n"/>
      <c r="D212" s="63" t="n"/>
      <c r="E212" s="65" t="n"/>
      <c r="F212" s="63" t="n"/>
      <c r="G212" s="63" t="n"/>
      <c r="H212" s="63" t="n"/>
      <c r="I212" s="63" t="n"/>
      <c r="J212" s="63" t="n"/>
      <c r="K212" s="127" t="n"/>
      <c r="L212" s="128" t="str">
        <f>IF(A212="","",COUNTIFS(po_sup,A212,po_first,1))</f>
        <v/>
      </c>
      <c r="M212" s="70" t="str">
        <f>IF(A212="","",SUMIFS(po_ht,po_sup,A212,po_status,"&lt;&gt;Annulé"))</f>
        <v/>
      </c>
      <c r="N212" s="128" t="str">
        <f>IF(A212="","",COUNTIFS(po_sup,A212,po_status,"En retard"))</f>
        <v/>
      </c>
      <c r="O212" s="72" t="str">
        <f>IF(A212="","",IF(COUNTIFS(po_sup,A212,po_ontime,"&gt;=0")=0,"",COUNTIFS(po_sup,A212,po_ontime,1)/COUNTIFS(po_sup,A212,po_ontime,"&gt;=0")))</f>
        <v/>
      </c>
      <c r="P212" s="67" t="str">
        <f>IF(A212="","",IF(COUNTIF(sup_code,A212)&gt;1,"Code en double",IF(B212="","Raison sociale manquante",IF(AND(K212&lt;&gt;"",OR(NOT(ISNUMBER(K212)),N(K212)&lt;0)),"Délai invalide","OK"))))</f>
        <v/>
      </c>
      <c r="Q212" s="70" t="str">
        <f>IF(A212="","",SUMIFS(po_ht,po_sup,A212,po_status,"&lt;&gt;Annulé",po_date,"&gt;="&amp;p_y0,po_date,"&lt;"&amp;p_y1))</f>
        <v/>
      </c>
      <c r="R212" s="66" t="str">
        <f>IF(N(Q212)&gt;0,Q212-ROW()/10000000,"")</f>
        <v/>
      </c>
    </row>
    <row r="213">
      <c r="A213" s="65" t="n"/>
      <c r="B213" s="63" t="n"/>
      <c r="C213" s="63" t="n"/>
      <c r="D213" s="63" t="n"/>
      <c r="E213" s="65" t="n"/>
      <c r="F213" s="63" t="n"/>
      <c r="G213" s="63" t="n"/>
      <c r="H213" s="63" t="n"/>
      <c r="I213" s="63" t="n"/>
      <c r="J213" s="63" t="n"/>
      <c r="K213" s="127" t="n"/>
      <c r="L213" s="128" t="str">
        <f>IF(A213="","",COUNTIFS(po_sup,A213,po_first,1))</f>
        <v/>
      </c>
      <c r="M213" s="70" t="str">
        <f>IF(A213="","",SUMIFS(po_ht,po_sup,A213,po_status,"&lt;&gt;Annulé"))</f>
        <v/>
      </c>
      <c r="N213" s="128" t="str">
        <f>IF(A213="","",COUNTIFS(po_sup,A213,po_status,"En retard"))</f>
        <v/>
      </c>
      <c r="O213" s="72" t="str">
        <f>IF(A213="","",IF(COUNTIFS(po_sup,A213,po_ontime,"&gt;=0")=0,"",COUNTIFS(po_sup,A213,po_ontime,1)/COUNTIFS(po_sup,A213,po_ontime,"&gt;=0")))</f>
        <v/>
      </c>
      <c r="P213" s="67" t="str">
        <f>IF(A213="","",IF(COUNTIF(sup_code,A213)&gt;1,"Code en double",IF(B213="","Raison sociale manquante",IF(AND(K213&lt;&gt;"",OR(NOT(ISNUMBER(K213)),N(K213)&lt;0)),"Délai invalide","OK"))))</f>
        <v/>
      </c>
      <c r="Q213" s="70" t="str">
        <f>IF(A213="","",SUMIFS(po_ht,po_sup,A213,po_status,"&lt;&gt;Annulé",po_date,"&gt;="&amp;p_y0,po_date,"&lt;"&amp;p_y1))</f>
        <v/>
      </c>
      <c r="R213" s="66" t="str">
        <f>IF(N(Q213)&gt;0,Q213-ROW()/10000000,"")</f>
        <v/>
      </c>
    </row>
    <row r="214">
      <c r="A214" s="65" t="n"/>
      <c r="B214" s="63" t="n"/>
      <c r="C214" s="63" t="n"/>
      <c r="D214" s="63" t="n"/>
      <c r="E214" s="65" t="n"/>
      <c r="F214" s="63" t="n"/>
      <c r="G214" s="63" t="n"/>
      <c r="H214" s="63" t="n"/>
      <c r="I214" s="63" t="n"/>
      <c r="J214" s="63" t="n"/>
      <c r="K214" s="127" t="n"/>
      <c r="L214" s="128" t="str">
        <f>IF(A214="","",COUNTIFS(po_sup,A214,po_first,1))</f>
        <v/>
      </c>
      <c r="M214" s="70" t="str">
        <f>IF(A214="","",SUMIFS(po_ht,po_sup,A214,po_status,"&lt;&gt;Annulé"))</f>
        <v/>
      </c>
      <c r="N214" s="128" t="str">
        <f>IF(A214="","",COUNTIFS(po_sup,A214,po_status,"En retard"))</f>
        <v/>
      </c>
      <c r="O214" s="72" t="str">
        <f>IF(A214="","",IF(COUNTIFS(po_sup,A214,po_ontime,"&gt;=0")=0,"",COUNTIFS(po_sup,A214,po_ontime,1)/COUNTIFS(po_sup,A214,po_ontime,"&gt;=0")))</f>
        <v/>
      </c>
      <c r="P214" s="67" t="str">
        <f>IF(A214="","",IF(COUNTIF(sup_code,A214)&gt;1,"Code en double",IF(B214="","Raison sociale manquante",IF(AND(K214&lt;&gt;"",OR(NOT(ISNUMBER(K214)),N(K214)&lt;0)),"Délai invalide","OK"))))</f>
        <v/>
      </c>
      <c r="Q214" s="70" t="str">
        <f>IF(A214="","",SUMIFS(po_ht,po_sup,A214,po_status,"&lt;&gt;Annulé",po_date,"&gt;="&amp;p_y0,po_date,"&lt;"&amp;p_y1))</f>
        <v/>
      </c>
      <c r="R214" s="66" t="str">
        <f>IF(N(Q214)&gt;0,Q214-ROW()/10000000,"")</f>
        <v/>
      </c>
    </row>
    <row r="215">
      <c r="A215" s="65" t="n"/>
      <c r="B215" s="63" t="n"/>
      <c r="C215" s="63" t="n"/>
      <c r="D215" s="63" t="n"/>
      <c r="E215" s="65" t="n"/>
      <c r="F215" s="63" t="n"/>
      <c r="G215" s="63" t="n"/>
      <c r="H215" s="63" t="n"/>
      <c r="I215" s="63" t="n"/>
      <c r="J215" s="63" t="n"/>
      <c r="K215" s="127" t="n"/>
      <c r="L215" s="128" t="str">
        <f>IF(A215="","",COUNTIFS(po_sup,A215,po_first,1))</f>
        <v/>
      </c>
      <c r="M215" s="70" t="str">
        <f>IF(A215="","",SUMIFS(po_ht,po_sup,A215,po_status,"&lt;&gt;Annulé"))</f>
        <v/>
      </c>
      <c r="N215" s="128" t="str">
        <f>IF(A215="","",COUNTIFS(po_sup,A215,po_status,"En retard"))</f>
        <v/>
      </c>
      <c r="O215" s="72" t="str">
        <f>IF(A215="","",IF(COUNTIFS(po_sup,A215,po_ontime,"&gt;=0")=0,"",COUNTIFS(po_sup,A215,po_ontime,1)/COUNTIFS(po_sup,A215,po_ontime,"&gt;=0")))</f>
        <v/>
      </c>
      <c r="P215" s="67" t="str">
        <f>IF(A215="","",IF(COUNTIF(sup_code,A215)&gt;1,"Code en double",IF(B215="","Raison sociale manquante",IF(AND(K215&lt;&gt;"",OR(NOT(ISNUMBER(K215)),N(K215)&lt;0)),"Délai invalide","OK"))))</f>
        <v/>
      </c>
      <c r="Q215" s="70" t="str">
        <f>IF(A215="","",SUMIFS(po_ht,po_sup,A215,po_status,"&lt;&gt;Annulé",po_date,"&gt;="&amp;p_y0,po_date,"&lt;"&amp;p_y1))</f>
        <v/>
      </c>
      <c r="R215" s="66" t="str">
        <f>IF(N(Q215)&gt;0,Q215-ROW()/10000000,"")</f>
        <v/>
      </c>
    </row>
    <row r="216">
      <c r="A216" s="65" t="n"/>
      <c r="B216" s="63" t="n"/>
      <c r="C216" s="63" t="n"/>
      <c r="D216" s="63" t="n"/>
      <c r="E216" s="65" t="n"/>
      <c r="F216" s="63" t="n"/>
      <c r="G216" s="63" t="n"/>
      <c r="H216" s="63" t="n"/>
      <c r="I216" s="63" t="n"/>
      <c r="J216" s="63" t="n"/>
      <c r="K216" s="127" t="n"/>
      <c r="L216" s="128" t="str">
        <f>IF(A216="","",COUNTIFS(po_sup,A216,po_first,1))</f>
        <v/>
      </c>
      <c r="M216" s="70" t="str">
        <f>IF(A216="","",SUMIFS(po_ht,po_sup,A216,po_status,"&lt;&gt;Annulé"))</f>
        <v/>
      </c>
      <c r="N216" s="128" t="str">
        <f>IF(A216="","",COUNTIFS(po_sup,A216,po_status,"En retard"))</f>
        <v/>
      </c>
      <c r="O216" s="72" t="str">
        <f>IF(A216="","",IF(COUNTIFS(po_sup,A216,po_ontime,"&gt;=0")=0,"",COUNTIFS(po_sup,A216,po_ontime,1)/COUNTIFS(po_sup,A216,po_ontime,"&gt;=0")))</f>
        <v/>
      </c>
      <c r="P216" s="67" t="str">
        <f>IF(A216="","",IF(COUNTIF(sup_code,A216)&gt;1,"Code en double",IF(B216="","Raison sociale manquante",IF(AND(K216&lt;&gt;"",OR(NOT(ISNUMBER(K216)),N(K216)&lt;0)),"Délai invalide","OK"))))</f>
        <v/>
      </c>
      <c r="Q216" s="70" t="str">
        <f>IF(A216="","",SUMIFS(po_ht,po_sup,A216,po_status,"&lt;&gt;Annulé",po_date,"&gt;="&amp;p_y0,po_date,"&lt;"&amp;p_y1))</f>
        <v/>
      </c>
      <c r="R216" s="66" t="str">
        <f>IF(N(Q216)&gt;0,Q216-ROW()/10000000,"")</f>
        <v/>
      </c>
    </row>
    <row r="217">
      <c r="A217" s="65" t="n"/>
      <c r="B217" s="63" t="n"/>
      <c r="C217" s="63" t="n"/>
      <c r="D217" s="63" t="n"/>
      <c r="E217" s="65" t="n"/>
      <c r="F217" s="63" t="n"/>
      <c r="G217" s="63" t="n"/>
      <c r="H217" s="63" t="n"/>
      <c r="I217" s="63" t="n"/>
      <c r="J217" s="63" t="n"/>
      <c r="K217" s="127" t="n"/>
      <c r="L217" s="128" t="str">
        <f>IF(A217="","",COUNTIFS(po_sup,A217,po_first,1))</f>
        <v/>
      </c>
      <c r="M217" s="70" t="str">
        <f>IF(A217="","",SUMIFS(po_ht,po_sup,A217,po_status,"&lt;&gt;Annulé"))</f>
        <v/>
      </c>
      <c r="N217" s="128" t="str">
        <f>IF(A217="","",COUNTIFS(po_sup,A217,po_status,"En retard"))</f>
        <v/>
      </c>
      <c r="O217" s="72" t="str">
        <f>IF(A217="","",IF(COUNTIFS(po_sup,A217,po_ontime,"&gt;=0")=0,"",COUNTIFS(po_sup,A217,po_ontime,1)/COUNTIFS(po_sup,A217,po_ontime,"&gt;=0")))</f>
        <v/>
      </c>
      <c r="P217" s="67" t="str">
        <f>IF(A217="","",IF(COUNTIF(sup_code,A217)&gt;1,"Code en double",IF(B217="","Raison sociale manquante",IF(AND(K217&lt;&gt;"",OR(NOT(ISNUMBER(K217)),N(K217)&lt;0)),"Délai invalide","OK"))))</f>
        <v/>
      </c>
      <c r="Q217" s="70" t="str">
        <f>IF(A217="","",SUMIFS(po_ht,po_sup,A217,po_status,"&lt;&gt;Annulé",po_date,"&gt;="&amp;p_y0,po_date,"&lt;"&amp;p_y1))</f>
        <v/>
      </c>
      <c r="R217" s="66" t="str">
        <f>IF(N(Q217)&gt;0,Q217-ROW()/10000000,"")</f>
        <v/>
      </c>
    </row>
    <row r="218">
      <c r="A218" s="65" t="n"/>
      <c r="B218" s="63" t="n"/>
      <c r="C218" s="63" t="n"/>
      <c r="D218" s="63" t="n"/>
      <c r="E218" s="65" t="n"/>
      <c r="F218" s="63" t="n"/>
      <c r="G218" s="63" t="n"/>
      <c r="H218" s="63" t="n"/>
      <c r="I218" s="63" t="n"/>
      <c r="J218" s="63" t="n"/>
      <c r="K218" s="127" t="n"/>
      <c r="L218" s="128" t="str">
        <f>IF(A218="","",COUNTIFS(po_sup,A218,po_first,1))</f>
        <v/>
      </c>
      <c r="M218" s="70" t="str">
        <f>IF(A218="","",SUMIFS(po_ht,po_sup,A218,po_status,"&lt;&gt;Annulé"))</f>
        <v/>
      </c>
      <c r="N218" s="128" t="str">
        <f>IF(A218="","",COUNTIFS(po_sup,A218,po_status,"En retard"))</f>
        <v/>
      </c>
      <c r="O218" s="72" t="str">
        <f>IF(A218="","",IF(COUNTIFS(po_sup,A218,po_ontime,"&gt;=0")=0,"",COUNTIFS(po_sup,A218,po_ontime,1)/COUNTIFS(po_sup,A218,po_ontime,"&gt;=0")))</f>
        <v/>
      </c>
      <c r="P218" s="67" t="str">
        <f>IF(A218="","",IF(COUNTIF(sup_code,A218)&gt;1,"Code en double",IF(B218="","Raison sociale manquante",IF(AND(K218&lt;&gt;"",OR(NOT(ISNUMBER(K218)),N(K218)&lt;0)),"Délai invalide","OK"))))</f>
        <v/>
      </c>
      <c r="Q218" s="70" t="str">
        <f>IF(A218="","",SUMIFS(po_ht,po_sup,A218,po_status,"&lt;&gt;Annulé",po_date,"&gt;="&amp;p_y0,po_date,"&lt;"&amp;p_y1))</f>
        <v/>
      </c>
      <c r="R218" s="66" t="str">
        <f>IF(N(Q218)&gt;0,Q218-ROW()/10000000,"")</f>
        <v/>
      </c>
    </row>
    <row r="219">
      <c r="A219" s="65" t="n"/>
      <c r="B219" s="63" t="n"/>
      <c r="C219" s="63" t="n"/>
      <c r="D219" s="63" t="n"/>
      <c r="E219" s="65" t="n"/>
      <c r="F219" s="63" t="n"/>
      <c r="G219" s="63" t="n"/>
      <c r="H219" s="63" t="n"/>
      <c r="I219" s="63" t="n"/>
      <c r="J219" s="63" t="n"/>
      <c r="K219" s="127" t="n"/>
      <c r="L219" s="128" t="str">
        <f>IF(A219="","",COUNTIFS(po_sup,A219,po_first,1))</f>
        <v/>
      </c>
      <c r="M219" s="70" t="str">
        <f>IF(A219="","",SUMIFS(po_ht,po_sup,A219,po_status,"&lt;&gt;Annulé"))</f>
        <v/>
      </c>
      <c r="N219" s="128" t="str">
        <f>IF(A219="","",COUNTIFS(po_sup,A219,po_status,"En retard"))</f>
        <v/>
      </c>
      <c r="O219" s="72" t="str">
        <f>IF(A219="","",IF(COUNTIFS(po_sup,A219,po_ontime,"&gt;=0")=0,"",COUNTIFS(po_sup,A219,po_ontime,1)/COUNTIFS(po_sup,A219,po_ontime,"&gt;=0")))</f>
        <v/>
      </c>
      <c r="P219" s="67" t="str">
        <f>IF(A219="","",IF(COUNTIF(sup_code,A219)&gt;1,"Code en double",IF(B219="","Raison sociale manquante",IF(AND(K219&lt;&gt;"",OR(NOT(ISNUMBER(K219)),N(K219)&lt;0)),"Délai invalide","OK"))))</f>
        <v/>
      </c>
      <c r="Q219" s="70" t="str">
        <f>IF(A219="","",SUMIFS(po_ht,po_sup,A219,po_status,"&lt;&gt;Annulé",po_date,"&gt;="&amp;p_y0,po_date,"&lt;"&amp;p_y1))</f>
        <v/>
      </c>
      <c r="R219" s="66" t="str">
        <f>IF(N(Q219)&gt;0,Q219-ROW()/10000000,"")</f>
        <v/>
      </c>
    </row>
    <row r="220">
      <c r="A220" s="65" t="n"/>
      <c r="B220" s="63" t="n"/>
      <c r="C220" s="63" t="n"/>
      <c r="D220" s="63" t="n"/>
      <c r="E220" s="65" t="n"/>
      <c r="F220" s="63" t="n"/>
      <c r="G220" s="63" t="n"/>
      <c r="H220" s="63" t="n"/>
      <c r="I220" s="63" t="n"/>
      <c r="J220" s="63" t="n"/>
      <c r="K220" s="127" t="n"/>
      <c r="L220" s="128" t="str">
        <f>IF(A220="","",COUNTIFS(po_sup,A220,po_first,1))</f>
        <v/>
      </c>
      <c r="M220" s="70" t="str">
        <f>IF(A220="","",SUMIFS(po_ht,po_sup,A220,po_status,"&lt;&gt;Annulé"))</f>
        <v/>
      </c>
      <c r="N220" s="128" t="str">
        <f>IF(A220="","",COUNTIFS(po_sup,A220,po_status,"En retard"))</f>
        <v/>
      </c>
      <c r="O220" s="72" t="str">
        <f>IF(A220="","",IF(COUNTIFS(po_sup,A220,po_ontime,"&gt;=0")=0,"",COUNTIFS(po_sup,A220,po_ontime,1)/COUNTIFS(po_sup,A220,po_ontime,"&gt;=0")))</f>
        <v/>
      </c>
      <c r="P220" s="67" t="str">
        <f>IF(A220="","",IF(COUNTIF(sup_code,A220)&gt;1,"Code en double",IF(B220="","Raison sociale manquante",IF(AND(K220&lt;&gt;"",OR(NOT(ISNUMBER(K220)),N(K220)&lt;0)),"Délai invalide","OK"))))</f>
        <v/>
      </c>
      <c r="Q220" s="70" t="str">
        <f>IF(A220="","",SUMIFS(po_ht,po_sup,A220,po_status,"&lt;&gt;Annulé",po_date,"&gt;="&amp;p_y0,po_date,"&lt;"&amp;p_y1))</f>
        <v/>
      </c>
      <c r="R220" s="66" t="str">
        <f>IF(N(Q220)&gt;0,Q220-ROW()/10000000,"")</f>
        <v/>
      </c>
    </row>
    <row r="221">
      <c r="A221" s="65" t="n"/>
      <c r="B221" s="63" t="n"/>
      <c r="C221" s="63" t="n"/>
      <c r="D221" s="63" t="n"/>
      <c r="E221" s="65" t="n"/>
      <c r="F221" s="63" t="n"/>
      <c r="G221" s="63" t="n"/>
      <c r="H221" s="63" t="n"/>
      <c r="I221" s="63" t="n"/>
      <c r="J221" s="63" t="n"/>
      <c r="K221" s="127" t="n"/>
      <c r="L221" s="128" t="str">
        <f>IF(A221="","",COUNTIFS(po_sup,A221,po_first,1))</f>
        <v/>
      </c>
      <c r="M221" s="70" t="str">
        <f>IF(A221="","",SUMIFS(po_ht,po_sup,A221,po_status,"&lt;&gt;Annulé"))</f>
        <v/>
      </c>
      <c r="N221" s="128" t="str">
        <f>IF(A221="","",COUNTIFS(po_sup,A221,po_status,"En retard"))</f>
        <v/>
      </c>
      <c r="O221" s="72" t="str">
        <f>IF(A221="","",IF(COUNTIFS(po_sup,A221,po_ontime,"&gt;=0")=0,"",COUNTIFS(po_sup,A221,po_ontime,1)/COUNTIFS(po_sup,A221,po_ontime,"&gt;=0")))</f>
        <v/>
      </c>
      <c r="P221" s="67" t="str">
        <f>IF(A221="","",IF(COUNTIF(sup_code,A221)&gt;1,"Code en double",IF(B221="","Raison sociale manquante",IF(AND(K221&lt;&gt;"",OR(NOT(ISNUMBER(K221)),N(K221)&lt;0)),"Délai invalide","OK"))))</f>
        <v/>
      </c>
      <c r="Q221" s="70" t="str">
        <f>IF(A221="","",SUMIFS(po_ht,po_sup,A221,po_status,"&lt;&gt;Annulé",po_date,"&gt;="&amp;p_y0,po_date,"&lt;"&amp;p_y1))</f>
        <v/>
      </c>
      <c r="R221" s="66" t="str">
        <f>IF(N(Q221)&gt;0,Q221-ROW()/10000000,"")</f>
        <v/>
      </c>
    </row>
    <row r="222">
      <c r="A222" s="65" t="n"/>
      <c r="B222" s="63" t="n"/>
      <c r="C222" s="63" t="n"/>
      <c r="D222" s="63" t="n"/>
      <c r="E222" s="65" t="n"/>
      <c r="F222" s="63" t="n"/>
      <c r="G222" s="63" t="n"/>
      <c r="H222" s="63" t="n"/>
      <c r="I222" s="63" t="n"/>
      <c r="J222" s="63" t="n"/>
      <c r="K222" s="127" t="n"/>
      <c r="L222" s="128" t="str">
        <f>IF(A222="","",COUNTIFS(po_sup,A222,po_first,1))</f>
        <v/>
      </c>
      <c r="M222" s="70" t="str">
        <f>IF(A222="","",SUMIFS(po_ht,po_sup,A222,po_status,"&lt;&gt;Annulé"))</f>
        <v/>
      </c>
      <c r="N222" s="128" t="str">
        <f>IF(A222="","",COUNTIFS(po_sup,A222,po_status,"En retard"))</f>
        <v/>
      </c>
      <c r="O222" s="72" t="str">
        <f>IF(A222="","",IF(COUNTIFS(po_sup,A222,po_ontime,"&gt;=0")=0,"",COUNTIFS(po_sup,A222,po_ontime,1)/COUNTIFS(po_sup,A222,po_ontime,"&gt;=0")))</f>
        <v/>
      </c>
      <c r="P222" s="67" t="str">
        <f>IF(A222="","",IF(COUNTIF(sup_code,A222)&gt;1,"Code en double",IF(B222="","Raison sociale manquante",IF(AND(K222&lt;&gt;"",OR(NOT(ISNUMBER(K222)),N(K222)&lt;0)),"Délai invalide","OK"))))</f>
        <v/>
      </c>
      <c r="Q222" s="70" t="str">
        <f>IF(A222="","",SUMIFS(po_ht,po_sup,A222,po_status,"&lt;&gt;Annulé",po_date,"&gt;="&amp;p_y0,po_date,"&lt;"&amp;p_y1))</f>
        <v/>
      </c>
      <c r="R222" s="66" t="str">
        <f>IF(N(Q222)&gt;0,Q222-ROW()/10000000,"")</f>
        <v/>
      </c>
    </row>
    <row r="223">
      <c r="A223" s="65" t="n"/>
      <c r="B223" s="63" t="n"/>
      <c r="C223" s="63" t="n"/>
      <c r="D223" s="63" t="n"/>
      <c r="E223" s="65" t="n"/>
      <c r="F223" s="63" t="n"/>
      <c r="G223" s="63" t="n"/>
      <c r="H223" s="63" t="n"/>
      <c r="I223" s="63" t="n"/>
      <c r="J223" s="63" t="n"/>
      <c r="K223" s="127" t="n"/>
      <c r="L223" s="128" t="str">
        <f>IF(A223="","",COUNTIFS(po_sup,A223,po_first,1))</f>
        <v/>
      </c>
      <c r="M223" s="70" t="str">
        <f>IF(A223="","",SUMIFS(po_ht,po_sup,A223,po_status,"&lt;&gt;Annulé"))</f>
        <v/>
      </c>
      <c r="N223" s="128" t="str">
        <f>IF(A223="","",COUNTIFS(po_sup,A223,po_status,"En retard"))</f>
        <v/>
      </c>
      <c r="O223" s="72" t="str">
        <f>IF(A223="","",IF(COUNTIFS(po_sup,A223,po_ontime,"&gt;=0")=0,"",COUNTIFS(po_sup,A223,po_ontime,1)/COUNTIFS(po_sup,A223,po_ontime,"&gt;=0")))</f>
        <v/>
      </c>
      <c r="P223" s="67" t="str">
        <f>IF(A223="","",IF(COUNTIF(sup_code,A223)&gt;1,"Code en double",IF(B223="","Raison sociale manquante",IF(AND(K223&lt;&gt;"",OR(NOT(ISNUMBER(K223)),N(K223)&lt;0)),"Délai invalide","OK"))))</f>
        <v/>
      </c>
      <c r="Q223" s="70" t="str">
        <f>IF(A223="","",SUMIFS(po_ht,po_sup,A223,po_status,"&lt;&gt;Annulé",po_date,"&gt;="&amp;p_y0,po_date,"&lt;"&amp;p_y1))</f>
        <v/>
      </c>
      <c r="R223" s="66" t="str">
        <f>IF(N(Q223)&gt;0,Q223-ROW()/10000000,"")</f>
        <v/>
      </c>
    </row>
    <row r="224">
      <c r="A224" s="65" t="n"/>
      <c r="B224" s="63" t="n"/>
      <c r="C224" s="63" t="n"/>
      <c r="D224" s="63" t="n"/>
      <c r="E224" s="65" t="n"/>
      <c r="F224" s="63" t="n"/>
      <c r="G224" s="63" t="n"/>
      <c r="H224" s="63" t="n"/>
      <c r="I224" s="63" t="n"/>
      <c r="J224" s="63" t="n"/>
      <c r="K224" s="127" t="n"/>
      <c r="L224" s="128" t="str">
        <f>IF(A224="","",COUNTIFS(po_sup,A224,po_first,1))</f>
        <v/>
      </c>
      <c r="M224" s="70" t="str">
        <f>IF(A224="","",SUMIFS(po_ht,po_sup,A224,po_status,"&lt;&gt;Annulé"))</f>
        <v/>
      </c>
      <c r="N224" s="128" t="str">
        <f>IF(A224="","",COUNTIFS(po_sup,A224,po_status,"En retard"))</f>
        <v/>
      </c>
      <c r="O224" s="72" t="str">
        <f>IF(A224="","",IF(COUNTIFS(po_sup,A224,po_ontime,"&gt;=0")=0,"",COUNTIFS(po_sup,A224,po_ontime,1)/COUNTIFS(po_sup,A224,po_ontime,"&gt;=0")))</f>
        <v/>
      </c>
      <c r="P224" s="67" t="str">
        <f>IF(A224="","",IF(COUNTIF(sup_code,A224)&gt;1,"Code en double",IF(B224="","Raison sociale manquante",IF(AND(K224&lt;&gt;"",OR(NOT(ISNUMBER(K224)),N(K224)&lt;0)),"Délai invalide","OK"))))</f>
        <v/>
      </c>
      <c r="Q224" s="70" t="str">
        <f>IF(A224="","",SUMIFS(po_ht,po_sup,A224,po_status,"&lt;&gt;Annulé",po_date,"&gt;="&amp;p_y0,po_date,"&lt;"&amp;p_y1))</f>
        <v/>
      </c>
      <c r="R224" s="66" t="str">
        <f>IF(N(Q224)&gt;0,Q224-ROW()/10000000,"")</f>
        <v/>
      </c>
    </row>
    <row r="225">
      <c r="A225" s="65" t="n"/>
      <c r="B225" s="63" t="n"/>
      <c r="C225" s="63" t="n"/>
      <c r="D225" s="63" t="n"/>
      <c r="E225" s="65" t="n"/>
      <c r="F225" s="63" t="n"/>
      <c r="G225" s="63" t="n"/>
      <c r="H225" s="63" t="n"/>
      <c r="I225" s="63" t="n"/>
      <c r="J225" s="63" t="n"/>
      <c r="K225" s="127" t="n"/>
      <c r="L225" s="128" t="str">
        <f>IF(A225="","",COUNTIFS(po_sup,A225,po_first,1))</f>
        <v/>
      </c>
      <c r="M225" s="70" t="str">
        <f>IF(A225="","",SUMIFS(po_ht,po_sup,A225,po_status,"&lt;&gt;Annulé"))</f>
        <v/>
      </c>
      <c r="N225" s="128" t="str">
        <f>IF(A225="","",COUNTIFS(po_sup,A225,po_status,"En retard"))</f>
        <v/>
      </c>
      <c r="O225" s="72" t="str">
        <f>IF(A225="","",IF(COUNTIFS(po_sup,A225,po_ontime,"&gt;=0")=0,"",COUNTIFS(po_sup,A225,po_ontime,1)/COUNTIFS(po_sup,A225,po_ontime,"&gt;=0")))</f>
        <v/>
      </c>
      <c r="P225" s="67" t="str">
        <f>IF(A225="","",IF(COUNTIF(sup_code,A225)&gt;1,"Code en double",IF(B225="","Raison sociale manquante",IF(AND(K225&lt;&gt;"",OR(NOT(ISNUMBER(K225)),N(K225)&lt;0)),"Délai invalide","OK"))))</f>
        <v/>
      </c>
      <c r="Q225" s="70" t="str">
        <f>IF(A225="","",SUMIFS(po_ht,po_sup,A225,po_status,"&lt;&gt;Annulé",po_date,"&gt;="&amp;p_y0,po_date,"&lt;"&amp;p_y1))</f>
        <v/>
      </c>
      <c r="R225" s="66" t="str">
        <f>IF(N(Q225)&gt;0,Q225-ROW()/10000000,"")</f>
        <v/>
      </c>
    </row>
    <row r="226">
      <c r="A226" s="65" t="n"/>
      <c r="B226" s="63" t="n"/>
      <c r="C226" s="63" t="n"/>
      <c r="D226" s="63" t="n"/>
      <c r="E226" s="65" t="n"/>
      <c r="F226" s="63" t="n"/>
      <c r="G226" s="63" t="n"/>
      <c r="H226" s="63" t="n"/>
      <c r="I226" s="63" t="n"/>
      <c r="J226" s="63" t="n"/>
      <c r="K226" s="127" t="n"/>
      <c r="L226" s="128" t="str">
        <f>IF(A226="","",COUNTIFS(po_sup,A226,po_first,1))</f>
        <v/>
      </c>
      <c r="M226" s="70" t="str">
        <f>IF(A226="","",SUMIFS(po_ht,po_sup,A226,po_status,"&lt;&gt;Annulé"))</f>
        <v/>
      </c>
      <c r="N226" s="128" t="str">
        <f>IF(A226="","",COUNTIFS(po_sup,A226,po_status,"En retard"))</f>
        <v/>
      </c>
      <c r="O226" s="72" t="str">
        <f>IF(A226="","",IF(COUNTIFS(po_sup,A226,po_ontime,"&gt;=0")=0,"",COUNTIFS(po_sup,A226,po_ontime,1)/COUNTIFS(po_sup,A226,po_ontime,"&gt;=0")))</f>
        <v/>
      </c>
      <c r="P226" s="67" t="str">
        <f>IF(A226="","",IF(COUNTIF(sup_code,A226)&gt;1,"Code en double",IF(B226="","Raison sociale manquante",IF(AND(K226&lt;&gt;"",OR(NOT(ISNUMBER(K226)),N(K226)&lt;0)),"Délai invalide","OK"))))</f>
        <v/>
      </c>
      <c r="Q226" s="70" t="str">
        <f>IF(A226="","",SUMIFS(po_ht,po_sup,A226,po_status,"&lt;&gt;Annulé",po_date,"&gt;="&amp;p_y0,po_date,"&lt;"&amp;p_y1))</f>
        <v/>
      </c>
      <c r="R226" s="66" t="str">
        <f>IF(N(Q226)&gt;0,Q226-ROW()/10000000,"")</f>
        <v/>
      </c>
    </row>
    <row r="227">
      <c r="A227" s="65" t="n"/>
      <c r="B227" s="63" t="n"/>
      <c r="C227" s="63" t="n"/>
      <c r="D227" s="63" t="n"/>
      <c r="E227" s="65" t="n"/>
      <c r="F227" s="63" t="n"/>
      <c r="G227" s="63" t="n"/>
      <c r="H227" s="63" t="n"/>
      <c r="I227" s="63" t="n"/>
      <c r="J227" s="63" t="n"/>
      <c r="K227" s="127" t="n"/>
      <c r="L227" s="128" t="str">
        <f>IF(A227="","",COUNTIFS(po_sup,A227,po_first,1))</f>
        <v/>
      </c>
      <c r="M227" s="70" t="str">
        <f>IF(A227="","",SUMIFS(po_ht,po_sup,A227,po_status,"&lt;&gt;Annulé"))</f>
        <v/>
      </c>
      <c r="N227" s="128" t="str">
        <f>IF(A227="","",COUNTIFS(po_sup,A227,po_status,"En retard"))</f>
        <v/>
      </c>
      <c r="O227" s="72" t="str">
        <f>IF(A227="","",IF(COUNTIFS(po_sup,A227,po_ontime,"&gt;=0")=0,"",COUNTIFS(po_sup,A227,po_ontime,1)/COUNTIFS(po_sup,A227,po_ontime,"&gt;=0")))</f>
        <v/>
      </c>
      <c r="P227" s="67" t="str">
        <f>IF(A227="","",IF(COUNTIF(sup_code,A227)&gt;1,"Code en double",IF(B227="","Raison sociale manquante",IF(AND(K227&lt;&gt;"",OR(NOT(ISNUMBER(K227)),N(K227)&lt;0)),"Délai invalide","OK"))))</f>
        <v/>
      </c>
      <c r="Q227" s="70" t="str">
        <f>IF(A227="","",SUMIFS(po_ht,po_sup,A227,po_status,"&lt;&gt;Annulé",po_date,"&gt;="&amp;p_y0,po_date,"&lt;"&amp;p_y1))</f>
        <v/>
      </c>
      <c r="R227" s="66" t="str">
        <f>IF(N(Q227)&gt;0,Q227-ROW()/10000000,"")</f>
        <v/>
      </c>
    </row>
    <row r="228">
      <c r="A228" s="65" t="n"/>
      <c r="B228" s="63" t="n"/>
      <c r="C228" s="63" t="n"/>
      <c r="D228" s="63" t="n"/>
      <c r="E228" s="65" t="n"/>
      <c r="F228" s="63" t="n"/>
      <c r="G228" s="63" t="n"/>
      <c r="H228" s="63" t="n"/>
      <c r="I228" s="63" t="n"/>
      <c r="J228" s="63" t="n"/>
      <c r="K228" s="127" t="n"/>
      <c r="L228" s="128" t="str">
        <f>IF(A228="","",COUNTIFS(po_sup,A228,po_first,1))</f>
        <v/>
      </c>
      <c r="M228" s="70" t="str">
        <f>IF(A228="","",SUMIFS(po_ht,po_sup,A228,po_status,"&lt;&gt;Annulé"))</f>
        <v/>
      </c>
      <c r="N228" s="128" t="str">
        <f>IF(A228="","",COUNTIFS(po_sup,A228,po_status,"En retard"))</f>
        <v/>
      </c>
      <c r="O228" s="72" t="str">
        <f>IF(A228="","",IF(COUNTIFS(po_sup,A228,po_ontime,"&gt;=0")=0,"",COUNTIFS(po_sup,A228,po_ontime,1)/COUNTIFS(po_sup,A228,po_ontime,"&gt;=0")))</f>
        <v/>
      </c>
      <c r="P228" s="67" t="str">
        <f>IF(A228="","",IF(COUNTIF(sup_code,A228)&gt;1,"Code en double",IF(B228="","Raison sociale manquante",IF(AND(K228&lt;&gt;"",OR(NOT(ISNUMBER(K228)),N(K228)&lt;0)),"Délai invalide","OK"))))</f>
        <v/>
      </c>
      <c r="Q228" s="70" t="str">
        <f>IF(A228="","",SUMIFS(po_ht,po_sup,A228,po_status,"&lt;&gt;Annulé",po_date,"&gt;="&amp;p_y0,po_date,"&lt;"&amp;p_y1))</f>
        <v/>
      </c>
      <c r="R228" s="66" t="str">
        <f>IF(N(Q228)&gt;0,Q228-ROW()/10000000,"")</f>
        <v/>
      </c>
    </row>
    <row r="229">
      <c r="A229" s="65" t="n"/>
      <c r="B229" s="63" t="n"/>
      <c r="C229" s="63" t="n"/>
      <c r="D229" s="63" t="n"/>
      <c r="E229" s="65" t="n"/>
      <c r="F229" s="63" t="n"/>
      <c r="G229" s="63" t="n"/>
      <c r="H229" s="63" t="n"/>
      <c r="I229" s="63" t="n"/>
      <c r="J229" s="63" t="n"/>
      <c r="K229" s="127" t="n"/>
      <c r="L229" s="128" t="str">
        <f>IF(A229="","",COUNTIFS(po_sup,A229,po_first,1))</f>
        <v/>
      </c>
      <c r="M229" s="70" t="str">
        <f>IF(A229="","",SUMIFS(po_ht,po_sup,A229,po_status,"&lt;&gt;Annulé"))</f>
        <v/>
      </c>
      <c r="N229" s="128" t="str">
        <f>IF(A229="","",COUNTIFS(po_sup,A229,po_status,"En retard"))</f>
        <v/>
      </c>
      <c r="O229" s="72" t="str">
        <f>IF(A229="","",IF(COUNTIFS(po_sup,A229,po_ontime,"&gt;=0")=0,"",COUNTIFS(po_sup,A229,po_ontime,1)/COUNTIFS(po_sup,A229,po_ontime,"&gt;=0")))</f>
        <v/>
      </c>
      <c r="P229" s="67" t="str">
        <f>IF(A229="","",IF(COUNTIF(sup_code,A229)&gt;1,"Code en double",IF(B229="","Raison sociale manquante",IF(AND(K229&lt;&gt;"",OR(NOT(ISNUMBER(K229)),N(K229)&lt;0)),"Délai invalide","OK"))))</f>
        <v/>
      </c>
      <c r="Q229" s="70" t="str">
        <f>IF(A229="","",SUMIFS(po_ht,po_sup,A229,po_status,"&lt;&gt;Annulé",po_date,"&gt;="&amp;p_y0,po_date,"&lt;"&amp;p_y1))</f>
        <v/>
      </c>
      <c r="R229" s="66" t="str">
        <f>IF(N(Q229)&gt;0,Q229-ROW()/10000000,"")</f>
        <v/>
      </c>
    </row>
    <row r="230">
      <c r="A230" s="65" t="n"/>
      <c r="B230" s="63" t="n"/>
      <c r="C230" s="63" t="n"/>
      <c r="D230" s="63" t="n"/>
      <c r="E230" s="65" t="n"/>
      <c r="F230" s="63" t="n"/>
      <c r="G230" s="63" t="n"/>
      <c r="H230" s="63" t="n"/>
      <c r="I230" s="63" t="n"/>
      <c r="J230" s="63" t="n"/>
      <c r="K230" s="127" t="n"/>
      <c r="L230" s="128" t="str">
        <f>IF(A230="","",COUNTIFS(po_sup,A230,po_first,1))</f>
        <v/>
      </c>
      <c r="M230" s="70" t="str">
        <f>IF(A230="","",SUMIFS(po_ht,po_sup,A230,po_status,"&lt;&gt;Annulé"))</f>
        <v/>
      </c>
      <c r="N230" s="128" t="str">
        <f>IF(A230="","",COUNTIFS(po_sup,A230,po_status,"En retard"))</f>
        <v/>
      </c>
      <c r="O230" s="72" t="str">
        <f>IF(A230="","",IF(COUNTIFS(po_sup,A230,po_ontime,"&gt;=0")=0,"",COUNTIFS(po_sup,A230,po_ontime,1)/COUNTIFS(po_sup,A230,po_ontime,"&gt;=0")))</f>
        <v/>
      </c>
      <c r="P230" s="67" t="str">
        <f>IF(A230="","",IF(COUNTIF(sup_code,A230)&gt;1,"Code en double",IF(B230="","Raison sociale manquante",IF(AND(K230&lt;&gt;"",OR(NOT(ISNUMBER(K230)),N(K230)&lt;0)),"Délai invalide","OK"))))</f>
        <v/>
      </c>
      <c r="Q230" s="70" t="str">
        <f>IF(A230="","",SUMIFS(po_ht,po_sup,A230,po_status,"&lt;&gt;Annulé",po_date,"&gt;="&amp;p_y0,po_date,"&lt;"&amp;p_y1))</f>
        <v/>
      </c>
      <c r="R230" s="66" t="str">
        <f>IF(N(Q230)&gt;0,Q230-ROW()/10000000,"")</f>
        <v/>
      </c>
    </row>
    <row r="231">
      <c r="A231" s="65" t="n"/>
      <c r="B231" s="63" t="n"/>
      <c r="C231" s="63" t="n"/>
      <c r="D231" s="63" t="n"/>
      <c r="E231" s="65" t="n"/>
      <c r="F231" s="63" t="n"/>
      <c r="G231" s="63" t="n"/>
      <c r="H231" s="63" t="n"/>
      <c r="I231" s="63" t="n"/>
      <c r="J231" s="63" t="n"/>
      <c r="K231" s="127" t="n"/>
      <c r="L231" s="128" t="str">
        <f>IF(A231="","",COUNTIFS(po_sup,A231,po_first,1))</f>
        <v/>
      </c>
      <c r="M231" s="70" t="str">
        <f>IF(A231="","",SUMIFS(po_ht,po_sup,A231,po_status,"&lt;&gt;Annulé"))</f>
        <v/>
      </c>
      <c r="N231" s="128" t="str">
        <f>IF(A231="","",COUNTIFS(po_sup,A231,po_status,"En retard"))</f>
        <v/>
      </c>
      <c r="O231" s="72" t="str">
        <f>IF(A231="","",IF(COUNTIFS(po_sup,A231,po_ontime,"&gt;=0")=0,"",COUNTIFS(po_sup,A231,po_ontime,1)/COUNTIFS(po_sup,A231,po_ontime,"&gt;=0")))</f>
        <v/>
      </c>
      <c r="P231" s="67" t="str">
        <f>IF(A231="","",IF(COUNTIF(sup_code,A231)&gt;1,"Code en double",IF(B231="","Raison sociale manquante",IF(AND(K231&lt;&gt;"",OR(NOT(ISNUMBER(K231)),N(K231)&lt;0)),"Délai invalide","OK"))))</f>
        <v/>
      </c>
      <c r="Q231" s="70" t="str">
        <f>IF(A231="","",SUMIFS(po_ht,po_sup,A231,po_status,"&lt;&gt;Annulé",po_date,"&gt;="&amp;p_y0,po_date,"&lt;"&amp;p_y1))</f>
        <v/>
      </c>
      <c r="R231" s="66" t="str">
        <f>IF(N(Q231)&gt;0,Q231-ROW()/10000000,"")</f>
        <v/>
      </c>
    </row>
    <row r="232">
      <c r="A232" s="65" t="n"/>
      <c r="B232" s="63" t="n"/>
      <c r="C232" s="63" t="n"/>
      <c r="D232" s="63" t="n"/>
      <c r="E232" s="65" t="n"/>
      <c r="F232" s="63" t="n"/>
      <c r="G232" s="63" t="n"/>
      <c r="H232" s="63" t="n"/>
      <c r="I232" s="63" t="n"/>
      <c r="J232" s="63" t="n"/>
      <c r="K232" s="127" t="n"/>
      <c r="L232" s="128" t="str">
        <f>IF(A232="","",COUNTIFS(po_sup,A232,po_first,1))</f>
        <v/>
      </c>
      <c r="M232" s="70" t="str">
        <f>IF(A232="","",SUMIFS(po_ht,po_sup,A232,po_status,"&lt;&gt;Annulé"))</f>
        <v/>
      </c>
      <c r="N232" s="128" t="str">
        <f>IF(A232="","",COUNTIFS(po_sup,A232,po_status,"En retard"))</f>
        <v/>
      </c>
      <c r="O232" s="72" t="str">
        <f>IF(A232="","",IF(COUNTIFS(po_sup,A232,po_ontime,"&gt;=0")=0,"",COUNTIFS(po_sup,A232,po_ontime,1)/COUNTIFS(po_sup,A232,po_ontime,"&gt;=0")))</f>
        <v/>
      </c>
      <c r="P232" s="67" t="str">
        <f>IF(A232="","",IF(COUNTIF(sup_code,A232)&gt;1,"Code en double",IF(B232="","Raison sociale manquante",IF(AND(K232&lt;&gt;"",OR(NOT(ISNUMBER(K232)),N(K232)&lt;0)),"Délai invalide","OK"))))</f>
        <v/>
      </c>
      <c r="Q232" s="70" t="str">
        <f>IF(A232="","",SUMIFS(po_ht,po_sup,A232,po_status,"&lt;&gt;Annulé",po_date,"&gt;="&amp;p_y0,po_date,"&lt;"&amp;p_y1))</f>
        <v/>
      </c>
      <c r="R232" s="66" t="str">
        <f>IF(N(Q232)&gt;0,Q232-ROW()/10000000,"")</f>
        <v/>
      </c>
    </row>
    <row r="233">
      <c r="A233" s="65" t="n"/>
      <c r="B233" s="63" t="n"/>
      <c r="C233" s="63" t="n"/>
      <c r="D233" s="63" t="n"/>
      <c r="E233" s="65" t="n"/>
      <c r="F233" s="63" t="n"/>
      <c r="G233" s="63" t="n"/>
      <c r="H233" s="63" t="n"/>
      <c r="I233" s="63" t="n"/>
      <c r="J233" s="63" t="n"/>
      <c r="K233" s="127" t="n"/>
      <c r="L233" s="128" t="str">
        <f>IF(A233="","",COUNTIFS(po_sup,A233,po_first,1))</f>
        <v/>
      </c>
      <c r="M233" s="70" t="str">
        <f>IF(A233="","",SUMIFS(po_ht,po_sup,A233,po_status,"&lt;&gt;Annulé"))</f>
        <v/>
      </c>
      <c r="N233" s="128" t="str">
        <f>IF(A233="","",COUNTIFS(po_sup,A233,po_status,"En retard"))</f>
        <v/>
      </c>
      <c r="O233" s="72" t="str">
        <f>IF(A233="","",IF(COUNTIFS(po_sup,A233,po_ontime,"&gt;=0")=0,"",COUNTIFS(po_sup,A233,po_ontime,1)/COUNTIFS(po_sup,A233,po_ontime,"&gt;=0")))</f>
        <v/>
      </c>
      <c r="P233" s="67" t="str">
        <f>IF(A233="","",IF(COUNTIF(sup_code,A233)&gt;1,"Code en double",IF(B233="","Raison sociale manquante",IF(AND(K233&lt;&gt;"",OR(NOT(ISNUMBER(K233)),N(K233)&lt;0)),"Délai invalide","OK"))))</f>
        <v/>
      </c>
      <c r="Q233" s="70" t="str">
        <f>IF(A233="","",SUMIFS(po_ht,po_sup,A233,po_status,"&lt;&gt;Annulé",po_date,"&gt;="&amp;p_y0,po_date,"&lt;"&amp;p_y1))</f>
        <v/>
      </c>
      <c r="R233" s="66" t="str">
        <f>IF(N(Q233)&gt;0,Q233-ROW()/10000000,"")</f>
        <v/>
      </c>
    </row>
    <row r="234">
      <c r="A234" s="65" t="n"/>
      <c r="B234" s="63" t="n"/>
      <c r="C234" s="63" t="n"/>
      <c r="D234" s="63" t="n"/>
      <c r="E234" s="65" t="n"/>
      <c r="F234" s="63" t="n"/>
      <c r="G234" s="63" t="n"/>
      <c r="H234" s="63" t="n"/>
      <c r="I234" s="63" t="n"/>
      <c r="J234" s="63" t="n"/>
      <c r="K234" s="127" t="n"/>
      <c r="L234" s="128" t="str">
        <f>IF(A234="","",COUNTIFS(po_sup,A234,po_first,1))</f>
        <v/>
      </c>
      <c r="M234" s="70" t="str">
        <f>IF(A234="","",SUMIFS(po_ht,po_sup,A234,po_status,"&lt;&gt;Annulé"))</f>
        <v/>
      </c>
      <c r="N234" s="128" t="str">
        <f>IF(A234="","",COUNTIFS(po_sup,A234,po_status,"En retard"))</f>
        <v/>
      </c>
      <c r="O234" s="72" t="str">
        <f>IF(A234="","",IF(COUNTIFS(po_sup,A234,po_ontime,"&gt;=0")=0,"",COUNTIFS(po_sup,A234,po_ontime,1)/COUNTIFS(po_sup,A234,po_ontime,"&gt;=0")))</f>
        <v/>
      </c>
      <c r="P234" s="67" t="str">
        <f>IF(A234="","",IF(COUNTIF(sup_code,A234)&gt;1,"Code en double",IF(B234="","Raison sociale manquante",IF(AND(K234&lt;&gt;"",OR(NOT(ISNUMBER(K234)),N(K234)&lt;0)),"Délai invalide","OK"))))</f>
        <v/>
      </c>
      <c r="Q234" s="70" t="str">
        <f>IF(A234="","",SUMIFS(po_ht,po_sup,A234,po_status,"&lt;&gt;Annulé",po_date,"&gt;="&amp;p_y0,po_date,"&lt;"&amp;p_y1))</f>
        <v/>
      </c>
      <c r="R234" s="66" t="str">
        <f>IF(N(Q234)&gt;0,Q234-ROW()/10000000,"")</f>
        <v/>
      </c>
    </row>
    <row r="235">
      <c r="A235" s="65" t="n"/>
      <c r="B235" s="63" t="n"/>
      <c r="C235" s="63" t="n"/>
      <c r="D235" s="63" t="n"/>
      <c r="E235" s="65" t="n"/>
      <c r="F235" s="63" t="n"/>
      <c r="G235" s="63" t="n"/>
      <c r="H235" s="63" t="n"/>
      <c r="I235" s="63" t="n"/>
      <c r="J235" s="63" t="n"/>
      <c r="K235" s="127" t="n"/>
      <c r="L235" s="128" t="str">
        <f>IF(A235="","",COUNTIFS(po_sup,A235,po_first,1))</f>
        <v/>
      </c>
      <c r="M235" s="70" t="str">
        <f>IF(A235="","",SUMIFS(po_ht,po_sup,A235,po_status,"&lt;&gt;Annulé"))</f>
        <v/>
      </c>
      <c r="N235" s="128" t="str">
        <f>IF(A235="","",COUNTIFS(po_sup,A235,po_status,"En retard"))</f>
        <v/>
      </c>
      <c r="O235" s="72" t="str">
        <f>IF(A235="","",IF(COUNTIFS(po_sup,A235,po_ontime,"&gt;=0")=0,"",COUNTIFS(po_sup,A235,po_ontime,1)/COUNTIFS(po_sup,A235,po_ontime,"&gt;=0")))</f>
        <v/>
      </c>
      <c r="P235" s="67" t="str">
        <f>IF(A235="","",IF(COUNTIF(sup_code,A235)&gt;1,"Code en double",IF(B235="","Raison sociale manquante",IF(AND(K235&lt;&gt;"",OR(NOT(ISNUMBER(K235)),N(K235)&lt;0)),"Délai invalide","OK"))))</f>
        <v/>
      </c>
      <c r="Q235" s="70" t="str">
        <f>IF(A235="","",SUMIFS(po_ht,po_sup,A235,po_status,"&lt;&gt;Annulé",po_date,"&gt;="&amp;p_y0,po_date,"&lt;"&amp;p_y1))</f>
        <v/>
      </c>
      <c r="R235" s="66" t="str">
        <f>IF(N(Q235)&gt;0,Q235-ROW()/10000000,"")</f>
        <v/>
      </c>
    </row>
    <row r="236">
      <c r="A236" s="65" t="n"/>
      <c r="B236" s="63" t="n"/>
      <c r="C236" s="63" t="n"/>
      <c r="D236" s="63" t="n"/>
      <c r="E236" s="65" t="n"/>
      <c r="F236" s="63" t="n"/>
      <c r="G236" s="63" t="n"/>
      <c r="H236" s="63" t="n"/>
      <c r="I236" s="63" t="n"/>
      <c r="J236" s="63" t="n"/>
      <c r="K236" s="127" t="n"/>
      <c r="L236" s="128" t="str">
        <f>IF(A236="","",COUNTIFS(po_sup,A236,po_first,1))</f>
        <v/>
      </c>
      <c r="M236" s="70" t="str">
        <f>IF(A236="","",SUMIFS(po_ht,po_sup,A236,po_status,"&lt;&gt;Annulé"))</f>
        <v/>
      </c>
      <c r="N236" s="128" t="str">
        <f>IF(A236="","",COUNTIFS(po_sup,A236,po_status,"En retard"))</f>
        <v/>
      </c>
      <c r="O236" s="72" t="str">
        <f>IF(A236="","",IF(COUNTIFS(po_sup,A236,po_ontime,"&gt;=0")=0,"",COUNTIFS(po_sup,A236,po_ontime,1)/COUNTIFS(po_sup,A236,po_ontime,"&gt;=0")))</f>
        <v/>
      </c>
      <c r="P236" s="67" t="str">
        <f>IF(A236="","",IF(COUNTIF(sup_code,A236)&gt;1,"Code en double",IF(B236="","Raison sociale manquante",IF(AND(K236&lt;&gt;"",OR(NOT(ISNUMBER(K236)),N(K236)&lt;0)),"Délai invalide","OK"))))</f>
        <v/>
      </c>
      <c r="Q236" s="70" t="str">
        <f>IF(A236="","",SUMIFS(po_ht,po_sup,A236,po_status,"&lt;&gt;Annulé",po_date,"&gt;="&amp;p_y0,po_date,"&lt;"&amp;p_y1))</f>
        <v/>
      </c>
      <c r="R236" s="66" t="str">
        <f>IF(N(Q236)&gt;0,Q236-ROW()/10000000,"")</f>
        <v/>
      </c>
    </row>
    <row r="237">
      <c r="A237" s="65" t="n"/>
      <c r="B237" s="63" t="n"/>
      <c r="C237" s="63" t="n"/>
      <c r="D237" s="63" t="n"/>
      <c r="E237" s="65" t="n"/>
      <c r="F237" s="63" t="n"/>
      <c r="G237" s="63" t="n"/>
      <c r="H237" s="63" t="n"/>
      <c r="I237" s="63" t="n"/>
      <c r="J237" s="63" t="n"/>
      <c r="K237" s="127" t="n"/>
      <c r="L237" s="128" t="str">
        <f>IF(A237="","",COUNTIFS(po_sup,A237,po_first,1))</f>
        <v/>
      </c>
      <c r="M237" s="70" t="str">
        <f>IF(A237="","",SUMIFS(po_ht,po_sup,A237,po_status,"&lt;&gt;Annulé"))</f>
        <v/>
      </c>
      <c r="N237" s="128" t="str">
        <f>IF(A237="","",COUNTIFS(po_sup,A237,po_status,"En retard"))</f>
        <v/>
      </c>
      <c r="O237" s="72" t="str">
        <f>IF(A237="","",IF(COUNTIFS(po_sup,A237,po_ontime,"&gt;=0")=0,"",COUNTIFS(po_sup,A237,po_ontime,1)/COUNTIFS(po_sup,A237,po_ontime,"&gt;=0")))</f>
        <v/>
      </c>
      <c r="P237" s="67" t="str">
        <f>IF(A237="","",IF(COUNTIF(sup_code,A237)&gt;1,"Code en double",IF(B237="","Raison sociale manquante",IF(AND(K237&lt;&gt;"",OR(NOT(ISNUMBER(K237)),N(K237)&lt;0)),"Délai invalide","OK"))))</f>
        <v/>
      </c>
      <c r="Q237" s="70" t="str">
        <f>IF(A237="","",SUMIFS(po_ht,po_sup,A237,po_status,"&lt;&gt;Annulé",po_date,"&gt;="&amp;p_y0,po_date,"&lt;"&amp;p_y1))</f>
        <v/>
      </c>
      <c r="R237" s="66" t="str">
        <f>IF(N(Q237)&gt;0,Q237-ROW()/10000000,"")</f>
        <v/>
      </c>
    </row>
    <row r="238">
      <c r="A238" s="65" t="n"/>
      <c r="B238" s="63" t="n"/>
      <c r="C238" s="63" t="n"/>
      <c r="D238" s="63" t="n"/>
      <c r="E238" s="65" t="n"/>
      <c r="F238" s="63" t="n"/>
      <c r="G238" s="63" t="n"/>
      <c r="H238" s="63" t="n"/>
      <c r="I238" s="63" t="n"/>
      <c r="J238" s="63" t="n"/>
      <c r="K238" s="127" t="n"/>
      <c r="L238" s="128" t="str">
        <f>IF(A238="","",COUNTIFS(po_sup,A238,po_first,1))</f>
        <v/>
      </c>
      <c r="M238" s="70" t="str">
        <f>IF(A238="","",SUMIFS(po_ht,po_sup,A238,po_status,"&lt;&gt;Annulé"))</f>
        <v/>
      </c>
      <c r="N238" s="128" t="str">
        <f>IF(A238="","",COUNTIFS(po_sup,A238,po_status,"En retard"))</f>
        <v/>
      </c>
      <c r="O238" s="72" t="str">
        <f>IF(A238="","",IF(COUNTIFS(po_sup,A238,po_ontime,"&gt;=0")=0,"",COUNTIFS(po_sup,A238,po_ontime,1)/COUNTIFS(po_sup,A238,po_ontime,"&gt;=0")))</f>
        <v/>
      </c>
      <c r="P238" s="67" t="str">
        <f>IF(A238="","",IF(COUNTIF(sup_code,A238)&gt;1,"Code en double",IF(B238="","Raison sociale manquante",IF(AND(K238&lt;&gt;"",OR(NOT(ISNUMBER(K238)),N(K238)&lt;0)),"Délai invalide","OK"))))</f>
        <v/>
      </c>
      <c r="Q238" s="70" t="str">
        <f>IF(A238="","",SUMIFS(po_ht,po_sup,A238,po_status,"&lt;&gt;Annulé",po_date,"&gt;="&amp;p_y0,po_date,"&lt;"&amp;p_y1))</f>
        <v/>
      </c>
      <c r="R238" s="66" t="str">
        <f>IF(N(Q238)&gt;0,Q238-ROW()/10000000,"")</f>
        <v/>
      </c>
    </row>
    <row r="239">
      <c r="A239" s="65" t="n"/>
      <c r="B239" s="63" t="n"/>
      <c r="C239" s="63" t="n"/>
      <c r="D239" s="63" t="n"/>
      <c r="E239" s="65" t="n"/>
      <c r="F239" s="63" t="n"/>
      <c r="G239" s="63" t="n"/>
      <c r="H239" s="63" t="n"/>
      <c r="I239" s="63" t="n"/>
      <c r="J239" s="63" t="n"/>
      <c r="K239" s="127" t="n"/>
      <c r="L239" s="128" t="str">
        <f>IF(A239="","",COUNTIFS(po_sup,A239,po_first,1))</f>
        <v/>
      </c>
      <c r="M239" s="70" t="str">
        <f>IF(A239="","",SUMIFS(po_ht,po_sup,A239,po_status,"&lt;&gt;Annulé"))</f>
        <v/>
      </c>
      <c r="N239" s="128" t="str">
        <f>IF(A239="","",COUNTIFS(po_sup,A239,po_status,"En retard"))</f>
        <v/>
      </c>
      <c r="O239" s="72" t="str">
        <f>IF(A239="","",IF(COUNTIFS(po_sup,A239,po_ontime,"&gt;=0")=0,"",COUNTIFS(po_sup,A239,po_ontime,1)/COUNTIFS(po_sup,A239,po_ontime,"&gt;=0")))</f>
        <v/>
      </c>
      <c r="P239" s="67" t="str">
        <f>IF(A239="","",IF(COUNTIF(sup_code,A239)&gt;1,"Code en double",IF(B239="","Raison sociale manquante",IF(AND(K239&lt;&gt;"",OR(NOT(ISNUMBER(K239)),N(K239)&lt;0)),"Délai invalide","OK"))))</f>
        <v/>
      </c>
      <c r="Q239" s="70" t="str">
        <f>IF(A239="","",SUMIFS(po_ht,po_sup,A239,po_status,"&lt;&gt;Annulé",po_date,"&gt;="&amp;p_y0,po_date,"&lt;"&amp;p_y1))</f>
        <v/>
      </c>
      <c r="R239" s="66" t="str">
        <f>IF(N(Q239)&gt;0,Q239-ROW()/10000000,"")</f>
        <v/>
      </c>
    </row>
    <row r="240">
      <c r="A240" s="65" t="n"/>
      <c r="B240" s="63" t="n"/>
      <c r="C240" s="63" t="n"/>
      <c r="D240" s="63" t="n"/>
      <c r="E240" s="65" t="n"/>
      <c r="F240" s="63" t="n"/>
      <c r="G240" s="63" t="n"/>
      <c r="H240" s="63" t="n"/>
      <c r="I240" s="63" t="n"/>
      <c r="J240" s="63" t="n"/>
      <c r="K240" s="127" t="n"/>
      <c r="L240" s="128" t="str">
        <f>IF(A240="","",COUNTIFS(po_sup,A240,po_first,1))</f>
        <v/>
      </c>
      <c r="M240" s="70" t="str">
        <f>IF(A240="","",SUMIFS(po_ht,po_sup,A240,po_status,"&lt;&gt;Annulé"))</f>
        <v/>
      </c>
      <c r="N240" s="128" t="str">
        <f>IF(A240="","",COUNTIFS(po_sup,A240,po_status,"En retard"))</f>
        <v/>
      </c>
      <c r="O240" s="72" t="str">
        <f>IF(A240="","",IF(COUNTIFS(po_sup,A240,po_ontime,"&gt;=0")=0,"",COUNTIFS(po_sup,A240,po_ontime,1)/COUNTIFS(po_sup,A240,po_ontime,"&gt;=0")))</f>
        <v/>
      </c>
      <c r="P240" s="67" t="str">
        <f>IF(A240="","",IF(COUNTIF(sup_code,A240)&gt;1,"Code en double",IF(B240="","Raison sociale manquante",IF(AND(K240&lt;&gt;"",OR(NOT(ISNUMBER(K240)),N(K240)&lt;0)),"Délai invalide","OK"))))</f>
        <v/>
      </c>
      <c r="Q240" s="70" t="str">
        <f>IF(A240="","",SUMIFS(po_ht,po_sup,A240,po_status,"&lt;&gt;Annulé",po_date,"&gt;="&amp;p_y0,po_date,"&lt;"&amp;p_y1))</f>
        <v/>
      </c>
      <c r="R240" s="66" t="str">
        <f>IF(N(Q240)&gt;0,Q240-ROW()/10000000,"")</f>
        <v/>
      </c>
    </row>
    <row r="241">
      <c r="A241" s="65" t="n"/>
      <c r="B241" s="63" t="n"/>
      <c r="C241" s="63" t="n"/>
      <c r="D241" s="63" t="n"/>
      <c r="E241" s="65" t="n"/>
      <c r="F241" s="63" t="n"/>
      <c r="G241" s="63" t="n"/>
      <c r="H241" s="63" t="n"/>
      <c r="I241" s="63" t="n"/>
      <c r="J241" s="63" t="n"/>
      <c r="K241" s="127" t="n"/>
      <c r="L241" s="128" t="str">
        <f>IF(A241="","",COUNTIFS(po_sup,A241,po_first,1))</f>
        <v/>
      </c>
      <c r="M241" s="70" t="str">
        <f>IF(A241="","",SUMIFS(po_ht,po_sup,A241,po_status,"&lt;&gt;Annulé"))</f>
        <v/>
      </c>
      <c r="N241" s="128" t="str">
        <f>IF(A241="","",COUNTIFS(po_sup,A241,po_status,"En retard"))</f>
        <v/>
      </c>
      <c r="O241" s="72" t="str">
        <f>IF(A241="","",IF(COUNTIFS(po_sup,A241,po_ontime,"&gt;=0")=0,"",COUNTIFS(po_sup,A241,po_ontime,1)/COUNTIFS(po_sup,A241,po_ontime,"&gt;=0")))</f>
        <v/>
      </c>
      <c r="P241" s="67" t="str">
        <f>IF(A241="","",IF(COUNTIF(sup_code,A241)&gt;1,"Code en double",IF(B241="","Raison sociale manquante",IF(AND(K241&lt;&gt;"",OR(NOT(ISNUMBER(K241)),N(K241)&lt;0)),"Délai invalide","OK"))))</f>
        <v/>
      </c>
      <c r="Q241" s="70" t="str">
        <f>IF(A241="","",SUMIFS(po_ht,po_sup,A241,po_status,"&lt;&gt;Annulé",po_date,"&gt;="&amp;p_y0,po_date,"&lt;"&amp;p_y1))</f>
        <v/>
      </c>
      <c r="R241" s="66" t="str">
        <f>IF(N(Q241)&gt;0,Q241-ROW()/10000000,"")</f>
        <v/>
      </c>
    </row>
    <row r="242">
      <c r="A242" s="65" t="n"/>
      <c r="B242" s="63" t="n"/>
      <c r="C242" s="63" t="n"/>
      <c r="D242" s="63" t="n"/>
      <c r="E242" s="65" t="n"/>
      <c r="F242" s="63" t="n"/>
      <c r="G242" s="63" t="n"/>
      <c r="H242" s="63" t="n"/>
      <c r="I242" s="63" t="n"/>
      <c r="J242" s="63" t="n"/>
      <c r="K242" s="127" t="n"/>
      <c r="L242" s="128" t="str">
        <f>IF(A242="","",COUNTIFS(po_sup,A242,po_first,1))</f>
        <v/>
      </c>
      <c r="M242" s="70" t="str">
        <f>IF(A242="","",SUMIFS(po_ht,po_sup,A242,po_status,"&lt;&gt;Annulé"))</f>
        <v/>
      </c>
      <c r="N242" s="128" t="str">
        <f>IF(A242="","",COUNTIFS(po_sup,A242,po_status,"En retard"))</f>
        <v/>
      </c>
      <c r="O242" s="72" t="str">
        <f>IF(A242="","",IF(COUNTIFS(po_sup,A242,po_ontime,"&gt;=0")=0,"",COUNTIFS(po_sup,A242,po_ontime,1)/COUNTIFS(po_sup,A242,po_ontime,"&gt;=0")))</f>
        <v/>
      </c>
      <c r="P242" s="67" t="str">
        <f>IF(A242="","",IF(COUNTIF(sup_code,A242)&gt;1,"Code en double",IF(B242="","Raison sociale manquante",IF(AND(K242&lt;&gt;"",OR(NOT(ISNUMBER(K242)),N(K242)&lt;0)),"Délai invalide","OK"))))</f>
        <v/>
      </c>
      <c r="Q242" s="70" t="str">
        <f>IF(A242="","",SUMIFS(po_ht,po_sup,A242,po_status,"&lt;&gt;Annulé",po_date,"&gt;="&amp;p_y0,po_date,"&lt;"&amp;p_y1))</f>
        <v/>
      </c>
      <c r="R242" s="66" t="str">
        <f>IF(N(Q242)&gt;0,Q242-ROW()/10000000,"")</f>
        <v/>
      </c>
    </row>
    <row r="243">
      <c r="A243" s="65" t="n"/>
      <c r="B243" s="63" t="n"/>
      <c r="C243" s="63" t="n"/>
      <c r="D243" s="63" t="n"/>
      <c r="E243" s="65" t="n"/>
      <c r="F243" s="63" t="n"/>
      <c r="G243" s="63" t="n"/>
      <c r="H243" s="63" t="n"/>
      <c r="I243" s="63" t="n"/>
      <c r="J243" s="63" t="n"/>
      <c r="K243" s="127" t="n"/>
      <c r="L243" s="128" t="str">
        <f>IF(A243="","",COUNTIFS(po_sup,A243,po_first,1))</f>
        <v/>
      </c>
      <c r="M243" s="70" t="str">
        <f>IF(A243="","",SUMIFS(po_ht,po_sup,A243,po_status,"&lt;&gt;Annulé"))</f>
        <v/>
      </c>
      <c r="N243" s="128" t="str">
        <f>IF(A243="","",COUNTIFS(po_sup,A243,po_status,"En retard"))</f>
        <v/>
      </c>
      <c r="O243" s="72" t="str">
        <f>IF(A243="","",IF(COUNTIFS(po_sup,A243,po_ontime,"&gt;=0")=0,"",COUNTIFS(po_sup,A243,po_ontime,1)/COUNTIFS(po_sup,A243,po_ontime,"&gt;=0")))</f>
        <v/>
      </c>
      <c r="P243" s="67" t="str">
        <f>IF(A243="","",IF(COUNTIF(sup_code,A243)&gt;1,"Code en double",IF(B243="","Raison sociale manquante",IF(AND(K243&lt;&gt;"",OR(NOT(ISNUMBER(K243)),N(K243)&lt;0)),"Délai invalide","OK"))))</f>
        <v/>
      </c>
      <c r="Q243" s="70" t="str">
        <f>IF(A243="","",SUMIFS(po_ht,po_sup,A243,po_status,"&lt;&gt;Annulé",po_date,"&gt;="&amp;p_y0,po_date,"&lt;"&amp;p_y1))</f>
        <v/>
      </c>
      <c r="R243" s="66" t="str">
        <f>IF(N(Q243)&gt;0,Q243-ROW()/10000000,"")</f>
        <v/>
      </c>
    </row>
    <row r="244">
      <c r="A244" s="65" t="n"/>
      <c r="B244" s="63" t="n"/>
      <c r="C244" s="63" t="n"/>
      <c r="D244" s="63" t="n"/>
      <c r="E244" s="65" t="n"/>
      <c r="F244" s="63" t="n"/>
      <c r="G244" s="63" t="n"/>
      <c r="H244" s="63" t="n"/>
      <c r="I244" s="63" t="n"/>
      <c r="J244" s="63" t="n"/>
      <c r="K244" s="127" t="n"/>
      <c r="L244" s="128" t="str">
        <f>IF(A244="","",COUNTIFS(po_sup,A244,po_first,1))</f>
        <v/>
      </c>
      <c r="M244" s="70" t="str">
        <f>IF(A244="","",SUMIFS(po_ht,po_sup,A244,po_status,"&lt;&gt;Annulé"))</f>
        <v/>
      </c>
      <c r="N244" s="128" t="str">
        <f>IF(A244="","",COUNTIFS(po_sup,A244,po_status,"En retard"))</f>
        <v/>
      </c>
      <c r="O244" s="72" t="str">
        <f>IF(A244="","",IF(COUNTIFS(po_sup,A244,po_ontime,"&gt;=0")=0,"",COUNTIFS(po_sup,A244,po_ontime,1)/COUNTIFS(po_sup,A244,po_ontime,"&gt;=0")))</f>
        <v/>
      </c>
      <c r="P244" s="67" t="str">
        <f>IF(A244="","",IF(COUNTIF(sup_code,A244)&gt;1,"Code en double",IF(B244="","Raison sociale manquante",IF(AND(K244&lt;&gt;"",OR(NOT(ISNUMBER(K244)),N(K244)&lt;0)),"Délai invalide","OK"))))</f>
        <v/>
      </c>
      <c r="Q244" s="70" t="str">
        <f>IF(A244="","",SUMIFS(po_ht,po_sup,A244,po_status,"&lt;&gt;Annulé",po_date,"&gt;="&amp;p_y0,po_date,"&lt;"&amp;p_y1))</f>
        <v/>
      </c>
      <c r="R244" s="66" t="str">
        <f>IF(N(Q244)&gt;0,Q244-ROW()/10000000,"")</f>
        <v/>
      </c>
    </row>
    <row r="245">
      <c r="A245" s="65" t="n"/>
      <c r="B245" s="63" t="n"/>
      <c r="C245" s="63" t="n"/>
      <c r="D245" s="63" t="n"/>
      <c r="E245" s="65" t="n"/>
      <c r="F245" s="63" t="n"/>
      <c r="G245" s="63" t="n"/>
      <c r="H245" s="63" t="n"/>
      <c r="I245" s="63" t="n"/>
      <c r="J245" s="63" t="n"/>
      <c r="K245" s="127" t="n"/>
      <c r="L245" s="128" t="str">
        <f>IF(A245="","",COUNTIFS(po_sup,A245,po_first,1))</f>
        <v/>
      </c>
      <c r="M245" s="70" t="str">
        <f>IF(A245="","",SUMIFS(po_ht,po_sup,A245,po_status,"&lt;&gt;Annulé"))</f>
        <v/>
      </c>
      <c r="N245" s="128" t="str">
        <f>IF(A245="","",COUNTIFS(po_sup,A245,po_status,"En retard"))</f>
        <v/>
      </c>
      <c r="O245" s="72" t="str">
        <f>IF(A245="","",IF(COUNTIFS(po_sup,A245,po_ontime,"&gt;=0")=0,"",COUNTIFS(po_sup,A245,po_ontime,1)/COUNTIFS(po_sup,A245,po_ontime,"&gt;=0")))</f>
        <v/>
      </c>
      <c r="P245" s="67" t="str">
        <f>IF(A245="","",IF(COUNTIF(sup_code,A245)&gt;1,"Code en double",IF(B245="","Raison sociale manquante",IF(AND(K245&lt;&gt;"",OR(NOT(ISNUMBER(K245)),N(K245)&lt;0)),"Délai invalide","OK"))))</f>
        <v/>
      </c>
      <c r="Q245" s="70" t="str">
        <f>IF(A245="","",SUMIFS(po_ht,po_sup,A245,po_status,"&lt;&gt;Annulé",po_date,"&gt;="&amp;p_y0,po_date,"&lt;"&amp;p_y1))</f>
        <v/>
      </c>
      <c r="R245" s="66" t="str">
        <f>IF(N(Q245)&gt;0,Q245-ROW()/10000000,"")</f>
        <v/>
      </c>
    </row>
    <row r="246">
      <c r="A246" s="65" t="n"/>
      <c r="B246" s="63" t="n"/>
      <c r="C246" s="63" t="n"/>
      <c r="D246" s="63" t="n"/>
      <c r="E246" s="65" t="n"/>
      <c r="F246" s="63" t="n"/>
      <c r="G246" s="63" t="n"/>
      <c r="H246" s="63" t="n"/>
      <c r="I246" s="63" t="n"/>
      <c r="J246" s="63" t="n"/>
      <c r="K246" s="127" t="n"/>
      <c r="L246" s="128" t="str">
        <f>IF(A246="","",COUNTIFS(po_sup,A246,po_first,1))</f>
        <v/>
      </c>
      <c r="M246" s="70" t="str">
        <f>IF(A246="","",SUMIFS(po_ht,po_sup,A246,po_status,"&lt;&gt;Annulé"))</f>
        <v/>
      </c>
      <c r="N246" s="128" t="str">
        <f>IF(A246="","",COUNTIFS(po_sup,A246,po_status,"En retard"))</f>
        <v/>
      </c>
      <c r="O246" s="72" t="str">
        <f>IF(A246="","",IF(COUNTIFS(po_sup,A246,po_ontime,"&gt;=0")=0,"",COUNTIFS(po_sup,A246,po_ontime,1)/COUNTIFS(po_sup,A246,po_ontime,"&gt;=0")))</f>
        <v/>
      </c>
      <c r="P246" s="67" t="str">
        <f>IF(A246="","",IF(COUNTIF(sup_code,A246)&gt;1,"Code en double",IF(B246="","Raison sociale manquante",IF(AND(K246&lt;&gt;"",OR(NOT(ISNUMBER(K246)),N(K246)&lt;0)),"Délai invalide","OK"))))</f>
        <v/>
      </c>
      <c r="Q246" s="70" t="str">
        <f>IF(A246="","",SUMIFS(po_ht,po_sup,A246,po_status,"&lt;&gt;Annulé",po_date,"&gt;="&amp;p_y0,po_date,"&lt;"&amp;p_y1))</f>
        <v/>
      </c>
      <c r="R246" s="66" t="str">
        <f>IF(N(Q246)&gt;0,Q246-ROW()/10000000,"")</f>
        <v/>
      </c>
    </row>
    <row r="247">
      <c r="A247" s="65" t="n"/>
      <c r="B247" s="63" t="n"/>
      <c r="C247" s="63" t="n"/>
      <c r="D247" s="63" t="n"/>
      <c r="E247" s="65" t="n"/>
      <c r="F247" s="63" t="n"/>
      <c r="G247" s="63" t="n"/>
      <c r="H247" s="63" t="n"/>
      <c r="I247" s="63" t="n"/>
      <c r="J247" s="63" t="n"/>
      <c r="K247" s="127" t="n"/>
      <c r="L247" s="128" t="str">
        <f>IF(A247="","",COUNTIFS(po_sup,A247,po_first,1))</f>
        <v/>
      </c>
      <c r="M247" s="70" t="str">
        <f>IF(A247="","",SUMIFS(po_ht,po_sup,A247,po_status,"&lt;&gt;Annulé"))</f>
        <v/>
      </c>
      <c r="N247" s="128" t="str">
        <f>IF(A247="","",COUNTIFS(po_sup,A247,po_status,"En retard"))</f>
        <v/>
      </c>
      <c r="O247" s="72" t="str">
        <f>IF(A247="","",IF(COUNTIFS(po_sup,A247,po_ontime,"&gt;=0")=0,"",COUNTIFS(po_sup,A247,po_ontime,1)/COUNTIFS(po_sup,A247,po_ontime,"&gt;=0")))</f>
        <v/>
      </c>
      <c r="P247" s="67" t="str">
        <f>IF(A247="","",IF(COUNTIF(sup_code,A247)&gt;1,"Code en double",IF(B247="","Raison sociale manquante",IF(AND(K247&lt;&gt;"",OR(NOT(ISNUMBER(K247)),N(K247)&lt;0)),"Délai invalide","OK"))))</f>
        <v/>
      </c>
      <c r="Q247" s="70" t="str">
        <f>IF(A247="","",SUMIFS(po_ht,po_sup,A247,po_status,"&lt;&gt;Annulé",po_date,"&gt;="&amp;p_y0,po_date,"&lt;"&amp;p_y1))</f>
        <v/>
      </c>
      <c r="R247" s="66" t="str">
        <f>IF(N(Q247)&gt;0,Q247-ROW()/10000000,"")</f>
        <v/>
      </c>
    </row>
    <row r="248">
      <c r="A248" s="65" t="n"/>
      <c r="B248" s="63" t="n"/>
      <c r="C248" s="63" t="n"/>
      <c r="D248" s="63" t="n"/>
      <c r="E248" s="65" t="n"/>
      <c r="F248" s="63" t="n"/>
      <c r="G248" s="63" t="n"/>
      <c r="H248" s="63" t="n"/>
      <c r="I248" s="63" t="n"/>
      <c r="J248" s="63" t="n"/>
      <c r="K248" s="127" t="n"/>
      <c r="L248" s="128" t="str">
        <f>IF(A248="","",COUNTIFS(po_sup,A248,po_first,1))</f>
        <v/>
      </c>
      <c r="M248" s="70" t="str">
        <f>IF(A248="","",SUMIFS(po_ht,po_sup,A248,po_status,"&lt;&gt;Annulé"))</f>
        <v/>
      </c>
      <c r="N248" s="128" t="str">
        <f>IF(A248="","",COUNTIFS(po_sup,A248,po_status,"En retard"))</f>
        <v/>
      </c>
      <c r="O248" s="72" t="str">
        <f>IF(A248="","",IF(COUNTIFS(po_sup,A248,po_ontime,"&gt;=0")=0,"",COUNTIFS(po_sup,A248,po_ontime,1)/COUNTIFS(po_sup,A248,po_ontime,"&gt;=0")))</f>
        <v/>
      </c>
      <c r="P248" s="67" t="str">
        <f>IF(A248="","",IF(COUNTIF(sup_code,A248)&gt;1,"Code en double",IF(B248="","Raison sociale manquante",IF(AND(K248&lt;&gt;"",OR(NOT(ISNUMBER(K248)),N(K248)&lt;0)),"Délai invalide","OK"))))</f>
        <v/>
      </c>
      <c r="Q248" s="70" t="str">
        <f>IF(A248="","",SUMIFS(po_ht,po_sup,A248,po_status,"&lt;&gt;Annulé",po_date,"&gt;="&amp;p_y0,po_date,"&lt;"&amp;p_y1))</f>
        <v/>
      </c>
      <c r="R248" s="66" t="str">
        <f>IF(N(Q248)&gt;0,Q248-ROW()/10000000,"")</f>
        <v/>
      </c>
    </row>
    <row r="249">
      <c r="A249" s="65" t="n"/>
      <c r="B249" s="63" t="n"/>
      <c r="C249" s="63" t="n"/>
      <c r="D249" s="63" t="n"/>
      <c r="E249" s="65" t="n"/>
      <c r="F249" s="63" t="n"/>
      <c r="G249" s="63" t="n"/>
      <c r="H249" s="63" t="n"/>
      <c r="I249" s="63" t="n"/>
      <c r="J249" s="63" t="n"/>
      <c r="K249" s="127" t="n"/>
      <c r="L249" s="128" t="str">
        <f>IF(A249="","",COUNTIFS(po_sup,A249,po_first,1))</f>
        <v/>
      </c>
      <c r="M249" s="70" t="str">
        <f>IF(A249="","",SUMIFS(po_ht,po_sup,A249,po_status,"&lt;&gt;Annulé"))</f>
        <v/>
      </c>
      <c r="N249" s="128" t="str">
        <f>IF(A249="","",COUNTIFS(po_sup,A249,po_status,"En retard"))</f>
        <v/>
      </c>
      <c r="O249" s="72" t="str">
        <f>IF(A249="","",IF(COUNTIFS(po_sup,A249,po_ontime,"&gt;=0")=0,"",COUNTIFS(po_sup,A249,po_ontime,1)/COUNTIFS(po_sup,A249,po_ontime,"&gt;=0")))</f>
        <v/>
      </c>
      <c r="P249" s="67" t="str">
        <f>IF(A249="","",IF(COUNTIF(sup_code,A249)&gt;1,"Code en double",IF(B249="","Raison sociale manquante",IF(AND(K249&lt;&gt;"",OR(NOT(ISNUMBER(K249)),N(K249)&lt;0)),"Délai invalide","OK"))))</f>
        <v/>
      </c>
      <c r="Q249" s="70" t="str">
        <f>IF(A249="","",SUMIFS(po_ht,po_sup,A249,po_status,"&lt;&gt;Annulé",po_date,"&gt;="&amp;p_y0,po_date,"&lt;"&amp;p_y1))</f>
        <v/>
      </c>
      <c r="R249" s="66" t="str">
        <f>IF(N(Q249)&gt;0,Q249-ROW()/10000000,"")</f>
        <v/>
      </c>
    </row>
    <row r="250">
      <c r="A250" s="65" t="n"/>
      <c r="B250" s="63" t="n"/>
      <c r="C250" s="63" t="n"/>
      <c r="D250" s="63" t="n"/>
      <c r="E250" s="65" t="n"/>
      <c r="F250" s="63" t="n"/>
      <c r="G250" s="63" t="n"/>
      <c r="H250" s="63" t="n"/>
      <c r="I250" s="63" t="n"/>
      <c r="J250" s="63" t="n"/>
      <c r="K250" s="127" t="n"/>
      <c r="L250" s="128" t="str">
        <f>IF(A250="","",COUNTIFS(po_sup,A250,po_first,1))</f>
        <v/>
      </c>
      <c r="M250" s="70" t="str">
        <f>IF(A250="","",SUMIFS(po_ht,po_sup,A250,po_status,"&lt;&gt;Annulé"))</f>
        <v/>
      </c>
      <c r="N250" s="128" t="str">
        <f>IF(A250="","",COUNTIFS(po_sup,A250,po_status,"En retard"))</f>
        <v/>
      </c>
      <c r="O250" s="72" t="str">
        <f>IF(A250="","",IF(COUNTIFS(po_sup,A250,po_ontime,"&gt;=0")=0,"",COUNTIFS(po_sup,A250,po_ontime,1)/COUNTIFS(po_sup,A250,po_ontime,"&gt;=0")))</f>
        <v/>
      </c>
      <c r="P250" s="67" t="str">
        <f>IF(A250="","",IF(COUNTIF(sup_code,A250)&gt;1,"Code en double",IF(B250="","Raison sociale manquante",IF(AND(K250&lt;&gt;"",OR(NOT(ISNUMBER(K250)),N(K250)&lt;0)),"Délai invalide","OK"))))</f>
        <v/>
      </c>
      <c r="Q250" s="70" t="str">
        <f>IF(A250="","",SUMIFS(po_ht,po_sup,A250,po_status,"&lt;&gt;Annulé",po_date,"&gt;="&amp;p_y0,po_date,"&lt;"&amp;p_y1))</f>
        <v/>
      </c>
      <c r="R250" s="66" t="str">
        <f>IF(N(Q250)&gt;0,Q250-ROW()/10000000,"")</f>
        <v/>
      </c>
    </row>
    <row r="251">
      <c r="A251" s="65" t="n"/>
      <c r="B251" s="63" t="n"/>
      <c r="C251" s="63" t="n"/>
      <c r="D251" s="63" t="n"/>
      <c r="E251" s="65" t="n"/>
      <c r="F251" s="63" t="n"/>
      <c r="G251" s="63" t="n"/>
      <c r="H251" s="63" t="n"/>
      <c r="I251" s="63" t="n"/>
      <c r="J251" s="63" t="n"/>
      <c r="K251" s="127" t="n"/>
      <c r="L251" s="128" t="str">
        <f>IF(A251="","",COUNTIFS(po_sup,A251,po_first,1))</f>
        <v/>
      </c>
      <c r="M251" s="70" t="str">
        <f>IF(A251="","",SUMIFS(po_ht,po_sup,A251,po_status,"&lt;&gt;Annulé"))</f>
        <v/>
      </c>
      <c r="N251" s="128" t="str">
        <f>IF(A251="","",COUNTIFS(po_sup,A251,po_status,"En retard"))</f>
        <v/>
      </c>
      <c r="O251" s="72" t="str">
        <f>IF(A251="","",IF(COUNTIFS(po_sup,A251,po_ontime,"&gt;=0")=0,"",COUNTIFS(po_sup,A251,po_ontime,1)/COUNTIFS(po_sup,A251,po_ontime,"&gt;=0")))</f>
        <v/>
      </c>
      <c r="P251" s="67" t="str">
        <f>IF(A251="","",IF(COUNTIF(sup_code,A251)&gt;1,"Code en double",IF(B251="","Raison sociale manquante",IF(AND(K251&lt;&gt;"",OR(NOT(ISNUMBER(K251)),N(K251)&lt;0)),"Délai invalide","OK"))))</f>
        <v/>
      </c>
      <c r="Q251" s="70" t="str">
        <f>IF(A251="","",SUMIFS(po_ht,po_sup,A251,po_status,"&lt;&gt;Annulé",po_date,"&gt;="&amp;p_y0,po_date,"&lt;"&amp;p_y1))</f>
        <v/>
      </c>
      <c r="R251" s="66" t="str">
        <f>IF(N(Q251)&gt;0,Q251-ROW()/10000000,"")</f>
        <v/>
      </c>
    </row>
    <row r="252">
      <c r="A252" s="65" t="n"/>
      <c r="B252" s="63" t="n"/>
      <c r="C252" s="63" t="n"/>
      <c r="D252" s="63" t="n"/>
      <c r="E252" s="65" t="n"/>
      <c r="F252" s="63" t="n"/>
      <c r="G252" s="63" t="n"/>
      <c r="H252" s="63" t="n"/>
      <c r="I252" s="63" t="n"/>
      <c r="J252" s="63" t="n"/>
      <c r="K252" s="127" t="n"/>
      <c r="L252" s="128" t="str">
        <f>IF(A252="","",COUNTIFS(po_sup,A252,po_first,1))</f>
        <v/>
      </c>
      <c r="M252" s="70" t="str">
        <f>IF(A252="","",SUMIFS(po_ht,po_sup,A252,po_status,"&lt;&gt;Annulé"))</f>
        <v/>
      </c>
      <c r="N252" s="128" t="str">
        <f>IF(A252="","",COUNTIFS(po_sup,A252,po_status,"En retard"))</f>
        <v/>
      </c>
      <c r="O252" s="72" t="str">
        <f>IF(A252="","",IF(COUNTIFS(po_sup,A252,po_ontime,"&gt;=0")=0,"",COUNTIFS(po_sup,A252,po_ontime,1)/COUNTIFS(po_sup,A252,po_ontime,"&gt;=0")))</f>
        <v/>
      </c>
      <c r="P252" s="67" t="str">
        <f>IF(A252="","",IF(COUNTIF(sup_code,A252)&gt;1,"Code en double",IF(B252="","Raison sociale manquante",IF(AND(K252&lt;&gt;"",OR(NOT(ISNUMBER(K252)),N(K252)&lt;0)),"Délai invalide","OK"))))</f>
        <v/>
      </c>
      <c r="Q252" s="70" t="str">
        <f>IF(A252="","",SUMIFS(po_ht,po_sup,A252,po_status,"&lt;&gt;Annulé",po_date,"&gt;="&amp;p_y0,po_date,"&lt;"&amp;p_y1))</f>
        <v/>
      </c>
      <c r="R252" s="66" t="str">
        <f>IF(N(Q252)&gt;0,Q252-ROW()/10000000,"")</f>
        <v/>
      </c>
    </row>
    <row r="253">
      <c r="A253" s="65" t="n"/>
      <c r="B253" s="63" t="n"/>
      <c r="C253" s="63" t="n"/>
      <c r="D253" s="63" t="n"/>
      <c r="E253" s="65" t="n"/>
      <c r="F253" s="63" t="n"/>
      <c r="G253" s="63" t="n"/>
      <c r="H253" s="63" t="n"/>
      <c r="I253" s="63" t="n"/>
      <c r="J253" s="63" t="n"/>
      <c r="K253" s="127" t="n"/>
      <c r="L253" s="128" t="str">
        <f>IF(A253="","",COUNTIFS(po_sup,A253,po_first,1))</f>
        <v/>
      </c>
      <c r="M253" s="70" t="str">
        <f>IF(A253="","",SUMIFS(po_ht,po_sup,A253,po_status,"&lt;&gt;Annulé"))</f>
        <v/>
      </c>
      <c r="N253" s="128" t="str">
        <f>IF(A253="","",COUNTIFS(po_sup,A253,po_status,"En retard"))</f>
        <v/>
      </c>
      <c r="O253" s="72" t="str">
        <f>IF(A253="","",IF(COUNTIFS(po_sup,A253,po_ontime,"&gt;=0")=0,"",COUNTIFS(po_sup,A253,po_ontime,1)/COUNTIFS(po_sup,A253,po_ontime,"&gt;=0")))</f>
        <v/>
      </c>
      <c r="P253" s="67" t="str">
        <f>IF(A253="","",IF(COUNTIF(sup_code,A253)&gt;1,"Code en double",IF(B253="","Raison sociale manquante",IF(AND(K253&lt;&gt;"",OR(NOT(ISNUMBER(K253)),N(K253)&lt;0)),"Délai invalide","OK"))))</f>
        <v/>
      </c>
      <c r="Q253" s="70" t="str">
        <f>IF(A253="","",SUMIFS(po_ht,po_sup,A253,po_status,"&lt;&gt;Annulé",po_date,"&gt;="&amp;p_y0,po_date,"&lt;"&amp;p_y1))</f>
        <v/>
      </c>
      <c r="R253" s="66" t="str">
        <f>IF(N(Q253)&gt;0,Q253-ROW()/10000000,"")</f>
        <v/>
      </c>
    </row>
    <row r="254">
      <c r="A254" s="65" t="n"/>
      <c r="B254" s="63" t="n"/>
      <c r="C254" s="63" t="n"/>
      <c r="D254" s="63" t="n"/>
      <c r="E254" s="65" t="n"/>
      <c r="F254" s="63" t="n"/>
      <c r="G254" s="63" t="n"/>
      <c r="H254" s="63" t="n"/>
      <c r="I254" s="63" t="n"/>
      <c r="J254" s="63" t="n"/>
      <c r="K254" s="127" t="n"/>
      <c r="L254" s="128" t="str">
        <f>IF(A254="","",COUNTIFS(po_sup,A254,po_first,1))</f>
        <v/>
      </c>
      <c r="M254" s="70" t="str">
        <f>IF(A254="","",SUMIFS(po_ht,po_sup,A254,po_status,"&lt;&gt;Annulé"))</f>
        <v/>
      </c>
      <c r="N254" s="128" t="str">
        <f>IF(A254="","",COUNTIFS(po_sup,A254,po_status,"En retard"))</f>
        <v/>
      </c>
      <c r="O254" s="72" t="str">
        <f>IF(A254="","",IF(COUNTIFS(po_sup,A254,po_ontime,"&gt;=0")=0,"",COUNTIFS(po_sup,A254,po_ontime,1)/COUNTIFS(po_sup,A254,po_ontime,"&gt;=0")))</f>
        <v/>
      </c>
      <c r="P254" s="67" t="str">
        <f>IF(A254="","",IF(COUNTIF(sup_code,A254)&gt;1,"Code en double",IF(B254="","Raison sociale manquante",IF(AND(K254&lt;&gt;"",OR(NOT(ISNUMBER(K254)),N(K254)&lt;0)),"Délai invalide","OK"))))</f>
        <v/>
      </c>
      <c r="Q254" s="70" t="str">
        <f>IF(A254="","",SUMIFS(po_ht,po_sup,A254,po_status,"&lt;&gt;Annulé",po_date,"&gt;="&amp;p_y0,po_date,"&lt;"&amp;p_y1))</f>
        <v/>
      </c>
      <c r="R254" s="66" t="str">
        <f>IF(N(Q254)&gt;0,Q254-ROW()/10000000,"")</f>
        <v/>
      </c>
    </row>
    <row r="255">
      <c r="A255" s="65" t="n"/>
      <c r="B255" s="63" t="n"/>
      <c r="C255" s="63" t="n"/>
      <c r="D255" s="63" t="n"/>
      <c r="E255" s="65" t="n"/>
      <c r="F255" s="63" t="n"/>
      <c r="G255" s="63" t="n"/>
      <c r="H255" s="63" t="n"/>
      <c r="I255" s="63" t="n"/>
      <c r="J255" s="63" t="n"/>
      <c r="K255" s="127" t="n"/>
      <c r="L255" s="128" t="str">
        <f>IF(A255="","",COUNTIFS(po_sup,A255,po_first,1))</f>
        <v/>
      </c>
      <c r="M255" s="70" t="str">
        <f>IF(A255="","",SUMIFS(po_ht,po_sup,A255,po_status,"&lt;&gt;Annulé"))</f>
        <v/>
      </c>
      <c r="N255" s="128" t="str">
        <f>IF(A255="","",COUNTIFS(po_sup,A255,po_status,"En retard"))</f>
        <v/>
      </c>
      <c r="O255" s="72" t="str">
        <f>IF(A255="","",IF(COUNTIFS(po_sup,A255,po_ontime,"&gt;=0")=0,"",COUNTIFS(po_sup,A255,po_ontime,1)/COUNTIFS(po_sup,A255,po_ontime,"&gt;=0")))</f>
        <v/>
      </c>
      <c r="P255" s="67" t="str">
        <f>IF(A255="","",IF(COUNTIF(sup_code,A255)&gt;1,"Code en double",IF(B255="","Raison sociale manquante",IF(AND(K255&lt;&gt;"",OR(NOT(ISNUMBER(K255)),N(K255)&lt;0)),"Délai invalide","OK"))))</f>
        <v/>
      </c>
      <c r="Q255" s="70" t="str">
        <f>IF(A255="","",SUMIFS(po_ht,po_sup,A255,po_status,"&lt;&gt;Annulé",po_date,"&gt;="&amp;p_y0,po_date,"&lt;"&amp;p_y1))</f>
        <v/>
      </c>
      <c r="R255" s="66" t="str">
        <f>IF(N(Q255)&gt;0,Q255-ROW()/10000000,"")</f>
        <v/>
      </c>
    </row>
    <row r="256">
      <c r="A256" s="65" t="n"/>
      <c r="B256" s="63" t="n"/>
      <c r="C256" s="63" t="n"/>
      <c r="D256" s="63" t="n"/>
      <c r="E256" s="65" t="n"/>
      <c r="F256" s="63" t="n"/>
      <c r="G256" s="63" t="n"/>
      <c r="H256" s="63" t="n"/>
      <c r="I256" s="63" t="n"/>
      <c r="J256" s="63" t="n"/>
      <c r="K256" s="127" t="n"/>
      <c r="L256" s="128" t="str">
        <f>IF(A256="","",COUNTIFS(po_sup,A256,po_first,1))</f>
        <v/>
      </c>
      <c r="M256" s="70" t="str">
        <f>IF(A256="","",SUMIFS(po_ht,po_sup,A256,po_status,"&lt;&gt;Annulé"))</f>
        <v/>
      </c>
      <c r="N256" s="128" t="str">
        <f>IF(A256="","",COUNTIFS(po_sup,A256,po_status,"En retard"))</f>
        <v/>
      </c>
      <c r="O256" s="72" t="str">
        <f>IF(A256="","",IF(COUNTIFS(po_sup,A256,po_ontime,"&gt;=0")=0,"",COUNTIFS(po_sup,A256,po_ontime,1)/COUNTIFS(po_sup,A256,po_ontime,"&gt;=0")))</f>
        <v/>
      </c>
      <c r="P256" s="67" t="str">
        <f>IF(A256="","",IF(COUNTIF(sup_code,A256)&gt;1,"Code en double",IF(B256="","Raison sociale manquante",IF(AND(K256&lt;&gt;"",OR(NOT(ISNUMBER(K256)),N(K256)&lt;0)),"Délai invalide","OK"))))</f>
        <v/>
      </c>
      <c r="Q256" s="70" t="str">
        <f>IF(A256="","",SUMIFS(po_ht,po_sup,A256,po_status,"&lt;&gt;Annulé",po_date,"&gt;="&amp;p_y0,po_date,"&lt;"&amp;p_y1))</f>
        <v/>
      </c>
      <c r="R256" s="66" t="str">
        <f>IF(N(Q256)&gt;0,Q256-ROW()/10000000,"")</f>
        <v/>
      </c>
    </row>
    <row r="257">
      <c r="A257" s="65" t="n"/>
      <c r="B257" s="63" t="n"/>
      <c r="C257" s="63" t="n"/>
      <c r="D257" s="63" t="n"/>
      <c r="E257" s="65" t="n"/>
      <c r="F257" s="63" t="n"/>
      <c r="G257" s="63" t="n"/>
      <c r="H257" s="63" t="n"/>
      <c r="I257" s="63" t="n"/>
      <c r="J257" s="63" t="n"/>
      <c r="K257" s="127" t="n"/>
      <c r="L257" s="128" t="str">
        <f>IF(A257="","",COUNTIFS(po_sup,A257,po_first,1))</f>
        <v/>
      </c>
      <c r="M257" s="70" t="str">
        <f>IF(A257="","",SUMIFS(po_ht,po_sup,A257,po_status,"&lt;&gt;Annulé"))</f>
        <v/>
      </c>
      <c r="N257" s="128" t="str">
        <f>IF(A257="","",COUNTIFS(po_sup,A257,po_status,"En retard"))</f>
        <v/>
      </c>
      <c r="O257" s="72" t="str">
        <f>IF(A257="","",IF(COUNTIFS(po_sup,A257,po_ontime,"&gt;=0")=0,"",COUNTIFS(po_sup,A257,po_ontime,1)/COUNTIFS(po_sup,A257,po_ontime,"&gt;=0")))</f>
        <v/>
      </c>
      <c r="P257" s="67" t="str">
        <f>IF(A257="","",IF(COUNTIF(sup_code,A257)&gt;1,"Code en double",IF(B257="","Raison sociale manquante",IF(AND(K257&lt;&gt;"",OR(NOT(ISNUMBER(K257)),N(K257)&lt;0)),"Délai invalide","OK"))))</f>
        <v/>
      </c>
      <c r="Q257" s="70" t="str">
        <f>IF(A257="","",SUMIFS(po_ht,po_sup,A257,po_status,"&lt;&gt;Annulé",po_date,"&gt;="&amp;p_y0,po_date,"&lt;"&amp;p_y1))</f>
        <v/>
      </c>
      <c r="R257" s="66" t="str">
        <f>IF(N(Q257)&gt;0,Q257-ROW()/10000000,"")</f>
        <v/>
      </c>
    </row>
    <row r="258">
      <c r="A258" s="65" t="n"/>
      <c r="B258" s="63" t="n"/>
      <c r="C258" s="63" t="n"/>
      <c r="D258" s="63" t="n"/>
      <c r="E258" s="65" t="n"/>
      <c r="F258" s="63" t="n"/>
      <c r="G258" s="63" t="n"/>
      <c r="H258" s="63" t="n"/>
      <c r="I258" s="63" t="n"/>
      <c r="J258" s="63" t="n"/>
      <c r="K258" s="127" t="n"/>
      <c r="L258" s="128" t="str">
        <f>IF(A258="","",COUNTIFS(po_sup,A258,po_first,1))</f>
        <v/>
      </c>
      <c r="M258" s="70" t="str">
        <f>IF(A258="","",SUMIFS(po_ht,po_sup,A258,po_status,"&lt;&gt;Annulé"))</f>
        <v/>
      </c>
      <c r="N258" s="128" t="str">
        <f>IF(A258="","",COUNTIFS(po_sup,A258,po_status,"En retard"))</f>
        <v/>
      </c>
      <c r="O258" s="72" t="str">
        <f>IF(A258="","",IF(COUNTIFS(po_sup,A258,po_ontime,"&gt;=0")=0,"",COUNTIFS(po_sup,A258,po_ontime,1)/COUNTIFS(po_sup,A258,po_ontime,"&gt;=0")))</f>
        <v/>
      </c>
      <c r="P258" s="67" t="str">
        <f>IF(A258="","",IF(COUNTIF(sup_code,A258)&gt;1,"Code en double",IF(B258="","Raison sociale manquante",IF(AND(K258&lt;&gt;"",OR(NOT(ISNUMBER(K258)),N(K258)&lt;0)),"Délai invalide","OK"))))</f>
        <v/>
      </c>
      <c r="Q258" s="70" t="str">
        <f>IF(A258="","",SUMIFS(po_ht,po_sup,A258,po_status,"&lt;&gt;Annulé",po_date,"&gt;="&amp;p_y0,po_date,"&lt;"&amp;p_y1))</f>
        <v/>
      </c>
      <c r="R258" s="66" t="str">
        <f>IF(N(Q258)&gt;0,Q258-ROW()/10000000,"")</f>
        <v/>
      </c>
    </row>
    <row r="259">
      <c r="A259" s="65" t="n"/>
      <c r="B259" s="63" t="n"/>
      <c r="C259" s="63" t="n"/>
      <c r="D259" s="63" t="n"/>
      <c r="E259" s="65" t="n"/>
      <c r="F259" s="63" t="n"/>
      <c r="G259" s="63" t="n"/>
      <c r="H259" s="63" t="n"/>
      <c r="I259" s="63" t="n"/>
      <c r="J259" s="63" t="n"/>
      <c r="K259" s="127" t="n"/>
      <c r="L259" s="128" t="str">
        <f>IF(A259="","",COUNTIFS(po_sup,A259,po_first,1))</f>
        <v/>
      </c>
      <c r="M259" s="70" t="str">
        <f>IF(A259="","",SUMIFS(po_ht,po_sup,A259,po_status,"&lt;&gt;Annulé"))</f>
        <v/>
      </c>
      <c r="N259" s="128" t="str">
        <f>IF(A259="","",COUNTIFS(po_sup,A259,po_status,"En retard"))</f>
        <v/>
      </c>
      <c r="O259" s="72" t="str">
        <f>IF(A259="","",IF(COUNTIFS(po_sup,A259,po_ontime,"&gt;=0")=0,"",COUNTIFS(po_sup,A259,po_ontime,1)/COUNTIFS(po_sup,A259,po_ontime,"&gt;=0")))</f>
        <v/>
      </c>
      <c r="P259" s="67" t="str">
        <f>IF(A259="","",IF(COUNTIF(sup_code,A259)&gt;1,"Code en double",IF(B259="","Raison sociale manquante",IF(AND(K259&lt;&gt;"",OR(NOT(ISNUMBER(K259)),N(K259)&lt;0)),"Délai invalide","OK"))))</f>
        <v/>
      </c>
      <c r="Q259" s="70" t="str">
        <f>IF(A259="","",SUMIFS(po_ht,po_sup,A259,po_status,"&lt;&gt;Annulé",po_date,"&gt;="&amp;p_y0,po_date,"&lt;"&amp;p_y1))</f>
        <v/>
      </c>
      <c r="R259" s="66" t="str">
        <f>IF(N(Q259)&gt;0,Q259-ROW()/10000000,"")</f>
        <v/>
      </c>
    </row>
    <row r="260">
      <c r="A260" s="65" t="n"/>
      <c r="B260" s="63" t="n"/>
      <c r="C260" s="63" t="n"/>
      <c r="D260" s="63" t="n"/>
      <c r="E260" s="65" t="n"/>
      <c r="F260" s="63" t="n"/>
      <c r="G260" s="63" t="n"/>
      <c r="H260" s="63" t="n"/>
      <c r="I260" s="63" t="n"/>
      <c r="J260" s="63" t="n"/>
      <c r="K260" s="127" t="n"/>
      <c r="L260" s="128" t="str">
        <f>IF(A260="","",COUNTIFS(po_sup,A260,po_first,1))</f>
        <v/>
      </c>
      <c r="M260" s="70" t="str">
        <f>IF(A260="","",SUMIFS(po_ht,po_sup,A260,po_status,"&lt;&gt;Annulé"))</f>
        <v/>
      </c>
      <c r="N260" s="128" t="str">
        <f>IF(A260="","",COUNTIFS(po_sup,A260,po_status,"En retard"))</f>
        <v/>
      </c>
      <c r="O260" s="72" t="str">
        <f>IF(A260="","",IF(COUNTIFS(po_sup,A260,po_ontime,"&gt;=0")=0,"",COUNTIFS(po_sup,A260,po_ontime,1)/COUNTIFS(po_sup,A260,po_ontime,"&gt;=0")))</f>
        <v/>
      </c>
      <c r="P260" s="67" t="str">
        <f>IF(A260="","",IF(COUNTIF(sup_code,A260)&gt;1,"Code en double",IF(B260="","Raison sociale manquante",IF(AND(K260&lt;&gt;"",OR(NOT(ISNUMBER(K260)),N(K260)&lt;0)),"Délai invalide","OK"))))</f>
        <v/>
      </c>
      <c r="Q260" s="70" t="str">
        <f>IF(A260="","",SUMIFS(po_ht,po_sup,A260,po_status,"&lt;&gt;Annulé",po_date,"&gt;="&amp;p_y0,po_date,"&lt;"&amp;p_y1))</f>
        <v/>
      </c>
      <c r="R260" s="66" t="str">
        <f>IF(N(Q260)&gt;0,Q260-ROW()/10000000,"")</f>
        <v/>
      </c>
    </row>
    <row r="261">
      <c r="A261" s="65" t="n"/>
      <c r="B261" s="63" t="n"/>
      <c r="C261" s="63" t="n"/>
      <c r="D261" s="63" t="n"/>
      <c r="E261" s="65" t="n"/>
      <c r="F261" s="63" t="n"/>
      <c r="G261" s="63" t="n"/>
      <c r="H261" s="63" t="n"/>
      <c r="I261" s="63" t="n"/>
      <c r="J261" s="63" t="n"/>
      <c r="K261" s="127" t="n"/>
      <c r="L261" s="128" t="str">
        <f>IF(A261="","",COUNTIFS(po_sup,A261,po_first,1))</f>
        <v/>
      </c>
      <c r="M261" s="70" t="str">
        <f>IF(A261="","",SUMIFS(po_ht,po_sup,A261,po_status,"&lt;&gt;Annulé"))</f>
        <v/>
      </c>
      <c r="N261" s="128" t="str">
        <f>IF(A261="","",COUNTIFS(po_sup,A261,po_status,"En retard"))</f>
        <v/>
      </c>
      <c r="O261" s="72" t="str">
        <f>IF(A261="","",IF(COUNTIFS(po_sup,A261,po_ontime,"&gt;=0")=0,"",COUNTIFS(po_sup,A261,po_ontime,1)/COUNTIFS(po_sup,A261,po_ontime,"&gt;=0")))</f>
        <v/>
      </c>
      <c r="P261" s="67" t="str">
        <f>IF(A261="","",IF(COUNTIF(sup_code,A261)&gt;1,"Code en double",IF(B261="","Raison sociale manquante",IF(AND(K261&lt;&gt;"",OR(NOT(ISNUMBER(K261)),N(K261)&lt;0)),"Délai invalide","OK"))))</f>
        <v/>
      </c>
      <c r="Q261" s="70" t="str">
        <f>IF(A261="","",SUMIFS(po_ht,po_sup,A261,po_status,"&lt;&gt;Annulé",po_date,"&gt;="&amp;p_y0,po_date,"&lt;"&amp;p_y1))</f>
        <v/>
      </c>
      <c r="R261" s="66" t="str">
        <f>IF(N(Q261)&gt;0,Q261-ROW()/10000000,"")</f>
        <v/>
      </c>
    </row>
    <row r="262">
      <c r="A262" s="65" t="n"/>
      <c r="B262" s="63" t="n"/>
      <c r="C262" s="63" t="n"/>
      <c r="D262" s="63" t="n"/>
      <c r="E262" s="65" t="n"/>
      <c r="F262" s="63" t="n"/>
      <c r="G262" s="63" t="n"/>
      <c r="H262" s="63" t="n"/>
      <c r="I262" s="63" t="n"/>
      <c r="J262" s="63" t="n"/>
      <c r="K262" s="127" t="n"/>
      <c r="L262" s="128" t="str">
        <f>IF(A262="","",COUNTIFS(po_sup,A262,po_first,1))</f>
        <v/>
      </c>
      <c r="M262" s="70" t="str">
        <f>IF(A262="","",SUMIFS(po_ht,po_sup,A262,po_status,"&lt;&gt;Annulé"))</f>
        <v/>
      </c>
      <c r="N262" s="128" t="str">
        <f>IF(A262="","",COUNTIFS(po_sup,A262,po_status,"En retard"))</f>
        <v/>
      </c>
      <c r="O262" s="72" t="str">
        <f>IF(A262="","",IF(COUNTIFS(po_sup,A262,po_ontime,"&gt;=0")=0,"",COUNTIFS(po_sup,A262,po_ontime,1)/COUNTIFS(po_sup,A262,po_ontime,"&gt;=0")))</f>
        <v/>
      </c>
      <c r="P262" s="67" t="str">
        <f>IF(A262="","",IF(COUNTIF(sup_code,A262)&gt;1,"Code en double",IF(B262="","Raison sociale manquante",IF(AND(K262&lt;&gt;"",OR(NOT(ISNUMBER(K262)),N(K262)&lt;0)),"Délai invalide","OK"))))</f>
        <v/>
      </c>
      <c r="Q262" s="70" t="str">
        <f>IF(A262="","",SUMIFS(po_ht,po_sup,A262,po_status,"&lt;&gt;Annulé",po_date,"&gt;="&amp;p_y0,po_date,"&lt;"&amp;p_y1))</f>
        <v/>
      </c>
      <c r="R262" s="66" t="str">
        <f>IF(N(Q262)&gt;0,Q262-ROW()/10000000,"")</f>
        <v/>
      </c>
    </row>
    <row r="263">
      <c r="A263" s="65" t="n"/>
      <c r="B263" s="63" t="n"/>
      <c r="C263" s="63" t="n"/>
      <c r="D263" s="63" t="n"/>
      <c r="E263" s="65" t="n"/>
      <c r="F263" s="63" t="n"/>
      <c r="G263" s="63" t="n"/>
      <c r="H263" s="63" t="n"/>
      <c r="I263" s="63" t="n"/>
      <c r="J263" s="63" t="n"/>
      <c r="K263" s="127" t="n"/>
      <c r="L263" s="128" t="str">
        <f>IF(A263="","",COUNTIFS(po_sup,A263,po_first,1))</f>
        <v/>
      </c>
      <c r="M263" s="70" t="str">
        <f>IF(A263="","",SUMIFS(po_ht,po_sup,A263,po_status,"&lt;&gt;Annulé"))</f>
        <v/>
      </c>
      <c r="N263" s="128" t="str">
        <f>IF(A263="","",COUNTIFS(po_sup,A263,po_status,"En retard"))</f>
        <v/>
      </c>
      <c r="O263" s="72" t="str">
        <f>IF(A263="","",IF(COUNTIFS(po_sup,A263,po_ontime,"&gt;=0")=0,"",COUNTIFS(po_sup,A263,po_ontime,1)/COUNTIFS(po_sup,A263,po_ontime,"&gt;=0")))</f>
        <v/>
      </c>
      <c r="P263" s="67" t="str">
        <f>IF(A263="","",IF(COUNTIF(sup_code,A263)&gt;1,"Code en double",IF(B263="","Raison sociale manquante",IF(AND(K263&lt;&gt;"",OR(NOT(ISNUMBER(K263)),N(K263)&lt;0)),"Délai invalide","OK"))))</f>
        <v/>
      </c>
      <c r="Q263" s="70" t="str">
        <f>IF(A263="","",SUMIFS(po_ht,po_sup,A263,po_status,"&lt;&gt;Annulé",po_date,"&gt;="&amp;p_y0,po_date,"&lt;"&amp;p_y1))</f>
        <v/>
      </c>
      <c r="R263" s="66" t="str">
        <f>IF(N(Q263)&gt;0,Q263-ROW()/10000000,"")</f>
        <v/>
      </c>
    </row>
    <row r="264">
      <c r="A264" s="65" t="n"/>
      <c r="B264" s="63" t="n"/>
      <c r="C264" s="63" t="n"/>
      <c r="D264" s="63" t="n"/>
      <c r="E264" s="65" t="n"/>
      <c r="F264" s="63" t="n"/>
      <c r="G264" s="63" t="n"/>
      <c r="H264" s="63" t="n"/>
      <c r="I264" s="63" t="n"/>
      <c r="J264" s="63" t="n"/>
      <c r="K264" s="127" t="n"/>
      <c r="L264" s="128" t="str">
        <f>IF(A264="","",COUNTIFS(po_sup,A264,po_first,1))</f>
        <v/>
      </c>
      <c r="M264" s="70" t="str">
        <f>IF(A264="","",SUMIFS(po_ht,po_sup,A264,po_status,"&lt;&gt;Annulé"))</f>
        <v/>
      </c>
      <c r="N264" s="128" t="str">
        <f>IF(A264="","",COUNTIFS(po_sup,A264,po_status,"En retard"))</f>
        <v/>
      </c>
      <c r="O264" s="72" t="str">
        <f>IF(A264="","",IF(COUNTIFS(po_sup,A264,po_ontime,"&gt;=0")=0,"",COUNTIFS(po_sup,A264,po_ontime,1)/COUNTIFS(po_sup,A264,po_ontime,"&gt;=0")))</f>
        <v/>
      </c>
      <c r="P264" s="67" t="str">
        <f>IF(A264="","",IF(COUNTIF(sup_code,A264)&gt;1,"Code en double",IF(B264="","Raison sociale manquante",IF(AND(K264&lt;&gt;"",OR(NOT(ISNUMBER(K264)),N(K264)&lt;0)),"Délai invalide","OK"))))</f>
        <v/>
      </c>
      <c r="Q264" s="70" t="str">
        <f>IF(A264="","",SUMIFS(po_ht,po_sup,A264,po_status,"&lt;&gt;Annulé",po_date,"&gt;="&amp;p_y0,po_date,"&lt;"&amp;p_y1))</f>
        <v/>
      </c>
      <c r="R264" s="66" t="str">
        <f>IF(N(Q264)&gt;0,Q264-ROW()/10000000,"")</f>
        <v/>
      </c>
    </row>
    <row r="265">
      <c r="A265" s="65" t="n"/>
      <c r="B265" s="63" t="n"/>
      <c r="C265" s="63" t="n"/>
      <c r="D265" s="63" t="n"/>
      <c r="E265" s="65" t="n"/>
      <c r="F265" s="63" t="n"/>
      <c r="G265" s="63" t="n"/>
      <c r="H265" s="63" t="n"/>
      <c r="I265" s="63" t="n"/>
      <c r="J265" s="63" t="n"/>
      <c r="K265" s="127" t="n"/>
      <c r="L265" s="128" t="str">
        <f>IF(A265="","",COUNTIFS(po_sup,A265,po_first,1))</f>
        <v/>
      </c>
      <c r="M265" s="70" t="str">
        <f>IF(A265="","",SUMIFS(po_ht,po_sup,A265,po_status,"&lt;&gt;Annulé"))</f>
        <v/>
      </c>
      <c r="N265" s="128" t="str">
        <f>IF(A265="","",COUNTIFS(po_sup,A265,po_status,"En retard"))</f>
        <v/>
      </c>
      <c r="O265" s="72" t="str">
        <f>IF(A265="","",IF(COUNTIFS(po_sup,A265,po_ontime,"&gt;=0")=0,"",COUNTIFS(po_sup,A265,po_ontime,1)/COUNTIFS(po_sup,A265,po_ontime,"&gt;=0")))</f>
        <v/>
      </c>
      <c r="P265" s="67" t="str">
        <f>IF(A265="","",IF(COUNTIF(sup_code,A265)&gt;1,"Code en double",IF(B265="","Raison sociale manquante",IF(AND(K265&lt;&gt;"",OR(NOT(ISNUMBER(K265)),N(K265)&lt;0)),"Délai invalide","OK"))))</f>
        <v/>
      </c>
      <c r="Q265" s="70" t="str">
        <f>IF(A265="","",SUMIFS(po_ht,po_sup,A265,po_status,"&lt;&gt;Annulé",po_date,"&gt;="&amp;p_y0,po_date,"&lt;"&amp;p_y1))</f>
        <v/>
      </c>
      <c r="R265" s="66" t="str">
        <f>IF(N(Q265)&gt;0,Q265-ROW()/10000000,"")</f>
        <v/>
      </c>
    </row>
    <row r="266">
      <c r="A266" s="65" t="n"/>
      <c r="B266" s="63" t="n"/>
      <c r="C266" s="63" t="n"/>
      <c r="D266" s="63" t="n"/>
      <c r="E266" s="65" t="n"/>
      <c r="F266" s="63" t="n"/>
      <c r="G266" s="63" t="n"/>
      <c r="H266" s="63" t="n"/>
      <c r="I266" s="63" t="n"/>
      <c r="J266" s="63" t="n"/>
      <c r="K266" s="127" t="n"/>
      <c r="L266" s="128" t="str">
        <f>IF(A266="","",COUNTIFS(po_sup,A266,po_first,1))</f>
        <v/>
      </c>
      <c r="M266" s="70" t="str">
        <f>IF(A266="","",SUMIFS(po_ht,po_sup,A266,po_status,"&lt;&gt;Annulé"))</f>
        <v/>
      </c>
      <c r="N266" s="128" t="str">
        <f>IF(A266="","",COUNTIFS(po_sup,A266,po_status,"En retard"))</f>
        <v/>
      </c>
      <c r="O266" s="72" t="str">
        <f>IF(A266="","",IF(COUNTIFS(po_sup,A266,po_ontime,"&gt;=0")=0,"",COUNTIFS(po_sup,A266,po_ontime,1)/COUNTIFS(po_sup,A266,po_ontime,"&gt;=0")))</f>
        <v/>
      </c>
      <c r="P266" s="67" t="str">
        <f>IF(A266="","",IF(COUNTIF(sup_code,A266)&gt;1,"Code en double",IF(B266="","Raison sociale manquante",IF(AND(K266&lt;&gt;"",OR(NOT(ISNUMBER(K266)),N(K266)&lt;0)),"Délai invalide","OK"))))</f>
        <v/>
      </c>
      <c r="Q266" s="70" t="str">
        <f>IF(A266="","",SUMIFS(po_ht,po_sup,A266,po_status,"&lt;&gt;Annulé",po_date,"&gt;="&amp;p_y0,po_date,"&lt;"&amp;p_y1))</f>
        <v/>
      </c>
      <c r="R266" s="66" t="str">
        <f>IF(N(Q266)&gt;0,Q266-ROW()/10000000,"")</f>
        <v/>
      </c>
    </row>
    <row r="267">
      <c r="A267" s="65" t="n"/>
      <c r="B267" s="63" t="n"/>
      <c r="C267" s="63" t="n"/>
      <c r="D267" s="63" t="n"/>
      <c r="E267" s="65" t="n"/>
      <c r="F267" s="63" t="n"/>
      <c r="G267" s="63" t="n"/>
      <c r="H267" s="63" t="n"/>
      <c r="I267" s="63" t="n"/>
      <c r="J267" s="63" t="n"/>
      <c r="K267" s="127" t="n"/>
      <c r="L267" s="128" t="str">
        <f>IF(A267="","",COUNTIFS(po_sup,A267,po_first,1))</f>
        <v/>
      </c>
      <c r="M267" s="70" t="str">
        <f>IF(A267="","",SUMIFS(po_ht,po_sup,A267,po_status,"&lt;&gt;Annulé"))</f>
        <v/>
      </c>
      <c r="N267" s="128" t="str">
        <f>IF(A267="","",COUNTIFS(po_sup,A267,po_status,"En retard"))</f>
        <v/>
      </c>
      <c r="O267" s="72" t="str">
        <f>IF(A267="","",IF(COUNTIFS(po_sup,A267,po_ontime,"&gt;=0")=0,"",COUNTIFS(po_sup,A267,po_ontime,1)/COUNTIFS(po_sup,A267,po_ontime,"&gt;=0")))</f>
        <v/>
      </c>
      <c r="P267" s="67" t="str">
        <f>IF(A267="","",IF(COUNTIF(sup_code,A267)&gt;1,"Code en double",IF(B267="","Raison sociale manquante",IF(AND(K267&lt;&gt;"",OR(NOT(ISNUMBER(K267)),N(K267)&lt;0)),"Délai invalide","OK"))))</f>
        <v/>
      </c>
      <c r="Q267" s="70" t="str">
        <f>IF(A267="","",SUMIFS(po_ht,po_sup,A267,po_status,"&lt;&gt;Annulé",po_date,"&gt;="&amp;p_y0,po_date,"&lt;"&amp;p_y1))</f>
        <v/>
      </c>
      <c r="R267" s="66" t="str">
        <f>IF(N(Q267)&gt;0,Q267-ROW()/10000000,"")</f>
        <v/>
      </c>
    </row>
    <row r="268">
      <c r="A268" s="65" t="n"/>
      <c r="B268" s="63" t="n"/>
      <c r="C268" s="63" t="n"/>
      <c r="D268" s="63" t="n"/>
      <c r="E268" s="65" t="n"/>
      <c r="F268" s="63" t="n"/>
      <c r="G268" s="63" t="n"/>
      <c r="H268" s="63" t="n"/>
      <c r="I268" s="63" t="n"/>
      <c r="J268" s="63" t="n"/>
      <c r="K268" s="127" t="n"/>
      <c r="L268" s="128" t="str">
        <f>IF(A268="","",COUNTIFS(po_sup,A268,po_first,1))</f>
        <v/>
      </c>
      <c r="M268" s="70" t="str">
        <f>IF(A268="","",SUMIFS(po_ht,po_sup,A268,po_status,"&lt;&gt;Annulé"))</f>
        <v/>
      </c>
      <c r="N268" s="128" t="str">
        <f>IF(A268="","",COUNTIFS(po_sup,A268,po_status,"En retard"))</f>
        <v/>
      </c>
      <c r="O268" s="72" t="str">
        <f>IF(A268="","",IF(COUNTIFS(po_sup,A268,po_ontime,"&gt;=0")=0,"",COUNTIFS(po_sup,A268,po_ontime,1)/COUNTIFS(po_sup,A268,po_ontime,"&gt;=0")))</f>
        <v/>
      </c>
      <c r="P268" s="67" t="str">
        <f>IF(A268="","",IF(COUNTIF(sup_code,A268)&gt;1,"Code en double",IF(B268="","Raison sociale manquante",IF(AND(K268&lt;&gt;"",OR(NOT(ISNUMBER(K268)),N(K268)&lt;0)),"Délai invalide","OK"))))</f>
        <v/>
      </c>
      <c r="Q268" s="70" t="str">
        <f>IF(A268="","",SUMIFS(po_ht,po_sup,A268,po_status,"&lt;&gt;Annulé",po_date,"&gt;="&amp;p_y0,po_date,"&lt;"&amp;p_y1))</f>
        <v/>
      </c>
      <c r="R268" s="66" t="str">
        <f>IF(N(Q268)&gt;0,Q268-ROW()/10000000,"")</f>
        <v/>
      </c>
    </row>
    <row r="269">
      <c r="A269" s="65" t="n"/>
      <c r="B269" s="63" t="n"/>
      <c r="C269" s="63" t="n"/>
      <c r="D269" s="63" t="n"/>
      <c r="E269" s="65" t="n"/>
      <c r="F269" s="63" t="n"/>
      <c r="G269" s="63" t="n"/>
      <c r="H269" s="63" t="n"/>
      <c r="I269" s="63" t="n"/>
      <c r="J269" s="63" t="n"/>
      <c r="K269" s="127" t="n"/>
      <c r="L269" s="128" t="str">
        <f>IF(A269="","",COUNTIFS(po_sup,A269,po_first,1))</f>
        <v/>
      </c>
      <c r="M269" s="70" t="str">
        <f>IF(A269="","",SUMIFS(po_ht,po_sup,A269,po_status,"&lt;&gt;Annulé"))</f>
        <v/>
      </c>
      <c r="N269" s="128" t="str">
        <f>IF(A269="","",COUNTIFS(po_sup,A269,po_status,"En retard"))</f>
        <v/>
      </c>
      <c r="O269" s="72" t="str">
        <f>IF(A269="","",IF(COUNTIFS(po_sup,A269,po_ontime,"&gt;=0")=0,"",COUNTIFS(po_sup,A269,po_ontime,1)/COUNTIFS(po_sup,A269,po_ontime,"&gt;=0")))</f>
        <v/>
      </c>
      <c r="P269" s="67" t="str">
        <f>IF(A269="","",IF(COUNTIF(sup_code,A269)&gt;1,"Code en double",IF(B269="","Raison sociale manquante",IF(AND(K269&lt;&gt;"",OR(NOT(ISNUMBER(K269)),N(K269)&lt;0)),"Délai invalide","OK"))))</f>
        <v/>
      </c>
      <c r="Q269" s="70" t="str">
        <f>IF(A269="","",SUMIFS(po_ht,po_sup,A269,po_status,"&lt;&gt;Annulé",po_date,"&gt;="&amp;p_y0,po_date,"&lt;"&amp;p_y1))</f>
        <v/>
      </c>
      <c r="R269" s="66" t="str">
        <f>IF(N(Q269)&gt;0,Q269-ROW()/10000000,"")</f>
        <v/>
      </c>
    </row>
    <row r="270">
      <c r="A270" s="65" t="n"/>
      <c r="B270" s="63" t="n"/>
      <c r="C270" s="63" t="n"/>
      <c r="D270" s="63" t="n"/>
      <c r="E270" s="65" t="n"/>
      <c r="F270" s="63" t="n"/>
      <c r="G270" s="63" t="n"/>
      <c r="H270" s="63" t="n"/>
      <c r="I270" s="63" t="n"/>
      <c r="J270" s="63" t="n"/>
      <c r="K270" s="127" t="n"/>
      <c r="L270" s="128" t="str">
        <f>IF(A270="","",COUNTIFS(po_sup,A270,po_first,1))</f>
        <v/>
      </c>
      <c r="M270" s="70" t="str">
        <f>IF(A270="","",SUMIFS(po_ht,po_sup,A270,po_status,"&lt;&gt;Annulé"))</f>
        <v/>
      </c>
      <c r="N270" s="128" t="str">
        <f>IF(A270="","",COUNTIFS(po_sup,A270,po_status,"En retard"))</f>
        <v/>
      </c>
      <c r="O270" s="72" t="str">
        <f>IF(A270="","",IF(COUNTIFS(po_sup,A270,po_ontime,"&gt;=0")=0,"",COUNTIFS(po_sup,A270,po_ontime,1)/COUNTIFS(po_sup,A270,po_ontime,"&gt;=0")))</f>
        <v/>
      </c>
      <c r="P270" s="67" t="str">
        <f>IF(A270="","",IF(COUNTIF(sup_code,A270)&gt;1,"Code en double",IF(B270="","Raison sociale manquante",IF(AND(K270&lt;&gt;"",OR(NOT(ISNUMBER(K270)),N(K270)&lt;0)),"Délai invalide","OK"))))</f>
        <v/>
      </c>
      <c r="Q270" s="70" t="str">
        <f>IF(A270="","",SUMIFS(po_ht,po_sup,A270,po_status,"&lt;&gt;Annulé",po_date,"&gt;="&amp;p_y0,po_date,"&lt;"&amp;p_y1))</f>
        <v/>
      </c>
      <c r="R270" s="66" t="str">
        <f>IF(N(Q270)&gt;0,Q270-ROW()/10000000,"")</f>
        <v/>
      </c>
    </row>
    <row r="271">
      <c r="A271" s="65" t="n"/>
      <c r="B271" s="63" t="n"/>
      <c r="C271" s="63" t="n"/>
      <c r="D271" s="63" t="n"/>
      <c r="E271" s="65" t="n"/>
      <c r="F271" s="63" t="n"/>
      <c r="G271" s="63" t="n"/>
      <c r="H271" s="63" t="n"/>
      <c r="I271" s="63" t="n"/>
      <c r="J271" s="63" t="n"/>
      <c r="K271" s="127" t="n"/>
      <c r="L271" s="128" t="str">
        <f>IF(A271="","",COUNTIFS(po_sup,A271,po_first,1))</f>
        <v/>
      </c>
      <c r="M271" s="70" t="str">
        <f>IF(A271="","",SUMIFS(po_ht,po_sup,A271,po_status,"&lt;&gt;Annulé"))</f>
        <v/>
      </c>
      <c r="N271" s="128" t="str">
        <f>IF(A271="","",COUNTIFS(po_sup,A271,po_status,"En retard"))</f>
        <v/>
      </c>
      <c r="O271" s="72" t="str">
        <f>IF(A271="","",IF(COUNTIFS(po_sup,A271,po_ontime,"&gt;=0")=0,"",COUNTIFS(po_sup,A271,po_ontime,1)/COUNTIFS(po_sup,A271,po_ontime,"&gt;=0")))</f>
        <v/>
      </c>
      <c r="P271" s="67" t="str">
        <f>IF(A271="","",IF(COUNTIF(sup_code,A271)&gt;1,"Code en double",IF(B271="","Raison sociale manquante",IF(AND(K271&lt;&gt;"",OR(NOT(ISNUMBER(K271)),N(K271)&lt;0)),"Délai invalide","OK"))))</f>
        <v/>
      </c>
      <c r="Q271" s="70" t="str">
        <f>IF(A271="","",SUMIFS(po_ht,po_sup,A271,po_status,"&lt;&gt;Annulé",po_date,"&gt;="&amp;p_y0,po_date,"&lt;"&amp;p_y1))</f>
        <v/>
      </c>
      <c r="R271" s="66" t="str">
        <f>IF(N(Q271)&gt;0,Q271-ROW()/10000000,"")</f>
        <v/>
      </c>
    </row>
    <row r="272">
      <c r="A272" s="65" t="n"/>
      <c r="B272" s="63" t="n"/>
      <c r="C272" s="63" t="n"/>
      <c r="D272" s="63" t="n"/>
      <c r="E272" s="65" t="n"/>
      <c r="F272" s="63" t="n"/>
      <c r="G272" s="63" t="n"/>
      <c r="H272" s="63" t="n"/>
      <c r="I272" s="63" t="n"/>
      <c r="J272" s="63" t="n"/>
      <c r="K272" s="127" t="n"/>
      <c r="L272" s="128" t="str">
        <f>IF(A272="","",COUNTIFS(po_sup,A272,po_first,1))</f>
        <v/>
      </c>
      <c r="M272" s="70" t="str">
        <f>IF(A272="","",SUMIFS(po_ht,po_sup,A272,po_status,"&lt;&gt;Annulé"))</f>
        <v/>
      </c>
      <c r="N272" s="128" t="str">
        <f>IF(A272="","",COUNTIFS(po_sup,A272,po_status,"En retard"))</f>
        <v/>
      </c>
      <c r="O272" s="72" t="str">
        <f>IF(A272="","",IF(COUNTIFS(po_sup,A272,po_ontime,"&gt;=0")=0,"",COUNTIFS(po_sup,A272,po_ontime,1)/COUNTIFS(po_sup,A272,po_ontime,"&gt;=0")))</f>
        <v/>
      </c>
      <c r="P272" s="67" t="str">
        <f>IF(A272="","",IF(COUNTIF(sup_code,A272)&gt;1,"Code en double",IF(B272="","Raison sociale manquante",IF(AND(K272&lt;&gt;"",OR(NOT(ISNUMBER(K272)),N(K272)&lt;0)),"Délai invalide","OK"))))</f>
        <v/>
      </c>
      <c r="Q272" s="70" t="str">
        <f>IF(A272="","",SUMIFS(po_ht,po_sup,A272,po_status,"&lt;&gt;Annulé",po_date,"&gt;="&amp;p_y0,po_date,"&lt;"&amp;p_y1))</f>
        <v/>
      </c>
      <c r="R272" s="66" t="str">
        <f>IF(N(Q272)&gt;0,Q272-ROW()/10000000,"")</f>
        <v/>
      </c>
    </row>
    <row r="273">
      <c r="A273" s="65" t="n"/>
      <c r="B273" s="63" t="n"/>
      <c r="C273" s="63" t="n"/>
      <c r="D273" s="63" t="n"/>
      <c r="E273" s="65" t="n"/>
      <c r="F273" s="63" t="n"/>
      <c r="G273" s="63" t="n"/>
      <c r="H273" s="63" t="n"/>
      <c r="I273" s="63" t="n"/>
      <c r="J273" s="63" t="n"/>
      <c r="K273" s="127" t="n"/>
      <c r="L273" s="128" t="str">
        <f>IF(A273="","",COUNTIFS(po_sup,A273,po_first,1))</f>
        <v/>
      </c>
      <c r="M273" s="70" t="str">
        <f>IF(A273="","",SUMIFS(po_ht,po_sup,A273,po_status,"&lt;&gt;Annulé"))</f>
        <v/>
      </c>
      <c r="N273" s="128" t="str">
        <f>IF(A273="","",COUNTIFS(po_sup,A273,po_status,"En retard"))</f>
        <v/>
      </c>
      <c r="O273" s="72" t="str">
        <f>IF(A273="","",IF(COUNTIFS(po_sup,A273,po_ontime,"&gt;=0")=0,"",COUNTIFS(po_sup,A273,po_ontime,1)/COUNTIFS(po_sup,A273,po_ontime,"&gt;=0")))</f>
        <v/>
      </c>
      <c r="P273" s="67" t="str">
        <f>IF(A273="","",IF(COUNTIF(sup_code,A273)&gt;1,"Code en double",IF(B273="","Raison sociale manquante",IF(AND(K273&lt;&gt;"",OR(NOT(ISNUMBER(K273)),N(K273)&lt;0)),"Délai invalide","OK"))))</f>
        <v/>
      </c>
      <c r="Q273" s="70" t="str">
        <f>IF(A273="","",SUMIFS(po_ht,po_sup,A273,po_status,"&lt;&gt;Annulé",po_date,"&gt;="&amp;p_y0,po_date,"&lt;"&amp;p_y1))</f>
        <v/>
      </c>
      <c r="R273" s="66" t="str">
        <f>IF(N(Q273)&gt;0,Q273-ROW()/10000000,"")</f>
        <v/>
      </c>
    </row>
    <row r="274">
      <c r="A274" s="65" t="n"/>
      <c r="B274" s="63" t="n"/>
      <c r="C274" s="63" t="n"/>
      <c r="D274" s="63" t="n"/>
      <c r="E274" s="65" t="n"/>
      <c r="F274" s="63" t="n"/>
      <c r="G274" s="63" t="n"/>
      <c r="H274" s="63" t="n"/>
      <c r="I274" s="63" t="n"/>
      <c r="J274" s="63" t="n"/>
      <c r="K274" s="127" t="n"/>
      <c r="L274" s="128" t="str">
        <f>IF(A274="","",COUNTIFS(po_sup,A274,po_first,1))</f>
        <v/>
      </c>
      <c r="M274" s="70" t="str">
        <f>IF(A274="","",SUMIFS(po_ht,po_sup,A274,po_status,"&lt;&gt;Annulé"))</f>
        <v/>
      </c>
      <c r="N274" s="128" t="str">
        <f>IF(A274="","",COUNTIFS(po_sup,A274,po_status,"En retard"))</f>
        <v/>
      </c>
      <c r="O274" s="72" t="str">
        <f>IF(A274="","",IF(COUNTIFS(po_sup,A274,po_ontime,"&gt;=0")=0,"",COUNTIFS(po_sup,A274,po_ontime,1)/COUNTIFS(po_sup,A274,po_ontime,"&gt;=0")))</f>
        <v/>
      </c>
      <c r="P274" s="67" t="str">
        <f>IF(A274="","",IF(COUNTIF(sup_code,A274)&gt;1,"Code en double",IF(B274="","Raison sociale manquante",IF(AND(K274&lt;&gt;"",OR(NOT(ISNUMBER(K274)),N(K274)&lt;0)),"Délai invalide","OK"))))</f>
        <v/>
      </c>
      <c r="Q274" s="70" t="str">
        <f>IF(A274="","",SUMIFS(po_ht,po_sup,A274,po_status,"&lt;&gt;Annulé",po_date,"&gt;="&amp;p_y0,po_date,"&lt;"&amp;p_y1))</f>
        <v/>
      </c>
      <c r="R274" s="66" t="str">
        <f>IF(N(Q274)&gt;0,Q274-ROW()/10000000,"")</f>
        <v/>
      </c>
    </row>
    <row r="275">
      <c r="A275" s="65" t="n"/>
      <c r="B275" s="63" t="n"/>
      <c r="C275" s="63" t="n"/>
      <c r="D275" s="63" t="n"/>
      <c r="E275" s="65" t="n"/>
      <c r="F275" s="63" t="n"/>
      <c r="G275" s="63" t="n"/>
      <c r="H275" s="63" t="n"/>
      <c r="I275" s="63" t="n"/>
      <c r="J275" s="63" t="n"/>
      <c r="K275" s="127" t="n"/>
      <c r="L275" s="128" t="str">
        <f>IF(A275="","",COUNTIFS(po_sup,A275,po_first,1))</f>
        <v/>
      </c>
      <c r="M275" s="70" t="str">
        <f>IF(A275="","",SUMIFS(po_ht,po_sup,A275,po_status,"&lt;&gt;Annulé"))</f>
        <v/>
      </c>
      <c r="N275" s="128" t="str">
        <f>IF(A275="","",COUNTIFS(po_sup,A275,po_status,"En retard"))</f>
        <v/>
      </c>
      <c r="O275" s="72" t="str">
        <f>IF(A275="","",IF(COUNTIFS(po_sup,A275,po_ontime,"&gt;=0")=0,"",COUNTIFS(po_sup,A275,po_ontime,1)/COUNTIFS(po_sup,A275,po_ontime,"&gt;=0")))</f>
        <v/>
      </c>
      <c r="P275" s="67" t="str">
        <f>IF(A275="","",IF(COUNTIF(sup_code,A275)&gt;1,"Code en double",IF(B275="","Raison sociale manquante",IF(AND(K275&lt;&gt;"",OR(NOT(ISNUMBER(K275)),N(K275)&lt;0)),"Délai invalide","OK"))))</f>
        <v/>
      </c>
      <c r="Q275" s="70" t="str">
        <f>IF(A275="","",SUMIFS(po_ht,po_sup,A275,po_status,"&lt;&gt;Annulé",po_date,"&gt;="&amp;p_y0,po_date,"&lt;"&amp;p_y1))</f>
        <v/>
      </c>
      <c r="R275" s="66" t="str">
        <f>IF(N(Q275)&gt;0,Q275-ROW()/10000000,"")</f>
        <v/>
      </c>
    </row>
    <row r="276">
      <c r="A276" s="65" t="n"/>
      <c r="B276" s="63" t="n"/>
      <c r="C276" s="63" t="n"/>
      <c r="D276" s="63" t="n"/>
      <c r="E276" s="65" t="n"/>
      <c r="F276" s="63" t="n"/>
      <c r="G276" s="63" t="n"/>
      <c r="H276" s="63" t="n"/>
      <c r="I276" s="63" t="n"/>
      <c r="J276" s="63" t="n"/>
      <c r="K276" s="127" t="n"/>
      <c r="L276" s="128" t="str">
        <f>IF(A276="","",COUNTIFS(po_sup,A276,po_first,1))</f>
        <v/>
      </c>
      <c r="M276" s="70" t="str">
        <f>IF(A276="","",SUMIFS(po_ht,po_sup,A276,po_status,"&lt;&gt;Annulé"))</f>
        <v/>
      </c>
      <c r="N276" s="128" t="str">
        <f>IF(A276="","",COUNTIFS(po_sup,A276,po_status,"En retard"))</f>
        <v/>
      </c>
      <c r="O276" s="72" t="str">
        <f>IF(A276="","",IF(COUNTIFS(po_sup,A276,po_ontime,"&gt;=0")=0,"",COUNTIFS(po_sup,A276,po_ontime,1)/COUNTIFS(po_sup,A276,po_ontime,"&gt;=0")))</f>
        <v/>
      </c>
      <c r="P276" s="67" t="str">
        <f>IF(A276="","",IF(COUNTIF(sup_code,A276)&gt;1,"Code en double",IF(B276="","Raison sociale manquante",IF(AND(K276&lt;&gt;"",OR(NOT(ISNUMBER(K276)),N(K276)&lt;0)),"Délai invalide","OK"))))</f>
        <v/>
      </c>
      <c r="Q276" s="70" t="str">
        <f>IF(A276="","",SUMIFS(po_ht,po_sup,A276,po_status,"&lt;&gt;Annulé",po_date,"&gt;="&amp;p_y0,po_date,"&lt;"&amp;p_y1))</f>
        <v/>
      </c>
      <c r="R276" s="66" t="str">
        <f>IF(N(Q276)&gt;0,Q276-ROW()/10000000,"")</f>
        <v/>
      </c>
    </row>
    <row r="277">
      <c r="A277" s="65" t="n"/>
      <c r="B277" s="63" t="n"/>
      <c r="C277" s="63" t="n"/>
      <c r="D277" s="63" t="n"/>
      <c r="E277" s="65" t="n"/>
      <c r="F277" s="63" t="n"/>
      <c r="G277" s="63" t="n"/>
      <c r="H277" s="63" t="n"/>
      <c r="I277" s="63" t="n"/>
      <c r="J277" s="63" t="n"/>
      <c r="K277" s="127" t="n"/>
      <c r="L277" s="128" t="str">
        <f>IF(A277="","",COUNTIFS(po_sup,A277,po_first,1))</f>
        <v/>
      </c>
      <c r="M277" s="70" t="str">
        <f>IF(A277="","",SUMIFS(po_ht,po_sup,A277,po_status,"&lt;&gt;Annulé"))</f>
        <v/>
      </c>
      <c r="N277" s="128" t="str">
        <f>IF(A277="","",COUNTIFS(po_sup,A277,po_status,"En retard"))</f>
        <v/>
      </c>
      <c r="O277" s="72" t="str">
        <f>IF(A277="","",IF(COUNTIFS(po_sup,A277,po_ontime,"&gt;=0")=0,"",COUNTIFS(po_sup,A277,po_ontime,1)/COUNTIFS(po_sup,A277,po_ontime,"&gt;=0")))</f>
        <v/>
      </c>
      <c r="P277" s="67" t="str">
        <f>IF(A277="","",IF(COUNTIF(sup_code,A277)&gt;1,"Code en double",IF(B277="","Raison sociale manquante",IF(AND(K277&lt;&gt;"",OR(NOT(ISNUMBER(K277)),N(K277)&lt;0)),"Délai invalide","OK"))))</f>
        <v/>
      </c>
      <c r="Q277" s="70" t="str">
        <f>IF(A277="","",SUMIFS(po_ht,po_sup,A277,po_status,"&lt;&gt;Annulé",po_date,"&gt;="&amp;p_y0,po_date,"&lt;"&amp;p_y1))</f>
        <v/>
      </c>
      <c r="R277" s="66" t="str">
        <f>IF(N(Q277)&gt;0,Q277-ROW()/10000000,"")</f>
        <v/>
      </c>
    </row>
    <row r="278">
      <c r="A278" s="65" t="n"/>
      <c r="B278" s="63" t="n"/>
      <c r="C278" s="63" t="n"/>
      <c r="D278" s="63" t="n"/>
      <c r="E278" s="65" t="n"/>
      <c r="F278" s="63" t="n"/>
      <c r="G278" s="63" t="n"/>
      <c r="H278" s="63" t="n"/>
      <c r="I278" s="63" t="n"/>
      <c r="J278" s="63" t="n"/>
      <c r="K278" s="127" t="n"/>
      <c r="L278" s="128" t="str">
        <f>IF(A278="","",COUNTIFS(po_sup,A278,po_first,1))</f>
        <v/>
      </c>
      <c r="M278" s="70" t="str">
        <f>IF(A278="","",SUMIFS(po_ht,po_sup,A278,po_status,"&lt;&gt;Annulé"))</f>
        <v/>
      </c>
      <c r="N278" s="128" t="str">
        <f>IF(A278="","",COUNTIFS(po_sup,A278,po_status,"En retard"))</f>
        <v/>
      </c>
      <c r="O278" s="72" t="str">
        <f>IF(A278="","",IF(COUNTIFS(po_sup,A278,po_ontime,"&gt;=0")=0,"",COUNTIFS(po_sup,A278,po_ontime,1)/COUNTIFS(po_sup,A278,po_ontime,"&gt;=0")))</f>
        <v/>
      </c>
      <c r="P278" s="67" t="str">
        <f>IF(A278="","",IF(COUNTIF(sup_code,A278)&gt;1,"Code en double",IF(B278="","Raison sociale manquante",IF(AND(K278&lt;&gt;"",OR(NOT(ISNUMBER(K278)),N(K278)&lt;0)),"Délai invalide","OK"))))</f>
        <v/>
      </c>
      <c r="Q278" s="70" t="str">
        <f>IF(A278="","",SUMIFS(po_ht,po_sup,A278,po_status,"&lt;&gt;Annulé",po_date,"&gt;="&amp;p_y0,po_date,"&lt;"&amp;p_y1))</f>
        <v/>
      </c>
      <c r="R278" s="66" t="str">
        <f>IF(N(Q278)&gt;0,Q278-ROW()/10000000,"")</f>
        <v/>
      </c>
    </row>
    <row r="279">
      <c r="A279" s="65" t="n"/>
      <c r="B279" s="63" t="n"/>
      <c r="C279" s="63" t="n"/>
      <c r="D279" s="63" t="n"/>
      <c r="E279" s="65" t="n"/>
      <c r="F279" s="63" t="n"/>
      <c r="G279" s="63" t="n"/>
      <c r="H279" s="63" t="n"/>
      <c r="I279" s="63" t="n"/>
      <c r="J279" s="63" t="n"/>
      <c r="K279" s="127" t="n"/>
      <c r="L279" s="128" t="str">
        <f>IF(A279="","",COUNTIFS(po_sup,A279,po_first,1))</f>
        <v/>
      </c>
      <c r="M279" s="70" t="str">
        <f>IF(A279="","",SUMIFS(po_ht,po_sup,A279,po_status,"&lt;&gt;Annulé"))</f>
        <v/>
      </c>
      <c r="N279" s="128" t="str">
        <f>IF(A279="","",COUNTIFS(po_sup,A279,po_status,"En retard"))</f>
        <v/>
      </c>
      <c r="O279" s="72" t="str">
        <f>IF(A279="","",IF(COUNTIFS(po_sup,A279,po_ontime,"&gt;=0")=0,"",COUNTIFS(po_sup,A279,po_ontime,1)/COUNTIFS(po_sup,A279,po_ontime,"&gt;=0")))</f>
        <v/>
      </c>
      <c r="P279" s="67" t="str">
        <f>IF(A279="","",IF(COUNTIF(sup_code,A279)&gt;1,"Code en double",IF(B279="","Raison sociale manquante",IF(AND(K279&lt;&gt;"",OR(NOT(ISNUMBER(K279)),N(K279)&lt;0)),"Délai invalide","OK"))))</f>
        <v/>
      </c>
      <c r="Q279" s="70" t="str">
        <f>IF(A279="","",SUMIFS(po_ht,po_sup,A279,po_status,"&lt;&gt;Annulé",po_date,"&gt;="&amp;p_y0,po_date,"&lt;"&amp;p_y1))</f>
        <v/>
      </c>
      <c r="R279" s="66" t="str">
        <f>IF(N(Q279)&gt;0,Q279-ROW()/10000000,"")</f>
        <v/>
      </c>
    </row>
    <row r="280">
      <c r="A280" s="65" t="n"/>
      <c r="B280" s="63" t="n"/>
      <c r="C280" s="63" t="n"/>
      <c r="D280" s="63" t="n"/>
      <c r="E280" s="65" t="n"/>
      <c r="F280" s="63" t="n"/>
      <c r="G280" s="63" t="n"/>
      <c r="H280" s="63" t="n"/>
      <c r="I280" s="63" t="n"/>
      <c r="J280" s="63" t="n"/>
      <c r="K280" s="127" t="n"/>
      <c r="L280" s="128" t="str">
        <f>IF(A280="","",COUNTIFS(po_sup,A280,po_first,1))</f>
        <v/>
      </c>
      <c r="M280" s="70" t="str">
        <f>IF(A280="","",SUMIFS(po_ht,po_sup,A280,po_status,"&lt;&gt;Annulé"))</f>
        <v/>
      </c>
      <c r="N280" s="128" t="str">
        <f>IF(A280="","",COUNTIFS(po_sup,A280,po_status,"En retard"))</f>
        <v/>
      </c>
      <c r="O280" s="72" t="str">
        <f>IF(A280="","",IF(COUNTIFS(po_sup,A280,po_ontime,"&gt;=0")=0,"",COUNTIFS(po_sup,A280,po_ontime,1)/COUNTIFS(po_sup,A280,po_ontime,"&gt;=0")))</f>
        <v/>
      </c>
      <c r="P280" s="67" t="str">
        <f>IF(A280="","",IF(COUNTIF(sup_code,A280)&gt;1,"Code en double",IF(B280="","Raison sociale manquante",IF(AND(K280&lt;&gt;"",OR(NOT(ISNUMBER(K280)),N(K280)&lt;0)),"Délai invalide","OK"))))</f>
        <v/>
      </c>
      <c r="Q280" s="70" t="str">
        <f>IF(A280="","",SUMIFS(po_ht,po_sup,A280,po_status,"&lt;&gt;Annulé",po_date,"&gt;="&amp;p_y0,po_date,"&lt;"&amp;p_y1))</f>
        <v/>
      </c>
      <c r="R280" s="66" t="str">
        <f>IF(N(Q280)&gt;0,Q280-ROW()/10000000,"")</f>
        <v/>
      </c>
    </row>
    <row r="281">
      <c r="A281" s="65" t="n"/>
      <c r="B281" s="63" t="n"/>
      <c r="C281" s="63" t="n"/>
      <c r="D281" s="63" t="n"/>
      <c r="E281" s="65" t="n"/>
      <c r="F281" s="63" t="n"/>
      <c r="G281" s="63" t="n"/>
      <c r="H281" s="63" t="n"/>
      <c r="I281" s="63" t="n"/>
      <c r="J281" s="63" t="n"/>
      <c r="K281" s="127" t="n"/>
      <c r="L281" s="128" t="str">
        <f>IF(A281="","",COUNTIFS(po_sup,A281,po_first,1))</f>
        <v/>
      </c>
      <c r="M281" s="70" t="str">
        <f>IF(A281="","",SUMIFS(po_ht,po_sup,A281,po_status,"&lt;&gt;Annulé"))</f>
        <v/>
      </c>
      <c r="N281" s="128" t="str">
        <f>IF(A281="","",COUNTIFS(po_sup,A281,po_status,"En retard"))</f>
        <v/>
      </c>
      <c r="O281" s="72" t="str">
        <f>IF(A281="","",IF(COUNTIFS(po_sup,A281,po_ontime,"&gt;=0")=0,"",COUNTIFS(po_sup,A281,po_ontime,1)/COUNTIFS(po_sup,A281,po_ontime,"&gt;=0")))</f>
        <v/>
      </c>
      <c r="P281" s="67" t="str">
        <f>IF(A281="","",IF(COUNTIF(sup_code,A281)&gt;1,"Code en double",IF(B281="","Raison sociale manquante",IF(AND(K281&lt;&gt;"",OR(NOT(ISNUMBER(K281)),N(K281)&lt;0)),"Délai invalide","OK"))))</f>
        <v/>
      </c>
      <c r="Q281" s="70" t="str">
        <f>IF(A281="","",SUMIFS(po_ht,po_sup,A281,po_status,"&lt;&gt;Annulé",po_date,"&gt;="&amp;p_y0,po_date,"&lt;"&amp;p_y1))</f>
        <v/>
      </c>
      <c r="R281" s="66" t="str">
        <f>IF(N(Q281)&gt;0,Q281-ROW()/10000000,"")</f>
        <v/>
      </c>
    </row>
    <row r="282">
      <c r="A282" s="65" t="n"/>
      <c r="B282" s="63" t="n"/>
      <c r="C282" s="63" t="n"/>
      <c r="D282" s="63" t="n"/>
      <c r="E282" s="65" t="n"/>
      <c r="F282" s="63" t="n"/>
      <c r="G282" s="63" t="n"/>
      <c r="H282" s="63" t="n"/>
      <c r="I282" s="63" t="n"/>
      <c r="J282" s="63" t="n"/>
      <c r="K282" s="127" t="n"/>
      <c r="L282" s="128" t="str">
        <f>IF(A282="","",COUNTIFS(po_sup,A282,po_first,1))</f>
        <v/>
      </c>
      <c r="M282" s="70" t="str">
        <f>IF(A282="","",SUMIFS(po_ht,po_sup,A282,po_status,"&lt;&gt;Annulé"))</f>
        <v/>
      </c>
      <c r="N282" s="128" t="str">
        <f>IF(A282="","",COUNTIFS(po_sup,A282,po_status,"En retard"))</f>
        <v/>
      </c>
      <c r="O282" s="72" t="str">
        <f>IF(A282="","",IF(COUNTIFS(po_sup,A282,po_ontime,"&gt;=0")=0,"",COUNTIFS(po_sup,A282,po_ontime,1)/COUNTIFS(po_sup,A282,po_ontime,"&gt;=0")))</f>
        <v/>
      </c>
      <c r="P282" s="67" t="str">
        <f>IF(A282="","",IF(COUNTIF(sup_code,A282)&gt;1,"Code en double",IF(B282="","Raison sociale manquante",IF(AND(K282&lt;&gt;"",OR(NOT(ISNUMBER(K282)),N(K282)&lt;0)),"Délai invalide","OK"))))</f>
        <v/>
      </c>
      <c r="Q282" s="70" t="str">
        <f>IF(A282="","",SUMIFS(po_ht,po_sup,A282,po_status,"&lt;&gt;Annulé",po_date,"&gt;="&amp;p_y0,po_date,"&lt;"&amp;p_y1))</f>
        <v/>
      </c>
      <c r="R282" s="66" t="str">
        <f>IF(N(Q282)&gt;0,Q282-ROW()/10000000,"")</f>
        <v/>
      </c>
    </row>
    <row r="283">
      <c r="A283" s="65" t="n"/>
      <c r="B283" s="63" t="n"/>
      <c r="C283" s="63" t="n"/>
      <c r="D283" s="63" t="n"/>
      <c r="E283" s="65" t="n"/>
      <c r="F283" s="63" t="n"/>
      <c r="G283" s="63" t="n"/>
      <c r="H283" s="63" t="n"/>
      <c r="I283" s="63" t="n"/>
      <c r="J283" s="63" t="n"/>
      <c r="K283" s="127" t="n"/>
      <c r="L283" s="128" t="str">
        <f>IF(A283="","",COUNTIFS(po_sup,A283,po_first,1))</f>
        <v/>
      </c>
      <c r="M283" s="70" t="str">
        <f>IF(A283="","",SUMIFS(po_ht,po_sup,A283,po_status,"&lt;&gt;Annulé"))</f>
        <v/>
      </c>
      <c r="N283" s="128" t="str">
        <f>IF(A283="","",COUNTIFS(po_sup,A283,po_status,"En retard"))</f>
        <v/>
      </c>
      <c r="O283" s="72" t="str">
        <f>IF(A283="","",IF(COUNTIFS(po_sup,A283,po_ontime,"&gt;=0")=0,"",COUNTIFS(po_sup,A283,po_ontime,1)/COUNTIFS(po_sup,A283,po_ontime,"&gt;=0")))</f>
        <v/>
      </c>
      <c r="P283" s="67" t="str">
        <f>IF(A283="","",IF(COUNTIF(sup_code,A283)&gt;1,"Code en double",IF(B283="","Raison sociale manquante",IF(AND(K283&lt;&gt;"",OR(NOT(ISNUMBER(K283)),N(K283)&lt;0)),"Délai invalide","OK"))))</f>
        <v/>
      </c>
      <c r="Q283" s="70" t="str">
        <f>IF(A283="","",SUMIFS(po_ht,po_sup,A283,po_status,"&lt;&gt;Annulé",po_date,"&gt;="&amp;p_y0,po_date,"&lt;"&amp;p_y1))</f>
        <v/>
      </c>
      <c r="R283" s="66" t="str">
        <f>IF(N(Q283)&gt;0,Q283-ROW()/10000000,"")</f>
        <v/>
      </c>
    </row>
    <row r="284">
      <c r="A284" s="65" t="n"/>
      <c r="B284" s="63" t="n"/>
      <c r="C284" s="63" t="n"/>
      <c r="D284" s="63" t="n"/>
      <c r="E284" s="65" t="n"/>
      <c r="F284" s="63" t="n"/>
      <c r="G284" s="63" t="n"/>
      <c r="H284" s="63" t="n"/>
      <c r="I284" s="63" t="n"/>
      <c r="J284" s="63" t="n"/>
      <c r="K284" s="127" t="n"/>
      <c r="L284" s="128" t="str">
        <f>IF(A284="","",COUNTIFS(po_sup,A284,po_first,1))</f>
        <v/>
      </c>
      <c r="M284" s="70" t="str">
        <f>IF(A284="","",SUMIFS(po_ht,po_sup,A284,po_status,"&lt;&gt;Annulé"))</f>
        <v/>
      </c>
      <c r="N284" s="128" t="str">
        <f>IF(A284="","",COUNTIFS(po_sup,A284,po_status,"En retard"))</f>
        <v/>
      </c>
      <c r="O284" s="72" t="str">
        <f>IF(A284="","",IF(COUNTIFS(po_sup,A284,po_ontime,"&gt;=0")=0,"",COUNTIFS(po_sup,A284,po_ontime,1)/COUNTIFS(po_sup,A284,po_ontime,"&gt;=0")))</f>
        <v/>
      </c>
      <c r="P284" s="67" t="str">
        <f>IF(A284="","",IF(COUNTIF(sup_code,A284)&gt;1,"Code en double",IF(B284="","Raison sociale manquante",IF(AND(K284&lt;&gt;"",OR(NOT(ISNUMBER(K284)),N(K284)&lt;0)),"Délai invalide","OK"))))</f>
        <v/>
      </c>
      <c r="Q284" s="70" t="str">
        <f>IF(A284="","",SUMIFS(po_ht,po_sup,A284,po_status,"&lt;&gt;Annulé",po_date,"&gt;="&amp;p_y0,po_date,"&lt;"&amp;p_y1))</f>
        <v/>
      </c>
      <c r="R284" s="66" t="str">
        <f>IF(N(Q284)&gt;0,Q284-ROW()/10000000,"")</f>
        <v/>
      </c>
    </row>
    <row r="285">
      <c r="A285" s="65" t="n"/>
      <c r="B285" s="63" t="n"/>
      <c r="C285" s="63" t="n"/>
      <c r="D285" s="63" t="n"/>
      <c r="E285" s="65" t="n"/>
      <c r="F285" s="63" t="n"/>
      <c r="G285" s="63" t="n"/>
      <c r="H285" s="63" t="n"/>
      <c r="I285" s="63" t="n"/>
      <c r="J285" s="63" t="n"/>
      <c r="K285" s="127" t="n"/>
      <c r="L285" s="128" t="str">
        <f>IF(A285="","",COUNTIFS(po_sup,A285,po_first,1))</f>
        <v/>
      </c>
      <c r="M285" s="70" t="str">
        <f>IF(A285="","",SUMIFS(po_ht,po_sup,A285,po_status,"&lt;&gt;Annulé"))</f>
        <v/>
      </c>
      <c r="N285" s="128" t="str">
        <f>IF(A285="","",COUNTIFS(po_sup,A285,po_status,"En retard"))</f>
        <v/>
      </c>
      <c r="O285" s="72" t="str">
        <f>IF(A285="","",IF(COUNTIFS(po_sup,A285,po_ontime,"&gt;=0")=0,"",COUNTIFS(po_sup,A285,po_ontime,1)/COUNTIFS(po_sup,A285,po_ontime,"&gt;=0")))</f>
        <v/>
      </c>
      <c r="P285" s="67" t="str">
        <f>IF(A285="","",IF(COUNTIF(sup_code,A285)&gt;1,"Code en double",IF(B285="","Raison sociale manquante",IF(AND(K285&lt;&gt;"",OR(NOT(ISNUMBER(K285)),N(K285)&lt;0)),"Délai invalide","OK"))))</f>
        <v/>
      </c>
      <c r="Q285" s="70" t="str">
        <f>IF(A285="","",SUMIFS(po_ht,po_sup,A285,po_status,"&lt;&gt;Annulé",po_date,"&gt;="&amp;p_y0,po_date,"&lt;"&amp;p_y1))</f>
        <v/>
      </c>
      <c r="R285" s="66" t="str">
        <f>IF(N(Q285)&gt;0,Q285-ROW()/10000000,"")</f>
        <v/>
      </c>
    </row>
    <row r="286">
      <c r="A286" s="65" t="n"/>
      <c r="B286" s="63" t="n"/>
      <c r="C286" s="63" t="n"/>
      <c r="D286" s="63" t="n"/>
      <c r="E286" s="65" t="n"/>
      <c r="F286" s="63" t="n"/>
      <c r="G286" s="63" t="n"/>
      <c r="H286" s="63" t="n"/>
      <c r="I286" s="63" t="n"/>
      <c r="J286" s="63" t="n"/>
      <c r="K286" s="127" t="n"/>
      <c r="L286" s="128" t="str">
        <f>IF(A286="","",COUNTIFS(po_sup,A286,po_first,1))</f>
        <v/>
      </c>
      <c r="M286" s="70" t="str">
        <f>IF(A286="","",SUMIFS(po_ht,po_sup,A286,po_status,"&lt;&gt;Annulé"))</f>
        <v/>
      </c>
      <c r="N286" s="128" t="str">
        <f>IF(A286="","",COUNTIFS(po_sup,A286,po_status,"En retard"))</f>
        <v/>
      </c>
      <c r="O286" s="72" t="str">
        <f>IF(A286="","",IF(COUNTIFS(po_sup,A286,po_ontime,"&gt;=0")=0,"",COUNTIFS(po_sup,A286,po_ontime,1)/COUNTIFS(po_sup,A286,po_ontime,"&gt;=0")))</f>
        <v/>
      </c>
      <c r="P286" s="67" t="str">
        <f>IF(A286="","",IF(COUNTIF(sup_code,A286)&gt;1,"Code en double",IF(B286="","Raison sociale manquante",IF(AND(K286&lt;&gt;"",OR(NOT(ISNUMBER(K286)),N(K286)&lt;0)),"Délai invalide","OK"))))</f>
        <v/>
      </c>
      <c r="Q286" s="70" t="str">
        <f>IF(A286="","",SUMIFS(po_ht,po_sup,A286,po_status,"&lt;&gt;Annulé",po_date,"&gt;="&amp;p_y0,po_date,"&lt;"&amp;p_y1))</f>
        <v/>
      </c>
      <c r="R286" s="66" t="str">
        <f>IF(N(Q286)&gt;0,Q286-ROW()/10000000,"")</f>
        <v/>
      </c>
    </row>
    <row r="287">
      <c r="A287" s="65" t="n"/>
      <c r="B287" s="63" t="n"/>
      <c r="C287" s="63" t="n"/>
      <c r="D287" s="63" t="n"/>
      <c r="E287" s="65" t="n"/>
      <c r="F287" s="63" t="n"/>
      <c r="G287" s="63" t="n"/>
      <c r="H287" s="63" t="n"/>
      <c r="I287" s="63" t="n"/>
      <c r="J287" s="63" t="n"/>
      <c r="K287" s="127" t="n"/>
      <c r="L287" s="128" t="str">
        <f>IF(A287="","",COUNTIFS(po_sup,A287,po_first,1))</f>
        <v/>
      </c>
      <c r="M287" s="70" t="str">
        <f>IF(A287="","",SUMIFS(po_ht,po_sup,A287,po_status,"&lt;&gt;Annulé"))</f>
        <v/>
      </c>
      <c r="N287" s="128" t="str">
        <f>IF(A287="","",COUNTIFS(po_sup,A287,po_status,"En retard"))</f>
        <v/>
      </c>
      <c r="O287" s="72" t="str">
        <f>IF(A287="","",IF(COUNTIFS(po_sup,A287,po_ontime,"&gt;=0")=0,"",COUNTIFS(po_sup,A287,po_ontime,1)/COUNTIFS(po_sup,A287,po_ontime,"&gt;=0")))</f>
        <v/>
      </c>
      <c r="P287" s="67" t="str">
        <f>IF(A287="","",IF(COUNTIF(sup_code,A287)&gt;1,"Code en double",IF(B287="","Raison sociale manquante",IF(AND(K287&lt;&gt;"",OR(NOT(ISNUMBER(K287)),N(K287)&lt;0)),"Délai invalide","OK"))))</f>
        <v/>
      </c>
      <c r="Q287" s="70" t="str">
        <f>IF(A287="","",SUMIFS(po_ht,po_sup,A287,po_status,"&lt;&gt;Annulé",po_date,"&gt;="&amp;p_y0,po_date,"&lt;"&amp;p_y1))</f>
        <v/>
      </c>
      <c r="R287" s="66" t="str">
        <f>IF(N(Q287)&gt;0,Q287-ROW()/10000000,"")</f>
        <v/>
      </c>
    </row>
    <row r="288">
      <c r="A288" s="65" t="n"/>
      <c r="B288" s="63" t="n"/>
      <c r="C288" s="63" t="n"/>
      <c r="D288" s="63" t="n"/>
      <c r="E288" s="65" t="n"/>
      <c r="F288" s="63" t="n"/>
      <c r="G288" s="63" t="n"/>
      <c r="H288" s="63" t="n"/>
      <c r="I288" s="63" t="n"/>
      <c r="J288" s="63" t="n"/>
      <c r="K288" s="127" t="n"/>
      <c r="L288" s="128" t="str">
        <f>IF(A288="","",COUNTIFS(po_sup,A288,po_first,1))</f>
        <v/>
      </c>
      <c r="M288" s="70" t="str">
        <f>IF(A288="","",SUMIFS(po_ht,po_sup,A288,po_status,"&lt;&gt;Annulé"))</f>
        <v/>
      </c>
      <c r="N288" s="128" t="str">
        <f>IF(A288="","",COUNTIFS(po_sup,A288,po_status,"En retard"))</f>
        <v/>
      </c>
      <c r="O288" s="72" t="str">
        <f>IF(A288="","",IF(COUNTIFS(po_sup,A288,po_ontime,"&gt;=0")=0,"",COUNTIFS(po_sup,A288,po_ontime,1)/COUNTIFS(po_sup,A288,po_ontime,"&gt;=0")))</f>
        <v/>
      </c>
      <c r="P288" s="67" t="str">
        <f>IF(A288="","",IF(COUNTIF(sup_code,A288)&gt;1,"Code en double",IF(B288="","Raison sociale manquante",IF(AND(K288&lt;&gt;"",OR(NOT(ISNUMBER(K288)),N(K288)&lt;0)),"Délai invalide","OK"))))</f>
        <v/>
      </c>
      <c r="Q288" s="70" t="str">
        <f>IF(A288="","",SUMIFS(po_ht,po_sup,A288,po_status,"&lt;&gt;Annulé",po_date,"&gt;="&amp;p_y0,po_date,"&lt;"&amp;p_y1))</f>
        <v/>
      </c>
      <c r="R288" s="66" t="str">
        <f>IF(N(Q288)&gt;0,Q288-ROW()/10000000,"")</f>
        <v/>
      </c>
    </row>
    <row r="289">
      <c r="A289" s="65" t="n"/>
      <c r="B289" s="63" t="n"/>
      <c r="C289" s="63" t="n"/>
      <c r="D289" s="63" t="n"/>
      <c r="E289" s="65" t="n"/>
      <c r="F289" s="63" t="n"/>
      <c r="G289" s="63" t="n"/>
      <c r="H289" s="63" t="n"/>
      <c r="I289" s="63" t="n"/>
      <c r="J289" s="63" t="n"/>
      <c r="K289" s="127" t="n"/>
      <c r="L289" s="128" t="str">
        <f>IF(A289="","",COUNTIFS(po_sup,A289,po_first,1))</f>
        <v/>
      </c>
      <c r="M289" s="70" t="str">
        <f>IF(A289="","",SUMIFS(po_ht,po_sup,A289,po_status,"&lt;&gt;Annulé"))</f>
        <v/>
      </c>
      <c r="N289" s="128" t="str">
        <f>IF(A289="","",COUNTIFS(po_sup,A289,po_status,"En retard"))</f>
        <v/>
      </c>
      <c r="O289" s="72" t="str">
        <f>IF(A289="","",IF(COUNTIFS(po_sup,A289,po_ontime,"&gt;=0")=0,"",COUNTIFS(po_sup,A289,po_ontime,1)/COUNTIFS(po_sup,A289,po_ontime,"&gt;=0")))</f>
        <v/>
      </c>
      <c r="P289" s="67" t="str">
        <f>IF(A289="","",IF(COUNTIF(sup_code,A289)&gt;1,"Code en double",IF(B289="","Raison sociale manquante",IF(AND(K289&lt;&gt;"",OR(NOT(ISNUMBER(K289)),N(K289)&lt;0)),"Délai invalide","OK"))))</f>
        <v/>
      </c>
      <c r="Q289" s="70" t="str">
        <f>IF(A289="","",SUMIFS(po_ht,po_sup,A289,po_status,"&lt;&gt;Annulé",po_date,"&gt;="&amp;p_y0,po_date,"&lt;"&amp;p_y1))</f>
        <v/>
      </c>
      <c r="R289" s="66" t="str">
        <f>IF(N(Q289)&gt;0,Q289-ROW()/10000000,"")</f>
        <v/>
      </c>
    </row>
    <row r="290">
      <c r="A290" s="65" t="n"/>
      <c r="B290" s="63" t="n"/>
      <c r="C290" s="63" t="n"/>
      <c r="D290" s="63" t="n"/>
      <c r="E290" s="65" t="n"/>
      <c r="F290" s="63" t="n"/>
      <c r="G290" s="63" t="n"/>
      <c r="H290" s="63" t="n"/>
      <c r="I290" s="63" t="n"/>
      <c r="J290" s="63" t="n"/>
      <c r="K290" s="127" t="n"/>
      <c r="L290" s="128" t="str">
        <f>IF(A290="","",COUNTIFS(po_sup,A290,po_first,1))</f>
        <v/>
      </c>
      <c r="M290" s="70" t="str">
        <f>IF(A290="","",SUMIFS(po_ht,po_sup,A290,po_status,"&lt;&gt;Annulé"))</f>
        <v/>
      </c>
      <c r="N290" s="128" t="str">
        <f>IF(A290="","",COUNTIFS(po_sup,A290,po_status,"En retard"))</f>
        <v/>
      </c>
      <c r="O290" s="72" t="str">
        <f>IF(A290="","",IF(COUNTIFS(po_sup,A290,po_ontime,"&gt;=0")=0,"",COUNTIFS(po_sup,A290,po_ontime,1)/COUNTIFS(po_sup,A290,po_ontime,"&gt;=0")))</f>
        <v/>
      </c>
      <c r="P290" s="67" t="str">
        <f>IF(A290="","",IF(COUNTIF(sup_code,A290)&gt;1,"Code en double",IF(B290="","Raison sociale manquante",IF(AND(K290&lt;&gt;"",OR(NOT(ISNUMBER(K290)),N(K290)&lt;0)),"Délai invalide","OK"))))</f>
        <v/>
      </c>
      <c r="Q290" s="70" t="str">
        <f>IF(A290="","",SUMIFS(po_ht,po_sup,A290,po_status,"&lt;&gt;Annulé",po_date,"&gt;="&amp;p_y0,po_date,"&lt;"&amp;p_y1))</f>
        <v/>
      </c>
      <c r="R290" s="66" t="str">
        <f>IF(N(Q290)&gt;0,Q290-ROW()/10000000,"")</f>
        <v/>
      </c>
    </row>
    <row r="291">
      <c r="A291" s="65" t="n"/>
      <c r="B291" s="63" t="n"/>
      <c r="C291" s="63" t="n"/>
      <c r="D291" s="63" t="n"/>
      <c r="E291" s="65" t="n"/>
      <c r="F291" s="63" t="n"/>
      <c r="G291" s="63" t="n"/>
      <c r="H291" s="63" t="n"/>
      <c r="I291" s="63" t="n"/>
      <c r="J291" s="63" t="n"/>
      <c r="K291" s="127" t="n"/>
      <c r="L291" s="128" t="str">
        <f>IF(A291="","",COUNTIFS(po_sup,A291,po_first,1))</f>
        <v/>
      </c>
      <c r="M291" s="70" t="str">
        <f>IF(A291="","",SUMIFS(po_ht,po_sup,A291,po_status,"&lt;&gt;Annulé"))</f>
        <v/>
      </c>
      <c r="N291" s="128" t="str">
        <f>IF(A291="","",COUNTIFS(po_sup,A291,po_status,"En retard"))</f>
        <v/>
      </c>
      <c r="O291" s="72" t="str">
        <f>IF(A291="","",IF(COUNTIFS(po_sup,A291,po_ontime,"&gt;=0")=0,"",COUNTIFS(po_sup,A291,po_ontime,1)/COUNTIFS(po_sup,A291,po_ontime,"&gt;=0")))</f>
        <v/>
      </c>
      <c r="P291" s="67" t="str">
        <f>IF(A291="","",IF(COUNTIF(sup_code,A291)&gt;1,"Code en double",IF(B291="","Raison sociale manquante",IF(AND(K291&lt;&gt;"",OR(NOT(ISNUMBER(K291)),N(K291)&lt;0)),"Délai invalide","OK"))))</f>
        <v/>
      </c>
      <c r="Q291" s="70" t="str">
        <f>IF(A291="","",SUMIFS(po_ht,po_sup,A291,po_status,"&lt;&gt;Annulé",po_date,"&gt;="&amp;p_y0,po_date,"&lt;"&amp;p_y1))</f>
        <v/>
      </c>
      <c r="R291" s="66" t="str">
        <f>IF(N(Q291)&gt;0,Q291-ROW()/10000000,"")</f>
        <v/>
      </c>
    </row>
    <row r="292">
      <c r="A292" s="65" t="n"/>
      <c r="B292" s="63" t="n"/>
      <c r="C292" s="63" t="n"/>
      <c r="D292" s="63" t="n"/>
      <c r="E292" s="65" t="n"/>
      <c r="F292" s="63" t="n"/>
      <c r="G292" s="63" t="n"/>
      <c r="H292" s="63" t="n"/>
      <c r="I292" s="63" t="n"/>
      <c r="J292" s="63" t="n"/>
      <c r="K292" s="127" t="n"/>
      <c r="L292" s="128" t="str">
        <f>IF(A292="","",COUNTIFS(po_sup,A292,po_first,1))</f>
        <v/>
      </c>
      <c r="M292" s="70" t="str">
        <f>IF(A292="","",SUMIFS(po_ht,po_sup,A292,po_status,"&lt;&gt;Annulé"))</f>
        <v/>
      </c>
      <c r="N292" s="128" t="str">
        <f>IF(A292="","",COUNTIFS(po_sup,A292,po_status,"En retard"))</f>
        <v/>
      </c>
      <c r="O292" s="72" t="str">
        <f>IF(A292="","",IF(COUNTIFS(po_sup,A292,po_ontime,"&gt;=0")=0,"",COUNTIFS(po_sup,A292,po_ontime,1)/COUNTIFS(po_sup,A292,po_ontime,"&gt;=0")))</f>
        <v/>
      </c>
      <c r="P292" s="67" t="str">
        <f>IF(A292="","",IF(COUNTIF(sup_code,A292)&gt;1,"Code en double",IF(B292="","Raison sociale manquante",IF(AND(K292&lt;&gt;"",OR(NOT(ISNUMBER(K292)),N(K292)&lt;0)),"Délai invalide","OK"))))</f>
        <v/>
      </c>
      <c r="Q292" s="70" t="str">
        <f>IF(A292="","",SUMIFS(po_ht,po_sup,A292,po_status,"&lt;&gt;Annulé",po_date,"&gt;="&amp;p_y0,po_date,"&lt;"&amp;p_y1))</f>
        <v/>
      </c>
      <c r="R292" s="66" t="str">
        <f>IF(N(Q292)&gt;0,Q292-ROW()/10000000,"")</f>
        <v/>
      </c>
    </row>
    <row r="293">
      <c r="A293" s="65" t="n"/>
      <c r="B293" s="63" t="n"/>
      <c r="C293" s="63" t="n"/>
      <c r="D293" s="63" t="n"/>
      <c r="E293" s="65" t="n"/>
      <c r="F293" s="63" t="n"/>
      <c r="G293" s="63" t="n"/>
      <c r="H293" s="63" t="n"/>
      <c r="I293" s="63" t="n"/>
      <c r="J293" s="63" t="n"/>
      <c r="K293" s="127" t="n"/>
      <c r="L293" s="128" t="str">
        <f>IF(A293="","",COUNTIFS(po_sup,A293,po_first,1))</f>
        <v/>
      </c>
      <c r="M293" s="70" t="str">
        <f>IF(A293="","",SUMIFS(po_ht,po_sup,A293,po_status,"&lt;&gt;Annulé"))</f>
        <v/>
      </c>
      <c r="N293" s="128" t="str">
        <f>IF(A293="","",COUNTIFS(po_sup,A293,po_status,"En retard"))</f>
        <v/>
      </c>
      <c r="O293" s="72" t="str">
        <f>IF(A293="","",IF(COUNTIFS(po_sup,A293,po_ontime,"&gt;=0")=0,"",COUNTIFS(po_sup,A293,po_ontime,1)/COUNTIFS(po_sup,A293,po_ontime,"&gt;=0")))</f>
        <v/>
      </c>
      <c r="P293" s="67" t="str">
        <f>IF(A293="","",IF(COUNTIF(sup_code,A293)&gt;1,"Code en double",IF(B293="","Raison sociale manquante",IF(AND(K293&lt;&gt;"",OR(NOT(ISNUMBER(K293)),N(K293)&lt;0)),"Délai invalide","OK"))))</f>
        <v/>
      </c>
      <c r="Q293" s="70" t="str">
        <f>IF(A293="","",SUMIFS(po_ht,po_sup,A293,po_status,"&lt;&gt;Annulé",po_date,"&gt;="&amp;p_y0,po_date,"&lt;"&amp;p_y1))</f>
        <v/>
      </c>
      <c r="R293" s="66" t="str">
        <f>IF(N(Q293)&gt;0,Q293-ROW()/10000000,"")</f>
        <v/>
      </c>
    </row>
    <row r="294">
      <c r="A294" s="65" t="n"/>
      <c r="B294" s="63" t="n"/>
      <c r="C294" s="63" t="n"/>
      <c r="D294" s="63" t="n"/>
      <c r="E294" s="65" t="n"/>
      <c r="F294" s="63" t="n"/>
      <c r="G294" s="63" t="n"/>
      <c r="H294" s="63" t="n"/>
      <c r="I294" s="63" t="n"/>
      <c r="J294" s="63" t="n"/>
      <c r="K294" s="127" t="n"/>
      <c r="L294" s="128" t="str">
        <f>IF(A294="","",COUNTIFS(po_sup,A294,po_first,1))</f>
        <v/>
      </c>
      <c r="M294" s="70" t="str">
        <f>IF(A294="","",SUMIFS(po_ht,po_sup,A294,po_status,"&lt;&gt;Annulé"))</f>
        <v/>
      </c>
      <c r="N294" s="128" t="str">
        <f>IF(A294="","",COUNTIFS(po_sup,A294,po_status,"En retard"))</f>
        <v/>
      </c>
      <c r="O294" s="72" t="str">
        <f>IF(A294="","",IF(COUNTIFS(po_sup,A294,po_ontime,"&gt;=0")=0,"",COUNTIFS(po_sup,A294,po_ontime,1)/COUNTIFS(po_sup,A294,po_ontime,"&gt;=0")))</f>
        <v/>
      </c>
      <c r="P294" s="67" t="str">
        <f>IF(A294="","",IF(COUNTIF(sup_code,A294)&gt;1,"Code en double",IF(B294="","Raison sociale manquante",IF(AND(K294&lt;&gt;"",OR(NOT(ISNUMBER(K294)),N(K294)&lt;0)),"Délai invalide","OK"))))</f>
        <v/>
      </c>
      <c r="Q294" s="70" t="str">
        <f>IF(A294="","",SUMIFS(po_ht,po_sup,A294,po_status,"&lt;&gt;Annulé",po_date,"&gt;="&amp;p_y0,po_date,"&lt;"&amp;p_y1))</f>
        <v/>
      </c>
      <c r="R294" s="66" t="str">
        <f>IF(N(Q294)&gt;0,Q294-ROW()/10000000,"")</f>
        <v/>
      </c>
    </row>
    <row r="295">
      <c r="A295" s="65" t="n"/>
      <c r="B295" s="63" t="n"/>
      <c r="C295" s="63" t="n"/>
      <c r="D295" s="63" t="n"/>
      <c r="E295" s="65" t="n"/>
      <c r="F295" s="63" t="n"/>
      <c r="G295" s="63" t="n"/>
      <c r="H295" s="63" t="n"/>
      <c r="I295" s="63" t="n"/>
      <c r="J295" s="63" t="n"/>
      <c r="K295" s="127" t="n"/>
      <c r="L295" s="128" t="str">
        <f>IF(A295="","",COUNTIFS(po_sup,A295,po_first,1))</f>
        <v/>
      </c>
      <c r="M295" s="70" t="str">
        <f>IF(A295="","",SUMIFS(po_ht,po_sup,A295,po_status,"&lt;&gt;Annulé"))</f>
        <v/>
      </c>
      <c r="N295" s="128" t="str">
        <f>IF(A295="","",COUNTIFS(po_sup,A295,po_status,"En retard"))</f>
        <v/>
      </c>
      <c r="O295" s="72" t="str">
        <f>IF(A295="","",IF(COUNTIFS(po_sup,A295,po_ontime,"&gt;=0")=0,"",COUNTIFS(po_sup,A295,po_ontime,1)/COUNTIFS(po_sup,A295,po_ontime,"&gt;=0")))</f>
        <v/>
      </c>
      <c r="P295" s="67" t="str">
        <f>IF(A295="","",IF(COUNTIF(sup_code,A295)&gt;1,"Code en double",IF(B295="","Raison sociale manquante",IF(AND(K295&lt;&gt;"",OR(NOT(ISNUMBER(K295)),N(K295)&lt;0)),"Délai invalide","OK"))))</f>
        <v/>
      </c>
      <c r="Q295" s="70" t="str">
        <f>IF(A295="","",SUMIFS(po_ht,po_sup,A295,po_status,"&lt;&gt;Annulé",po_date,"&gt;="&amp;p_y0,po_date,"&lt;"&amp;p_y1))</f>
        <v/>
      </c>
      <c r="R295" s="66" t="str">
        <f>IF(N(Q295)&gt;0,Q295-ROW()/10000000,"")</f>
        <v/>
      </c>
    </row>
    <row r="296">
      <c r="A296" s="65" t="n"/>
      <c r="B296" s="63" t="n"/>
      <c r="C296" s="63" t="n"/>
      <c r="D296" s="63" t="n"/>
      <c r="E296" s="65" t="n"/>
      <c r="F296" s="63" t="n"/>
      <c r="G296" s="63" t="n"/>
      <c r="H296" s="63" t="n"/>
      <c r="I296" s="63" t="n"/>
      <c r="J296" s="63" t="n"/>
      <c r="K296" s="127" t="n"/>
      <c r="L296" s="128" t="str">
        <f>IF(A296="","",COUNTIFS(po_sup,A296,po_first,1))</f>
        <v/>
      </c>
      <c r="M296" s="70" t="str">
        <f>IF(A296="","",SUMIFS(po_ht,po_sup,A296,po_status,"&lt;&gt;Annulé"))</f>
        <v/>
      </c>
      <c r="N296" s="128" t="str">
        <f>IF(A296="","",COUNTIFS(po_sup,A296,po_status,"En retard"))</f>
        <v/>
      </c>
      <c r="O296" s="72" t="str">
        <f>IF(A296="","",IF(COUNTIFS(po_sup,A296,po_ontime,"&gt;=0")=0,"",COUNTIFS(po_sup,A296,po_ontime,1)/COUNTIFS(po_sup,A296,po_ontime,"&gt;=0")))</f>
        <v/>
      </c>
      <c r="P296" s="67" t="str">
        <f>IF(A296="","",IF(COUNTIF(sup_code,A296)&gt;1,"Code en double",IF(B296="","Raison sociale manquante",IF(AND(K296&lt;&gt;"",OR(NOT(ISNUMBER(K296)),N(K296)&lt;0)),"Délai invalide","OK"))))</f>
        <v/>
      </c>
      <c r="Q296" s="70" t="str">
        <f>IF(A296="","",SUMIFS(po_ht,po_sup,A296,po_status,"&lt;&gt;Annulé",po_date,"&gt;="&amp;p_y0,po_date,"&lt;"&amp;p_y1))</f>
        <v/>
      </c>
      <c r="R296" s="66" t="str">
        <f>IF(N(Q296)&gt;0,Q296-ROW()/10000000,"")</f>
        <v/>
      </c>
    </row>
    <row r="297">
      <c r="A297" s="65" t="n"/>
      <c r="B297" s="63" t="n"/>
      <c r="C297" s="63" t="n"/>
      <c r="D297" s="63" t="n"/>
      <c r="E297" s="65" t="n"/>
      <c r="F297" s="63" t="n"/>
      <c r="G297" s="63" t="n"/>
      <c r="H297" s="63" t="n"/>
      <c r="I297" s="63" t="n"/>
      <c r="J297" s="63" t="n"/>
      <c r="K297" s="127" t="n"/>
      <c r="L297" s="128" t="str">
        <f>IF(A297="","",COUNTIFS(po_sup,A297,po_first,1))</f>
        <v/>
      </c>
      <c r="M297" s="70" t="str">
        <f>IF(A297="","",SUMIFS(po_ht,po_sup,A297,po_status,"&lt;&gt;Annulé"))</f>
        <v/>
      </c>
      <c r="N297" s="128" t="str">
        <f>IF(A297="","",COUNTIFS(po_sup,A297,po_status,"En retard"))</f>
        <v/>
      </c>
      <c r="O297" s="72" t="str">
        <f>IF(A297="","",IF(COUNTIFS(po_sup,A297,po_ontime,"&gt;=0")=0,"",COUNTIFS(po_sup,A297,po_ontime,1)/COUNTIFS(po_sup,A297,po_ontime,"&gt;=0")))</f>
        <v/>
      </c>
      <c r="P297" s="67" t="str">
        <f>IF(A297="","",IF(COUNTIF(sup_code,A297)&gt;1,"Code en double",IF(B297="","Raison sociale manquante",IF(AND(K297&lt;&gt;"",OR(NOT(ISNUMBER(K297)),N(K297)&lt;0)),"Délai invalide","OK"))))</f>
        <v/>
      </c>
      <c r="Q297" s="70" t="str">
        <f>IF(A297="","",SUMIFS(po_ht,po_sup,A297,po_status,"&lt;&gt;Annulé",po_date,"&gt;="&amp;p_y0,po_date,"&lt;"&amp;p_y1))</f>
        <v/>
      </c>
      <c r="R297" s="66" t="str">
        <f>IF(N(Q297)&gt;0,Q297-ROW()/10000000,"")</f>
        <v/>
      </c>
    </row>
    <row r="298">
      <c r="A298" s="65" t="n"/>
      <c r="B298" s="63" t="n"/>
      <c r="C298" s="63" t="n"/>
      <c r="D298" s="63" t="n"/>
      <c r="E298" s="65" t="n"/>
      <c r="F298" s="63" t="n"/>
      <c r="G298" s="63" t="n"/>
      <c r="H298" s="63" t="n"/>
      <c r="I298" s="63" t="n"/>
      <c r="J298" s="63" t="n"/>
      <c r="K298" s="127" t="n"/>
      <c r="L298" s="128" t="str">
        <f>IF(A298="","",COUNTIFS(po_sup,A298,po_first,1))</f>
        <v/>
      </c>
      <c r="M298" s="70" t="str">
        <f>IF(A298="","",SUMIFS(po_ht,po_sup,A298,po_status,"&lt;&gt;Annulé"))</f>
        <v/>
      </c>
      <c r="N298" s="128" t="str">
        <f>IF(A298="","",COUNTIFS(po_sup,A298,po_status,"En retard"))</f>
        <v/>
      </c>
      <c r="O298" s="72" t="str">
        <f>IF(A298="","",IF(COUNTIFS(po_sup,A298,po_ontime,"&gt;=0")=0,"",COUNTIFS(po_sup,A298,po_ontime,1)/COUNTIFS(po_sup,A298,po_ontime,"&gt;=0")))</f>
        <v/>
      </c>
      <c r="P298" s="67" t="str">
        <f>IF(A298="","",IF(COUNTIF(sup_code,A298)&gt;1,"Code en double",IF(B298="","Raison sociale manquante",IF(AND(K298&lt;&gt;"",OR(NOT(ISNUMBER(K298)),N(K298)&lt;0)),"Délai invalide","OK"))))</f>
        <v/>
      </c>
      <c r="Q298" s="70" t="str">
        <f>IF(A298="","",SUMIFS(po_ht,po_sup,A298,po_status,"&lt;&gt;Annulé",po_date,"&gt;="&amp;p_y0,po_date,"&lt;"&amp;p_y1))</f>
        <v/>
      </c>
      <c r="R298" s="66" t="str">
        <f>IF(N(Q298)&gt;0,Q298-ROW()/10000000,"")</f>
        <v/>
      </c>
    </row>
    <row r="299">
      <c r="A299" s="65" t="n"/>
      <c r="B299" s="63" t="n"/>
      <c r="C299" s="63" t="n"/>
      <c r="D299" s="63" t="n"/>
      <c r="E299" s="65" t="n"/>
      <c r="F299" s="63" t="n"/>
      <c r="G299" s="63" t="n"/>
      <c r="H299" s="63" t="n"/>
      <c r="I299" s="63" t="n"/>
      <c r="J299" s="63" t="n"/>
      <c r="K299" s="127" t="n"/>
      <c r="L299" s="128" t="str">
        <f>IF(A299="","",COUNTIFS(po_sup,A299,po_first,1))</f>
        <v/>
      </c>
      <c r="M299" s="70" t="str">
        <f>IF(A299="","",SUMIFS(po_ht,po_sup,A299,po_status,"&lt;&gt;Annulé"))</f>
        <v/>
      </c>
      <c r="N299" s="128" t="str">
        <f>IF(A299="","",COUNTIFS(po_sup,A299,po_status,"En retard"))</f>
        <v/>
      </c>
      <c r="O299" s="72" t="str">
        <f>IF(A299="","",IF(COUNTIFS(po_sup,A299,po_ontime,"&gt;=0")=0,"",COUNTIFS(po_sup,A299,po_ontime,1)/COUNTIFS(po_sup,A299,po_ontime,"&gt;=0")))</f>
        <v/>
      </c>
      <c r="P299" s="67" t="str">
        <f>IF(A299="","",IF(COUNTIF(sup_code,A299)&gt;1,"Code en double",IF(B299="","Raison sociale manquante",IF(AND(K299&lt;&gt;"",OR(NOT(ISNUMBER(K299)),N(K299)&lt;0)),"Délai invalide","OK"))))</f>
        <v/>
      </c>
      <c r="Q299" s="70" t="str">
        <f>IF(A299="","",SUMIFS(po_ht,po_sup,A299,po_status,"&lt;&gt;Annulé",po_date,"&gt;="&amp;p_y0,po_date,"&lt;"&amp;p_y1))</f>
        <v/>
      </c>
      <c r="R299" s="66" t="str">
        <f>IF(N(Q299)&gt;0,Q299-ROW()/10000000,"")</f>
        <v/>
      </c>
    </row>
    <row r="300">
      <c r="A300" s="65" t="n"/>
      <c r="B300" s="63" t="n"/>
      <c r="C300" s="63" t="n"/>
      <c r="D300" s="63" t="n"/>
      <c r="E300" s="65" t="n"/>
      <c r="F300" s="63" t="n"/>
      <c r="G300" s="63" t="n"/>
      <c r="H300" s="63" t="n"/>
      <c r="I300" s="63" t="n"/>
      <c r="J300" s="63" t="n"/>
      <c r="K300" s="127" t="n"/>
      <c r="L300" s="128" t="str">
        <f>IF(A300="","",COUNTIFS(po_sup,A300,po_first,1))</f>
        <v/>
      </c>
      <c r="M300" s="70" t="str">
        <f>IF(A300="","",SUMIFS(po_ht,po_sup,A300,po_status,"&lt;&gt;Annulé"))</f>
        <v/>
      </c>
      <c r="N300" s="128" t="str">
        <f>IF(A300="","",COUNTIFS(po_sup,A300,po_status,"En retard"))</f>
        <v/>
      </c>
      <c r="O300" s="72" t="str">
        <f>IF(A300="","",IF(COUNTIFS(po_sup,A300,po_ontime,"&gt;=0")=0,"",COUNTIFS(po_sup,A300,po_ontime,1)/COUNTIFS(po_sup,A300,po_ontime,"&gt;=0")))</f>
        <v/>
      </c>
      <c r="P300" s="67" t="str">
        <f>IF(A300="","",IF(COUNTIF(sup_code,A300)&gt;1,"Code en double",IF(B300="","Raison sociale manquante",IF(AND(K300&lt;&gt;"",OR(NOT(ISNUMBER(K300)),N(K300)&lt;0)),"Délai invalide","OK"))))</f>
        <v/>
      </c>
      <c r="Q300" s="70" t="str">
        <f>IF(A300="","",SUMIFS(po_ht,po_sup,A300,po_status,"&lt;&gt;Annulé",po_date,"&gt;="&amp;p_y0,po_date,"&lt;"&amp;p_y1))</f>
        <v/>
      </c>
      <c r="R300" s="66" t="str">
        <f>IF(N(Q300)&gt;0,Q300-ROW()/10000000,"")</f>
        <v/>
      </c>
    </row>
    <row r="301">
      <c r="A301" s="65" t="n"/>
      <c r="B301" s="63" t="n"/>
      <c r="C301" s="63" t="n"/>
      <c r="D301" s="63" t="n"/>
      <c r="E301" s="65" t="n"/>
      <c r="F301" s="63" t="n"/>
      <c r="G301" s="63" t="n"/>
      <c r="H301" s="63" t="n"/>
      <c r="I301" s="63" t="n"/>
      <c r="J301" s="63" t="n"/>
      <c r="K301" s="127" t="n"/>
      <c r="L301" s="128" t="str">
        <f>IF(A301="","",COUNTIFS(po_sup,A301,po_first,1))</f>
        <v/>
      </c>
      <c r="M301" s="70" t="str">
        <f>IF(A301="","",SUMIFS(po_ht,po_sup,A301,po_status,"&lt;&gt;Annulé"))</f>
        <v/>
      </c>
      <c r="N301" s="128" t="str">
        <f>IF(A301="","",COUNTIFS(po_sup,A301,po_status,"En retard"))</f>
        <v/>
      </c>
      <c r="O301" s="72" t="str">
        <f>IF(A301="","",IF(COUNTIFS(po_sup,A301,po_ontime,"&gt;=0")=0,"",COUNTIFS(po_sup,A301,po_ontime,1)/COUNTIFS(po_sup,A301,po_ontime,"&gt;=0")))</f>
        <v/>
      </c>
      <c r="P301" s="67" t="str">
        <f>IF(A301="","",IF(COUNTIF(sup_code,A301)&gt;1,"Code en double",IF(B301="","Raison sociale manquante",IF(AND(K301&lt;&gt;"",OR(NOT(ISNUMBER(K301)),N(K301)&lt;0)),"Délai invalide","OK"))))</f>
        <v/>
      </c>
      <c r="Q301" s="70" t="str">
        <f>IF(A301="","",SUMIFS(po_ht,po_sup,A301,po_status,"&lt;&gt;Annulé",po_date,"&gt;="&amp;p_y0,po_date,"&lt;"&amp;p_y1))</f>
        <v/>
      </c>
      <c r="R301" s="66" t="str">
        <f>IF(N(Q301)&gt;0,Q301-ROW()/10000000,"")</f>
        <v/>
      </c>
    </row>
    <row r="302">
      <c r="A302" s="65" t="n"/>
      <c r="B302" s="63" t="n"/>
      <c r="C302" s="63" t="n"/>
      <c r="D302" s="63" t="n"/>
      <c r="E302" s="65" t="n"/>
      <c r="F302" s="63" t="n"/>
      <c r="G302" s="63" t="n"/>
      <c r="H302" s="63" t="n"/>
      <c r="I302" s="63" t="n"/>
      <c r="J302" s="63" t="n"/>
      <c r="K302" s="127" t="n"/>
      <c r="L302" s="128" t="str">
        <f>IF(A302="","",COUNTIFS(po_sup,A302,po_first,1))</f>
        <v/>
      </c>
      <c r="M302" s="70" t="str">
        <f>IF(A302="","",SUMIFS(po_ht,po_sup,A302,po_status,"&lt;&gt;Annulé"))</f>
        <v/>
      </c>
      <c r="N302" s="128" t="str">
        <f>IF(A302="","",COUNTIFS(po_sup,A302,po_status,"En retard"))</f>
        <v/>
      </c>
      <c r="O302" s="72" t="str">
        <f>IF(A302="","",IF(COUNTIFS(po_sup,A302,po_ontime,"&gt;=0")=0,"",COUNTIFS(po_sup,A302,po_ontime,1)/COUNTIFS(po_sup,A302,po_ontime,"&gt;=0")))</f>
        <v/>
      </c>
      <c r="P302" s="67" t="str">
        <f>IF(A302="","",IF(COUNTIF(sup_code,A302)&gt;1,"Code en double",IF(B302="","Raison sociale manquante",IF(AND(K302&lt;&gt;"",OR(NOT(ISNUMBER(K302)),N(K302)&lt;0)),"Délai invalide","OK"))))</f>
        <v/>
      </c>
      <c r="Q302" s="70" t="str">
        <f>IF(A302="","",SUMIFS(po_ht,po_sup,A302,po_status,"&lt;&gt;Annulé",po_date,"&gt;="&amp;p_y0,po_date,"&lt;"&amp;p_y1))</f>
        <v/>
      </c>
      <c r="R302" s="66" t="str">
        <f>IF(N(Q302)&gt;0,Q302-ROW()/10000000,"")</f>
        <v/>
      </c>
    </row>
    <row r="303">
      <c r="A303" s="65" t="n"/>
      <c r="B303" s="63" t="n"/>
      <c r="C303" s="63" t="n"/>
      <c r="D303" s="63" t="n"/>
      <c r="E303" s="65" t="n"/>
      <c r="F303" s="63" t="n"/>
      <c r="G303" s="63" t="n"/>
      <c r="H303" s="63" t="n"/>
      <c r="I303" s="63" t="n"/>
      <c r="J303" s="63" t="n"/>
      <c r="K303" s="127" t="n"/>
      <c r="L303" s="128" t="str">
        <f>IF(A303="","",COUNTIFS(po_sup,A303,po_first,1))</f>
        <v/>
      </c>
      <c r="M303" s="70" t="str">
        <f>IF(A303="","",SUMIFS(po_ht,po_sup,A303,po_status,"&lt;&gt;Annulé"))</f>
        <v/>
      </c>
      <c r="N303" s="128" t="str">
        <f>IF(A303="","",COUNTIFS(po_sup,A303,po_status,"En retard"))</f>
        <v/>
      </c>
      <c r="O303" s="72" t="str">
        <f>IF(A303="","",IF(COUNTIFS(po_sup,A303,po_ontime,"&gt;=0")=0,"",COUNTIFS(po_sup,A303,po_ontime,1)/COUNTIFS(po_sup,A303,po_ontime,"&gt;=0")))</f>
        <v/>
      </c>
      <c r="P303" s="67" t="str">
        <f>IF(A303="","",IF(COUNTIF(sup_code,A303)&gt;1,"Code en double",IF(B303="","Raison sociale manquante",IF(AND(K303&lt;&gt;"",OR(NOT(ISNUMBER(K303)),N(K303)&lt;0)),"Délai invalide","OK"))))</f>
        <v/>
      </c>
      <c r="Q303" s="70" t="str">
        <f>IF(A303="","",SUMIFS(po_ht,po_sup,A303,po_status,"&lt;&gt;Annulé",po_date,"&gt;="&amp;p_y0,po_date,"&lt;"&amp;p_y1))</f>
        <v/>
      </c>
      <c r="R303" s="66" t="str">
        <f>IF(N(Q303)&gt;0,Q303-ROW()/10000000,"")</f>
        <v/>
      </c>
    </row>
    <row r="304">
      <c r="A304" s="65" t="n"/>
      <c r="B304" s="63" t="n"/>
      <c r="C304" s="63" t="n"/>
      <c r="D304" s="63" t="n"/>
      <c r="E304" s="65" t="n"/>
      <c r="F304" s="63" t="n"/>
      <c r="G304" s="63" t="n"/>
      <c r="H304" s="63" t="n"/>
      <c r="I304" s="63" t="n"/>
      <c r="J304" s="63" t="n"/>
      <c r="K304" s="127" t="n"/>
      <c r="L304" s="128" t="str">
        <f>IF(A304="","",COUNTIFS(po_sup,A304,po_first,1))</f>
        <v/>
      </c>
      <c r="M304" s="70" t="str">
        <f>IF(A304="","",SUMIFS(po_ht,po_sup,A304,po_status,"&lt;&gt;Annulé"))</f>
        <v/>
      </c>
      <c r="N304" s="128" t="str">
        <f>IF(A304="","",COUNTIFS(po_sup,A304,po_status,"En retard"))</f>
        <v/>
      </c>
      <c r="O304" s="72" t="str">
        <f>IF(A304="","",IF(COUNTIFS(po_sup,A304,po_ontime,"&gt;=0")=0,"",COUNTIFS(po_sup,A304,po_ontime,1)/COUNTIFS(po_sup,A304,po_ontime,"&gt;=0")))</f>
        <v/>
      </c>
      <c r="P304" s="67" t="str">
        <f>IF(A304="","",IF(COUNTIF(sup_code,A304)&gt;1,"Code en double",IF(B304="","Raison sociale manquante",IF(AND(K304&lt;&gt;"",OR(NOT(ISNUMBER(K304)),N(K304)&lt;0)),"Délai invalide","OK"))))</f>
        <v/>
      </c>
      <c r="Q304" s="70" t="str">
        <f>IF(A304="","",SUMIFS(po_ht,po_sup,A304,po_status,"&lt;&gt;Annulé",po_date,"&gt;="&amp;p_y0,po_date,"&lt;"&amp;p_y1))</f>
        <v/>
      </c>
      <c r="R304" s="66" t="str">
        <f>IF(N(Q304)&gt;0,Q304-ROW()/10000000,"")</f>
        <v/>
      </c>
    </row>
    <row r="305">
      <c r="A305" s="65" t="n"/>
      <c r="B305" s="63" t="n"/>
      <c r="C305" s="63" t="n"/>
      <c r="D305" s="63" t="n"/>
      <c r="E305" s="65" t="n"/>
      <c r="F305" s="63" t="n"/>
      <c r="G305" s="63" t="n"/>
      <c r="H305" s="63" t="n"/>
      <c r="I305" s="63" t="n"/>
      <c r="J305" s="63" t="n"/>
      <c r="K305" s="127" t="n"/>
      <c r="L305" s="128" t="str">
        <f>IF(A305="","",COUNTIFS(po_sup,A305,po_first,1))</f>
        <v/>
      </c>
      <c r="M305" s="70" t="str">
        <f>IF(A305="","",SUMIFS(po_ht,po_sup,A305,po_status,"&lt;&gt;Annulé"))</f>
        <v/>
      </c>
      <c r="N305" s="128" t="str">
        <f>IF(A305="","",COUNTIFS(po_sup,A305,po_status,"En retard"))</f>
        <v/>
      </c>
      <c r="O305" s="72" t="str">
        <f>IF(A305="","",IF(COUNTIFS(po_sup,A305,po_ontime,"&gt;=0")=0,"",COUNTIFS(po_sup,A305,po_ontime,1)/COUNTIFS(po_sup,A305,po_ontime,"&gt;=0")))</f>
        <v/>
      </c>
      <c r="P305" s="67" t="str">
        <f>IF(A305="","",IF(COUNTIF(sup_code,A305)&gt;1,"Code en double",IF(B305="","Raison sociale manquante",IF(AND(K305&lt;&gt;"",OR(NOT(ISNUMBER(K305)),N(K305)&lt;0)),"Délai invalide","OK"))))</f>
        <v/>
      </c>
      <c r="Q305" s="70" t="str">
        <f>IF(A305="","",SUMIFS(po_ht,po_sup,A305,po_status,"&lt;&gt;Annulé",po_date,"&gt;="&amp;p_y0,po_date,"&lt;"&amp;p_y1))</f>
        <v/>
      </c>
      <c r="R305" s="66" t="str">
        <f>IF(N(Q305)&gt;0,Q305-ROW()/10000000,"")</f>
        <v/>
      </c>
    </row>
  </sheetData>
  <autoFilter ref="A5:P305"/>
  <conditionalFormatting sqref="P6:P305">
    <cfRule type="expression" priority="1" dxfId="4">
      <formula>$P6="OK"</formula>
    </cfRule>
    <cfRule type="expression" priority="2" dxfId="3">
      <formula>AND($P6&lt;&gt;"",$P6&lt;&gt;"OK")</formula>
    </cfRule>
  </conditionalFormatting>
  <conditionalFormatting sqref="O6:O305">
    <cfRule type="expression" priority="3" dxfId="31" stopIfTrue="1">
      <formula>AND(ISNUMBER(O6),O6&gt;=0.95)</formula>
    </cfRule>
    <cfRule type="expression" priority="4" dxfId="32" stopIfTrue="1">
      <formula>AND(ISNUMBER(O6),O6&gt;=0.8)</formula>
    </cfRule>
    <cfRule type="expression" priority="5" dxfId="6">
      <formula>ISNUMBER(O6)</formula>
    </cfRule>
  </conditionalFormatting>
  <conditionalFormatting sqref="N6:N305">
    <cfRule type="expression" priority="6" dxfId="6">
      <formula>N($N6)&gt;0</formula>
    </cfRule>
  </conditionalFormatting>
  <conditionalFormatting sqref="M6:M305">
    <cfRule type="expression" priority="7" dxfId="17">
      <formula>p_currency="MAD"</formula>
    </cfRule>
    <cfRule type="expression" priority="9" dxfId="18">
      <formula>p_currency="EUR"</formula>
    </cfRule>
    <cfRule type="expression" priority="11" dxfId="19">
      <formula>p_currency="USD"</formula>
    </cfRule>
  </conditionalFormatting>
  <conditionalFormatting sqref="Q6:Q305">
    <cfRule type="expression" priority="8" dxfId="17">
      <formula>p_currency="MAD"</formula>
    </cfRule>
    <cfRule type="expression" priority="10" dxfId="18">
      <formula>p_currency="EUR"</formula>
    </cfRule>
    <cfRule type="expression" priority="12" dxfId="19">
      <formula>p_currency="USD"</formula>
    </cfRule>
  </conditionalFormatting>
  <dataValidations count="3">
    <dataValidation sqref="A6:A305" showDropDown="0" showInputMessage="1" showErrorMessage="1" allowBlank="1" errorTitle="Code fournisseur" error="40 caractères au maximum." promptTitle="Code fournisseur" prompt="Code court et unique, par exemple MET01. C'est lui que vous choisissez dans « Commandes »." type="textLength" operator="lessThanOrEqual">
      <formula1>40</formula1>
    </dataValidation>
    <dataValidation sqref="J6:J305" showDropDown="0" showInputMessage="1" showErrorMessage="1" allowBlank="1" errorTitle="Conditions de paiement" error="Choisissez dans la liste (modifiable dans « Paramètres »)." promptTitle="Conditions de paiement" prompt="Choisissez dans la liste (modifiable dans « Paramètres »)." type="list">
      <formula1>=p_termlist</formula1>
    </dataValidation>
    <dataValidation sqref="K6:K305" showDropDown="0" showInputMessage="1" showErrorMessage="1" allowBlank="1" errorTitle="Délai de livraison" error="Nombre de jours habituel entre la commande et la livraison. Sert à calculer la date prévue." promptTitle="Délai de livraison" prompt="Nombre de jours habituel entre la commande et la livraison. Sert à calculer la date prévue." type="whole" operator="between">
      <formula1>0</formula1>
      <formula2>365</formula2>
    </dataValidation>
  </dataValidations>
  <hyperlinks>
    <hyperlink ref="P1" location="'Mode d''emploi'!A1"/>
  </hyperlinks>
  <printOptions horizontalCentered="1"/>
  <pageMargins left="0.4" right="0.4" top="0.5" bottom="0.5" header="0.5" footer="0.5"/>
  <pageSetup orientation="landscape" paperSize="9" fitToHeight="0" fitToWidth="1"/>
</worksheet>
</file>

<file path=xl/worksheets/sheet7.xml><?xml version="1.0" encoding="utf-8"?>
<worksheet xmlns="http://schemas.openxmlformats.org/spreadsheetml/2006/main">
  <sheetPr>
    <tabColor rgb="FF1D4ED8"/>
    <outlinePr summaryBelow="1" summaryRight="1"/>
    <pageSetUpPr fitToPage="1"/>
  </sheetPr>
  <dimension ref="A1:K10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15" customWidth="1" min="1" max="1"/>
    <col width="38" customWidth="1" min="2" max="2"/>
    <col width="10" customWidth="1" min="3" max="3"/>
    <col width="13" customWidth="1" min="4" max="4"/>
    <col width="8" customWidth="1" min="5" max="5"/>
    <col width="13" customWidth="1" min="6" max="6"/>
    <col width="12" customWidth="1" min="7" max="7"/>
    <col width="12" customWidth="1" min="8" max="8"/>
    <col width="12" customWidth="1" min="9" max="9"/>
    <col width="14" customWidth="1" min="10" max="10"/>
    <col width="22" customWidth="1" min="11" max="11"/>
  </cols>
  <sheetData>
    <row r="1" ht="38" customHeight="1">
      <c r="A1" s="2" t="inlineStr">
        <is>
          <t>Articles</t>
        </is>
      </c>
      <c r="B1" s="1" t="n"/>
      <c r="C1" s="1" t="n"/>
      <c r="D1" s="1" t="n"/>
      <c r="E1" s="1" t="n"/>
      <c r="F1" s="1" t="n"/>
      <c r="G1" s="1" t="n"/>
      <c r="H1" s="1" t="n"/>
      <c r="I1" s="1" t="n"/>
      <c r="J1" s="1" t="n"/>
      <c r="K1" s="18" t="inlineStr">
        <is>
          <t>⌂ Mode d'emploi</t>
        </is>
      </c>
    </row>
    <row r="2" ht="22" customHeight="1">
      <c r="A2" s="4" t="inlineStr">
        <is>
          <t>Votre catalogue d'achat. Le prix HT et la TVA se reportent seuls sur les lignes de commande.</t>
        </is>
      </c>
      <c r="B2" s="3" t="n"/>
      <c r="C2" s="3" t="n"/>
      <c r="D2" s="3" t="n"/>
      <c r="E2" s="3" t="n"/>
      <c r="F2" s="3" t="n"/>
      <c r="G2" s="3" t="n"/>
      <c r="H2" s="3" t="n"/>
      <c r="I2" s="3" t="n"/>
      <c r="J2" s="3" t="n"/>
      <c r="K2" s="3" t="n"/>
    </row>
    <row r="3" ht="18" customHeight="1">
      <c r="I3" s="16" t="inlineStr">
        <is>
          <t>Saisie</t>
        </is>
      </c>
      <c r="J3" s="17" t="inlineStr">
        <is>
          <t>Calcul auto</t>
        </is>
      </c>
    </row>
    <row r="5" ht="34" customHeight="1">
      <c r="A5" s="45" t="inlineStr">
        <is>
          <t>Référence</t>
        </is>
      </c>
      <c r="B5" s="45" t="inlineStr">
        <is>
          <t>Désignation</t>
        </is>
      </c>
      <c r="C5" s="45" t="inlineStr">
        <is>
          <t>Unité</t>
        </is>
      </c>
      <c r="D5" s="45" t="inlineStr">
        <is>
          <t>Prix d'achat HT</t>
        </is>
      </c>
      <c r="E5" s="45" t="inlineStr">
        <is>
          <t>TVA</t>
        </is>
      </c>
      <c r="F5" s="45" t="inlineStr">
        <is>
          <t>Fournisseur habituel</t>
        </is>
      </c>
      <c r="G5" s="45" t="inlineStr">
        <is>
          <t>Qté commandée</t>
        </is>
      </c>
      <c r="H5" s="45" t="inlineStr">
        <is>
          <t>Qté reçue</t>
        </is>
      </c>
      <c r="I5" s="45" t="inlineStr">
        <is>
          <t>Reste à recevoir</t>
        </is>
      </c>
      <c r="J5" s="45" t="inlineStr">
        <is>
          <t>Dernier prix payé</t>
        </is>
      </c>
      <c r="K5" s="45" t="inlineStr">
        <is>
          <t>Contrôle</t>
        </is>
      </c>
    </row>
    <row r="6">
      <c r="A6" s="63" t="inlineStr">
        <is>
          <t>TOL-S235-2</t>
        </is>
      </c>
      <c r="B6" s="63" t="inlineStr">
        <is>
          <t>Tôle acier S235 ép. 2 mm</t>
        </is>
      </c>
      <c r="C6" s="65" t="inlineStr">
        <is>
          <t>kg</t>
        </is>
      </c>
      <c r="D6" s="69" t="n">
        <v>11.8</v>
      </c>
      <c r="E6" s="71" t="n">
        <v>0.2</v>
      </c>
      <c r="F6" s="65" t="inlineStr">
        <is>
          <t>MET01</t>
        </is>
      </c>
      <c r="G6" s="74">
        <f>IF(A6="","",SUMIFS(po_qty,po_ref,A6,po_status,"&lt;&gt;Annulé"))</f>
        <v>3500.0</v>
      </c>
      <c r="H6" s="74">
        <f>IF(A6="","",SUMIFS(po_rcv,po_ref,A6,po_status,"&lt;&gt;Annulé"))</f>
        <v>2900.0</v>
      </c>
      <c r="I6" s="74">
        <f>IF(A6="","",SUMIFS(po_rest,po_ref,A6,po_key,"&gt;0"))</f>
        <v>600.0</v>
      </c>
      <c r="J6" s="70">
        <f>IF(A6="","",IF(COUNTIFS(po_ref,A6,po_status,"&lt;&gt;Annulé")=0,"",INDEX(po_price,SUMPRODUCT(MAX((po_ref=A6)*(po_status&lt;&gt;"Annulé")*(ROW(po_ref)-5))))))</f>
        <v>11.8</v>
      </c>
      <c r="K6" s="67" t="str">
        <f>IF(A6="","",IF(COUNTIF(art_ref,A6)&gt;1,"Référence en double",IF(B6="","Désignation manquante",IF(NOT(ISNUMBER(D6)),"Prix manquant",IF(E6="","TVA manquante",IF(ISNA(MATCH(E6,p_tva,0)),"Taux de TVA inconnu",IF(AND(F6&lt;&gt;"",ISNA(MATCH(F6,sup_code,0))),"Fournisseur inconnu","OK")))))))</f>
        <v>OK</v>
      </c>
    </row>
    <row r="7">
      <c r="A7" s="63" t="inlineStr">
        <is>
          <t>TOL-S235-4</t>
        </is>
      </c>
      <c r="B7" s="63" t="inlineStr">
        <is>
          <t>Tôle acier S235 ép. 4 mm</t>
        </is>
      </c>
      <c r="C7" s="65" t="inlineStr">
        <is>
          <t>kg</t>
        </is>
      </c>
      <c r="D7" s="69" t="n">
        <v>11.4</v>
      </c>
      <c r="E7" s="71" t="n">
        <v>0.2</v>
      </c>
      <c r="F7" s="65" t="inlineStr">
        <is>
          <t>MET01</t>
        </is>
      </c>
      <c r="G7" s="74">
        <f>IF(A7="","",SUMIFS(po_qty,po_ref,A7,po_status,"&lt;&gt;Annulé"))</f>
        <v>1500.0</v>
      </c>
      <c r="H7" s="74">
        <f>IF(A7="","",SUMIFS(po_rcv,po_ref,A7,po_status,"&lt;&gt;Annulé"))</f>
        <v>1500.0</v>
      </c>
      <c r="I7" s="74">
        <f>IF(A7="","",SUMIFS(po_rest,po_ref,A7,po_key,"&gt;0"))</f>
        <v>0.0</v>
      </c>
      <c r="J7" s="70">
        <f>IF(A7="","",IF(COUNTIFS(po_ref,A7,po_status,"&lt;&gt;Annulé")=0,"",INDEX(po_price,SUMPRODUCT(MAX((po_ref=A7)*(po_status&lt;&gt;"Annulé")*(ROW(po_ref)-5))))))</f>
        <v>11.4</v>
      </c>
      <c r="K7" s="67" t="str">
        <f>IF(A7="","",IF(COUNTIF(art_ref,A7)&gt;1,"Référence en double",IF(B7="","Désignation manquante",IF(NOT(ISNUMBER(D7)),"Prix manquant",IF(E7="","TVA manquante",IF(ISNA(MATCH(E7,p_tva,0)),"Taux de TVA inconnu",IF(AND(F7&lt;&gt;"",ISNA(MATCH(F7,sup_code,0))),"Fournisseur inconnu","OK")))))))</f>
        <v>OK</v>
      </c>
    </row>
    <row r="8">
      <c r="A8" s="63" t="inlineStr">
        <is>
          <t>ROND-C45-30</t>
        </is>
      </c>
      <c r="B8" s="63" t="inlineStr">
        <is>
          <t>Rond acier C45 Ø30, barre 3 m</t>
        </is>
      </c>
      <c r="C8" s="65" t="inlineStr">
        <is>
          <t>barre</t>
        </is>
      </c>
      <c r="D8" s="69" t="n">
        <v>285</v>
      </c>
      <c r="E8" s="71" t="n">
        <v>0.2</v>
      </c>
      <c r="F8" s="65" t="inlineStr">
        <is>
          <t>MET01</t>
        </is>
      </c>
      <c r="G8" s="74">
        <f>IF(A8="","",SUMIFS(po_qty,po_ref,A8,po_status,"&lt;&gt;Annulé"))</f>
        <v>32.0</v>
      </c>
      <c r="H8" s="74">
        <f>IF(A8="","",SUMIFS(po_rcv,po_ref,A8,po_status,"&lt;&gt;Annulé"))</f>
        <v>12.0</v>
      </c>
      <c r="I8" s="74">
        <f>IF(A8="","",SUMIFS(po_rest,po_ref,A8,po_key,"&gt;0"))</f>
        <v>20.0</v>
      </c>
      <c r="J8" s="70">
        <f>IF(A8="","",IF(COUNTIFS(po_ref,A8,po_status,"&lt;&gt;Annulé")=0,"",INDEX(po_price,SUMPRODUCT(MAX((po_ref=A8)*(po_status&lt;&gt;"Annulé")*(ROW(po_ref)-5))))))</f>
        <v>285.0</v>
      </c>
      <c r="K8" s="67" t="str">
        <f>IF(A8="","",IF(COUNTIF(art_ref,A8)&gt;1,"Référence en double",IF(B8="","Désignation manquante",IF(NOT(ISNUMBER(D8)),"Prix manquant",IF(E8="","TVA manquante",IF(ISNA(MATCH(E8,p_tva,0)),"Taux de TVA inconnu",IF(AND(F8&lt;&gt;"",ISNA(MATCH(F8,sup_code,0))),"Fournisseur inconnu","OK")))))))</f>
        <v>OK</v>
      </c>
    </row>
    <row r="9">
      <c r="A9" s="63" t="inlineStr">
        <is>
          <t>TUB-40X40</t>
        </is>
      </c>
      <c r="B9" s="63" t="inlineStr">
        <is>
          <t>Tube carré 40x40x2, barre 6 m</t>
        </is>
      </c>
      <c r="C9" s="65" t="inlineStr">
        <is>
          <t>barre</t>
        </is>
      </c>
      <c r="D9" s="69" t="n">
        <v>168</v>
      </c>
      <c r="E9" s="71" t="n">
        <v>0.2</v>
      </c>
      <c r="F9" s="65" t="inlineStr">
        <is>
          <t>TUB02</t>
        </is>
      </c>
      <c r="G9" s="74">
        <f>IF(A9="","",SUMIFS(po_qty,po_ref,A9,po_status,"&lt;&gt;Annulé"))</f>
        <v>140.0</v>
      </c>
      <c r="H9" s="74">
        <f>IF(A9="","",SUMIFS(po_rcv,po_ref,A9,po_status,"&lt;&gt;Annulé"))</f>
        <v>60.0</v>
      </c>
      <c r="I9" s="74">
        <f>IF(A9="","",SUMIFS(po_rest,po_ref,A9,po_key,"&gt;0"))</f>
        <v>80.0</v>
      </c>
      <c r="J9" s="70">
        <f>IF(A9="","",IF(COUNTIFS(po_ref,A9,po_status,"&lt;&gt;Annulé")=0,"",INDEX(po_price,SUMPRODUCT(MAX((po_ref=A9)*(po_status&lt;&gt;"Annulé")*(ROW(po_ref)-5))))))</f>
        <v>168.0</v>
      </c>
      <c r="K9" s="67" t="str">
        <f>IF(A9="","",IF(COUNTIF(art_ref,A9)&gt;1,"Référence en double",IF(B9="","Désignation manquante",IF(NOT(ISNUMBER(D9)),"Prix manquant",IF(E9="","TVA manquante",IF(ISNA(MATCH(E9,p_tva,0)),"Taux de TVA inconnu",IF(AND(F9&lt;&gt;"",ISNA(MATCH(F9,sup_code,0))),"Fournisseur inconnu","OK")))))))</f>
        <v>OK</v>
      </c>
    </row>
    <row r="10">
      <c r="A10" s="63" t="inlineStr">
        <is>
          <t>TUB-R-33</t>
        </is>
      </c>
      <c r="B10" s="63" t="inlineStr">
        <is>
          <t>Tube rond Ø33,7x2,6, barre 6 m</t>
        </is>
      </c>
      <c r="C10" s="65" t="inlineStr">
        <is>
          <t>barre</t>
        </is>
      </c>
      <c r="D10" s="69" t="n">
        <v>142</v>
      </c>
      <c r="E10" s="71" t="n">
        <v>0.2</v>
      </c>
      <c r="F10" s="65" t="inlineStr">
        <is>
          <t>TUB02</t>
        </is>
      </c>
      <c r="G10" s="74">
        <f>IF(A10="","",SUMIFS(po_qty,po_ref,A10,po_status,"&lt;&gt;Annulé"))</f>
        <v>100.0</v>
      </c>
      <c r="H10" s="74">
        <f>IF(A10="","",SUMIFS(po_rcv,po_ref,A10,po_status,"&lt;&gt;Annulé"))</f>
        <v>40.0</v>
      </c>
      <c r="I10" s="74">
        <f>IF(A10="","",SUMIFS(po_rest,po_ref,A10,po_key,"&gt;0"))</f>
        <v>0.0</v>
      </c>
      <c r="J10" s="70">
        <f>IF(A10="","",IF(COUNTIFS(po_ref,A10,po_status,"&lt;&gt;Annulé")=0,"",INDEX(po_price,SUMPRODUCT(MAX((po_ref=A10)*(po_status&lt;&gt;"Annulé")*(ROW(po_ref)-5))))))</f>
        <v>142.0</v>
      </c>
      <c r="K10" s="67" t="str">
        <f>IF(A10="","",IF(COUNTIF(art_ref,A10)&gt;1,"Référence en double",IF(B10="","Désignation manquante",IF(NOT(ISNUMBER(D10)),"Prix manquant",IF(E10="","TVA manquante",IF(ISNA(MATCH(E10,p_tva,0)),"Taux de TVA inconnu",IF(AND(F10&lt;&gt;"",ISNA(MATCH(F10,sup_code,0))),"Fournisseur inconnu","OK")))))))</f>
        <v>OK</v>
      </c>
    </row>
    <row r="11">
      <c r="A11" s="63" t="inlineStr">
        <is>
          <t>COR-L40</t>
        </is>
      </c>
      <c r="B11" s="63" t="inlineStr">
        <is>
          <t>Cornière 40x40x4, barre 6 m</t>
        </is>
      </c>
      <c r="C11" s="65" t="inlineStr">
        <is>
          <t>barre</t>
        </is>
      </c>
      <c r="D11" s="69" t="n">
        <v>121</v>
      </c>
      <c r="E11" s="71" t="n">
        <v>0.2</v>
      </c>
      <c r="F11" s="65" t="inlineStr">
        <is>
          <t>TUB02</t>
        </is>
      </c>
      <c r="G11" s="74">
        <f>IF(A11="","",SUMIFS(po_qty,po_ref,A11,po_status,"&lt;&gt;Annulé"))</f>
        <v>120.0</v>
      </c>
      <c r="H11" s="74">
        <f>IF(A11="","",SUMIFS(po_rcv,po_ref,A11,po_status,"&lt;&gt;Annulé"))</f>
        <v>30.0</v>
      </c>
      <c r="I11" s="74">
        <f>IF(A11="","",SUMIFS(po_rest,po_ref,A11,po_key,"&gt;0"))</f>
        <v>50.0</v>
      </c>
      <c r="J11" s="70">
        <f>IF(A11="","",IF(COUNTIFS(po_ref,A11,po_status,"&lt;&gt;Annulé")=0,"",INDEX(po_price,SUMPRODUCT(MAX((po_ref=A11)*(po_status&lt;&gt;"Annulé")*(ROW(po_ref)-5))))))</f>
        <v>121.0</v>
      </c>
      <c r="K11" s="67" t="str">
        <f>IF(A11="","",IF(COUNTIF(art_ref,A11)&gt;1,"Référence en double",IF(B11="","Désignation manquante",IF(NOT(ISNUMBER(D11)),"Prix manquant",IF(E11="","TVA manquante",IF(ISNA(MATCH(E11,p_tva,0)),"Taux de TVA inconnu",IF(AND(F11&lt;&gt;"",ISNA(MATCH(F11,sup_code,0))),"Fournisseur inconnu","OK")))))))</f>
        <v>OK</v>
      </c>
    </row>
    <row r="12">
      <c r="A12" s="63" t="inlineStr">
        <is>
          <t>VIS-M8-25</t>
        </is>
      </c>
      <c r="B12" s="63" t="inlineStr">
        <is>
          <t>Vis H M8x25 classe 8.8 (boîte de 100)</t>
        </is>
      </c>
      <c r="C12" s="65" t="inlineStr">
        <is>
          <t>boîte</t>
        </is>
      </c>
      <c r="D12" s="69" t="n">
        <v>46</v>
      </c>
      <c r="E12" s="71" t="n">
        <v>0.2</v>
      </c>
      <c r="F12" s="65" t="inlineStr">
        <is>
          <t>FIX03</t>
        </is>
      </c>
      <c r="G12" s="74">
        <f>IF(A12="","",SUMIFS(po_qty,po_ref,A12,po_status,"&lt;&gt;Annulé"))</f>
        <v>50.0</v>
      </c>
      <c r="H12" s="74">
        <f>IF(A12="","",SUMIFS(po_rcv,po_ref,A12,po_status,"&lt;&gt;Annulé"))</f>
        <v>50.0</v>
      </c>
      <c r="I12" s="74">
        <f>IF(A12="","",SUMIFS(po_rest,po_ref,A12,po_key,"&gt;0"))</f>
        <v>0.0</v>
      </c>
      <c r="J12" s="70">
        <f>IF(A12="","",IF(COUNTIFS(po_ref,A12,po_status,"&lt;&gt;Annulé")=0,"",INDEX(po_price,SUMPRODUCT(MAX((po_ref=A12)*(po_status&lt;&gt;"Annulé")*(ROW(po_ref)-5))))))</f>
        <v>46.0</v>
      </c>
      <c r="K12" s="67" t="str">
        <f>IF(A12="","",IF(COUNTIF(art_ref,A12)&gt;1,"Référence en double",IF(B12="","Désignation manquante",IF(NOT(ISNUMBER(D12)),"Prix manquant",IF(E12="","TVA manquante",IF(ISNA(MATCH(E12,p_tva,0)),"Taux de TVA inconnu",IF(AND(F12&lt;&gt;"",ISNA(MATCH(F12,sup_code,0))),"Fournisseur inconnu","OK")))))))</f>
        <v>OK</v>
      </c>
    </row>
    <row r="13">
      <c r="A13" s="63" t="inlineStr">
        <is>
          <t>ECR-M8</t>
        </is>
      </c>
      <c r="B13" s="63" t="inlineStr">
        <is>
          <t>Écrou H M8 classe 8 (boîte de 100)</t>
        </is>
      </c>
      <c r="C13" s="65" t="inlineStr">
        <is>
          <t>boîte</t>
        </is>
      </c>
      <c r="D13" s="69" t="n">
        <v>22</v>
      </c>
      <c r="E13" s="71" t="n">
        <v>0.2</v>
      </c>
      <c r="F13" s="65" t="inlineStr">
        <is>
          <t>FIX03</t>
        </is>
      </c>
      <c r="G13" s="74">
        <f>IF(A13="","",SUMIFS(po_qty,po_ref,A13,po_status,"&lt;&gt;Annulé"))</f>
        <v>50.0</v>
      </c>
      <c r="H13" s="74">
        <f>IF(A13="","",SUMIFS(po_rcv,po_ref,A13,po_status,"&lt;&gt;Annulé"))</f>
        <v>20.0</v>
      </c>
      <c r="I13" s="74">
        <f>IF(A13="","",SUMIFS(po_rest,po_ref,A13,po_key,"&gt;0"))</f>
        <v>30.0</v>
      </c>
      <c r="J13" s="70">
        <f>IF(A13="","",IF(COUNTIFS(po_ref,A13,po_status,"&lt;&gt;Annulé")=0,"",INDEX(po_price,SUMPRODUCT(MAX((po_ref=A13)*(po_status&lt;&gt;"Annulé")*(ROW(po_ref)-5))))))</f>
        <v>22.0</v>
      </c>
      <c r="K13" s="67" t="str">
        <f>IF(A13="","",IF(COUNTIF(art_ref,A13)&gt;1,"Référence en double",IF(B13="","Désignation manquante",IF(NOT(ISNUMBER(D13)),"Prix manquant",IF(E13="","TVA manquante",IF(ISNA(MATCH(E13,p_tva,0)),"Taux de TVA inconnu",IF(AND(F13&lt;&gt;"",ISNA(MATCH(F13,sup_code,0))),"Fournisseur inconnu","OK")))))))</f>
        <v>OK</v>
      </c>
    </row>
    <row r="14">
      <c r="A14" s="63" t="inlineStr">
        <is>
          <t>RON-M8</t>
        </is>
      </c>
      <c r="B14" s="63" t="inlineStr">
        <is>
          <t>Rondelle plate M8 (boîte de 200)</t>
        </is>
      </c>
      <c r="C14" s="65" t="inlineStr">
        <is>
          <t>boîte</t>
        </is>
      </c>
      <c r="D14" s="69" t="n">
        <v>9.5</v>
      </c>
      <c r="E14" s="71" t="n">
        <v>0.2</v>
      </c>
      <c r="F14" s="65" t="inlineStr">
        <is>
          <t>FIX03</t>
        </is>
      </c>
      <c r="G14" s="74">
        <f>IF(A14="","",SUMIFS(po_qty,po_ref,A14,po_status,"&lt;&gt;Annulé"))</f>
        <v>30.0</v>
      </c>
      <c r="H14" s="74">
        <f>IF(A14="","",SUMIFS(po_rcv,po_ref,A14,po_status,"&lt;&gt;Annulé"))</f>
        <v>30.0</v>
      </c>
      <c r="I14" s="74">
        <f>IF(A14="","",SUMIFS(po_rest,po_ref,A14,po_key,"&gt;0"))</f>
        <v>0.0</v>
      </c>
      <c r="J14" s="70">
        <f>IF(A14="","",IF(COUNTIFS(po_ref,A14,po_status,"&lt;&gt;Annulé")=0,"",INDEX(po_price,SUMPRODUCT(MAX((po_ref=A14)*(po_status&lt;&gt;"Annulé")*(ROW(po_ref)-5))))))</f>
        <v>9.5</v>
      </c>
      <c r="K14" s="67" t="str">
        <f>IF(A14="","",IF(COUNTIF(art_ref,A14)&gt;1,"Référence en double",IF(B14="","Désignation manquante",IF(NOT(ISNUMBER(D14)),"Prix manquant",IF(E14="","TVA manquante",IF(ISNA(MATCH(E14,p_tva,0)),"Taux de TVA inconnu",IF(AND(F14&lt;&gt;"",ISNA(MATCH(F14,sup_code,0))),"Fournisseur inconnu","OK")))))))</f>
        <v>OK</v>
      </c>
    </row>
    <row r="15">
      <c r="A15" s="63" t="inlineStr">
        <is>
          <t>ROUL-6204</t>
        </is>
      </c>
      <c r="B15" s="63" t="inlineStr">
        <is>
          <t>Roulement 6204-2RS</t>
        </is>
      </c>
      <c r="C15" s="65" t="inlineStr">
        <is>
          <t>pièce</t>
        </is>
      </c>
      <c r="D15" s="69" t="n">
        <v>38</v>
      </c>
      <c r="E15" s="71" t="n">
        <v>0.2</v>
      </c>
      <c r="F15" s="65" t="inlineStr">
        <is>
          <t>ROU04</t>
        </is>
      </c>
      <c r="G15" s="74">
        <f>IF(A15="","",SUMIFS(po_qty,po_ref,A15,po_status,"&lt;&gt;Annulé"))</f>
        <v>350.0</v>
      </c>
      <c r="H15" s="74">
        <f>IF(A15="","",SUMIFS(po_rcv,po_ref,A15,po_status,"&lt;&gt;Annulé"))</f>
        <v>200.0</v>
      </c>
      <c r="I15" s="74">
        <f>IF(A15="","",SUMIFS(po_rest,po_ref,A15,po_key,"&gt;0"))</f>
        <v>0.0</v>
      </c>
      <c r="J15" s="70">
        <f>IF(A15="","",IF(COUNTIFS(po_ref,A15,po_status,"&lt;&gt;Annulé")=0,"",INDEX(po_price,SUMPRODUCT(MAX((po_ref=A15)*(po_status&lt;&gt;"Annulé")*(ROW(po_ref)-5))))))</f>
        <v>38.0</v>
      </c>
      <c r="K15" s="67" t="str">
        <f>IF(A15="","",IF(COUNTIF(art_ref,A15)&gt;1,"Référence en double",IF(B15="","Désignation manquante",IF(NOT(ISNUMBER(D15)),"Prix manquant",IF(E15="","TVA manquante",IF(ISNA(MATCH(E15,p_tva,0)),"Taux de TVA inconnu",IF(AND(F15&lt;&gt;"",ISNA(MATCH(F15,sup_code,0))),"Fournisseur inconnu","OK")))))))</f>
        <v>OK</v>
      </c>
    </row>
    <row r="16">
      <c r="A16" s="63" t="inlineStr">
        <is>
          <t>ROUL-6305</t>
        </is>
      </c>
      <c r="B16" s="63" t="inlineStr">
        <is>
          <t>Roulement 6305-2RS</t>
        </is>
      </c>
      <c r="C16" s="65" t="inlineStr">
        <is>
          <t>pièce</t>
        </is>
      </c>
      <c r="D16" s="69" t="n">
        <v>64</v>
      </c>
      <c r="E16" s="71" t="n">
        <v>0.2</v>
      </c>
      <c r="F16" s="65" t="inlineStr">
        <is>
          <t>ROU04</t>
        </is>
      </c>
      <c r="G16" s="74">
        <f>IF(A16="","",SUMIFS(po_qty,po_ref,A16,po_status,"&lt;&gt;Annulé"))</f>
        <v>80.0</v>
      </c>
      <c r="H16" s="74">
        <f>IF(A16="","",SUMIFS(po_rcv,po_ref,A16,po_status,"&lt;&gt;Annulé"))</f>
        <v>50.0</v>
      </c>
      <c r="I16" s="74">
        <f>IF(A16="","",SUMIFS(po_rest,po_ref,A16,po_key,"&gt;0"))</f>
        <v>30.0</v>
      </c>
      <c r="J16" s="70">
        <f>IF(A16="","",IF(COUNTIFS(po_ref,A16,po_status,"&lt;&gt;Annulé")=0,"",INDEX(po_price,SUMPRODUCT(MAX((po_ref=A16)*(po_status&lt;&gt;"Annulé")*(ROW(po_ref)-5))))))</f>
        <v>64.0</v>
      </c>
      <c r="K16" s="67" t="str">
        <f>IF(A16="","",IF(COUNTIF(art_ref,A16)&gt;1,"Référence en double",IF(B16="","Désignation manquante",IF(NOT(ISNUMBER(D16)),"Prix manquant",IF(E16="","TVA manquante",IF(ISNA(MATCH(E16,p_tva,0)),"Taux de TVA inconnu",IF(AND(F16&lt;&gt;"",ISNA(MATCH(F16,sup_code,0))),"Fournisseur inconnu","OK")))))))</f>
        <v>OK</v>
      </c>
    </row>
    <row r="17">
      <c r="A17" s="63" t="inlineStr">
        <is>
          <t>FIL-MIG-1</t>
        </is>
      </c>
      <c r="B17" s="63" t="inlineStr">
        <is>
          <t>Fil MIG acier Ø1 mm, bobine 15 kg</t>
        </is>
      </c>
      <c r="C17" s="65" t="inlineStr">
        <is>
          <t>bobine</t>
        </is>
      </c>
      <c r="D17" s="69" t="n">
        <v>395</v>
      </c>
      <c r="E17" s="71" t="n">
        <v>0.2</v>
      </c>
      <c r="F17" s="65" t="inlineStr">
        <is>
          <t>SOU05</t>
        </is>
      </c>
      <c r="G17" s="74">
        <f>IF(A17="","",SUMIFS(po_qty,po_ref,A17,po_status,"&lt;&gt;Annulé"))</f>
        <v>10.0</v>
      </c>
      <c r="H17" s="74">
        <f>IF(A17="","",SUMIFS(po_rcv,po_ref,A17,po_status,"&lt;&gt;Annulé"))</f>
        <v>6.0</v>
      </c>
      <c r="I17" s="74">
        <f>IF(A17="","",SUMIFS(po_rest,po_ref,A17,po_key,"&gt;0"))</f>
        <v>4.0</v>
      </c>
      <c r="J17" s="70">
        <f>IF(A17="","",IF(COUNTIFS(po_ref,A17,po_status,"&lt;&gt;Annulé")=0,"",INDEX(po_price,SUMPRODUCT(MAX((po_ref=A17)*(po_status&lt;&gt;"Annulé")*(ROW(po_ref)-5))))))</f>
        <v>395.0</v>
      </c>
      <c r="K17" s="67" t="str">
        <f>IF(A17="","",IF(COUNTIF(art_ref,A17)&gt;1,"Référence en double",IF(B17="","Désignation manquante",IF(NOT(ISNUMBER(D17)),"Prix manquant",IF(E17="","TVA manquante",IF(ISNA(MATCH(E17,p_tva,0)),"Taux de TVA inconnu",IF(AND(F17&lt;&gt;"",ISNA(MATCH(F17,sup_code,0))),"Fournisseur inconnu","OK")))))))</f>
        <v>OK</v>
      </c>
    </row>
    <row r="18">
      <c r="A18" s="63" t="inlineStr">
        <is>
          <t>GAZ-ARCAL</t>
        </is>
      </c>
      <c r="B18" s="63" t="inlineStr">
        <is>
          <t>Recharge gaz de soudage 20 L</t>
        </is>
      </c>
      <c r="C18" s="65" t="inlineStr">
        <is>
          <t>bouteille</t>
        </is>
      </c>
      <c r="D18" s="69" t="n">
        <v>520</v>
      </c>
      <c r="E18" s="71" t="n">
        <v>0.2</v>
      </c>
      <c r="F18" s="65" t="inlineStr">
        <is>
          <t>SOU05</t>
        </is>
      </c>
      <c r="G18" s="74">
        <f>IF(A18="","",SUMIFS(po_qty,po_ref,A18,po_status,"&lt;&gt;Annulé"))</f>
        <v>10.0</v>
      </c>
      <c r="H18" s="74">
        <f>IF(A18="","",SUMIFS(po_rcv,po_ref,A18,po_status,"&lt;&gt;Annulé"))</f>
        <v>4.0</v>
      </c>
      <c r="I18" s="74">
        <f>IF(A18="","",SUMIFS(po_rest,po_ref,A18,po_key,"&gt;0"))</f>
        <v>6.0</v>
      </c>
      <c r="J18" s="70">
        <f>IF(A18="","",IF(COUNTIFS(po_ref,A18,po_status,"&lt;&gt;Annulé")=0,"",INDEX(po_price,SUMPRODUCT(MAX((po_ref=A18)*(po_status&lt;&gt;"Annulé")*(ROW(po_ref)-5))))))</f>
        <v>520.0</v>
      </c>
      <c r="K18" s="67" t="str">
        <f>IF(A18="","",IF(COUNTIF(art_ref,A18)&gt;1,"Référence en double",IF(B18="","Désignation manquante",IF(NOT(ISNUMBER(D18)),"Prix manquant",IF(E18="","TVA manquante",IF(ISNA(MATCH(E18,p_tva,0)),"Taux de TVA inconnu",IF(AND(F18&lt;&gt;"",ISNA(MATCH(F18,sup_code,0))),"Fournisseur inconnu","OK")))))))</f>
        <v>OK</v>
      </c>
    </row>
    <row r="19">
      <c r="A19" s="63" t="inlineStr">
        <is>
          <t>ELE-25</t>
        </is>
      </c>
      <c r="B19" s="63" t="inlineStr">
        <is>
          <t>Électrodes rutiles Ø2,5 (boîte de 5 kg)</t>
        </is>
      </c>
      <c r="C19" s="65" t="inlineStr">
        <is>
          <t>boîte</t>
        </is>
      </c>
      <c r="D19" s="69" t="n">
        <v>118</v>
      </c>
      <c r="E19" s="71" t="n">
        <v>0.2</v>
      </c>
      <c r="F19" s="65" t="inlineStr">
        <is>
          <t>SOU05</t>
        </is>
      </c>
      <c r="G19" s="74">
        <f>IF(A19="","",SUMIFS(po_qty,po_ref,A19,po_status,"&lt;&gt;Annulé"))</f>
        <v>10.0</v>
      </c>
      <c r="H19" s="74">
        <f>IF(A19="","",SUMIFS(po_rcv,po_ref,A19,po_status,"&lt;&gt;Annulé"))</f>
        <v>10.0</v>
      </c>
      <c r="I19" s="74">
        <f>IF(A19="","",SUMIFS(po_rest,po_ref,A19,po_key,"&gt;0"))</f>
        <v>0.0</v>
      </c>
      <c r="J19" s="70">
        <f>IF(A19="","",IF(COUNTIFS(po_ref,A19,po_status,"&lt;&gt;Annulé")=0,"",INDEX(po_price,SUMPRODUCT(MAX((po_ref=A19)*(po_status&lt;&gt;"Annulé")*(ROW(po_ref)-5))))))</f>
        <v>118.0</v>
      </c>
      <c r="K19" s="67" t="str">
        <f>IF(A19="","",IF(COUNTIF(art_ref,A19)&gt;1,"Référence en double",IF(B19="","Désignation manquante",IF(NOT(ISNUMBER(D19)),"Prix manquant",IF(E19="","TVA manquante",IF(ISNA(MATCH(E19,p_tva,0)),"Taux de TVA inconnu",IF(AND(F19&lt;&gt;"",ISNA(MATCH(F19,sup_code,0))),"Fournisseur inconnu","OK")))))))</f>
        <v>OK</v>
      </c>
    </row>
    <row r="20">
      <c r="A20" s="63" t="inlineStr">
        <is>
          <t>PEI-EPO-GR</t>
        </is>
      </c>
      <c r="B20" s="63" t="inlineStr">
        <is>
          <t>Peinture époxy gris RAL 7016</t>
        </is>
      </c>
      <c r="C20" s="65" t="inlineStr">
        <is>
          <t>kg</t>
        </is>
      </c>
      <c r="D20" s="69" t="n">
        <v>92</v>
      </c>
      <c r="E20" s="71" t="n">
        <v>0.2</v>
      </c>
      <c r="F20" s="65" t="inlineStr">
        <is>
          <t>PEI06</t>
        </is>
      </c>
      <c r="G20" s="74">
        <f>IF(A20="","",SUMIFS(po_qty,po_ref,A20,po_status,"&lt;&gt;Annulé"))</f>
        <v>270.0</v>
      </c>
      <c r="H20" s="74">
        <f>IF(A20="","",SUMIFS(po_rcv,po_ref,A20,po_status,"&lt;&gt;Annulé"))</f>
        <v>120.0</v>
      </c>
      <c r="I20" s="74">
        <f>IF(A20="","",SUMIFS(po_rest,po_ref,A20,po_key,"&gt;0"))</f>
        <v>150.0</v>
      </c>
      <c r="J20" s="70">
        <f>IF(A20="","",IF(COUNTIFS(po_ref,A20,po_status,"&lt;&gt;Annulé")=0,"",INDEX(po_price,SUMPRODUCT(MAX((po_ref=A20)*(po_status&lt;&gt;"Annulé")*(ROW(po_ref)-5))))))</f>
        <v>92.0</v>
      </c>
      <c r="K20" s="67" t="str">
        <f>IF(A20="","",IF(COUNTIF(art_ref,A20)&gt;1,"Référence en double",IF(B20="","Désignation manquante",IF(NOT(ISNUMBER(D20)),"Prix manquant",IF(E20="","TVA manquante",IF(ISNA(MATCH(E20,p_tva,0)),"Taux de TVA inconnu",IF(AND(F20&lt;&gt;"",ISNA(MATCH(F20,sup_code,0))),"Fournisseur inconnu","OK")))))))</f>
        <v>OK</v>
      </c>
    </row>
    <row r="21">
      <c r="A21" s="63" t="inlineStr">
        <is>
          <t>DIL-EPO</t>
        </is>
      </c>
      <c r="B21" s="63" t="inlineStr">
        <is>
          <t>Diluant époxy</t>
        </is>
      </c>
      <c r="C21" s="65" t="inlineStr">
        <is>
          <t>litre</t>
        </is>
      </c>
      <c r="D21" s="69" t="n">
        <v>38</v>
      </c>
      <c r="E21" s="71" t="n">
        <v>0.2</v>
      </c>
      <c r="F21" s="65" t="inlineStr">
        <is>
          <t>PEI06</t>
        </is>
      </c>
      <c r="G21" s="74">
        <f>IF(A21="","",SUMIFS(po_qty,po_ref,A21,po_status,"&lt;&gt;Annulé"))</f>
        <v>90.0</v>
      </c>
      <c r="H21" s="74">
        <f>IF(A21="","",SUMIFS(po_rcv,po_ref,A21,po_status,"&lt;&gt;Annulé"))</f>
        <v>40.0</v>
      </c>
      <c r="I21" s="74">
        <f>IF(A21="","",SUMIFS(po_rest,po_ref,A21,po_key,"&gt;0"))</f>
        <v>50.0</v>
      </c>
      <c r="J21" s="70">
        <f>IF(A21="","",IF(COUNTIFS(po_ref,A21,po_status,"&lt;&gt;Annulé")=0,"",INDEX(po_price,SUMPRODUCT(MAX((po_ref=A21)*(po_status&lt;&gt;"Annulé")*(ROW(po_ref)-5))))))</f>
        <v>38.0</v>
      </c>
      <c r="K21" s="67" t="str">
        <f>IF(A21="","",IF(COUNTIF(art_ref,A21)&gt;1,"Référence en double",IF(B21="","Désignation manquante",IF(NOT(ISNUMBER(D21)),"Prix manquant",IF(E21="","TVA manquante",IF(ISNA(MATCH(E21,p_tva,0)),"Taux de TVA inconnu",IF(AND(F21&lt;&gt;"",ISNA(MATCH(F21,sup_code,0))),"Fournisseur inconnu","OK")))))))</f>
        <v>OK</v>
      </c>
    </row>
    <row r="22">
      <c r="A22" s="63" t="inlineStr">
        <is>
          <t>FOR-HSS-8</t>
        </is>
      </c>
      <c r="B22" s="63" t="inlineStr">
        <is>
          <t>Foret HSS Ø8 mm</t>
        </is>
      </c>
      <c r="C22" s="65" t="inlineStr">
        <is>
          <t>pièce</t>
        </is>
      </c>
      <c r="D22" s="69" t="n">
        <v>24</v>
      </c>
      <c r="E22" s="71" t="n">
        <v>0.2</v>
      </c>
      <c r="F22" s="65" t="inlineStr">
        <is>
          <t>OUT07</t>
        </is>
      </c>
      <c r="G22" s="74">
        <f>IF(A22="","",SUMIFS(po_qty,po_ref,A22,po_status,"&lt;&gt;Annulé"))</f>
        <v>50.0</v>
      </c>
      <c r="H22" s="74">
        <f>IF(A22="","",SUMIFS(po_rcv,po_ref,A22,po_status,"&lt;&gt;Annulé"))</f>
        <v>20.0</v>
      </c>
      <c r="I22" s="74">
        <f>IF(A22="","",SUMIFS(po_rest,po_ref,A22,po_key,"&gt;0"))</f>
        <v>30.0</v>
      </c>
      <c r="J22" s="70">
        <f>IF(A22="","",IF(COUNTIFS(po_ref,A22,po_status,"&lt;&gt;Annulé")=0,"",INDEX(po_price,SUMPRODUCT(MAX((po_ref=A22)*(po_status&lt;&gt;"Annulé")*(ROW(po_ref)-5))))))</f>
        <v>24.0</v>
      </c>
      <c r="K22" s="67" t="str">
        <f>IF(A22="","",IF(COUNTIF(art_ref,A22)&gt;1,"Référence en double",IF(B22="","Désignation manquante",IF(NOT(ISNUMBER(D22)),"Prix manquant",IF(E22="","TVA manquante",IF(ISNA(MATCH(E22,p_tva,0)),"Taux de TVA inconnu",IF(AND(F22&lt;&gt;"",ISNA(MATCH(F22,sup_code,0))),"Fournisseur inconnu","OK")))))))</f>
        <v>OK</v>
      </c>
    </row>
    <row r="23">
      <c r="A23" s="63" t="inlineStr">
        <is>
          <t>PLA-CNMG</t>
        </is>
      </c>
      <c r="B23" s="63" t="inlineStr">
        <is>
          <t>Plaquette carbure CNMG 120408</t>
        </is>
      </c>
      <c r="C23" s="65" t="inlineStr">
        <is>
          <t>pièce</t>
        </is>
      </c>
      <c r="D23" s="69" t="n">
        <v>58</v>
      </c>
      <c r="E23" s="71" t="n">
        <v>0.2</v>
      </c>
      <c r="F23" s="65" t="inlineStr">
        <is>
          <t>OUT07</t>
        </is>
      </c>
      <c r="G23" s="74">
        <f>IF(A23="","",SUMIFS(po_qty,po_ref,A23,po_status,"&lt;&gt;Annulé"))</f>
        <v>150.0</v>
      </c>
      <c r="H23" s="74">
        <f>IF(A23="","",SUMIFS(po_rcv,po_ref,A23,po_status,"&lt;&gt;Annulé"))</f>
        <v>50.0</v>
      </c>
      <c r="I23" s="74">
        <f>IF(A23="","",SUMIFS(po_rest,po_ref,A23,po_key,"&gt;0"))</f>
        <v>100.0</v>
      </c>
      <c r="J23" s="70">
        <f>IF(A23="","",IF(COUNTIFS(po_ref,A23,po_status,"&lt;&gt;Annulé")=0,"",INDEX(po_price,SUMPRODUCT(MAX((po_ref=A23)*(po_status&lt;&gt;"Annulé")*(ROW(po_ref)-5))))))</f>
        <v>55.0</v>
      </c>
      <c r="K23" s="67" t="str">
        <f>IF(A23="","",IF(COUNTIF(art_ref,A23)&gt;1,"Référence en double",IF(B23="","Désignation manquante",IF(NOT(ISNUMBER(D23)),"Prix manquant",IF(E23="","TVA manquante",IF(ISNA(MATCH(E23,p_tva,0)),"Taux de TVA inconnu",IF(AND(F23&lt;&gt;"",ISNA(MATCH(F23,sup_code,0))),"Fournisseur inconnu","OK")))))))</f>
        <v>OK</v>
      </c>
    </row>
    <row r="24">
      <c r="A24" s="63" t="inlineStr">
        <is>
          <t>DIS-TRO-125</t>
        </is>
      </c>
      <c r="B24" s="63" t="inlineStr">
        <is>
          <t>Disque à tronçonner 125 mm</t>
        </is>
      </c>
      <c r="C24" s="65" t="inlineStr">
        <is>
          <t>pièce</t>
        </is>
      </c>
      <c r="D24" s="69" t="n">
        <v>9.800000000000001</v>
      </c>
      <c r="E24" s="71" t="n">
        <v>0.2</v>
      </c>
      <c r="F24" s="65" t="inlineStr">
        <is>
          <t>OUT07</t>
        </is>
      </c>
      <c r="G24" s="74">
        <f>IF(A24="","",SUMIFS(po_qty,po_ref,A24,po_status,"&lt;&gt;Annulé"))</f>
        <v>200.0</v>
      </c>
      <c r="H24" s="74">
        <f>IF(A24="","",SUMIFS(po_rcv,po_ref,A24,po_status,"&lt;&gt;Annulé"))</f>
        <v>200.0</v>
      </c>
      <c r="I24" s="74">
        <f>IF(A24="","",SUMIFS(po_rest,po_ref,A24,po_key,"&gt;0"))</f>
        <v>0.0</v>
      </c>
      <c r="J24" s="70">
        <f>IF(A24="","",IF(COUNTIFS(po_ref,A24,po_status,"&lt;&gt;Annulé")=0,"",INDEX(po_price,SUMPRODUCT(MAX((po_ref=A24)*(po_status&lt;&gt;"Annulé")*(ROW(po_ref)-5))))))</f>
        <v>9.8</v>
      </c>
      <c r="K24" s="67" t="str">
        <f>IF(A24="","",IF(COUNTIF(art_ref,A24)&gt;1,"Référence en double",IF(B24="","Désignation manquante",IF(NOT(ISNUMBER(D24)),"Prix manquant",IF(E24="","TVA manquante",IF(ISNA(MATCH(E24,p_tva,0)),"Taux de TVA inconnu",IF(AND(F24&lt;&gt;"",ISNA(MATCH(F24,sup_code,0))),"Fournisseur inconnu","OK")))))))</f>
        <v>OK</v>
      </c>
    </row>
    <row r="25">
      <c r="A25" s="63" t="inlineStr">
        <is>
          <t>CAR-60</t>
        </is>
      </c>
      <c r="B25" s="63" t="inlineStr">
        <is>
          <t>Carton double cannelure 600x400x400</t>
        </is>
      </c>
      <c r="C25" s="65" t="inlineStr">
        <is>
          <t>pièce</t>
        </is>
      </c>
      <c r="D25" s="69" t="n">
        <v>14.5</v>
      </c>
      <c r="E25" s="71" t="n">
        <v>0.2</v>
      </c>
      <c r="F25" s="65" t="inlineStr">
        <is>
          <t>EMB08</t>
        </is>
      </c>
      <c r="G25" s="74">
        <f>IF(A25="","",SUMIFS(po_qty,po_ref,A25,po_status,"&lt;&gt;Annulé"))</f>
        <v>500.0</v>
      </c>
      <c r="H25" s="74">
        <f>IF(A25="","",SUMIFS(po_rcv,po_ref,A25,po_status,"&lt;&gt;Annulé"))</f>
        <v>500.0</v>
      </c>
      <c r="I25" s="74">
        <f>IF(A25="","",SUMIFS(po_rest,po_ref,A25,po_key,"&gt;0"))</f>
        <v>0.0</v>
      </c>
      <c r="J25" s="70">
        <f>IF(A25="","",IF(COUNTIFS(po_ref,A25,po_status,"&lt;&gt;Annulé")=0,"",INDEX(po_price,SUMPRODUCT(MAX((po_ref=A25)*(po_status&lt;&gt;"Annulé")*(ROW(po_ref)-5))))))</f>
        <v>14.5</v>
      </c>
      <c r="K25" s="67" t="str">
        <f>IF(A25="","",IF(COUNTIF(art_ref,A25)&gt;1,"Référence en double",IF(B25="","Désignation manquante",IF(NOT(ISNUMBER(D25)),"Prix manquant",IF(E25="","TVA manquante",IF(ISNA(MATCH(E25,p_tva,0)),"Taux de TVA inconnu",IF(AND(F25&lt;&gt;"",ISNA(MATCH(F25,sup_code,0))),"Fournisseur inconnu","OK")))))))</f>
        <v>OK</v>
      </c>
    </row>
    <row r="26">
      <c r="A26" s="63" t="inlineStr">
        <is>
          <t>PAL-EUR</t>
        </is>
      </c>
      <c r="B26" s="63" t="inlineStr">
        <is>
          <t>Palette bois 1200x800</t>
        </is>
      </c>
      <c r="C26" s="65" t="inlineStr">
        <is>
          <t>pièce</t>
        </is>
      </c>
      <c r="D26" s="69" t="n">
        <v>95</v>
      </c>
      <c r="E26" s="71" t="n">
        <v>0.2</v>
      </c>
      <c r="F26" s="65" t="inlineStr">
        <is>
          <t>EMB08</t>
        </is>
      </c>
      <c r="G26" s="74">
        <f>IF(A26="","",SUMIFS(po_qty,po_ref,A26,po_status,"&lt;&gt;Annulé"))</f>
        <v>40.0</v>
      </c>
      <c r="H26" s="74">
        <f>IF(A26="","",SUMIFS(po_rcv,po_ref,A26,po_status,"&lt;&gt;Annulé"))</f>
        <v>40.0</v>
      </c>
      <c r="I26" s="74">
        <f>IF(A26="","",SUMIFS(po_rest,po_ref,A26,po_key,"&gt;0"))</f>
        <v>0.0</v>
      </c>
      <c r="J26" s="70">
        <f>IF(A26="","",IF(COUNTIFS(po_ref,A26,po_status,"&lt;&gt;Annulé")=0,"",INDEX(po_price,SUMPRODUCT(MAX((po_ref=A26)*(po_status&lt;&gt;"Annulé")*(ROW(po_ref)-5))))))</f>
        <v>95.0</v>
      </c>
      <c r="K26" s="67" t="str">
        <f>IF(A26="","",IF(COUNTIF(art_ref,A26)&gt;1,"Référence en double",IF(B26="","Désignation manquante",IF(NOT(ISNUMBER(D26)),"Prix manquant",IF(E26="","TVA manquante",IF(ISNA(MATCH(E26,p_tva,0)),"Taux de TVA inconnu",IF(AND(F26&lt;&gt;"",ISNA(MATCH(F26,sup_code,0))),"Fournisseur inconnu","OK")))))))</f>
        <v>OK</v>
      </c>
    </row>
    <row r="27">
      <c r="A27" s="63" t="inlineStr">
        <is>
          <t>TRANS-CASA</t>
        </is>
      </c>
      <c r="B27" s="63" t="inlineStr">
        <is>
          <t>Transport Casablanca, camion 3,5 t</t>
        </is>
      </c>
      <c r="C27" s="65" t="inlineStr">
        <is>
          <t>voyage</t>
        </is>
      </c>
      <c r="D27" s="69" t="n">
        <v>850</v>
      </c>
      <c r="E27" s="71" t="n">
        <v>0.14</v>
      </c>
      <c r="F27" s="65" t="inlineStr">
        <is>
          <t>TRA09</t>
        </is>
      </c>
      <c r="G27" s="74">
        <f>IF(A27="","",SUMIFS(po_qty,po_ref,A27,po_status,"&lt;&gt;Annulé"))</f>
        <v>4.0</v>
      </c>
      <c r="H27" s="74">
        <f>IF(A27="","",SUMIFS(po_rcv,po_ref,A27,po_status,"&lt;&gt;Annulé"))</f>
        <v>3.0</v>
      </c>
      <c r="I27" s="74">
        <f>IF(A27="","",SUMIFS(po_rest,po_ref,A27,po_key,"&gt;0"))</f>
        <v>1.0</v>
      </c>
      <c r="J27" s="70">
        <f>IF(A27="","",IF(COUNTIFS(po_ref,A27,po_status,"&lt;&gt;Annulé")=0,"",INDEX(po_price,SUMPRODUCT(MAX((po_ref=A27)*(po_status&lt;&gt;"Annulé")*(ROW(po_ref)-5))))))</f>
        <v>650.0</v>
      </c>
      <c r="K27" s="67" t="str">
        <f>IF(A27="","",IF(COUNTIF(art_ref,A27)&gt;1,"Référence en double",IF(B27="","Désignation manquante",IF(NOT(ISNUMBER(D27)),"Prix manquant",IF(E27="","TVA manquante",IF(ISNA(MATCH(E27,p_tva,0)),"Taux de TVA inconnu",IF(AND(F27&lt;&gt;"",ISNA(MATCH(F27,sup_code,0))),"Fournisseur inconnu","OK")))))))</f>
        <v>OK</v>
      </c>
    </row>
    <row r="28">
      <c r="A28" s="63" t="n"/>
      <c r="B28" s="63" t="n"/>
      <c r="C28" s="65" t="n"/>
      <c r="D28" s="69" t="n"/>
      <c r="E28" s="71" t="n"/>
      <c r="F28" s="65" t="n"/>
      <c r="G28" s="74" t="str">
        <f>IF(A28="","",SUMIFS(po_qty,po_ref,A28,po_status,"&lt;&gt;Annulé"))</f>
        <v/>
      </c>
      <c r="H28" s="74" t="str">
        <f>IF(A28="","",SUMIFS(po_rcv,po_ref,A28,po_status,"&lt;&gt;Annulé"))</f>
        <v/>
      </c>
      <c r="I28" s="74" t="str">
        <f>IF(A28="","",SUMIFS(po_rest,po_ref,A28,po_key,"&gt;0"))</f>
        <v/>
      </c>
      <c r="J28" s="70" t="str">
        <f>IF(A28="","",IF(COUNTIFS(po_ref,A28,po_status,"&lt;&gt;Annulé")=0,"",INDEX(po_price,SUMPRODUCT(MAX((po_ref=A28)*(po_status&lt;&gt;"Annulé")*(ROW(po_ref)-5))))))</f>
        <v/>
      </c>
      <c r="K28" s="67" t="str">
        <f>IF(A28="","",IF(COUNTIF(art_ref,A28)&gt;1,"Référence en double",IF(B28="","Désignation manquante",IF(NOT(ISNUMBER(D28)),"Prix manquant",IF(E28="","TVA manquante",IF(ISNA(MATCH(E28,p_tva,0)),"Taux de TVA inconnu",IF(AND(F28&lt;&gt;"",ISNA(MATCH(F28,sup_code,0))),"Fournisseur inconnu","OK")))))))</f>
        <v/>
      </c>
    </row>
    <row r="29">
      <c r="A29" s="63" t="n"/>
      <c r="B29" s="63" t="n"/>
      <c r="C29" s="65" t="n"/>
      <c r="D29" s="69" t="n"/>
      <c r="E29" s="71" t="n"/>
      <c r="F29" s="65" t="n"/>
      <c r="G29" s="74" t="str">
        <f>IF(A29="","",SUMIFS(po_qty,po_ref,A29,po_status,"&lt;&gt;Annulé"))</f>
        <v/>
      </c>
      <c r="H29" s="74" t="str">
        <f>IF(A29="","",SUMIFS(po_rcv,po_ref,A29,po_status,"&lt;&gt;Annulé"))</f>
        <v/>
      </c>
      <c r="I29" s="74" t="str">
        <f>IF(A29="","",SUMIFS(po_rest,po_ref,A29,po_key,"&gt;0"))</f>
        <v/>
      </c>
      <c r="J29" s="70" t="str">
        <f>IF(A29="","",IF(COUNTIFS(po_ref,A29,po_status,"&lt;&gt;Annulé")=0,"",INDEX(po_price,SUMPRODUCT(MAX((po_ref=A29)*(po_status&lt;&gt;"Annulé")*(ROW(po_ref)-5))))))</f>
        <v/>
      </c>
      <c r="K29" s="67" t="str">
        <f>IF(A29="","",IF(COUNTIF(art_ref,A29)&gt;1,"Référence en double",IF(B29="","Désignation manquante",IF(NOT(ISNUMBER(D29)),"Prix manquant",IF(E29="","TVA manquante",IF(ISNA(MATCH(E29,p_tva,0)),"Taux de TVA inconnu",IF(AND(F29&lt;&gt;"",ISNA(MATCH(F29,sup_code,0))),"Fournisseur inconnu","OK")))))))</f>
        <v/>
      </c>
    </row>
    <row r="30">
      <c r="A30" s="63" t="n"/>
      <c r="B30" s="63" t="n"/>
      <c r="C30" s="65" t="n"/>
      <c r="D30" s="69" t="n"/>
      <c r="E30" s="71" t="n"/>
      <c r="F30" s="65" t="n"/>
      <c r="G30" s="74" t="str">
        <f>IF(A30="","",SUMIFS(po_qty,po_ref,A30,po_status,"&lt;&gt;Annulé"))</f>
        <v/>
      </c>
      <c r="H30" s="74" t="str">
        <f>IF(A30="","",SUMIFS(po_rcv,po_ref,A30,po_status,"&lt;&gt;Annulé"))</f>
        <v/>
      </c>
      <c r="I30" s="74" t="str">
        <f>IF(A30="","",SUMIFS(po_rest,po_ref,A30,po_key,"&gt;0"))</f>
        <v/>
      </c>
      <c r="J30" s="70" t="str">
        <f>IF(A30="","",IF(COUNTIFS(po_ref,A30,po_status,"&lt;&gt;Annulé")=0,"",INDEX(po_price,SUMPRODUCT(MAX((po_ref=A30)*(po_status&lt;&gt;"Annulé")*(ROW(po_ref)-5))))))</f>
        <v/>
      </c>
      <c r="K30" s="67" t="str">
        <f>IF(A30="","",IF(COUNTIF(art_ref,A30)&gt;1,"Référence en double",IF(B30="","Désignation manquante",IF(NOT(ISNUMBER(D30)),"Prix manquant",IF(E30="","TVA manquante",IF(ISNA(MATCH(E30,p_tva,0)),"Taux de TVA inconnu",IF(AND(F30&lt;&gt;"",ISNA(MATCH(F30,sup_code,0))),"Fournisseur inconnu","OK")))))))</f>
        <v/>
      </c>
    </row>
    <row r="31">
      <c r="A31" s="63" t="n"/>
      <c r="B31" s="63" t="n"/>
      <c r="C31" s="65" t="n"/>
      <c r="D31" s="69" t="n"/>
      <c r="E31" s="71" t="n"/>
      <c r="F31" s="65" t="n"/>
      <c r="G31" s="74" t="str">
        <f>IF(A31="","",SUMIFS(po_qty,po_ref,A31,po_status,"&lt;&gt;Annulé"))</f>
        <v/>
      </c>
      <c r="H31" s="74" t="str">
        <f>IF(A31="","",SUMIFS(po_rcv,po_ref,A31,po_status,"&lt;&gt;Annulé"))</f>
        <v/>
      </c>
      <c r="I31" s="74" t="str">
        <f>IF(A31="","",SUMIFS(po_rest,po_ref,A31,po_key,"&gt;0"))</f>
        <v/>
      </c>
      <c r="J31" s="70" t="str">
        <f>IF(A31="","",IF(COUNTIFS(po_ref,A31,po_status,"&lt;&gt;Annulé")=0,"",INDEX(po_price,SUMPRODUCT(MAX((po_ref=A31)*(po_status&lt;&gt;"Annulé")*(ROW(po_ref)-5))))))</f>
        <v/>
      </c>
      <c r="K31" s="67" t="str">
        <f>IF(A31="","",IF(COUNTIF(art_ref,A31)&gt;1,"Référence en double",IF(B31="","Désignation manquante",IF(NOT(ISNUMBER(D31)),"Prix manquant",IF(E31="","TVA manquante",IF(ISNA(MATCH(E31,p_tva,0)),"Taux de TVA inconnu",IF(AND(F31&lt;&gt;"",ISNA(MATCH(F31,sup_code,0))),"Fournisseur inconnu","OK")))))))</f>
        <v/>
      </c>
    </row>
    <row r="32">
      <c r="A32" s="63" t="n"/>
      <c r="B32" s="63" t="n"/>
      <c r="C32" s="65" t="n"/>
      <c r="D32" s="69" t="n"/>
      <c r="E32" s="71" t="n"/>
      <c r="F32" s="65" t="n"/>
      <c r="G32" s="74" t="str">
        <f>IF(A32="","",SUMIFS(po_qty,po_ref,A32,po_status,"&lt;&gt;Annulé"))</f>
        <v/>
      </c>
      <c r="H32" s="74" t="str">
        <f>IF(A32="","",SUMIFS(po_rcv,po_ref,A32,po_status,"&lt;&gt;Annulé"))</f>
        <v/>
      </c>
      <c r="I32" s="74" t="str">
        <f>IF(A32="","",SUMIFS(po_rest,po_ref,A32,po_key,"&gt;0"))</f>
        <v/>
      </c>
      <c r="J32" s="70" t="str">
        <f>IF(A32="","",IF(COUNTIFS(po_ref,A32,po_status,"&lt;&gt;Annulé")=0,"",INDEX(po_price,SUMPRODUCT(MAX((po_ref=A32)*(po_status&lt;&gt;"Annulé")*(ROW(po_ref)-5))))))</f>
        <v/>
      </c>
      <c r="K32" s="67" t="str">
        <f>IF(A32="","",IF(COUNTIF(art_ref,A32)&gt;1,"Référence en double",IF(B32="","Désignation manquante",IF(NOT(ISNUMBER(D32)),"Prix manquant",IF(E32="","TVA manquante",IF(ISNA(MATCH(E32,p_tva,0)),"Taux de TVA inconnu",IF(AND(F32&lt;&gt;"",ISNA(MATCH(F32,sup_code,0))),"Fournisseur inconnu","OK")))))))</f>
        <v/>
      </c>
    </row>
    <row r="33">
      <c r="A33" s="63" t="n"/>
      <c r="B33" s="63" t="n"/>
      <c r="C33" s="65" t="n"/>
      <c r="D33" s="69" t="n"/>
      <c r="E33" s="71" t="n"/>
      <c r="F33" s="65" t="n"/>
      <c r="G33" s="74" t="str">
        <f>IF(A33="","",SUMIFS(po_qty,po_ref,A33,po_status,"&lt;&gt;Annulé"))</f>
        <v/>
      </c>
      <c r="H33" s="74" t="str">
        <f>IF(A33="","",SUMIFS(po_rcv,po_ref,A33,po_status,"&lt;&gt;Annulé"))</f>
        <v/>
      </c>
      <c r="I33" s="74" t="str">
        <f>IF(A33="","",SUMIFS(po_rest,po_ref,A33,po_key,"&gt;0"))</f>
        <v/>
      </c>
      <c r="J33" s="70" t="str">
        <f>IF(A33="","",IF(COUNTIFS(po_ref,A33,po_status,"&lt;&gt;Annulé")=0,"",INDEX(po_price,SUMPRODUCT(MAX((po_ref=A33)*(po_status&lt;&gt;"Annulé")*(ROW(po_ref)-5))))))</f>
        <v/>
      </c>
      <c r="K33" s="67" t="str">
        <f>IF(A33="","",IF(COUNTIF(art_ref,A33)&gt;1,"Référence en double",IF(B33="","Désignation manquante",IF(NOT(ISNUMBER(D33)),"Prix manquant",IF(E33="","TVA manquante",IF(ISNA(MATCH(E33,p_tva,0)),"Taux de TVA inconnu",IF(AND(F33&lt;&gt;"",ISNA(MATCH(F33,sup_code,0))),"Fournisseur inconnu","OK")))))))</f>
        <v/>
      </c>
    </row>
    <row r="34">
      <c r="A34" s="63" t="n"/>
      <c r="B34" s="63" t="n"/>
      <c r="C34" s="65" t="n"/>
      <c r="D34" s="69" t="n"/>
      <c r="E34" s="71" t="n"/>
      <c r="F34" s="65" t="n"/>
      <c r="G34" s="74" t="str">
        <f>IF(A34="","",SUMIFS(po_qty,po_ref,A34,po_status,"&lt;&gt;Annulé"))</f>
        <v/>
      </c>
      <c r="H34" s="74" t="str">
        <f>IF(A34="","",SUMIFS(po_rcv,po_ref,A34,po_status,"&lt;&gt;Annulé"))</f>
        <v/>
      </c>
      <c r="I34" s="74" t="str">
        <f>IF(A34="","",SUMIFS(po_rest,po_ref,A34,po_key,"&gt;0"))</f>
        <v/>
      </c>
      <c r="J34" s="70" t="str">
        <f>IF(A34="","",IF(COUNTIFS(po_ref,A34,po_status,"&lt;&gt;Annulé")=0,"",INDEX(po_price,SUMPRODUCT(MAX((po_ref=A34)*(po_status&lt;&gt;"Annulé")*(ROW(po_ref)-5))))))</f>
        <v/>
      </c>
      <c r="K34" s="67" t="str">
        <f>IF(A34="","",IF(COUNTIF(art_ref,A34)&gt;1,"Référence en double",IF(B34="","Désignation manquante",IF(NOT(ISNUMBER(D34)),"Prix manquant",IF(E34="","TVA manquante",IF(ISNA(MATCH(E34,p_tva,0)),"Taux de TVA inconnu",IF(AND(F34&lt;&gt;"",ISNA(MATCH(F34,sup_code,0))),"Fournisseur inconnu","OK")))))))</f>
        <v/>
      </c>
    </row>
    <row r="35">
      <c r="A35" s="63" t="n"/>
      <c r="B35" s="63" t="n"/>
      <c r="C35" s="65" t="n"/>
      <c r="D35" s="69" t="n"/>
      <c r="E35" s="71" t="n"/>
      <c r="F35" s="65" t="n"/>
      <c r="G35" s="74" t="str">
        <f>IF(A35="","",SUMIFS(po_qty,po_ref,A35,po_status,"&lt;&gt;Annulé"))</f>
        <v/>
      </c>
      <c r="H35" s="74" t="str">
        <f>IF(A35="","",SUMIFS(po_rcv,po_ref,A35,po_status,"&lt;&gt;Annulé"))</f>
        <v/>
      </c>
      <c r="I35" s="74" t="str">
        <f>IF(A35="","",SUMIFS(po_rest,po_ref,A35,po_key,"&gt;0"))</f>
        <v/>
      </c>
      <c r="J35" s="70" t="str">
        <f>IF(A35="","",IF(COUNTIFS(po_ref,A35,po_status,"&lt;&gt;Annulé")=0,"",INDEX(po_price,SUMPRODUCT(MAX((po_ref=A35)*(po_status&lt;&gt;"Annulé")*(ROW(po_ref)-5))))))</f>
        <v/>
      </c>
      <c r="K35" s="67" t="str">
        <f>IF(A35="","",IF(COUNTIF(art_ref,A35)&gt;1,"Référence en double",IF(B35="","Désignation manquante",IF(NOT(ISNUMBER(D35)),"Prix manquant",IF(E35="","TVA manquante",IF(ISNA(MATCH(E35,p_tva,0)),"Taux de TVA inconnu",IF(AND(F35&lt;&gt;"",ISNA(MATCH(F35,sup_code,0))),"Fournisseur inconnu","OK")))))))</f>
        <v/>
      </c>
    </row>
    <row r="36">
      <c r="A36" s="63" t="n"/>
      <c r="B36" s="63" t="n"/>
      <c r="C36" s="65" t="n"/>
      <c r="D36" s="69" t="n"/>
      <c r="E36" s="71" t="n"/>
      <c r="F36" s="65" t="n"/>
      <c r="G36" s="74" t="str">
        <f>IF(A36="","",SUMIFS(po_qty,po_ref,A36,po_status,"&lt;&gt;Annulé"))</f>
        <v/>
      </c>
      <c r="H36" s="74" t="str">
        <f>IF(A36="","",SUMIFS(po_rcv,po_ref,A36,po_status,"&lt;&gt;Annulé"))</f>
        <v/>
      </c>
      <c r="I36" s="74" t="str">
        <f>IF(A36="","",SUMIFS(po_rest,po_ref,A36,po_key,"&gt;0"))</f>
        <v/>
      </c>
      <c r="J36" s="70" t="str">
        <f>IF(A36="","",IF(COUNTIFS(po_ref,A36,po_status,"&lt;&gt;Annulé")=0,"",INDEX(po_price,SUMPRODUCT(MAX((po_ref=A36)*(po_status&lt;&gt;"Annulé")*(ROW(po_ref)-5))))))</f>
        <v/>
      </c>
      <c r="K36" s="67" t="str">
        <f>IF(A36="","",IF(COUNTIF(art_ref,A36)&gt;1,"Référence en double",IF(B36="","Désignation manquante",IF(NOT(ISNUMBER(D36)),"Prix manquant",IF(E36="","TVA manquante",IF(ISNA(MATCH(E36,p_tva,0)),"Taux de TVA inconnu",IF(AND(F36&lt;&gt;"",ISNA(MATCH(F36,sup_code,0))),"Fournisseur inconnu","OK")))))))</f>
        <v/>
      </c>
    </row>
    <row r="37">
      <c r="A37" s="63" t="n"/>
      <c r="B37" s="63" t="n"/>
      <c r="C37" s="65" t="n"/>
      <c r="D37" s="69" t="n"/>
      <c r="E37" s="71" t="n"/>
      <c r="F37" s="65" t="n"/>
      <c r="G37" s="74" t="str">
        <f>IF(A37="","",SUMIFS(po_qty,po_ref,A37,po_status,"&lt;&gt;Annulé"))</f>
        <v/>
      </c>
      <c r="H37" s="74" t="str">
        <f>IF(A37="","",SUMIFS(po_rcv,po_ref,A37,po_status,"&lt;&gt;Annulé"))</f>
        <v/>
      </c>
      <c r="I37" s="74" t="str">
        <f>IF(A37="","",SUMIFS(po_rest,po_ref,A37,po_key,"&gt;0"))</f>
        <v/>
      </c>
      <c r="J37" s="70" t="str">
        <f>IF(A37="","",IF(COUNTIFS(po_ref,A37,po_status,"&lt;&gt;Annulé")=0,"",INDEX(po_price,SUMPRODUCT(MAX((po_ref=A37)*(po_status&lt;&gt;"Annulé")*(ROW(po_ref)-5))))))</f>
        <v/>
      </c>
      <c r="K37" s="67" t="str">
        <f>IF(A37="","",IF(COUNTIF(art_ref,A37)&gt;1,"Référence en double",IF(B37="","Désignation manquante",IF(NOT(ISNUMBER(D37)),"Prix manquant",IF(E37="","TVA manquante",IF(ISNA(MATCH(E37,p_tva,0)),"Taux de TVA inconnu",IF(AND(F37&lt;&gt;"",ISNA(MATCH(F37,sup_code,0))),"Fournisseur inconnu","OK")))))))</f>
        <v/>
      </c>
    </row>
    <row r="38">
      <c r="A38" s="63" t="n"/>
      <c r="B38" s="63" t="n"/>
      <c r="C38" s="65" t="n"/>
      <c r="D38" s="69" t="n"/>
      <c r="E38" s="71" t="n"/>
      <c r="F38" s="65" t="n"/>
      <c r="G38" s="74" t="str">
        <f>IF(A38="","",SUMIFS(po_qty,po_ref,A38,po_status,"&lt;&gt;Annulé"))</f>
        <v/>
      </c>
      <c r="H38" s="74" t="str">
        <f>IF(A38="","",SUMIFS(po_rcv,po_ref,A38,po_status,"&lt;&gt;Annulé"))</f>
        <v/>
      </c>
      <c r="I38" s="74" t="str">
        <f>IF(A38="","",SUMIFS(po_rest,po_ref,A38,po_key,"&gt;0"))</f>
        <v/>
      </c>
      <c r="J38" s="70" t="str">
        <f>IF(A38="","",IF(COUNTIFS(po_ref,A38,po_status,"&lt;&gt;Annulé")=0,"",INDEX(po_price,SUMPRODUCT(MAX((po_ref=A38)*(po_status&lt;&gt;"Annulé")*(ROW(po_ref)-5))))))</f>
        <v/>
      </c>
      <c r="K38" s="67" t="str">
        <f>IF(A38="","",IF(COUNTIF(art_ref,A38)&gt;1,"Référence en double",IF(B38="","Désignation manquante",IF(NOT(ISNUMBER(D38)),"Prix manquant",IF(E38="","TVA manquante",IF(ISNA(MATCH(E38,p_tva,0)),"Taux de TVA inconnu",IF(AND(F38&lt;&gt;"",ISNA(MATCH(F38,sup_code,0))),"Fournisseur inconnu","OK")))))))</f>
        <v/>
      </c>
    </row>
    <row r="39">
      <c r="A39" s="63" t="n"/>
      <c r="B39" s="63" t="n"/>
      <c r="C39" s="65" t="n"/>
      <c r="D39" s="69" t="n"/>
      <c r="E39" s="71" t="n"/>
      <c r="F39" s="65" t="n"/>
      <c r="G39" s="74" t="str">
        <f>IF(A39="","",SUMIFS(po_qty,po_ref,A39,po_status,"&lt;&gt;Annulé"))</f>
        <v/>
      </c>
      <c r="H39" s="74" t="str">
        <f>IF(A39="","",SUMIFS(po_rcv,po_ref,A39,po_status,"&lt;&gt;Annulé"))</f>
        <v/>
      </c>
      <c r="I39" s="74" t="str">
        <f>IF(A39="","",SUMIFS(po_rest,po_ref,A39,po_key,"&gt;0"))</f>
        <v/>
      </c>
      <c r="J39" s="70" t="str">
        <f>IF(A39="","",IF(COUNTIFS(po_ref,A39,po_status,"&lt;&gt;Annulé")=0,"",INDEX(po_price,SUMPRODUCT(MAX((po_ref=A39)*(po_status&lt;&gt;"Annulé")*(ROW(po_ref)-5))))))</f>
        <v/>
      </c>
      <c r="K39" s="67" t="str">
        <f>IF(A39="","",IF(COUNTIF(art_ref,A39)&gt;1,"Référence en double",IF(B39="","Désignation manquante",IF(NOT(ISNUMBER(D39)),"Prix manquant",IF(E39="","TVA manquante",IF(ISNA(MATCH(E39,p_tva,0)),"Taux de TVA inconnu",IF(AND(F39&lt;&gt;"",ISNA(MATCH(F39,sup_code,0))),"Fournisseur inconnu","OK")))))))</f>
        <v/>
      </c>
    </row>
    <row r="40">
      <c r="A40" s="63" t="n"/>
      <c r="B40" s="63" t="n"/>
      <c r="C40" s="65" t="n"/>
      <c r="D40" s="69" t="n"/>
      <c r="E40" s="71" t="n"/>
      <c r="F40" s="65" t="n"/>
      <c r="G40" s="74" t="str">
        <f>IF(A40="","",SUMIFS(po_qty,po_ref,A40,po_status,"&lt;&gt;Annulé"))</f>
        <v/>
      </c>
      <c r="H40" s="74" t="str">
        <f>IF(A40="","",SUMIFS(po_rcv,po_ref,A40,po_status,"&lt;&gt;Annulé"))</f>
        <v/>
      </c>
      <c r="I40" s="74" t="str">
        <f>IF(A40="","",SUMIFS(po_rest,po_ref,A40,po_key,"&gt;0"))</f>
        <v/>
      </c>
      <c r="J40" s="70" t="str">
        <f>IF(A40="","",IF(COUNTIFS(po_ref,A40,po_status,"&lt;&gt;Annulé")=0,"",INDEX(po_price,SUMPRODUCT(MAX((po_ref=A40)*(po_status&lt;&gt;"Annulé")*(ROW(po_ref)-5))))))</f>
        <v/>
      </c>
      <c r="K40" s="67" t="str">
        <f>IF(A40="","",IF(COUNTIF(art_ref,A40)&gt;1,"Référence en double",IF(B40="","Désignation manquante",IF(NOT(ISNUMBER(D40)),"Prix manquant",IF(E40="","TVA manquante",IF(ISNA(MATCH(E40,p_tva,0)),"Taux de TVA inconnu",IF(AND(F40&lt;&gt;"",ISNA(MATCH(F40,sup_code,0))),"Fournisseur inconnu","OK")))))))</f>
        <v/>
      </c>
    </row>
    <row r="41">
      <c r="A41" s="63" t="n"/>
      <c r="B41" s="63" t="n"/>
      <c r="C41" s="65" t="n"/>
      <c r="D41" s="69" t="n"/>
      <c r="E41" s="71" t="n"/>
      <c r="F41" s="65" t="n"/>
      <c r="G41" s="74" t="str">
        <f>IF(A41="","",SUMIFS(po_qty,po_ref,A41,po_status,"&lt;&gt;Annulé"))</f>
        <v/>
      </c>
      <c r="H41" s="74" t="str">
        <f>IF(A41="","",SUMIFS(po_rcv,po_ref,A41,po_status,"&lt;&gt;Annulé"))</f>
        <v/>
      </c>
      <c r="I41" s="74" t="str">
        <f>IF(A41="","",SUMIFS(po_rest,po_ref,A41,po_key,"&gt;0"))</f>
        <v/>
      </c>
      <c r="J41" s="70" t="str">
        <f>IF(A41="","",IF(COUNTIFS(po_ref,A41,po_status,"&lt;&gt;Annulé")=0,"",INDEX(po_price,SUMPRODUCT(MAX((po_ref=A41)*(po_status&lt;&gt;"Annulé")*(ROW(po_ref)-5))))))</f>
        <v/>
      </c>
      <c r="K41" s="67" t="str">
        <f>IF(A41="","",IF(COUNTIF(art_ref,A41)&gt;1,"Référence en double",IF(B41="","Désignation manquante",IF(NOT(ISNUMBER(D41)),"Prix manquant",IF(E41="","TVA manquante",IF(ISNA(MATCH(E41,p_tva,0)),"Taux de TVA inconnu",IF(AND(F41&lt;&gt;"",ISNA(MATCH(F41,sup_code,0))),"Fournisseur inconnu","OK")))))))</f>
        <v/>
      </c>
    </row>
    <row r="42">
      <c r="A42" s="63" t="n"/>
      <c r="B42" s="63" t="n"/>
      <c r="C42" s="65" t="n"/>
      <c r="D42" s="69" t="n"/>
      <c r="E42" s="71" t="n"/>
      <c r="F42" s="65" t="n"/>
      <c r="G42" s="74" t="str">
        <f>IF(A42="","",SUMIFS(po_qty,po_ref,A42,po_status,"&lt;&gt;Annulé"))</f>
        <v/>
      </c>
      <c r="H42" s="74" t="str">
        <f>IF(A42="","",SUMIFS(po_rcv,po_ref,A42,po_status,"&lt;&gt;Annulé"))</f>
        <v/>
      </c>
      <c r="I42" s="74" t="str">
        <f>IF(A42="","",SUMIFS(po_rest,po_ref,A42,po_key,"&gt;0"))</f>
        <v/>
      </c>
      <c r="J42" s="70" t="str">
        <f>IF(A42="","",IF(COUNTIFS(po_ref,A42,po_status,"&lt;&gt;Annulé")=0,"",INDEX(po_price,SUMPRODUCT(MAX((po_ref=A42)*(po_status&lt;&gt;"Annulé")*(ROW(po_ref)-5))))))</f>
        <v/>
      </c>
      <c r="K42" s="67" t="str">
        <f>IF(A42="","",IF(COUNTIF(art_ref,A42)&gt;1,"Référence en double",IF(B42="","Désignation manquante",IF(NOT(ISNUMBER(D42)),"Prix manquant",IF(E42="","TVA manquante",IF(ISNA(MATCH(E42,p_tva,0)),"Taux de TVA inconnu",IF(AND(F42&lt;&gt;"",ISNA(MATCH(F42,sup_code,0))),"Fournisseur inconnu","OK")))))))</f>
        <v/>
      </c>
    </row>
    <row r="43">
      <c r="A43" s="63" t="n"/>
      <c r="B43" s="63" t="n"/>
      <c r="C43" s="65" t="n"/>
      <c r="D43" s="69" t="n"/>
      <c r="E43" s="71" t="n"/>
      <c r="F43" s="65" t="n"/>
      <c r="G43" s="74" t="str">
        <f>IF(A43="","",SUMIFS(po_qty,po_ref,A43,po_status,"&lt;&gt;Annulé"))</f>
        <v/>
      </c>
      <c r="H43" s="74" t="str">
        <f>IF(A43="","",SUMIFS(po_rcv,po_ref,A43,po_status,"&lt;&gt;Annulé"))</f>
        <v/>
      </c>
      <c r="I43" s="74" t="str">
        <f>IF(A43="","",SUMIFS(po_rest,po_ref,A43,po_key,"&gt;0"))</f>
        <v/>
      </c>
      <c r="J43" s="70" t="str">
        <f>IF(A43="","",IF(COUNTIFS(po_ref,A43,po_status,"&lt;&gt;Annulé")=0,"",INDEX(po_price,SUMPRODUCT(MAX((po_ref=A43)*(po_status&lt;&gt;"Annulé")*(ROW(po_ref)-5))))))</f>
        <v/>
      </c>
      <c r="K43" s="67" t="str">
        <f>IF(A43="","",IF(COUNTIF(art_ref,A43)&gt;1,"Référence en double",IF(B43="","Désignation manquante",IF(NOT(ISNUMBER(D43)),"Prix manquant",IF(E43="","TVA manquante",IF(ISNA(MATCH(E43,p_tva,0)),"Taux de TVA inconnu",IF(AND(F43&lt;&gt;"",ISNA(MATCH(F43,sup_code,0))),"Fournisseur inconnu","OK")))))))</f>
        <v/>
      </c>
    </row>
    <row r="44">
      <c r="A44" s="63" t="n"/>
      <c r="B44" s="63" t="n"/>
      <c r="C44" s="65" t="n"/>
      <c r="D44" s="69" t="n"/>
      <c r="E44" s="71" t="n"/>
      <c r="F44" s="65" t="n"/>
      <c r="G44" s="74" t="str">
        <f>IF(A44="","",SUMIFS(po_qty,po_ref,A44,po_status,"&lt;&gt;Annulé"))</f>
        <v/>
      </c>
      <c r="H44" s="74" t="str">
        <f>IF(A44="","",SUMIFS(po_rcv,po_ref,A44,po_status,"&lt;&gt;Annulé"))</f>
        <v/>
      </c>
      <c r="I44" s="74" t="str">
        <f>IF(A44="","",SUMIFS(po_rest,po_ref,A44,po_key,"&gt;0"))</f>
        <v/>
      </c>
      <c r="J44" s="70" t="str">
        <f>IF(A44="","",IF(COUNTIFS(po_ref,A44,po_status,"&lt;&gt;Annulé")=0,"",INDEX(po_price,SUMPRODUCT(MAX((po_ref=A44)*(po_status&lt;&gt;"Annulé")*(ROW(po_ref)-5))))))</f>
        <v/>
      </c>
      <c r="K44" s="67" t="str">
        <f>IF(A44="","",IF(COUNTIF(art_ref,A44)&gt;1,"Référence en double",IF(B44="","Désignation manquante",IF(NOT(ISNUMBER(D44)),"Prix manquant",IF(E44="","TVA manquante",IF(ISNA(MATCH(E44,p_tva,0)),"Taux de TVA inconnu",IF(AND(F44&lt;&gt;"",ISNA(MATCH(F44,sup_code,0))),"Fournisseur inconnu","OK")))))))</f>
        <v/>
      </c>
    </row>
    <row r="45">
      <c r="A45" s="63" t="n"/>
      <c r="B45" s="63" t="n"/>
      <c r="C45" s="65" t="n"/>
      <c r="D45" s="69" t="n"/>
      <c r="E45" s="71" t="n"/>
      <c r="F45" s="65" t="n"/>
      <c r="G45" s="74" t="str">
        <f>IF(A45="","",SUMIFS(po_qty,po_ref,A45,po_status,"&lt;&gt;Annulé"))</f>
        <v/>
      </c>
      <c r="H45" s="74" t="str">
        <f>IF(A45="","",SUMIFS(po_rcv,po_ref,A45,po_status,"&lt;&gt;Annulé"))</f>
        <v/>
      </c>
      <c r="I45" s="74" t="str">
        <f>IF(A45="","",SUMIFS(po_rest,po_ref,A45,po_key,"&gt;0"))</f>
        <v/>
      </c>
      <c r="J45" s="70" t="str">
        <f>IF(A45="","",IF(COUNTIFS(po_ref,A45,po_status,"&lt;&gt;Annulé")=0,"",INDEX(po_price,SUMPRODUCT(MAX((po_ref=A45)*(po_status&lt;&gt;"Annulé")*(ROW(po_ref)-5))))))</f>
        <v/>
      </c>
      <c r="K45" s="67" t="str">
        <f>IF(A45="","",IF(COUNTIF(art_ref,A45)&gt;1,"Référence en double",IF(B45="","Désignation manquante",IF(NOT(ISNUMBER(D45)),"Prix manquant",IF(E45="","TVA manquante",IF(ISNA(MATCH(E45,p_tva,0)),"Taux de TVA inconnu",IF(AND(F45&lt;&gt;"",ISNA(MATCH(F45,sup_code,0))),"Fournisseur inconnu","OK")))))))</f>
        <v/>
      </c>
    </row>
    <row r="46">
      <c r="A46" s="63" t="n"/>
      <c r="B46" s="63" t="n"/>
      <c r="C46" s="65" t="n"/>
      <c r="D46" s="69" t="n"/>
      <c r="E46" s="71" t="n"/>
      <c r="F46" s="65" t="n"/>
      <c r="G46" s="74" t="str">
        <f>IF(A46="","",SUMIFS(po_qty,po_ref,A46,po_status,"&lt;&gt;Annulé"))</f>
        <v/>
      </c>
      <c r="H46" s="74" t="str">
        <f>IF(A46="","",SUMIFS(po_rcv,po_ref,A46,po_status,"&lt;&gt;Annulé"))</f>
        <v/>
      </c>
      <c r="I46" s="74" t="str">
        <f>IF(A46="","",SUMIFS(po_rest,po_ref,A46,po_key,"&gt;0"))</f>
        <v/>
      </c>
      <c r="J46" s="70" t="str">
        <f>IF(A46="","",IF(COUNTIFS(po_ref,A46,po_status,"&lt;&gt;Annulé")=0,"",INDEX(po_price,SUMPRODUCT(MAX((po_ref=A46)*(po_status&lt;&gt;"Annulé")*(ROW(po_ref)-5))))))</f>
        <v/>
      </c>
      <c r="K46" s="67" t="str">
        <f>IF(A46="","",IF(COUNTIF(art_ref,A46)&gt;1,"Référence en double",IF(B46="","Désignation manquante",IF(NOT(ISNUMBER(D46)),"Prix manquant",IF(E46="","TVA manquante",IF(ISNA(MATCH(E46,p_tva,0)),"Taux de TVA inconnu",IF(AND(F46&lt;&gt;"",ISNA(MATCH(F46,sup_code,0))),"Fournisseur inconnu","OK")))))))</f>
        <v/>
      </c>
    </row>
    <row r="47">
      <c r="A47" s="63" t="n"/>
      <c r="B47" s="63" t="n"/>
      <c r="C47" s="65" t="n"/>
      <c r="D47" s="69" t="n"/>
      <c r="E47" s="71" t="n"/>
      <c r="F47" s="65" t="n"/>
      <c r="G47" s="74" t="str">
        <f>IF(A47="","",SUMIFS(po_qty,po_ref,A47,po_status,"&lt;&gt;Annulé"))</f>
        <v/>
      </c>
      <c r="H47" s="74" t="str">
        <f>IF(A47="","",SUMIFS(po_rcv,po_ref,A47,po_status,"&lt;&gt;Annulé"))</f>
        <v/>
      </c>
      <c r="I47" s="74" t="str">
        <f>IF(A47="","",SUMIFS(po_rest,po_ref,A47,po_key,"&gt;0"))</f>
        <v/>
      </c>
      <c r="J47" s="70" t="str">
        <f>IF(A47="","",IF(COUNTIFS(po_ref,A47,po_status,"&lt;&gt;Annulé")=0,"",INDEX(po_price,SUMPRODUCT(MAX((po_ref=A47)*(po_status&lt;&gt;"Annulé")*(ROW(po_ref)-5))))))</f>
        <v/>
      </c>
      <c r="K47" s="67" t="str">
        <f>IF(A47="","",IF(COUNTIF(art_ref,A47)&gt;1,"Référence en double",IF(B47="","Désignation manquante",IF(NOT(ISNUMBER(D47)),"Prix manquant",IF(E47="","TVA manquante",IF(ISNA(MATCH(E47,p_tva,0)),"Taux de TVA inconnu",IF(AND(F47&lt;&gt;"",ISNA(MATCH(F47,sup_code,0))),"Fournisseur inconnu","OK")))))))</f>
        <v/>
      </c>
    </row>
    <row r="48">
      <c r="A48" s="63" t="n"/>
      <c r="B48" s="63" t="n"/>
      <c r="C48" s="65" t="n"/>
      <c r="D48" s="69" t="n"/>
      <c r="E48" s="71" t="n"/>
      <c r="F48" s="65" t="n"/>
      <c r="G48" s="74" t="str">
        <f>IF(A48="","",SUMIFS(po_qty,po_ref,A48,po_status,"&lt;&gt;Annulé"))</f>
        <v/>
      </c>
      <c r="H48" s="74" t="str">
        <f>IF(A48="","",SUMIFS(po_rcv,po_ref,A48,po_status,"&lt;&gt;Annulé"))</f>
        <v/>
      </c>
      <c r="I48" s="74" t="str">
        <f>IF(A48="","",SUMIFS(po_rest,po_ref,A48,po_key,"&gt;0"))</f>
        <v/>
      </c>
      <c r="J48" s="70" t="str">
        <f>IF(A48="","",IF(COUNTIFS(po_ref,A48,po_status,"&lt;&gt;Annulé")=0,"",INDEX(po_price,SUMPRODUCT(MAX((po_ref=A48)*(po_status&lt;&gt;"Annulé")*(ROW(po_ref)-5))))))</f>
        <v/>
      </c>
      <c r="K48" s="67" t="str">
        <f>IF(A48="","",IF(COUNTIF(art_ref,A48)&gt;1,"Référence en double",IF(B48="","Désignation manquante",IF(NOT(ISNUMBER(D48)),"Prix manquant",IF(E48="","TVA manquante",IF(ISNA(MATCH(E48,p_tva,0)),"Taux de TVA inconnu",IF(AND(F48&lt;&gt;"",ISNA(MATCH(F48,sup_code,0))),"Fournisseur inconnu","OK")))))))</f>
        <v/>
      </c>
    </row>
    <row r="49">
      <c r="A49" s="63" t="n"/>
      <c r="B49" s="63" t="n"/>
      <c r="C49" s="65" t="n"/>
      <c r="D49" s="69" t="n"/>
      <c r="E49" s="71" t="n"/>
      <c r="F49" s="65" t="n"/>
      <c r="G49" s="74" t="str">
        <f>IF(A49="","",SUMIFS(po_qty,po_ref,A49,po_status,"&lt;&gt;Annulé"))</f>
        <v/>
      </c>
      <c r="H49" s="74" t="str">
        <f>IF(A49="","",SUMIFS(po_rcv,po_ref,A49,po_status,"&lt;&gt;Annulé"))</f>
        <v/>
      </c>
      <c r="I49" s="74" t="str">
        <f>IF(A49="","",SUMIFS(po_rest,po_ref,A49,po_key,"&gt;0"))</f>
        <v/>
      </c>
      <c r="J49" s="70" t="str">
        <f>IF(A49="","",IF(COUNTIFS(po_ref,A49,po_status,"&lt;&gt;Annulé")=0,"",INDEX(po_price,SUMPRODUCT(MAX((po_ref=A49)*(po_status&lt;&gt;"Annulé")*(ROW(po_ref)-5))))))</f>
        <v/>
      </c>
      <c r="K49" s="67" t="str">
        <f>IF(A49="","",IF(COUNTIF(art_ref,A49)&gt;1,"Référence en double",IF(B49="","Désignation manquante",IF(NOT(ISNUMBER(D49)),"Prix manquant",IF(E49="","TVA manquante",IF(ISNA(MATCH(E49,p_tva,0)),"Taux de TVA inconnu",IF(AND(F49&lt;&gt;"",ISNA(MATCH(F49,sup_code,0))),"Fournisseur inconnu","OK")))))))</f>
        <v/>
      </c>
    </row>
    <row r="50">
      <c r="A50" s="63" t="n"/>
      <c r="B50" s="63" t="n"/>
      <c r="C50" s="65" t="n"/>
      <c r="D50" s="69" t="n"/>
      <c r="E50" s="71" t="n"/>
      <c r="F50" s="65" t="n"/>
      <c r="G50" s="74" t="str">
        <f>IF(A50="","",SUMIFS(po_qty,po_ref,A50,po_status,"&lt;&gt;Annulé"))</f>
        <v/>
      </c>
      <c r="H50" s="74" t="str">
        <f>IF(A50="","",SUMIFS(po_rcv,po_ref,A50,po_status,"&lt;&gt;Annulé"))</f>
        <v/>
      </c>
      <c r="I50" s="74" t="str">
        <f>IF(A50="","",SUMIFS(po_rest,po_ref,A50,po_key,"&gt;0"))</f>
        <v/>
      </c>
      <c r="J50" s="70" t="str">
        <f>IF(A50="","",IF(COUNTIFS(po_ref,A50,po_status,"&lt;&gt;Annulé")=0,"",INDEX(po_price,SUMPRODUCT(MAX((po_ref=A50)*(po_status&lt;&gt;"Annulé")*(ROW(po_ref)-5))))))</f>
        <v/>
      </c>
      <c r="K50" s="67" t="str">
        <f>IF(A50="","",IF(COUNTIF(art_ref,A50)&gt;1,"Référence en double",IF(B50="","Désignation manquante",IF(NOT(ISNUMBER(D50)),"Prix manquant",IF(E50="","TVA manquante",IF(ISNA(MATCH(E50,p_tva,0)),"Taux de TVA inconnu",IF(AND(F50&lt;&gt;"",ISNA(MATCH(F50,sup_code,0))),"Fournisseur inconnu","OK")))))))</f>
        <v/>
      </c>
    </row>
    <row r="51">
      <c r="A51" s="63" t="n"/>
      <c r="B51" s="63" t="n"/>
      <c r="C51" s="65" t="n"/>
      <c r="D51" s="69" t="n"/>
      <c r="E51" s="71" t="n"/>
      <c r="F51" s="65" t="n"/>
      <c r="G51" s="74" t="str">
        <f>IF(A51="","",SUMIFS(po_qty,po_ref,A51,po_status,"&lt;&gt;Annulé"))</f>
        <v/>
      </c>
      <c r="H51" s="74" t="str">
        <f>IF(A51="","",SUMIFS(po_rcv,po_ref,A51,po_status,"&lt;&gt;Annulé"))</f>
        <v/>
      </c>
      <c r="I51" s="74" t="str">
        <f>IF(A51="","",SUMIFS(po_rest,po_ref,A51,po_key,"&gt;0"))</f>
        <v/>
      </c>
      <c r="J51" s="70" t="str">
        <f>IF(A51="","",IF(COUNTIFS(po_ref,A51,po_status,"&lt;&gt;Annulé")=0,"",INDEX(po_price,SUMPRODUCT(MAX((po_ref=A51)*(po_status&lt;&gt;"Annulé")*(ROW(po_ref)-5))))))</f>
        <v/>
      </c>
      <c r="K51" s="67" t="str">
        <f>IF(A51="","",IF(COUNTIF(art_ref,A51)&gt;1,"Référence en double",IF(B51="","Désignation manquante",IF(NOT(ISNUMBER(D51)),"Prix manquant",IF(E51="","TVA manquante",IF(ISNA(MATCH(E51,p_tva,0)),"Taux de TVA inconnu",IF(AND(F51&lt;&gt;"",ISNA(MATCH(F51,sup_code,0))),"Fournisseur inconnu","OK")))))))</f>
        <v/>
      </c>
    </row>
    <row r="52">
      <c r="A52" s="63" t="n"/>
      <c r="B52" s="63" t="n"/>
      <c r="C52" s="65" t="n"/>
      <c r="D52" s="69" t="n"/>
      <c r="E52" s="71" t="n"/>
      <c r="F52" s="65" t="n"/>
      <c r="G52" s="74" t="str">
        <f>IF(A52="","",SUMIFS(po_qty,po_ref,A52,po_status,"&lt;&gt;Annulé"))</f>
        <v/>
      </c>
      <c r="H52" s="74" t="str">
        <f>IF(A52="","",SUMIFS(po_rcv,po_ref,A52,po_status,"&lt;&gt;Annulé"))</f>
        <v/>
      </c>
      <c r="I52" s="74" t="str">
        <f>IF(A52="","",SUMIFS(po_rest,po_ref,A52,po_key,"&gt;0"))</f>
        <v/>
      </c>
      <c r="J52" s="70" t="str">
        <f>IF(A52="","",IF(COUNTIFS(po_ref,A52,po_status,"&lt;&gt;Annulé")=0,"",INDEX(po_price,SUMPRODUCT(MAX((po_ref=A52)*(po_status&lt;&gt;"Annulé")*(ROW(po_ref)-5))))))</f>
        <v/>
      </c>
      <c r="K52" s="67" t="str">
        <f>IF(A52="","",IF(COUNTIF(art_ref,A52)&gt;1,"Référence en double",IF(B52="","Désignation manquante",IF(NOT(ISNUMBER(D52)),"Prix manquant",IF(E52="","TVA manquante",IF(ISNA(MATCH(E52,p_tva,0)),"Taux de TVA inconnu",IF(AND(F52&lt;&gt;"",ISNA(MATCH(F52,sup_code,0))),"Fournisseur inconnu","OK")))))))</f>
        <v/>
      </c>
    </row>
    <row r="53">
      <c r="A53" s="63" t="n"/>
      <c r="B53" s="63" t="n"/>
      <c r="C53" s="65" t="n"/>
      <c r="D53" s="69" t="n"/>
      <c r="E53" s="71" t="n"/>
      <c r="F53" s="65" t="n"/>
      <c r="G53" s="74" t="str">
        <f>IF(A53="","",SUMIFS(po_qty,po_ref,A53,po_status,"&lt;&gt;Annulé"))</f>
        <v/>
      </c>
      <c r="H53" s="74" t="str">
        <f>IF(A53="","",SUMIFS(po_rcv,po_ref,A53,po_status,"&lt;&gt;Annulé"))</f>
        <v/>
      </c>
      <c r="I53" s="74" t="str">
        <f>IF(A53="","",SUMIFS(po_rest,po_ref,A53,po_key,"&gt;0"))</f>
        <v/>
      </c>
      <c r="J53" s="70" t="str">
        <f>IF(A53="","",IF(COUNTIFS(po_ref,A53,po_status,"&lt;&gt;Annulé")=0,"",INDEX(po_price,SUMPRODUCT(MAX((po_ref=A53)*(po_status&lt;&gt;"Annulé")*(ROW(po_ref)-5))))))</f>
        <v/>
      </c>
      <c r="K53" s="67" t="str">
        <f>IF(A53="","",IF(COUNTIF(art_ref,A53)&gt;1,"Référence en double",IF(B53="","Désignation manquante",IF(NOT(ISNUMBER(D53)),"Prix manquant",IF(E53="","TVA manquante",IF(ISNA(MATCH(E53,p_tva,0)),"Taux de TVA inconnu",IF(AND(F53&lt;&gt;"",ISNA(MATCH(F53,sup_code,0))),"Fournisseur inconnu","OK")))))))</f>
        <v/>
      </c>
    </row>
    <row r="54">
      <c r="A54" s="63" t="n"/>
      <c r="B54" s="63" t="n"/>
      <c r="C54" s="65" t="n"/>
      <c r="D54" s="69" t="n"/>
      <c r="E54" s="71" t="n"/>
      <c r="F54" s="65" t="n"/>
      <c r="G54" s="74" t="str">
        <f>IF(A54="","",SUMIFS(po_qty,po_ref,A54,po_status,"&lt;&gt;Annulé"))</f>
        <v/>
      </c>
      <c r="H54" s="74" t="str">
        <f>IF(A54="","",SUMIFS(po_rcv,po_ref,A54,po_status,"&lt;&gt;Annulé"))</f>
        <v/>
      </c>
      <c r="I54" s="74" t="str">
        <f>IF(A54="","",SUMIFS(po_rest,po_ref,A54,po_key,"&gt;0"))</f>
        <v/>
      </c>
      <c r="J54" s="70" t="str">
        <f>IF(A54="","",IF(COUNTIFS(po_ref,A54,po_status,"&lt;&gt;Annulé")=0,"",INDEX(po_price,SUMPRODUCT(MAX((po_ref=A54)*(po_status&lt;&gt;"Annulé")*(ROW(po_ref)-5))))))</f>
        <v/>
      </c>
      <c r="K54" s="67" t="str">
        <f>IF(A54="","",IF(COUNTIF(art_ref,A54)&gt;1,"Référence en double",IF(B54="","Désignation manquante",IF(NOT(ISNUMBER(D54)),"Prix manquant",IF(E54="","TVA manquante",IF(ISNA(MATCH(E54,p_tva,0)),"Taux de TVA inconnu",IF(AND(F54&lt;&gt;"",ISNA(MATCH(F54,sup_code,0))),"Fournisseur inconnu","OK")))))))</f>
        <v/>
      </c>
    </row>
    <row r="55">
      <c r="A55" s="63" t="n"/>
      <c r="B55" s="63" t="n"/>
      <c r="C55" s="65" t="n"/>
      <c r="D55" s="69" t="n"/>
      <c r="E55" s="71" t="n"/>
      <c r="F55" s="65" t="n"/>
      <c r="G55" s="74" t="str">
        <f>IF(A55="","",SUMIFS(po_qty,po_ref,A55,po_status,"&lt;&gt;Annulé"))</f>
        <v/>
      </c>
      <c r="H55" s="74" t="str">
        <f>IF(A55="","",SUMIFS(po_rcv,po_ref,A55,po_status,"&lt;&gt;Annulé"))</f>
        <v/>
      </c>
      <c r="I55" s="74" t="str">
        <f>IF(A55="","",SUMIFS(po_rest,po_ref,A55,po_key,"&gt;0"))</f>
        <v/>
      </c>
      <c r="J55" s="70" t="str">
        <f>IF(A55="","",IF(COUNTIFS(po_ref,A55,po_status,"&lt;&gt;Annulé")=0,"",INDEX(po_price,SUMPRODUCT(MAX((po_ref=A55)*(po_status&lt;&gt;"Annulé")*(ROW(po_ref)-5))))))</f>
        <v/>
      </c>
      <c r="K55" s="67" t="str">
        <f>IF(A55="","",IF(COUNTIF(art_ref,A55)&gt;1,"Référence en double",IF(B55="","Désignation manquante",IF(NOT(ISNUMBER(D55)),"Prix manquant",IF(E55="","TVA manquante",IF(ISNA(MATCH(E55,p_tva,0)),"Taux de TVA inconnu",IF(AND(F55&lt;&gt;"",ISNA(MATCH(F55,sup_code,0))),"Fournisseur inconnu","OK")))))))</f>
        <v/>
      </c>
    </row>
    <row r="56">
      <c r="A56" s="63" t="n"/>
      <c r="B56" s="63" t="n"/>
      <c r="C56" s="65" t="n"/>
      <c r="D56" s="69" t="n"/>
      <c r="E56" s="71" t="n"/>
      <c r="F56" s="65" t="n"/>
      <c r="G56" s="74" t="str">
        <f>IF(A56="","",SUMIFS(po_qty,po_ref,A56,po_status,"&lt;&gt;Annulé"))</f>
        <v/>
      </c>
      <c r="H56" s="74" t="str">
        <f>IF(A56="","",SUMIFS(po_rcv,po_ref,A56,po_status,"&lt;&gt;Annulé"))</f>
        <v/>
      </c>
      <c r="I56" s="74" t="str">
        <f>IF(A56="","",SUMIFS(po_rest,po_ref,A56,po_key,"&gt;0"))</f>
        <v/>
      </c>
      <c r="J56" s="70" t="str">
        <f>IF(A56="","",IF(COUNTIFS(po_ref,A56,po_status,"&lt;&gt;Annulé")=0,"",INDEX(po_price,SUMPRODUCT(MAX((po_ref=A56)*(po_status&lt;&gt;"Annulé")*(ROW(po_ref)-5))))))</f>
        <v/>
      </c>
      <c r="K56" s="67" t="str">
        <f>IF(A56="","",IF(COUNTIF(art_ref,A56)&gt;1,"Référence en double",IF(B56="","Désignation manquante",IF(NOT(ISNUMBER(D56)),"Prix manquant",IF(E56="","TVA manquante",IF(ISNA(MATCH(E56,p_tva,0)),"Taux de TVA inconnu",IF(AND(F56&lt;&gt;"",ISNA(MATCH(F56,sup_code,0))),"Fournisseur inconnu","OK")))))))</f>
        <v/>
      </c>
    </row>
    <row r="57">
      <c r="A57" s="63" t="n"/>
      <c r="B57" s="63" t="n"/>
      <c r="C57" s="65" t="n"/>
      <c r="D57" s="69" t="n"/>
      <c r="E57" s="71" t="n"/>
      <c r="F57" s="65" t="n"/>
      <c r="G57" s="74" t="str">
        <f>IF(A57="","",SUMIFS(po_qty,po_ref,A57,po_status,"&lt;&gt;Annulé"))</f>
        <v/>
      </c>
      <c r="H57" s="74" t="str">
        <f>IF(A57="","",SUMIFS(po_rcv,po_ref,A57,po_status,"&lt;&gt;Annulé"))</f>
        <v/>
      </c>
      <c r="I57" s="74" t="str">
        <f>IF(A57="","",SUMIFS(po_rest,po_ref,A57,po_key,"&gt;0"))</f>
        <v/>
      </c>
      <c r="J57" s="70" t="str">
        <f>IF(A57="","",IF(COUNTIFS(po_ref,A57,po_status,"&lt;&gt;Annulé")=0,"",INDEX(po_price,SUMPRODUCT(MAX((po_ref=A57)*(po_status&lt;&gt;"Annulé")*(ROW(po_ref)-5))))))</f>
        <v/>
      </c>
      <c r="K57" s="67" t="str">
        <f>IF(A57="","",IF(COUNTIF(art_ref,A57)&gt;1,"Référence en double",IF(B57="","Désignation manquante",IF(NOT(ISNUMBER(D57)),"Prix manquant",IF(E57="","TVA manquante",IF(ISNA(MATCH(E57,p_tva,0)),"Taux de TVA inconnu",IF(AND(F57&lt;&gt;"",ISNA(MATCH(F57,sup_code,0))),"Fournisseur inconnu","OK")))))))</f>
        <v/>
      </c>
    </row>
    <row r="58">
      <c r="A58" s="63" t="n"/>
      <c r="B58" s="63" t="n"/>
      <c r="C58" s="65" t="n"/>
      <c r="D58" s="69" t="n"/>
      <c r="E58" s="71" t="n"/>
      <c r="F58" s="65" t="n"/>
      <c r="G58" s="74" t="str">
        <f>IF(A58="","",SUMIFS(po_qty,po_ref,A58,po_status,"&lt;&gt;Annulé"))</f>
        <v/>
      </c>
      <c r="H58" s="74" t="str">
        <f>IF(A58="","",SUMIFS(po_rcv,po_ref,A58,po_status,"&lt;&gt;Annulé"))</f>
        <v/>
      </c>
      <c r="I58" s="74" t="str">
        <f>IF(A58="","",SUMIFS(po_rest,po_ref,A58,po_key,"&gt;0"))</f>
        <v/>
      </c>
      <c r="J58" s="70" t="str">
        <f>IF(A58="","",IF(COUNTIFS(po_ref,A58,po_status,"&lt;&gt;Annulé")=0,"",INDEX(po_price,SUMPRODUCT(MAX((po_ref=A58)*(po_status&lt;&gt;"Annulé")*(ROW(po_ref)-5))))))</f>
        <v/>
      </c>
      <c r="K58" s="67" t="str">
        <f>IF(A58="","",IF(COUNTIF(art_ref,A58)&gt;1,"Référence en double",IF(B58="","Désignation manquante",IF(NOT(ISNUMBER(D58)),"Prix manquant",IF(E58="","TVA manquante",IF(ISNA(MATCH(E58,p_tva,0)),"Taux de TVA inconnu",IF(AND(F58&lt;&gt;"",ISNA(MATCH(F58,sup_code,0))),"Fournisseur inconnu","OK")))))))</f>
        <v/>
      </c>
    </row>
    <row r="59">
      <c r="A59" s="63" t="n"/>
      <c r="B59" s="63" t="n"/>
      <c r="C59" s="65" t="n"/>
      <c r="D59" s="69" t="n"/>
      <c r="E59" s="71" t="n"/>
      <c r="F59" s="65" t="n"/>
      <c r="G59" s="74" t="str">
        <f>IF(A59="","",SUMIFS(po_qty,po_ref,A59,po_status,"&lt;&gt;Annulé"))</f>
        <v/>
      </c>
      <c r="H59" s="74" t="str">
        <f>IF(A59="","",SUMIFS(po_rcv,po_ref,A59,po_status,"&lt;&gt;Annulé"))</f>
        <v/>
      </c>
      <c r="I59" s="74" t="str">
        <f>IF(A59="","",SUMIFS(po_rest,po_ref,A59,po_key,"&gt;0"))</f>
        <v/>
      </c>
      <c r="J59" s="70" t="str">
        <f>IF(A59="","",IF(COUNTIFS(po_ref,A59,po_status,"&lt;&gt;Annulé")=0,"",INDEX(po_price,SUMPRODUCT(MAX((po_ref=A59)*(po_status&lt;&gt;"Annulé")*(ROW(po_ref)-5))))))</f>
        <v/>
      </c>
      <c r="K59" s="67" t="str">
        <f>IF(A59="","",IF(COUNTIF(art_ref,A59)&gt;1,"Référence en double",IF(B59="","Désignation manquante",IF(NOT(ISNUMBER(D59)),"Prix manquant",IF(E59="","TVA manquante",IF(ISNA(MATCH(E59,p_tva,0)),"Taux de TVA inconnu",IF(AND(F59&lt;&gt;"",ISNA(MATCH(F59,sup_code,0))),"Fournisseur inconnu","OK")))))))</f>
        <v/>
      </c>
    </row>
    <row r="60">
      <c r="A60" s="63" t="n"/>
      <c r="B60" s="63" t="n"/>
      <c r="C60" s="65" t="n"/>
      <c r="D60" s="69" t="n"/>
      <c r="E60" s="71" t="n"/>
      <c r="F60" s="65" t="n"/>
      <c r="G60" s="74" t="str">
        <f>IF(A60="","",SUMIFS(po_qty,po_ref,A60,po_status,"&lt;&gt;Annulé"))</f>
        <v/>
      </c>
      <c r="H60" s="74" t="str">
        <f>IF(A60="","",SUMIFS(po_rcv,po_ref,A60,po_status,"&lt;&gt;Annulé"))</f>
        <v/>
      </c>
      <c r="I60" s="74" t="str">
        <f>IF(A60="","",SUMIFS(po_rest,po_ref,A60,po_key,"&gt;0"))</f>
        <v/>
      </c>
      <c r="J60" s="70" t="str">
        <f>IF(A60="","",IF(COUNTIFS(po_ref,A60,po_status,"&lt;&gt;Annulé")=0,"",INDEX(po_price,SUMPRODUCT(MAX((po_ref=A60)*(po_status&lt;&gt;"Annulé")*(ROW(po_ref)-5))))))</f>
        <v/>
      </c>
      <c r="K60" s="67" t="str">
        <f>IF(A60="","",IF(COUNTIF(art_ref,A60)&gt;1,"Référence en double",IF(B60="","Désignation manquante",IF(NOT(ISNUMBER(D60)),"Prix manquant",IF(E60="","TVA manquante",IF(ISNA(MATCH(E60,p_tva,0)),"Taux de TVA inconnu",IF(AND(F60&lt;&gt;"",ISNA(MATCH(F60,sup_code,0))),"Fournisseur inconnu","OK")))))))</f>
        <v/>
      </c>
    </row>
    <row r="61">
      <c r="A61" s="63" t="n"/>
      <c r="B61" s="63" t="n"/>
      <c r="C61" s="65" t="n"/>
      <c r="D61" s="69" t="n"/>
      <c r="E61" s="71" t="n"/>
      <c r="F61" s="65" t="n"/>
      <c r="G61" s="74" t="str">
        <f>IF(A61="","",SUMIFS(po_qty,po_ref,A61,po_status,"&lt;&gt;Annulé"))</f>
        <v/>
      </c>
      <c r="H61" s="74" t="str">
        <f>IF(A61="","",SUMIFS(po_rcv,po_ref,A61,po_status,"&lt;&gt;Annulé"))</f>
        <v/>
      </c>
      <c r="I61" s="74" t="str">
        <f>IF(A61="","",SUMIFS(po_rest,po_ref,A61,po_key,"&gt;0"))</f>
        <v/>
      </c>
      <c r="J61" s="70" t="str">
        <f>IF(A61="","",IF(COUNTIFS(po_ref,A61,po_status,"&lt;&gt;Annulé")=0,"",INDEX(po_price,SUMPRODUCT(MAX((po_ref=A61)*(po_status&lt;&gt;"Annulé")*(ROW(po_ref)-5))))))</f>
        <v/>
      </c>
      <c r="K61" s="67" t="str">
        <f>IF(A61="","",IF(COUNTIF(art_ref,A61)&gt;1,"Référence en double",IF(B61="","Désignation manquante",IF(NOT(ISNUMBER(D61)),"Prix manquant",IF(E61="","TVA manquante",IF(ISNA(MATCH(E61,p_tva,0)),"Taux de TVA inconnu",IF(AND(F61&lt;&gt;"",ISNA(MATCH(F61,sup_code,0))),"Fournisseur inconnu","OK")))))))</f>
        <v/>
      </c>
    </row>
    <row r="62">
      <c r="A62" s="63" t="n"/>
      <c r="B62" s="63" t="n"/>
      <c r="C62" s="65" t="n"/>
      <c r="D62" s="69" t="n"/>
      <c r="E62" s="71" t="n"/>
      <c r="F62" s="65" t="n"/>
      <c r="G62" s="74" t="str">
        <f>IF(A62="","",SUMIFS(po_qty,po_ref,A62,po_status,"&lt;&gt;Annulé"))</f>
        <v/>
      </c>
      <c r="H62" s="74" t="str">
        <f>IF(A62="","",SUMIFS(po_rcv,po_ref,A62,po_status,"&lt;&gt;Annulé"))</f>
        <v/>
      </c>
      <c r="I62" s="74" t="str">
        <f>IF(A62="","",SUMIFS(po_rest,po_ref,A62,po_key,"&gt;0"))</f>
        <v/>
      </c>
      <c r="J62" s="70" t="str">
        <f>IF(A62="","",IF(COUNTIFS(po_ref,A62,po_status,"&lt;&gt;Annulé")=0,"",INDEX(po_price,SUMPRODUCT(MAX((po_ref=A62)*(po_status&lt;&gt;"Annulé")*(ROW(po_ref)-5))))))</f>
        <v/>
      </c>
      <c r="K62" s="67" t="str">
        <f>IF(A62="","",IF(COUNTIF(art_ref,A62)&gt;1,"Référence en double",IF(B62="","Désignation manquante",IF(NOT(ISNUMBER(D62)),"Prix manquant",IF(E62="","TVA manquante",IF(ISNA(MATCH(E62,p_tva,0)),"Taux de TVA inconnu",IF(AND(F62&lt;&gt;"",ISNA(MATCH(F62,sup_code,0))),"Fournisseur inconnu","OK")))))))</f>
        <v/>
      </c>
    </row>
    <row r="63">
      <c r="A63" s="63" t="n"/>
      <c r="B63" s="63" t="n"/>
      <c r="C63" s="65" t="n"/>
      <c r="D63" s="69" t="n"/>
      <c r="E63" s="71" t="n"/>
      <c r="F63" s="65" t="n"/>
      <c r="G63" s="74" t="str">
        <f>IF(A63="","",SUMIFS(po_qty,po_ref,A63,po_status,"&lt;&gt;Annulé"))</f>
        <v/>
      </c>
      <c r="H63" s="74" t="str">
        <f>IF(A63="","",SUMIFS(po_rcv,po_ref,A63,po_status,"&lt;&gt;Annulé"))</f>
        <v/>
      </c>
      <c r="I63" s="74" t="str">
        <f>IF(A63="","",SUMIFS(po_rest,po_ref,A63,po_key,"&gt;0"))</f>
        <v/>
      </c>
      <c r="J63" s="70" t="str">
        <f>IF(A63="","",IF(COUNTIFS(po_ref,A63,po_status,"&lt;&gt;Annulé")=0,"",INDEX(po_price,SUMPRODUCT(MAX((po_ref=A63)*(po_status&lt;&gt;"Annulé")*(ROW(po_ref)-5))))))</f>
        <v/>
      </c>
      <c r="K63" s="67" t="str">
        <f>IF(A63="","",IF(COUNTIF(art_ref,A63)&gt;1,"Référence en double",IF(B63="","Désignation manquante",IF(NOT(ISNUMBER(D63)),"Prix manquant",IF(E63="","TVA manquante",IF(ISNA(MATCH(E63,p_tva,0)),"Taux de TVA inconnu",IF(AND(F63&lt;&gt;"",ISNA(MATCH(F63,sup_code,0))),"Fournisseur inconnu","OK")))))))</f>
        <v/>
      </c>
    </row>
    <row r="64">
      <c r="A64" s="63" t="n"/>
      <c r="B64" s="63" t="n"/>
      <c r="C64" s="65" t="n"/>
      <c r="D64" s="69" t="n"/>
      <c r="E64" s="71" t="n"/>
      <c r="F64" s="65" t="n"/>
      <c r="G64" s="74" t="str">
        <f>IF(A64="","",SUMIFS(po_qty,po_ref,A64,po_status,"&lt;&gt;Annulé"))</f>
        <v/>
      </c>
      <c r="H64" s="74" t="str">
        <f>IF(A64="","",SUMIFS(po_rcv,po_ref,A64,po_status,"&lt;&gt;Annulé"))</f>
        <v/>
      </c>
      <c r="I64" s="74" t="str">
        <f>IF(A64="","",SUMIFS(po_rest,po_ref,A64,po_key,"&gt;0"))</f>
        <v/>
      </c>
      <c r="J64" s="70" t="str">
        <f>IF(A64="","",IF(COUNTIFS(po_ref,A64,po_status,"&lt;&gt;Annulé")=0,"",INDEX(po_price,SUMPRODUCT(MAX((po_ref=A64)*(po_status&lt;&gt;"Annulé")*(ROW(po_ref)-5))))))</f>
        <v/>
      </c>
      <c r="K64" s="67" t="str">
        <f>IF(A64="","",IF(COUNTIF(art_ref,A64)&gt;1,"Référence en double",IF(B64="","Désignation manquante",IF(NOT(ISNUMBER(D64)),"Prix manquant",IF(E64="","TVA manquante",IF(ISNA(MATCH(E64,p_tva,0)),"Taux de TVA inconnu",IF(AND(F64&lt;&gt;"",ISNA(MATCH(F64,sup_code,0))),"Fournisseur inconnu","OK")))))))</f>
        <v/>
      </c>
    </row>
    <row r="65">
      <c r="A65" s="63" t="n"/>
      <c r="B65" s="63" t="n"/>
      <c r="C65" s="65" t="n"/>
      <c r="D65" s="69" t="n"/>
      <c r="E65" s="71" t="n"/>
      <c r="F65" s="65" t="n"/>
      <c r="G65" s="74" t="str">
        <f>IF(A65="","",SUMIFS(po_qty,po_ref,A65,po_status,"&lt;&gt;Annulé"))</f>
        <v/>
      </c>
      <c r="H65" s="74" t="str">
        <f>IF(A65="","",SUMIFS(po_rcv,po_ref,A65,po_status,"&lt;&gt;Annulé"))</f>
        <v/>
      </c>
      <c r="I65" s="74" t="str">
        <f>IF(A65="","",SUMIFS(po_rest,po_ref,A65,po_key,"&gt;0"))</f>
        <v/>
      </c>
      <c r="J65" s="70" t="str">
        <f>IF(A65="","",IF(COUNTIFS(po_ref,A65,po_status,"&lt;&gt;Annulé")=0,"",INDEX(po_price,SUMPRODUCT(MAX((po_ref=A65)*(po_status&lt;&gt;"Annulé")*(ROW(po_ref)-5))))))</f>
        <v/>
      </c>
      <c r="K65" s="67" t="str">
        <f>IF(A65="","",IF(COUNTIF(art_ref,A65)&gt;1,"Référence en double",IF(B65="","Désignation manquante",IF(NOT(ISNUMBER(D65)),"Prix manquant",IF(E65="","TVA manquante",IF(ISNA(MATCH(E65,p_tva,0)),"Taux de TVA inconnu",IF(AND(F65&lt;&gt;"",ISNA(MATCH(F65,sup_code,0))),"Fournisseur inconnu","OK")))))))</f>
        <v/>
      </c>
    </row>
    <row r="66">
      <c r="A66" s="63" t="n"/>
      <c r="B66" s="63" t="n"/>
      <c r="C66" s="65" t="n"/>
      <c r="D66" s="69" t="n"/>
      <c r="E66" s="71" t="n"/>
      <c r="F66" s="65" t="n"/>
      <c r="G66" s="74" t="str">
        <f>IF(A66="","",SUMIFS(po_qty,po_ref,A66,po_status,"&lt;&gt;Annulé"))</f>
        <v/>
      </c>
      <c r="H66" s="74" t="str">
        <f>IF(A66="","",SUMIFS(po_rcv,po_ref,A66,po_status,"&lt;&gt;Annulé"))</f>
        <v/>
      </c>
      <c r="I66" s="74" t="str">
        <f>IF(A66="","",SUMIFS(po_rest,po_ref,A66,po_key,"&gt;0"))</f>
        <v/>
      </c>
      <c r="J66" s="70" t="str">
        <f>IF(A66="","",IF(COUNTIFS(po_ref,A66,po_status,"&lt;&gt;Annulé")=0,"",INDEX(po_price,SUMPRODUCT(MAX((po_ref=A66)*(po_status&lt;&gt;"Annulé")*(ROW(po_ref)-5))))))</f>
        <v/>
      </c>
      <c r="K66" s="67" t="str">
        <f>IF(A66="","",IF(COUNTIF(art_ref,A66)&gt;1,"Référence en double",IF(B66="","Désignation manquante",IF(NOT(ISNUMBER(D66)),"Prix manquant",IF(E66="","TVA manquante",IF(ISNA(MATCH(E66,p_tva,0)),"Taux de TVA inconnu",IF(AND(F66&lt;&gt;"",ISNA(MATCH(F66,sup_code,0))),"Fournisseur inconnu","OK")))))))</f>
        <v/>
      </c>
    </row>
    <row r="67">
      <c r="A67" s="63" t="n"/>
      <c r="B67" s="63" t="n"/>
      <c r="C67" s="65" t="n"/>
      <c r="D67" s="69" t="n"/>
      <c r="E67" s="71" t="n"/>
      <c r="F67" s="65" t="n"/>
      <c r="G67" s="74" t="str">
        <f>IF(A67="","",SUMIFS(po_qty,po_ref,A67,po_status,"&lt;&gt;Annulé"))</f>
        <v/>
      </c>
      <c r="H67" s="74" t="str">
        <f>IF(A67="","",SUMIFS(po_rcv,po_ref,A67,po_status,"&lt;&gt;Annulé"))</f>
        <v/>
      </c>
      <c r="I67" s="74" t="str">
        <f>IF(A67="","",SUMIFS(po_rest,po_ref,A67,po_key,"&gt;0"))</f>
        <v/>
      </c>
      <c r="J67" s="70" t="str">
        <f>IF(A67="","",IF(COUNTIFS(po_ref,A67,po_status,"&lt;&gt;Annulé")=0,"",INDEX(po_price,SUMPRODUCT(MAX((po_ref=A67)*(po_status&lt;&gt;"Annulé")*(ROW(po_ref)-5))))))</f>
        <v/>
      </c>
      <c r="K67" s="67" t="str">
        <f>IF(A67="","",IF(COUNTIF(art_ref,A67)&gt;1,"Référence en double",IF(B67="","Désignation manquante",IF(NOT(ISNUMBER(D67)),"Prix manquant",IF(E67="","TVA manquante",IF(ISNA(MATCH(E67,p_tva,0)),"Taux de TVA inconnu",IF(AND(F67&lt;&gt;"",ISNA(MATCH(F67,sup_code,0))),"Fournisseur inconnu","OK")))))))</f>
        <v/>
      </c>
    </row>
    <row r="68">
      <c r="A68" s="63" t="n"/>
      <c r="B68" s="63" t="n"/>
      <c r="C68" s="65" t="n"/>
      <c r="D68" s="69" t="n"/>
      <c r="E68" s="71" t="n"/>
      <c r="F68" s="65" t="n"/>
      <c r="G68" s="74" t="str">
        <f>IF(A68="","",SUMIFS(po_qty,po_ref,A68,po_status,"&lt;&gt;Annulé"))</f>
        <v/>
      </c>
      <c r="H68" s="74" t="str">
        <f>IF(A68="","",SUMIFS(po_rcv,po_ref,A68,po_status,"&lt;&gt;Annulé"))</f>
        <v/>
      </c>
      <c r="I68" s="74" t="str">
        <f>IF(A68="","",SUMIFS(po_rest,po_ref,A68,po_key,"&gt;0"))</f>
        <v/>
      </c>
      <c r="J68" s="70" t="str">
        <f>IF(A68="","",IF(COUNTIFS(po_ref,A68,po_status,"&lt;&gt;Annulé")=0,"",INDEX(po_price,SUMPRODUCT(MAX((po_ref=A68)*(po_status&lt;&gt;"Annulé")*(ROW(po_ref)-5))))))</f>
        <v/>
      </c>
      <c r="K68" s="67" t="str">
        <f>IF(A68="","",IF(COUNTIF(art_ref,A68)&gt;1,"Référence en double",IF(B68="","Désignation manquante",IF(NOT(ISNUMBER(D68)),"Prix manquant",IF(E68="","TVA manquante",IF(ISNA(MATCH(E68,p_tva,0)),"Taux de TVA inconnu",IF(AND(F68&lt;&gt;"",ISNA(MATCH(F68,sup_code,0))),"Fournisseur inconnu","OK")))))))</f>
        <v/>
      </c>
    </row>
    <row r="69">
      <c r="A69" s="63" t="n"/>
      <c r="B69" s="63" t="n"/>
      <c r="C69" s="65" t="n"/>
      <c r="D69" s="69" t="n"/>
      <c r="E69" s="71" t="n"/>
      <c r="F69" s="65" t="n"/>
      <c r="G69" s="74" t="str">
        <f>IF(A69="","",SUMIFS(po_qty,po_ref,A69,po_status,"&lt;&gt;Annulé"))</f>
        <v/>
      </c>
      <c r="H69" s="74" t="str">
        <f>IF(A69="","",SUMIFS(po_rcv,po_ref,A69,po_status,"&lt;&gt;Annulé"))</f>
        <v/>
      </c>
      <c r="I69" s="74" t="str">
        <f>IF(A69="","",SUMIFS(po_rest,po_ref,A69,po_key,"&gt;0"))</f>
        <v/>
      </c>
      <c r="J69" s="70" t="str">
        <f>IF(A69="","",IF(COUNTIFS(po_ref,A69,po_status,"&lt;&gt;Annulé")=0,"",INDEX(po_price,SUMPRODUCT(MAX((po_ref=A69)*(po_status&lt;&gt;"Annulé")*(ROW(po_ref)-5))))))</f>
        <v/>
      </c>
      <c r="K69" s="67" t="str">
        <f>IF(A69="","",IF(COUNTIF(art_ref,A69)&gt;1,"Référence en double",IF(B69="","Désignation manquante",IF(NOT(ISNUMBER(D69)),"Prix manquant",IF(E69="","TVA manquante",IF(ISNA(MATCH(E69,p_tva,0)),"Taux de TVA inconnu",IF(AND(F69&lt;&gt;"",ISNA(MATCH(F69,sup_code,0))),"Fournisseur inconnu","OK")))))))</f>
        <v/>
      </c>
    </row>
    <row r="70">
      <c r="A70" s="63" t="n"/>
      <c r="B70" s="63" t="n"/>
      <c r="C70" s="65" t="n"/>
      <c r="D70" s="69" t="n"/>
      <c r="E70" s="71" t="n"/>
      <c r="F70" s="65" t="n"/>
      <c r="G70" s="74" t="str">
        <f>IF(A70="","",SUMIFS(po_qty,po_ref,A70,po_status,"&lt;&gt;Annulé"))</f>
        <v/>
      </c>
      <c r="H70" s="74" t="str">
        <f>IF(A70="","",SUMIFS(po_rcv,po_ref,A70,po_status,"&lt;&gt;Annulé"))</f>
        <v/>
      </c>
      <c r="I70" s="74" t="str">
        <f>IF(A70="","",SUMIFS(po_rest,po_ref,A70,po_key,"&gt;0"))</f>
        <v/>
      </c>
      <c r="J70" s="70" t="str">
        <f>IF(A70="","",IF(COUNTIFS(po_ref,A70,po_status,"&lt;&gt;Annulé")=0,"",INDEX(po_price,SUMPRODUCT(MAX((po_ref=A70)*(po_status&lt;&gt;"Annulé")*(ROW(po_ref)-5))))))</f>
        <v/>
      </c>
      <c r="K70" s="67" t="str">
        <f>IF(A70="","",IF(COUNTIF(art_ref,A70)&gt;1,"Référence en double",IF(B70="","Désignation manquante",IF(NOT(ISNUMBER(D70)),"Prix manquant",IF(E70="","TVA manquante",IF(ISNA(MATCH(E70,p_tva,0)),"Taux de TVA inconnu",IF(AND(F70&lt;&gt;"",ISNA(MATCH(F70,sup_code,0))),"Fournisseur inconnu","OK")))))))</f>
        <v/>
      </c>
    </row>
    <row r="71">
      <c r="A71" s="63" t="n"/>
      <c r="B71" s="63" t="n"/>
      <c r="C71" s="65" t="n"/>
      <c r="D71" s="69" t="n"/>
      <c r="E71" s="71" t="n"/>
      <c r="F71" s="65" t="n"/>
      <c r="G71" s="74" t="str">
        <f>IF(A71="","",SUMIFS(po_qty,po_ref,A71,po_status,"&lt;&gt;Annulé"))</f>
        <v/>
      </c>
      <c r="H71" s="74" t="str">
        <f>IF(A71="","",SUMIFS(po_rcv,po_ref,A71,po_status,"&lt;&gt;Annulé"))</f>
        <v/>
      </c>
      <c r="I71" s="74" t="str">
        <f>IF(A71="","",SUMIFS(po_rest,po_ref,A71,po_key,"&gt;0"))</f>
        <v/>
      </c>
      <c r="J71" s="70" t="str">
        <f>IF(A71="","",IF(COUNTIFS(po_ref,A71,po_status,"&lt;&gt;Annulé")=0,"",INDEX(po_price,SUMPRODUCT(MAX((po_ref=A71)*(po_status&lt;&gt;"Annulé")*(ROW(po_ref)-5))))))</f>
        <v/>
      </c>
      <c r="K71" s="67" t="str">
        <f>IF(A71="","",IF(COUNTIF(art_ref,A71)&gt;1,"Référence en double",IF(B71="","Désignation manquante",IF(NOT(ISNUMBER(D71)),"Prix manquant",IF(E71="","TVA manquante",IF(ISNA(MATCH(E71,p_tva,0)),"Taux de TVA inconnu",IF(AND(F71&lt;&gt;"",ISNA(MATCH(F71,sup_code,0))),"Fournisseur inconnu","OK")))))))</f>
        <v/>
      </c>
    </row>
    <row r="72">
      <c r="A72" s="63" t="n"/>
      <c r="B72" s="63" t="n"/>
      <c r="C72" s="65" t="n"/>
      <c r="D72" s="69" t="n"/>
      <c r="E72" s="71" t="n"/>
      <c r="F72" s="65" t="n"/>
      <c r="G72" s="74" t="str">
        <f>IF(A72="","",SUMIFS(po_qty,po_ref,A72,po_status,"&lt;&gt;Annulé"))</f>
        <v/>
      </c>
      <c r="H72" s="74" t="str">
        <f>IF(A72="","",SUMIFS(po_rcv,po_ref,A72,po_status,"&lt;&gt;Annulé"))</f>
        <v/>
      </c>
      <c r="I72" s="74" t="str">
        <f>IF(A72="","",SUMIFS(po_rest,po_ref,A72,po_key,"&gt;0"))</f>
        <v/>
      </c>
      <c r="J72" s="70" t="str">
        <f>IF(A72="","",IF(COUNTIFS(po_ref,A72,po_status,"&lt;&gt;Annulé")=0,"",INDEX(po_price,SUMPRODUCT(MAX((po_ref=A72)*(po_status&lt;&gt;"Annulé")*(ROW(po_ref)-5))))))</f>
        <v/>
      </c>
      <c r="K72" s="67" t="str">
        <f>IF(A72="","",IF(COUNTIF(art_ref,A72)&gt;1,"Référence en double",IF(B72="","Désignation manquante",IF(NOT(ISNUMBER(D72)),"Prix manquant",IF(E72="","TVA manquante",IF(ISNA(MATCH(E72,p_tva,0)),"Taux de TVA inconnu",IF(AND(F72&lt;&gt;"",ISNA(MATCH(F72,sup_code,0))),"Fournisseur inconnu","OK")))))))</f>
        <v/>
      </c>
    </row>
    <row r="73">
      <c r="A73" s="63" t="n"/>
      <c r="B73" s="63" t="n"/>
      <c r="C73" s="65" t="n"/>
      <c r="D73" s="69" t="n"/>
      <c r="E73" s="71" t="n"/>
      <c r="F73" s="65" t="n"/>
      <c r="G73" s="74" t="str">
        <f>IF(A73="","",SUMIFS(po_qty,po_ref,A73,po_status,"&lt;&gt;Annulé"))</f>
        <v/>
      </c>
      <c r="H73" s="74" t="str">
        <f>IF(A73="","",SUMIFS(po_rcv,po_ref,A73,po_status,"&lt;&gt;Annulé"))</f>
        <v/>
      </c>
      <c r="I73" s="74" t="str">
        <f>IF(A73="","",SUMIFS(po_rest,po_ref,A73,po_key,"&gt;0"))</f>
        <v/>
      </c>
      <c r="J73" s="70" t="str">
        <f>IF(A73="","",IF(COUNTIFS(po_ref,A73,po_status,"&lt;&gt;Annulé")=0,"",INDEX(po_price,SUMPRODUCT(MAX((po_ref=A73)*(po_status&lt;&gt;"Annulé")*(ROW(po_ref)-5))))))</f>
        <v/>
      </c>
      <c r="K73" s="67" t="str">
        <f>IF(A73="","",IF(COUNTIF(art_ref,A73)&gt;1,"Référence en double",IF(B73="","Désignation manquante",IF(NOT(ISNUMBER(D73)),"Prix manquant",IF(E73="","TVA manquante",IF(ISNA(MATCH(E73,p_tva,0)),"Taux de TVA inconnu",IF(AND(F73&lt;&gt;"",ISNA(MATCH(F73,sup_code,0))),"Fournisseur inconnu","OK")))))))</f>
        <v/>
      </c>
    </row>
    <row r="74">
      <c r="A74" s="63" t="n"/>
      <c r="B74" s="63" t="n"/>
      <c r="C74" s="65" t="n"/>
      <c r="D74" s="69" t="n"/>
      <c r="E74" s="71" t="n"/>
      <c r="F74" s="65" t="n"/>
      <c r="G74" s="74" t="str">
        <f>IF(A74="","",SUMIFS(po_qty,po_ref,A74,po_status,"&lt;&gt;Annulé"))</f>
        <v/>
      </c>
      <c r="H74" s="74" t="str">
        <f>IF(A74="","",SUMIFS(po_rcv,po_ref,A74,po_status,"&lt;&gt;Annulé"))</f>
        <v/>
      </c>
      <c r="I74" s="74" t="str">
        <f>IF(A74="","",SUMIFS(po_rest,po_ref,A74,po_key,"&gt;0"))</f>
        <v/>
      </c>
      <c r="J74" s="70" t="str">
        <f>IF(A74="","",IF(COUNTIFS(po_ref,A74,po_status,"&lt;&gt;Annulé")=0,"",INDEX(po_price,SUMPRODUCT(MAX((po_ref=A74)*(po_status&lt;&gt;"Annulé")*(ROW(po_ref)-5))))))</f>
        <v/>
      </c>
      <c r="K74" s="67" t="str">
        <f>IF(A74="","",IF(COUNTIF(art_ref,A74)&gt;1,"Référence en double",IF(B74="","Désignation manquante",IF(NOT(ISNUMBER(D74)),"Prix manquant",IF(E74="","TVA manquante",IF(ISNA(MATCH(E74,p_tva,0)),"Taux de TVA inconnu",IF(AND(F74&lt;&gt;"",ISNA(MATCH(F74,sup_code,0))),"Fournisseur inconnu","OK")))))))</f>
        <v/>
      </c>
    </row>
    <row r="75">
      <c r="A75" s="63" t="n"/>
      <c r="B75" s="63" t="n"/>
      <c r="C75" s="65" t="n"/>
      <c r="D75" s="69" t="n"/>
      <c r="E75" s="71" t="n"/>
      <c r="F75" s="65" t="n"/>
      <c r="G75" s="74" t="str">
        <f>IF(A75="","",SUMIFS(po_qty,po_ref,A75,po_status,"&lt;&gt;Annulé"))</f>
        <v/>
      </c>
      <c r="H75" s="74" t="str">
        <f>IF(A75="","",SUMIFS(po_rcv,po_ref,A75,po_status,"&lt;&gt;Annulé"))</f>
        <v/>
      </c>
      <c r="I75" s="74" t="str">
        <f>IF(A75="","",SUMIFS(po_rest,po_ref,A75,po_key,"&gt;0"))</f>
        <v/>
      </c>
      <c r="J75" s="70" t="str">
        <f>IF(A75="","",IF(COUNTIFS(po_ref,A75,po_status,"&lt;&gt;Annulé")=0,"",INDEX(po_price,SUMPRODUCT(MAX((po_ref=A75)*(po_status&lt;&gt;"Annulé")*(ROW(po_ref)-5))))))</f>
        <v/>
      </c>
      <c r="K75" s="67" t="str">
        <f>IF(A75="","",IF(COUNTIF(art_ref,A75)&gt;1,"Référence en double",IF(B75="","Désignation manquante",IF(NOT(ISNUMBER(D75)),"Prix manquant",IF(E75="","TVA manquante",IF(ISNA(MATCH(E75,p_tva,0)),"Taux de TVA inconnu",IF(AND(F75&lt;&gt;"",ISNA(MATCH(F75,sup_code,0))),"Fournisseur inconnu","OK")))))))</f>
        <v/>
      </c>
    </row>
    <row r="76">
      <c r="A76" s="63" t="n"/>
      <c r="B76" s="63" t="n"/>
      <c r="C76" s="65" t="n"/>
      <c r="D76" s="69" t="n"/>
      <c r="E76" s="71" t="n"/>
      <c r="F76" s="65" t="n"/>
      <c r="G76" s="74" t="str">
        <f>IF(A76="","",SUMIFS(po_qty,po_ref,A76,po_status,"&lt;&gt;Annulé"))</f>
        <v/>
      </c>
      <c r="H76" s="74" t="str">
        <f>IF(A76="","",SUMIFS(po_rcv,po_ref,A76,po_status,"&lt;&gt;Annulé"))</f>
        <v/>
      </c>
      <c r="I76" s="74" t="str">
        <f>IF(A76="","",SUMIFS(po_rest,po_ref,A76,po_key,"&gt;0"))</f>
        <v/>
      </c>
      <c r="J76" s="70" t="str">
        <f>IF(A76="","",IF(COUNTIFS(po_ref,A76,po_status,"&lt;&gt;Annulé")=0,"",INDEX(po_price,SUMPRODUCT(MAX((po_ref=A76)*(po_status&lt;&gt;"Annulé")*(ROW(po_ref)-5))))))</f>
        <v/>
      </c>
      <c r="K76" s="67" t="str">
        <f>IF(A76="","",IF(COUNTIF(art_ref,A76)&gt;1,"Référence en double",IF(B76="","Désignation manquante",IF(NOT(ISNUMBER(D76)),"Prix manquant",IF(E76="","TVA manquante",IF(ISNA(MATCH(E76,p_tva,0)),"Taux de TVA inconnu",IF(AND(F76&lt;&gt;"",ISNA(MATCH(F76,sup_code,0))),"Fournisseur inconnu","OK")))))))</f>
        <v/>
      </c>
    </row>
    <row r="77">
      <c r="A77" s="63" t="n"/>
      <c r="B77" s="63" t="n"/>
      <c r="C77" s="65" t="n"/>
      <c r="D77" s="69" t="n"/>
      <c r="E77" s="71" t="n"/>
      <c r="F77" s="65" t="n"/>
      <c r="G77" s="74" t="str">
        <f>IF(A77="","",SUMIFS(po_qty,po_ref,A77,po_status,"&lt;&gt;Annulé"))</f>
        <v/>
      </c>
      <c r="H77" s="74" t="str">
        <f>IF(A77="","",SUMIFS(po_rcv,po_ref,A77,po_status,"&lt;&gt;Annulé"))</f>
        <v/>
      </c>
      <c r="I77" s="74" t="str">
        <f>IF(A77="","",SUMIFS(po_rest,po_ref,A77,po_key,"&gt;0"))</f>
        <v/>
      </c>
      <c r="J77" s="70" t="str">
        <f>IF(A77="","",IF(COUNTIFS(po_ref,A77,po_status,"&lt;&gt;Annulé")=0,"",INDEX(po_price,SUMPRODUCT(MAX((po_ref=A77)*(po_status&lt;&gt;"Annulé")*(ROW(po_ref)-5))))))</f>
        <v/>
      </c>
      <c r="K77" s="67" t="str">
        <f>IF(A77="","",IF(COUNTIF(art_ref,A77)&gt;1,"Référence en double",IF(B77="","Désignation manquante",IF(NOT(ISNUMBER(D77)),"Prix manquant",IF(E77="","TVA manquante",IF(ISNA(MATCH(E77,p_tva,0)),"Taux de TVA inconnu",IF(AND(F77&lt;&gt;"",ISNA(MATCH(F77,sup_code,0))),"Fournisseur inconnu","OK")))))))</f>
        <v/>
      </c>
    </row>
    <row r="78">
      <c r="A78" s="63" t="n"/>
      <c r="B78" s="63" t="n"/>
      <c r="C78" s="65" t="n"/>
      <c r="D78" s="69" t="n"/>
      <c r="E78" s="71" t="n"/>
      <c r="F78" s="65" t="n"/>
      <c r="G78" s="74" t="str">
        <f>IF(A78="","",SUMIFS(po_qty,po_ref,A78,po_status,"&lt;&gt;Annulé"))</f>
        <v/>
      </c>
      <c r="H78" s="74" t="str">
        <f>IF(A78="","",SUMIFS(po_rcv,po_ref,A78,po_status,"&lt;&gt;Annulé"))</f>
        <v/>
      </c>
      <c r="I78" s="74" t="str">
        <f>IF(A78="","",SUMIFS(po_rest,po_ref,A78,po_key,"&gt;0"))</f>
        <v/>
      </c>
      <c r="J78" s="70" t="str">
        <f>IF(A78="","",IF(COUNTIFS(po_ref,A78,po_status,"&lt;&gt;Annulé")=0,"",INDEX(po_price,SUMPRODUCT(MAX((po_ref=A78)*(po_status&lt;&gt;"Annulé")*(ROW(po_ref)-5))))))</f>
        <v/>
      </c>
      <c r="K78" s="67" t="str">
        <f>IF(A78="","",IF(COUNTIF(art_ref,A78)&gt;1,"Référence en double",IF(B78="","Désignation manquante",IF(NOT(ISNUMBER(D78)),"Prix manquant",IF(E78="","TVA manquante",IF(ISNA(MATCH(E78,p_tva,0)),"Taux de TVA inconnu",IF(AND(F78&lt;&gt;"",ISNA(MATCH(F78,sup_code,0))),"Fournisseur inconnu","OK")))))))</f>
        <v/>
      </c>
    </row>
    <row r="79">
      <c r="A79" s="63" t="n"/>
      <c r="B79" s="63" t="n"/>
      <c r="C79" s="65" t="n"/>
      <c r="D79" s="69" t="n"/>
      <c r="E79" s="71" t="n"/>
      <c r="F79" s="65" t="n"/>
      <c r="G79" s="74" t="str">
        <f>IF(A79="","",SUMIFS(po_qty,po_ref,A79,po_status,"&lt;&gt;Annulé"))</f>
        <v/>
      </c>
      <c r="H79" s="74" t="str">
        <f>IF(A79="","",SUMIFS(po_rcv,po_ref,A79,po_status,"&lt;&gt;Annulé"))</f>
        <v/>
      </c>
      <c r="I79" s="74" t="str">
        <f>IF(A79="","",SUMIFS(po_rest,po_ref,A79,po_key,"&gt;0"))</f>
        <v/>
      </c>
      <c r="J79" s="70" t="str">
        <f>IF(A79="","",IF(COUNTIFS(po_ref,A79,po_status,"&lt;&gt;Annulé")=0,"",INDEX(po_price,SUMPRODUCT(MAX((po_ref=A79)*(po_status&lt;&gt;"Annulé")*(ROW(po_ref)-5))))))</f>
        <v/>
      </c>
      <c r="K79" s="67" t="str">
        <f>IF(A79="","",IF(COUNTIF(art_ref,A79)&gt;1,"Référence en double",IF(B79="","Désignation manquante",IF(NOT(ISNUMBER(D79)),"Prix manquant",IF(E79="","TVA manquante",IF(ISNA(MATCH(E79,p_tva,0)),"Taux de TVA inconnu",IF(AND(F79&lt;&gt;"",ISNA(MATCH(F79,sup_code,0))),"Fournisseur inconnu","OK")))))))</f>
        <v/>
      </c>
    </row>
    <row r="80">
      <c r="A80" s="63" t="n"/>
      <c r="B80" s="63" t="n"/>
      <c r="C80" s="65" t="n"/>
      <c r="D80" s="69" t="n"/>
      <c r="E80" s="71" t="n"/>
      <c r="F80" s="65" t="n"/>
      <c r="G80" s="74" t="str">
        <f>IF(A80="","",SUMIFS(po_qty,po_ref,A80,po_status,"&lt;&gt;Annulé"))</f>
        <v/>
      </c>
      <c r="H80" s="74" t="str">
        <f>IF(A80="","",SUMIFS(po_rcv,po_ref,A80,po_status,"&lt;&gt;Annulé"))</f>
        <v/>
      </c>
      <c r="I80" s="74" t="str">
        <f>IF(A80="","",SUMIFS(po_rest,po_ref,A80,po_key,"&gt;0"))</f>
        <v/>
      </c>
      <c r="J80" s="70" t="str">
        <f>IF(A80="","",IF(COUNTIFS(po_ref,A80,po_status,"&lt;&gt;Annulé")=0,"",INDEX(po_price,SUMPRODUCT(MAX((po_ref=A80)*(po_status&lt;&gt;"Annulé")*(ROW(po_ref)-5))))))</f>
        <v/>
      </c>
      <c r="K80" s="67" t="str">
        <f>IF(A80="","",IF(COUNTIF(art_ref,A80)&gt;1,"Référence en double",IF(B80="","Désignation manquante",IF(NOT(ISNUMBER(D80)),"Prix manquant",IF(E80="","TVA manquante",IF(ISNA(MATCH(E80,p_tva,0)),"Taux de TVA inconnu",IF(AND(F80&lt;&gt;"",ISNA(MATCH(F80,sup_code,0))),"Fournisseur inconnu","OK")))))))</f>
        <v/>
      </c>
    </row>
    <row r="81">
      <c r="A81" s="63" t="n"/>
      <c r="B81" s="63" t="n"/>
      <c r="C81" s="65" t="n"/>
      <c r="D81" s="69" t="n"/>
      <c r="E81" s="71" t="n"/>
      <c r="F81" s="65" t="n"/>
      <c r="G81" s="74" t="str">
        <f>IF(A81="","",SUMIFS(po_qty,po_ref,A81,po_status,"&lt;&gt;Annulé"))</f>
        <v/>
      </c>
      <c r="H81" s="74" t="str">
        <f>IF(A81="","",SUMIFS(po_rcv,po_ref,A81,po_status,"&lt;&gt;Annulé"))</f>
        <v/>
      </c>
      <c r="I81" s="74" t="str">
        <f>IF(A81="","",SUMIFS(po_rest,po_ref,A81,po_key,"&gt;0"))</f>
        <v/>
      </c>
      <c r="J81" s="70" t="str">
        <f>IF(A81="","",IF(COUNTIFS(po_ref,A81,po_status,"&lt;&gt;Annulé")=0,"",INDEX(po_price,SUMPRODUCT(MAX((po_ref=A81)*(po_status&lt;&gt;"Annulé")*(ROW(po_ref)-5))))))</f>
        <v/>
      </c>
      <c r="K81" s="67" t="str">
        <f>IF(A81="","",IF(COUNTIF(art_ref,A81)&gt;1,"Référence en double",IF(B81="","Désignation manquante",IF(NOT(ISNUMBER(D81)),"Prix manquant",IF(E81="","TVA manquante",IF(ISNA(MATCH(E81,p_tva,0)),"Taux de TVA inconnu",IF(AND(F81&lt;&gt;"",ISNA(MATCH(F81,sup_code,0))),"Fournisseur inconnu","OK")))))))</f>
        <v/>
      </c>
    </row>
    <row r="82">
      <c r="A82" s="63" t="n"/>
      <c r="B82" s="63" t="n"/>
      <c r="C82" s="65" t="n"/>
      <c r="D82" s="69" t="n"/>
      <c r="E82" s="71" t="n"/>
      <c r="F82" s="65" t="n"/>
      <c r="G82" s="74" t="str">
        <f>IF(A82="","",SUMIFS(po_qty,po_ref,A82,po_status,"&lt;&gt;Annulé"))</f>
        <v/>
      </c>
      <c r="H82" s="74" t="str">
        <f>IF(A82="","",SUMIFS(po_rcv,po_ref,A82,po_status,"&lt;&gt;Annulé"))</f>
        <v/>
      </c>
      <c r="I82" s="74" t="str">
        <f>IF(A82="","",SUMIFS(po_rest,po_ref,A82,po_key,"&gt;0"))</f>
        <v/>
      </c>
      <c r="J82" s="70" t="str">
        <f>IF(A82="","",IF(COUNTIFS(po_ref,A82,po_status,"&lt;&gt;Annulé")=0,"",INDEX(po_price,SUMPRODUCT(MAX((po_ref=A82)*(po_status&lt;&gt;"Annulé")*(ROW(po_ref)-5))))))</f>
        <v/>
      </c>
      <c r="K82" s="67" t="str">
        <f>IF(A82="","",IF(COUNTIF(art_ref,A82)&gt;1,"Référence en double",IF(B82="","Désignation manquante",IF(NOT(ISNUMBER(D82)),"Prix manquant",IF(E82="","TVA manquante",IF(ISNA(MATCH(E82,p_tva,0)),"Taux de TVA inconnu",IF(AND(F82&lt;&gt;"",ISNA(MATCH(F82,sup_code,0))),"Fournisseur inconnu","OK")))))))</f>
        <v/>
      </c>
    </row>
    <row r="83">
      <c r="A83" s="63" t="n"/>
      <c r="B83" s="63" t="n"/>
      <c r="C83" s="65" t="n"/>
      <c r="D83" s="69" t="n"/>
      <c r="E83" s="71" t="n"/>
      <c r="F83" s="65" t="n"/>
      <c r="G83" s="74" t="str">
        <f>IF(A83="","",SUMIFS(po_qty,po_ref,A83,po_status,"&lt;&gt;Annulé"))</f>
        <v/>
      </c>
      <c r="H83" s="74" t="str">
        <f>IF(A83="","",SUMIFS(po_rcv,po_ref,A83,po_status,"&lt;&gt;Annulé"))</f>
        <v/>
      </c>
      <c r="I83" s="74" t="str">
        <f>IF(A83="","",SUMIFS(po_rest,po_ref,A83,po_key,"&gt;0"))</f>
        <v/>
      </c>
      <c r="J83" s="70" t="str">
        <f>IF(A83="","",IF(COUNTIFS(po_ref,A83,po_status,"&lt;&gt;Annulé")=0,"",INDEX(po_price,SUMPRODUCT(MAX((po_ref=A83)*(po_status&lt;&gt;"Annulé")*(ROW(po_ref)-5))))))</f>
        <v/>
      </c>
      <c r="K83" s="67" t="str">
        <f>IF(A83="","",IF(COUNTIF(art_ref,A83)&gt;1,"Référence en double",IF(B83="","Désignation manquante",IF(NOT(ISNUMBER(D83)),"Prix manquant",IF(E83="","TVA manquante",IF(ISNA(MATCH(E83,p_tva,0)),"Taux de TVA inconnu",IF(AND(F83&lt;&gt;"",ISNA(MATCH(F83,sup_code,0))),"Fournisseur inconnu","OK")))))))</f>
        <v/>
      </c>
    </row>
    <row r="84">
      <c r="A84" s="63" t="n"/>
      <c r="B84" s="63" t="n"/>
      <c r="C84" s="65" t="n"/>
      <c r="D84" s="69" t="n"/>
      <c r="E84" s="71" t="n"/>
      <c r="F84" s="65" t="n"/>
      <c r="G84" s="74" t="str">
        <f>IF(A84="","",SUMIFS(po_qty,po_ref,A84,po_status,"&lt;&gt;Annulé"))</f>
        <v/>
      </c>
      <c r="H84" s="74" t="str">
        <f>IF(A84="","",SUMIFS(po_rcv,po_ref,A84,po_status,"&lt;&gt;Annulé"))</f>
        <v/>
      </c>
      <c r="I84" s="74" t="str">
        <f>IF(A84="","",SUMIFS(po_rest,po_ref,A84,po_key,"&gt;0"))</f>
        <v/>
      </c>
      <c r="J84" s="70" t="str">
        <f>IF(A84="","",IF(COUNTIFS(po_ref,A84,po_status,"&lt;&gt;Annulé")=0,"",INDEX(po_price,SUMPRODUCT(MAX((po_ref=A84)*(po_status&lt;&gt;"Annulé")*(ROW(po_ref)-5))))))</f>
        <v/>
      </c>
      <c r="K84" s="67" t="str">
        <f>IF(A84="","",IF(COUNTIF(art_ref,A84)&gt;1,"Référence en double",IF(B84="","Désignation manquante",IF(NOT(ISNUMBER(D84)),"Prix manquant",IF(E84="","TVA manquante",IF(ISNA(MATCH(E84,p_tva,0)),"Taux de TVA inconnu",IF(AND(F84&lt;&gt;"",ISNA(MATCH(F84,sup_code,0))),"Fournisseur inconnu","OK")))))))</f>
        <v/>
      </c>
    </row>
    <row r="85">
      <c r="A85" s="63" t="n"/>
      <c r="B85" s="63" t="n"/>
      <c r="C85" s="65" t="n"/>
      <c r="D85" s="69" t="n"/>
      <c r="E85" s="71" t="n"/>
      <c r="F85" s="65" t="n"/>
      <c r="G85" s="74" t="str">
        <f>IF(A85="","",SUMIFS(po_qty,po_ref,A85,po_status,"&lt;&gt;Annulé"))</f>
        <v/>
      </c>
      <c r="H85" s="74" t="str">
        <f>IF(A85="","",SUMIFS(po_rcv,po_ref,A85,po_status,"&lt;&gt;Annulé"))</f>
        <v/>
      </c>
      <c r="I85" s="74" t="str">
        <f>IF(A85="","",SUMIFS(po_rest,po_ref,A85,po_key,"&gt;0"))</f>
        <v/>
      </c>
      <c r="J85" s="70" t="str">
        <f>IF(A85="","",IF(COUNTIFS(po_ref,A85,po_status,"&lt;&gt;Annulé")=0,"",INDEX(po_price,SUMPRODUCT(MAX((po_ref=A85)*(po_status&lt;&gt;"Annulé")*(ROW(po_ref)-5))))))</f>
        <v/>
      </c>
      <c r="K85" s="67" t="str">
        <f>IF(A85="","",IF(COUNTIF(art_ref,A85)&gt;1,"Référence en double",IF(B85="","Désignation manquante",IF(NOT(ISNUMBER(D85)),"Prix manquant",IF(E85="","TVA manquante",IF(ISNA(MATCH(E85,p_tva,0)),"Taux de TVA inconnu",IF(AND(F85&lt;&gt;"",ISNA(MATCH(F85,sup_code,0))),"Fournisseur inconnu","OK")))))))</f>
        <v/>
      </c>
    </row>
    <row r="86">
      <c r="A86" s="63" t="n"/>
      <c r="B86" s="63" t="n"/>
      <c r="C86" s="65" t="n"/>
      <c r="D86" s="69" t="n"/>
      <c r="E86" s="71" t="n"/>
      <c r="F86" s="65" t="n"/>
      <c r="G86" s="74" t="str">
        <f>IF(A86="","",SUMIFS(po_qty,po_ref,A86,po_status,"&lt;&gt;Annulé"))</f>
        <v/>
      </c>
      <c r="H86" s="74" t="str">
        <f>IF(A86="","",SUMIFS(po_rcv,po_ref,A86,po_status,"&lt;&gt;Annulé"))</f>
        <v/>
      </c>
      <c r="I86" s="74" t="str">
        <f>IF(A86="","",SUMIFS(po_rest,po_ref,A86,po_key,"&gt;0"))</f>
        <v/>
      </c>
      <c r="J86" s="70" t="str">
        <f>IF(A86="","",IF(COUNTIFS(po_ref,A86,po_status,"&lt;&gt;Annulé")=0,"",INDEX(po_price,SUMPRODUCT(MAX((po_ref=A86)*(po_status&lt;&gt;"Annulé")*(ROW(po_ref)-5))))))</f>
        <v/>
      </c>
      <c r="K86" s="67" t="str">
        <f>IF(A86="","",IF(COUNTIF(art_ref,A86)&gt;1,"Référence en double",IF(B86="","Désignation manquante",IF(NOT(ISNUMBER(D86)),"Prix manquant",IF(E86="","TVA manquante",IF(ISNA(MATCH(E86,p_tva,0)),"Taux de TVA inconnu",IF(AND(F86&lt;&gt;"",ISNA(MATCH(F86,sup_code,0))),"Fournisseur inconnu","OK")))))))</f>
        <v/>
      </c>
    </row>
    <row r="87">
      <c r="A87" s="63" t="n"/>
      <c r="B87" s="63" t="n"/>
      <c r="C87" s="65" t="n"/>
      <c r="D87" s="69" t="n"/>
      <c r="E87" s="71" t="n"/>
      <c r="F87" s="65" t="n"/>
      <c r="G87" s="74" t="str">
        <f>IF(A87="","",SUMIFS(po_qty,po_ref,A87,po_status,"&lt;&gt;Annulé"))</f>
        <v/>
      </c>
      <c r="H87" s="74" t="str">
        <f>IF(A87="","",SUMIFS(po_rcv,po_ref,A87,po_status,"&lt;&gt;Annulé"))</f>
        <v/>
      </c>
      <c r="I87" s="74" t="str">
        <f>IF(A87="","",SUMIFS(po_rest,po_ref,A87,po_key,"&gt;0"))</f>
        <v/>
      </c>
      <c r="J87" s="70" t="str">
        <f>IF(A87="","",IF(COUNTIFS(po_ref,A87,po_status,"&lt;&gt;Annulé")=0,"",INDEX(po_price,SUMPRODUCT(MAX((po_ref=A87)*(po_status&lt;&gt;"Annulé")*(ROW(po_ref)-5))))))</f>
        <v/>
      </c>
      <c r="K87" s="67" t="str">
        <f>IF(A87="","",IF(COUNTIF(art_ref,A87)&gt;1,"Référence en double",IF(B87="","Désignation manquante",IF(NOT(ISNUMBER(D87)),"Prix manquant",IF(E87="","TVA manquante",IF(ISNA(MATCH(E87,p_tva,0)),"Taux de TVA inconnu",IF(AND(F87&lt;&gt;"",ISNA(MATCH(F87,sup_code,0))),"Fournisseur inconnu","OK")))))))</f>
        <v/>
      </c>
    </row>
    <row r="88">
      <c r="A88" s="63" t="n"/>
      <c r="B88" s="63" t="n"/>
      <c r="C88" s="65" t="n"/>
      <c r="D88" s="69" t="n"/>
      <c r="E88" s="71" t="n"/>
      <c r="F88" s="65" t="n"/>
      <c r="G88" s="74" t="str">
        <f>IF(A88="","",SUMIFS(po_qty,po_ref,A88,po_status,"&lt;&gt;Annulé"))</f>
        <v/>
      </c>
      <c r="H88" s="74" t="str">
        <f>IF(A88="","",SUMIFS(po_rcv,po_ref,A88,po_status,"&lt;&gt;Annulé"))</f>
        <v/>
      </c>
      <c r="I88" s="74" t="str">
        <f>IF(A88="","",SUMIFS(po_rest,po_ref,A88,po_key,"&gt;0"))</f>
        <v/>
      </c>
      <c r="J88" s="70" t="str">
        <f>IF(A88="","",IF(COUNTIFS(po_ref,A88,po_status,"&lt;&gt;Annulé")=0,"",INDEX(po_price,SUMPRODUCT(MAX((po_ref=A88)*(po_status&lt;&gt;"Annulé")*(ROW(po_ref)-5))))))</f>
        <v/>
      </c>
      <c r="K88" s="67" t="str">
        <f>IF(A88="","",IF(COUNTIF(art_ref,A88)&gt;1,"Référence en double",IF(B88="","Désignation manquante",IF(NOT(ISNUMBER(D88)),"Prix manquant",IF(E88="","TVA manquante",IF(ISNA(MATCH(E88,p_tva,0)),"Taux de TVA inconnu",IF(AND(F88&lt;&gt;"",ISNA(MATCH(F88,sup_code,0))),"Fournisseur inconnu","OK")))))))</f>
        <v/>
      </c>
    </row>
    <row r="89">
      <c r="A89" s="63" t="n"/>
      <c r="B89" s="63" t="n"/>
      <c r="C89" s="65" t="n"/>
      <c r="D89" s="69" t="n"/>
      <c r="E89" s="71" t="n"/>
      <c r="F89" s="65" t="n"/>
      <c r="G89" s="74" t="str">
        <f>IF(A89="","",SUMIFS(po_qty,po_ref,A89,po_status,"&lt;&gt;Annulé"))</f>
        <v/>
      </c>
      <c r="H89" s="74" t="str">
        <f>IF(A89="","",SUMIFS(po_rcv,po_ref,A89,po_status,"&lt;&gt;Annulé"))</f>
        <v/>
      </c>
      <c r="I89" s="74" t="str">
        <f>IF(A89="","",SUMIFS(po_rest,po_ref,A89,po_key,"&gt;0"))</f>
        <v/>
      </c>
      <c r="J89" s="70" t="str">
        <f>IF(A89="","",IF(COUNTIFS(po_ref,A89,po_status,"&lt;&gt;Annulé")=0,"",INDEX(po_price,SUMPRODUCT(MAX((po_ref=A89)*(po_status&lt;&gt;"Annulé")*(ROW(po_ref)-5))))))</f>
        <v/>
      </c>
      <c r="K89" s="67" t="str">
        <f>IF(A89="","",IF(COUNTIF(art_ref,A89)&gt;1,"Référence en double",IF(B89="","Désignation manquante",IF(NOT(ISNUMBER(D89)),"Prix manquant",IF(E89="","TVA manquante",IF(ISNA(MATCH(E89,p_tva,0)),"Taux de TVA inconnu",IF(AND(F89&lt;&gt;"",ISNA(MATCH(F89,sup_code,0))),"Fournisseur inconnu","OK")))))))</f>
        <v/>
      </c>
    </row>
    <row r="90">
      <c r="A90" s="63" t="n"/>
      <c r="B90" s="63" t="n"/>
      <c r="C90" s="65" t="n"/>
      <c r="D90" s="69" t="n"/>
      <c r="E90" s="71" t="n"/>
      <c r="F90" s="65" t="n"/>
      <c r="G90" s="74" t="str">
        <f>IF(A90="","",SUMIFS(po_qty,po_ref,A90,po_status,"&lt;&gt;Annulé"))</f>
        <v/>
      </c>
      <c r="H90" s="74" t="str">
        <f>IF(A90="","",SUMIFS(po_rcv,po_ref,A90,po_status,"&lt;&gt;Annulé"))</f>
        <v/>
      </c>
      <c r="I90" s="74" t="str">
        <f>IF(A90="","",SUMIFS(po_rest,po_ref,A90,po_key,"&gt;0"))</f>
        <v/>
      </c>
      <c r="J90" s="70" t="str">
        <f>IF(A90="","",IF(COUNTIFS(po_ref,A90,po_status,"&lt;&gt;Annulé")=0,"",INDEX(po_price,SUMPRODUCT(MAX((po_ref=A90)*(po_status&lt;&gt;"Annulé")*(ROW(po_ref)-5))))))</f>
        <v/>
      </c>
      <c r="K90" s="67" t="str">
        <f>IF(A90="","",IF(COUNTIF(art_ref,A90)&gt;1,"Référence en double",IF(B90="","Désignation manquante",IF(NOT(ISNUMBER(D90)),"Prix manquant",IF(E90="","TVA manquante",IF(ISNA(MATCH(E90,p_tva,0)),"Taux de TVA inconnu",IF(AND(F90&lt;&gt;"",ISNA(MATCH(F90,sup_code,0))),"Fournisseur inconnu","OK")))))))</f>
        <v/>
      </c>
    </row>
    <row r="91">
      <c r="A91" s="63" t="n"/>
      <c r="B91" s="63" t="n"/>
      <c r="C91" s="65" t="n"/>
      <c r="D91" s="69" t="n"/>
      <c r="E91" s="71" t="n"/>
      <c r="F91" s="65" t="n"/>
      <c r="G91" s="74" t="str">
        <f>IF(A91="","",SUMIFS(po_qty,po_ref,A91,po_status,"&lt;&gt;Annulé"))</f>
        <v/>
      </c>
      <c r="H91" s="74" t="str">
        <f>IF(A91="","",SUMIFS(po_rcv,po_ref,A91,po_status,"&lt;&gt;Annulé"))</f>
        <v/>
      </c>
      <c r="I91" s="74" t="str">
        <f>IF(A91="","",SUMIFS(po_rest,po_ref,A91,po_key,"&gt;0"))</f>
        <v/>
      </c>
      <c r="J91" s="70" t="str">
        <f>IF(A91="","",IF(COUNTIFS(po_ref,A91,po_status,"&lt;&gt;Annulé")=0,"",INDEX(po_price,SUMPRODUCT(MAX((po_ref=A91)*(po_status&lt;&gt;"Annulé")*(ROW(po_ref)-5))))))</f>
        <v/>
      </c>
      <c r="K91" s="67" t="str">
        <f>IF(A91="","",IF(COUNTIF(art_ref,A91)&gt;1,"Référence en double",IF(B91="","Désignation manquante",IF(NOT(ISNUMBER(D91)),"Prix manquant",IF(E91="","TVA manquante",IF(ISNA(MATCH(E91,p_tva,0)),"Taux de TVA inconnu",IF(AND(F91&lt;&gt;"",ISNA(MATCH(F91,sup_code,0))),"Fournisseur inconnu","OK")))))))</f>
        <v/>
      </c>
    </row>
    <row r="92">
      <c r="A92" s="63" t="n"/>
      <c r="B92" s="63" t="n"/>
      <c r="C92" s="65" t="n"/>
      <c r="D92" s="69" t="n"/>
      <c r="E92" s="71" t="n"/>
      <c r="F92" s="65" t="n"/>
      <c r="G92" s="74" t="str">
        <f>IF(A92="","",SUMIFS(po_qty,po_ref,A92,po_status,"&lt;&gt;Annulé"))</f>
        <v/>
      </c>
      <c r="H92" s="74" t="str">
        <f>IF(A92="","",SUMIFS(po_rcv,po_ref,A92,po_status,"&lt;&gt;Annulé"))</f>
        <v/>
      </c>
      <c r="I92" s="74" t="str">
        <f>IF(A92="","",SUMIFS(po_rest,po_ref,A92,po_key,"&gt;0"))</f>
        <v/>
      </c>
      <c r="J92" s="70" t="str">
        <f>IF(A92="","",IF(COUNTIFS(po_ref,A92,po_status,"&lt;&gt;Annulé")=0,"",INDEX(po_price,SUMPRODUCT(MAX((po_ref=A92)*(po_status&lt;&gt;"Annulé")*(ROW(po_ref)-5))))))</f>
        <v/>
      </c>
      <c r="K92" s="67" t="str">
        <f>IF(A92="","",IF(COUNTIF(art_ref,A92)&gt;1,"Référence en double",IF(B92="","Désignation manquante",IF(NOT(ISNUMBER(D92)),"Prix manquant",IF(E92="","TVA manquante",IF(ISNA(MATCH(E92,p_tva,0)),"Taux de TVA inconnu",IF(AND(F92&lt;&gt;"",ISNA(MATCH(F92,sup_code,0))),"Fournisseur inconnu","OK")))))))</f>
        <v/>
      </c>
    </row>
    <row r="93">
      <c r="A93" s="63" t="n"/>
      <c r="B93" s="63" t="n"/>
      <c r="C93" s="65" t="n"/>
      <c r="D93" s="69" t="n"/>
      <c r="E93" s="71" t="n"/>
      <c r="F93" s="65" t="n"/>
      <c r="G93" s="74" t="str">
        <f>IF(A93="","",SUMIFS(po_qty,po_ref,A93,po_status,"&lt;&gt;Annulé"))</f>
        <v/>
      </c>
      <c r="H93" s="74" t="str">
        <f>IF(A93="","",SUMIFS(po_rcv,po_ref,A93,po_status,"&lt;&gt;Annulé"))</f>
        <v/>
      </c>
      <c r="I93" s="74" t="str">
        <f>IF(A93="","",SUMIFS(po_rest,po_ref,A93,po_key,"&gt;0"))</f>
        <v/>
      </c>
      <c r="J93" s="70" t="str">
        <f>IF(A93="","",IF(COUNTIFS(po_ref,A93,po_status,"&lt;&gt;Annulé")=0,"",INDEX(po_price,SUMPRODUCT(MAX((po_ref=A93)*(po_status&lt;&gt;"Annulé")*(ROW(po_ref)-5))))))</f>
        <v/>
      </c>
      <c r="K93" s="67" t="str">
        <f>IF(A93="","",IF(COUNTIF(art_ref,A93)&gt;1,"Référence en double",IF(B93="","Désignation manquante",IF(NOT(ISNUMBER(D93)),"Prix manquant",IF(E93="","TVA manquante",IF(ISNA(MATCH(E93,p_tva,0)),"Taux de TVA inconnu",IF(AND(F93&lt;&gt;"",ISNA(MATCH(F93,sup_code,0))),"Fournisseur inconnu","OK")))))))</f>
        <v/>
      </c>
    </row>
    <row r="94">
      <c r="A94" s="63" t="n"/>
      <c r="B94" s="63" t="n"/>
      <c r="C94" s="65" t="n"/>
      <c r="D94" s="69" t="n"/>
      <c r="E94" s="71" t="n"/>
      <c r="F94" s="65" t="n"/>
      <c r="G94" s="74" t="str">
        <f>IF(A94="","",SUMIFS(po_qty,po_ref,A94,po_status,"&lt;&gt;Annulé"))</f>
        <v/>
      </c>
      <c r="H94" s="74" t="str">
        <f>IF(A94="","",SUMIFS(po_rcv,po_ref,A94,po_status,"&lt;&gt;Annulé"))</f>
        <v/>
      </c>
      <c r="I94" s="74" t="str">
        <f>IF(A94="","",SUMIFS(po_rest,po_ref,A94,po_key,"&gt;0"))</f>
        <v/>
      </c>
      <c r="J94" s="70" t="str">
        <f>IF(A94="","",IF(COUNTIFS(po_ref,A94,po_status,"&lt;&gt;Annulé")=0,"",INDEX(po_price,SUMPRODUCT(MAX((po_ref=A94)*(po_status&lt;&gt;"Annulé")*(ROW(po_ref)-5))))))</f>
        <v/>
      </c>
      <c r="K94" s="67" t="str">
        <f>IF(A94="","",IF(COUNTIF(art_ref,A94)&gt;1,"Référence en double",IF(B94="","Désignation manquante",IF(NOT(ISNUMBER(D94)),"Prix manquant",IF(E94="","TVA manquante",IF(ISNA(MATCH(E94,p_tva,0)),"Taux de TVA inconnu",IF(AND(F94&lt;&gt;"",ISNA(MATCH(F94,sup_code,0))),"Fournisseur inconnu","OK")))))))</f>
        <v/>
      </c>
    </row>
    <row r="95">
      <c r="A95" s="63" t="n"/>
      <c r="B95" s="63" t="n"/>
      <c r="C95" s="65" t="n"/>
      <c r="D95" s="69" t="n"/>
      <c r="E95" s="71" t="n"/>
      <c r="F95" s="65" t="n"/>
      <c r="G95" s="74" t="str">
        <f>IF(A95="","",SUMIFS(po_qty,po_ref,A95,po_status,"&lt;&gt;Annulé"))</f>
        <v/>
      </c>
      <c r="H95" s="74" t="str">
        <f>IF(A95="","",SUMIFS(po_rcv,po_ref,A95,po_status,"&lt;&gt;Annulé"))</f>
        <v/>
      </c>
      <c r="I95" s="74" t="str">
        <f>IF(A95="","",SUMIFS(po_rest,po_ref,A95,po_key,"&gt;0"))</f>
        <v/>
      </c>
      <c r="J95" s="70" t="str">
        <f>IF(A95="","",IF(COUNTIFS(po_ref,A95,po_status,"&lt;&gt;Annulé")=0,"",INDEX(po_price,SUMPRODUCT(MAX((po_ref=A95)*(po_status&lt;&gt;"Annulé")*(ROW(po_ref)-5))))))</f>
        <v/>
      </c>
      <c r="K95" s="67" t="str">
        <f>IF(A95="","",IF(COUNTIF(art_ref,A95)&gt;1,"Référence en double",IF(B95="","Désignation manquante",IF(NOT(ISNUMBER(D95)),"Prix manquant",IF(E95="","TVA manquante",IF(ISNA(MATCH(E95,p_tva,0)),"Taux de TVA inconnu",IF(AND(F95&lt;&gt;"",ISNA(MATCH(F95,sup_code,0))),"Fournisseur inconnu","OK")))))))</f>
        <v/>
      </c>
    </row>
    <row r="96">
      <c r="A96" s="63" t="n"/>
      <c r="B96" s="63" t="n"/>
      <c r="C96" s="65" t="n"/>
      <c r="D96" s="69" t="n"/>
      <c r="E96" s="71" t="n"/>
      <c r="F96" s="65" t="n"/>
      <c r="G96" s="74" t="str">
        <f>IF(A96="","",SUMIFS(po_qty,po_ref,A96,po_status,"&lt;&gt;Annulé"))</f>
        <v/>
      </c>
      <c r="H96" s="74" t="str">
        <f>IF(A96="","",SUMIFS(po_rcv,po_ref,A96,po_status,"&lt;&gt;Annulé"))</f>
        <v/>
      </c>
      <c r="I96" s="74" t="str">
        <f>IF(A96="","",SUMIFS(po_rest,po_ref,A96,po_key,"&gt;0"))</f>
        <v/>
      </c>
      <c r="J96" s="70" t="str">
        <f>IF(A96="","",IF(COUNTIFS(po_ref,A96,po_status,"&lt;&gt;Annulé")=0,"",INDEX(po_price,SUMPRODUCT(MAX((po_ref=A96)*(po_status&lt;&gt;"Annulé")*(ROW(po_ref)-5))))))</f>
        <v/>
      </c>
      <c r="K96" s="67" t="str">
        <f>IF(A96="","",IF(COUNTIF(art_ref,A96)&gt;1,"Référence en double",IF(B96="","Désignation manquante",IF(NOT(ISNUMBER(D96)),"Prix manquant",IF(E96="","TVA manquante",IF(ISNA(MATCH(E96,p_tva,0)),"Taux de TVA inconnu",IF(AND(F96&lt;&gt;"",ISNA(MATCH(F96,sup_code,0))),"Fournisseur inconnu","OK")))))))</f>
        <v/>
      </c>
    </row>
    <row r="97">
      <c r="A97" s="63" t="n"/>
      <c r="B97" s="63" t="n"/>
      <c r="C97" s="65" t="n"/>
      <c r="D97" s="69" t="n"/>
      <c r="E97" s="71" t="n"/>
      <c r="F97" s="65" t="n"/>
      <c r="G97" s="74" t="str">
        <f>IF(A97="","",SUMIFS(po_qty,po_ref,A97,po_status,"&lt;&gt;Annulé"))</f>
        <v/>
      </c>
      <c r="H97" s="74" t="str">
        <f>IF(A97="","",SUMIFS(po_rcv,po_ref,A97,po_status,"&lt;&gt;Annulé"))</f>
        <v/>
      </c>
      <c r="I97" s="74" t="str">
        <f>IF(A97="","",SUMIFS(po_rest,po_ref,A97,po_key,"&gt;0"))</f>
        <v/>
      </c>
      <c r="J97" s="70" t="str">
        <f>IF(A97="","",IF(COUNTIFS(po_ref,A97,po_status,"&lt;&gt;Annulé")=0,"",INDEX(po_price,SUMPRODUCT(MAX((po_ref=A97)*(po_status&lt;&gt;"Annulé")*(ROW(po_ref)-5))))))</f>
        <v/>
      </c>
      <c r="K97" s="67" t="str">
        <f>IF(A97="","",IF(COUNTIF(art_ref,A97)&gt;1,"Référence en double",IF(B97="","Désignation manquante",IF(NOT(ISNUMBER(D97)),"Prix manquant",IF(E97="","TVA manquante",IF(ISNA(MATCH(E97,p_tva,0)),"Taux de TVA inconnu",IF(AND(F97&lt;&gt;"",ISNA(MATCH(F97,sup_code,0))),"Fournisseur inconnu","OK")))))))</f>
        <v/>
      </c>
    </row>
    <row r="98">
      <c r="A98" s="63" t="n"/>
      <c r="B98" s="63" t="n"/>
      <c r="C98" s="65" t="n"/>
      <c r="D98" s="69" t="n"/>
      <c r="E98" s="71" t="n"/>
      <c r="F98" s="65" t="n"/>
      <c r="G98" s="74" t="str">
        <f>IF(A98="","",SUMIFS(po_qty,po_ref,A98,po_status,"&lt;&gt;Annulé"))</f>
        <v/>
      </c>
      <c r="H98" s="74" t="str">
        <f>IF(A98="","",SUMIFS(po_rcv,po_ref,A98,po_status,"&lt;&gt;Annulé"))</f>
        <v/>
      </c>
      <c r="I98" s="74" t="str">
        <f>IF(A98="","",SUMIFS(po_rest,po_ref,A98,po_key,"&gt;0"))</f>
        <v/>
      </c>
      <c r="J98" s="70" t="str">
        <f>IF(A98="","",IF(COUNTIFS(po_ref,A98,po_status,"&lt;&gt;Annulé")=0,"",INDEX(po_price,SUMPRODUCT(MAX((po_ref=A98)*(po_status&lt;&gt;"Annulé")*(ROW(po_ref)-5))))))</f>
        <v/>
      </c>
      <c r="K98" s="67" t="str">
        <f>IF(A98="","",IF(COUNTIF(art_ref,A98)&gt;1,"Référence en double",IF(B98="","Désignation manquante",IF(NOT(ISNUMBER(D98)),"Prix manquant",IF(E98="","TVA manquante",IF(ISNA(MATCH(E98,p_tva,0)),"Taux de TVA inconnu",IF(AND(F98&lt;&gt;"",ISNA(MATCH(F98,sup_code,0))),"Fournisseur inconnu","OK")))))))</f>
        <v/>
      </c>
    </row>
    <row r="99">
      <c r="A99" s="63" t="n"/>
      <c r="B99" s="63" t="n"/>
      <c r="C99" s="65" t="n"/>
      <c r="D99" s="69" t="n"/>
      <c r="E99" s="71" t="n"/>
      <c r="F99" s="65" t="n"/>
      <c r="G99" s="74" t="str">
        <f>IF(A99="","",SUMIFS(po_qty,po_ref,A99,po_status,"&lt;&gt;Annulé"))</f>
        <v/>
      </c>
      <c r="H99" s="74" t="str">
        <f>IF(A99="","",SUMIFS(po_rcv,po_ref,A99,po_status,"&lt;&gt;Annulé"))</f>
        <v/>
      </c>
      <c r="I99" s="74" t="str">
        <f>IF(A99="","",SUMIFS(po_rest,po_ref,A99,po_key,"&gt;0"))</f>
        <v/>
      </c>
      <c r="J99" s="70" t="str">
        <f>IF(A99="","",IF(COUNTIFS(po_ref,A99,po_status,"&lt;&gt;Annulé")=0,"",INDEX(po_price,SUMPRODUCT(MAX((po_ref=A99)*(po_status&lt;&gt;"Annulé")*(ROW(po_ref)-5))))))</f>
        <v/>
      </c>
      <c r="K99" s="67" t="str">
        <f>IF(A99="","",IF(COUNTIF(art_ref,A99)&gt;1,"Référence en double",IF(B99="","Désignation manquante",IF(NOT(ISNUMBER(D99)),"Prix manquant",IF(E99="","TVA manquante",IF(ISNA(MATCH(E99,p_tva,0)),"Taux de TVA inconnu",IF(AND(F99&lt;&gt;"",ISNA(MATCH(F99,sup_code,0))),"Fournisseur inconnu","OK")))))))</f>
        <v/>
      </c>
    </row>
    <row r="100">
      <c r="A100" s="63" t="n"/>
      <c r="B100" s="63" t="n"/>
      <c r="C100" s="65" t="n"/>
      <c r="D100" s="69" t="n"/>
      <c r="E100" s="71" t="n"/>
      <c r="F100" s="65" t="n"/>
      <c r="G100" s="74" t="str">
        <f>IF(A100="","",SUMIFS(po_qty,po_ref,A100,po_status,"&lt;&gt;Annulé"))</f>
        <v/>
      </c>
      <c r="H100" s="74" t="str">
        <f>IF(A100="","",SUMIFS(po_rcv,po_ref,A100,po_status,"&lt;&gt;Annulé"))</f>
        <v/>
      </c>
      <c r="I100" s="74" t="str">
        <f>IF(A100="","",SUMIFS(po_rest,po_ref,A100,po_key,"&gt;0"))</f>
        <v/>
      </c>
      <c r="J100" s="70" t="str">
        <f>IF(A100="","",IF(COUNTIFS(po_ref,A100,po_status,"&lt;&gt;Annulé")=0,"",INDEX(po_price,SUMPRODUCT(MAX((po_ref=A100)*(po_status&lt;&gt;"Annulé")*(ROW(po_ref)-5))))))</f>
        <v/>
      </c>
      <c r="K100" s="67" t="str">
        <f>IF(A100="","",IF(COUNTIF(art_ref,A100)&gt;1,"Référence en double",IF(B100="","Désignation manquante",IF(NOT(ISNUMBER(D100)),"Prix manquant",IF(E100="","TVA manquante",IF(ISNA(MATCH(E100,p_tva,0)),"Taux de TVA inconnu",IF(AND(F100&lt;&gt;"",ISNA(MATCH(F100,sup_code,0))),"Fournisseur inconnu","OK")))))))</f>
        <v/>
      </c>
    </row>
    <row r="101">
      <c r="A101" s="63" t="n"/>
      <c r="B101" s="63" t="n"/>
      <c r="C101" s="65" t="n"/>
      <c r="D101" s="69" t="n"/>
      <c r="E101" s="71" t="n"/>
      <c r="F101" s="65" t="n"/>
      <c r="G101" s="74" t="str">
        <f>IF(A101="","",SUMIFS(po_qty,po_ref,A101,po_status,"&lt;&gt;Annulé"))</f>
        <v/>
      </c>
      <c r="H101" s="74" t="str">
        <f>IF(A101="","",SUMIFS(po_rcv,po_ref,A101,po_status,"&lt;&gt;Annulé"))</f>
        <v/>
      </c>
      <c r="I101" s="74" t="str">
        <f>IF(A101="","",SUMIFS(po_rest,po_ref,A101,po_key,"&gt;0"))</f>
        <v/>
      </c>
      <c r="J101" s="70" t="str">
        <f>IF(A101="","",IF(COUNTIFS(po_ref,A101,po_status,"&lt;&gt;Annulé")=0,"",INDEX(po_price,SUMPRODUCT(MAX((po_ref=A101)*(po_status&lt;&gt;"Annulé")*(ROW(po_ref)-5))))))</f>
        <v/>
      </c>
      <c r="K101" s="67" t="str">
        <f>IF(A101="","",IF(COUNTIF(art_ref,A101)&gt;1,"Référence en double",IF(B101="","Désignation manquante",IF(NOT(ISNUMBER(D101)),"Prix manquant",IF(E101="","TVA manquante",IF(ISNA(MATCH(E101,p_tva,0)),"Taux de TVA inconnu",IF(AND(F101&lt;&gt;"",ISNA(MATCH(F101,sup_code,0))),"Fournisseur inconnu","OK")))))))</f>
        <v/>
      </c>
    </row>
    <row r="102">
      <c r="A102" s="63" t="n"/>
      <c r="B102" s="63" t="n"/>
      <c r="C102" s="65" t="n"/>
      <c r="D102" s="69" t="n"/>
      <c r="E102" s="71" t="n"/>
      <c r="F102" s="65" t="n"/>
      <c r="G102" s="74" t="str">
        <f>IF(A102="","",SUMIFS(po_qty,po_ref,A102,po_status,"&lt;&gt;Annulé"))</f>
        <v/>
      </c>
      <c r="H102" s="74" t="str">
        <f>IF(A102="","",SUMIFS(po_rcv,po_ref,A102,po_status,"&lt;&gt;Annulé"))</f>
        <v/>
      </c>
      <c r="I102" s="74" t="str">
        <f>IF(A102="","",SUMIFS(po_rest,po_ref,A102,po_key,"&gt;0"))</f>
        <v/>
      </c>
      <c r="J102" s="70" t="str">
        <f>IF(A102="","",IF(COUNTIFS(po_ref,A102,po_status,"&lt;&gt;Annulé")=0,"",INDEX(po_price,SUMPRODUCT(MAX((po_ref=A102)*(po_status&lt;&gt;"Annulé")*(ROW(po_ref)-5))))))</f>
        <v/>
      </c>
      <c r="K102" s="67" t="str">
        <f>IF(A102="","",IF(COUNTIF(art_ref,A102)&gt;1,"Référence en double",IF(B102="","Désignation manquante",IF(NOT(ISNUMBER(D102)),"Prix manquant",IF(E102="","TVA manquante",IF(ISNA(MATCH(E102,p_tva,0)),"Taux de TVA inconnu",IF(AND(F102&lt;&gt;"",ISNA(MATCH(F102,sup_code,0))),"Fournisseur inconnu","OK")))))))</f>
        <v/>
      </c>
    </row>
    <row r="103">
      <c r="A103" s="63" t="n"/>
      <c r="B103" s="63" t="n"/>
      <c r="C103" s="65" t="n"/>
      <c r="D103" s="69" t="n"/>
      <c r="E103" s="71" t="n"/>
      <c r="F103" s="65" t="n"/>
      <c r="G103" s="74" t="str">
        <f>IF(A103="","",SUMIFS(po_qty,po_ref,A103,po_status,"&lt;&gt;Annulé"))</f>
        <v/>
      </c>
      <c r="H103" s="74" t="str">
        <f>IF(A103="","",SUMIFS(po_rcv,po_ref,A103,po_status,"&lt;&gt;Annulé"))</f>
        <v/>
      </c>
      <c r="I103" s="74" t="str">
        <f>IF(A103="","",SUMIFS(po_rest,po_ref,A103,po_key,"&gt;0"))</f>
        <v/>
      </c>
      <c r="J103" s="70" t="str">
        <f>IF(A103="","",IF(COUNTIFS(po_ref,A103,po_status,"&lt;&gt;Annulé")=0,"",INDEX(po_price,SUMPRODUCT(MAX((po_ref=A103)*(po_status&lt;&gt;"Annulé")*(ROW(po_ref)-5))))))</f>
        <v/>
      </c>
      <c r="K103" s="67" t="str">
        <f>IF(A103="","",IF(COUNTIF(art_ref,A103)&gt;1,"Référence en double",IF(B103="","Désignation manquante",IF(NOT(ISNUMBER(D103)),"Prix manquant",IF(E103="","TVA manquante",IF(ISNA(MATCH(E103,p_tva,0)),"Taux de TVA inconnu",IF(AND(F103&lt;&gt;"",ISNA(MATCH(F103,sup_code,0))),"Fournisseur inconnu","OK")))))))</f>
        <v/>
      </c>
    </row>
    <row r="104">
      <c r="A104" s="63" t="n"/>
      <c r="B104" s="63" t="n"/>
      <c r="C104" s="65" t="n"/>
      <c r="D104" s="69" t="n"/>
      <c r="E104" s="71" t="n"/>
      <c r="F104" s="65" t="n"/>
      <c r="G104" s="74" t="str">
        <f>IF(A104="","",SUMIFS(po_qty,po_ref,A104,po_status,"&lt;&gt;Annulé"))</f>
        <v/>
      </c>
      <c r="H104" s="74" t="str">
        <f>IF(A104="","",SUMIFS(po_rcv,po_ref,A104,po_status,"&lt;&gt;Annulé"))</f>
        <v/>
      </c>
      <c r="I104" s="74" t="str">
        <f>IF(A104="","",SUMIFS(po_rest,po_ref,A104,po_key,"&gt;0"))</f>
        <v/>
      </c>
      <c r="J104" s="70" t="str">
        <f>IF(A104="","",IF(COUNTIFS(po_ref,A104,po_status,"&lt;&gt;Annulé")=0,"",INDEX(po_price,SUMPRODUCT(MAX((po_ref=A104)*(po_status&lt;&gt;"Annulé")*(ROW(po_ref)-5))))))</f>
        <v/>
      </c>
      <c r="K104" s="67" t="str">
        <f>IF(A104="","",IF(COUNTIF(art_ref,A104)&gt;1,"Référence en double",IF(B104="","Désignation manquante",IF(NOT(ISNUMBER(D104)),"Prix manquant",IF(E104="","TVA manquante",IF(ISNA(MATCH(E104,p_tva,0)),"Taux de TVA inconnu",IF(AND(F104&lt;&gt;"",ISNA(MATCH(F104,sup_code,0))),"Fournisseur inconnu","OK")))))))</f>
        <v/>
      </c>
    </row>
    <row r="105">
      <c r="A105" s="63" t="n"/>
      <c r="B105" s="63" t="n"/>
      <c r="C105" s="65" t="n"/>
      <c r="D105" s="69" t="n"/>
      <c r="E105" s="71" t="n"/>
      <c r="F105" s="65" t="n"/>
      <c r="G105" s="74" t="str">
        <f>IF(A105="","",SUMIFS(po_qty,po_ref,A105,po_status,"&lt;&gt;Annulé"))</f>
        <v/>
      </c>
      <c r="H105" s="74" t="str">
        <f>IF(A105="","",SUMIFS(po_rcv,po_ref,A105,po_status,"&lt;&gt;Annulé"))</f>
        <v/>
      </c>
      <c r="I105" s="74" t="str">
        <f>IF(A105="","",SUMIFS(po_rest,po_ref,A105,po_key,"&gt;0"))</f>
        <v/>
      </c>
      <c r="J105" s="70" t="str">
        <f>IF(A105="","",IF(COUNTIFS(po_ref,A105,po_status,"&lt;&gt;Annulé")=0,"",INDEX(po_price,SUMPRODUCT(MAX((po_ref=A105)*(po_status&lt;&gt;"Annulé")*(ROW(po_ref)-5))))))</f>
        <v/>
      </c>
      <c r="K105" s="67" t="str">
        <f>IF(A105="","",IF(COUNTIF(art_ref,A105)&gt;1,"Référence en double",IF(B105="","Désignation manquante",IF(NOT(ISNUMBER(D105)),"Prix manquant",IF(E105="","TVA manquante",IF(ISNA(MATCH(E105,p_tva,0)),"Taux de TVA inconnu",IF(AND(F105&lt;&gt;"",ISNA(MATCH(F105,sup_code,0))),"Fournisseur inconnu","OK")))))))</f>
        <v/>
      </c>
    </row>
    <row r="106">
      <c r="A106" s="63" t="n"/>
      <c r="B106" s="63" t="n"/>
      <c r="C106" s="65" t="n"/>
      <c r="D106" s="69" t="n"/>
      <c r="E106" s="71" t="n"/>
      <c r="F106" s="65" t="n"/>
      <c r="G106" s="74" t="str">
        <f>IF(A106="","",SUMIFS(po_qty,po_ref,A106,po_status,"&lt;&gt;Annulé"))</f>
        <v/>
      </c>
      <c r="H106" s="74" t="str">
        <f>IF(A106="","",SUMIFS(po_rcv,po_ref,A106,po_status,"&lt;&gt;Annulé"))</f>
        <v/>
      </c>
      <c r="I106" s="74" t="str">
        <f>IF(A106="","",SUMIFS(po_rest,po_ref,A106,po_key,"&gt;0"))</f>
        <v/>
      </c>
      <c r="J106" s="70" t="str">
        <f>IF(A106="","",IF(COUNTIFS(po_ref,A106,po_status,"&lt;&gt;Annulé")=0,"",INDEX(po_price,SUMPRODUCT(MAX((po_ref=A106)*(po_status&lt;&gt;"Annulé")*(ROW(po_ref)-5))))))</f>
        <v/>
      </c>
      <c r="K106" s="67" t="str">
        <f>IF(A106="","",IF(COUNTIF(art_ref,A106)&gt;1,"Référence en double",IF(B106="","Désignation manquante",IF(NOT(ISNUMBER(D106)),"Prix manquant",IF(E106="","TVA manquante",IF(ISNA(MATCH(E106,p_tva,0)),"Taux de TVA inconnu",IF(AND(F106&lt;&gt;"",ISNA(MATCH(F106,sup_code,0))),"Fournisseur inconnu","OK")))))))</f>
        <v/>
      </c>
    </row>
    <row r="107">
      <c r="A107" s="63" t="n"/>
      <c r="B107" s="63" t="n"/>
      <c r="C107" s="65" t="n"/>
      <c r="D107" s="69" t="n"/>
      <c r="E107" s="71" t="n"/>
      <c r="F107" s="65" t="n"/>
      <c r="G107" s="74" t="str">
        <f>IF(A107="","",SUMIFS(po_qty,po_ref,A107,po_status,"&lt;&gt;Annulé"))</f>
        <v/>
      </c>
      <c r="H107" s="74" t="str">
        <f>IF(A107="","",SUMIFS(po_rcv,po_ref,A107,po_status,"&lt;&gt;Annulé"))</f>
        <v/>
      </c>
      <c r="I107" s="74" t="str">
        <f>IF(A107="","",SUMIFS(po_rest,po_ref,A107,po_key,"&gt;0"))</f>
        <v/>
      </c>
      <c r="J107" s="70" t="str">
        <f>IF(A107="","",IF(COUNTIFS(po_ref,A107,po_status,"&lt;&gt;Annulé")=0,"",INDEX(po_price,SUMPRODUCT(MAX((po_ref=A107)*(po_status&lt;&gt;"Annulé")*(ROW(po_ref)-5))))))</f>
        <v/>
      </c>
      <c r="K107" s="67" t="str">
        <f>IF(A107="","",IF(COUNTIF(art_ref,A107)&gt;1,"Référence en double",IF(B107="","Désignation manquante",IF(NOT(ISNUMBER(D107)),"Prix manquant",IF(E107="","TVA manquante",IF(ISNA(MATCH(E107,p_tva,0)),"Taux de TVA inconnu",IF(AND(F107&lt;&gt;"",ISNA(MATCH(F107,sup_code,0))),"Fournisseur inconnu","OK")))))))</f>
        <v/>
      </c>
    </row>
    <row r="108">
      <c r="A108" s="63" t="n"/>
      <c r="B108" s="63" t="n"/>
      <c r="C108" s="65" t="n"/>
      <c r="D108" s="69" t="n"/>
      <c r="E108" s="71" t="n"/>
      <c r="F108" s="65" t="n"/>
      <c r="G108" s="74" t="str">
        <f>IF(A108="","",SUMIFS(po_qty,po_ref,A108,po_status,"&lt;&gt;Annulé"))</f>
        <v/>
      </c>
      <c r="H108" s="74" t="str">
        <f>IF(A108="","",SUMIFS(po_rcv,po_ref,A108,po_status,"&lt;&gt;Annulé"))</f>
        <v/>
      </c>
      <c r="I108" s="74" t="str">
        <f>IF(A108="","",SUMIFS(po_rest,po_ref,A108,po_key,"&gt;0"))</f>
        <v/>
      </c>
      <c r="J108" s="70" t="str">
        <f>IF(A108="","",IF(COUNTIFS(po_ref,A108,po_status,"&lt;&gt;Annulé")=0,"",INDEX(po_price,SUMPRODUCT(MAX((po_ref=A108)*(po_status&lt;&gt;"Annulé")*(ROW(po_ref)-5))))))</f>
        <v/>
      </c>
      <c r="K108" s="67" t="str">
        <f>IF(A108="","",IF(COUNTIF(art_ref,A108)&gt;1,"Référence en double",IF(B108="","Désignation manquante",IF(NOT(ISNUMBER(D108)),"Prix manquant",IF(E108="","TVA manquante",IF(ISNA(MATCH(E108,p_tva,0)),"Taux de TVA inconnu",IF(AND(F108&lt;&gt;"",ISNA(MATCH(F108,sup_code,0))),"Fournisseur inconnu","OK")))))))</f>
        <v/>
      </c>
    </row>
    <row r="109">
      <c r="A109" s="63" t="n"/>
      <c r="B109" s="63" t="n"/>
      <c r="C109" s="65" t="n"/>
      <c r="D109" s="69" t="n"/>
      <c r="E109" s="71" t="n"/>
      <c r="F109" s="65" t="n"/>
      <c r="G109" s="74" t="str">
        <f>IF(A109="","",SUMIFS(po_qty,po_ref,A109,po_status,"&lt;&gt;Annulé"))</f>
        <v/>
      </c>
      <c r="H109" s="74" t="str">
        <f>IF(A109="","",SUMIFS(po_rcv,po_ref,A109,po_status,"&lt;&gt;Annulé"))</f>
        <v/>
      </c>
      <c r="I109" s="74" t="str">
        <f>IF(A109="","",SUMIFS(po_rest,po_ref,A109,po_key,"&gt;0"))</f>
        <v/>
      </c>
      <c r="J109" s="70" t="str">
        <f>IF(A109="","",IF(COUNTIFS(po_ref,A109,po_status,"&lt;&gt;Annulé")=0,"",INDEX(po_price,SUMPRODUCT(MAX((po_ref=A109)*(po_status&lt;&gt;"Annulé")*(ROW(po_ref)-5))))))</f>
        <v/>
      </c>
      <c r="K109" s="67" t="str">
        <f>IF(A109="","",IF(COUNTIF(art_ref,A109)&gt;1,"Référence en double",IF(B109="","Désignation manquante",IF(NOT(ISNUMBER(D109)),"Prix manquant",IF(E109="","TVA manquante",IF(ISNA(MATCH(E109,p_tva,0)),"Taux de TVA inconnu",IF(AND(F109&lt;&gt;"",ISNA(MATCH(F109,sup_code,0))),"Fournisseur inconnu","OK")))))))</f>
        <v/>
      </c>
    </row>
    <row r="110">
      <c r="A110" s="63" t="n"/>
      <c r="B110" s="63" t="n"/>
      <c r="C110" s="65" t="n"/>
      <c r="D110" s="69" t="n"/>
      <c r="E110" s="71" t="n"/>
      <c r="F110" s="65" t="n"/>
      <c r="G110" s="74" t="str">
        <f>IF(A110="","",SUMIFS(po_qty,po_ref,A110,po_status,"&lt;&gt;Annulé"))</f>
        <v/>
      </c>
      <c r="H110" s="74" t="str">
        <f>IF(A110="","",SUMIFS(po_rcv,po_ref,A110,po_status,"&lt;&gt;Annulé"))</f>
        <v/>
      </c>
      <c r="I110" s="74" t="str">
        <f>IF(A110="","",SUMIFS(po_rest,po_ref,A110,po_key,"&gt;0"))</f>
        <v/>
      </c>
      <c r="J110" s="70" t="str">
        <f>IF(A110="","",IF(COUNTIFS(po_ref,A110,po_status,"&lt;&gt;Annulé")=0,"",INDEX(po_price,SUMPRODUCT(MAX((po_ref=A110)*(po_status&lt;&gt;"Annulé")*(ROW(po_ref)-5))))))</f>
        <v/>
      </c>
      <c r="K110" s="67" t="str">
        <f>IF(A110="","",IF(COUNTIF(art_ref,A110)&gt;1,"Référence en double",IF(B110="","Désignation manquante",IF(NOT(ISNUMBER(D110)),"Prix manquant",IF(E110="","TVA manquante",IF(ISNA(MATCH(E110,p_tva,0)),"Taux de TVA inconnu",IF(AND(F110&lt;&gt;"",ISNA(MATCH(F110,sup_code,0))),"Fournisseur inconnu","OK")))))))</f>
        <v/>
      </c>
    </row>
    <row r="111">
      <c r="A111" s="63" t="n"/>
      <c r="B111" s="63" t="n"/>
      <c r="C111" s="65" t="n"/>
      <c r="D111" s="69" t="n"/>
      <c r="E111" s="71" t="n"/>
      <c r="F111" s="65" t="n"/>
      <c r="G111" s="74" t="str">
        <f>IF(A111="","",SUMIFS(po_qty,po_ref,A111,po_status,"&lt;&gt;Annulé"))</f>
        <v/>
      </c>
      <c r="H111" s="74" t="str">
        <f>IF(A111="","",SUMIFS(po_rcv,po_ref,A111,po_status,"&lt;&gt;Annulé"))</f>
        <v/>
      </c>
      <c r="I111" s="74" t="str">
        <f>IF(A111="","",SUMIFS(po_rest,po_ref,A111,po_key,"&gt;0"))</f>
        <v/>
      </c>
      <c r="J111" s="70" t="str">
        <f>IF(A111="","",IF(COUNTIFS(po_ref,A111,po_status,"&lt;&gt;Annulé")=0,"",INDEX(po_price,SUMPRODUCT(MAX((po_ref=A111)*(po_status&lt;&gt;"Annulé")*(ROW(po_ref)-5))))))</f>
        <v/>
      </c>
      <c r="K111" s="67" t="str">
        <f>IF(A111="","",IF(COUNTIF(art_ref,A111)&gt;1,"Référence en double",IF(B111="","Désignation manquante",IF(NOT(ISNUMBER(D111)),"Prix manquant",IF(E111="","TVA manquante",IF(ISNA(MATCH(E111,p_tva,0)),"Taux de TVA inconnu",IF(AND(F111&lt;&gt;"",ISNA(MATCH(F111,sup_code,0))),"Fournisseur inconnu","OK")))))))</f>
        <v/>
      </c>
    </row>
    <row r="112">
      <c r="A112" s="63" t="n"/>
      <c r="B112" s="63" t="n"/>
      <c r="C112" s="65" t="n"/>
      <c r="D112" s="69" t="n"/>
      <c r="E112" s="71" t="n"/>
      <c r="F112" s="65" t="n"/>
      <c r="G112" s="74" t="str">
        <f>IF(A112="","",SUMIFS(po_qty,po_ref,A112,po_status,"&lt;&gt;Annulé"))</f>
        <v/>
      </c>
      <c r="H112" s="74" t="str">
        <f>IF(A112="","",SUMIFS(po_rcv,po_ref,A112,po_status,"&lt;&gt;Annulé"))</f>
        <v/>
      </c>
      <c r="I112" s="74" t="str">
        <f>IF(A112="","",SUMIFS(po_rest,po_ref,A112,po_key,"&gt;0"))</f>
        <v/>
      </c>
      <c r="J112" s="70" t="str">
        <f>IF(A112="","",IF(COUNTIFS(po_ref,A112,po_status,"&lt;&gt;Annulé")=0,"",INDEX(po_price,SUMPRODUCT(MAX((po_ref=A112)*(po_status&lt;&gt;"Annulé")*(ROW(po_ref)-5))))))</f>
        <v/>
      </c>
      <c r="K112" s="67" t="str">
        <f>IF(A112="","",IF(COUNTIF(art_ref,A112)&gt;1,"Référence en double",IF(B112="","Désignation manquante",IF(NOT(ISNUMBER(D112)),"Prix manquant",IF(E112="","TVA manquante",IF(ISNA(MATCH(E112,p_tva,0)),"Taux de TVA inconnu",IF(AND(F112&lt;&gt;"",ISNA(MATCH(F112,sup_code,0))),"Fournisseur inconnu","OK")))))))</f>
        <v/>
      </c>
    </row>
    <row r="113">
      <c r="A113" s="63" t="n"/>
      <c r="B113" s="63" t="n"/>
      <c r="C113" s="65" t="n"/>
      <c r="D113" s="69" t="n"/>
      <c r="E113" s="71" t="n"/>
      <c r="F113" s="65" t="n"/>
      <c r="G113" s="74" t="str">
        <f>IF(A113="","",SUMIFS(po_qty,po_ref,A113,po_status,"&lt;&gt;Annulé"))</f>
        <v/>
      </c>
      <c r="H113" s="74" t="str">
        <f>IF(A113="","",SUMIFS(po_rcv,po_ref,A113,po_status,"&lt;&gt;Annulé"))</f>
        <v/>
      </c>
      <c r="I113" s="74" t="str">
        <f>IF(A113="","",SUMIFS(po_rest,po_ref,A113,po_key,"&gt;0"))</f>
        <v/>
      </c>
      <c r="J113" s="70" t="str">
        <f>IF(A113="","",IF(COUNTIFS(po_ref,A113,po_status,"&lt;&gt;Annulé")=0,"",INDEX(po_price,SUMPRODUCT(MAX((po_ref=A113)*(po_status&lt;&gt;"Annulé")*(ROW(po_ref)-5))))))</f>
        <v/>
      </c>
      <c r="K113" s="67" t="str">
        <f>IF(A113="","",IF(COUNTIF(art_ref,A113)&gt;1,"Référence en double",IF(B113="","Désignation manquante",IF(NOT(ISNUMBER(D113)),"Prix manquant",IF(E113="","TVA manquante",IF(ISNA(MATCH(E113,p_tva,0)),"Taux de TVA inconnu",IF(AND(F113&lt;&gt;"",ISNA(MATCH(F113,sup_code,0))),"Fournisseur inconnu","OK")))))))</f>
        <v/>
      </c>
    </row>
    <row r="114">
      <c r="A114" s="63" t="n"/>
      <c r="B114" s="63" t="n"/>
      <c r="C114" s="65" t="n"/>
      <c r="D114" s="69" t="n"/>
      <c r="E114" s="71" t="n"/>
      <c r="F114" s="65" t="n"/>
      <c r="G114" s="74" t="str">
        <f>IF(A114="","",SUMIFS(po_qty,po_ref,A114,po_status,"&lt;&gt;Annulé"))</f>
        <v/>
      </c>
      <c r="H114" s="74" t="str">
        <f>IF(A114="","",SUMIFS(po_rcv,po_ref,A114,po_status,"&lt;&gt;Annulé"))</f>
        <v/>
      </c>
      <c r="I114" s="74" t="str">
        <f>IF(A114="","",SUMIFS(po_rest,po_ref,A114,po_key,"&gt;0"))</f>
        <v/>
      </c>
      <c r="J114" s="70" t="str">
        <f>IF(A114="","",IF(COUNTIFS(po_ref,A114,po_status,"&lt;&gt;Annulé")=0,"",INDEX(po_price,SUMPRODUCT(MAX((po_ref=A114)*(po_status&lt;&gt;"Annulé")*(ROW(po_ref)-5))))))</f>
        <v/>
      </c>
      <c r="K114" s="67" t="str">
        <f>IF(A114="","",IF(COUNTIF(art_ref,A114)&gt;1,"Référence en double",IF(B114="","Désignation manquante",IF(NOT(ISNUMBER(D114)),"Prix manquant",IF(E114="","TVA manquante",IF(ISNA(MATCH(E114,p_tva,0)),"Taux de TVA inconnu",IF(AND(F114&lt;&gt;"",ISNA(MATCH(F114,sup_code,0))),"Fournisseur inconnu","OK")))))))</f>
        <v/>
      </c>
    </row>
    <row r="115">
      <c r="A115" s="63" t="n"/>
      <c r="B115" s="63" t="n"/>
      <c r="C115" s="65" t="n"/>
      <c r="D115" s="69" t="n"/>
      <c r="E115" s="71" t="n"/>
      <c r="F115" s="65" t="n"/>
      <c r="G115" s="74" t="str">
        <f>IF(A115="","",SUMIFS(po_qty,po_ref,A115,po_status,"&lt;&gt;Annulé"))</f>
        <v/>
      </c>
      <c r="H115" s="74" t="str">
        <f>IF(A115="","",SUMIFS(po_rcv,po_ref,A115,po_status,"&lt;&gt;Annulé"))</f>
        <v/>
      </c>
      <c r="I115" s="74" t="str">
        <f>IF(A115="","",SUMIFS(po_rest,po_ref,A115,po_key,"&gt;0"))</f>
        <v/>
      </c>
      <c r="J115" s="70" t="str">
        <f>IF(A115="","",IF(COUNTIFS(po_ref,A115,po_status,"&lt;&gt;Annulé")=0,"",INDEX(po_price,SUMPRODUCT(MAX((po_ref=A115)*(po_status&lt;&gt;"Annulé")*(ROW(po_ref)-5))))))</f>
        <v/>
      </c>
      <c r="K115" s="67" t="str">
        <f>IF(A115="","",IF(COUNTIF(art_ref,A115)&gt;1,"Référence en double",IF(B115="","Désignation manquante",IF(NOT(ISNUMBER(D115)),"Prix manquant",IF(E115="","TVA manquante",IF(ISNA(MATCH(E115,p_tva,0)),"Taux de TVA inconnu",IF(AND(F115&lt;&gt;"",ISNA(MATCH(F115,sup_code,0))),"Fournisseur inconnu","OK")))))))</f>
        <v/>
      </c>
    </row>
    <row r="116">
      <c r="A116" s="63" t="n"/>
      <c r="B116" s="63" t="n"/>
      <c r="C116" s="65" t="n"/>
      <c r="D116" s="69" t="n"/>
      <c r="E116" s="71" t="n"/>
      <c r="F116" s="65" t="n"/>
      <c r="G116" s="74" t="str">
        <f>IF(A116="","",SUMIFS(po_qty,po_ref,A116,po_status,"&lt;&gt;Annulé"))</f>
        <v/>
      </c>
      <c r="H116" s="74" t="str">
        <f>IF(A116="","",SUMIFS(po_rcv,po_ref,A116,po_status,"&lt;&gt;Annulé"))</f>
        <v/>
      </c>
      <c r="I116" s="74" t="str">
        <f>IF(A116="","",SUMIFS(po_rest,po_ref,A116,po_key,"&gt;0"))</f>
        <v/>
      </c>
      <c r="J116" s="70" t="str">
        <f>IF(A116="","",IF(COUNTIFS(po_ref,A116,po_status,"&lt;&gt;Annulé")=0,"",INDEX(po_price,SUMPRODUCT(MAX((po_ref=A116)*(po_status&lt;&gt;"Annulé")*(ROW(po_ref)-5))))))</f>
        <v/>
      </c>
      <c r="K116" s="67" t="str">
        <f>IF(A116="","",IF(COUNTIF(art_ref,A116)&gt;1,"Référence en double",IF(B116="","Désignation manquante",IF(NOT(ISNUMBER(D116)),"Prix manquant",IF(E116="","TVA manquante",IF(ISNA(MATCH(E116,p_tva,0)),"Taux de TVA inconnu",IF(AND(F116&lt;&gt;"",ISNA(MATCH(F116,sup_code,0))),"Fournisseur inconnu","OK")))))))</f>
        <v/>
      </c>
    </row>
    <row r="117">
      <c r="A117" s="63" t="n"/>
      <c r="B117" s="63" t="n"/>
      <c r="C117" s="65" t="n"/>
      <c r="D117" s="69" t="n"/>
      <c r="E117" s="71" t="n"/>
      <c r="F117" s="65" t="n"/>
      <c r="G117" s="74" t="str">
        <f>IF(A117="","",SUMIFS(po_qty,po_ref,A117,po_status,"&lt;&gt;Annulé"))</f>
        <v/>
      </c>
      <c r="H117" s="74" t="str">
        <f>IF(A117="","",SUMIFS(po_rcv,po_ref,A117,po_status,"&lt;&gt;Annulé"))</f>
        <v/>
      </c>
      <c r="I117" s="74" t="str">
        <f>IF(A117="","",SUMIFS(po_rest,po_ref,A117,po_key,"&gt;0"))</f>
        <v/>
      </c>
      <c r="J117" s="70" t="str">
        <f>IF(A117="","",IF(COUNTIFS(po_ref,A117,po_status,"&lt;&gt;Annulé")=0,"",INDEX(po_price,SUMPRODUCT(MAX((po_ref=A117)*(po_status&lt;&gt;"Annulé")*(ROW(po_ref)-5))))))</f>
        <v/>
      </c>
      <c r="K117" s="67" t="str">
        <f>IF(A117="","",IF(COUNTIF(art_ref,A117)&gt;1,"Référence en double",IF(B117="","Désignation manquante",IF(NOT(ISNUMBER(D117)),"Prix manquant",IF(E117="","TVA manquante",IF(ISNA(MATCH(E117,p_tva,0)),"Taux de TVA inconnu",IF(AND(F117&lt;&gt;"",ISNA(MATCH(F117,sup_code,0))),"Fournisseur inconnu","OK")))))))</f>
        <v/>
      </c>
    </row>
    <row r="118">
      <c r="A118" s="63" t="n"/>
      <c r="B118" s="63" t="n"/>
      <c r="C118" s="65" t="n"/>
      <c r="D118" s="69" t="n"/>
      <c r="E118" s="71" t="n"/>
      <c r="F118" s="65" t="n"/>
      <c r="G118" s="74" t="str">
        <f>IF(A118="","",SUMIFS(po_qty,po_ref,A118,po_status,"&lt;&gt;Annulé"))</f>
        <v/>
      </c>
      <c r="H118" s="74" t="str">
        <f>IF(A118="","",SUMIFS(po_rcv,po_ref,A118,po_status,"&lt;&gt;Annulé"))</f>
        <v/>
      </c>
      <c r="I118" s="74" t="str">
        <f>IF(A118="","",SUMIFS(po_rest,po_ref,A118,po_key,"&gt;0"))</f>
        <v/>
      </c>
      <c r="J118" s="70" t="str">
        <f>IF(A118="","",IF(COUNTIFS(po_ref,A118,po_status,"&lt;&gt;Annulé")=0,"",INDEX(po_price,SUMPRODUCT(MAX((po_ref=A118)*(po_status&lt;&gt;"Annulé")*(ROW(po_ref)-5))))))</f>
        <v/>
      </c>
      <c r="K118" s="67" t="str">
        <f>IF(A118="","",IF(COUNTIF(art_ref,A118)&gt;1,"Référence en double",IF(B118="","Désignation manquante",IF(NOT(ISNUMBER(D118)),"Prix manquant",IF(E118="","TVA manquante",IF(ISNA(MATCH(E118,p_tva,0)),"Taux de TVA inconnu",IF(AND(F118&lt;&gt;"",ISNA(MATCH(F118,sup_code,0))),"Fournisseur inconnu","OK")))))))</f>
        <v/>
      </c>
    </row>
    <row r="119">
      <c r="A119" s="63" t="n"/>
      <c r="B119" s="63" t="n"/>
      <c r="C119" s="65" t="n"/>
      <c r="D119" s="69" t="n"/>
      <c r="E119" s="71" t="n"/>
      <c r="F119" s="65" t="n"/>
      <c r="G119" s="74" t="str">
        <f>IF(A119="","",SUMIFS(po_qty,po_ref,A119,po_status,"&lt;&gt;Annulé"))</f>
        <v/>
      </c>
      <c r="H119" s="74" t="str">
        <f>IF(A119="","",SUMIFS(po_rcv,po_ref,A119,po_status,"&lt;&gt;Annulé"))</f>
        <v/>
      </c>
      <c r="I119" s="74" t="str">
        <f>IF(A119="","",SUMIFS(po_rest,po_ref,A119,po_key,"&gt;0"))</f>
        <v/>
      </c>
      <c r="J119" s="70" t="str">
        <f>IF(A119="","",IF(COUNTIFS(po_ref,A119,po_status,"&lt;&gt;Annulé")=0,"",INDEX(po_price,SUMPRODUCT(MAX((po_ref=A119)*(po_status&lt;&gt;"Annulé")*(ROW(po_ref)-5))))))</f>
        <v/>
      </c>
      <c r="K119" s="67" t="str">
        <f>IF(A119="","",IF(COUNTIF(art_ref,A119)&gt;1,"Référence en double",IF(B119="","Désignation manquante",IF(NOT(ISNUMBER(D119)),"Prix manquant",IF(E119="","TVA manquante",IF(ISNA(MATCH(E119,p_tva,0)),"Taux de TVA inconnu",IF(AND(F119&lt;&gt;"",ISNA(MATCH(F119,sup_code,0))),"Fournisseur inconnu","OK")))))))</f>
        <v/>
      </c>
    </row>
    <row r="120">
      <c r="A120" s="63" t="n"/>
      <c r="B120" s="63" t="n"/>
      <c r="C120" s="65" t="n"/>
      <c r="D120" s="69" t="n"/>
      <c r="E120" s="71" t="n"/>
      <c r="F120" s="65" t="n"/>
      <c r="G120" s="74" t="str">
        <f>IF(A120="","",SUMIFS(po_qty,po_ref,A120,po_status,"&lt;&gt;Annulé"))</f>
        <v/>
      </c>
      <c r="H120" s="74" t="str">
        <f>IF(A120="","",SUMIFS(po_rcv,po_ref,A120,po_status,"&lt;&gt;Annulé"))</f>
        <v/>
      </c>
      <c r="I120" s="74" t="str">
        <f>IF(A120="","",SUMIFS(po_rest,po_ref,A120,po_key,"&gt;0"))</f>
        <v/>
      </c>
      <c r="J120" s="70" t="str">
        <f>IF(A120="","",IF(COUNTIFS(po_ref,A120,po_status,"&lt;&gt;Annulé")=0,"",INDEX(po_price,SUMPRODUCT(MAX((po_ref=A120)*(po_status&lt;&gt;"Annulé")*(ROW(po_ref)-5))))))</f>
        <v/>
      </c>
      <c r="K120" s="67" t="str">
        <f>IF(A120="","",IF(COUNTIF(art_ref,A120)&gt;1,"Référence en double",IF(B120="","Désignation manquante",IF(NOT(ISNUMBER(D120)),"Prix manquant",IF(E120="","TVA manquante",IF(ISNA(MATCH(E120,p_tva,0)),"Taux de TVA inconnu",IF(AND(F120&lt;&gt;"",ISNA(MATCH(F120,sup_code,0))),"Fournisseur inconnu","OK")))))))</f>
        <v/>
      </c>
    </row>
    <row r="121">
      <c r="A121" s="63" t="n"/>
      <c r="B121" s="63" t="n"/>
      <c r="C121" s="65" t="n"/>
      <c r="D121" s="69" t="n"/>
      <c r="E121" s="71" t="n"/>
      <c r="F121" s="65" t="n"/>
      <c r="G121" s="74" t="str">
        <f>IF(A121="","",SUMIFS(po_qty,po_ref,A121,po_status,"&lt;&gt;Annulé"))</f>
        <v/>
      </c>
      <c r="H121" s="74" t="str">
        <f>IF(A121="","",SUMIFS(po_rcv,po_ref,A121,po_status,"&lt;&gt;Annulé"))</f>
        <v/>
      </c>
      <c r="I121" s="74" t="str">
        <f>IF(A121="","",SUMIFS(po_rest,po_ref,A121,po_key,"&gt;0"))</f>
        <v/>
      </c>
      <c r="J121" s="70" t="str">
        <f>IF(A121="","",IF(COUNTIFS(po_ref,A121,po_status,"&lt;&gt;Annulé")=0,"",INDEX(po_price,SUMPRODUCT(MAX((po_ref=A121)*(po_status&lt;&gt;"Annulé")*(ROW(po_ref)-5))))))</f>
        <v/>
      </c>
      <c r="K121" s="67" t="str">
        <f>IF(A121="","",IF(COUNTIF(art_ref,A121)&gt;1,"Référence en double",IF(B121="","Désignation manquante",IF(NOT(ISNUMBER(D121)),"Prix manquant",IF(E121="","TVA manquante",IF(ISNA(MATCH(E121,p_tva,0)),"Taux de TVA inconnu",IF(AND(F121&lt;&gt;"",ISNA(MATCH(F121,sup_code,0))),"Fournisseur inconnu","OK")))))))</f>
        <v/>
      </c>
    </row>
    <row r="122">
      <c r="A122" s="63" t="n"/>
      <c r="B122" s="63" t="n"/>
      <c r="C122" s="65" t="n"/>
      <c r="D122" s="69" t="n"/>
      <c r="E122" s="71" t="n"/>
      <c r="F122" s="65" t="n"/>
      <c r="G122" s="74" t="str">
        <f>IF(A122="","",SUMIFS(po_qty,po_ref,A122,po_status,"&lt;&gt;Annulé"))</f>
        <v/>
      </c>
      <c r="H122" s="74" t="str">
        <f>IF(A122="","",SUMIFS(po_rcv,po_ref,A122,po_status,"&lt;&gt;Annulé"))</f>
        <v/>
      </c>
      <c r="I122" s="74" t="str">
        <f>IF(A122="","",SUMIFS(po_rest,po_ref,A122,po_key,"&gt;0"))</f>
        <v/>
      </c>
      <c r="J122" s="70" t="str">
        <f>IF(A122="","",IF(COUNTIFS(po_ref,A122,po_status,"&lt;&gt;Annulé")=0,"",INDEX(po_price,SUMPRODUCT(MAX((po_ref=A122)*(po_status&lt;&gt;"Annulé")*(ROW(po_ref)-5))))))</f>
        <v/>
      </c>
      <c r="K122" s="67" t="str">
        <f>IF(A122="","",IF(COUNTIF(art_ref,A122)&gt;1,"Référence en double",IF(B122="","Désignation manquante",IF(NOT(ISNUMBER(D122)),"Prix manquant",IF(E122="","TVA manquante",IF(ISNA(MATCH(E122,p_tva,0)),"Taux de TVA inconnu",IF(AND(F122&lt;&gt;"",ISNA(MATCH(F122,sup_code,0))),"Fournisseur inconnu","OK")))))))</f>
        <v/>
      </c>
    </row>
    <row r="123">
      <c r="A123" s="63" t="n"/>
      <c r="B123" s="63" t="n"/>
      <c r="C123" s="65" t="n"/>
      <c r="D123" s="69" t="n"/>
      <c r="E123" s="71" t="n"/>
      <c r="F123" s="65" t="n"/>
      <c r="G123" s="74" t="str">
        <f>IF(A123="","",SUMIFS(po_qty,po_ref,A123,po_status,"&lt;&gt;Annulé"))</f>
        <v/>
      </c>
      <c r="H123" s="74" t="str">
        <f>IF(A123="","",SUMIFS(po_rcv,po_ref,A123,po_status,"&lt;&gt;Annulé"))</f>
        <v/>
      </c>
      <c r="I123" s="74" t="str">
        <f>IF(A123="","",SUMIFS(po_rest,po_ref,A123,po_key,"&gt;0"))</f>
        <v/>
      </c>
      <c r="J123" s="70" t="str">
        <f>IF(A123="","",IF(COUNTIFS(po_ref,A123,po_status,"&lt;&gt;Annulé")=0,"",INDEX(po_price,SUMPRODUCT(MAX((po_ref=A123)*(po_status&lt;&gt;"Annulé")*(ROW(po_ref)-5))))))</f>
        <v/>
      </c>
      <c r="K123" s="67" t="str">
        <f>IF(A123="","",IF(COUNTIF(art_ref,A123)&gt;1,"Référence en double",IF(B123="","Désignation manquante",IF(NOT(ISNUMBER(D123)),"Prix manquant",IF(E123="","TVA manquante",IF(ISNA(MATCH(E123,p_tva,0)),"Taux de TVA inconnu",IF(AND(F123&lt;&gt;"",ISNA(MATCH(F123,sup_code,0))),"Fournisseur inconnu","OK")))))))</f>
        <v/>
      </c>
    </row>
    <row r="124">
      <c r="A124" s="63" t="n"/>
      <c r="B124" s="63" t="n"/>
      <c r="C124" s="65" t="n"/>
      <c r="D124" s="69" t="n"/>
      <c r="E124" s="71" t="n"/>
      <c r="F124" s="65" t="n"/>
      <c r="G124" s="74" t="str">
        <f>IF(A124="","",SUMIFS(po_qty,po_ref,A124,po_status,"&lt;&gt;Annulé"))</f>
        <v/>
      </c>
      <c r="H124" s="74" t="str">
        <f>IF(A124="","",SUMIFS(po_rcv,po_ref,A124,po_status,"&lt;&gt;Annulé"))</f>
        <v/>
      </c>
      <c r="I124" s="74" t="str">
        <f>IF(A124="","",SUMIFS(po_rest,po_ref,A124,po_key,"&gt;0"))</f>
        <v/>
      </c>
      <c r="J124" s="70" t="str">
        <f>IF(A124="","",IF(COUNTIFS(po_ref,A124,po_status,"&lt;&gt;Annulé")=0,"",INDEX(po_price,SUMPRODUCT(MAX((po_ref=A124)*(po_status&lt;&gt;"Annulé")*(ROW(po_ref)-5))))))</f>
        <v/>
      </c>
      <c r="K124" s="67" t="str">
        <f>IF(A124="","",IF(COUNTIF(art_ref,A124)&gt;1,"Référence en double",IF(B124="","Désignation manquante",IF(NOT(ISNUMBER(D124)),"Prix manquant",IF(E124="","TVA manquante",IF(ISNA(MATCH(E124,p_tva,0)),"Taux de TVA inconnu",IF(AND(F124&lt;&gt;"",ISNA(MATCH(F124,sup_code,0))),"Fournisseur inconnu","OK")))))))</f>
        <v/>
      </c>
    </row>
    <row r="125">
      <c r="A125" s="63" t="n"/>
      <c r="B125" s="63" t="n"/>
      <c r="C125" s="65" t="n"/>
      <c r="D125" s="69" t="n"/>
      <c r="E125" s="71" t="n"/>
      <c r="F125" s="65" t="n"/>
      <c r="G125" s="74" t="str">
        <f>IF(A125="","",SUMIFS(po_qty,po_ref,A125,po_status,"&lt;&gt;Annulé"))</f>
        <v/>
      </c>
      <c r="H125" s="74" t="str">
        <f>IF(A125="","",SUMIFS(po_rcv,po_ref,A125,po_status,"&lt;&gt;Annulé"))</f>
        <v/>
      </c>
      <c r="I125" s="74" t="str">
        <f>IF(A125="","",SUMIFS(po_rest,po_ref,A125,po_key,"&gt;0"))</f>
        <v/>
      </c>
      <c r="J125" s="70" t="str">
        <f>IF(A125="","",IF(COUNTIFS(po_ref,A125,po_status,"&lt;&gt;Annulé")=0,"",INDEX(po_price,SUMPRODUCT(MAX((po_ref=A125)*(po_status&lt;&gt;"Annulé")*(ROW(po_ref)-5))))))</f>
        <v/>
      </c>
      <c r="K125" s="67" t="str">
        <f>IF(A125="","",IF(COUNTIF(art_ref,A125)&gt;1,"Référence en double",IF(B125="","Désignation manquante",IF(NOT(ISNUMBER(D125)),"Prix manquant",IF(E125="","TVA manquante",IF(ISNA(MATCH(E125,p_tva,0)),"Taux de TVA inconnu",IF(AND(F125&lt;&gt;"",ISNA(MATCH(F125,sup_code,0))),"Fournisseur inconnu","OK")))))))</f>
        <v/>
      </c>
    </row>
    <row r="126">
      <c r="A126" s="63" t="n"/>
      <c r="B126" s="63" t="n"/>
      <c r="C126" s="65" t="n"/>
      <c r="D126" s="69" t="n"/>
      <c r="E126" s="71" t="n"/>
      <c r="F126" s="65" t="n"/>
      <c r="G126" s="74" t="str">
        <f>IF(A126="","",SUMIFS(po_qty,po_ref,A126,po_status,"&lt;&gt;Annulé"))</f>
        <v/>
      </c>
      <c r="H126" s="74" t="str">
        <f>IF(A126="","",SUMIFS(po_rcv,po_ref,A126,po_status,"&lt;&gt;Annulé"))</f>
        <v/>
      </c>
      <c r="I126" s="74" t="str">
        <f>IF(A126="","",SUMIFS(po_rest,po_ref,A126,po_key,"&gt;0"))</f>
        <v/>
      </c>
      <c r="J126" s="70" t="str">
        <f>IF(A126="","",IF(COUNTIFS(po_ref,A126,po_status,"&lt;&gt;Annulé")=0,"",INDEX(po_price,SUMPRODUCT(MAX((po_ref=A126)*(po_status&lt;&gt;"Annulé")*(ROW(po_ref)-5))))))</f>
        <v/>
      </c>
      <c r="K126" s="67" t="str">
        <f>IF(A126="","",IF(COUNTIF(art_ref,A126)&gt;1,"Référence en double",IF(B126="","Désignation manquante",IF(NOT(ISNUMBER(D126)),"Prix manquant",IF(E126="","TVA manquante",IF(ISNA(MATCH(E126,p_tva,0)),"Taux de TVA inconnu",IF(AND(F126&lt;&gt;"",ISNA(MATCH(F126,sup_code,0))),"Fournisseur inconnu","OK")))))))</f>
        <v/>
      </c>
    </row>
    <row r="127">
      <c r="A127" s="63" t="n"/>
      <c r="B127" s="63" t="n"/>
      <c r="C127" s="65" t="n"/>
      <c r="D127" s="69" t="n"/>
      <c r="E127" s="71" t="n"/>
      <c r="F127" s="65" t="n"/>
      <c r="G127" s="74" t="str">
        <f>IF(A127="","",SUMIFS(po_qty,po_ref,A127,po_status,"&lt;&gt;Annulé"))</f>
        <v/>
      </c>
      <c r="H127" s="74" t="str">
        <f>IF(A127="","",SUMIFS(po_rcv,po_ref,A127,po_status,"&lt;&gt;Annulé"))</f>
        <v/>
      </c>
      <c r="I127" s="74" t="str">
        <f>IF(A127="","",SUMIFS(po_rest,po_ref,A127,po_key,"&gt;0"))</f>
        <v/>
      </c>
      <c r="J127" s="70" t="str">
        <f>IF(A127="","",IF(COUNTIFS(po_ref,A127,po_status,"&lt;&gt;Annulé")=0,"",INDEX(po_price,SUMPRODUCT(MAX((po_ref=A127)*(po_status&lt;&gt;"Annulé")*(ROW(po_ref)-5))))))</f>
        <v/>
      </c>
      <c r="K127" s="67" t="str">
        <f>IF(A127="","",IF(COUNTIF(art_ref,A127)&gt;1,"Référence en double",IF(B127="","Désignation manquante",IF(NOT(ISNUMBER(D127)),"Prix manquant",IF(E127="","TVA manquante",IF(ISNA(MATCH(E127,p_tva,0)),"Taux de TVA inconnu",IF(AND(F127&lt;&gt;"",ISNA(MATCH(F127,sup_code,0))),"Fournisseur inconnu","OK")))))))</f>
        <v/>
      </c>
    </row>
    <row r="128">
      <c r="A128" s="63" t="n"/>
      <c r="B128" s="63" t="n"/>
      <c r="C128" s="65" t="n"/>
      <c r="D128" s="69" t="n"/>
      <c r="E128" s="71" t="n"/>
      <c r="F128" s="65" t="n"/>
      <c r="G128" s="74" t="str">
        <f>IF(A128="","",SUMIFS(po_qty,po_ref,A128,po_status,"&lt;&gt;Annulé"))</f>
        <v/>
      </c>
      <c r="H128" s="74" t="str">
        <f>IF(A128="","",SUMIFS(po_rcv,po_ref,A128,po_status,"&lt;&gt;Annulé"))</f>
        <v/>
      </c>
      <c r="I128" s="74" t="str">
        <f>IF(A128="","",SUMIFS(po_rest,po_ref,A128,po_key,"&gt;0"))</f>
        <v/>
      </c>
      <c r="J128" s="70" t="str">
        <f>IF(A128="","",IF(COUNTIFS(po_ref,A128,po_status,"&lt;&gt;Annulé")=0,"",INDEX(po_price,SUMPRODUCT(MAX((po_ref=A128)*(po_status&lt;&gt;"Annulé")*(ROW(po_ref)-5))))))</f>
        <v/>
      </c>
      <c r="K128" s="67" t="str">
        <f>IF(A128="","",IF(COUNTIF(art_ref,A128)&gt;1,"Référence en double",IF(B128="","Désignation manquante",IF(NOT(ISNUMBER(D128)),"Prix manquant",IF(E128="","TVA manquante",IF(ISNA(MATCH(E128,p_tva,0)),"Taux de TVA inconnu",IF(AND(F128&lt;&gt;"",ISNA(MATCH(F128,sup_code,0))),"Fournisseur inconnu","OK")))))))</f>
        <v/>
      </c>
    </row>
    <row r="129">
      <c r="A129" s="63" t="n"/>
      <c r="B129" s="63" t="n"/>
      <c r="C129" s="65" t="n"/>
      <c r="D129" s="69" t="n"/>
      <c r="E129" s="71" t="n"/>
      <c r="F129" s="65" t="n"/>
      <c r="G129" s="74" t="str">
        <f>IF(A129="","",SUMIFS(po_qty,po_ref,A129,po_status,"&lt;&gt;Annulé"))</f>
        <v/>
      </c>
      <c r="H129" s="74" t="str">
        <f>IF(A129="","",SUMIFS(po_rcv,po_ref,A129,po_status,"&lt;&gt;Annulé"))</f>
        <v/>
      </c>
      <c r="I129" s="74" t="str">
        <f>IF(A129="","",SUMIFS(po_rest,po_ref,A129,po_key,"&gt;0"))</f>
        <v/>
      </c>
      <c r="J129" s="70" t="str">
        <f>IF(A129="","",IF(COUNTIFS(po_ref,A129,po_status,"&lt;&gt;Annulé")=0,"",INDEX(po_price,SUMPRODUCT(MAX((po_ref=A129)*(po_status&lt;&gt;"Annulé")*(ROW(po_ref)-5))))))</f>
        <v/>
      </c>
      <c r="K129" s="67" t="str">
        <f>IF(A129="","",IF(COUNTIF(art_ref,A129)&gt;1,"Référence en double",IF(B129="","Désignation manquante",IF(NOT(ISNUMBER(D129)),"Prix manquant",IF(E129="","TVA manquante",IF(ISNA(MATCH(E129,p_tva,0)),"Taux de TVA inconnu",IF(AND(F129&lt;&gt;"",ISNA(MATCH(F129,sup_code,0))),"Fournisseur inconnu","OK")))))))</f>
        <v/>
      </c>
    </row>
    <row r="130">
      <c r="A130" s="63" t="n"/>
      <c r="B130" s="63" t="n"/>
      <c r="C130" s="65" t="n"/>
      <c r="D130" s="69" t="n"/>
      <c r="E130" s="71" t="n"/>
      <c r="F130" s="65" t="n"/>
      <c r="G130" s="74" t="str">
        <f>IF(A130="","",SUMIFS(po_qty,po_ref,A130,po_status,"&lt;&gt;Annulé"))</f>
        <v/>
      </c>
      <c r="H130" s="74" t="str">
        <f>IF(A130="","",SUMIFS(po_rcv,po_ref,A130,po_status,"&lt;&gt;Annulé"))</f>
        <v/>
      </c>
      <c r="I130" s="74" t="str">
        <f>IF(A130="","",SUMIFS(po_rest,po_ref,A130,po_key,"&gt;0"))</f>
        <v/>
      </c>
      <c r="J130" s="70" t="str">
        <f>IF(A130="","",IF(COUNTIFS(po_ref,A130,po_status,"&lt;&gt;Annulé")=0,"",INDEX(po_price,SUMPRODUCT(MAX((po_ref=A130)*(po_status&lt;&gt;"Annulé")*(ROW(po_ref)-5))))))</f>
        <v/>
      </c>
      <c r="K130" s="67" t="str">
        <f>IF(A130="","",IF(COUNTIF(art_ref,A130)&gt;1,"Référence en double",IF(B130="","Désignation manquante",IF(NOT(ISNUMBER(D130)),"Prix manquant",IF(E130="","TVA manquante",IF(ISNA(MATCH(E130,p_tva,0)),"Taux de TVA inconnu",IF(AND(F130&lt;&gt;"",ISNA(MATCH(F130,sup_code,0))),"Fournisseur inconnu","OK")))))))</f>
        <v/>
      </c>
    </row>
    <row r="131">
      <c r="A131" s="63" t="n"/>
      <c r="B131" s="63" t="n"/>
      <c r="C131" s="65" t="n"/>
      <c r="D131" s="69" t="n"/>
      <c r="E131" s="71" t="n"/>
      <c r="F131" s="65" t="n"/>
      <c r="G131" s="74" t="str">
        <f>IF(A131="","",SUMIFS(po_qty,po_ref,A131,po_status,"&lt;&gt;Annulé"))</f>
        <v/>
      </c>
      <c r="H131" s="74" t="str">
        <f>IF(A131="","",SUMIFS(po_rcv,po_ref,A131,po_status,"&lt;&gt;Annulé"))</f>
        <v/>
      </c>
      <c r="I131" s="74" t="str">
        <f>IF(A131="","",SUMIFS(po_rest,po_ref,A131,po_key,"&gt;0"))</f>
        <v/>
      </c>
      <c r="J131" s="70" t="str">
        <f>IF(A131="","",IF(COUNTIFS(po_ref,A131,po_status,"&lt;&gt;Annulé")=0,"",INDEX(po_price,SUMPRODUCT(MAX((po_ref=A131)*(po_status&lt;&gt;"Annulé")*(ROW(po_ref)-5))))))</f>
        <v/>
      </c>
      <c r="K131" s="67" t="str">
        <f>IF(A131="","",IF(COUNTIF(art_ref,A131)&gt;1,"Référence en double",IF(B131="","Désignation manquante",IF(NOT(ISNUMBER(D131)),"Prix manquant",IF(E131="","TVA manquante",IF(ISNA(MATCH(E131,p_tva,0)),"Taux de TVA inconnu",IF(AND(F131&lt;&gt;"",ISNA(MATCH(F131,sup_code,0))),"Fournisseur inconnu","OK")))))))</f>
        <v/>
      </c>
    </row>
    <row r="132">
      <c r="A132" s="63" t="n"/>
      <c r="B132" s="63" t="n"/>
      <c r="C132" s="65" t="n"/>
      <c r="D132" s="69" t="n"/>
      <c r="E132" s="71" t="n"/>
      <c r="F132" s="65" t="n"/>
      <c r="G132" s="74" t="str">
        <f>IF(A132="","",SUMIFS(po_qty,po_ref,A132,po_status,"&lt;&gt;Annulé"))</f>
        <v/>
      </c>
      <c r="H132" s="74" t="str">
        <f>IF(A132="","",SUMIFS(po_rcv,po_ref,A132,po_status,"&lt;&gt;Annulé"))</f>
        <v/>
      </c>
      <c r="I132" s="74" t="str">
        <f>IF(A132="","",SUMIFS(po_rest,po_ref,A132,po_key,"&gt;0"))</f>
        <v/>
      </c>
      <c r="J132" s="70" t="str">
        <f>IF(A132="","",IF(COUNTIFS(po_ref,A132,po_status,"&lt;&gt;Annulé")=0,"",INDEX(po_price,SUMPRODUCT(MAX((po_ref=A132)*(po_status&lt;&gt;"Annulé")*(ROW(po_ref)-5))))))</f>
        <v/>
      </c>
      <c r="K132" s="67" t="str">
        <f>IF(A132="","",IF(COUNTIF(art_ref,A132)&gt;1,"Référence en double",IF(B132="","Désignation manquante",IF(NOT(ISNUMBER(D132)),"Prix manquant",IF(E132="","TVA manquante",IF(ISNA(MATCH(E132,p_tva,0)),"Taux de TVA inconnu",IF(AND(F132&lt;&gt;"",ISNA(MATCH(F132,sup_code,0))),"Fournisseur inconnu","OK")))))))</f>
        <v/>
      </c>
    </row>
    <row r="133">
      <c r="A133" s="63" t="n"/>
      <c r="B133" s="63" t="n"/>
      <c r="C133" s="65" t="n"/>
      <c r="D133" s="69" t="n"/>
      <c r="E133" s="71" t="n"/>
      <c r="F133" s="65" t="n"/>
      <c r="G133" s="74" t="str">
        <f>IF(A133="","",SUMIFS(po_qty,po_ref,A133,po_status,"&lt;&gt;Annulé"))</f>
        <v/>
      </c>
      <c r="H133" s="74" t="str">
        <f>IF(A133="","",SUMIFS(po_rcv,po_ref,A133,po_status,"&lt;&gt;Annulé"))</f>
        <v/>
      </c>
      <c r="I133" s="74" t="str">
        <f>IF(A133="","",SUMIFS(po_rest,po_ref,A133,po_key,"&gt;0"))</f>
        <v/>
      </c>
      <c r="J133" s="70" t="str">
        <f>IF(A133="","",IF(COUNTIFS(po_ref,A133,po_status,"&lt;&gt;Annulé")=0,"",INDEX(po_price,SUMPRODUCT(MAX((po_ref=A133)*(po_status&lt;&gt;"Annulé")*(ROW(po_ref)-5))))))</f>
        <v/>
      </c>
      <c r="K133" s="67" t="str">
        <f>IF(A133="","",IF(COUNTIF(art_ref,A133)&gt;1,"Référence en double",IF(B133="","Désignation manquante",IF(NOT(ISNUMBER(D133)),"Prix manquant",IF(E133="","TVA manquante",IF(ISNA(MATCH(E133,p_tva,0)),"Taux de TVA inconnu",IF(AND(F133&lt;&gt;"",ISNA(MATCH(F133,sup_code,0))),"Fournisseur inconnu","OK")))))))</f>
        <v/>
      </c>
    </row>
    <row r="134">
      <c r="A134" s="63" t="n"/>
      <c r="B134" s="63" t="n"/>
      <c r="C134" s="65" t="n"/>
      <c r="D134" s="69" t="n"/>
      <c r="E134" s="71" t="n"/>
      <c r="F134" s="65" t="n"/>
      <c r="G134" s="74" t="str">
        <f>IF(A134="","",SUMIFS(po_qty,po_ref,A134,po_status,"&lt;&gt;Annulé"))</f>
        <v/>
      </c>
      <c r="H134" s="74" t="str">
        <f>IF(A134="","",SUMIFS(po_rcv,po_ref,A134,po_status,"&lt;&gt;Annulé"))</f>
        <v/>
      </c>
      <c r="I134" s="74" t="str">
        <f>IF(A134="","",SUMIFS(po_rest,po_ref,A134,po_key,"&gt;0"))</f>
        <v/>
      </c>
      <c r="J134" s="70" t="str">
        <f>IF(A134="","",IF(COUNTIFS(po_ref,A134,po_status,"&lt;&gt;Annulé")=0,"",INDEX(po_price,SUMPRODUCT(MAX((po_ref=A134)*(po_status&lt;&gt;"Annulé")*(ROW(po_ref)-5))))))</f>
        <v/>
      </c>
      <c r="K134" s="67" t="str">
        <f>IF(A134="","",IF(COUNTIF(art_ref,A134)&gt;1,"Référence en double",IF(B134="","Désignation manquante",IF(NOT(ISNUMBER(D134)),"Prix manquant",IF(E134="","TVA manquante",IF(ISNA(MATCH(E134,p_tva,0)),"Taux de TVA inconnu",IF(AND(F134&lt;&gt;"",ISNA(MATCH(F134,sup_code,0))),"Fournisseur inconnu","OK")))))))</f>
        <v/>
      </c>
    </row>
    <row r="135">
      <c r="A135" s="63" t="n"/>
      <c r="B135" s="63" t="n"/>
      <c r="C135" s="65" t="n"/>
      <c r="D135" s="69" t="n"/>
      <c r="E135" s="71" t="n"/>
      <c r="F135" s="65" t="n"/>
      <c r="G135" s="74" t="str">
        <f>IF(A135="","",SUMIFS(po_qty,po_ref,A135,po_status,"&lt;&gt;Annulé"))</f>
        <v/>
      </c>
      <c r="H135" s="74" t="str">
        <f>IF(A135="","",SUMIFS(po_rcv,po_ref,A135,po_status,"&lt;&gt;Annulé"))</f>
        <v/>
      </c>
      <c r="I135" s="74" t="str">
        <f>IF(A135="","",SUMIFS(po_rest,po_ref,A135,po_key,"&gt;0"))</f>
        <v/>
      </c>
      <c r="J135" s="70" t="str">
        <f>IF(A135="","",IF(COUNTIFS(po_ref,A135,po_status,"&lt;&gt;Annulé")=0,"",INDEX(po_price,SUMPRODUCT(MAX((po_ref=A135)*(po_status&lt;&gt;"Annulé")*(ROW(po_ref)-5))))))</f>
        <v/>
      </c>
      <c r="K135" s="67" t="str">
        <f>IF(A135="","",IF(COUNTIF(art_ref,A135)&gt;1,"Référence en double",IF(B135="","Désignation manquante",IF(NOT(ISNUMBER(D135)),"Prix manquant",IF(E135="","TVA manquante",IF(ISNA(MATCH(E135,p_tva,0)),"Taux de TVA inconnu",IF(AND(F135&lt;&gt;"",ISNA(MATCH(F135,sup_code,0))),"Fournisseur inconnu","OK")))))))</f>
        <v/>
      </c>
    </row>
    <row r="136">
      <c r="A136" s="63" t="n"/>
      <c r="B136" s="63" t="n"/>
      <c r="C136" s="65" t="n"/>
      <c r="D136" s="69" t="n"/>
      <c r="E136" s="71" t="n"/>
      <c r="F136" s="65" t="n"/>
      <c r="G136" s="74" t="str">
        <f>IF(A136="","",SUMIFS(po_qty,po_ref,A136,po_status,"&lt;&gt;Annulé"))</f>
        <v/>
      </c>
      <c r="H136" s="74" t="str">
        <f>IF(A136="","",SUMIFS(po_rcv,po_ref,A136,po_status,"&lt;&gt;Annulé"))</f>
        <v/>
      </c>
      <c r="I136" s="74" t="str">
        <f>IF(A136="","",SUMIFS(po_rest,po_ref,A136,po_key,"&gt;0"))</f>
        <v/>
      </c>
      <c r="J136" s="70" t="str">
        <f>IF(A136="","",IF(COUNTIFS(po_ref,A136,po_status,"&lt;&gt;Annulé")=0,"",INDEX(po_price,SUMPRODUCT(MAX((po_ref=A136)*(po_status&lt;&gt;"Annulé")*(ROW(po_ref)-5))))))</f>
        <v/>
      </c>
      <c r="K136" s="67" t="str">
        <f>IF(A136="","",IF(COUNTIF(art_ref,A136)&gt;1,"Référence en double",IF(B136="","Désignation manquante",IF(NOT(ISNUMBER(D136)),"Prix manquant",IF(E136="","TVA manquante",IF(ISNA(MATCH(E136,p_tva,0)),"Taux de TVA inconnu",IF(AND(F136&lt;&gt;"",ISNA(MATCH(F136,sup_code,0))),"Fournisseur inconnu","OK")))))))</f>
        <v/>
      </c>
    </row>
    <row r="137">
      <c r="A137" s="63" t="n"/>
      <c r="B137" s="63" t="n"/>
      <c r="C137" s="65" t="n"/>
      <c r="D137" s="69" t="n"/>
      <c r="E137" s="71" t="n"/>
      <c r="F137" s="65" t="n"/>
      <c r="G137" s="74" t="str">
        <f>IF(A137="","",SUMIFS(po_qty,po_ref,A137,po_status,"&lt;&gt;Annulé"))</f>
        <v/>
      </c>
      <c r="H137" s="74" t="str">
        <f>IF(A137="","",SUMIFS(po_rcv,po_ref,A137,po_status,"&lt;&gt;Annulé"))</f>
        <v/>
      </c>
      <c r="I137" s="74" t="str">
        <f>IF(A137="","",SUMIFS(po_rest,po_ref,A137,po_key,"&gt;0"))</f>
        <v/>
      </c>
      <c r="J137" s="70" t="str">
        <f>IF(A137="","",IF(COUNTIFS(po_ref,A137,po_status,"&lt;&gt;Annulé")=0,"",INDEX(po_price,SUMPRODUCT(MAX((po_ref=A137)*(po_status&lt;&gt;"Annulé")*(ROW(po_ref)-5))))))</f>
        <v/>
      </c>
      <c r="K137" s="67" t="str">
        <f>IF(A137="","",IF(COUNTIF(art_ref,A137)&gt;1,"Référence en double",IF(B137="","Désignation manquante",IF(NOT(ISNUMBER(D137)),"Prix manquant",IF(E137="","TVA manquante",IF(ISNA(MATCH(E137,p_tva,0)),"Taux de TVA inconnu",IF(AND(F137&lt;&gt;"",ISNA(MATCH(F137,sup_code,0))),"Fournisseur inconnu","OK")))))))</f>
        <v/>
      </c>
    </row>
    <row r="138">
      <c r="A138" s="63" t="n"/>
      <c r="B138" s="63" t="n"/>
      <c r="C138" s="65" t="n"/>
      <c r="D138" s="69" t="n"/>
      <c r="E138" s="71" t="n"/>
      <c r="F138" s="65" t="n"/>
      <c r="G138" s="74" t="str">
        <f>IF(A138="","",SUMIFS(po_qty,po_ref,A138,po_status,"&lt;&gt;Annulé"))</f>
        <v/>
      </c>
      <c r="H138" s="74" t="str">
        <f>IF(A138="","",SUMIFS(po_rcv,po_ref,A138,po_status,"&lt;&gt;Annulé"))</f>
        <v/>
      </c>
      <c r="I138" s="74" t="str">
        <f>IF(A138="","",SUMIFS(po_rest,po_ref,A138,po_key,"&gt;0"))</f>
        <v/>
      </c>
      <c r="J138" s="70" t="str">
        <f>IF(A138="","",IF(COUNTIFS(po_ref,A138,po_status,"&lt;&gt;Annulé")=0,"",INDEX(po_price,SUMPRODUCT(MAX((po_ref=A138)*(po_status&lt;&gt;"Annulé")*(ROW(po_ref)-5))))))</f>
        <v/>
      </c>
      <c r="K138" s="67" t="str">
        <f>IF(A138="","",IF(COUNTIF(art_ref,A138)&gt;1,"Référence en double",IF(B138="","Désignation manquante",IF(NOT(ISNUMBER(D138)),"Prix manquant",IF(E138="","TVA manquante",IF(ISNA(MATCH(E138,p_tva,0)),"Taux de TVA inconnu",IF(AND(F138&lt;&gt;"",ISNA(MATCH(F138,sup_code,0))),"Fournisseur inconnu","OK")))))))</f>
        <v/>
      </c>
    </row>
    <row r="139">
      <c r="A139" s="63" t="n"/>
      <c r="B139" s="63" t="n"/>
      <c r="C139" s="65" t="n"/>
      <c r="D139" s="69" t="n"/>
      <c r="E139" s="71" t="n"/>
      <c r="F139" s="65" t="n"/>
      <c r="G139" s="74" t="str">
        <f>IF(A139="","",SUMIFS(po_qty,po_ref,A139,po_status,"&lt;&gt;Annulé"))</f>
        <v/>
      </c>
      <c r="H139" s="74" t="str">
        <f>IF(A139="","",SUMIFS(po_rcv,po_ref,A139,po_status,"&lt;&gt;Annulé"))</f>
        <v/>
      </c>
      <c r="I139" s="74" t="str">
        <f>IF(A139="","",SUMIFS(po_rest,po_ref,A139,po_key,"&gt;0"))</f>
        <v/>
      </c>
      <c r="J139" s="70" t="str">
        <f>IF(A139="","",IF(COUNTIFS(po_ref,A139,po_status,"&lt;&gt;Annulé")=0,"",INDEX(po_price,SUMPRODUCT(MAX((po_ref=A139)*(po_status&lt;&gt;"Annulé")*(ROW(po_ref)-5))))))</f>
        <v/>
      </c>
      <c r="K139" s="67" t="str">
        <f>IF(A139="","",IF(COUNTIF(art_ref,A139)&gt;1,"Référence en double",IF(B139="","Désignation manquante",IF(NOT(ISNUMBER(D139)),"Prix manquant",IF(E139="","TVA manquante",IF(ISNA(MATCH(E139,p_tva,0)),"Taux de TVA inconnu",IF(AND(F139&lt;&gt;"",ISNA(MATCH(F139,sup_code,0))),"Fournisseur inconnu","OK")))))))</f>
        <v/>
      </c>
    </row>
    <row r="140">
      <c r="A140" s="63" t="n"/>
      <c r="B140" s="63" t="n"/>
      <c r="C140" s="65" t="n"/>
      <c r="D140" s="69" t="n"/>
      <c r="E140" s="71" t="n"/>
      <c r="F140" s="65" t="n"/>
      <c r="G140" s="74" t="str">
        <f>IF(A140="","",SUMIFS(po_qty,po_ref,A140,po_status,"&lt;&gt;Annulé"))</f>
        <v/>
      </c>
      <c r="H140" s="74" t="str">
        <f>IF(A140="","",SUMIFS(po_rcv,po_ref,A140,po_status,"&lt;&gt;Annulé"))</f>
        <v/>
      </c>
      <c r="I140" s="74" t="str">
        <f>IF(A140="","",SUMIFS(po_rest,po_ref,A140,po_key,"&gt;0"))</f>
        <v/>
      </c>
      <c r="J140" s="70" t="str">
        <f>IF(A140="","",IF(COUNTIFS(po_ref,A140,po_status,"&lt;&gt;Annulé")=0,"",INDEX(po_price,SUMPRODUCT(MAX((po_ref=A140)*(po_status&lt;&gt;"Annulé")*(ROW(po_ref)-5))))))</f>
        <v/>
      </c>
      <c r="K140" s="67" t="str">
        <f>IF(A140="","",IF(COUNTIF(art_ref,A140)&gt;1,"Référence en double",IF(B140="","Désignation manquante",IF(NOT(ISNUMBER(D140)),"Prix manquant",IF(E140="","TVA manquante",IF(ISNA(MATCH(E140,p_tva,0)),"Taux de TVA inconnu",IF(AND(F140&lt;&gt;"",ISNA(MATCH(F140,sup_code,0))),"Fournisseur inconnu","OK")))))))</f>
        <v/>
      </c>
    </row>
    <row r="141">
      <c r="A141" s="63" t="n"/>
      <c r="B141" s="63" t="n"/>
      <c r="C141" s="65" t="n"/>
      <c r="D141" s="69" t="n"/>
      <c r="E141" s="71" t="n"/>
      <c r="F141" s="65" t="n"/>
      <c r="G141" s="74" t="str">
        <f>IF(A141="","",SUMIFS(po_qty,po_ref,A141,po_status,"&lt;&gt;Annulé"))</f>
        <v/>
      </c>
      <c r="H141" s="74" t="str">
        <f>IF(A141="","",SUMIFS(po_rcv,po_ref,A141,po_status,"&lt;&gt;Annulé"))</f>
        <v/>
      </c>
      <c r="I141" s="74" t="str">
        <f>IF(A141="","",SUMIFS(po_rest,po_ref,A141,po_key,"&gt;0"))</f>
        <v/>
      </c>
      <c r="J141" s="70" t="str">
        <f>IF(A141="","",IF(COUNTIFS(po_ref,A141,po_status,"&lt;&gt;Annulé")=0,"",INDEX(po_price,SUMPRODUCT(MAX((po_ref=A141)*(po_status&lt;&gt;"Annulé")*(ROW(po_ref)-5))))))</f>
        <v/>
      </c>
      <c r="K141" s="67" t="str">
        <f>IF(A141="","",IF(COUNTIF(art_ref,A141)&gt;1,"Référence en double",IF(B141="","Désignation manquante",IF(NOT(ISNUMBER(D141)),"Prix manquant",IF(E141="","TVA manquante",IF(ISNA(MATCH(E141,p_tva,0)),"Taux de TVA inconnu",IF(AND(F141&lt;&gt;"",ISNA(MATCH(F141,sup_code,0))),"Fournisseur inconnu","OK")))))))</f>
        <v/>
      </c>
    </row>
    <row r="142">
      <c r="A142" s="63" t="n"/>
      <c r="B142" s="63" t="n"/>
      <c r="C142" s="65" t="n"/>
      <c r="D142" s="69" t="n"/>
      <c r="E142" s="71" t="n"/>
      <c r="F142" s="65" t="n"/>
      <c r="G142" s="74" t="str">
        <f>IF(A142="","",SUMIFS(po_qty,po_ref,A142,po_status,"&lt;&gt;Annulé"))</f>
        <v/>
      </c>
      <c r="H142" s="74" t="str">
        <f>IF(A142="","",SUMIFS(po_rcv,po_ref,A142,po_status,"&lt;&gt;Annulé"))</f>
        <v/>
      </c>
      <c r="I142" s="74" t="str">
        <f>IF(A142="","",SUMIFS(po_rest,po_ref,A142,po_key,"&gt;0"))</f>
        <v/>
      </c>
      <c r="J142" s="70" t="str">
        <f>IF(A142="","",IF(COUNTIFS(po_ref,A142,po_status,"&lt;&gt;Annulé")=0,"",INDEX(po_price,SUMPRODUCT(MAX((po_ref=A142)*(po_status&lt;&gt;"Annulé")*(ROW(po_ref)-5))))))</f>
        <v/>
      </c>
      <c r="K142" s="67" t="str">
        <f>IF(A142="","",IF(COUNTIF(art_ref,A142)&gt;1,"Référence en double",IF(B142="","Désignation manquante",IF(NOT(ISNUMBER(D142)),"Prix manquant",IF(E142="","TVA manquante",IF(ISNA(MATCH(E142,p_tva,0)),"Taux de TVA inconnu",IF(AND(F142&lt;&gt;"",ISNA(MATCH(F142,sup_code,0))),"Fournisseur inconnu","OK")))))))</f>
        <v/>
      </c>
    </row>
    <row r="143">
      <c r="A143" s="63" t="n"/>
      <c r="B143" s="63" t="n"/>
      <c r="C143" s="65" t="n"/>
      <c r="D143" s="69" t="n"/>
      <c r="E143" s="71" t="n"/>
      <c r="F143" s="65" t="n"/>
      <c r="G143" s="74" t="str">
        <f>IF(A143="","",SUMIFS(po_qty,po_ref,A143,po_status,"&lt;&gt;Annulé"))</f>
        <v/>
      </c>
      <c r="H143" s="74" t="str">
        <f>IF(A143="","",SUMIFS(po_rcv,po_ref,A143,po_status,"&lt;&gt;Annulé"))</f>
        <v/>
      </c>
      <c r="I143" s="74" t="str">
        <f>IF(A143="","",SUMIFS(po_rest,po_ref,A143,po_key,"&gt;0"))</f>
        <v/>
      </c>
      <c r="J143" s="70" t="str">
        <f>IF(A143="","",IF(COUNTIFS(po_ref,A143,po_status,"&lt;&gt;Annulé")=0,"",INDEX(po_price,SUMPRODUCT(MAX((po_ref=A143)*(po_status&lt;&gt;"Annulé")*(ROW(po_ref)-5))))))</f>
        <v/>
      </c>
      <c r="K143" s="67" t="str">
        <f>IF(A143="","",IF(COUNTIF(art_ref,A143)&gt;1,"Référence en double",IF(B143="","Désignation manquante",IF(NOT(ISNUMBER(D143)),"Prix manquant",IF(E143="","TVA manquante",IF(ISNA(MATCH(E143,p_tva,0)),"Taux de TVA inconnu",IF(AND(F143&lt;&gt;"",ISNA(MATCH(F143,sup_code,0))),"Fournisseur inconnu","OK")))))))</f>
        <v/>
      </c>
    </row>
    <row r="144">
      <c r="A144" s="63" t="n"/>
      <c r="B144" s="63" t="n"/>
      <c r="C144" s="65" t="n"/>
      <c r="D144" s="69" t="n"/>
      <c r="E144" s="71" t="n"/>
      <c r="F144" s="65" t="n"/>
      <c r="G144" s="74" t="str">
        <f>IF(A144="","",SUMIFS(po_qty,po_ref,A144,po_status,"&lt;&gt;Annulé"))</f>
        <v/>
      </c>
      <c r="H144" s="74" t="str">
        <f>IF(A144="","",SUMIFS(po_rcv,po_ref,A144,po_status,"&lt;&gt;Annulé"))</f>
        <v/>
      </c>
      <c r="I144" s="74" t="str">
        <f>IF(A144="","",SUMIFS(po_rest,po_ref,A144,po_key,"&gt;0"))</f>
        <v/>
      </c>
      <c r="J144" s="70" t="str">
        <f>IF(A144="","",IF(COUNTIFS(po_ref,A144,po_status,"&lt;&gt;Annulé")=0,"",INDEX(po_price,SUMPRODUCT(MAX((po_ref=A144)*(po_status&lt;&gt;"Annulé")*(ROW(po_ref)-5))))))</f>
        <v/>
      </c>
      <c r="K144" s="67" t="str">
        <f>IF(A144="","",IF(COUNTIF(art_ref,A144)&gt;1,"Référence en double",IF(B144="","Désignation manquante",IF(NOT(ISNUMBER(D144)),"Prix manquant",IF(E144="","TVA manquante",IF(ISNA(MATCH(E144,p_tva,0)),"Taux de TVA inconnu",IF(AND(F144&lt;&gt;"",ISNA(MATCH(F144,sup_code,0))),"Fournisseur inconnu","OK")))))))</f>
        <v/>
      </c>
    </row>
    <row r="145">
      <c r="A145" s="63" t="n"/>
      <c r="B145" s="63" t="n"/>
      <c r="C145" s="65" t="n"/>
      <c r="D145" s="69" t="n"/>
      <c r="E145" s="71" t="n"/>
      <c r="F145" s="65" t="n"/>
      <c r="G145" s="74" t="str">
        <f>IF(A145="","",SUMIFS(po_qty,po_ref,A145,po_status,"&lt;&gt;Annulé"))</f>
        <v/>
      </c>
      <c r="H145" s="74" t="str">
        <f>IF(A145="","",SUMIFS(po_rcv,po_ref,A145,po_status,"&lt;&gt;Annulé"))</f>
        <v/>
      </c>
      <c r="I145" s="74" t="str">
        <f>IF(A145="","",SUMIFS(po_rest,po_ref,A145,po_key,"&gt;0"))</f>
        <v/>
      </c>
      <c r="J145" s="70" t="str">
        <f>IF(A145="","",IF(COUNTIFS(po_ref,A145,po_status,"&lt;&gt;Annulé")=0,"",INDEX(po_price,SUMPRODUCT(MAX((po_ref=A145)*(po_status&lt;&gt;"Annulé")*(ROW(po_ref)-5))))))</f>
        <v/>
      </c>
      <c r="K145" s="67" t="str">
        <f>IF(A145="","",IF(COUNTIF(art_ref,A145)&gt;1,"Référence en double",IF(B145="","Désignation manquante",IF(NOT(ISNUMBER(D145)),"Prix manquant",IF(E145="","TVA manquante",IF(ISNA(MATCH(E145,p_tva,0)),"Taux de TVA inconnu",IF(AND(F145&lt;&gt;"",ISNA(MATCH(F145,sup_code,0))),"Fournisseur inconnu","OK")))))))</f>
        <v/>
      </c>
    </row>
    <row r="146">
      <c r="A146" s="63" t="n"/>
      <c r="B146" s="63" t="n"/>
      <c r="C146" s="65" t="n"/>
      <c r="D146" s="69" t="n"/>
      <c r="E146" s="71" t="n"/>
      <c r="F146" s="65" t="n"/>
      <c r="G146" s="74" t="str">
        <f>IF(A146="","",SUMIFS(po_qty,po_ref,A146,po_status,"&lt;&gt;Annulé"))</f>
        <v/>
      </c>
      <c r="H146" s="74" t="str">
        <f>IF(A146="","",SUMIFS(po_rcv,po_ref,A146,po_status,"&lt;&gt;Annulé"))</f>
        <v/>
      </c>
      <c r="I146" s="74" t="str">
        <f>IF(A146="","",SUMIFS(po_rest,po_ref,A146,po_key,"&gt;0"))</f>
        <v/>
      </c>
      <c r="J146" s="70" t="str">
        <f>IF(A146="","",IF(COUNTIFS(po_ref,A146,po_status,"&lt;&gt;Annulé")=0,"",INDEX(po_price,SUMPRODUCT(MAX((po_ref=A146)*(po_status&lt;&gt;"Annulé")*(ROW(po_ref)-5))))))</f>
        <v/>
      </c>
      <c r="K146" s="67" t="str">
        <f>IF(A146="","",IF(COUNTIF(art_ref,A146)&gt;1,"Référence en double",IF(B146="","Désignation manquante",IF(NOT(ISNUMBER(D146)),"Prix manquant",IF(E146="","TVA manquante",IF(ISNA(MATCH(E146,p_tva,0)),"Taux de TVA inconnu",IF(AND(F146&lt;&gt;"",ISNA(MATCH(F146,sup_code,0))),"Fournisseur inconnu","OK")))))))</f>
        <v/>
      </c>
    </row>
    <row r="147">
      <c r="A147" s="63" t="n"/>
      <c r="B147" s="63" t="n"/>
      <c r="C147" s="65" t="n"/>
      <c r="D147" s="69" t="n"/>
      <c r="E147" s="71" t="n"/>
      <c r="F147" s="65" t="n"/>
      <c r="G147" s="74" t="str">
        <f>IF(A147="","",SUMIFS(po_qty,po_ref,A147,po_status,"&lt;&gt;Annulé"))</f>
        <v/>
      </c>
      <c r="H147" s="74" t="str">
        <f>IF(A147="","",SUMIFS(po_rcv,po_ref,A147,po_status,"&lt;&gt;Annulé"))</f>
        <v/>
      </c>
      <c r="I147" s="74" t="str">
        <f>IF(A147="","",SUMIFS(po_rest,po_ref,A147,po_key,"&gt;0"))</f>
        <v/>
      </c>
      <c r="J147" s="70" t="str">
        <f>IF(A147="","",IF(COUNTIFS(po_ref,A147,po_status,"&lt;&gt;Annulé")=0,"",INDEX(po_price,SUMPRODUCT(MAX((po_ref=A147)*(po_status&lt;&gt;"Annulé")*(ROW(po_ref)-5))))))</f>
        <v/>
      </c>
      <c r="K147" s="67" t="str">
        <f>IF(A147="","",IF(COUNTIF(art_ref,A147)&gt;1,"Référence en double",IF(B147="","Désignation manquante",IF(NOT(ISNUMBER(D147)),"Prix manquant",IF(E147="","TVA manquante",IF(ISNA(MATCH(E147,p_tva,0)),"Taux de TVA inconnu",IF(AND(F147&lt;&gt;"",ISNA(MATCH(F147,sup_code,0))),"Fournisseur inconnu","OK")))))))</f>
        <v/>
      </c>
    </row>
    <row r="148">
      <c r="A148" s="63" t="n"/>
      <c r="B148" s="63" t="n"/>
      <c r="C148" s="65" t="n"/>
      <c r="D148" s="69" t="n"/>
      <c r="E148" s="71" t="n"/>
      <c r="F148" s="65" t="n"/>
      <c r="G148" s="74" t="str">
        <f>IF(A148="","",SUMIFS(po_qty,po_ref,A148,po_status,"&lt;&gt;Annulé"))</f>
        <v/>
      </c>
      <c r="H148" s="74" t="str">
        <f>IF(A148="","",SUMIFS(po_rcv,po_ref,A148,po_status,"&lt;&gt;Annulé"))</f>
        <v/>
      </c>
      <c r="I148" s="74" t="str">
        <f>IF(A148="","",SUMIFS(po_rest,po_ref,A148,po_key,"&gt;0"))</f>
        <v/>
      </c>
      <c r="J148" s="70" t="str">
        <f>IF(A148="","",IF(COUNTIFS(po_ref,A148,po_status,"&lt;&gt;Annulé")=0,"",INDEX(po_price,SUMPRODUCT(MAX((po_ref=A148)*(po_status&lt;&gt;"Annulé")*(ROW(po_ref)-5))))))</f>
        <v/>
      </c>
      <c r="K148" s="67" t="str">
        <f>IF(A148="","",IF(COUNTIF(art_ref,A148)&gt;1,"Référence en double",IF(B148="","Désignation manquante",IF(NOT(ISNUMBER(D148)),"Prix manquant",IF(E148="","TVA manquante",IF(ISNA(MATCH(E148,p_tva,0)),"Taux de TVA inconnu",IF(AND(F148&lt;&gt;"",ISNA(MATCH(F148,sup_code,0))),"Fournisseur inconnu","OK")))))))</f>
        <v/>
      </c>
    </row>
    <row r="149">
      <c r="A149" s="63" t="n"/>
      <c r="B149" s="63" t="n"/>
      <c r="C149" s="65" t="n"/>
      <c r="D149" s="69" t="n"/>
      <c r="E149" s="71" t="n"/>
      <c r="F149" s="65" t="n"/>
      <c r="G149" s="74" t="str">
        <f>IF(A149="","",SUMIFS(po_qty,po_ref,A149,po_status,"&lt;&gt;Annulé"))</f>
        <v/>
      </c>
      <c r="H149" s="74" t="str">
        <f>IF(A149="","",SUMIFS(po_rcv,po_ref,A149,po_status,"&lt;&gt;Annulé"))</f>
        <v/>
      </c>
      <c r="I149" s="74" t="str">
        <f>IF(A149="","",SUMIFS(po_rest,po_ref,A149,po_key,"&gt;0"))</f>
        <v/>
      </c>
      <c r="J149" s="70" t="str">
        <f>IF(A149="","",IF(COUNTIFS(po_ref,A149,po_status,"&lt;&gt;Annulé")=0,"",INDEX(po_price,SUMPRODUCT(MAX((po_ref=A149)*(po_status&lt;&gt;"Annulé")*(ROW(po_ref)-5))))))</f>
        <v/>
      </c>
      <c r="K149" s="67" t="str">
        <f>IF(A149="","",IF(COUNTIF(art_ref,A149)&gt;1,"Référence en double",IF(B149="","Désignation manquante",IF(NOT(ISNUMBER(D149)),"Prix manquant",IF(E149="","TVA manquante",IF(ISNA(MATCH(E149,p_tva,0)),"Taux de TVA inconnu",IF(AND(F149&lt;&gt;"",ISNA(MATCH(F149,sup_code,0))),"Fournisseur inconnu","OK")))))))</f>
        <v/>
      </c>
    </row>
    <row r="150">
      <c r="A150" s="63" t="n"/>
      <c r="B150" s="63" t="n"/>
      <c r="C150" s="65" t="n"/>
      <c r="D150" s="69" t="n"/>
      <c r="E150" s="71" t="n"/>
      <c r="F150" s="65" t="n"/>
      <c r="G150" s="74" t="str">
        <f>IF(A150="","",SUMIFS(po_qty,po_ref,A150,po_status,"&lt;&gt;Annulé"))</f>
        <v/>
      </c>
      <c r="H150" s="74" t="str">
        <f>IF(A150="","",SUMIFS(po_rcv,po_ref,A150,po_status,"&lt;&gt;Annulé"))</f>
        <v/>
      </c>
      <c r="I150" s="74" t="str">
        <f>IF(A150="","",SUMIFS(po_rest,po_ref,A150,po_key,"&gt;0"))</f>
        <v/>
      </c>
      <c r="J150" s="70" t="str">
        <f>IF(A150="","",IF(COUNTIFS(po_ref,A150,po_status,"&lt;&gt;Annulé")=0,"",INDEX(po_price,SUMPRODUCT(MAX((po_ref=A150)*(po_status&lt;&gt;"Annulé")*(ROW(po_ref)-5))))))</f>
        <v/>
      </c>
      <c r="K150" s="67" t="str">
        <f>IF(A150="","",IF(COUNTIF(art_ref,A150)&gt;1,"Référence en double",IF(B150="","Désignation manquante",IF(NOT(ISNUMBER(D150)),"Prix manquant",IF(E150="","TVA manquante",IF(ISNA(MATCH(E150,p_tva,0)),"Taux de TVA inconnu",IF(AND(F150&lt;&gt;"",ISNA(MATCH(F150,sup_code,0))),"Fournisseur inconnu","OK")))))))</f>
        <v/>
      </c>
    </row>
    <row r="151">
      <c r="A151" s="63" t="n"/>
      <c r="B151" s="63" t="n"/>
      <c r="C151" s="65" t="n"/>
      <c r="D151" s="69" t="n"/>
      <c r="E151" s="71" t="n"/>
      <c r="F151" s="65" t="n"/>
      <c r="G151" s="74" t="str">
        <f>IF(A151="","",SUMIFS(po_qty,po_ref,A151,po_status,"&lt;&gt;Annulé"))</f>
        <v/>
      </c>
      <c r="H151" s="74" t="str">
        <f>IF(A151="","",SUMIFS(po_rcv,po_ref,A151,po_status,"&lt;&gt;Annulé"))</f>
        <v/>
      </c>
      <c r="I151" s="74" t="str">
        <f>IF(A151="","",SUMIFS(po_rest,po_ref,A151,po_key,"&gt;0"))</f>
        <v/>
      </c>
      <c r="J151" s="70" t="str">
        <f>IF(A151="","",IF(COUNTIFS(po_ref,A151,po_status,"&lt;&gt;Annulé")=0,"",INDEX(po_price,SUMPRODUCT(MAX((po_ref=A151)*(po_status&lt;&gt;"Annulé")*(ROW(po_ref)-5))))))</f>
        <v/>
      </c>
      <c r="K151" s="67" t="str">
        <f>IF(A151="","",IF(COUNTIF(art_ref,A151)&gt;1,"Référence en double",IF(B151="","Désignation manquante",IF(NOT(ISNUMBER(D151)),"Prix manquant",IF(E151="","TVA manquante",IF(ISNA(MATCH(E151,p_tva,0)),"Taux de TVA inconnu",IF(AND(F151&lt;&gt;"",ISNA(MATCH(F151,sup_code,0))),"Fournisseur inconnu","OK")))))))</f>
        <v/>
      </c>
    </row>
    <row r="152">
      <c r="A152" s="63" t="n"/>
      <c r="B152" s="63" t="n"/>
      <c r="C152" s="65" t="n"/>
      <c r="D152" s="69" t="n"/>
      <c r="E152" s="71" t="n"/>
      <c r="F152" s="65" t="n"/>
      <c r="G152" s="74" t="str">
        <f>IF(A152="","",SUMIFS(po_qty,po_ref,A152,po_status,"&lt;&gt;Annulé"))</f>
        <v/>
      </c>
      <c r="H152" s="74" t="str">
        <f>IF(A152="","",SUMIFS(po_rcv,po_ref,A152,po_status,"&lt;&gt;Annulé"))</f>
        <v/>
      </c>
      <c r="I152" s="74" t="str">
        <f>IF(A152="","",SUMIFS(po_rest,po_ref,A152,po_key,"&gt;0"))</f>
        <v/>
      </c>
      <c r="J152" s="70" t="str">
        <f>IF(A152="","",IF(COUNTIFS(po_ref,A152,po_status,"&lt;&gt;Annulé")=0,"",INDEX(po_price,SUMPRODUCT(MAX((po_ref=A152)*(po_status&lt;&gt;"Annulé")*(ROW(po_ref)-5))))))</f>
        <v/>
      </c>
      <c r="K152" s="67" t="str">
        <f>IF(A152="","",IF(COUNTIF(art_ref,A152)&gt;1,"Référence en double",IF(B152="","Désignation manquante",IF(NOT(ISNUMBER(D152)),"Prix manquant",IF(E152="","TVA manquante",IF(ISNA(MATCH(E152,p_tva,0)),"Taux de TVA inconnu",IF(AND(F152&lt;&gt;"",ISNA(MATCH(F152,sup_code,0))),"Fournisseur inconnu","OK")))))))</f>
        <v/>
      </c>
    </row>
    <row r="153">
      <c r="A153" s="63" t="n"/>
      <c r="B153" s="63" t="n"/>
      <c r="C153" s="65" t="n"/>
      <c r="D153" s="69" t="n"/>
      <c r="E153" s="71" t="n"/>
      <c r="F153" s="65" t="n"/>
      <c r="G153" s="74" t="str">
        <f>IF(A153="","",SUMIFS(po_qty,po_ref,A153,po_status,"&lt;&gt;Annulé"))</f>
        <v/>
      </c>
      <c r="H153" s="74" t="str">
        <f>IF(A153="","",SUMIFS(po_rcv,po_ref,A153,po_status,"&lt;&gt;Annulé"))</f>
        <v/>
      </c>
      <c r="I153" s="74" t="str">
        <f>IF(A153="","",SUMIFS(po_rest,po_ref,A153,po_key,"&gt;0"))</f>
        <v/>
      </c>
      <c r="J153" s="70" t="str">
        <f>IF(A153="","",IF(COUNTIFS(po_ref,A153,po_status,"&lt;&gt;Annulé")=0,"",INDEX(po_price,SUMPRODUCT(MAX((po_ref=A153)*(po_status&lt;&gt;"Annulé")*(ROW(po_ref)-5))))))</f>
        <v/>
      </c>
      <c r="K153" s="67" t="str">
        <f>IF(A153="","",IF(COUNTIF(art_ref,A153)&gt;1,"Référence en double",IF(B153="","Désignation manquante",IF(NOT(ISNUMBER(D153)),"Prix manquant",IF(E153="","TVA manquante",IF(ISNA(MATCH(E153,p_tva,0)),"Taux de TVA inconnu",IF(AND(F153&lt;&gt;"",ISNA(MATCH(F153,sup_code,0))),"Fournisseur inconnu","OK")))))))</f>
        <v/>
      </c>
    </row>
    <row r="154">
      <c r="A154" s="63" t="n"/>
      <c r="B154" s="63" t="n"/>
      <c r="C154" s="65" t="n"/>
      <c r="D154" s="69" t="n"/>
      <c r="E154" s="71" t="n"/>
      <c r="F154" s="65" t="n"/>
      <c r="G154" s="74" t="str">
        <f>IF(A154="","",SUMIFS(po_qty,po_ref,A154,po_status,"&lt;&gt;Annulé"))</f>
        <v/>
      </c>
      <c r="H154" s="74" t="str">
        <f>IF(A154="","",SUMIFS(po_rcv,po_ref,A154,po_status,"&lt;&gt;Annulé"))</f>
        <v/>
      </c>
      <c r="I154" s="74" t="str">
        <f>IF(A154="","",SUMIFS(po_rest,po_ref,A154,po_key,"&gt;0"))</f>
        <v/>
      </c>
      <c r="J154" s="70" t="str">
        <f>IF(A154="","",IF(COUNTIFS(po_ref,A154,po_status,"&lt;&gt;Annulé")=0,"",INDEX(po_price,SUMPRODUCT(MAX((po_ref=A154)*(po_status&lt;&gt;"Annulé")*(ROW(po_ref)-5))))))</f>
        <v/>
      </c>
      <c r="K154" s="67" t="str">
        <f>IF(A154="","",IF(COUNTIF(art_ref,A154)&gt;1,"Référence en double",IF(B154="","Désignation manquante",IF(NOT(ISNUMBER(D154)),"Prix manquant",IF(E154="","TVA manquante",IF(ISNA(MATCH(E154,p_tva,0)),"Taux de TVA inconnu",IF(AND(F154&lt;&gt;"",ISNA(MATCH(F154,sup_code,0))),"Fournisseur inconnu","OK")))))))</f>
        <v/>
      </c>
    </row>
    <row r="155">
      <c r="A155" s="63" t="n"/>
      <c r="B155" s="63" t="n"/>
      <c r="C155" s="65" t="n"/>
      <c r="D155" s="69" t="n"/>
      <c r="E155" s="71" t="n"/>
      <c r="F155" s="65" t="n"/>
      <c r="G155" s="74" t="str">
        <f>IF(A155="","",SUMIFS(po_qty,po_ref,A155,po_status,"&lt;&gt;Annulé"))</f>
        <v/>
      </c>
      <c r="H155" s="74" t="str">
        <f>IF(A155="","",SUMIFS(po_rcv,po_ref,A155,po_status,"&lt;&gt;Annulé"))</f>
        <v/>
      </c>
      <c r="I155" s="74" t="str">
        <f>IF(A155="","",SUMIFS(po_rest,po_ref,A155,po_key,"&gt;0"))</f>
        <v/>
      </c>
      <c r="J155" s="70" t="str">
        <f>IF(A155="","",IF(COUNTIFS(po_ref,A155,po_status,"&lt;&gt;Annulé")=0,"",INDEX(po_price,SUMPRODUCT(MAX((po_ref=A155)*(po_status&lt;&gt;"Annulé")*(ROW(po_ref)-5))))))</f>
        <v/>
      </c>
      <c r="K155" s="67" t="str">
        <f>IF(A155="","",IF(COUNTIF(art_ref,A155)&gt;1,"Référence en double",IF(B155="","Désignation manquante",IF(NOT(ISNUMBER(D155)),"Prix manquant",IF(E155="","TVA manquante",IF(ISNA(MATCH(E155,p_tva,0)),"Taux de TVA inconnu",IF(AND(F155&lt;&gt;"",ISNA(MATCH(F155,sup_code,0))),"Fournisseur inconnu","OK")))))))</f>
        <v/>
      </c>
    </row>
    <row r="156">
      <c r="A156" s="63" t="n"/>
      <c r="B156" s="63" t="n"/>
      <c r="C156" s="65" t="n"/>
      <c r="D156" s="69" t="n"/>
      <c r="E156" s="71" t="n"/>
      <c r="F156" s="65" t="n"/>
      <c r="G156" s="74" t="str">
        <f>IF(A156="","",SUMIFS(po_qty,po_ref,A156,po_status,"&lt;&gt;Annulé"))</f>
        <v/>
      </c>
      <c r="H156" s="74" t="str">
        <f>IF(A156="","",SUMIFS(po_rcv,po_ref,A156,po_status,"&lt;&gt;Annulé"))</f>
        <v/>
      </c>
      <c r="I156" s="74" t="str">
        <f>IF(A156="","",SUMIFS(po_rest,po_ref,A156,po_key,"&gt;0"))</f>
        <v/>
      </c>
      <c r="J156" s="70" t="str">
        <f>IF(A156="","",IF(COUNTIFS(po_ref,A156,po_status,"&lt;&gt;Annulé")=0,"",INDEX(po_price,SUMPRODUCT(MAX((po_ref=A156)*(po_status&lt;&gt;"Annulé")*(ROW(po_ref)-5))))))</f>
        <v/>
      </c>
      <c r="K156" s="67" t="str">
        <f>IF(A156="","",IF(COUNTIF(art_ref,A156)&gt;1,"Référence en double",IF(B156="","Désignation manquante",IF(NOT(ISNUMBER(D156)),"Prix manquant",IF(E156="","TVA manquante",IF(ISNA(MATCH(E156,p_tva,0)),"Taux de TVA inconnu",IF(AND(F156&lt;&gt;"",ISNA(MATCH(F156,sup_code,0))),"Fournisseur inconnu","OK")))))))</f>
        <v/>
      </c>
    </row>
    <row r="157">
      <c r="A157" s="63" t="n"/>
      <c r="B157" s="63" t="n"/>
      <c r="C157" s="65" t="n"/>
      <c r="D157" s="69" t="n"/>
      <c r="E157" s="71" t="n"/>
      <c r="F157" s="65" t="n"/>
      <c r="G157" s="74" t="str">
        <f>IF(A157="","",SUMIFS(po_qty,po_ref,A157,po_status,"&lt;&gt;Annulé"))</f>
        <v/>
      </c>
      <c r="H157" s="74" t="str">
        <f>IF(A157="","",SUMIFS(po_rcv,po_ref,A157,po_status,"&lt;&gt;Annulé"))</f>
        <v/>
      </c>
      <c r="I157" s="74" t="str">
        <f>IF(A157="","",SUMIFS(po_rest,po_ref,A157,po_key,"&gt;0"))</f>
        <v/>
      </c>
      <c r="J157" s="70" t="str">
        <f>IF(A157="","",IF(COUNTIFS(po_ref,A157,po_status,"&lt;&gt;Annulé")=0,"",INDEX(po_price,SUMPRODUCT(MAX((po_ref=A157)*(po_status&lt;&gt;"Annulé")*(ROW(po_ref)-5))))))</f>
        <v/>
      </c>
      <c r="K157" s="67" t="str">
        <f>IF(A157="","",IF(COUNTIF(art_ref,A157)&gt;1,"Référence en double",IF(B157="","Désignation manquante",IF(NOT(ISNUMBER(D157)),"Prix manquant",IF(E157="","TVA manquante",IF(ISNA(MATCH(E157,p_tva,0)),"Taux de TVA inconnu",IF(AND(F157&lt;&gt;"",ISNA(MATCH(F157,sup_code,0))),"Fournisseur inconnu","OK")))))))</f>
        <v/>
      </c>
    </row>
    <row r="158">
      <c r="A158" s="63" t="n"/>
      <c r="B158" s="63" t="n"/>
      <c r="C158" s="65" t="n"/>
      <c r="D158" s="69" t="n"/>
      <c r="E158" s="71" t="n"/>
      <c r="F158" s="65" t="n"/>
      <c r="G158" s="74" t="str">
        <f>IF(A158="","",SUMIFS(po_qty,po_ref,A158,po_status,"&lt;&gt;Annulé"))</f>
        <v/>
      </c>
      <c r="H158" s="74" t="str">
        <f>IF(A158="","",SUMIFS(po_rcv,po_ref,A158,po_status,"&lt;&gt;Annulé"))</f>
        <v/>
      </c>
      <c r="I158" s="74" t="str">
        <f>IF(A158="","",SUMIFS(po_rest,po_ref,A158,po_key,"&gt;0"))</f>
        <v/>
      </c>
      <c r="J158" s="70" t="str">
        <f>IF(A158="","",IF(COUNTIFS(po_ref,A158,po_status,"&lt;&gt;Annulé")=0,"",INDEX(po_price,SUMPRODUCT(MAX((po_ref=A158)*(po_status&lt;&gt;"Annulé")*(ROW(po_ref)-5))))))</f>
        <v/>
      </c>
      <c r="K158" s="67" t="str">
        <f>IF(A158="","",IF(COUNTIF(art_ref,A158)&gt;1,"Référence en double",IF(B158="","Désignation manquante",IF(NOT(ISNUMBER(D158)),"Prix manquant",IF(E158="","TVA manquante",IF(ISNA(MATCH(E158,p_tva,0)),"Taux de TVA inconnu",IF(AND(F158&lt;&gt;"",ISNA(MATCH(F158,sup_code,0))),"Fournisseur inconnu","OK")))))))</f>
        <v/>
      </c>
    </row>
    <row r="159">
      <c r="A159" s="63" t="n"/>
      <c r="B159" s="63" t="n"/>
      <c r="C159" s="65" t="n"/>
      <c r="D159" s="69" t="n"/>
      <c r="E159" s="71" t="n"/>
      <c r="F159" s="65" t="n"/>
      <c r="G159" s="74" t="str">
        <f>IF(A159="","",SUMIFS(po_qty,po_ref,A159,po_status,"&lt;&gt;Annulé"))</f>
        <v/>
      </c>
      <c r="H159" s="74" t="str">
        <f>IF(A159="","",SUMIFS(po_rcv,po_ref,A159,po_status,"&lt;&gt;Annulé"))</f>
        <v/>
      </c>
      <c r="I159" s="74" t="str">
        <f>IF(A159="","",SUMIFS(po_rest,po_ref,A159,po_key,"&gt;0"))</f>
        <v/>
      </c>
      <c r="J159" s="70" t="str">
        <f>IF(A159="","",IF(COUNTIFS(po_ref,A159,po_status,"&lt;&gt;Annulé")=0,"",INDEX(po_price,SUMPRODUCT(MAX((po_ref=A159)*(po_status&lt;&gt;"Annulé")*(ROW(po_ref)-5))))))</f>
        <v/>
      </c>
      <c r="K159" s="67" t="str">
        <f>IF(A159="","",IF(COUNTIF(art_ref,A159)&gt;1,"Référence en double",IF(B159="","Désignation manquante",IF(NOT(ISNUMBER(D159)),"Prix manquant",IF(E159="","TVA manquante",IF(ISNA(MATCH(E159,p_tva,0)),"Taux de TVA inconnu",IF(AND(F159&lt;&gt;"",ISNA(MATCH(F159,sup_code,0))),"Fournisseur inconnu","OK")))))))</f>
        <v/>
      </c>
    </row>
    <row r="160">
      <c r="A160" s="63" t="n"/>
      <c r="B160" s="63" t="n"/>
      <c r="C160" s="65" t="n"/>
      <c r="D160" s="69" t="n"/>
      <c r="E160" s="71" t="n"/>
      <c r="F160" s="65" t="n"/>
      <c r="G160" s="74" t="str">
        <f>IF(A160="","",SUMIFS(po_qty,po_ref,A160,po_status,"&lt;&gt;Annulé"))</f>
        <v/>
      </c>
      <c r="H160" s="74" t="str">
        <f>IF(A160="","",SUMIFS(po_rcv,po_ref,A160,po_status,"&lt;&gt;Annulé"))</f>
        <v/>
      </c>
      <c r="I160" s="74" t="str">
        <f>IF(A160="","",SUMIFS(po_rest,po_ref,A160,po_key,"&gt;0"))</f>
        <v/>
      </c>
      <c r="J160" s="70" t="str">
        <f>IF(A160="","",IF(COUNTIFS(po_ref,A160,po_status,"&lt;&gt;Annulé")=0,"",INDEX(po_price,SUMPRODUCT(MAX((po_ref=A160)*(po_status&lt;&gt;"Annulé")*(ROW(po_ref)-5))))))</f>
        <v/>
      </c>
      <c r="K160" s="67" t="str">
        <f>IF(A160="","",IF(COUNTIF(art_ref,A160)&gt;1,"Référence en double",IF(B160="","Désignation manquante",IF(NOT(ISNUMBER(D160)),"Prix manquant",IF(E160="","TVA manquante",IF(ISNA(MATCH(E160,p_tva,0)),"Taux de TVA inconnu",IF(AND(F160&lt;&gt;"",ISNA(MATCH(F160,sup_code,0))),"Fournisseur inconnu","OK")))))))</f>
        <v/>
      </c>
    </row>
    <row r="161">
      <c r="A161" s="63" t="n"/>
      <c r="B161" s="63" t="n"/>
      <c r="C161" s="65" t="n"/>
      <c r="D161" s="69" t="n"/>
      <c r="E161" s="71" t="n"/>
      <c r="F161" s="65" t="n"/>
      <c r="G161" s="74" t="str">
        <f>IF(A161="","",SUMIFS(po_qty,po_ref,A161,po_status,"&lt;&gt;Annulé"))</f>
        <v/>
      </c>
      <c r="H161" s="74" t="str">
        <f>IF(A161="","",SUMIFS(po_rcv,po_ref,A161,po_status,"&lt;&gt;Annulé"))</f>
        <v/>
      </c>
      <c r="I161" s="74" t="str">
        <f>IF(A161="","",SUMIFS(po_rest,po_ref,A161,po_key,"&gt;0"))</f>
        <v/>
      </c>
      <c r="J161" s="70" t="str">
        <f>IF(A161="","",IF(COUNTIFS(po_ref,A161,po_status,"&lt;&gt;Annulé")=0,"",INDEX(po_price,SUMPRODUCT(MAX((po_ref=A161)*(po_status&lt;&gt;"Annulé")*(ROW(po_ref)-5))))))</f>
        <v/>
      </c>
      <c r="K161" s="67" t="str">
        <f>IF(A161="","",IF(COUNTIF(art_ref,A161)&gt;1,"Référence en double",IF(B161="","Désignation manquante",IF(NOT(ISNUMBER(D161)),"Prix manquant",IF(E161="","TVA manquante",IF(ISNA(MATCH(E161,p_tva,0)),"Taux de TVA inconnu",IF(AND(F161&lt;&gt;"",ISNA(MATCH(F161,sup_code,0))),"Fournisseur inconnu","OK")))))))</f>
        <v/>
      </c>
    </row>
    <row r="162">
      <c r="A162" s="63" t="n"/>
      <c r="B162" s="63" t="n"/>
      <c r="C162" s="65" t="n"/>
      <c r="D162" s="69" t="n"/>
      <c r="E162" s="71" t="n"/>
      <c r="F162" s="65" t="n"/>
      <c r="G162" s="74" t="str">
        <f>IF(A162="","",SUMIFS(po_qty,po_ref,A162,po_status,"&lt;&gt;Annulé"))</f>
        <v/>
      </c>
      <c r="H162" s="74" t="str">
        <f>IF(A162="","",SUMIFS(po_rcv,po_ref,A162,po_status,"&lt;&gt;Annulé"))</f>
        <v/>
      </c>
      <c r="I162" s="74" t="str">
        <f>IF(A162="","",SUMIFS(po_rest,po_ref,A162,po_key,"&gt;0"))</f>
        <v/>
      </c>
      <c r="J162" s="70" t="str">
        <f>IF(A162="","",IF(COUNTIFS(po_ref,A162,po_status,"&lt;&gt;Annulé")=0,"",INDEX(po_price,SUMPRODUCT(MAX((po_ref=A162)*(po_status&lt;&gt;"Annulé")*(ROW(po_ref)-5))))))</f>
        <v/>
      </c>
      <c r="K162" s="67" t="str">
        <f>IF(A162="","",IF(COUNTIF(art_ref,A162)&gt;1,"Référence en double",IF(B162="","Désignation manquante",IF(NOT(ISNUMBER(D162)),"Prix manquant",IF(E162="","TVA manquante",IF(ISNA(MATCH(E162,p_tva,0)),"Taux de TVA inconnu",IF(AND(F162&lt;&gt;"",ISNA(MATCH(F162,sup_code,0))),"Fournisseur inconnu","OK")))))))</f>
        <v/>
      </c>
    </row>
    <row r="163">
      <c r="A163" s="63" t="n"/>
      <c r="B163" s="63" t="n"/>
      <c r="C163" s="65" t="n"/>
      <c r="D163" s="69" t="n"/>
      <c r="E163" s="71" t="n"/>
      <c r="F163" s="65" t="n"/>
      <c r="G163" s="74" t="str">
        <f>IF(A163="","",SUMIFS(po_qty,po_ref,A163,po_status,"&lt;&gt;Annulé"))</f>
        <v/>
      </c>
      <c r="H163" s="74" t="str">
        <f>IF(A163="","",SUMIFS(po_rcv,po_ref,A163,po_status,"&lt;&gt;Annulé"))</f>
        <v/>
      </c>
      <c r="I163" s="74" t="str">
        <f>IF(A163="","",SUMIFS(po_rest,po_ref,A163,po_key,"&gt;0"))</f>
        <v/>
      </c>
      <c r="J163" s="70" t="str">
        <f>IF(A163="","",IF(COUNTIFS(po_ref,A163,po_status,"&lt;&gt;Annulé")=0,"",INDEX(po_price,SUMPRODUCT(MAX((po_ref=A163)*(po_status&lt;&gt;"Annulé")*(ROW(po_ref)-5))))))</f>
        <v/>
      </c>
      <c r="K163" s="67" t="str">
        <f>IF(A163="","",IF(COUNTIF(art_ref,A163)&gt;1,"Référence en double",IF(B163="","Désignation manquante",IF(NOT(ISNUMBER(D163)),"Prix manquant",IF(E163="","TVA manquante",IF(ISNA(MATCH(E163,p_tva,0)),"Taux de TVA inconnu",IF(AND(F163&lt;&gt;"",ISNA(MATCH(F163,sup_code,0))),"Fournisseur inconnu","OK")))))))</f>
        <v/>
      </c>
    </row>
    <row r="164">
      <c r="A164" s="63" t="n"/>
      <c r="B164" s="63" t="n"/>
      <c r="C164" s="65" t="n"/>
      <c r="D164" s="69" t="n"/>
      <c r="E164" s="71" t="n"/>
      <c r="F164" s="65" t="n"/>
      <c r="G164" s="74" t="str">
        <f>IF(A164="","",SUMIFS(po_qty,po_ref,A164,po_status,"&lt;&gt;Annulé"))</f>
        <v/>
      </c>
      <c r="H164" s="74" t="str">
        <f>IF(A164="","",SUMIFS(po_rcv,po_ref,A164,po_status,"&lt;&gt;Annulé"))</f>
        <v/>
      </c>
      <c r="I164" s="74" t="str">
        <f>IF(A164="","",SUMIFS(po_rest,po_ref,A164,po_key,"&gt;0"))</f>
        <v/>
      </c>
      <c r="J164" s="70" t="str">
        <f>IF(A164="","",IF(COUNTIFS(po_ref,A164,po_status,"&lt;&gt;Annulé")=0,"",INDEX(po_price,SUMPRODUCT(MAX((po_ref=A164)*(po_status&lt;&gt;"Annulé")*(ROW(po_ref)-5))))))</f>
        <v/>
      </c>
      <c r="K164" s="67" t="str">
        <f>IF(A164="","",IF(COUNTIF(art_ref,A164)&gt;1,"Référence en double",IF(B164="","Désignation manquante",IF(NOT(ISNUMBER(D164)),"Prix manquant",IF(E164="","TVA manquante",IF(ISNA(MATCH(E164,p_tva,0)),"Taux de TVA inconnu",IF(AND(F164&lt;&gt;"",ISNA(MATCH(F164,sup_code,0))),"Fournisseur inconnu","OK")))))))</f>
        <v/>
      </c>
    </row>
    <row r="165">
      <c r="A165" s="63" t="n"/>
      <c r="B165" s="63" t="n"/>
      <c r="C165" s="65" t="n"/>
      <c r="D165" s="69" t="n"/>
      <c r="E165" s="71" t="n"/>
      <c r="F165" s="65" t="n"/>
      <c r="G165" s="74" t="str">
        <f>IF(A165="","",SUMIFS(po_qty,po_ref,A165,po_status,"&lt;&gt;Annulé"))</f>
        <v/>
      </c>
      <c r="H165" s="74" t="str">
        <f>IF(A165="","",SUMIFS(po_rcv,po_ref,A165,po_status,"&lt;&gt;Annulé"))</f>
        <v/>
      </c>
      <c r="I165" s="74" t="str">
        <f>IF(A165="","",SUMIFS(po_rest,po_ref,A165,po_key,"&gt;0"))</f>
        <v/>
      </c>
      <c r="J165" s="70" t="str">
        <f>IF(A165="","",IF(COUNTIFS(po_ref,A165,po_status,"&lt;&gt;Annulé")=0,"",INDEX(po_price,SUMPRODUCT(MAX((po_ref=A165)*(po_status&lt;&gt;"Annulé")*(ROW(po_ref)-5))))))</f>
        <v/>
      </c>
      <c r="K165" s="67" t="str">
        <f>IF(A165="","",IF(COUNTIF(art_ref,A165)&gt;1,"Référence en double",IF(B165="","Désignation manquante",IF(NOT(ISNUMBER(D165)),"Prix manquant",IF(E165="","TVA manquante",IF(ISNA(MATCH(E165,p_tva,0)),"Taux de TVA inconnu",IF(AND(F165&lt;&gt;"",ISNA(MATCH(F165,sup_code,0))),"Fournisseur inconnu","OK")))))))</f>
        <v/>
      </c>
    </row>
    <row r="166">
      <c r="A166" s="63" t="n"/>
      <c r="B166" s="63" t="n"/>
      <c r="C166" s="65" t="n"/>
      <c r="D166" s="69" t="n"/>
      <c r="E166" s="71" t="n"/>
      <c r="F166" s="65" t="n"/>
      <c r="G166" s="74" t="str">
        <f>IF(A166="","",SUMIFS(po_qty,po_ref,A166,po_status,"&lt;&gt;Annulé"))</f>
        <v/>
      </c>
      <c r="H166" s="74" t="str">
        <f>IF(A166="","",SUMIFS(po_rcv,po_ref,A166,po_status,"&lt;&gt;Annulé"))</f>
        <v/>
      </c>
      <c r="I166" s="74" t="str">
        <f>IF(A166="","",SUMIFS(po_rest,po_ref,A166,po_key,"&gt;0"))</f>
        <v/>
      </c>
      <c r="J166" s="70" t="str">
        <f>IF(A166="","",IF(COUNTIFS(po_ref,A166,po_status,"&lt;&gt;Annulé")=0,"",INDEX(po_price,SUMPRODUCT(MAX((po_ref=A166)*(po_status&lt;&gt;"Annulé")*(ROW(po_ref)-5))))))</f>
        <v/>
      </c>
      <c r="K166" s="67" t="str">
        <f>IF(A166="","",IF(COUNTIF(art_ref,A166)&gt;1,"Référence en double",IF(B166="","Désignation manquante",IF(NOT(ISNUMBER(D166)),"Prix manquant",IF(E166="","TVA manquante",IF(ISNA(MATCH(E166,p_tva,0)),"Taux de TVA inconnu",IF(AND(F166&lt;&gt;"",ISNA(MATCH(F166,sup_code,0))),"Fournisseur inconnu","OK")))))))</f>
        <v/>
      </c>
    </row>
    <row r="167">
      <c r="A167" s="63" t="n"/>
      <c r="B167" s="63" t="n"/>
      <c r="C167" s="65" t="n"/>
      <c r="D167" s="69" t="n"/>
      <c r="E167" s="71" t="n"/>
      <c r="F167" s="65" t="n"/>
      <c r="G167" s="74" t="str">
        <f>IF(A167="","",SUMIFS(po_qty,po_ref,A167,po_status,"&lt;&gt;Annulé"))</f>
        <v/>
      </c>
      <c r="H167" s="74" t="str">
        <f>IF(A167="","",SUMIFS(po_rcv,po_ref,A167,po_status,"&lt;&gt;Annulé"))</f>
        <v/>
      </c>
      <c r="I167" s="74" t="str">
        <f>IF(A167="","",SUMIFS(po_rest,po_ref,A167,po_key,"&gt;0"))</f>
        <v/>
      </c>
      <c r="J167" s="70" t="str">
        <f>IF(A167="","",IF(COUNTIFS(po_ref,A167,po_status,"&lt;&gt;Annulé")=0,"",INDEX(po_price,SUMPRODUCT(MAX((po_ref=A167)*(po_status&lt;&gt;"Annulé")*(ROW(po_ref)-5))))))</f>
        <v/>
      </c>
      <c r="K167" s="67" t="str">
        <f>IF(A167="","",IF(COUNTIF(art_ref,A167)&gt;1,"Référence en double",IF(B167="","Désignation manquante",IF(NOT(ISNUMBER(D167)),"Prix manquant",IF(E167="","TVA manquante",IF(ISNA(MATCH(E167,p_tva,0)),"Taux de TVA inconnu",IF(AND(F167&lt;&gt;"",ISNA(MATCH(F167,sup_code,0))),"Fournisseur inconnu","OK")))))))</f>
        <v/>
      </c>
    </row>
    <row r="168">
      <c r="A168" s="63" t="n"/>
      <c r="B168" s="63" t="n"/>
      <c r="C168" s="65" t="n"/>
      <c r="D168" s="69" t="n"/>
      <c r="E168" s="71" t="n"/>
      <c r="F168" s="65" t="n"/>
      <c r="G168" s="74" t="str">
        <f>IF(A168="","",SUMIFS(po_qty,po_ref,A168,po_status,"&lt;&gt;Annulé"))</f>
        <v/>
      </c>
      <c r="H168" s="74" t="str">
        <f>IF(A168="","",SUMIFS(po_rcv,po_ref,A168,po_status,"&lt;&gt;Annulé"))</f>
        <v/>
      </c>
      <c r="I168" s="74" t="str">
        <f>IF(A168="","",SUMIFS(po_rest,po_ref,A168,po_key,"&gt;0"))</f>
        <v/>
      </c>
      <c r="J168" s="70" t="str">
        <f>IF(A168="","",IF(COUNTIFS(po_ref,A168,po_status,"&lt;&gt;Annulé")=0,"",INDEX(po_price,SUMPRODUCT(MAX((po_ref=A168)*(po_status&lt;&gt;"Annulé")*(ROW(po_ref)-5))))))</f>
        <v/>
      </c>
      <c r="K168" s="67" t="str">
        <f>IF(A168="","",IF(COUNTIF(art_ref,A168)&gt;1,"Référence en double",IF(B168="","Désignation manquante",IF(NOT(ISNUMBER(D168)),"Prix manquant",IF(E168="","TVA manquante",IF(ISNA(MATCH(E168,p_tva,0)),"Taux de TVA inconnu",IF(AND(F168&lt;&gt;"",ISNA(MATCH(F168,sup_code,0))),"Fournisseur inconnu","OK")))))))</f>
        <v/>
      </c>
    </row>
    <row r="169">
      <c r="A169" s="63" t="n"/>
      <c r="B169" s="63" t="n"/>
      <c r="C169" s="65" t="n"/>
      <c r="D169" s="69" t="n"/>
      <c r="E169" s="71" t="n"/>
      <c r="F169" s="65" t="n"/>
      <c r="G169" s="74" t="str">
        <f>IF(A169="","",SUMIFS(po_qty,po_ref,A169,po_status,"&lt;&gt;Annulé"))</f>
        <v/>
      </c>
      <c r="H169" s="74" t="str">
        <f>IF(A169="","",SUMIFS(po_rcv,po_ref,A169,po_status,"&lt;&gt;Annulé"))</f>
        <v/>
      </c>
      <c r="I169" s="74" t="str">
        <f>IF(A169="","",SUMIFS(po_rest,po_ref,A169,po_key,"&gt;0"))</f>
        <v/>
      </c>
      <c r="J169" s="70" t="str">
        <f>IF(A169="","",IF(COUNTIFS(po_ref,A169,po_status,"&lt;&gt;Annulé")=0,"",INDEX(po_price,SUMPRODUCT(MAX((po_ref=A169)*(po_status&lt;&gt;"Annulé")*(ROW(po_ref)-5))))))</f>
        <v/>
      </c>
      <c r="K169" s="67" t="str">
        <f>IF(A169="","",IF(COUNTIF(art_ref,A169)&gt;1,"Référence en double",IF(B169="","Désignation manquante",IF(NOT(ISNUMBER(D169)),"Prix manquant",IF(E169="","TVA manquante",IF(ISNA(MATCH(E169,p_tva,0)),"Taux de TVA inconnu",IF(AND(F169&lt;&gt;"",ISNA(MATCH(F169,sup_code,0))),"Fournisseur inconnu","OK")))))))</f>
        <v/>
      </c>
    </row>
    <row r="170">
      <c r="A170" s="63" t="n"/>
      <c r="B170" s="63" t="n"/>
      <c r="C170" s="65" t="n"/>
      <c r="D170" s="69" t="n"/>
      <c r="E170" s="71" t="n"/>
      <c r="F170" s="65" t="n"/>
      <c r="G170" s="74" t="str">
        <f>IF(A170="","",SUMIFS(po_qty,po_ref,A170,po_status,"&lt;&gt;Annulé"))</f>
        <v/>
      </c>
      <c r="H170" s="74" t="str">
        <f>IF(A170="","",SUMIFS(po_rcv,po_ref,A170,po_status,"&lt;&gt;Annulé"))</f>
        <v/>
      </c>
      <c r="I170" s="74" t="str">
        <f>IF(A170="","",SUMIFS(po_rest,po_ref,A170,po_key,"&gt;0"))</f>
        <v/>
      </c>
      <c r="J170" s="70" t="str">
        <f>IF(A170="","",IF(COUNTIFS(po_ref,A170,po_status,"&lt;&gt;Annulé")=0,"",INDEX(po_price,SUMPRODUCT(MAX((po_ref=A170)*(po_status&lt;&gt;"Annulé")*(ROW(po_ref)-5))))))</f>
        <v/>
      </c>
      <c r="K170" s="67" t="str">
        <f>IF(A170="","",IF(COUNTIF(art_ref,A170)&gt;1,"Référence en double",IF(B170="","Désignation manquante",IF(NOT(ISNUMBER(D170)),"Prix manquant",IF(E170="","TVA manquante",IF(ISNA(MATCH(E170,p_tva,0)),"Taux de TVA inconnu",IF(AND(F170&lt;&gt;"",ISNA(MATCH(F170,sup_code,0))),"Fournisseur inconnu","OK")))))))</f>
        <v/>
      </c>
    </row>
    <row r="171">
      <c r="A171" s="63" t="n"/>
      <c r="B171" s="63" t="n"/>
      <c r="C171" s="65" t="n"/>
      <c r="D171" s="69" t="n"/>
      <c r="E171" s="71" t="n"/>
      <c r="F171" s="65" t="n"/>
      <c r="G171" s="74" t="str">
        <f>IF(A171="","",SUMIFS(po_qty,po_ref,A171,po_status,"&lt;&gt;Annulé"))</f>
        <v/>
      </c>
      <c r="H171" s="74" t="str">
        <f>IF(A171="","",SUMIFS(po_rcv,po_ref,A171,po_status,"&lt;&gt;Annulé"))</f>
        <v/>
      </c>
      <c r="I171" s="74" t="str">
        <f>IF(A171="","",SUMIFS(po_rest,po_ref,A171,po_key,"&gt;0"))</f>
        <v/>
      </c>
      <c r="J171" s="70" t="str">
        <f>IF(A171="","",IF(COUNTIFS(po_ref,A171,po_status,"&lt;&gt;Annulé")=0,"",INDEX(po_price,SUMPRODUCT(MAX((po_ref=A171)*(po_status&lt;&gt;"Annulé")*(ROW(po_ref)-5))))))</f>
        <v/>
      </c>
      <c r="K171" s="67" t="str">
        <f>IF(A171="","",IF(COUNTIF(art_ref,A171)&gt;1,"Référence en double",IF(B171="","Désignation manquante",IF(NOT(ISNUMBER(D171)),"Prix manquant",IF(E171="","TVA manquante",IF(ISNA(MATCH(E171,p_tva,0)),"Taux de TVA inconnu",IF(AND(F171&lt;&gt;"",ISNA(MATCH(F171,sup_code,0))),"Fournisseur inconnu","OK")))))))</f>
        <v/>
      </c>
    </row>
    <row r="172">
      <c r="A172" s="63" t="n"/>
      <c r="B172" s="63" t="n"/>
      <c r="C172" s="65" t="n"/>
      <c r="D172" s="69" t="n"/>
      <c r="E172" s="71" t="n"/>
      <c r="F172" s="65" t="n"/>
      <c r="G172" s="74" t="str">
        <f>IF(A172="","",SUMIFS(po_qty,po_ref,A172,po_status,"&lt;&gt;Annulé"))</f>
        <v/>
      </c>
      <c r="H172" s="74" t="str">
        <f>IF(A172="","",SUMIFS(po_rcv,po_ref,A172,po_status,"&lt;&gt;Annulé"))</f>
        <v/>
      </c>
      <c r="I172" s="74" t="str">
        <f>IF(A172="","",SUMIFS(po_rest,po_ref,A172,po_key,"&gt;0"))</f>
        <v/>
      </c>
      <c r="J172" s="70" t="str">
        <f>IF(A172="","",IF(COUNTIFS(po_ref,A172,po_status,"&lt;&gt;Annulé")=0,"",INDEX(po_price,SUMPRODUCT(MAX((po_ref=A172)*(po_status&lt;&gt;"Annulé")*(ROW(po_ref)-5))))))</f>
        <v/>
      </c>
      <c r="K172" s="67" t="str">
        <f>IF(A172="","",IF(COUNTIF(art_ref,A172)&gt;1,"Référence en double",IF(B172="","Désignation manquante",IF(NOT(ISNUMBER(D172)),"Prix manquant",IF(E172="","TVA manquante",IF(ISNA(MATCH(E172,p_tva,0)),"Taux de TVA inconnu",IF(AND(F172&lt;&gt;"",ISNA(MATCH(F172,sup_code,0))),"Fournisseur inconnu","OK")))))))</f>
        <v/>
      </c>
    </row>
    <row r="173">
      <c r="A173" s="63" t="n"/>
      <c r="B173" s="63" t="n"/>
      <c r="C173" s="65" t="n"/>
      <c r="D173" s="69" t="n"/>
      <c r="E173" s="71" t="n"/>
      <c r="F173" s="65" t="n"/>
      <c r="G173" s="74" t="str">
        <f>IF(A173="","",SUMIFS(po_qty,po_ref,A173,po_status,"&lt;&gt;Annulé"))</f>
        <v/>
      </c>
      <c r="H173" s="74" t="str">
        <f>IF(A173="","",SUMIFS(po_rcv,po_ref,A173,po_status,"&lt;&gt;Annulé"))</f>
        <v/>
      </c>
      <c r="I173" s="74" t="str">
        <f>IF(A173="","",SUMIFS(po_rest,po_ref,A173,po_key,"&gt;0"))</f>
        <v/>
      </c>
      <c r="J173" s="70" t="str">
        <f>IF(A173="","",IF(COUNTIFS(po_ref,A173,po_status,"&lt;&gt;Annulé")=0,"",INDEX(po_price,SUMPRODUCT(MAX((po_ref=A173)*(po_status&lt;&gt;"Annulé")*(ROW(po_ref)-5))))))</f>
        <v/>
      </c>
      <c r="K173" s="67" t="str">
        <f>IF(A173="","",IF(COUNTIF(art_ref,A173)&gt;1,"Référence en double",IF(B173="","Désignation manquante",IF(NOT(ISNUMBER(D173)),"Prix manquant",IF(E173="","TVA manquante",IF(ISNA(MATCH(E173,p_tva,0)),"Taux de TVA inconnu",IF(AND(F173&lt;&gt;"",ISNA(MATCH(F173,sup_code,0))),"Fournisseur inconnu","OK")))))))</f>
        <v/>
      </c>
    </row>
    <row r="174">
      <c r="A174" s="63" t="n"/>
      <c r="B174" s="63" t="n"/>
      <c r="C174" s="65" t="n"/>
      <c r="D174" s="69" t="n"/>
      <c r="E174" s="71" t="n"/>
      <c r="F174" s="65" t="n"/>
      <c r="G174" s="74" t="str">
        <f>IF(A174="","",SUMIFS(po_qty,po_ref,A174,po_status,"&lt;&gt;Annulé"))</f>
        <v/>
      </c>
      <c r="H174" s="74" t="str">
        <f>IF(A174="","",SUMIFS(po_rcv,po_ref,A174,po_status,"&lt;&gt;Annulé"))</f>
        <v/>
      </c>
      <c r="I174" s="74" t="str">
        <f>IF(A174="","",SUMIFS(po_rest,po_ref,A174,po_key,"&gt;0"))</f>
        <v/>
      </c>
      <c r="J174" s="70" t="str">
        <f>IF(A174="","",IF(COUNTIFS(po_ref,A174,po_status,"&lt;&gt;Annulé")=0,"",INDEX(po_price,SUMPRODUCT(MAX((po_ref=A174)*(po_status&lt;&gt;"Annulé")*(ROW(po_ref)-5))))))</f>
        <v/>
      </c>
      <c r="K174" s="67" t="str">
        <f>IF(A174="","",IF(COUNTIF(art_ref,A174)&gt;1,"Référence en double",IF(B174="","Désignation manquante",IF(NOT(ISNUMBER(D174)),"Prix manquant",IF(E174="","TVA manquante",IF(ISNA(MATCH(E174,p_tva,0)),"Taux de TVA inconnu",IF(AND(F174&lt;&gt;"",ISNA(MATCH(F174,sup_code,0))),"Fournisseur inconnu","OK")))))))</f>
        <v/>
      </c>
    </row>
    <row r="175">
      <c r="A175" s="63" t="n"/>
      <c r="B175" s="63" t="n"/>
      <c r="C175" s="65" t="n"/>
      <c r="D175" s="69" t="n"/>
      <c r="E175" s="71" t="n"/>
      <c r="F175" s="65" t="n"/>
      <c r="G175" s="74" t="str">
        <f>IF(A175="","",SUMIFS(po_qty,po_ref,A175,po_status,"&lt;&gt;Annulé"))</f>
        <v/>
      </c>
      <c r="H175" s="74" t="str">
        <f>IF(A175="","",SUMIFS(po_rcv,po_ref,A175,po_status,"&lt;&gt;Annulé"))</f>
        <v/>
      </c>
      <c r="I175" s="74" t="str">
        <f>IF(A175="","",SUMIFS(po_rest,po_ref,A175,po_key,"&gt;0"))</f>
        <v/>
      </c>
      <c r="J175" s="70" t="str">
        <f>IF(A175="","",IF(COUNTIFS(po_ref,A175,po_status,"&lt;&gt;Annulé")=0,"",INDEX(po_price,SUMPRODUCT(MAX((po_ref=A175)*(po_status&lt;&gt;"Annulé")*(ROW(po_ref)-5))))))</f>
        <v/>
      </c>
      <c r="K175" s="67" t="str">
        <f>IF(A175="","",IF(COUNTIF(art_ref,A175)&gt;1,"Référence en double",IF(B175="","Désignation manquante",IF(NOT(ISNUMBER(D175)),"Prix manquant",IF(E175="","TVA manquante",IF(ISNA(MATCH(E175,p_tva,0)),"Taux de TVA inconnu",IF(AND(F175&lt;&gt;"",ISNA(MATCH(F175,sup_code,0))),"Fournisseur inconnu","OK")))))))</f>
        <v/>
      </c>
    </row>
    <row r="176">
      <c r="A176" s="63" t="n"/>
      <c r="B176" s="63" t="n"/>
      <c r="C176" s="65" t="n"/>
      <c r="D176" s="69" t="n"/>
      <c r="E176" s="71" t="n"/>
      <c r="F176" s="65" t="n"/>
      <c r="G176" s="74" t="str">
        <f>IF(A176="","",SUMIFS(po_qty,po_ref,A176,po_status,"&lt;&gt;Annulé"))</f>
        <v/>
      </c>
      <c r="H176" s="74" t="str">
        <f>IF(A176="","",SUMIFS(po_rcv,po_ref,A176,po_status,"&lt;&gt;Annulé"))</f>
        <v/>
      </c>
      <c r="I176" s="74" t="str">
        <f>IF(A176="","",SUMIFS(po_rest,po_ref,A176,po_key,"&gt;0"))</f>
        <v/>
      </c>
      <c r="J176" s="70" t="str">
        <f>IF(A176="","",IF(COUNTIFS(po_ref,A176,po_status,"&lt;&gt;Annulé")=0,"",INDEX(po_price,SUMPRODUCT(MAX((po_ref=A176)*(po_status&lt;&gt;"Annulé")*(ROW(po_ref)-5))))))</f>
        <v/>
      </c>
      <c r="K176" s="67" t="str">
        <f>IF(A176="","",IF(COUNTIF(art_ref,A176)&gt;1,"Référence en double",IF(B176="","Désignation manquante",IF(NOT(ISNUMBER(D176)),"Prix manquant",IF(E176="","TVA manquante",IF(ISNA(MATCH(E176,p_tva,0)),"Taux de TVA inconnu",IF(AND(F176&lt;&gt;"",ISNA(MATCH(F176,sup_code,0))),"Fournisseur inconnu","OK")))))))</f>
        <v/>
      </c>
    </row>
    <row r="177">
      <c r="A177" s="63" t="n"/>
      <c r="B177" s="63" t="n"/>
      <c r="C177" s="65" t="n"/>
      <c r="D177" s="69" t="n"/>
      <c r="E177" s="71" t="n"/>
      <c r="F177" s="65" t="n"/>
      <c r="G177" s="74" t="str">
        <f>IF(A177="","",SUMIFS(po_qty,po_ref,A177,po_status,"&lt;&gt;Annulé"))</f>
        <v/>
      </c>
      <c r="H177" s="74" t="str">
        <f>IF(A177="","",SUMIFS(po_rcv,po_ref,A177,po_status,"&lt;&gt;Annulé"))</f>
        <v/>
      </c>
      <c r="I177" s="74" t="str">
        <f>IF(A177="","",SUMIFS(po_rest,po_ref,A177,po_key,"&gt;0"))</f>
        <v/>
      </c>
      <c r="J177" s="70" t="str">
        <f>IF(A177="","",IF(COUNTIFS(po_ref,A177,po_status,"&lt;&gt;Annulé")=0,"",INDEX(po_price,SUMPRODUCT(MAX((po_ref=A177)*(po_status&lt;&gt;"Annulé")*(ROW(po_ref)-5))))))</f>
        <v/>
      </c>
      <c r="K177" s="67" t="str">
        <f>IF(A177="","",IF(COUNTIF(art_ref,A177)&gt;1,"Référence en double",IF(B177="","Désignation manquante",IF(NOT(ISNUMBER(D177)),"Prix manquant",IF(E177="","TVA manquante",IF(ISNA(MATCH(E177,p_tva,0)),"Taux de TVA inconnu",IF(AND(F177&lt;&gt;"",ISNA(MATCH(F177,sup_code,0))),"Fournisseur inconnu","OK")))))))</f>
        <v/>
      </c>
    </row>
    <row r="178">
      <c r="A178" s="63" t="n"/>
      <c r="B178" s="63" t="n"/>
      <c r="C178" s="65" t="n"/>
      <c r="D178" s="69" t="n"/>
      <c r="E178" s="71" t="n"/>
      <c r="F178" s="65" t="n"/>
      <c r="G178" s="74" t="str">
        <f>IF(A178="","",SUMIFS(po_qty,po_ref,A178,po_status,"&lt;&gt;Annulé"))</f>
        <v/>
      </c>
      <c r="H178" s="74" t="str">
        <f>IF(A178="","",SUMIFS(po_rcv,po_ref,A178,po_status,"&lt;&gt;Annulé"))</f>
        <v/>
      </c>
      <c r="I178" s="74" t="str">
        <f>IF(A178="","",SUMIFS(po_rest,po_ref,A178,po_key,"&gt;0"))</f>
        <v/>
      </c>
      <c r="J178" s="70" t="str">
        <f>IF(A178="","",IF(COUNTIFS(po_ref,A178,po_status,"&lt;&gt;Annulé")=0,"",INDEX(po_price,SUMPRODUCT(MAX((po_ref=A178)*(po_status&lt;&gt;"Annulé")*(ROW(po_ref)-5))))))</f>
        <v/>
      </c>
      <c r="K178" s="67" t="str">
        <f>IF(A178="","",IF(COUNTIF(art_ref,A178)&gt;1,"Référence en double",IF(B178="","Désignation manquante",IF(NOT(ISNUMBER(D178)),"Prix manquant",IF(E178="","TVA manquante",IF(ISNA(MATCH(E178,p_tva,0)),"Taux de TVA inconnu",IF(AND(F178&lt;&gt;"",ISNA(MATCH(F178,sup_code,0))),"Fournisseur inconnu","OK")))))))</f>
        <v/>
      </c>
    </row>
    <row r="179">
      <c r="A179" s="63" t="n"/>
      <c r="B179" s="63" t="n"/>
      <c r="C179" s="65" t="n"/>
      <c r="D179" s="69" t="n"/>
      <c r="E179" s="71" t="n"/>
      <c r="F179" s="65" t="n"/>
      <c r="G179" s="74" t="str">
        <f>IF(A179="","",SUMIFS(po_qty,po_ref,A179,po_status,"&lt;&gt;Annulé"))</f>
        <v/>
      </c>
      <c r="H179" s="74" t="str">
        <f>IF(A179="","",SUMIFS(po_rcv,po_ref,A179,po_status,"&lt;&gt;Annulé"))</f>
        <v/>
      </c>
      <c r="I179" s="74" t="str">
        <f>IF(A179="","",SUMIFS(po_rest,po_ref,A179,po_key,"&gt;0"))</f>
        <v/>
      </c>
      <c r="J179" s="70" t="str">
        <f>IF(A179="","",IF(COUNTIFS(po_ref,A179,po_status,"&lt;&gt;Annulé")=0,"",INDEX(po_price,SUMPRODUCT(MAX((po_ref=A179)*(po_status&lt;&gt;"Annulé")*(ROW(po_ref)-5))))))</f>
        <v/>
      </c>
      <c r="K179" s="67" t="str">
        <f>IF(A179="","",IF(COUNTIF(art_ref,A179)&gt;1,"Référence en double",IF(B179="","Désignation manquante",IF(NOT(ISNUMBER(D179)),"Prix manquant",IF(E179="","TVA manquante",IF(ISNA(MATCH(E179,p_tva,0)),"Taux de TVA inconnu",IF(AND(F179&lt;&gt;"",ISNA(MATCH(F179,sup_code,0))),"Fournisseur inconnu","OK")))))))</f>
        <v/>
      </c>
    </row>
    <row r="180">
      <c r="A180" s="63" t="n"/>
      <c r="B180" s="63" t="n"/>
      <c r="C180" s="65" t="n"/>
      <c r="D180" s="69" t="n"/>
      <c r="E180" s="71" t="n"/>
      <c r="F180" s="65" t="n"/>
      <c r="G180" s="74" t="str">
        <f>IF(A180="","",SUMIFS(po_qty,po_ref,A180,po_status,"&lt;&gt;Annulé"))</f>
        <v/>
      </c>
      <c r="H180" s="74" t="str">
        <f>IF(A180="","",SUMIFS(po_rcv,po_ref,A180,po_status,"&lt;&gt;Annulé"))</f>
        <v/>
      </c>
      <c r="I180" s="74" t="str">
        <f>IF(A180="","",SUMIFS(po_rest,po_ref,A180,po_key,"&gt;0"))</f>
        <v/>
      </c>
      <c r="J180" s="70" t="str">
        <f>IF(A180="","",IF(COUNTIFS(po_ref,A180,po_status,"&lt;&gt;Annulé")=0,"",INDEX(po_price,SUMPRODUCT(MAX((po_ref=A180)*(po_status&lt;&gt;"Annulé")*(ROW(po_ref)-5))))))</f>
        <v/>
      </c>
      <c r="K180" s="67" t="str">
        <f>IF(A180="","",IF(COUNTIF(art_ref,A180)&gt;1,"Référence en double",IF(B180="","Désignation manquante",IF(NOT(ISNUMBER(D180)),"Prix manquant",IF(E180="","TVA manquante",IF(ISNA(MATCH(E180,p_tva,0)),"Taux de TVA inconnu",IF(AND(F180&lt;&gt;"",ISNA(MATCH(F180,sup_code,0))),"Fournisseur inconnu","OK")))))))</f>
        <v/>
      </c>
    </row>
    <row r="181">
      <c r="A181" s="63" t="n"/>
      <c r="B181" s="63" t="n"/>
      <c r="C181" s="65" t="n"/>
      <c r="D181" s="69" t="n"/>
      <c r="E181" s="71" t="n"/>
      <c r="F181" s="65" t="n"/>
      <c r="G181" s="74" t="str">
        <f>IF(A181="","",SUMIFS(po_qty,po_ref,A181,po_status,"&lt;&gt;Annulé"))</f>
        <v/>
      </c>
      <c r="H181" s="74" t="str">
        <f>IF(A181="","",SUMIFS(po_rcv,po_ref,A181,po_status,"&lt;&gt;Annulé"))</f>
        <v/>
      </c>
      <c r="I181" s="74" t="str">
        <f>IF(A181="","",SUMIFS(po_rest,po_ref,A181,po_key,"&gt;0"))</f>
        <v/>
      </c>
      <c r="J181" s="70" t="str">
        <f>IF(A181="","",IF(COUNTIFS(po_ref,A181,po_status,"&lt;&gt;Annulé")=0,"",INDEX(po_price,SUMPRODUCT(MAX((po_ref=A181)*(po_status&lt;&gt;"Annulé")*(ROW(po_ref)-5))))))</f>
        <v/>
      </c>
      <c r="K181" s="67" t="str">
        <f>IF(A181="","",IF(COUNTIF(art_ref,A181)&gt;1,"Référence en double",IF(B181="","Désignation manquante",IF(NOT(ISNUMBER(D181)),"Prix manquant",IF(E181="","TVA manquante",IF(ISNA(MATCH(E181,p_tva,0)),"Taux de TVA inconnu",IF(AND(F181&lt;&gt;"",ISNA(MATCH(F181,sup_code,0))),"Fournisseur inconnu","OK")))))))</f>
        <v/>
      </c>
    </row>
    <row r="182">
      <c r="A182" s="63" t="n"/>
      <c r="B182" s="63" t="n"/>
      <c r="C182" s="65" t="n"/>
      <c r="D182" s="69" t="n"/>
      <c r="E182" s="71" t="n"/>
      <c r="F182" s="65" t="n"/>
      <c r="G182" s="74" t="str">
        <f>IF(A182="","",SUMIFS(po_qty,po_ref,A182,po_status,"&lt;&gt;Annulé"))</f>
        <v/>
      </c>
      <c r="H182" s="74" t="str">
        <f>IF(A182="","",SUMIFS(po_rcv,po_ref,A182,po_status,"&lt;&gt;Annulé"))</f>
        <v/>
      </c>
      <c r="I182" s="74" t="str">
        <f>IF(A182="","",SUMIFS(po_rest,po_ref,A182,po_key,"&gt;0"))</f>
        <v/>
      </c>
      <c r="J182" s="70" t="str">
        <f>IF(A182="","",IF(COUNTIFS(po_ref,A182,po_status,"&lt;&gt;Annulé")=0,"",INDEX(po_price,SUMPRODUCT(MAX((po_ref=A182)*(po_status&lt;&gt;"Annulé")*(ROW(po_ref)-5))))))</f>
        <v/>
      </c>
      <c r="K182" s="67" t="str">
        <f>IF(A182="","",IF(COUNTIF(art_ref,A182)&gt;1,"Référence en double",IF(B182="","Désignation manquante",IF(NOT(ISNUMBER(D182)),"Prix manquant",IF(E182="","TVA manquante",IF(ISNA(MATCH(E182,p_tva,0)),"Taux de TVA inconnu",IF(AND(F182&lt;&gt;"",ISNA(MATCH(F182,sup_code,0))),"Fournisseur inconnu","OK")))))))</f>
        <v/>
      </c>
    </row>
    <row r="183">
      <c r="A183" s="63" t="n"/>
      <c r="B183" s="63" t="n"/>
      <c r="C183" s="65" t="n"/>
      <c r="D183" s="69" t="n"/>
      <c r="E183" s="71" t="n"/>
      <c r="F183" s="65" t="n"/>
      <c r="G183" s="74" t="str">
        <f>IF(A183="","",SUMIFS(po_qty,po_ref,A183,po_status,"&lt;&gt;Annulé"))</f>
        <v/>
      </c>
      <c r="H183" s="74" t="str">
        <f>IF(A183="","",SUMIFS(po_rcv,po_ref,A183,po_status,"&lt;&gt;Annulé"))</f>
        <v/>
      </c>
      <c r="I183" s="74" t="str">
        <f>IF(A183="","",SUMIFS(po_rest,po_ref,A183,po_key,"&gt;0"))</f>
        <v/>
      </c>
      <c r="J183" s="70" t="str">
        <f>IF(A183="","",IF(COUNTIFS(po_ref,A183,po_status,"&lt;&gt;Annulé")=0,"",INDEX(po_price,SUMPRODUCT(MAX((po_ref=A183)*(po_status&lt;&gt;"Annulé")*(ROW(po_ref)-5))))))</f>
        <v/>
      </c>
      <c r="K183" s="67" t="str">
        <f>IF(A183="","",IF(COUNTIF(art_ref,A183)&gt;1,"Référence en double",IF(B183="","Désignation manquante",IF(NOT(ISNUMBER(D183)),"Prix manquant",IF(E183="","TVA manquante",IF(ISNA(MATCH(E183,p_tva,0)),"Taux de TVA inconnu",IF(AND(F183&lt;&gt;"",ISNA(MATCH(F183,sup_code,0))),"Fournisseur inconnu","OK")))))))</f>
        <v/>
      </c>
    </row>
    <row r="184">
      <c r="A184" s="63" t="n"/>
      <c r="B184" s="63" t="n"/>
      <c r="C184" s="65" t="n"/>
      <c r="D184" s="69" t="n"/>
      <c r="E184" s="71" t="n"/>
      <c r="F184" s="65" t="n"/>
      <c r="G184" s="74" t="str">
        <f>IF(A184="","",SUMIFS(po_qty,po_ref,A184,po_status,"&lt;&gt;Annulé"))</f>
        <v/>
      </c>
      <c r="H184" s="74" t="str">
        <f>IF(A184="","",SUMIFS(po_rcv,po_ref,A184,po_status,"&lt;&gt;Annulé"))</f>
        <v/>
      </c>
      <c r="I184" s="74" t="str">
        <f>IF(A184="","",SUMIFS(po_rest,po_ref,A184,po_key,"&gt;0"))</f>
        <v/>
      </c>
      <c r="J184" s="70" t="str">
        <f>IF(A184="","",IF(COUNTIFS(po_ref,A184,po_status,"&lt;&gt;Annulé")=0,"",INDEX(po_price,SUMPRODUCT(MAX((po_ref=A184)*(po_status&lt;&gt;"Annulé")*(ROW(po_ref)-5))))))</f>
        <v/>
      </c>
      <c r="K184" s="67" t="str">
        <f>IF(A184="","",IF(COUNTIF(art_ref,A184)&gt;1,"Référence en double",IF(B184="","Désignation manquante",IF(NOT(ISNUMBER(D184)),"Prix manquant",IF(E184="","TVA manquante",IF(ISNA(MATCH(E184,p_tva,0)),"Taux de TVA inconnu",IF(AND(F184&lt;&gt;"",ISNA(MATCH(F184,sup_code,0))),"Fournisseur inconnu","OK")))))))</f>
        <v/>
      </c>
    </row>
    <row r="185">
      <c r="A185" s="63" t="n"/>
      <c r="B185" s="63" t="n"/>
      <c r="C185" s="65" t="n"/>
      <c r="D185" s="69" t="n"/>
      <c r="E185" s="71" t="n"/>
      <c r="F185" s="65" t="n"/>
      <c r="G185" s="74" t="str">
        <f>IF(A185="","",SUMIFS(po_qty,po_ref,A185,po_status,"&lt;&gt;Annulé"))</f>
        <v/>
      </c>
      <c r="H185" s="74" t="str">
        <f>IF(A185="","",SUMIFS(po_rcv,po_ref,A185,po_status,"&lt;&gt;Annulé"))</f>
        <v/>
      </c>
      <c r="I185" s="74" t="str">
        <f>IF(A185="","",SUMIFS(po_rest,po_ref,A185,po_key,"&gt;0"))</f>
        <v/>
      </c>
      <c r="J185" s="70" t="str">
        <f>IF(A185="","",IF(COUNTIFS(po_ref,A185,po_status,"&lt;&gt;Annulé")=0,"",INDEX(po_price,SUMPRODUCT(MAX((po_ref=A185)*(po_status&lt;&gt;"Annulé")*(ROW(po_ref)-5))))))</f>
        <v/>
      </c>
      <c r="K185" s="67" t="str">
        <f>IF(A185="","",IF(COUNTIF(art_ref,A185)&gt;1,"Référence en double",IF(B185="","Désignation manquante",IF(NOT(ISNUMBER(D185)),"Prix manquant",IF(E185="","TVA manquante",IF(ISNA(MATCH(E185,p_tva,0)),"Taux de TVA inconnu",IF(AND(F185&lt;&gt;"",ISNA(MATCH(F185,sup_code,0))),"Fournisseur inconnu","OK")))))))</f>
        <v/>
      </c>
    </row>
    <row r="186">
      <c r="A186" s="63" t="n"/>
      <c r="B186" s="63" t="n"/>
      <c r="C186" s="65" t="n"/>
      <c r="D186" s="69" t="n"/>
      <c r="E186" s="71" t="n"/>
      <c r="F186" s="65" t="n"/>
      <c r="G186" s="74" t="str">
        <f>IF(A186="","",SUMIFS(po_qty,po_ref,A186,po_status,"&lt;&gt;Annulé"))</f>
        <v/>
      </c>
      <c r="H186" s="74" t="str">
        <f>IF(A186="","",SUMIFS(po_rcv,po_ref,A186,po_status,"&lt;&gt;Annulé"))</f>
        <v/>
      </c>
      <c r="I186" s="74" t="str">
        <f>IF(A186="","",SUMIFS(po_rest,po_ref,A186,po_key,"&gt;0"))</f>
        <v/>
      </c>
      <c r="J186" s="70" t="str">
        <f>IF(A186="","",IF(COUNTIFS(po_ref,A186,po_status,"&lt;&gt;Annulé")=0,"",INDEX(po_price,SUMPRODUCT(MAX((po_ref=A186)*(po_status&lt;&gt;"Annulé")*(ROW(po_ref)-5))))))</f>
        <v/>
      </c>
      <c r="K186" s="67" t="str">
        <f>IF(A186="","",IF(COUNTIF(art_ref,A186)&gt;1,"Référence en double",IF(B186="","Désignation manquante",IF(NOT(ISNUMBER(D186)),"Prix manquant",IF(E186="","TVA manquante",IF(ISNA(MATCH(E186,p_tva,0)),"Taux de TVA inconnu",IF(AND(F186&lt;&gt;"",ISNA(MATCH(F186,sup_code,0))),"Fournisseur inconnu","OK")))))))</f>
        <v/>
      </c>
    </row>
    <row r="187">
      <c r="A187" s="63" t="n"/>
      <c r="B187" s="63" t="n"/>
      <c r="C187" s="65" t="n"/>
      <c r="D187" s="69" t="n"/>
      <c r="E187" s="71" t="n"/>
      <c r="F187" s="65" t="n"/>
      <c r="G187" s="74" t="str">
        <f>IF(A187="","",SUMIFS(po_qty,po_ref,A187,po_status,"&lt;&gt;Annulé"))</f>
        <v/>
      </c>
      <c r="H187" s="74" t="str">
        <f>IF(A187="","",SUMIFS(po_rcv,po_ref,A187,po_status,"&lt;&gt;Annulé"))</f>
        <v/>
      </c>
      <c r="I187" s="74" t="str">
        <f>IF(A187="","",SUMIFS(po_rest,po_ref,A187,po_key,"&gt;0"))</f>
        <v/>
      </c>
      <c r="J187" s="70" t="str">
        <f>IF(A187="","",IF(COUNTIFS(po_ref,A187,po_status,"&lt;&gt;Annulé")=0,"",INDEX(po_price,SUMPRODUCT(MAX((po_ref=A187)*(po_status&lt;&gt;"Annulé")*(ROW(po_ref)-5))))))</f>
        <v/>
      </c>
      <c r="K187" s="67" t="str">
        <f>IF(A187="","",IF(COUNTIF(art_ref,A187)&gt;1,"Référence en double",IF(B187="","Désignation manquante",IF(NOT(ISNUMBER(D187)),"Prix manquant",IF(E187="","TVA manquante",IF(ISNA(MATCH(E187,p_tva,0)),"Taux de TVA inconnu",IF(AND(F187&lt;&gt;"",ISNA(MATCH(F187,sup_code,0))),"Fournisseur inconnu","OK")))))))</f>
        <v/>
      </c>
    </row>
    <row r="188">
      <c r="A188" s="63" t="n"/>
      <c r="B188" s="63" t="n"/>
      <c r="C188" s="65" t="n"/>
      <c r="D188" s="69" t="n"/>
      <c r="E188" s="71" t="n"/>
      <c r="F188" s="65" t="n"/>
      <c r="G188" s="74" t="str">
        <f>IF(A188="","",SUMIFS(po_qty,po_ref,A188,po_status,"&lt;&gt;Annulé"))</f>
        <v/>
      </c>
      <c r="H188" s="74" t="str">
        <f>IF(A188="","",SUMIFS(po_rcv,po_ref,A188,po_status,"&lt;&gt;Annulé"))</f>
        <v/>
      </c>
      <c r="I188" s="74" t="str">
        <f>IF(A188="","",SUMIFS(po_rest,po_ref,A188,po_key,"&gt;0"))</f>
        <v/>
      </c>
      <c r="J188" s="70" t="str">
        <f>IF(A188="","",IF(COUNTIFS(po_ref,A188,po_status,"&lt;&gt;Annulé")=0,"",INDEX(po_price,SUMPRODUCT(MAX((po_ref=A188)*(po_status&lt;&gt;"Annulé")*(ROW(po_ref)-5))))))</f>
        <v/>
      </c>
      <c r="K188" s="67" t="str">
        <f>IF(A188="","",IF(COUNTIF(art_ref,A188)&gt;1,"Référence en double",IF(B188="","Désignation manquante",IF(NOT(ISNUMBER(D188)),"Prix manquant",IF(E188="","TVA manquante",IF(ISNA(MATCH(E188,p_tva,0)),"Taux de TVA inconnu",IF(AND(F188&lt;&gt;"",ISNA(MATCH(F188,sup_code,0))),"Fournisseur inconnu","OK")))))))</f>
        <v/>
      </c>
    </row>
    <row r="189">
      <c r="A189" s="63" t="n"/>
      <c r="B189" s="63" t="n"/>
      <c r="C189" s="65" t="n"/>
      <c r="D189" s="69" t="n"/>
      <c r="E189" s="71" t="n"/>
      <c r="F189" s="65" t="n"/>
      <c r="G189" s="74" t="str">
        <f>IF(A189="","",SUMIFS(po_qty,po_ref,A189,po_status,"&lt;&gt;Annulé"))</f>
        <v/>
      </c>
      <c r="H189" s="74" t="str">
        <f>IF(A189="","",SUMIFS(po_rcv,po_ref,A189,po_status,"&lt;&gt;Annulé"))</f>
        <v/>
      </c>
      <c r="I189" s="74" t="str">
        <f>IF(A189="","",SUMIFS(po_rest,po_ref,A189,po_key,"&gt;0"))</f>
        <v/>
      </c>
      <c r="J189" s="70" t="str">
        <f>IF(A189="","",IF(COUNTIFS(po_ref,A189,po_status,"&lt;&gt;Annulé")=0,"",INDEX(po_price,SUMPRODUCT(MAX((po_ref=A189)*(po_status&lt;&gt;"Annulé")*(ROW(po_ref)-5))))))</f>
        <v/>
      </c>
      <c r="K189" s="67" t="str">
        <f>IF(A189="","",IF(COUNTIF(art_ref,A189)&gt;1,"Référence en double",IF(B189="","Désignation manquante",IF(NOT(ISNUMBER(D189)),"Prix manquant",IF(E189="","TVA manquante",IF(ISNA(MATCH(E189,p_tva,0)),"Taux de TVA inconnu",IF(AND(F189&lt;&gt;"",ISNA(MATCH(F189,sup_code,0))),"Fournisseur inconnu","OK")))))))</f>
        <v/>
      </c>
    </row>
    <row r="190">
      <c r="A190" s="63" t="n"/>
      <c r="B190" s="63" t="n"/>
      <c r="C190" s="65" t="n"/>
      <c r="D190" s="69" t="n"/>
      <c r="E190" s="71" t="n"/>
      <c r="F190" s="65" t="n"/>
      <c r="G190" s="74" t="str">
        <f>IF(A190="","",SUMIFS(po_qty,po_ref,A190,po_status,"&lt;&gt;Annulé"))</f>
        <v/>
      </c>
      <c r="H190" s="74" t="str">
        <f>IF(A190="","",SUMIFS(po_rcv,po_ref,A190,po_status,"&lt;&gt;Annulé"))</f>
        <v/>
      </c>
      <c r="I190" s="74" t="str">
        <f>IF(A190="","",SUMIFS(po_rest,po_ref,A190,po_key,"&gt;0"))</f>
        <v/>
      </c>
      <c r="J190" s="70" t="str">
        <f>IF(A190="","",IF(COUNTIFS(po_ref,A190,po_status,"&lt;&gt;Annulé")=0,"",INDEX(po_price,SUMPRODUCT(MAX((po_ref=A190)*(po_status&lt;&gt;"Annulé")*(ROW(po_ref)-5))))))</f>
        <v/>
      </c>
      <c r="K190" s="67" t="str">
        <f>IF(A190="","",IF(COUNTIF(art_ref,A190)&gt;1,"Référence en double",IF(B190="","Désignation manquante",IF(NOT(ISNUMBER(D190)),"Prix manquant",IF(E190="","TVA manquante",IF(ISNA(MATCH(E190,p_tva,0)),"Taux de TVA inconnu",IF(AND(F190&lt;&gt;"",ISNA(MATCH(F190,sup_code,0))),"Fournisseur inconnu","OK")))))))</f>
        <v/>
      </c>
    </row>
    <row r="191">
      <c r="A191" s="63" t="n"/>
      <c r="B191" s="63" t="n"/>
      <c r="C191" s="65" t="n"/>
      <c r="D191" s="69" t="n"/>
      <c r="E191" s="71" t="n"/>
      <c r="F191" s="65" t="n"/>
      <c r="G191" s="74" t="str">
        <f>IF(A191="","",SUMIFS(po_qty,po_ref,A191,po_status,"&lt;&gt;Annulé"))</f>
        <v/>
      </c>
      <c r="H191" s="74" t="str">
        <f>IF(A191="","",SUMIFS(po_rcv,po_ref,A191,po_status,"&lt;&gt;Annulé"))</f>
        <v/>
      </c>
      <c r="I191" s="74" t="str">
        <f>IF(A191="","",SUMIFS(po_rest,po_ref,A191,po_key,"&gt;0"))</f>
        <v/>
      </c>
      <c r="J191" s="70" t="str">
        <f>IF(A191="","",IF(COUNTIFS(po_ref,A191,po_status,"&lt;&gt;Annulé")=0,"",INDEX(po_price,SUMPRODUCT(MAX((po_ref=A191)*(po_status&lt;&gt;"Annulé")*(ROW(po_ref)-5))))))</f>
        <v/>
      </c>
      <c r="K191" s="67" t="str">
        <f>IF(A191="","",IF(COUNTIF(art_ref,A191)&gt;1,"Référence en double",IF(B191="","Désignation manquante",IF(NOT(ISNUMBER(D191)),"Prix manquant",IF(E191="","TVA manquante",IF(ISNA(MATCH(E191,p_tva,0)),"Taux de TVA inconnu",IF(AND(F191&lt;&gt;"",ISNA(MATCH(F191,sup_code,0))),"Fournisseur inconnu","OK")))))))</f>
        <v/>
      </c>
    </row>
    <row r="192">
      <c r="A192" s="63" t="n"/>
      <c r="B192" s="63" t="n"/>
      <c r="C192" s="65" t="n"/>
      <c r="D192" s="69" t="n"/>
      <c r="E192" s="71" t="n"/>
      <c r="F192" s="65" t="n"/>
      <c r="G192" s="74" t="str">
        <f>IF(A192="","",SUMIFS(po_qty,po_ref,A192,po_status,"&lt;&gt;Annulé"))</f>
        <v/>
      </c>
      <c r="H192" s="74" t="str">
        <f>IF(A192="","",SUMIFS(po_rcv,po_ref,A192,po_status,"&lt;&gt;Annulé"))</f>
        <v/>
      </c>
      <c r="I192" s="74" t="str">
        <f>IF(A192="","",SUMIFS(po_rest,po_ref,A192,po_key,"&gt;0"))</f>
        <v/>
      </c>
      <c r="J192" s="70" t="str">
        <f>IF(A192="","",IF(COUNTIFS(po_ref,A192,po_status,"&lt;&gt;Annulé")=0,"",INDEX(po_price,SUMPRODUCT(MAX((po_ref=A192)*(po_status&lt;&gt;"Annulé")*(ROW(po_ref)-5))))))</f>
        <v/>
      </c>
      <c r="K192" s="67" t="str">
        <f>IF(A192="","",IF(COUNTIF(art_ref,A192)&gt;1,"Référence en double",IF(B192="","Désignation manquante",IF(NOT(ISNUMBER(D192)),"Prix manquant",IF(E192="","TVA manquante",IF(ISNA(MATCH(E192,p_tva,0)),"Taux de TVA inconnu",IF(AND(F192&lt;&gt;"",ISNA(MATCH(F192,sup_code,0))),"Fournisseur inconnu","OK")))))))</f>
        <v/>
      </c>
    </row>
    <row r="193">
      <c r="A193" s="63" t="n"/>
      <c r="B193" s="63" t="n"/>
      <c r="C193" s="65" t="n"/>
      <c r="D193" s="69" t="n"/>
      <c r="E193" s="71" t="n"/>
      <c r="F193" s="65" t="n"/>
      <c r="G193" s="74" t="str">
        <f>IF(A193="","",SUMIFS(po_qty,po_ref,A193,po_status,"&lt;&gt;Annulé"))</f>
        <v/>
      </c>
      <c r="H193" s="74" t="str">
        <f>IF(A193="","",SUMIFS(po_rcv,po_ref,A193,po_status,"&lt;&gt;Annulé"))</f>
        <v/>
      </c>
      <c r="I193" s="74" t="str">
        <f>IF(A193="","",SUMIFS(po_rest,po_ref,A193,po_key,"&gt;0"))</f>
        <v/>
      </c>
      <c r="J193" s="70" t="str">
        <f>IF(A193="","",IF(COUNTIFS(po_ref,A193,po_status,"&lt;&gt;Annulé")=0,"",INDEX(po_price,SUMPRODUCT(MAX((po_ref=A193)*(po_status&lt;&gt;"Annulé")*(ROW(po_ref)-5))))))</f>
        <v/>
      </c>
      <c r="K193" s="67" t="str">
        <f>IF(A193="","",IF(COUNTIF(art_ref,A193)&gt;1,"Référence en double",IF(B193="","Désignation manquante",IF(NOT(ISNUMBER(D193)),"Prix manquant",IF(E193="","TVA manquante",IF(ISNA(MATCH(E193,p_tva,0)),"Taux de TVA inconnu",IF(AND(F193&lt;&gt;"",ISNA(MATCH(F193,sup_code,0))),"Fournisseur inconnu","OK")))))))</f>
        <v/>
      </c>
    </row>
    <row r="194">
      <c r="A194" s="63" t="n"/>
      <c r="B194" s="63" t="n"/>
      <c r="C194" s="65" t="n"/>
      <c r="D194" s="69" t="n"/>
      <c r="E194" s="71" t="n"/>
      <c r="F194" s="65" t="n"/>
      <c r="G194" s="74" t="str">
        <f>IF(A194="","",SUMIFS(po_qty,po_ref,A194,po_status,"&lt;&gt;Annulé"))</f>
        <v/>
      </c>
      <c r="H194" s="74" t="str">
        <f>IF(A194="","",SUMIFS(po_rcv,po_ref,A194,po_status,"&lt;&gt;Annulé"))</f>
        <v/>
      </c>
      <c r="I194" s="74" t="str">
        <f>IF(A194="","",SUMIFS(po_rest,po_ref,A194,po_key,"&gt;0"))</f>
        <v/>
      </c>
      <c r="J194" s="70" t="str">
        <f>IF(A194="","",IF(COUNTIFS(po_ref,A194,po_status,"&lt;&gt;Annulé")=0,"",INDEX(po_price,SUMPRODUCT(MAX((po_ref=A194)*(po_status&lt;&gt;"Annulé")*(ROW(po_ref)-5))))))</f>
        <v/>
      </c>
      <c r="K194" s="67" t="str">
        <f>IF(A194="","",IF(COUNTIF(art_ref,A194)&gt;1,"Référence en double",IF(B194="","Désignation manquante",IF(NOT(ISNUMBER(D194)),"Prix manquant",IF(E194="","TVA manquante",IF(ISNA(MATCH(E194,p_tva,0)),"Taux de TVA inconnu",IF(AND(F194&lt;&gt;"",ISNA(MATCH(F194,sup_code,0))),"Fournisseur inconnu","OK")))))))</f>
        <v/>
      </c>
    </row>
    <row r="195">
      <c r="A195" s="63" t="n"/>
      <c r="B195" s="63" t="n"/>
      <c r="C195" s="65" t="n"/>
      <c r="D195" s="69" t="n"/>
      <c r="E195" s="71" t="n"/>
      <c r="F195" s="65" t="n"/>
      <c r="G195" s="74" t="str">
        <f>IF(A195="","",SUMIFS(po_qty,po_ref,A195,po_status,"&lt;&gt;Annulé"))</f>
        <v/>
      </c>
      <c r="H195" s="74" t="str">
        <f>IF(A195="","",SUMIFS(po_rcv,po_ref,A195,po_status,"&lt;&gt;Annulé"))</f>
        <v/>
      </c>
      <c r="I195" s="74" t="str">
        <f>IF(A195="","",SUMIFS(po_rest,po_ref,A195,po_key,"&gt;0"))</f>
        <v/>
      </c>
      <c r="J195" s="70" t="str">
        <f>IF(A195="","",IF(COUNTIFS(po_ref,A195,po_status,"&lt;&gt;Annulé")=0,"",INDEX(po_price,SUMPRODUCT(MAX((po_ref=A195)*(po_status&lt;&gt;"Annulé")*(ROW(po_ref)-5))))))</f>
        <v/>
      </c>
      <c r="K195" s="67" t="str">
        <f>IF(A195="","",IF(COUNTIF(art_ref,A195)&gt;1,"Référence en double",IF(B195="","Désignation manquante",IF(NOT(ISNUMBER(D195)),"Prix manquant",IF(E195="","TVA manquante",IF(ISNA(MATCH(E195,p_tva,0)),"Taux de TVA inconnu",IF(AND(F195&lt;&gt;"",ISNA(MATCH(F195,sup_code,0))),"Fournisseur inconnu","OK")))))))</f>
        <v/>
      </c>
    </row>
    <row r="196">
      <c r="A196" s="63" t="n"/>
      <c r="B196" s="63" t="n"/>
      <c r="C196" s="65" t="n"/>
      <c r="D196" s="69" t="n"/>
      <c r="E196" s="71" t="n"/>
      <c r="F196" s="65" t="n"/>
      <c r="G196" s="74" t="str">
        <f>IF(A196="","",SUMIFS(po_qty,po_ref,A196,po_status,"&lt;&gt;Annulé"))</f>
        <v/>
      </c>
      <c r="H196" s="74" t="str">
        <f>IF(A196="","",SUMIFS(po_rcv,po_ref,A196,po_status,"&lt;&gt;Annulé"))</f>
        <v/>
      </c>
      <c r="I196" s="74" t="str">
        <f>IF(A196="","",SUMIFS(po_rest,po_ref,A196,po_key,"&gt;0"))</f>
        <v/>
      </c>
      <c r="J196" s="70" t="str">
        <f>IF(A196="","",IF(COUNTIFS(po_ref,A196,po_status,"&lt;&gt;Annulé")=0,"",INDEX(po_price,SUMPRODUCT(MAX((po_ref=A196)*(po_status&lt;&gt;"Annulé")*(ROW(po_ref)-5))))))</f>
        <v/>
      </c>
      <c r="K196" s="67" t="str">
        <f>IF(A196="","",IF(COUNTIF(art_ref,A196)&gt;1,"Référence en double",IF(B196="","Désignation manquante",IF(NOT(ISNUMBER(D196)),"Prix manquant",IF(E196="","TVA manquante",IF(ISNA(MATCH(E196,p_tva,0)),"Taux de TVA inconnu",IF(AND(F196&lt;&gt;"",ISNA(MATCH(F196,sup_code,0))),"Fournisseur inconnu","OK")))))))</f>
        <v/>
      </c>
    </row>
    <row r="197">
      <c r="A197" s="63" t="n"/>
      <c r="B197" s="63" t="n"/>
      <c r="C197" s="65" t="n"/>
      <c r="D197" s="69" t="n"/>
      <c r="E197" s="71" t="n"/>
      <c r="F197" s="65" t="n"/>
      <c r="G197" s="74" t="str">
        <f>IF(A197="","",SUMIFS(po_qty,po_ref,A197,po_status,"&lt;&gt;Annulé"))</f>
        <v/>
      </c>
      <c r="H197" s="74" t="str">
        <f>IF(A197="","",SUMIFS(po_rcv,po_ref,A197,po_status,"&lt;&gt;Annulé"))</f>
        <v/>
      </c>
      <c r="I197" s="74" t="str">
        <f>IF(A197="","",SUMIFS(po_rest,po_ref,A197,po_key,"&gt;0"))</f>
        <v/>
      </c>
      <c r="J197" s="70" t="str">
        <f>IF(A197="","",IF(COUNTIFS(po_ref,A197,po_status,"&lt;&gt;Annulé")=0,"",INDEX(po_price,SUMPRODUCT(MAX((po_ref=A197)*(po_status&lt;&gt;"Annulé")*(ROW(po_ref)-5))))))</f>
        <v/>
      </c>
      <c r="K197" s="67" t="str">
        <f>IF(A197="","",IF(COUNTIF(art_ref,A197)&gt;1,"Référence en double",IF(B197="","Désignation manquante",IF(NOT(ISNUMBER(D197)),"Prix manquant",IF(E197="","TVA manquante",IF(ISNA(MATCH(E197,p_tva,0)),"Taux de TVA inconnu",IF(AND(F197&lt;&gt;"",ISNA(MATCH(F197,sup_code,0))),"Fournisseur inconnu","OK")))))))</f>
        <v/>
      </c>
    </row>
    <row r="198">
      <c r="A198" s="63" t="n"/>
      <c r="B198" s="63" t="n"/>
      <c r="C198" s="65" t="n"/>
      <c r="D198" s="69" t="n"/>
      <c r="E198" s="71" t="n"/>
      <c r="F198" s="65" t="n"/>
      <c r="G198" s="74" t="str">
        <f>IF(A198="","",SUMIFS(po_qty,po_ref,A198,po_status,"&lt;&gt;Annulé"))</f>
        <v/>
      </c>
      <c r="H198" s="74" t="str">
        <f>IF(A198="","",SUMIFS(po_rcv,po_ref,A198,po_status,"&lt;&gt;Annulé"))</f>
        <v/>
      </c>
      <c r="I198" s="74" t="str">
        <f>IF(A198="","",SUMIFS(po_rest,po_ref,A198,po_key,"&gt;0"))</f>
        <v/>
      </c>
      <c r="J198" s="70" t="str">
        <f>IF(A198="","",IF(COUNTIFS(po_ref,A198,po_status,"&lt;&gt;Annulé")=0,"",INDEX(po_price,SUMPRODUCT(MAX((po_ref=A198)*(po_status&lt;&gt;"Annulé")*(ROW(po_ref)-5))))))</f>
        <v/>
      </c>
      <c r="K198" s="67" t="str">
        <f>IF(A198="","",IF(COUNTIF(art_ref,A198)&gt;1,"Référence en double",IF(B198="","Désignation manquante",IF(NOT(ISNUMBER(D198)),"Prix manquant",IF(E198="","TVA manquante",IF(ISNA(MATCH(E198,p_tva,0)),"Taux de TVA inconnu",IF(AND(F198&lt;&gt;"",ISNA(MATCH(F198,sup_code,0))),"Fournisseur inconnu","OK")))))))</f>
        <v/>
      </c>
    </row>
    <row r="199">
      <c r="A199" s="63" t="n"/>
      <c r="B199" s="63" t="n"/>
      <c r="C199" s="65" t="n"/>
      <c r="D199" s="69" t="n"/>
      <c r="E199" s="71" t="n"/>
      <c r="F199" s="65" t="n"/>
      <c r="G199" s="74" t="str">
        <f>IF(A199="","",SUMIFS(po_qty,po_ref,A199,po_status,"&lt;&gt;Annulé"))</f>
        <v/>
      </c>
      <c r="H199" s="74" t="str">
        <f>IF(A199="","",SUMIFS(po_rcv,po_ref,A199,po_status,"&lt;&gt;Annulé"))</f>
        <v/>
      </c>
      <c r="I199" s="74" t="str">
        <f>IF(A199="","",SUMIFS(po_rest,po_ref,A199,po_key,"&gt;0"))</f>
        <v/>
      </c>
      <c r="J199" s="70" t="str">
        <f>IF(A199="","",IF(COUNTIFS(po_ref,A199,po_status,"&lt;&gt;Annulé")=0,"",INDEX(po_price,SUMPRODUCT(MAX((po_ref=A199)*(po_status&lt;&gt;"Annulé")*(ROW(po_ref)-5))))))</f>
        <v/>
      </c>
      <c r="K199" s="67" t="str">
        <f>IF(A199="","",IF(COUNTIF(art_ref,A199)&gt;1,"Référence en double",IF(B199="","Désignation manquante",IF(NOT(ISNUMBER(D199)),"Prix manquant",IF(E199="","TVA manquante",IF(ISNA(MATCH(E199,p_tva,0)),"Taux de TVA inconnu",IF(AND(F199&lt;&gt;"",ISNA(MATCH(F199,sup_code,0))),"Fournisseur inconnu","OK")))))))</f>
        <v/>
      </c>
    </row>
    <row r="200">
      <c r="A200" s="63" t="n"/>
      <c r="B200" s="63" t="n"/>
      <c r="C200" s="65" t="n"/>
      <c r="D200" s="69" t="n"/>
      <c r="E200" s="71" t="n"/>
      <c r="F200" s="65" t="n"/>
      <c r="G200" s="74" t="str">
        <f>IF(A200="","",SUMIFS(po_qty,po_ref,A200,po_status,"&lt;&gt;Annulé"))</f>
        <v/>
      </c>
      <c r="H200" s="74" t="str">
        <f>IF(A200="","",SUMIFS(po_rcv,po_ref,A200,po_status,"&lt;&gt;Annulé"))</f>
        <v/>
      </c>
      <c r="I200" s="74" t="str">
        <f>IF(A200="","",SUMIFS(po_rest,po_ref,A200,po_key,"&gt;0"))</f>
        <v/>
      </c>
      <c r="J200" s="70" t="str">
        <f>IF(A200="","",IF(COUNTIFS(po_ref,A200,po_status,"&lt;&gt;Annulé")=0,"",INDEX(po_price,SUMPRODUCT(MAX((po_ref=A200)*(po_status&lt;&gt;"Annulé")*(ROW(po_ref)-5))))))</f>
        <v/>
      </c>
      <c r="K200" s="67" t="str">
        <f>IF(A200="","",IF(COUNTIF(art_ref,A200)&gt;1,"Référence en double",IF(B200="","Désignation manquante",IF(NOT(ISNUMBER(D200)),"Prix manquant",IF(E200="","TVA manquante",IF(ISNA(MATCH(E200,p_tva,0)),"Taux de TVA inconnu",IF(AND(F200&lt;&gt;"",ISNA(MATCH(F200,sup_code,0))),"Fournisseur inconnu","OK")))))))</f>
        <v/>
      </c>
    </row>
    <row r="201">
      <c r="A201" s="63" t="n"/>
      <c r="B201" s="63" t="n"/>
      <c r="C201" s="65" t="n"/>
      <c r="D201" s="69" t="n"/>
      <c r="E201" s="71" t="n"/>
      <c r="F201" s="65" t="n"/>
      <c r="G201" s="74" t="str">
        <f>IF(A201="","",SUMIFS(po_qty,po_ref,A201,po_status,"&lt;&gt;Annulé"))</f>
        <v/>
      </c>
      <c r="H201" s="74" t="str">
        <f>IF(A201="","",SUMIFS(po_rcv,po_ref,A201,po_status,"&lt;&gt;Annulé"))</f>
        <v/>
      </c>
      <c r="I201" s="74" t="str">
        <f>IF(A201="","",SUMIFS(po_rest,po_ref,A201,po_key,"&gt;0"))</f>
        <v/>
      </c>
      <c r="J201" s="70" t="str">
        <f>IF(A201="","",IF(COUNTIFS(po_ref,A201,po_status,"&lt;&gt;Annulé")=0,"",INDEX(po_price,SUMPRODUCT(MAX((po_ref=A201)*(po_status&lt;&gt;"Annulé")*(ROW(po_ref)-5))))))</f>
        <v/>
      </c>
      <c r="K201" s="67" t="str">
        <f>IF(A201="","",IF(COUNTIF(art_ref,A201)&gt;1,"Référence en double",IF(B201="","Désignation manquante",IF(NOT(ISNUMBER(D201)),"Prix manquant",IF(E201="","TVA manquante",IF(ISNA(MATCH(E201,p_tva,0)),"Taux de TVA inconnu",IF(AND(F201&lt;&gt;"",ISNA(MATCH(F201,sup_code,0))),"Fournisseur inconnu","OK")))))))</f>
        <v/>
      </c>
    </row>
    <row r="202">
      <c r="A202" s="63" t="n"/>
      <c r="B202" s="63" t="n"/>
      <c r="C202" s="65" t="n"/>
      <c r="D202" s="69" t="n"/>
      <c r="E202" s="71" t="n"/>
      <c r="F202" s="65" t="n"/>
      <c r="G202" s="74" t="str">
        <f>IF(A202="","",SUMIFS(po_qty,po_ref,A202,po_status,"&lt;&gt;Annulé"))</f>
        <v/>
      </c>
      <c r="H202" s="74" t="str">
        <f>IF(A202="","",SUMIFS(po_rcv,po_ref,A202,po_status,"&lt;&gt;Annulé"))</f>
        <v/>
      </c>
      <c r="I202" s="74" t="str">
        <f>IF(A202="","",SUMIFS(po_rest,po_ref,A202,po_key,"&gt;0"))</f>
        <v/>
      </c>
      <c r="J202" s="70" t="str">
        <f>IF(A202="","",IF(COUNTIFS(po_ref,A202,po_status,"&lt;&gt;Annulé")=0,"",INDEX(po_price,SUMPRODUCT(MAX((po_ref=A202)*(po_status&lt;&gt;"Annulé")*(ROW(po_ref)-5))))))</f>
        <v/>
      </c>
      <c r="K202" s="67" t="str">
        <f>IF(A202="","",IF(COUNTIF(art_ref,A202)&gt;1,"Référence en double",IF(B202="","Désignation manquante",IF(NOT(ISNUMBER(D202)),"Prix manquant",IF(E202="","TVA manquante",IF(ISNA(MATCH(E202,p_tva,0)),"Taux de TVA inconnu",IF(AND(F202&lt;&gt;"",ISNA(MATCH(F202,sup_code,0))),"Fournisseur inconnu","OK")))))))</f>
        <v/>
      </c>
    </row>
    <row r="203">
      <c r="A203" s="63" t="n"/>
      <c r="B203" s="63" t="n"/>
      <c r="C203" s="65" t="n"/>
      <c r="D203" s="69" t="n"/>
      <c r="E203" s="71" t="n"/>
      <c r="F203" s="65" t="n"/>
      <c r="G203" s="74" t="str">
        <f>IF(A203="","",SUMIFS(po_qty,po_ref,A203,po_status,"&lt;&gt;Annulé"))</f>
        <v/>
      </c>
      <c r="H203" s="74" t="str">
        <f>IF(A203="","",SUMIFS(po_rcv,po_ref,A203,po_status,"&lt;&gt;Annulé"))</f>
        <v/>
      </c>
      <c r="I203" s="74" t="str">
        <f>IF(A203="","",SUMIFS(po_rest,po_ref,A203,po_key,"&gt;0"))</f>
        <v/>
      </c>
      <c r="J203" s="70" t="str">
        <f>IF(A203="","",IF(COUNTIFS(po_ref,A203,po_status,"&lt;&gt;Annulé")=0,"",INDEX(po_price,SUMPRODUCT(MAX((po_ref=A203)*(po_status&lt;&gt;"Annulé")*(ROW(po_ref)-5))))))</f>
        <v/>
      </c>
      <c r="K203" s="67" t="str">
        <f>IF(A203="","",IF(COUNTIF(art_ref,A203)&gt;1,"Référence en double",IF(B203="","Désignation manquante",IF(NOT(ISNUMBER(D203)),"Prix manquant",IF(E203="","TVA manquante",IF(ISNA(MATCH(E203,p_tva,0)),"Taux de TVA inconnu",IF(AND(F203&lt;&gt;"",ISNA(MATCH(F203,sup_code,0))),"Fournisseur inconnu","OK")))))))</f>
        <v/>
      </c>
    </row>
    <row r="204">
      <c r="A204" s="63" t="n"/>
      <c r="B204" s="63" t="n"/>
      <c r="C204" s="65" t="n"/>
      <c r="D204" s="69" t="n"/>
      <c r="E204" s="71" t="n"/>
      <c r="F204" s="65" t="n"/>
      <c r="G204" s="74" t="str">
        <f>IF(A204="","",SUMIFS(po_qty,po_ref,A204,po_status,"&lt;&gt;Annulé"))</f>
        <v/>
      </c>
      <c r="H204" s="74" t="str">
        <f>IF(A204="","",SUMIFS(po_rcv,po_ref,A204,po_status,"&lt;&gt;Annulé"))</f>
        <v/>
      </c>
      <c r="I204" s="74" t="str">
        <f>IF(A204="","",SUMIFS(po_rest,po_ref,A204,po_key,"&gt;0"))</f>
        <v/>
      </c>
      <c r="J204" s="70" t="str">
        <f>IF(A204="","",IF(COUNTIFS(po_ref,A204,po_status,"&lt;&gt;Annulé")=0,"",INDEX(po_price,SUMPRODUCT(MAX((po_ref=A204)*(po_status&lt;&gt;"Annulé")*(ROW(po_ref)-5))))))</f>
        <v/>
      </c>
      <c r="K204" s="67" t="str">
        <f>IF(A204="","",IF(COUNTIF(art_ref,A204)&gt;1,"Référence en double",IF(B204="","Désignation manquante",IF(NOT(ISNUMBER(D204)),"Prix manquant",IF(E204="","TVA manquante",IF(ISNA(MATCH(E204,p_tva,0)),"Taux de TVA inconnu",IF(AND(F204&lt;&gt;"",ISNA(MATCH(F204,sup_code,0))),"Fournisseur inconnu","OK")))))))</f>
        <v/>
      </c>
    </row>
    <row r="205">
      <c r="A205" s="63" t="n"/>
      <c r="B205" s="63" t="n"/>
      <c r="C205" s="65" t="n"/>
      <c r="D205" s="69" t="n"/>
      <c r="E205" s="71" t="n"/>
      <c r="F205" s="65" t="n"/>
      <c r="G205" s="74" t="str">
        <f>IF(A205="","",SUMIFS(po_qty,po_ref,A205,po_status,"&lt;&gt;Annulé"))</f>
        <v/>
      </c>
      <c r="H205" s="74" t="str">
        <f>IF(A205="","",SUMIFS(po_rcv,po_ref,A205,po_status,"&lt;&gt;Annulé"))</f>
        <v/>
      </c>
      <c r="I205" s="74" t="str">
        <f>IF(A205="","",SUMIFS(po_rest,po_ref,A205,po_key,"&gt;0"))</f>
        <v/>
      </c>
      <c r="J205" s="70" t="str">
        <f>IF(A205="","",IF(COUNTIFS(po_ref,A205,po_status,"&lt;&gt;Annulé")=0,"",INDEX(po_price,SUMPRODUCT(MAX((po_ref=A205)*(po_status&lt;&gt;"Annulé")*(ROW(po_ref)-5))))))</f>
        <v/>
      </c>
      <c r="K205" s="67" t="str">
        <f>IF(A205="","",IF(COUNTIF(art_ref,A205)&gt;1,"Référence en double",IF(B205="","Désignation manquante",IF(NOT(ISNUMBER(D205)),"Prix manquant",IF(E205="","TVA manquante",IF(ISNA(MATCH(E205,p_tva,0)),"Taux de TVA inconnu",IF(AND(F205&lt;&gt;"",ISNA(MATCH(F205,sup_code,0))),"Fournisseur inconnu","OK")))))))</f>
        <v/>
      </c>
    </row>
    <row r="206">
      <c r="A206" s="63" t="n"/>
      <c r="B206" s="63" t="n"/>
      <c r="C206" s="65" t="n"/>
      <c r="D206" s="69" t="n"/>
      <c r="E206" s="71" t="n"/>
      <c r="F206" s="65" t="n"/>
      <c r="G206" s="74" t="str">
        <f>IF(A206="","",SUMIFS(po_qty,po_ref,A206,po_status,"&lt;&gt;Annulé"))</f>
        <v/>
      </c>
      <c r="H206" s="74" t="str">
        <f>IF(A206="","",SUMIFS(po_rcv,po_ref,A206,po_status,"&lt;&gt;Annulé"))</f>
        <v/>
      </c>
      <c r="I206" s="74" t="str">
        <f>IF(A206="","",SUMIFS(po_rest,po_ref,A206,po_key,"&gt;0"))</f>
        <v/>
      </c>
      <c r="J206" s="70" t="str">
        <f>IF(A206="","",IF(COUNTIFS(po_ref,A206,po_status,"&lt;&gt;Annulé")=0,"",INDEX(po_price,SUMPRODUCT(MAX((po_ref=A206)*(po_status&lt;&gt;"Annulé")*(ROW(po_ref)-5))))))</f>
        <v/>
      </c>
      <c r="K206" s="67" t="str">
        <f>IF(A206="","",IF(COUNTIF(art_ref,A206)&gt;1,"Référence en double",IF(B206="","Désignation manquante",IF(NOT(ISNUMBER(D206)),"Prix manquant",IF(E206="","TVA manquante",IF(ISNA(MATCH(E206,p_tva,0)),"Taux de TVA inconnu",IF(AND(F206&lt;&gt;"",ISNA(MATCH(F206,sup_code,0))),"Fournisseur inconnu","OK")))))))</f>
        <v/>
      </c>
    </row>
    <row r="207">
      <c r="A207" s="63" t="n"/>
      <c r="B207" s="63" t="n"/>
      <c r="C207" s="65" t="n"/>
      <c r="D207" s="69" t="n"/>
      <c r="E207" s="71" t="n"/>
      <c r="F207" s="65" t="n"/>
      <c r="G207" s="74" t="str">
        <f>IF(A207="","",SUMIFS(po_qty,po_ref,A207,po_status,"&lt;&gt;Annulé"))</f>
        <v/>
      </c>
      <c r="H207" s="74" t="str">
        <f>IF(A207="","",SUMIFS(po_rcv,po_ref,A207,po_status,"&lt;&gt;Annulé"))</f>
        <v/>
      </c>
      <c r="I207" s="74" t="str">
        <f>IF(A207="","",SUMIFS(po_rest,po_ref,A207,po_key,"&gt;0"))</f>
        <v/>
      </c>
      <c r="J207" s="70" t="str">
        <f>IF(A207="","",IF(COUNTIFS(po_ref,A207,po_status,"&lt;&gt;Annulé")=0,"",INDEX(po_price,SUMPRODUCT(MAX((po_ref=A207)*(po_status&lt;&gt;"Annulé")*(ROW(po_ref)-5))))))</f>
        <v/>
      </c>
      <c r="K207" s="67" t="str">
        <f>IF(A207="","",IF(COUNTIF(art_ref,A207)&gt;1,"Référence en double",IF(B207="","Désignation manquante",IF(NOT(ISNUMBER(D207)),"Prix manquant",IF(E207="","TVA manquante",IF(ISNA(MATCH(E207,p_tva,0)),"Taux de TVA inconnu",IF(AND(F207&lt;&gt;"",ISNA(MATCH(F207,sup_code,0))),"Fournisseur inconnu","OK")))))))</f>
        <v/>
      </c>
    </row>
    <row r="208">
      <c r="A208" s="63" t="n"/>
      <c r="B208" s="63" t="n"/>
      <c r="C208" s="65" t="n"/>
      <c r="D208" s="69" t="n"/>
      <c r="E208" s="71" t="n"/>
      <c r="F208" s="65" t="n"/>
      <c r="G208" s="74" t="str">
        <f>IF(A208="","",SUMIFS(po_qty,po_ref,A208,po_status,"&lt;&gt;Annulé"))</f>
        <v/>
      </c>
      <c r="H208" s="74" t="str">
        <f>IF(A208="","",SUMIFS(po_rcv,po_ref,A208,po_status,"&lt;&gt;Annulé"))</f>
        <v/>
      </c>
      <c r="I208" s="74" t="str">
        <f>IF(A208="","",SUMIFS(po_rest,po_ref,A208,po_key,"&gt;0"))</f>
        <v/>
      </c>
      <c r="J208" s="70" t="str">
        <f>IF(A208="","",IF(COUNTIFS(po_ref,A208,po_status,"&lt;&gt;Annulé")=0,"",INDEX(po_price,SUMPRODUCT(MAX((po_ref=A208)*(po_status&lt;&gt;"Annulé")*(ROW(po_ref)-5))))))</f>
        <v/>
      </c>
      <c r="K208" s="67" t="str">
        <f>IF(A208="","",IF(COUNTIF(art_ref,A208)&gt;1,"Référence en double",IF(B208="","Désignation manquante",IF(NOT(ISNUMBER(D208)),"Prix manquant",IF(E208="","TVA manquante",IF(ISNA(MATCH(E208,p_tva,0)),"Taux de TVA inconnu",IF(AND(F208&lt;&gt;"",ISNA(MATCH(F208,sup_code,0))),"Fournisseur inconnu","OK")))))))</f>
        <v/>
      </c>
    </row>
    <row r="209">
      <c r="A209" s="63" t="n"/>
      <c r="B209" s="63" t="n"/>
      <c r="C209" s="65" t="n"/>
      <c r="D209" s="69" t="n"/>
      <c r="E209" s="71" t="n"/>
      <c r="F209" s="65" t="n"/>
      <c r="G209" s="74" t="str">
        <f>IF(A209="","",SUMIFS(po_qty,po_ref,A209,po_status,"&lt;&gt;Annulé"))</f>
        <v/>
      </c>
      <c r="H209" s="74" t="str">
        <f>IF(A209="","",SUMIFS(po_rcv,po_ref,A209,po_status,"&lt;&gt;Annulé"))</f>
        <v/>
      </c>
      <c r="I209" s="74" t="str">
        <f>IF(A209="","",SUMIFS(po_rest,po_ref,A209,po_key,"&gt;0"))</f>
        <v/>
      </c>
      <c r="J209" s="70" t="str">
        <f>IF(A209="","",IF(COUNTIFS(po_ref,A209,po_status,"&lt;&gt;Annulé")=0,"",INDEX(po_price,SUMPRODUCT(MAX((po_ref=A209)*(po_status&lt;&gt;"Annulé")*(ROW(po_ref)-5))))))</f>
        <v/>
      </c>
      <c r="K209" s="67" t="str">
        <f>IF(A209="","",IF(COUNTIF(art_ref,A209)&gt;1,"Référence en double",IF(B209="","Désignation manquante",IF(NOT(ISNUMBER(D209)),"Prix manquant",IF(E209="","TVA manquante",IF(ISNA(MATCH(E209,p_tva,0)),"Taux de TVA inconnu",IF(AND(F209&lt;&gt;"",ISNA(MATCH(F209,sup_code,0))),"Fournisseur inconnu","OK")))))))</f>
        <v/>
      </c>
    </row>
    <row r="210">
      <c r="A210" s="63" t="n"/>
      <c r="B210" s="63" t="n"/>
      <c r="C210" s="65" t="n"/>
      <c r="D210" s="69" t="n"/>
      <c r="E210" s="71" t="n"/>
      <c r="F210" s="65" t="n"/>
      <c r="G210" s="74" t="str">
        <f>IF(A210="","",SUMIFS(po_qty,po_ref,A210,po_status,"&lt;&gt;Annulé"))</f>
        <v/>
      </c>
      <c r="H210" s="74" t="str">
        <f>IF(A210="","",SUMIFS(po_rcv,po_ref,A210,po_status,"&lt;&gt;Annulé"))</f>
        <v/>
      </c>
      <c r="I210" s="74" t="str">
        <f>IF(A210="","",SUMIFS(po_rest,po_ref,A210,po_key,"&gt;0"))</f>
        <v/>
      </c>
      <c r="J210" s="70" t="str">
        <f>IF(A210="","",IF(COUNTIFS(po_ref,A210,po_status,"&lt;&gt;Annulé")=0,"",INDEX(po_price,SUMPRODUCT(MAX((po_ref=A210)*(po_status&lt;&gt;"Annulé")*(ROW(po_ref)-5))))))</f>
        <v/>
      </c>
      <c r="K210" s="67" t="str">
        <f>IF(A210="","",IF(COUNTIF(art_ref,A210)&gt;1,"Référence en double",IF(B210="","Désignation manquante",IF(NOT(ISNUMBER(D210)),"Prix manquant",IF(E210="","TVA manquante",IF(ISNA(MATCH(E210,p_tva,0)),"Taux de TVA inconnu",IF(AND(F210&lt;&gt;"",ISNA(MATCH(F210,sup_code,0))),"Fournisseur inconnu","OK")))))))</f>
        <v/>
      </c>
    </row>
    <row r="211">
      <c r="A211" s="63" t="n"/>
      <c r="B211" s="63" t="n"/>
      <c r="C211" s="65" t="n"/>
      <c r="D211" s="69" t="n"/>
      <c r="E211" s="71" t="n"/>
      <c r="F211" s="65" t="n"/>
      <c r="G211" s="74" t="str">
        <f>IF(A211="","",SUMIFS(po_qty,po_ref,A211,po_status,"&lt;&gt;Annulé"))</f>
        <v/>
      </c>
      <c r="H211" s="74" t="str">
        <f>IF(A211="","",SUMIFS(po_rcv,po_ref,A211,po_status,"&lt;&gt;Annulé"))</f>
        <v/>
      </c>
      <c r="I211" s="74" t="str">
        <f>IF(A211="","",SUMIFS(po_rest,po_ref,A211,po_key,"&gt;0"))</f>
        <v/>
      </c>
      <c r="J211" s="70" t="str">
        <f>IF(A211="","",IF(COUNTIFS(po_ref,A211,po_status,"&lt;&gt;Annulé")=0,"",INDEX(po_price,SUMPRODUCT(MAX((po_ref=A211)*(po_status&lt;&gt;"Annulé")*(ROW(po_ref)-5))))))</f>
        <v/>
      </c>
      <c r="K211" s="67" t="str">
        <f>IF(A211="","",IF(COUNTIF(art_ref,A211)&gt;1,"Référence en double",IF(B211="","Désignation manquante",IF(NOT(ISNUMBER(D211)),"Prix manquant",IF(E211="","TVA manquante",IF(ISNA(MATCH(E211,p_tva,0)),"Taux de TVA inconnu",IF(AND(F211&lt;&gt;"",ISNA(MATCH(F211,sup_code,0))),"Fournisseur inconnu","OK")))))))</f>
        <v/>
      </c>
    </row>
    <row r="212">
      <c r="A212" s="63" t="n"/>
      <c r="B212" s="63" t="n"/>
      <c r="C212" s="65" t="n"/>
      <c r="D212" s="69" t="n"/>
      <c r="E212" s="71" t="n"/>
      <c r="F212" s="65" t="n"/>
      <c r="G212" s="74" t="str">
        <f>IF(A212="","",SUMIFS(po_qty,po_ref,A212,po_status,"&lt;&gt;Annulé"))</f>
        <v/>
      </c>
      <c r="H212" s="74" t="str">
        <f>IF(A212="","",SUMIFS(po_rcv,po_ref,A212,po_status,"&lt;&gt;Annulé"))</f>
        <v/>
      </c>
      <c r="I212" s="74" t="str">
        <f>IF(A212="","",SUMIFS(po_rest,po_ref,A212,po_key,"&gt;0"))</f>
        <v/>
      </c>
      <c r="J212" s="70" t="str">
        <f>IF(A212="","",IF(COUNTIFS(po_ref,A212,po_status,"&lt;&gt;Annulé")=0,"",INDEX(po_price,SUMPRODUCT(MAX((po_ref=A212)*(po_status&lt;&gt;"Annulé")*(ROW(po_ref)-5))))))</f>
        <v/>
      </c>
      <c r="K212" s="67" t="str">
        <f>IF(A212="","",IF(COUNTIF(art_ref,A212)&gt;1,"Référence en double",IF(B212="","Désignation manquante",IF(NOT(ISNUMBER(D212)),"Prix manquant",IF(E212="","TVA manquante",IF(ISNA(MATCH(E212,p_tva,0)),"Taux de TVA inconnu",IF(AND(F212&lt;&gt;"",ISNA(MATCH(F212,sup_code,0))),"Fournisseur inconnu","OK")))))))</f>
        <v/>
      </c>
    </row>
    <row r="213">
      <c r="A213" s="63" t="n"/>
      <c r="B213" s="63" t="n"/>
      <c r="C213" s="65" t="n"/>
      <c r="D213" s="69" t="n"/>
      <c r="E213" s="71" t="n"/>
      <c r="F213" s="65" t="n"/>
      <c r="G213" s="74" t="str">
        <f>IF(A213="","",SUMIFS(po_qty,po_ref,A213,po_status,"&lt;&gt;Annulé"))</f>
        <v/>
      </c>
      <c r="H213" s="74" t="str">
        <f>IF(A213="","",SUMIFS(po_rcv,po_ref,A213,po_status,"&lt;&gt;Annulé"))</f>
        <v/>
      </c>
      <c r="I213" s="74" t="str">
        <f>IF(A213="","",SUMIFS(po_rest,po_ref,A213,po_key,"&gt;0"))</f>
        <v/>
      </c>
      <c r="J213" s="70" t="str">
        <f>IF(A213="","",IF(COUNTIFS(po_ref,A213,po_status,"&lt;&gt;Annulé")=0,"",INDEX(po_price,SUMPRODUCT(MAX((po_ref=A213)*(po_status&lt;&gt;"Annulé")*(ROW(po_ref)-5))))))</f>
        <v/>
      </c>
      <c r="K213" s="67" t="str">
        <f>IF(A213="","",IF(COUNTIF(art_ref,A213)&gt;1,"Référence en double",IF(B213="","Désignation manquante",IF(NOT(ISNUMBER(D213)),"Prix manquant",IF(E213="","TVA manquante",IF(ISNA(MATCH(E213,p_tva,0)),"Taux de TVA inconnu",IF(AND(F213&lt;&gt;"",ISNA(MATCH(F213,sup_code,0))),"Fournisseur inconnu","OK")))))))</f>
        <v/>
      </c>
    </row>
    <row r="214">
      <c r="A214" s="63" t="n"/>
      <c r="B214" s="63" t="n"/>
      <c r="C214" s="65" t="n"/>
      <c r="D214" s="69" t="n"/>
      <c r="E214" s="71" t="n"/>
      <c r="F214" s="65" t="n"/>
      <c r="G214" s="74" t="str">
        <f>IF(A214="","",SUMIFS(po_qty,po_ref,A214,po_status,"&lt;&gt;Annulé"))</f>
        <v/>
      </c>
      <c r="H214" s="74" t="str">
        <f>IF(A214="","",SUMIFS(po_rcv,po_ref,A214,po_status,"&lt;&gt;Annulé"))</f>
        <v/>
      </c>
      <c r="I214" s="74" t="str">
        <f>IF(A214="","",SUMIFS(po_rest,po_ref,A214,po_key,"&gt;0"))</f>
        <v/>
      </c>
      <c r="J214" s="70" t="str">
        <f>IF(A214="","",IF(COUNTIFS(po_ref,A214,po_status,"&lt;&gt;Annulé")=0,"",INDEX(po_price,SUMPRODUCT(MAX((po_ref=A214)*(po_status&lt;&gt;"Annulé")*(ROW(po_ref)-5))))))</f>
        <v/>
      </c>
      <c r="K214" s="67" t="str">
        <f>IF(A214="","",IF(COUNTIF(art_ref,A214)&gt;1,"Référence en double",IF(B214="","Désignation manquante",IF(NOT(ISNUMBER(D214)),"Prix manquant",IF(E214="","TVA manquante",IF(ISNA(MATCH(E214,p_tva,0)),"Taux de TVA inconnu",IF(AND(F214&lt;&gt;"",ISNA(MATCH(F214,sup_code,0))),"Fournisseur inconnu","OK")))))))</f>
        <v/>
      </c>
    </row>
    <row r="215">
      <c r="A215" s="63" t="n"/>
      <c r="B215" s="63" t="n"/>
      <c r="C215" s="65" t="n"/>
      <c r="D215" s="69" t="n"/>
      <c r="E215" s="71" t="n"/>
      <c r="F215" s="65" t="n"/>
      <c r="G215" s="74" t="str">
        <f>IF(A215="","",SUMIFS(po_qty,po_ref,A215,po_status,"&lt;&gt;Annulé"))</f>
        <v/>
      </c>
      <c r="H215" s="74" t="str">
        <f>IF(A215="","",SUMIFS(po_rcv,po_ref,A215,po_status,"&lt;&gt;Annulé"))</f>
        <v/>
      </c>
      <c r="I215" s="74" t="str">
        <f>IF(A215="","",SUMIFS(po_rest,po_ref,A215,po_key,"&gt;0"))</f>
        <v/>
      </c>
      <c r="J215" s="70" t="str">
        <f>IF(A215="","",IF(COUNTIFS(po_ref,A215,po_status,"&lt;&gt;Annulé")=0,"",INDEX(po_price,SUMPRODUCT(MAX((po_ref=A215)*(po_status&lt;&gt;"Annulé")*(ROW(po_ref)-5))))))</f>
        <v/>
      </c>
      <c r="K215" s="67" t="str">
        <f>IF(A215="","",IF(COUNTIF(art_ref,A215)&gt;1,"Référence en double",IF(B215="","Désignation manquante",IF(NOT(ISNUMBER(D215)),"Prix manquant",IF(E215="","TVA manquante",IF(ISNA(MATCH(E215,p_tva,0)),"Taux de TVA inconnu",IF(AND(F215&lt;&gt;"",ISNA(MATCH(F215,sup_code,0))),"Fournisseur inconnu","OK")))))))</f>
        <v/>
      </c>
    </row>
    <row r="216">
      <c r="A216" s="63" t="n"/>
      <c r="B216" s="63" t="n"/>
      <c r="C216" s="65" t="n"/>
      <c r="D216" s="69" t="n"/>
      <c r="E216" s="71" t="n"/>
      <c r="F216" s="65" t="n"/>
      <c r="G216" s="74" t="str">
        <f>IF(A216="","",SUMIFS(po_qty,po_ref,A216,po_status,"&lt;&gt;Annulé"))</f>
        <v/>
      </c>
      <c r="H216" s="74" t="str">
        <f>IF(A216="","",SUMIFS(po_rcv,po_ref,A216,po_status,"&lt;&gt;Annulé"))</f>
        <v/>
      </c>
      <c r="I216" s="74" t="str">
        <f>IF(A216="","",SUMIFS(po_rest,po_ref,A216,po_key,"&gt;0"))</f>
        <v/>
      </c>
      <c r="J216" s="70" t="str">
        <f>IF(A216="","",IF(COUNTIFS(po_ref,A216,po_status,"&lt;&gt;Annulé")=0,"",INDEX(po_price,SUMPRODUCT(MAX((po_ref=A216)*(po_status&lt;&gt;"Annulé")*(ROW(po_ref)-5))))))</f>
        <v/>
      </c>
      <c r="K216" s="67" t="str">
        <f>IF(A216="","",IF(COUNTIF(art_ref,A216)&gt;1,"Référence en double",IF(B216="","Désignation manquante",IF(NOT(ISNUMBER(D216)),"Prix manquant",IF(E216="","TVA manquante",IF(ISNA(MATCH(E216,p_tva,0)),"Taux de TVA inconnu",IF(AND(F216&lt;&gt;"",ISNA(MATCH(F216,sup_code,0))),"Fournisseur inconnu","OK")))))))</f>
        <v/>
      </c>
    </row>
    <row r="217">
      <c r="A217" s="63" t="n"/>
      <c r="B217" s="63" t="n"/>
      <c r="C217" s="65" t="n"/>
      <c r="D217" s="69" t="n"/>
      <c r="E217" s="71" t="n"/>
      <c r="F217" s="65" t="n"/>
      <c r="G217" s="74" t="str">
        <f>IF(A217="","",SUMIFS(po_qty,po_ref,A217,po_status,"&lt;&gt;Annulé"))</f>
        <v/>
      </c>
      <c r="H217" s="74" t="str">
        <f>IF(A217="","",SUMIFS(po_rcv,po_ref,A217,po_status,"&lt;&gt;Annulé"))</f>
        <v/>
      </c>
      <c r="I217" s="74" t="str">
        <f>IF(A217="","",SUMIFS(po_rest,po_ref,A217,po_key,"&gt;0"))</f>
        <v/>
      </c>
      <c r="J217" s="70" t="str">
        <f>IF(A217="","",IF(COUNTIFS(po_ref,A217,po_status,"&lt;&gt;Annulé")=0,"",INDEX(po_price,SUMPRODUCT(MAX((po_ref=A217)*(po_status&lt;&gt;"Annulé")*(ROW(po_ref)-5))))))</f>
        <v/>
      </c>
      <c r="K217" s="67" t="str">
        <f>IF(A217="","",IF(COUNTIF(art_ref,A217)&gt;1,"Référence en double",IF(B217="","Désignation manquante",IF(NOT(ISNUMBER(D217)),"Prix manquant",IF(E217="","TVA manquante",IF(ISNA(MATCH(E217,p_tva,0)),"Taux de TVA inconnu",IF(AND(F217&lt;&gt;"",ISNA(MATCH(F217,sup_code,0))),"Fournisseur inconnu","OK")))))))</f>
        <v/>
      </c>
    </row>
    <row r="218">
      <c r="A218" s="63" t="n"/>
      <c r="B218" s="63" t="n"/>
      <c r="C218" s="65" t="n"/>
      <c r="D218" s="69" t="n"/>
      <c r="E218" s="71" t="n"/>
      <c r="F218" s="65" t="n"/>
      <c r="G218" s="74" t="str">
        <f>IF(A218="","",SUMIFS(po_qty,po_ref,A218,po_status,"&lt;&gt;Annulé"))</f>
        <v/>
      </c>
      <c r="H218" s="74" t="str">
        <f>IF(A218="","",SUMIFS(po_rcv,po_ref,A218,po_status,"&lt;&gt;Annulé"))</f>
        <v/>
      </c>
      <c r="I218" s="74" t="str">
        <f>IF(A218="","",SUMIFS(po_rest,po_ref,A218,po_key,"&gt;0"))</f>
        <v/>
      </c>
      <c r="J218" s="70" t="str">
        <f>IF(A218="","",IF(COUNTIFS(po_ref,A218,po_status,"&lt;&gt;Annulé")=0,"",INDEX(po_price,SUMPRODUCT(MAX((po_ref=A218)*(po_status&lt;&gt;"Annulé")*(ROW(po_ref)-5))))))</f>
        <v/>
      </c>
      <c r="K218" s="67" t="str">
        <f>IF(A218="","",IF(COUNTIF(art_ref,A218)&gt;1,"Référence en double",IF(B218="","Désignation manquante",IF(NOT(ISNUMBER(D218)),"Prix manquant",IF(E218="","TVA manquante",IF(ISNA(MATCH(E218,p_tva,0)),"Taux de TVA inconnu",IF(AND(F218&lt;&gt;"",ISNA(MATCH(F218,sup_code,0))),"Fournisseur inconnu","OK")))))))</f>
        <v/>
      </c>
    </row>
    <row r="219">
      <c r="A219" s="63" t="n"/>
      <c r="B219" s="63" t="n"/>
      <c r="C219" s="65" t="n"/>
      <c r="D219" s="69" t="n"/>
      <c r="E219" s="71" t="n"/>
      <c r="F219" s="65" t="n"/>
      <c r="G219" s="74" t="str">
        <f>IF(A219="","",SUMIFS(po_qty,po_ref,A219,po_status,"&lt;&gt;Annulé"))</f>
        <v/>
      </c>
      <c r="H219" s="74" t="str">
        <f>IF(A219="","",SUMIFS(po_rcv,po_ref,A219,po_status,"&lt;&gt;Annulé"))</f>
        <v/>
      </c>
      <c r="I219" s="74" t="str">
        <f>IF(A219="","",SUMIFS(po_rest,po_ref,A219,po_key,"&gt;0"))</f>
        <v/>
      </c>
      <c r="J219" s="70" t="str">
        <f>IF(A219="","",IF(COUNTIFS(po_ref,A219,po_status,"&lt;&gt;Annulé")=0,"",INDEX(po_price,SUMPRODUCT(MAX((po_ref=A219)*(po_status&lt;&gt;"Annulé")*(ROW(po_ref)-5))))))</f>
        <v/>
      </c>
      <c r="K219" s="67" t="str">
        <f>IF(A219="","",IF(COUNTIF(art_ref,A219)&gt;1,"Référence en double",IF(B219="","Désignation manquante",IF(NOT(ISNUMBER(D219)),"Prix manquant",IF(E219="","TVA manquante",IF(ISNA(MATCH(E219,p_tva,0)),"Taux de TVA inconnu",IF(AND(F219&lt;&gt;"",ISNA(MATCH(F219,sup_code,0))),"Fournisseur inconnu","OK")))))))</f>
        <v/>
      </c>
    </row>
    <row r="220">
      <c r="A220" s="63" t="n"/>
      <c r="B220" s="63" t="n"/>
      <c r="C220" s="65" t="n"/>
      <c r="D220" s="69" t="n"/>
      <c r="E220" s="71" t="n"/>
      <c r="F220" s="65" t="n"/>
      <c r="G220" s="74" t="str">
        <f>IF(A220="","",SUMIFS(po_qty,po_ref,A220,po_status,"&lt;&gt;Annulé"))</f>
        <v/>
      </c>
      <c r="H220" s="74" t="str">
        <f>IF(A220="","",SUMIFS(po_rcv,po_ref,A220,po_status,"&lt;&gt;Annulé"))</f>
        <v/>
      </c>
      <c r="I220" s="74" t="str">
        <f>IF(A220="","",SUMIFS(po_rest,po_ref,A220,po_key,"&gt;0"))</f>
        <v/>
      </c>
      <c r="J220" s="70" t="str">
        <f>IF(A220="","",IF(COUNTIFS(po_ref,A220,po_status,"&lt;&gt;Annulé")=0,"",INDEX(po_price,SUMPRODUCT(MAX((po_ref=A220)*(po_status&lt;&gt;"Annulé")*(ROW(po_ref)-5))))))</f>
        <v/>
      </c>
      <c r="K220" s="67" t="str">
        <f>IF(A220="","",IF(COUNTIF(art_ref,A220)&gt;1,"Référence en double",IF(B220="","Désignation manquante",IF(NOT(ISNUMBER(D220)),"Prix manquant",IF(E220="","TVA manquante",IF(ISNA(MATCH(E220,p_tva,0)),"Taux de TVA inconnu",IF(AND(F220&lt;&gt;"",ISNA(MATCH(F220,sup_code,0))),"Fournisseur inconnu","OK")))))))</f>
        <v/>
      </c>
    </row>
    <row r="221">
      <c r="A221" s="63" t="n"/>
      <c r="B221" s="63" t="n"/>
      <c r="C221" s="65" t="n"/>
      <c r="D221" s="69" t="n"/>
      <c r="E221" s="71" t="n"/>
      <c r="F221" s="65" t="n"/>
      <c r="G221" s="74" t="str">
        <f>IF(A221="","",SUMIFS(po_qty,po_ref,A221,po_status,"&lt;&gt;Annulé"))</f>
        <v/>
      </c>
      <c r="H221" s="74" t="str">
        <f>IF(A221="","",SUMIFS(po_rcv,po_ref,A221,po_status,"&lt;&gt;Annulé"))</f>
        <v/>
      </c>
      <c r="I221" s="74" t="str">
        <f>IF(A221="","",SUMIFS(po_rest,po_ref,A221,po_key,"&gt;0"))</f>
        <v/>
      </c>
      <c r="J221" s="70" t="str">
        <f>IF(A221="","",IF(COUNTIFS(po_ref,A221,po_status,"&lt;&gt;Annulé")=0,"",INDEX(po_price,SUMPRODUCT(MAX((po_ref=A221)*(po_status&lt;&gt;"Annulé")*(ROW(po_ref)-5))))))</f>
        <v/>
      </c>
      <c r="K221" s="67" t="str">
        <f>IF(A221="","",IF(COUNTIF(art_ref,A221)&gt;1,"Référence en double",IF(B221="","Désignation manquante",IF(NOT(ISNUMBER(D221)),"Prix manquant",IF(E221="","TVA manquante",IF(ISNA(MATCH(E221,p_tva,0)),"Taux de TVA inconnu",IF(AND(F221&lt;&gt;"",ISNA(MATCH(F221,sup_code,0))),"Fournisseur inconnu","OK")))))))</f>
        <v/>
      </c>
    </row>
    <row r="222">
      <c r="A222" s="63" t="n"/>
      <c r="B222" s="63" t="n"/>
      <c r="C222" s="65" t="n"/>
      <c r="D222" s="69" t="n"/>
      <c r="E222" s="71" t="n"/>
      <c r="F222" s="65" t="n"/>
      <c r="G222" s="74" t="str">
        <f>IF(A222="","",SUMIFS(po_qty,po_ref,A222,po_status,"&lt;&gt;Annulé"))</f>
        <v/>
      </c>
      <c r="H222" s="74" t="str">
        <f>IF(A222="","",SUMIFS(po_rcv,po_ref,A222,po_status,"&lt;&gt;Annulé"))</f>
        <v/>
      </c>
      <c r="I222" s="74" t="str">
        <f>IF(A222="","",SUMIFS(po_rest,po_ref,A222,po_key,"&gt;0"))</f>
        <v/>
      </c>
      <c r="J222" s="70" t="str">
        <f>IF(A222="","",IF(COUNTIFS(po_ref,A222,po_status,"&lt;&gt;Annulé")=0,"",INDEX(po_price,SUMPRODUCT(MAX((po_ref=A222)*(po_status&lt;&gt;"Annulé")*(ROW(po_ref)-5))))))</f>
        <v/>
      </c>
      <c r="K222" s="67" t="str">
        <f>IF(A222="","",IF(COUNTIF(art_ref,A222)&gt;1,"Référence en double",IF(B222="","Désignation manquante",IF(NOT(ISNUMBER(D222)),"Prix manquant",IF(E222="","TVA manquante",IF(ISNA(MATCH(E222,p_tva,0)),"Taux de TVA inconnu",IF(AND(F222&lt;&gt;"",ISNA(MATCH(F222,sup_code,0))),"Fournisseur inconnu","OK")))))))</f>
        <v/>
      </c>
    </row>
    <row r="223">
      <c r="A223" s="63" t="n"/>
      <c r="B223" s="63" t="n"/>
      <c r="C223" s="65" t="n"/>
      <c r="D223" s="69" t="n"/>
      <c r="E223" s="71" t="n"/>
      <c r="F223" s="65" t="n"/>
      <c r="G223" s="74" t="str">
        <f>IF(A223="","",SUMIFS(po_qty,po_ref,A223,po_status,"&lt;&gt;Annulé"))</f>
        <v/>
      </c>
      <c r="H223" s="74" t="str">
        <f>IF(A223="","",SUMIFS(po_rcv,po_ref,A223,po_status,"&lt;&gt;Annulé"))</f>
        <v/>
      </c>
      <c r="I223" s="74" t="str">
        <f>IF(A223="","",SUMIFS(po_rest,po_ref,A223,po_key,"&gt;0"))</f>
        <v/>
      </c>
      <c r="J223" s="70" t="str">
        <f>IF(A223="","",IF(COUNTIFS(po_ref,A223,po_status,"&lt;&gt;Annulé")=0,"",INDEX(po_price,SUMPRODUCT(MAX((po_ref=A223)*(po_status&lt;&gt;"Annulé")*(ROW(po_ref)-5))))))</f>
        <v/>
      </c>
      <c r="K223" s="67" t="str">
        <f>IF(A223="","",IF(COUNTIF(art_ref,A223)&gt;1,"Référence en double",IF(B223="","Désignation manquante",IF(NOT(ISNUMBER(D223)),"Prix manquant",IF(E223="","TVA manquante",IF(ISNA(MATCH(E223,p_tva,0)),"Taux de TVA inconnu",IF(AND(F223&lt;&gt;"",ISNA(MATCH(F223,sup_code,0))),"Fournisseur inconnu","OK")))))))</f>
        <v/>
      </c>
    </row>
    <row r="224">
      <c r="A224" s="63" t="n"/>
      <c r="B224" s="63" t="n"/>
      <c r="C224" s="65" t="n"/>
      <c r="D224" s="69" t="n"/>
      <c r="E224" s="71" t="n"/>
      <c r="F224" s="65" t="n"/>
      <c r="G224" s="74" t="str">
        <f>IF(A224="","",SUMIFS(po_qty,po_ref,A224,po_status,"&lt;&gt;Annulé"))</f>
        <v/>
      </c>
      <c r="H224" s="74" t="str">
        <f>IF(A224="","",SUMIFS(po_rcv,po_ref,A224,po_status,"&lt;&gt;Annulé"))</f>
        <v/>
      </c>
      <c r="I224" s="74" t="str">
        <f>IF(A224="","",SUMIFS(po_rest,po_ref,A224,po_key,"&gt;0"))</f>
        <v/>
      </c>
      <c r="J224" s="70" t="str">
        <f>IF(A224="","",IF(COUNTIFS(po_ref,A224,po_status,"&lt;&gt;Annulé")=0,"",INDEX(po_price,SUMPRODUCT(MAX((po_ref=A224)*(po_status&lt;&gt;"Annulé")*(ROW(po_ref)-5))))))</f>
        <v/>
      </c>
      <c r="K224" s="67" t="str">
        <f>IF(A224="","",IF(COUNTIF(art_ref,A224)&gt;1,"Référence en double",IF(B224="","Désignation manquante",IF(NOT(ISNUMBER(D224)),"Prix manquant",IF(E224="","TVA manquante",IF(ISNA(MATCH(E224,p_tva,0)),"Taux de TVA inconnu",IF(AND(F224&lt;&gt;"",ISNA(MATCH(F224,sup_code,0))),"Fournisseur inconnu","OK")))))))</f>
        <v/>
      </c>
    </row>
    <row r="225">
      <c r="A225" s="63" t="n"/>
      <c r="B225" s="63" t="n"/>
      <c r="C225" s="65" t="n"/>
      <c r="D225" s="69" t="n"/>
      <c r="E225" s="71" t="n"/>
      <c r="F225" s="65" t="n"/>
      <c r="G225" s="74" t="str">
        <f>IF(A225="","",SUMIFS(po_qty,po_ref,A225,po_status,"&lt;&gt;Annulé"))</f>
        <v/>
      </c>
      <c r="H225" s="74" t="str">
        <f>IF(A225="","",SUMIFS(po_rcv,po_ref,A225,po_status,"&lt;&gt;Annulé"))</f>
        <v/>
      </c>
      <c r="I225" s="74" t="str">
        <f>IF(A225="","",SUMIFS(po_rest,po_ref,A225,po_key,"&gt;0"))</f>
        <v/>
      </c>
      <c r="J225" s="70" t="str">
        <f>IF(A225="","",IF(COUNTIFS(po_ref,A225,po_status,"&lt;&gt;Annulé")=0,"",INDEX(po_price,SUMPRODUCT(MAX((po_ref=A225)*(po_status&lt;&gt;"Annulé")*(ROW(po_ref)-5))))))</f>
        <v/>
      </c>
      <c r="K225" s="67" t="str">
        <f>IF(A225="","",IF(COUNTIF(art_ref,A225)&gt;1,"Référence en double",IF(B225="","Désignation manquante",IF(NOT(ISNUMBER(D225)),"Prix manquant",IF(E225="","TVA manquante",IF(ISNA(MATCH(E225,p_tva,0)),"Taux de TVA inconnu",IF(AND(F225&lt;&gt;"",ISNA(MATCH(F225,sup_code,0))),"Fournisseur inconnu","OK")))))))</f>
        <v/>
      </c>
    </row>
    <row r="226">
      <c r="A226" s="63" t="n"/>
      <c r="B226" s="63" t="n"/>
      <c r="C226" s="65" t="n"/>
      <c r="D226" s="69" t="n"/>
      <c r="E226" s="71" t="n"/>
      <c r="F226" s="65" t="n"/>
      <c r="G226" s="74" t="str">
        <f>IF(A226="","",SUMIFS(po_qty,po_ref,A226,po_status,"&lt;&gt;Annulé"))</f>
        <v/>
      </c>
      <c r="H226" s="74" t="str">
        <f>IF(A226="","",SUMIFS(po_rcv,po_ref,A226,po_status,"&lt;&gt;Annulé"))</f>
        <v/>
      </c>
      <c r="I226" s="74" t="str">
        <f>IF(A226="","",SUMIFS(po_rest,po_ref,A226,po_key,"&gt;0"))</f>
        <v/>
      </c>
      <c r="J226" s="70" t="str">
        <f>IF(A226="","",IF(COUNTIFS(po_ref,A226,po_status,"&lt;&gt;Annulé")=0,"",INDEX(po_price,SUMPRODUCT(MAX((po_ref=A226)*(po_status&lt;&gt;"Annulé")*(ROW(po_ref)-5))))))</f>
        <v/>
      </c>
      <c r="K226" s="67" t="str">
        <f>IF(A226="","",IF(COUNTIF(art_ref,A226)&gt;1,"Référence en double",IF(B226="","Désignation manquante",IF(NOT(ISNUMBER(D226)),"Prix manquant",IF(E226="","TVA manquante",IF(ISNA(MATCH(E226,p_tva,0)),"Taux de TVA inconnu",IF(AND(F226&lt;&gt;"",ISNA(MATCH(F226,sup_code,0))),"Fournisseur inconnu","OK")))))))</f>
        <v/>
      </c>
    </row>
    <row r="227">
      <c r="A227" s="63" t="n"/>
      <c r="B227" s="63" t="n"/>
      <c r="C227" s="65" t="n"/>
      <c r="D227" s="69" t="n"/>
      <c r="E227" s="71" t="n"/>
      <c r="F227" s="65" t="n"/>
      <c r="G227" s="74" t="str">
        <f>IF(A227="","",SUMIFS(po_qty,po_ref,A227,po_status,"&lt;&gt;Annulé"))</f>
        <v/>
      </c>
      <c r="H227" s="74" t="str">
        <f>IF(A227="","",SUMIFS(po_rcv,po_ref,A227,po_status,"&lt;&gt;Annulé"))</f>
        <v/>
      </c>
      <c r="I227" s="74" t="str">
        <f>IF(A227="","",SUMIFS(po_rest,po_ref,A227,po_key,"&gt;0"))</f>
        <v/>
      </c>
      <c r="J227" s="70" t="str">
        <f>IF(A227="","",IF(COUNTIFS(po_ref,A227,po_status,"&lt;&gt;Annulé")=0,"",INDEX(po_price,SUMPRODUCT(MAX((po_ref=A227)*(po_status&lt;&gt;"Annulé")*(ROW(po_ref)-5))))))</f>
        <v/>
      </c>
      <c r="K227" s="67" t="str">
        <f>IF(A227="","",IF(COUNTIF(art_ref,A227)&gt;1,"Référence en double",IF(B227="","Désignation manquante",IF(NOT(ISNUMBER(D227)),"Prix manquant",IF(E227="","TVA manquante",IF(ISNA(MATCH(E227,p_tva,0)),"Taux de TVA inconnu",IF(AND(F227&lt;&gt;"",ISNA(MATCH(F227,sup_code,0))),"Fournisseur inconnu","OK")))))))</f>
        <v/>
      </c>
    </row>
    <row r="228">
      <c r="A228" s="63" t="n"/>
      <c r="B228" s="63" t="n"/>
      <c r="C228" s="65" t="n"/>
      <c r="D228" s="69" t="n"/>
      <c r="E228" s="71" t="n"/>
      <c r="F228" s="65" t="n"/>
      <c r="G228" s="74" t="str">
        <f>IF(A228="","",SUMIFS(po_qty,po_ref,A228,po_status,"&lt;&gt;Annulé"))</f>
        <v/>
      </c>
      <c r="H228" s="74" t="str">
        <f>IF(A228="","",SUMIFS(po_rcv,po_ref,A228,po_status,"&lt;&gt;Annulé"))</f>
        <v/>
      </c>
      <c r="I228" s="74" t="str">
        <f>IF(A228="","",SUMIFS(po_rest,po_ref,A228,po_key,"&gt;0"))</f>
        <v/>
      </c>
      <c r="J228" s="70" t="str">
        <f>IF(A228="","",IF(COUNTIFS(po_ref,A228,po_status,"&lt;&gt;Annulé")=0,"",INDEX(po_price,SUMPRODUCT(MAX((po_ref=A228)*(po_status&lt;&gt;"Annulé")*(ROW(po_ref)-5))))))</f>
        <v/>
      </c>
      <c r="K228" s="67" t="str">
        <f>IF(A228="","",IF(COUNTIF(art_ref,A228)&gt;1,"Référence en double",IF(B228="","Désignation manquante",IF(NOT(ISNUMBER(D228)),"Prix manquant",IF(E228="","TVA manquante",IF(ISNA(MATCH(E228,p_tva,0)),"Taux de TVA inconnu",IF(AND(F228&lt;&gt;"",ISNA(MATCH(F228,sup_code,0))),"Fournisseur inconnu","OK")))))))</f>
        <v/>
      </c>
    </row>
    <row r="229">
      <c r="A229" s="63" t="n"/>
      <c r="B229" s="63" t="n"/>
      <c r="C229" s="65" t="n"/>
      <c r="D229" s="69" t="n"/>
      <c r="E229" s="71" t="n"/>
      <c r="F229" s="65" t="n"/>
      <c r="G229" s="74" t="str">
        <f>IF(A229="","",SUMIFS(po_qty,po_ref,A229,po_status,"&lt;&gt;Annulé"))</f>
        <v/>
      </c>
      <c r="H229" s="74" t="str">
        <f>IF(A229="","",SUMIFS(po_rcv,po_ref,A229,po_status,"&lt;&gt;Annulé"))</f>
        <v/>
      </c>
      <c r="I229" s="74" t="str">
        <f>IF(A229="","",SUMIFS(po_rest,po_ref,A229,po_key,"&gt;0"))</f>
        <v/>
      </c>
      <c r="J229" s="70" t="str">
        <f>IF(A229="","",IF(COUNTIFS(po_ref,A229,po_status,"&lt;&gt;Annulé")=0,"",INDEX(po_price,SUMPRODUCT(MAX((po_ref=A229)*(po_status&lt;&gt;"Annulé")*(ROW(po_ref)-5))))))</f>
        <v/>
      </c>
      <c r="K229" s="67" t="str">
        <f>IF(A229="","",IF(COUNTIF(art_ref,A229)&gt;1,"Référence en double",IF(B229="","Désignation manquante",IF(NOT(ISNUMBER(D229)),"Prix manquant",IF(E229="","TVA manquante",IF(ISNA(MATCH(E229,p_tva,0)),"Taux de TVA inconnu",IF(AND(F229&lt;&gt;"",ISNA(MATCH(F229,sup_code,0))),"Fournisseur inconnu","OK")))))))</f>
        <v/>
      </c>
    </row>
    <row r="230">
      <c r="A230" s="63" t="n"/>
      <c r="B230" s="63" t="n"/>
      <c r="C230" s="65" t="n"/>
      <c r="D230" s="69" t="n"/>
      <c r="E230" s="71" t="n"/>
      <c r="F230" s="65" t="n"/>
      <c r="G230" s="74" t="str">
        <f>IF(A230="","",SUMIFS(po_qty,po_ref,A230,po_status,"&lt;&gt;Annulé"))</f>
        <v/>
      </c>
      <c r="H230" s="74" t="str">
        <f>IF(A230="","",SUMIFS(po_rcv,po_ref,A230,po_status,"&lt;&gt;Annulé"))</f>
        <v/>
      </c>
      <c r="I230" s="74" t="str">
        <f>IF(A230="","",SUMIFS(po_rest,po_ref,A230,po_key,"&gt;0"))</f>
        <v/>
      </c>
      <c r="J230" s="70" t="str">
        <f>IF(A230="","",IF(COUNTIFS(po_ref,A230,po_status,"&lt;&gt;Annulé")=0,"",INDEX(po_price,SUMPRODUCT(MAX((po_ref=A230)*(po_status&lt;&gt;"Annulé")*(ROW(po_ref)-5))))))</f>
        <v/>
      </c>
      <c r="K230" s="67" t="str">
        <f>IF(A230="","",IF(COUNTIF(art_ref,A230)&gt;1,"Référence en double",IF(B230="","Désignation manquante",IF(NOT(ISNUMBER(D230)),"Prix manquant",IF(E230="","TVA manquante",IF(ISNA(MATCH(E230,p_tva,0)),"Taux de TVA inconnu",IF(AND(F230&lt;&gt;"",ISNA(MATCH(F230,sup_code,0))),"Fournisseur inconnu","OK")))))))</f>
        <v/>
      </c>
    </row>
    <row r="231">
      <c r="A231" s="63" t="n"/>
      <c r="B231" s="63" t="n"/>
      <c r="C231" s="65" t="n"/>
      <c r="D231" s="69" t="n"/>
      <c r="E231" s="71" t="n"/>
      <c r="F231" s="65" t="n"/>
      <c r="G231" s="74" t="str">
        <f>IF(A231="","",SUMIFS(po_qty,po_ref,A231,po_status,"&lt;&gt;Annulé"))</f>
        <v/>
      </c>
      <c r="H231" s="74" t="str">
        <f>IF(A231="","",SUMIFS(po_rcv,po_ref,A231,po_status,"&lt;&gt;Annulé"))</f>
        <v/>
      </c>
      <c r="I231" s="74" t="str">
        <f>IF(A231="","",SUMIFS(po_rest,po_ref,A231,po_key,"&gt;0"))</f>
        <v/>
      </c>
      <c r="J231" s="70" t="str">
        <f>IF(A231="","",IF(COUNTIFS(po_ref,A231,po_status,"&lt;&gt;Annulé")=0,"",INDEX(po_price,SUMPRODUCT(MAX((po_ref=A231)*(po_status&lt;&gt;"Annulé")*(ROW(po_ref)-5))))))</f>
        <v/>
      </c>
      <c r="K231" s="67" t="str">
        <f>IF(A231="","",IF(COUNTIF(art_ref,A231)&gt;1,"Référence en double",IF(B231="","Désignation manquante",IF(NOT(ISNUMBER(D231)),"Prix manquant",IF(E231="","TVA manquante",IF(ISNA(MATCH(E231,p_tva,0)),"Taux de TVA inconnu",IF(AND(F231&lt;&gt;"",ISNA(MATCH(F231,sup_code,0))),"Fournisseur inconnu","OK")))))))</f>
        <v/>
      </c>
    </row>
    <row r="232">
      <c r="A232" s="63" t="n"/>
      <c r="B232" s="63" t="n"/>
      <c r="C232" s="65" t="n"/>
      <c r="D232" s="69" t="n"/>
      <c r="E232" s="71" t="n"/>
      <c r="F232" s="65" t="n"/>
      <c r="G232" s="74" t="str">
        <f>IF(A232="","",SUMIFS(po_qty,po_ref,A232,po_status,"&lt;&gt;Annulé"))</f>
        <v/>
      </c>
      <c r="H232" s="74" t="str">
        <f>IF(A232="","",SUMIFS(po_rcv,po_ref,A232,po_status,"&lt;&gt;Annulé"))</f>
        <v/>
      </c>
      <c r="I232" s="74" t="str">
        <f>IF(A232="","",SUMIFS(po_rest,po_ref,A232,po_key,"&gt;0"))</f>
        <v/>
      </c>
      <c r="J232" s="70" t="str">
        <f>IF(A232="","",IF(COUNTIFS(po_ref,A232,po_status,"&lt;&gt;Annulé")=0,"",INDEX(po_price,SUMPRODUCT(MAX((po_ref=A232)*(po_status&lt;&gt;"Annulé")*(ROW(po_ref)-5))))))</f>
        <v/>
      </c>
      <c r="K232" s="67" t="str">
        <f>IF(A232="","",IF(COUNTIF(art_ref,A232)&gt;1,"Référence en double",IF(B232="","Désignation manquante",IF(NOT(ISNUMBER(D232)),"Prix manquant",IF(E232="","TVA manquante",IF(ISNA(MATCH(E232,p_tva,0)),"Taux de TVA inconnu",IF(AND(F232&lt;&gt;"",ISNA(MATCH(F232,sup_code,0))),"Fournisseur inconnu","OK")))))))</f>
        <v/>
      </c>
    </row>
    <row r="233">
      <c r="A233" s="63" t="n"/>
      <c r="B233" s="63" t="n"/>
      <c r="C233" s="65" t="n"/>
      <c r="D233" s="69" t="n"/>
      <c r="E233" s="71" t="n"/>
      <c r="F233" s="65" t="n"/>
      <c r="G233" s="74" t="str">
        <f>IF(A233="","",SUMIFS(po_qty,po_ref,A233,po_status,"&lt;&gt;Annulé"))</f>
        <v/>
      </c>
      <c r="H233" s="74" t="str">
        <f>IF(A233="","",SUMIFS(po_rcv,po_ref,A233,po_status,"&lt;&gt;Annulé"))</f>
        <v/>
      </c>
      <c r="I233" s="74" t="str">
        <f>IF(A233="","",SUMIFS(po_rest,po_ref,A233,po_key,"&gt;0"))</f>
        <v/>
      </c>
      <c r="J233" s="70" t="str">
        <f>IF(A233="","",IF(COUNTIFS(po_ref,A233,po_status,"&lt;&gt;Annulé")=0,"",INDEX(po_price,SUMPRODUCT(MAX((po_ref=A233)*(po_status&lt;&gt;"Annulé")*(ROW(po_ref)-5))))))</f>
        <v/>
      </c>
      <c r="K233" s="67" t="str">
        <f>IF(A233="","",IF(COUNTIF(art_ref,A233)&gt;1,"Référence en double",IF(B233="","Désignation manquante",IF(NOT(ISNUMBER(D233)),"Prix manquant",IF(E233="","TVA manquante",IF(ISNA(MATCH(E233,p_tva,0)),"Taux de TVA inconnu",IF(AND(F233&lt;&gt;"",ISNA(MATCH(F233,sup_code,0))),"Fournisseur inconnu","OK")))))))</f>
        <v/>
      </c>
    </row>
    <row r="234">
      <c r="A234" s="63" t="n"/>
      <c r="B234" s="63" t="n"/>
      <c r="C234" s="65" t="n"/>
      <c r="D234" s="69" t="n"/>
      <c r="E234" s="71" t="n"/>
      <c r="F234" s="65" t="n"/>
      <c r="G234" s="74" t="str">
        <f>IF(A234="","",SUMIFS(po_qty,po_ref,A234,po_status,"&lt;&gt;Annulé"))</f>
        <v/>
      </c>
      <c r="H234" s="74" t="str">
        <f>IF(A234="","",SUMIFS(po_rcv,po_ref,A234,po_status,"&lt;&gt;Annulé"))</f>
        <v/>
      </c>
      <c r="I234" s="74" t="str">
        <f>IF(A234="","",SUMIFS(po_rest,po_ref,A234,po_key,"&gt;0"))</f>
        <v/>
      </c>
      <c r="J234" s="70" t="str">
        <f>IF(A234="","",IF(COUNTIFS(po_ref,A234,po_status,"&lt;&gt;Annulé")=0,"",INDEX(po_price,SUMPRODUCT(MAX((po_ref=A234)*(po_status&lt;&gt;"Annulé")*(ROW(po_ref)-5))))))</f>
        <v/>
      </c>
      <c r="K234" s="67" t="str">
        <f>IF(A234="","",IF(COUNTIF(art_ref,A234)&gt;1,"Référence en double",IF(B234="","Désignation manquante",IF(NOT(ISNUMBER(D234)),"Prix manquant",IF(E234="","TVA manquante",IF(ISNA(MATCH(E234,p_tva,0)),"Taux de TVA inconnu",IF(AND(F234&lt;&gt;"",ISNA(MATCH(F234,sup_code,0))),"Fournisseur inconnu","OK")))))))</f>
        <v/>
      </c>
    </row>
    <row r="235">
      <c r="A235" s="63" t="n"/>
      <c r="B235" s="63" t="n"/>
      <c r="C235" s="65" t="n"/>
      <c r="D235" s="69" t="n"/>
      <c r="E235" s="71" t="n"/>
      <c r="F235" s="65" t="n"/>
      <c r="G235" s="74" t="str">
        <f>IF(A235="","",SUMIFS(po_qty,po_ref,A235,po_status,"&lt;&gt;Annulé"))</f>
        <v/>
      </c>
      <c r="H235" s="74" t="str">
        <f>IF(A235="","",SUMIFS(po_rcv,po_ref,A235,po_status,"&lt;&gt;Annulé"))</f>
        <v/>
      </c>
      <c r="I235" s="74" t="str">
        <f>IF(A235="","",SUMIFS(po_rest,po_ref,A235,po_key,"&gt;0"))</f>
        <v/>
      </c>
      <c r="J235" s="70" t="str">
        <f>IF(A235="","",IF(COUNTIFS(po_ref,A235,po_status,"&lt;&gt;Annulé")=0,"",INDEX(po_price,SUMPRODUCT(MAX((po_ref=A235)*(po_status&lt;&gt;"Annulé")*(ROW(po_ref)-5))))))</f>
        <v/>
      </c>
      <c r="K235" s="67" t="str">
        <f>IF(A235="","",IF(COUNTIF(art_ref,A235)&gt;1,"Référence en double",IF(B235="","Désignation manquante",IF(NOT(ISNUMBER(D235)),"Prix manquant",IF(E235="","TVA manquante",IF(ISNA(MATCH(E235,p_tva,0)),"Taux de TVA inconnu",IF(AND(F235&lt;&gt;"",ISNA(MATCH(F235,sup_code,0))),"Fournisseur inconnu","OK")))))))</f>
        <v/>
      </c>
    </row>
    <row r="236">
      <c r="A236" s="63" t="n"/>
      <c r="B236" s="63" t="n"/>
      <c r="C236" s="65" t="n"/>
      <c r="D236" s="69" t="n"/>
      <c r="E236" s="71" t="n"/>
      <c r="F236" s="65" t="n"/>
      <c r="G236" s="74" t="str">
        <f>IF(A236="","",SUMIFS(po_qty,po_ref,A236,po_status,"&lt;&gt;Annulé"))</f>
        <v/>
      </c>
      <c r="H236" s="74" t="str">
        <f>IF(A236="","",SUMIFS(po_rcv,po_ref,A236,po_status,"&lt;&gt;Annulé"))</f>
        <v/>
      </c>
      <c r="I236" s="74" t="str">
        <f>IF(A236="","",SUMIFS(po_rest,po_ref,A236,po_key,"&gt;0"))</f>
        <v/>
      </c>
      <c r="J236" s="70" t="str">
        <f>IF(A236="","",IF(COUNTIFS(po_ref,A236,po_status,"&lt;&gt;Annulé")=0,"",INDEX(po_price,SUMPRODUCT(MAX((po_ref=A236)*(po_status&lt;&gt;"Annulé")*(ROW(po_ref)-5))))))</f>
        <v/>
      </c>
      <c r="K236" s="67" t="str">
        <f>IF(A236="","",IF(COUNTIF(art_ref,A236)&gt;1,"Référence en double",IF(B236="","Désignation manquante",IF(NOT(ISNUMBER(D236)),"Prix manquant",IF(E236="","TVA manquante",IF(ISNA(MATCH(E236,p_tva,0)),"Taux de TVA inconnu",IF(AND(F236&lt;&gt;"",ISNA(MATCH(F236,sup_code,0))),"Fournisseur inconnu","OK")))))))</f>
        <v/>
      </c>
    </row>
    <row r="237">
      <c r="A237" s="63" t="n"/>
      <c r="B237" s="63" t="n"/>
      <c r="C237" s="65" t="n"/>
      <c r="D237" s="69" t="n"/>
      <c r="E237" s="71" t="n"/>
      <c r="F237" s="65" t="n"/>
      <c r="G237" s="74" t="str">
        <f>IF(A237="","",SUMIFS(po_qty,po_ref,A237,po_status,"&lt;&gt;Annulé"))</f>
        <v/>
      </c>
      <c r="H237" s="74" t="str">
        <f>IF(A237="","",SUMIFS(po_rcv,po_ref,A237,po_status,"&lt;&gt;Annulé"))</f>
        <v/>
      </c>
      <c r="I237" s="74" t="str">
        <f>IF(A237="","",SUMIFS(po_rest,po_ref,A237,po_key,"&gt;0"))</f>
        <v/>
      </c>
      <c r="J237" s="70" t="str">
        <f>IF(A237="","",IF(COUNTIFS(po_ref,A237,po_status,"&lt;&gt;Annulé")=0,"",INDEX(po_price,SUMPRODUCT(MAX((po_ref=A237)*(po_status&lt;&gt;"Annulé")*(ROW(po_ref)-5))))))</f>
        <v/>
      </c>
      <c r="K237" s="67" t="str">
        <f>IF(A237="","",IF(COUNTIF(art_ref,A237)&gt;1,"Référence en double",IF(B237="","Désignation manquante",IF(NOT(ISNUMBER(D237)),"Prix manquant",IF(E237="","TVA manquante",IF(ISNA(MATCH(E237,p_tva,0)),"Taux de TVA inconnu",IF(AND(F237&lt;&gt;"",ISNA(MATCH(F237,sup_code,0))),"Fournisseur inconnu","OK")))))))</f>
        <v/>
      </c>
    </row>
    <row r="238">
      <c r="A238" s="63" t="n"/>
      <c r="B238" s="63" t="n"/>
      <c r="C238" s="65" t="n"/>
      <c r="D238" s="69" t="n"/>
      <c r="E238" s="71" t="n"/>
      <c r="F238" s="65" t="n"/>
      <c r="G238" s="74" t="str">
        <f>IF(A238="","",SUMIFS(po_qty,po_ref,A238,po_status,"&lt;&gt;Annulé"))</f>
        <v/>
      </c>
      <c r="H238" s="74" t="str">
        <f>IF(A238="","",SUMIFS(po_rcv,po_ref,A238,po_status,"&lt;&gt;Annulé"))</f>
        <v/>
      </c>
      <c r="I238" s="74" t="str">
        <f>IF(A238="","",SUMIFS(po_rest,po_ref,A238,po_key,"&gt;0"))</f>
        <v/>
      </c>
      <c r="J238" s="70" t="str">
        <f>IF(A238="","",IF(COUNTIFS(po_ref,A238,po_status,"&lt;&gt;Annulé")=0,"",INDEX(po_price,SUMPRODUCT(MAX((po_ref=A238)*(po_status&lt;&gt;"Annulé")*(ROW(po_ref)-5))))))</f>
        <v/>
      </c>
      <c r="K238" s="67" t="str">
        <f>IF(A238="","",IF(COUNTIF(art_ref,A238)&gt;1,"Référence en double",IF(B238="","Désignation manquante",IF(NOT(ISNUMBER(D238)),"Prix manquant",IF(E238="","TVA manquante",IF(ISNA(MATCH(E238,p_tva,0)),"Taux de TVA inconnu",IF(AND(F238&lt;&gt;"",ISNA(MATCH(F238,sup_code,0))),"Fournisseur inconnu","OK")))))))</f>
        <v/>
      </c>
    </row>
    <row r="239">
      <c r="A239" s="63" t="n"/>
      <c r="B239" s="63" t="n"/>
      <c r="C239" s="65" t="n"/>
      <c r="D239" s="69" t="n"/>
      <c r="E239" s="71" t="n"/>
      <c r="F239" s="65" t="n"/>
      <c r="G239" s="74" t="str">
        <f>IF(A239="","",SUMIFS(po_qty,po_ref,A239,po_status,"&lt;&gt;Annulé"))</f>
        <v/>
      </c>
      <c r="H239" s="74" t="str">
        <f>IF(A239="","",SUMIFS(po_rcv,po_ref,A239,po_status,"&lt;&gt;Annulé"))</f>
        <v/>
      </c>
      <c r="I239" s="74" t="str">
        <f>IF(A239="","",SUMIFS(po_rest,po_ref,A239,po_key,"&gt;0"))</f>
        <v/>
      </c>
      <c r="J239" s="70" t="str">
        <f>IF(A239="","",IF(COUNTIFS(po_ref,A239,po_status,"&lt;&gt;Annulé")=0,"",INDEX(po_price,SUMPRODUCT(MAX((po_ref=A239)*(po_status&lt;&gt;"Annulé")*(ROW(po_ref)-5))))))</f>
        <v/>
      </c>
      <c r="K239" s="67" t="str">
        <f>IF(A239="","",IF(COUNTIF(art_ref,A239)&gt;1,"Référence en double",IF(B239="","Désignation manquante",IF(NOT(ISNUMBER(D239)),"Prix manquant",IF(E239="","TVA manquante",IF(ISNA(MATCH(E239,p_tva,0)),"Taux de TVA inconnu",IF(AND(F239&lt;&gt;"",ISNA(MATCH(F239,sup_code,0))),"Fournisseur inconnu","OK")))))))</f>
        <v/>
      </c>
    </row>
    <row r="240">
      <c r="A240" s="63" t="n"/>
      <c r="B240" s="63" t="n"/>
      <c r="C240" s="65" t="n"/>
      <c r="D240" s="69" t="n"/>
      <c r="E240" s="71" t="n"/>
      <c r="F240" s="65" t="n"/>
      <c r="G240" s="74" t="str">
        <f>IF(A240="","",SUMIFS(po_qty,po_ref,A240,po_status,"&lt;&gt;Annulé"))</f>
        <v/>
      </c>
      <c r="H240" s="74" t="str">
        <f>IF(A240="","",SUMIFS(po_rcv,po_ref,A240,po_status,"&lt;&gt;Annulé"))</f>
        <v/>
      </c>
      <c r="I240" s="74" t="str">
        <f>IF(A240="","",SUMIFS(po_rest,po_ref,A240,po_key,"&gt;0"))</f>
        <v/>
      </c>
      <c r="J240" s="70" t="str">
        <f>IF(A240="","",IF(COUNTIFS(po_ref,A240,po_status,"&lt;&gt;Annulé")=0,"",INDEX(po_price,SUMPRODUCT(MAX((po_ref=A240)*(po_status&lt;&gt;"Annulé")*(ROW(po_ref)-5))))))</f>
        <v/>
      </c>
      <c r="K240" s="67" t="str">
        <f>IF(A240="","",IF(COUNTIF(art_ref,A240)&gt;1,"Référence en double",IF(B240="","Désignation manquante",IF(NOT(ISNUMBER(D240)),"Prix manquant",IF(E240="","TVA manquante",IF(ISNA(MATCH(E240,p_tva,0)),"Taux de TVA inconnu",IF(AND(F240&lt;&gt;"",ISNA(MATCH(F240,sup_code,0))),"Fournisseur inconnu","OK")))))))</f>
        <v/>
      </c>
    </row>
    <row r="241">
      <c r="A241" s="63" t="n"/>
      <c r="B241" s="63" t="n"/>
      <c r="C241" s="65" t="n"/>
      <c r="D241" s="69" t="n"/>
      <c r="E241" s="71" t="n"/>
      <c r="F241" s="65" t="n"/>
      <c r="G241" s="74" t="str">
        <f>IF(A241="","",SUMIFS(po_qty,po_ref,A241,po_status,"&lt;&gt;Annulé"))</f>
        <v/>
      </c>
      <c r="H241" s="74" t="str">
        <f>IF(A241="","",SUMIFS(po_rcv,po_ref,A241,po_status,"&lt;&gt;Annulé"))</f>
        <v/>
      </c>
      <c r="I241" s="74" t="str">
        <f>IF(A241="","",SUMIFS(po_rest,po_ref,A241,po_key,"&gt;0"))</f>
        <v/>
      </c>
      <c r="J241" s="70" t="str">
        <f>IF(A241="","",IF(COUNTIFS(po_ref,A241,po_status,"&lt;&gt;Annulé")=0,"",INDEX(po_price,SUMPRODUCT(MAX((po_ref=A241)*(po_status&lt;&gt;"Annulé")*(ROW(po_ref)-5))))))</f>
        <v/>
      </c>
      <c r="K241" s="67" t="str">
        <f>IF(A241="","",IF(COUNTIF(art_ref,A241)&gt;1,"Référence en double",IF(B241="","Désignation manquante",IF(NOT(ISNUMBER(D241)),"Prix manquant",IF(E241="","TVA manquante",IF(ISNA(MATCH(E241,p_tva,0)),"Taux de TVA inconnu",IF(AND(F241&lt;&gt;"",ISNA(MATCH(F241,sup_code,0))),"Fournisseur inconnu","OK")))))))</f>
        <v/>
      </c>
    </row>
    <row r="242">
      <c r="A242" s="63" t="n"/>
      <c r="B242" s="63" t="n"/>
      <c r="C242" s="65" t="n"/>
      <c r="D242" s="69" t="n"/>
      <c r="E242" s="71" t="n"/>
      <c r="F242" s="65" t="n"/>
      <c r="G242" s="74" t="str">
        <f>IF(A242="","",SUMIFS(po_qty,po_ref,A242,po_status,"&lt;&gt;Annulé"))</f>
        <v/>
      </c>
      <c r="H242" s="74" t="str">
        <f>IF(A242="","",SUMIFS(po_rcv,po_ref,A242,po_status,"&lt;&gt;Annulé"))</f>
        <v/>
      </c>
      <c r="I242" s="74" t="str">
        <f>IF(A242="","",SUMIFS(po_rest,po_ref,A242,po_key,"&gt;0"))</f>
        <v/>
      </c>
      <c r="J242" s="70" t="str">
        <f>IF(A242="","",IF(COUNTIFS(po_ref,A242,po_status,"&lt;&gt;Annulé")=0,"",INDEX(po_price,SUMPRODUCT(MAX((po_ref=A242)*(po_status&lt;&gt;"Annulé")*(ROW(po_ref)-5))))))</f>
        <v/>
      </c>
      <c r="K242" s="67" t="str">
        <f>IF(A242="","",IF(COUNTIF(art_ref,A242)&gt;1,"Référence en double",IF(B242="","Désignation manquante",IF(NOT(ISNUMBER(D242)),"Prix manquant",IF(E242="","TVA manquante",IF(ISNA(MATCH(E242,p_tva,0)),"Taux de TVA inconnu",IF(AND(F242&lt;&gt;"",ISNA(MATCH(F242,sup_code,0))),"Fournisseur inconnu","OK")))))))</f>
        <v/>
      </c>
    </row>
    <row r="243">
      <c r="A243" s="63" t="n"/>
      <c r="B243" s="63" t="n"/>
      <c r="C243" s="65" t="n"/>
      <c r="D243" s="69" t="n"/>
      <c r="E243" s="71" t="n"/>
      <c r="F243" s="65" t="n"/>
      <c r="G243" s="74" t="str">
        <f>IF(A243="","",SUMIFS(po_qty,po_ref,A243,po_status,"&lt;&gt;Annulé"))</f>
        <v/>
      </c>
      <c r="H243" s="74" t="str">
        <f>IF(A243="","",SUMIFS(po_rcv,po_ref,A243,po_status,"&lt;&gt;Annulé"))</f>
        <v/>
      </c>
      <c r="I243" s="74" t="str">
        <f>IF(A243="","",SUMIFS(po_rest,po_ref,A243,po_key,"&gt;0"))</f>
        <v/>
      </c>
      <c r="J243" s="70" t="str">
        <f>IF(A243="","",IF(COUNTIFS(po_ref,A243,po_status,"&lt;&gt;Annulé")=0,"",INDEX(po_price,SUMPRODUCT(MAX((po_ref=A243)*(po_status&lt;&gt;"Annulé")*(ROW(po_ref)-5))))))</f>
        <v/>
      </c>
      <c r="K243" s="67" t="str">
        <f>IF(A243="","",IF(COUNTIF(art_ref,A243)&gt;1,"Référence en double",IF(B243="","Désignation manquante",IF(NOT(ISNUMBER(D243)),"Prix manquant",IF(E243="","TVA manquante",IF(ISNA(MATCH(E243,p_tva,0)),"Taux de TVA inconnu",IF(AND(F243&lt;&gt;"",ISNA(MATCH(F243,sup_code,0))),"Fournisseur inconnu","OK")))))))</f>
        <v/>
      </c>
    </row>
    <row r="244">
      <c r="A244" s="63" t="n"/>
      <c r="B244" s="63" t="n"/>
      <c r="C244" s="65" t="n"/>
      <c r="D244" s="69" t="n"/>
      <c r="E244" s="71" t="n"/>
      <c r="F244" s="65" t="n"/>
      <c r="G244" s="74" t="str">
        <f>IF(A244="","",SUMIFS(po_qty,po_ref,A244,po_status,"&lt;&gt;Annulé"))</f>
        <v/>
      </c>
      <c r="H244" s="74" t="str">
        <f>IF(A244="","",SUMIFS(po_rcv,po_ref,A244,po_status,"&lt;&gt;Annulé"))</f>
        <v/>
      </c>
      <c r="I244" s="74" t="str">
        <f>IF(A244="","",SUMIFS(po_rest,po_ref,A244,po_key,"&gt;0"))</f>
        <v/>
      </c>
      <c r="J244" s="70" t="str">
        <f>IF(A244="","",IF(COUNTIFS(po_ref,A244,po_status,"&lt;&gt;Annulé")=0,"",INDEX(po_price,SUMPRODUCT(MAX((po_ref=A244)*(po_status&lt;&gt;"Annulé")*(ROW(po_ref)-5))))))</f>
        <v/>
      </c>
      <c r="K244" s="67" t="str">
        <f>IF(A244="","",IF(COUNTIF(art_ref,A244)&gt;1,"Référence en double",IF(B244="","Désignation manquante",IF(NOT(ISNUMBER(D244)),"Prix manquant",IF(E244="","TVA manquante",IF(ISNA(MATCH(E244,p_tva,0)),"Taux de TVA inconnu",IF(AND(F244&lt;&gt;"",ISNA(MATCH(F244,sup_code,0))),"Fournisseur inconnu","OK")))))))</f>
        <v/>
      </c>
    </row>
    <row r="245">
      <c r="A245" s="63" t="n"/>
      <c r="B245" s="63" t="n"/>
      <c r="C245" s="65" t="n"/>
      <c r="D245" s="69" t="n"/>
      <c r="E245" s="71" t="n"/>
      <c r="F245" s="65" t="n"/>
      <c r="G245" s="74" t="str">
        <f>IF(A245="","",SUMIFS(po_qty,po_ref,A245,po_status,"&lt;&gt;Annulé"))</f>
        <v/>
      </c>
      <c r="H245" s="74" t="str">
        <f>IF(A245="","",SUMIFS(po_rcv,po_ref,A245,po_status,"&lt;&gt;Annulé"))</f>
        <v/>
      </c>
      <c r="I245" s="74" t="str">
        <f>IF(A245="","",SUMIFS(po_rest,po_ref,A245,po_key,"&gt;0"))</f>
        <v/>
      </c>
      <c r="J245" s="70" t="str">
        <f>IF(A245="","",IF(COUNTIFS(po_ref,A245,po_status,"&lt;&gt;Annulé")=0,"",INDEX(po_price,SUMPRODUCT(MAX((po_ref=A245)*(po_status&lt;&gt;"Annulé")*(ROW(po_ref)-5))))))</f>
        <v/>
      </c>
      <c r="K245" s="67" t="str">
        <f>IF(A245="","",IF(COUNTIF(art_ref,A245)&gt;1,"Référence en double",IF(B245="","Désignation manquante",IF(NOT(ISNUMBER(D245)),"Prix manquant",IF(E245="","TVA manquante",IF(ISNA(MATCH(E245,p_tva,0)),"Taux de TVA inconnu",IF(AND(F245&lt;&gt;"",ISNA(MATCH(F245,sup_code,0))),"Fournisseur inconnu","OK")))))))</f>
        <v/>
      </c>
    </row>
    <row r="246">
      <c r="A246" s="63" t="n"/>
      <c r="B246" s="63" t="n"/>
      <c r="C246" s="65" t="n"/>
      <c r="D246" s="69" t="n"/>
      <c r="E246" s="71" t="n"/>
      <c r="F246" s="65" t="n"/>
      <c r="G246" s="74" t="str">
        <f>IF(A246="","",SUMIFS(po_qty,po_ref,A246,po_status,"&lt;&gt;Annulé"))</f>
        <v/>
      </c>
      <c r="H246" s="74" t="str">
        <f>IF(A246="","",SUMIFS(po_rcv,po_ref,A246,po_status,"&lt;&gt;Annulé"))</f>
        <v/>
      </c>
      <c r="I246" s="74" t="str">
        <f>IF(A246="","",SUMIFS(po_rest,po_ref,A246,po_key,"&gt;0"))</f>
        <v/>
      </c>
      <c r="J246" s="70" t="str">
        <f>IF(A246="","",IF(COUNTIFS(po_ref,A246,po_status,"&lt;&gt;Annulé")=0,"",INDEX(po_price,SUMPRODUCT(MAX((po_ref=A246)*(po_status&lt;&gt;"Annulé")*(ROW(po_ref)-5))))))</f>
        <v/>
      </c>
      <c r="K246" s="67" t="str">
        <f>IF(A246="","",IF(COUNTIF(art_ref,A246)&gt;1,"Référence en double",IF(B246="","Désignation manquante",IF(NOT(ISNUMBER(D246)),"Prix manquant",IF(E246="","TVA manquante",IF(ISNA(MATCH(E246,p_tva,0)),"Taux de TVA inconnu",IF(AND(F246&lt;&gt;"",ISNA(MATCH(F246,sup_code,0))),"Fournisseur inconnu","OK")))))))</f>
        <v/>
      </c>
    </row>
    <row r="247">
      <c r="A247" s="63" t="n"/>
      <c r="B247" s="63" t="n"/>
      <c r="C247" s="65" t="n"/>
      <c r="D247" s="69" t="n"/>
      <c r="E247" s="71" t="n"/>
      <c r="F247" s="65" t="n"/>
      <c r="G247" s="74" t="str">
        <f>IF(A247="","",SUMIFS(po_qty,po_ref,A247,po_status,"&lt;&gt;Annulé"))</f>
        <v/>
      </c>
      <c r="H247" s="74" t="str">
        <f>IF(A247="","",SUMIFS(po_rcv,po_ref,A247,po_status,"&lt;&gt;Annulé"))</f>
        <v/>
      </c>
      <c r="I247" s="74" t="str">
        <f>IF(A247="","",SUMIFS(po_rest,po_ref,A247,po_key,"&gt;0"))</f>
        <v/>
      </c>
      <c r="J247" s="70" t="str">
        <f>IF(A247="","",IF(COUNTIFS(po_ref,A247,po_status,"&lt;&gt;Annulé")=0,"",INDEX(po_price,SUMPRODUCT(MAX((po_ref=A247)*(po_status&lt;&gt;"Annulé")*(ROW(po_ref)-5))))))</f>
        <v/>
      </c>
      <c r="K247" s="67" t="str">
        <f>IF(A247="","",IF(COUNTIF(art_ref,A247)&gt;1,"Référence en double",IF(B247="","Désignation manquante",IF(NOT(ISNUMBER(D247)),"Prix manquant",IF(E247="","TVA manquante",IF(ISNA(MATCH(E247,p_tva,0)),"Taux de TVA inconnu",IF(AND(F247&lt;&gt;"",ISNA(MATCH(F247,sup_code,0))),"Fournisseur inconnu","OK")))))))</f>
        <v/>
      </c>
    </row>
    <row r="248">
      <c r="A248" s="63" t="n"/>
      <c r="B248" s="63" t="n"/>
      <c r="C248" s="65" t="n"/>
      <c r="D248" s="69" t="n"/>
      <c r="E248" s="71" t="n"/>
      <c r="F248" s="65" t="n"/>
      <c r="G248" s="74" t="str">
        <f>IF(A248="","",SUMIFS(po_qty,po_ref,A248,po_status,"&lt;&gt;Annulé"))</f>
        <v/>
      </c>
      <c r="H248" s="74" t="str">
        <f>IF(A248="","",SUMIFS(po_rcv,po_ref,A248,po_status,"&lt;&gt;Annulé"))</f>
        <v/>
      </c>
      <c r="I248" s="74" t="str">
        <f>IF(A248="","",SUMIFS(po_rest,po_ref,A248,po_key,"&gt;0"))</f>
        <v/>
      </c>
      <c r="J248" s="70" t="str">
        <f>IF(A248="","",IF(COUNTIFS(po_ref,A248,po_status,"&lt;&gt;Annulé")=0,"",INDEX(po_price,SUMPRODUCT(MAX((po_ref=A248)*(po_status&lt;&gt;"Annulé")*(ROW(po_ref)-5))))))</f>
        <v/>
      </c>
      <c r="K248" s="67" t="str">
        <f>IF(A248="","",IF(COUNTIF(art_ref,A248)&gt;1,"Référence en double",IF(B248="","Désignation manquante",IF(NOT(ISNUMBER(D248)),"Prix manquant",IF(E248="","TVA manquante",IF(ISNA(MATCH(E248,p_tva,0)),"Taux de TVA inconnu",IF(AND(F248&lt;&gt;"",ISNA(MATCH(F248,sup_code,0))),"Fournisseur inconnu","OK")))))))</f>
        <v/>
      </c>
    </row>
    <row r="249">
      <c r="A249" s="63" t="n"/>
      <c r="B249" s="63" t="n"/>
      <c r="C249" s="65" t="n"/>
      <c r="D249" s="69" t="n"/>
      <c r="E249" s="71" t="n"/>
      <c r="F249" s="65" t="n"/>
      <c r="G249" s="74" t="str">
        <f>IF(A249="","",SUMIFS(po_qty,po_ref,A249,po_status,"&lt;&gt;Annulé"))</f>
        <v/>
      </c>
      <c r="H249" s="74" t="str">
        <f>IF(A249="","",SUMIFS(po_rcv,po_ref,A249,po_status,"&lt;&gt;Annulé"))</f>
        <v/>
      </c>
      <c r="I249" s="74" t="str">
        <f>IF(A249="","",SUMIFS(po_rest,po_ref,A249,po_key,"&gt;0"))</f>
        <v/>
      </c>
      <c r="J249" s="70" t="str">
        <f>IF(A249="","",IF(COUNTIFS(po_ref,A249,po_status,"&lt;&gt;Annulé")=0,"",INDEX(po_price,SUMPRODUCT(MAX((po_ref=A249)*(po_status&lt;&gt;"Annulé")*(ROW(po_ref)-5))))))</f>
        <v/>
      </c>
      <c r="K249" s="67" t="str">
        <f>IF(A249="","",IF(COUNTIF(art_ref,A249)&gt;1,"Référence en double",IF(B249="","Désignation manquante",IF(NOT(ISNUMBER(D249)),"Prix manquant",IF(E249="","TVA manquante",IF(ISNA(MATCH(E249,p_tva,0)),"Taux de TVA inconnu",IF(AND(F249&lt;&gt;"",ISNA(MATCH(F249,sup_code,0))),"Fournisseur inconnu","OK")))))))</f>
        <v/>
      </c>
    </row>
    <row r="250">
      <c r="A250" s="63" t="n"/>
      <c r="B250" s="63" t="n"/>
      <c r="C250" s="65" t="n"/>
      <c r="D250" s="69" t="n"/>
      <c r="E250" s="71" t="n"/>
      <c r="F250" s="65" t="n"/>
      <c r="G250" s="74" t="str">
        <f>IF(A250="","",SUMIFS(po_qty,po_ref,A250,po_status,"&lt;&gt;Annulé"))</f>
        <v/>
      </c>
      <c r="H250" s="74" t="str">
        <f>IF(A250="","",SUMIFS(po_rcv,po_ref,A250,po_status,"&lt;&gt;Annulé"))</f>
        <v/>
      </c>
      <c r="I250" s="74" t="str">
        <f>IF(A250="","",SUMIFS(po_rest,po_ref,A250,po_key,"&gt;0"))</f>
        <v/>
      </c>
      <c r="J250" s="70" t="str">
        <f>IF(A250="","",IF(COUNTIFS(po_ref,A250,po_status,"&lt;&gt;Annulé")=0,"",INDEX(po_price,SUMPRODUCT(MAX((po_ref=A250)*(po_status&lt;&gt;"Annulé")*(ROW(po_ref)-5))))))</f>
        <v/>
      </c>
      <c r="K250" s="67" t="str">
        <f>IF(A250="","",IF(COUNTIF(art_ref,A250)&gt;1,"Référence en double",IF(B250="","Désignation manquante",IF(NOT(ISNUMBER(D250)),"Prix manquant",IF(E250="","TVA manquante",IF(ISNA(MATCH(E250,p_tva,0)),"Taux de TVA inconnu",IF(AND(F250&lt;&gt;"",ISNA(MATCH(F250,sup_code,0))),"Fournisseur inconnu","OK")))))))</f>
        <v/>
      </c>
    </row>
    <row r="251">
      <c r="A251" s="63" t="n"/>
      <c r="B251" s="63" t="n"/>
      <c r="C251" s="65" t="n"/>
      <c r="D251" s="69" t="n"/>
      <c r="E251" s="71" t="n"/>
      <c r="F251" s="65" t="n"/>
      <c r="G251" s="74" t="str">
        <f>IF(A251="","",SUMIFS(po_qty,po_ref,A251,po_status,"&lt;&gt;Annulé"))</f>
        <v/>
      </c>
      <c r="H251" s="74" t="str">
        <f>IF(A251="","",SUMIFS(po_rcv,po_ref,A251,po_status,"&lt;&gt;Annulé"))</f>
        <v/>
      </c>
      <c r="I251" s="74" t="str">
        <f>IF(A251="","",SUMIFS(po_rest,po_ref,A251,po_key,"&gt;0"))</f>
        <v/>
      </c>
      <c r="J251" s="70" t="str">
        <f>IF(A251="","",IF(COUNTIFS(po_ref,A251,po_status,"&lt;&gt;Annulé")=0,"",INDEX(po_price,SUMPRODUCT(MAX((po_ref=A251)*(po_status&lt;&gt;"Annulé")*(ROW(po_ref)-5))))))</f>
        <v/>
      </c>
      <c r="K251" s="67" t="str">
        <f>IF(A251="","",IF(COUNTIF(art_ref,A251)&gt;1,"Référence en double",IF(B251="","Désignation manquante",IF(NOT(ISNUMBER(D251)),"Prix manquant",IF(E251="","TVA manquante",IF(ISNA(MATCH(E251,p_tva,0)),"Taux de TVA inconnu",IF(AND(F251&lt;&gt;"",ISNA(MATCH(F251,sup_code,0))),"Fournisseur inconnu","OK")))))))</f>
        <v/>
      </c>
    </row>
    <row r="252">
      <c r="A252" s="63" t="n"/>
      <c r="B252" s="63" t="n"/>
      <c r="C252" s="65" t="n"/>
      <c r="D252" s="69" t="n"/>
      <c r="E252" s="71" t="n"/>
      <c r="F252" s="65" t="n"/>
      <c r="G252" s="74" t="str">
        <f>IF(A252="","",SUMIFS(po_qty,po_ref,A252,po_status,"&lt;&gt;Annulé"))</f>
        <v/>
      </c>
      <c r="H252" s="74" t="str">
        <f>IF(A252="","",SUMIFS(po_rcv,po_ref,A252,po_status,"&lt;&gt;Annulé"))</f>
        <v/>
      </c>
      <c r="I252" s="74" t="str">
        <f>IF(A252="","",SUMIFS(po_rest,po_ref,A252,po_key,"&gt;0"))</f>
        <v/>
      </c>
      <c r="J252" s="70" t="str">
        <f>IF(A252="","",IF(COUNTIFS(po_ref,A252,po_status,"&lt;&gt;Annulé")=0,"",INDEX(po_price,SUMPRODUCT(MAX((po_ref=A252)*(po_status&lt;&gt;"Annulé")*(ROW(po_ref)-5))))))</f>
        <v/>
      </c>
      <c r="K252" s="67" t="str">
        <f>IF(A252="","",IF(COUNTIF(art_ref,A252)&gt;1,"Référence en double",IF(B252="","Désignation manquante",IF(NOT(ISNUMBER(D252)),"Prix manquant",IF(E252="","TVA manquante",IF(ISNA(MATCH(E252,p_tva,0)),"Taux de TVA inconnu",IF(AND(F252&lt;&gt;"",ISNA(MATCH(F252,sup_code,0))),"Fournisseur inconnu","OK")))))))</f>
        <v/>
      </c>
    </row>
    <row r="253">
      <c r="A253" s="63" t="n"/>
      <c r="B253" s="63" t="n"/>
      <c r="C253" s="65" t="n"/>
      <c r="D253" s="69" t="n"/>
      <c r="E253" s="71" t="n"/>
      <c r="F253" s="65" t="n"/>
      <c r="G253" s="74" t="str">
        <f>IF(A253="","",SUMIFS(po_qty,po_ref,A253,po_status,"&lt;&gt;Annulé"))</f>
        <v/>
      </c>
      <c r="H253" s="74" t="str">
        <f>IF(A253="","",SUMIFS(po_rcv,po_ref,A253,po_status,"&lt;&gt;Annulé"))</f>
        <v/>
      </c>
      <c r="I253" s="74" t="str">
        <f>IF(A253="","",SUMIFS(po_rest,po_ref,A253,po_key,"&gt;0"))</f>
        <v/>
      </c>
      <c r="J253" s="70" t="str">
        <f>IF(A253="","",IF(COUNTIFS(po_ref,A253,po_status,"&lt;&gt;Annulé")=0,"",INDEX(po_price,SUMPRODUCT(MAX((po_ref=A253)*(po_status&lt;&gt;"Annulé")*(ROW(po_ref)-5))))))</f>
        <v/>
      </c>
      <c r="K253" s="67" t="str">
        <f>IF(A253="","",IF(COUNTIF(art_ref,A253)&gt;1,"Référence en double",IF(B253="","Désignation manquante",IF(NOT(ISNUMBER(D253)),"Prix manquant",IF(E253="","TVA manquante",IF(ISNA(MATCH(E253,p_tva,0)),"Taux de TVA inconnu",IF(AND(F253&lt;&gt;"",ISNA(MATCH(F253,sup_code,0))),"Fournisseur inconnu","OK")))))))</f>
        <v/>
      </c>
    </row>
    <row r="254">
      <c r="A254" s="63" t="n"/>
      <c r="B254" s="63" t="n"/>
      <c r="C254" s="65" t="n"/>
      <c r="D254" s="69" t="n"/>
      <c r="E254" s="71" t="n"/>
      <c r="F254" s="65" t="n"/>
      <c r="G254" s="74" t="str">
        <f>IF(A254="","",SUMIFS(po_qty,po_ref,A254,po_status,"&lt;&gt;Annulé"))</f>
        <v/>
      </c>
      <c r="H254" s="74" t="str">
        <f>IF(A254="","",SUMIFS(po_rcv,po_ref,A254,po_status,"&lt;&gt;Annulé"))</f>
        <v/>
      </c>
      <c r="I254" s="74" t="str">
        <f>IF(A254="","",SUMIFS(po_rest,po_ref,A254,po_key,"&gt;0"))</f>
        <v/>
      </c>
      <c r="J254" s="70" t="str">
        <f>IF(A254="","",IF(COUNTIFS(po_ref,A254,po_status,"&lt;&gt;Annulé")=0,"",INDEX(po_price,SUMPRODUCT(MAX((po_ref=A254)*(po_status&lt;&gt;"Annulé")*(ROW(po_ref)-5))))))</f>
        <v/>
      </c>
      <c r="K254" s="67" t="str">
        <f>IF(A254="","",IF(COUNTIF(art_ref,A254)&gt;1,"Référence en double",IF(B254="","Désignation manquante",IF(NOT(ISNUMBER(D254)),"Prix manquant",IF(E254="","TVA manquante",IF(ISNA(MATCH(E254,p_tva,0)),"Taux de TVA inconnu",IF(AND(F254&lt;&gt;"",ISNA(MATCH(F254,sup_code,0))),"Fournisseur inconnu","OK")))))))</f>
        <v/>
      </c>
    </row>
    <row r="255">
      <c r="A255" s="63" t="n"/>
      <c r="B255" s="63" t="n"/>
      <c r="C255" s="65" t="n"/>
      <c r="D255" s="69" t="n"/>
      <c r="E255" s="71" t="n"/>
      <c r="F255" s="65" t="n"/>
      <c r="G255" s="74" t="str">
        <f>IF(A255="","",SUMIFS(po_qty,po_ref,A255,po_status,"&lt;&gt;Annulé"))</f>
        <v/>
      </c>
      <c r="H255" s="74" t="str">
        <f>IF(A255="","",SUMIFS(po_rcv,po_ref,A255,po_status,"&lt;&gt;Annulé"))</f>
        <v/>
      </c>
      <c r="I255" s="74" t="str">
        <f>IF(A255="","",SUMIFS(po_rest,po_ref,A255,po_key,"&gt;0"))</f>
        <v/>
      </c>
      <c r="J255" s="70" t="str">
        <f>IF(A255="","",IF(COUNTIFS(po_ref,A255,po_status,"&lt;&gt;Annulé")=0,"",INDEX(po_price,SUMPRODUCT(MAX((po_ref=A255)*(po_status&lt;&gt;"Annulé")*(ROW(po_ref)-5))))))</f>
        <v/>
      </c>
      <c r="K255" s="67" t="str">
        <f>IF(A255="","",IF(COUNTIF(art_ref,A255)&gt;1,"Référence en double",IF(B255="","Désignation manquante",IF(NOT(ISNUMBER(D255)),"Prix manquant",IF(E255="","TVA manquante",IF(ISNA(MATCH(E255,p_tva,0)),"Taux de TVA inconnu",IF(AND(F255&lt;&gt;"",ISNA(MATCH(F255,sup_code,0))),"Fournisseur inconnu","OK")))))))</f>
        <v/>
      </c>
    </row>
    <row r="256">
      <c r="A256" s="63" t="n"/>
      <c r="B256" s="63" t="n"/>
      <c r="C256" s="65" t="n"/>
      <c r="D256" s="69" t="n"/>
      <c r="E256" s="71" t="n"/>
      <c r="F256" s="65" t="n"/>
      <c r="G256" s="74" t="str">
        <f>IF(A256="","",SUMIFS(po_qty,po_ref,A256,po_status,"&lt;&gt;Annulé"))</f>
        <v/>
      </c>
      <c r="H256" s="74" t="str">
        <f>IF(A256="","",SUMIFS(po_rcv,po_ref,A256,po_status,"&lt;&gt;Annulé"))</f>
        <v/>
      </c>
      <c r="I256" s="74" t="str">
        <f>IF(A256="","",SUMIFS(po_rest,po_ref,A256,po_key,"&gt;0"))</f>
        <v/>
      </c>
      <c r="J256" s="70" t="str">
        <f>IF(A256="","",IF(COUNTIFS(po_ref,A256,po_status,"&lt;&gt;Annulé")=0,"",INDEX(po_price,SUMPRODUCT(MAX((po_ref=A256)*(po_status&lt;&gt;"Annulé")*(ROW(po_ref)-5))))))</f>
        <v/>
      </c>
      <c r="K256" s="67" t="str">
        <f>IF(A256="","",IF(COUNTIF(art_ref,A256)&gt;1,"Référence en double",IF(B256="","Désignation manquante",IF(NOT(ISNUMBER(D256)),"Prix manquant",IF(E256="","TVA manquante",IF(ISNA(MATCH(E256,p_tva,0)),"Taux de TVA inconnu",IF(AND(F256&lt;&gt;"",ISNA(MATCH(F256,sup_code,0))),"Fournisseur inconnu","OK")))))))</f>
        <v/>
      </c>
    </row>
    <row r="257">
      <c r="A257" s="63" t="n"/>
      <c r="B257" s="63" t="n"/>
      <c r="C257" s="65" t="n"/>
      <c r="D257" s="69" t="n"/>
      <c r="E257" s="71" t="n"/>
      <c r="F257" s="65" t="n"/>
      <c r="G257" s="74" t="str">
        <f>IF(A257="","",SUMIFS(po_qty,po_ref,A257,po_status,"&lt;&gt;Annulé"))</f>
        <v/>
      </c>
      <c r="H257" s="74" t="str">
        <f>IF(A257="","",SUMIFS(po_rcv,po_ref,A257,po_status,"&lt;&gt;Annulé"))</f>
        <v/>
      </c>
      <c r="I257" s="74" t="str">
        <f>IF(A257="","",SUMIFS(po_rest,po_ref,A257,po_key,"&gt;0"))</f>
        <v/>
      </c>
      <c r="J257" s="70" t="str">
        <f>IF(A257="","",IF(COUNTIFS(po_ref,A257,po_status,"&lt;&gt;Annulé")=0,"",INDEX(po_price,SUMPRODUCT(MAX((po_ref=A257)*(po_status&lt;&gt;"Annulé")*(ROW(po_ref)-5))))))</f>
        <v/>
      </c>
      <c r="K257" s="67" t="str">
        <f>IF(A257="","",IF(COUNTIF(art_ref,A257)&gt;1,"Référence en double",IF(B257="","Désignation manquante",IF(NOT(ISNUMBER(D257)),"Prix manquant",IF(E257="","TVA manquante",IF(ISNA(MATCH(E257,p_tva,0)),"Taux de TVA inconnu",IF(AND(F257&lt;&gt;"",ISNA(MATCH(F257,sup_code,0))),"Fournisseur inconnu","OK")))))))</f>
        <v/>
      </c>
    </row>
    <row r="258">
      <c r="A258" s="63" t="n"/>
      <c r="B258" s="63" t="n"/>
      <c r="C258" s="65" t="n"/>
      <c r="D258" s="69" t="n"/>
      <c r="E258" s="71" t="n"/>
      <c r="F258" s="65" t="n"/>
      <c r="G258" s="74" t="str">
        <f>IF(A258="","",SUMIFS(po_qty,po_ref,A258,po_status,"&lt;&gt;Annulé"))</f>
        <v/>
      </c>
      <c r="H258" s="74" t="str">
        <f>IF(A258="","",SUMIFS(po_rcv,po_ref,A258,po_status,"&lt;&gt;Annulé"))</f>
        <v/>
      </c>
      <c r="I258" s="74" t="str">
        <f>IF(A258="","",SUMIFS(po_rest,po_ref,A258,po_key,"&gt;0"))</f>
        <v/>
      </c>
      <c r="J258" s="70" t="str">
        <f>IF(A258="","",IF(COUNTIFS(po_ref,A258,po_status,"&lt;&gt;Annulé")=0,"",INDEX(po_price,SUMPRODUCT(MAX((po_ref=A258)*(po_status&lt;&gt;"Annulé")*(ROW(po_ref)-5))))))</f>
        <v/>
      </c>
      <c r="K258" s="67" t="str">
        <f>IF(A258="","",IF(COUNTIF(art_ref,A258)&gt;1,"Référence en double",IF(B258="","Désignation manquante",IF(NOT(ISNUMBER(D258)),"Prix manquant",IF(E258="","TVA manquante",IF(ISNA(MATCH(E258,p_tva,0)),"Taux de TVA inconnu",IF(AND(F258&lt;&gt;"",ISNA(MATCH(F258,sup_code,0))),"Fournisseur inconnu","OK")))))))</f>
        <v/>
      </c>
    </row>
    <row r="259">
      <c r="A259" s="63" t="n"/>
      <c r="B259" s="63" t="n"/>
      <c r="C259" s="65" t="n"/>
      <c r="D259" s="69" t="n"/>
      <c r="E259" s="71" t="n"/>
      <c r="F259" s="65" t="n"/>
      <c r="G259" s="74" t="str">
        <f>IF(A259="","",SUMIFS(po_qty,po_ref,A259,po_status,"&lt;&gt;Annulé"))</f>
        <v/>
      </c>
      <c r="H259" s="74" t="str">
        <f>IF(A259="","",SUMIFS(po_rcv,po_ref,A259,po_status,"&lt;&gt;Annulé"))</f>
        <v/>
      </c>
      <c r="I259" s="74" t="str">
        <f>IF(A259="","",SUMIFS(po_rest,po_ref,A259,po_key,"&gt;0"))</f>
        <v/>
      </c>
      <c r="J259" s="70" t="str">
        <f>IF(A259="","",IF(COUNTIFS(po_ref,A259,po_status,"&lt;&gt;Annulé")=0,"",INDEX(po_price,SUMPRODUCT(MAX((po_ref=A259)*(po_status&lt;&gt;"Annulé")*(ROW(po_ref)-5))))))</f>
        <v/>
      </c>
      <c r="K259" s="67" t="str">
        <f>IF(A259="","",IF(COUNTIF(art_ref,A259)&gt;1,"Référence en double",IF(B259="","Désignation manquante",IF(NOT(ISNUMBER(D259)),"Prix manquant",IF(E259="","TVA manquante",IF(ISNA(MATCH(E259,p_tva,0)),"Taux de TVA inconnu",IF(AND(F259&lt;&gt;"",ISNA(MATCH(F259,sup_code,0))),"Fournisseur inconnu","OK")))))))</f>
        <v/>
      </c>
    </row>
    <row r="260">
      <c r="A260" s="63" t="n"/>
      <c r="B260" s="63" t="n"/>
      <c r="C260" s="65" t="n"/>
      <c r="D260" s="69" t="n"/>
      <c r="E260" s="71" t="n"/>
      <c r="F260" s="65" t="n"/>
      <c r="G260" s="74" t="str">
        <f>IF(A260="","",SUMIFS(po_qty,po_ref,A260,po_status,"&lt;&gt;Annulé"))</f>
        <v/>
      </c>
      <c r="H260" s="74" t="str">
        <f>IF(A260="","",SUMIFS(po_rcv,po_ref,A260,po_status,"&lt;&gt;Annulé"))</f>
        <v/>
      </c>
      <c r="I260" s="74" t="str">
        <f>IF(A260="","",SUMIFS(po_rest,po_ref,A260,po_key,"&gt;0"))</f>
        <v/>
      </c>
      <c r="J260" s="70" t="str">
        <f>IF(A260="","",IF(COUNTIFS(po_ref,A260,po_status,"&lt;&gt;Annulé")=0,"",INDEX(po_price,SUMPRODUCT(MAX((po_ref=A260)*(po_status&lt;&gt;"Annulé")*(ROW(po_ref)-5))))))</f>
        <v/>
      </c>
      <c r="K260" s="67" t="str">
        <f>IF(A260="","",IF(COUNTIF(art_ref,A260)&gt;1,"Référence en double",IF(B260="","Désignation manquante",IF(NOT(ISNUMBER(D260)),"Prix manquant",IF(E260="","TVA manquante",IF(ISNA(MATCH(E260,p_tva,0)),"Taux de TVA inconnu",IF(AND(F260&lt;&gt;"",ISNA(MATCH(F260,sup_code,0))),"Fournisseur inconnu","OK")))))))</f>
        <v/>
      </c>
    </row>
    <row r="261">
      <c r="A261" s="63" t="n"/>
      <c r="B261" s="63" t="n"/>
      <c r="C261" s="65" t="n"/>
      <c r="D261" s="69" t="n"/>
      <c r="E261" s="71" t="n"/>
      <c r="F261" s="65" t="n"/>
      <c r="G261" s="74" t="str">
        <f>IF(A261="","",SUMIFS(po_qty,po_ref,A261,po_status,"&lt;&gt;Annulé"))</f>
        <v/>
      </c>
      <c r="H261" s="74" t="str">
        <f>IF(A261="","",SUMIFS(po_rcv,po_ref,A261,po_status,"&lt;&gt;Annulé"))</f>
        <v/>
      </c>
      <c r="I261" s="74" t="str">
        <f>IF(A261="","",SUMIFS(po_rest,po_ref,A261,po_key,"&gt;0"))</f>
        <v/>
      </c>
      <c r="J261" s="70" t="str">
        <f>IF(A261="","",IF(COUNTIFS(po_ref,A261,po_status,"&lt;&gt;Annulé")=0,"",INDEX(po_price,SUMPRODUCT(MAX((po_ref=A261)*(po_status&lt;&gt;"Annulé")*(ROW(po_ref)-5))))))</f>
        <v/>
      </c>
      <c r="K261" s="67" t="str">
        <f>IF(A261="","",IF(COUNTIF(art_ref,A261)&gt;1,"Référence en double",IF(B261="","Désignation manquante",IF(NOT(ISNUMBER(D261)),"Prix manquant",IF(E261="","TVA manquante",IF(ISNA(MATCH(E261,p_tva,0)),"Taux de TVA inconnu",IF(AND(F261&lt;&gt;"",ISNA(MATCH(F261,sup_code,0))),"Fournisseur inconnu","OK")))))))</f>
        <v/>
      </c>
    </row>
    <row r="262">
      <c r="A262" s="63" t="n"/>
      <c r="B262" s="63" t="n"/>
      <c r="C262" s="65" t="n"/>
      <c r="D262" s="69" t="n"/>
      <c r="E262" s="71" t="n"/>
      <c r="F262" s="65" t="n"/>
      <c r="G262" s="74" t="str">
        <f>IF(A262="","",SUMIFS(po_qty,po_ref,A262,po_status,"&lt;&gt;Annulé"))</f>
        <v/>
      </c>
      <c r="H262" s="74" t="str">
        <f>IF(A262="","",SUMIFS(po_rcv,po_ref,A262,po_status,"&lt;&gt;Annulé"))</f>
        <v/>
      </c>
      <c r="I262" s="74" t="str">
        <f>IF(A262="","",SUMIFS(po_rest,po_ref,A262,po_key,"&gt;0"))</f>
        <v/>
      </c>
      <c r="J262" s="70" t="str">
        <f>IF(A262="","",IF(COUNTIFS(po_ref,A262,po_status,"&lt;&gt;Annulé")=0,"",INDEX(po_price,SUMPRODUCT(MAX((po_ref=A262)*(po_status&lt;&gt;"Annulé")*(ROW(po_ref)-5))))))</f>
        <v/>
      </c>
      <c r="K262" s="67" t="str">
        <f>IF(A262="","",IF(COUNTIF(art_ref,A262)&gt;1,"Référence en double",IF(B262="","Désignation manquante",IF(NOT(ISNUMBER(D262)),"Prix manquant",IF(E262="","TVA manquante",IF(ISNA(MATCH(E262,p_tva,0)),"Taux de TVA inconnu",IF(AND(F262&lt;&gt;"",ISNA(MATCH(F262,sup_code,0))),"Fournisseur inconnu","OK")))))))</f>
        <v/>
      </c>
    </row>
    <row r="263">
      <c r="A263" s="63" t="n"/>
      <c r="B263" s="63" t="n"/>
      <c r="C263" s="65" t="n"/>
      <c r="D263" s="69" t="n"/>
      <c r="E263" s="71" t="n"/>
      <c r="F263" s="65" t="n"/>
      <c r="G263" s="74" t="str">
        <f>IF(A263="","",SUMIFS(po_qty,po_ref,A263,po_status,"&lt;&gt;Annulé"))</f>
        <v/>
      </c>
      <c r="H263" s="74" t="str">
        <f>IF(A263="","",SUMIFS(po_rcv,po_ref,A263,po_status,"&lt;&gt;Annulé"))</f>
        <v/>
      </c>
      <c r="I263" s="74" t="str">
        <f>IF(A263="","",SUMIFS(po_rest,po_ref,A263,po_key,"&gt;0"))</f>
        <v/>
      </c>
      <c r="J263" s="70" t="str">
        <f>IF(A263="","",IF(COUNTIFS(po_ref,A263,po_status,"&lt;&gt;Annulé")=0,"",INDEX(po_price,SUMPRODUCT(MAX((po_ref=A263)*(po_status&lt;&gt;"Annulé")*(ROW(po_ref)-5))))))</f>
        <v/>
      </c>
      <c r="K263" s="67" t="str">
        <f>IF(A263="","",IF(COUNTIF(art_ref,A263)&gt;1,"Référence en double",IF(B263="","Désignation manquante",IF(NOT(ISNUMBER(D263)),"Prix manquant",IF(E263="","TVA manquante",IF(ISNA(MATCH(E263,p_tva,0)),"Taux de TVA inconnu",IF(AND(F263&lt;&gt;"",ISNA(MATCH(F263,sup_code,0))),"Fournisseur inconnu","OK")))))))</f>
        <v/>
      </c>
    </row>
    <row r="264">
      <c r="A264" s="63" t="n"/>
      <c r="B264" s="63" t="n"/>
      <c r="C264" s="65" t="n"/>
      <c r="D264" s="69" t="n"/>
      <c r="E264" s="71" t="n"/>
      <c r="F264" s="65" t="n"/>
      <c r="G264" s="74" t="str">
        <f>IF(A264="","",SUMIFS(po_qty,po_ref,A264,po_status,"&lt;&gt;Annulé"))</f>
        <v/>
      </c>
      <c r="H264" s="74" t="str">
        <f>IF(A264="","",SUMIFS(po_rcv,po_ref,A264,po_status,"&lt;&gt;Annulé"))</f>
        <v/>
      </c>
      <c r="I264" s="74" t="str">
        <f>IF(A264="","",SUMIFS(po_rest,po_ref,A264,po_key,"&gt;0"))</f>
        <v/>
      </c>
      <c r="J264" s="70" t="str">
        <f>IF(A264="","",IF(COUNTIFS(po_ref,A264,po_status,"&lt;&gt;Annulé")=0,"",INDEX(po_price,SUMPRODUCT(MAX((po_ref=A264)*(po_status&lt;&gt;"Annulé")*(ROW(po_ref)-5))))))</f>
        <v/>
      </c>
      <c r="K264" s="67" t="str">
        <f>IF(A264="","",IF(COUNTIF(art_ref,A264)&gt;1,"Référence en double",IF(B264="","Désignation manquante",IF(NOT(ISNUMBER(D264)),"Prix manquant",IF(E264="","TVA manquante",IF(ISNA(MATCH(E264,p_tva,0)),"Taux de TVA inconnu",IF(AND(F264&lt;&gt;"",ISNA(MATCH(F264,sup_code,0))),"Fournisseur inconnu","OK")))))))</f>
        <v/>
      </c>
    </row>
    <row r="265">
      <c r="A265" s="63" t="n"/>
      <c r="B265" s="63" t="n"/>
      <c r="C265" s="65" t="n"/>
      <c r="D265" s="69" t="n"/>
      <c r="E265" s="71" t="n"/>
      <c r="F265" s="65" t="n"/>
      <c r="G265" s="74" t="str">
        <f>IF(A265="","",SUMIFS(po_qty,po_ref,A265,po_status,"&lt;&gt;Annulé"))</f>
        <v/>
      </c>
      <c r="H265" s="74" t="str">
        <f>IF(A265="","",SUMIFS(po_rcv,po_ref,A265,po_status,"&lt;&gt;Annulé"))</f>
        <v/>
      </c>
      <c r="I265" s="74" t="str">
        <f>IF(A265="","",SUMIFS(po_rest,po_ref,A265,po_key,"&gt;0"))</f>
        <v/>
      </c>
      <c r="J265" s="70" t="str">
        <f>IF(A265="","",IF(COUNTIFS(po_ref,A265,po_status,"&lt;&gt;Annulé")=0,"",INDEX(po_price,SUMPRODUCT(MAX((po_ref=A265)*(po_status&lt;&gt;"Annulé")*(ROW(po_ref)-5))))))</f>
        <v/>
      </c>
      <c r="K265" s="67" t="str">
        <f>IF(A265="","",IF(COUNTIF(art_ref,A265)&gt;1,"Référence en double",IF(B265="","Désignation manquante",IF(NOT(ISNUMBER(D265)),"Prix manquant",IF(E265="","TVA manquante",IF(ISNA(MATCH(E265,p_tva,0)),"Taux de TVA inconnu",IF(AND(F265&lt;&gt;"",ISNA(MATCH(F265,sup_code,0))),"Fournisseur inconnu","OK")))))))</f>
        <v/>
      </c>
    </row>
    <row r="266">
      <c r="A266" s="63" t="n"/>
      <c r="B266" s="63" t="n"/>
      <c r="C266" s="65" t="n"/>
      <c r="D266" s="69" t="n"/>
      <c r="E266" s="71" t="n"/>
      <c r="F266" s="65" t="n"/>
      <c r="G266" s="74" t="str">
        <f>IF(A266="","",SUMIFS(po_qty,po_ref,A266,po_status,"&lt;&gt;Annulé"))</f>
        <v/>
      </c>
      <c r="H266" s="74" t="str">
        <f>IF(A266="","",SUMIFS(po_rcv,po_ref,A266,po_status,"&lt;&gt;Annulé"))</f>
        <v/>
      </c>
      <c r="I266" s="74" t="str">
        <f>IF(A266="","",SUMIFS(po_rest,po_ref,A266,po_key,"&gt;0"))</f>
        <v/>
      </c>
      <c r="J266" s="70" t="str">
        <f>IF(A266="","",IF(COUNTIFS(po_ref,A266,po_status,"&lt;&gt;Annulé")=0,"",INDEX(po_price,SUMPRODUCT(MAX((po_ref=A266)*(po_status&lt;&gt;"Annulé")*(ROW(po_ref)-5))))))</f>
        <v/>
      </c>
      <c r="K266" s="67" t="str">
        <f>IF(A266="","",IF(COUNTIF(art_ref,A266)&gt;1,"Référence en double",IF(B266="","Désignation manquante",IF(NOT(ISNUMBER(D266)),"Prix manquant",IF(E266="","TVA manquante",IF(ISNA(MATCH(E266,p_tva,0)),"Taux de TVA inconnu",IF(AND(F266&lt;&gt;"",ISNA(MATCH(F266,sup_code,0))),"Fournisseur inconnu","OK")))))))</f>
        <v/>
      </c>
    </row>
    <row r="267">
      <c r="A267" s="63" t="n"/>
      <c r="B267" s="63" t="n"/>
      <c r="C267" s="65" t="n"/>
      <c r="D267" s="69" t="n"/>
      <c r="E267" s="71" t="n"/>
      <c r="F267" s="65" t="n"/>
      <c r="G267" s="74" t="str">
        <f>IF(A267="","",SUMIFS(po_qty,po_ref,A267,po_status,"&lt;&gt;Annulé"))</f>
        <v/>
      </c>
      <c r="H267" s="74" t="str">
        <f>IF(A267="","",SUMIFS(po_rcv,po_ref,A267,po_status,"&lt;&gt;Annulé"))</f>
        <v/>
      </c>
      <c r="I267" s="74" t="str">
        <f>IF(A267="","",SUMIFS(po_rest,po_ref,A267,po_key,"&gt;0"))</f>
        <v/>
      </c>
      <c r="J267" s="70" t="str">
        <f>IF(A267="","",IF(COUNTIFS(po_ref,A267,po_status,"&lt;&gt;Annulé")=0,"",INDEX(po_price,SUMPRODUCT(MAX((po_ref=A267)*(po_status&lt;&gt;"Annulé")*(ROW(po_ref)-5))))))</f>
        <v/>
      </c>
      <c r="K267" s="67" t="str">
        <f>IF(A267="","",IF(COUNTIF(art_ref,A267)&gt;1,"Référence en double",IF(B267="","Désignation manquante",IF(NOT(ISNUMBER(D267)),"Prix manquant",IF(E267="","TVA manquante",IF(ISNA(MATCH(E267,p_tva,0)),"Taux de TVA inconnu",IF(AND(F267&lt;&gt;"",ISNA(MATCH(F267,sup_code,0))),"Fournisseur inconnu","OK")))))))</f>
        <v/>
      </c>
    </row>
    <row r="268">
      <c r="A268" s="63" t="n"/>
      <c r="B268" s="63" t="n"/>
      <c r="C268" s="65" t="n"/>
      <c r="D268" s="69" t="n"/>
      <c r="E268" s="71" t="n"/>
      <c r="F268" s="65" t="n"/>
      <c r="G268" s="74" t="str">
        <f>IF(A268="","",SUMIFS(po_qty,po_ref,A268,po_status,"&lt;&gt;Annulé"))</f>
        <v/>
      </c>
      <c r="H268" s="74" t="str">
        <f>IF(A268="","",SUMIFS(po_rcv,po_ref,A268,po_status,"&lt;&gt;Annulé"))</f>
        <v/>
      </c>
      <c r="I268" s="74" t="str">
        <f>IF(A268="","",SUMIFS(po_rest,po_ref,A268,po_key,"&gt;0"))</f>
        <v/>
      </c>
      <c r="J268" s="70" t="str">
        <f>IF(A268="","",IF(COUNTIFS(po_ref,A268,po_status,"&lt;&gt;Annulé")=0,"",INDEX(po_price,SUMPRODUCT(MAX((po_ref=A268)*(po_status&lt;&gt;"Annulé")*(ROW(po_ref)-5))))))</f>
        <v/>
      </c>
      <c r="K268" s="67" t="str">
        <f>IF(A268="","",IF(COUNTIF(art_ref,A268)&gt;1,"Référence en double",IF(B268="","Désignation manquante",IF(NOT(ISNUMBER(D268)),"Prix manquant",IF(E268="","TVA manquante",IF(ISNA(MATCH(E268,p_tva,0)),"Taux de TVA inconnu",IF(AND(F268&lt;&gt;"",ISNA(MATCH(F268,sup_code,0))),"Fournisseur inconnu","OK")))))))</f>
        <v/>
      </c>
    </row>
    <row r="269">
      <c r="A269" s="63" t="n"/>
      <c r="B269" s="63" t="n"/>
      <c r="C269" s="65" t="n"/>
      <c r="D269" s="69" t="n"/>
      <c r="E269" s="71" t="n"/>
      <c r="F269" s="65" t="n"/>
      <c r="G269" s="74" t="str">
        <f>IF(A269="","",SUMIFS(po_qty,po_ref,A269,po_status,"&lt;&gt;Annulé"))</f>
        <v/>
      </c>
      <c r="H269" s="74" t="str">
        <f>IF(A269="","",SUMIFS(po_rcv,po_ref,A269,po_status,"&lt;&gt;Annulé"))</f>
        <v/>
      </c>
      <c r="I269" s="74" t="str">
        <f>IF(A269="","",SUMIFS(po_rest,po_ref,A269,po_key,"&gt;0"))</f>
        <v/>
      </c>
      <c r="J269" s="70" t="str">
        <f>IF(A269="","",IF(COUNTIFS(po_ref,A269,po_status,"&lt;&gt;Annulé")=0,"",INDEX(po_price,SUMPRODUCT(MAX((po_ref=A269)*(po_status&lt;&gt;"Annulé")*(ROW(po_ref)-5))))))</f>
        <v/>
      </c>
      <c r="K269" s="67" t="str">
        <f>IF(A269="","",IF(COUNTIF(art_ref,A269)&gt;1,"Référence en double",IF(B269="","Désignation manquante",IF(NOT(ISNUMBER(D269)),"Prix manquant",IF(E269="","TVA manquante",IF(ISNA(MATCH(E269,p_tva,0)),"Taux de TVA inconnu",IF(AND(F269&lt;&gt;"",ISNA(MATCH(F269,sup_code,0))),"Fournisseur inconnu","OK")))))))</f>
        <v/>
      </c>
    </row>
    <row r="270">
      <c r="A270" s="63" t="n"/>
      <c r="B270" s="63" t="n"/>
      <c r="C270" s="65" t="n"/>
      <c r="D270" s="69" t="n"/>
      <c r="E270" s="71" t="n"/>
      <c r="F270" s="65" t="n"/>
      <c r="G270" s="74" t="str">
        <f>IF(A270="","",SUMIFS(po_qty,po_ref,A270,po_status,"&lt;&gt;Annulé"))</f>
        <v/>
      </c>
      <c r="H270" s="74" t="str">
        <f>IF(A270="","",SUMIFS(po_rcv,po_ref,A270,po_status,"&lt;&gt;Annulé"))</f>
        <v/>
      </c>
      <c r="I270" s="74" t="str">
        <f>IF(A270="","",SUMIFS(po_rest,po_ref,A270,po_key,"&gt;0"))</f>
        <v/>
      </c>
      <c r="J270" s="70" t="str">
        <f>IF(A270="","",IF(COUNTIFS(po_ref,A270,po_status,"&lt;&gt;Annulé")=0,"",INDEX(po_price,SUMPRODUCT(MAX((po_ref=A270)*(po_status&lt;&gt;"Annulé")*(ROW(po_ref)-5))))))</f>
        <v/>
      </c>
      <c r="K270" s="67" t="str">
        <f>IF(A270="","",IF(COUNTIF(art_ref,A270)&gt;1,"Référence en double",IF(B270="","Désignation manquante",IF(NOT(ISNUMBER(D270)),"Prix manquant",IF(E270="","TVA manquante",IF(ISNA(MATCH(E270,p_tva,0)),"Taux de TVA inconnu",IF(AND(F270&lt;&gt;"",ISNA(MATCH(F270,sup_code,0))),"Fournisseur inconnu","OK")))))))</f>
        <v/>
      </c>
    </row>
    <row r="271">
      <c r="A271" s="63" t="n"/>
      <c r="B271" s="63" t="n"/>
      <c r="C271" s="65" t="n"/>
      <c r="D271" s="69" t="n"/>
      <c r="E271" s="71" t="n"/>
      <c r="F271" s="65" t="n"/>
      <c r="G271" s="74" t="str">
        <f>IF(A271="","",SUMIFS(po_qty,po_ref,A271,po_status,"&lt;&gt;Annulé"))</f>
        <v/>
      </c>
      <c r="H271" s="74" t="str">
        <f>IF(A271="","",SUMIFS(po_rcv,po_ref,A271,po_status,"&lt;&gt;Annulé"))</f>
        <v/>
      </c>
      <c r="I271" s="74" t="str">
        <f>IF(A271="","",SUMIFS(po_rest,po_ref,A271,po_key,"&gt;0"))</f>
        <v/>
      </c>
      <c r="J271" s="70" t="str">
        <f>IF(A271="","",IF(COUNTIFS(po_ref,A271,po_status,"&lt;&gt;Annulé")=0,"",INDEX(po_price,SUMPRODUCT(MAX((po_ref=A271)*(po_status&lt;&gt;"Annulé")*(ROW(po_ref)-5))))))</f>
        <v/>
      </c>
      <c r="K271" s="67" t="str">
        <f>IF(A271="","",IF(COUNTIF(art_ref,A271)&gt;1,"Référence en double",IF(B271="","Désignation manquante",IF(NOT(ISNUMBER(D271)),"Prix manquant",IF(E271="","TVA manquante",IF(ISNA(MATCH(E271,p_tva,0)),"Taux de TVA inconnu",IF(AND(F271&lt;&gt;"",ISNA(MATCH(F271,sup_code,0))),"Fournisseur inconnu","OK")))))))</f>
        <v/>
      </c>
    </row>
    <row r="272">
      <c r="A272" s="63" t="n"/>
      <c r="B272" s="63" t="n"/>
      <c r="C272" s="65" t="n"/>
      <c r="D272" s="69" t="n"/>
      <c r="E272" s="71" t="n"/>
      <c r="F272" s="65" t="n"/>
      <c r="G272" s="74" t="str">
        <f>IF(A272="","",SUMIFS(po_qty,po_ref,A272,po_status,"&lt;&gt;Annulé"))</f>
        <v/>
      </c>
      <c r="H272" s="74" t="str">
        <f>IF(A272="","",SUMIFS(po_rcv,po_ref,A272,po_status,"&lt;&gt;Annulé"))</f>
        <v/>
      </c>
      <c r="I272" s="74" t="str">
        <f>IF(A272="","",SUMIFS(po_rest,po_ref,A272,po_key,"&gt;0"))</f>
        <v/>
      </c>
      <c r="J272" s="70" t="str">
        <f>IF(A272="","",IF(COUNTIFS(po_ref,A272,po_status,"&lt;&gt;Annulé")=0,"",INDEX(po_price,SUMPRODUCT(MAX((po_ref=A272)*(po_status&lt;&gt;"Annulé")*(ROW(po_ref)-5))))))</f>
        <v/>
      </c>
      <c r="K272" s="67" t="str">
        <f>IF(A272="","",IF(COUNTIF(art_ref,A272)&gt;1,"Référence en double",IF(B272="","Désignation manquante",IF(NOT(ISNUMBER(D272)),"Prix manquant",IF(E272="","TVA manquante",IF(ISNA(MATCH(E272,p_tva,0)),"Taux de TVA inconnu",IF(AND(F272&lt;&gt;"",ISNA(MATCH(F272,sup_code,0))),"Fournisseur inconnu","OK")))))))</f>
        <v/>
      </c>
    </row>
    <row r="273">
      <c r="A273" s="63" t="n"/>
      <c r="B273" s="63" t="n"/>
      <c r="C273" s="65" t="n"/>
      <c r="D273" s="69" t="n"/>
      <c r="E273" s="71" t="n"/>
      <c r="F273" s="65" t="n"/>
      <c r="G273" s="74" t="str">
        <f>IF(A273="","",SUMIFS(po_qty,po_ref,A273,po_status,"&lt;&gt;Annulé"))</f>
        <v/>
      </c>
      <c r="H273" s="74" t="str">
        <f>IF(A273="","",SUMIFS(po_rcv,po_ref,A273,po_status,"&lt;&gt;Annulé"))</f>
        <v/>
      </c>
      <c r="I273" s="74" t="str">
        <f>IF(A273="","",SUMIFS(po_rest,po_ref,A273,po_key,"&gt;0"))</f>
        <v/>
      </c>
      <c r="J273" s="70" t="str">
        <f>IF(A273="","",IF(COUNTIFS(po_ref,A273,po_status,"&lt;&gt;Annulé")=0,"",INDEX(po_price,SUMPRODUCT(MAX((po_ref=A273)*(po_status&lt;&gt;"Annulé")*(ROW(po_ref)-5))))))</f>
        <v/>
      </c>
      <c r="K273" s="67" t="str">
        <f>IF(A273="","",IF(COUNTIF(art_ref,A273)&gt;1,"Référence en double",IF(B273="","Désignation manquante",IF(NOT(ISNUMBER(D273)),"Prix manquant",IF(E273="","TVA manquante",IF(ISNA(MATCH(E273,p_tva,0)),"Taux de TVA inconnu",IF(AND(F273&lt;&gt;"",ISNA(MATCH(F273,sup_code,0))),"Fournisseur inconnu","OK")))))))</f>
        <v/>
      </c>
    </row>
    <row r="274">
      <c r="A274" s="63" t="n"/>
      <c r="B274" s="63" t="n"/>
      <c r="C274" s="65" t="n"/>
      <c r="D274" s="69" t="n"/>
      <c r="E274" s="71" t="n"/>
      <c r="F274" s="65" t="n"/>
      <c r="G274" s="74" t="str">
        <f>IF(A274="","",SUMIFS(po_qty,po_ref,A274,po_status,"&lt;&gt;Annulé"))</f>
        <v/>
      </c>
      <c r="H274" s="74" t="str">
        <f>IF(A274="","",SUMIFS(po_rcv,po_ref,A274,po_status,"&lt;&gt;Annulé"))</f>
        <v/>
      </c>
      <c r="I274" s="74" t="str">
        <f>IF(A274="","",SUMIFS(po_rest,po_ref,A274,po_key,"&gt;0"))</f>
        <v/>
      </c>
      <c r="J274" s="70" t="str">
        <f>IF(A274="","",IF(COUNTIFS(po_ref,A274,po_status,"&lt;&gt;Annulé")=0,"",INDEX(po_price,SUMPRODUCT(MAX((po_ref=A274)*(po_status&lt;&gt;"Annulé")*(ROW(po_ref)-5))))))</f>
        <v/>
      </c>
      <c r="K274" s="67" t="str">
        <f>IF(A274="","",IF(COUNTIF(art_ref,A274)&gt;1,"Référence en double",IF(B274="","Désignation manquante",IF(NOT(ISNUMBER(D274)),"Prix manquant",IF(E274="","TVA manquante",IF(ISNA(MATCH(E274,p_tva,0)),"Taux de TVA inconnu",IF(AND(F274&lt;&gt;"",ISNA(MATCH(F274,sup_code,0))),"Fournisseur inconnu","OK")))))))</f>
        <v/>
      </c>
    </row>
    <row r="275">
      <c r="A275" s="63" t="n"/>
      <c r="B275" s="63" t="n"/>
      <c r="C275" s="65" t="n"/>
      <c r="D275" s="69" t="n"/>
      <c r="E275" s="71" t="n"/>
      <c r="F275" s="65" t="n"/>
      <c r="G275" s="74" t="str">
        <f>IF(A275="","",SUMIFS(po_qty,po_ref,A275,po_status,"&lt;&gt;Annulé"))</f>
        <v/>
      </c>
      <c r="H275" s="74" t="str">
        <f>IF(A275="","",SUMIFS(po_rcv,po_ref,A275,po_status,"&lt;&gt;Annulé"))</f>
        <v/>
      </c>
      <c r="I275" s="74" t="str">
        <f>IF(A275="","",SUMIFS(po_rest,po_ref,A275,po_key,"&gt;0"))</f>
        <v/>
      </c>
      <c r="J275" s="70" t="str">
        <f>IF(A275="","",IF(COUNTIFS(po_ref,A275,po_status,"&lt;&gt;Annulé")=0,"",INDEX(po_price,SUMPRODUCT(MAX((po_ref=A275)*(po_status&lt;&gt;"Annulé")*(ROW(po_ref)-5))))))</f>
        <v/>
      </c>
      <c r="K275" s="67" t="str">
        <f>IF(A275="","",IF(COUNTIF(art_ref,A275)&gt;1,"Référence en double",IF(B275="","Désignation manquante",IF(NOT(ISNUMBER(D275)),"Prix manquant",IF(E275="","TVA manquante",IF(ISNA(MATCH(E275,p_tva,0)),"Taux de TVA inconnu",IF(AND(F275&lt;&gt;"",ISNA(MATCH(F275,sup_code,0))),"Fournisseur inconnu","OK")))))))</f>
        <v/>
      </c>
    </row>
    <row r="276">
      <c r="A276" s="63" t="n"/>
      <c r="B276" s="63" t="n"/>
      <c r="C276" s="65" t="n"/>
      <c r="D276" s="69" t="n"/>
      <c r="E276" s="71" t="n"/>
      <c r="F276" s="65" t="n"/>
      <c r="G276" s="74" t="str">
        <f>IF(A276="","",SUMIFS(po_qty,po_ref,A276,po_status,"&lt;&gt;Annulé"))</f>
        <v/>
      </c>
      <c r="H276" s="74" t="str">
        <f>IF(A276="","",SUMIFS(po_rcv,po_ref,A276,po_status,"&lt;&gt;Annulé"))</f>
        <v/>
      </c>
      <c r="I276" s="74" t="str">
        <f>IF(A276="","",SUMIFS(po_rest,po_ref,A276,po_key,"&gt;0"))</f>
        <v/>
      </c>
      <c r="J276" s="70" t="str">
        <f>IF(A276="","",IF(COUNTIFS(po_ref,A276,po_status,"&lt;&gt;Annulé")=0,"",INDEX(po_price,SUMPRODUCT(MAX((po_ref=A276)*(po_status&lt;&gt;"Annulé")*(ROW(po_ref)-5))))))</f>
        <v/>
      </c>
      <c r="K276" s="67" t="str">
        <f>IF(A276="","",IF(COUNTIF(art_ref,A276)&gt;1,"Référence en double",IF(B276="","Désignation manquante",IF(NOT(ISNUMBER(D276)),"Prix manquant",IF(E276="","TVA manquante",IF(ISNA(MATCH(E276,p_tva,0)),"Taux de TVA inconnu",IF(AND(F276&lt;&gt;"",ISNA(MATCH(F276,sup_code,0))),"Fournisseur inconnu","OK")))))))</f>
        <v/>
      </c>
    </row>
    <row r="277">
      <c r="A277" s="63" t="n"/>
      <c r="B277" s="63" t="n"/>
      <c r="C277" s="65" t="n"/>
      <c r="D277" s="69" t="n"/>
      <c r="E277" s="71" t="n"/>
      <c r="F277" s="65" t="n"/>
      <c r="G277" s="74" t="str">
        <f>IF(A277="","",SUMIFS(po_qty,po_ref,A277,po_status,"&lt;&gt;Annulé"))</f>
        <v/>
      </c>
      <c r="H277" s="74" t="str">
        <f>IF(A277="","",SUMIFS(po_rcv,po_ref,A277,po_status,"&lt;&gt;Annulé"))</f>
        <v/>
      </c>
      <c r="I277" s="74" t="str">
        <f>IF(A277="","",SUMIFS(po_rest,po_ref,A277,po_key,"&gt;0"))</f>
        <v/>
      </c>
      <c r="J277" s="70" t="str">
        <f>IF(A277="","",IF(COUNTIFS(po_ref,A277,po_status,"&lt;&gt;Annulé")=0,"",INDEX(po_price,SUMPRODUCT(MAX((po_ref=A277)*(po_status&lt;&gt;"Annulé")*(ROW(po_ref)-5))))))</f>
        <v/>
      </c>
      <c r="K277" s="67" t="str">
        <f>IF(A277="","",IF(COUNTIF(art_ref,A277)&gt;1,"Référence en double",IF(B277="","Désignation manquante",IF(NOT(ISNUMBER(D277)),"Prix manquant",IF(E277="","TVA manquante",IF(ISNA(MATCH(E277,p_tva,0)),"Taux de TVA inconnu",IF(AND(F277&lt;&gt;"",ISNA(MATCH(F277,sup_code,0))),"Fournisseur inconnu","OK")))))))</f>
        <v/>
      </c>
    </row>
    <row r="278">
      <c r="A278" s="63" t="n"/>
      <c r="B278" s="63" t="n"/>
      <c r="C278" s="65" t="n"/>
      <c r="D278" s="69" t="n"/>
      <c r="E278" s="71" t="n"/>
      <c r="F278" s="65" t="n"/>
      <c r="G278" s="74" t="str">
        <f>IF(A278="","",SUMIFS(po_qty,po_ref,A278,po_status,"&lt;&gt;Annulé"))</f>
        <v/>
      </c>
      <c r="H278" s="74" t="str">
        <f>IF(A278="","",SUMIFS(po_rcv,po_ref,A278,po_status,"&lt;&gt;Annulé"))</f>
        <v/>
      </c>
      <c r="I278" s="74" t="str">
        <f>IF(A278="","",SUMIFS(po_rest,po_ref,A278,po_key,"&gt;0"))</f>
        <v/>
      </c>
      <c r="J278" s="70" t="str">
        <f>IF(A278="","",IF(COUNTIFS(po_ref,A278,po_status,"&lt;&gt;Annulé")=0,"",INDEX(po_price,SUMPRODUCT(MAX((po_ref=A278)*(po_status&lt;&gt;"Annulé")*(ROW(po_ref)-5))))))</f>
        <v/>
      </c>
      <c r="K278" s="67" t="str">
        <f>IF(A278="","",IF(COUNTIF(art_ref,A278)&gt;1,"Référence en double",IF(B278="","Désignation manquante",IF(NOT(ISNUMBER(D278)),"Prix manquant",IF(E278="","TVA manquante",IF(ISNA(MATCH(E278,p_tva,0)),"Taux de TVA inconnu",IF(AND(F278&lt;&gt;"",ISNA(MATCH(F278,sup_code,0))),"Fournisseur inconnu","OK")))))))</f>
        <v/>
      </c>
    </row>
    <row r="279">
      <c r="A279" s="63" t="n"/>
      <c r="B279" s="63" t="n"/>
      <c r="C279" s="65" t="n"/>
      <c r="D279" s="69" t="n"/>
      <c r="E279" s="71" t="n"/>
      <c r="F279" s="65" t="n"/>
      <c r="G279" s="74" t="str">
        <f>IF(A279="","",SUMIFS(po_qty,po_ref,A279,po_status,"&lt;&gt;Annulé"))</f>
        <v/>
      </c>
      <c r="H279" s="74" t="str">
        <f>IF(A279="","",SUMIFS(po_rcv,po_ref,A279,po_status,"&lt;&gt;Annulé"))</f>
        <v/>
      </c>
      <c r="I279" s="74" t="str">
        <f>IF(A279="","",SUMIFS(po_rest,po_ref,A279,po_key,"&gt;0"))</f>
        <v/>
      </c>
      <c r="J279" s="70" t="str">
        <f>IF(A279="","",IF(COUNTIFS(po_ref,A279,po_status,"&lt;&gt;Annulé")=0,"",INDEX(po_price,SUMPRODUCT(MAX((po_ref=A279)*(po_status&lt;&gt;"Annulé")*(ROW(po_ref)-5))))))</f>
        <v/>
      </c>
      <c r="K279" s="67" t="str">
        <f>IF(A279="","",IF(COUNTIF(art_ref,A279)&gt;1,"Référence en double",IF(B279="","Désignation manquante",IF(NOT(ISNUMBER(D279)),"Prix manquant",IF(E279="","TVA manquante",IF(ISNA(MATCH(E279,p_tva,0)),"Taux de TVA inconnu",IF(AND(F279&lt;&gt;"",ISNA(MATCH(F279,sup_code,0))),"Fournisseur inconnu","OK")))))))</f>
        <v/>
      </c>
    </row>
    <row r="280">
      <c r="A280" s="63" t="n"/>
      <c r="B280" s="63" t="n"/>
      <c r="C280" s="65" t="n"/>
      <c r="D280" s="69" t="n"/>
      <c r="E280" s="71" t="n"/>
      <c r="F280" s="65" t="n"/>
      <c r="G280" s="74" t="str">
        <f>IF(A280="","",SUMIFS(po_qty,po_ref,A280,po_status,"&lt;&gt;Annulé"))</f>
        <v/>
      </c>
      <c r="H280" s="74" t="str">
        <f>IF(A280="","",SUMIFS(po_rcv,po_ref,A280,po_status,"&lt;&gt;Annulé"))</f>
        <v/>
      </c>
      <c r="I280" s="74" t="str">
        <f>IF(A280="","",SUMIFS(po_rest,po_ref,A280,po_key,"&gt;0"))</f>
        <v/>
      </c>
      <c r="J280" s="70" t="str">
        <f>IF(A280="","",IF(COUNTIFS(po_ref,A280,po_status,"&lt;&gt;Annulé")=0,"",INDEX(po_price,SUMPRODUCT(MAX((po_ref=A280)*(po_status&lt;&gt;"Annulé")*(ROW(po_ref)-5))))))</f>
        <v/>
      </c>
      <c r="K280" s="67" t="str">
        <f>IF(A280="","",IF(COUNTIF(art_ref,A280)&gt;1,"Référence en double",IF(B280="","Désignation manquante",IF(NOT(ISNUMBER(D280)),"Prix manquant",IF(E280="","TVA manquante",IF(ISNA(MATCH(E280,p_tva,0)),"Taux de TVA inconnu",IF(AND(F280&lt;&gt;"",ISNA(MATCH(F280,sup_code,0))),"Fournisseur inconnu","OK")))))))</f>
        <v/>
      </c>
    </row>
    <row r="281">
      <c r="A281" s="63" t="n"/>
      <c r="B281" s="63" t="n"/>
      <c r="C281" s="65" t="n"/>
      <c r="D281" s="69" t="n"/>
      <c r="E281" s="71" t="n"/>
      <c r="F281" s="65" t="n"/>
      <c r="G281" s="74" t="str">
        <f>IF(A281="","",SUMIFS(po_qty,po_ref,A281,po_status,"&lt;&gt;Annulé"))</f>
        <v/>
      </c>
      <c r="H281" s="74" t="str">
        <f>IF(A281="","",SUMIFS(po_rcv,po_ref,A281,po_status,"&lt;&gt;Annulé"))</f>
        <v/>
      </c>
      <c r="I281" s="74" t="str">
        <f>IF(A281="","",SUMIFS(po_rest,po_ref,A281,po_key,"&gt;0"))</f>
        <v/>
      </c>
      <c r="J281" s="70" t="str">
        <f>IF(A281="","",IF(COUNTIFS(po_ref,A281,po_status,"&lt;&gt;Annulé")=0,"",INDEX(po_price,SUMPRODUCT(MAX((po_ref=A281)*(po_status&lt;&gt;"Annulé")*(ROW(po_ref)-5))))))</f>
        <v/>
      </c>
      <c r="K281" s="67" t="str">
        <f>IF(A281="","",IF(COUNTIF(art_ref,A281)&gt;1,"Référence en double",IF(B281="","Désignation manquante",IF(NOT(ISNUMBER(D281)),"Prix manquant",IF(E281="","TVA manquante",IF(ISNA(MATCH(E281,p_tva,0)),"Taux de TVA inconnu",IF(AND(F281&lt;&gt;"",ISNA(MATCH(F281,sup_code,0))),"Fournisseur inconnu","OK")))))))</f>
        <v/>
      </c>
    </row>
    <row r="282">
      <c r="A282" s="63" t="n"/>
      <c r="B282" s="63" t="n"/>
      <c r="C282" s="65" t="n"/>
      <c r="D282" s="69" t="n"/>
      <c r="E282" s="71" t="n"/>
      <c r="F282" s="65" t="n"/>
      <c r="G282" s="74" t="str">
        <f>IF(A282="","",SUMIFS(po_qty,po_ref,A282,po_status,"&lt;&gt;Annulé"))</f>
        <v/>
      </c>
      <c r="H282" s="74" t="str">
        <f>IF(A282="","",SUMIFS(po_rcv,po_ref,A282,po_status,"&lt;&gt;Annulé"))</f>
        <v/>
      </c>
      <c r="I282" s="74" t="str">
        <f>IF(A282="","",SUMIFS(po_rest,po_ref,A282,po_key,"&gt;0"))</f>
        <v/>
      </c>
      <c r="J282" s="70" t="str">
        <f>IF(A282="","",IF(COUNTIFS(po_ref,A282,po_status,"&lt;&gt;Annulé")=0,"",INDEX(po_price,SUMPRODUCT(MAX((po_ref=A282)*(po_status&lt;&gt;"Annulé")*(ROW(po_ref)-5))))))</f>
        <v/>
      </c>
      <c r="K282" s="67" t="str">
        <f>IF(A282="","",IF(COUNTIF(art_ref,A282)&gt;1,"Référence en double",IF(B282="","Désignation manquante",IF(NOT(ISNUMBER(D282)),"Prix manquant",IF(E282="","TVA manquante",IF(ISNA(MATCH(E282,p_tva,0)),"Taux de TVA inconnu",IF(AND(F282&lt;&gt;"",ISNA(MATCH(F282,sup_code,0))),"Fournisseur inconnu","OK")))))))</f>
        <v/>
      </c>
    </row>
    <row r="283">
      <c r="A283" s="63" t="n"/>
      <c r="B283" s="63" t="n"/>
      <c r="C283" s="65" t="n"/>
      <c r="D283" s="69" t="n"/>
      <c r="E283" s="71" t="n"/>
      <c r="F283" s="65" t="n"/>
      <c r="G283" s="74" t="str">
        <f>IF(A283="","",SUMIFS(po_qty,po_ref,A283,po_status,"&lt;&gt;Annulé"))</f>
        <v/>
      </c>
      <c r="H283" s="74" t="str">
        <f>IF(A283="","",SUMIFS(po_rcv,po_ref,A283,po_status,"&lt;&gt;Annulé"))</f>
        <v/>
      </c>
      <c r="I283" s="74" t="str">
        <f>IF(A283="","",SUMIFS(po_rest,po_ref,A283,po_key,"&gt;0"))</f>
        <v/>
      </c>
      <c r="J283" s="70" t="str">
        <f>IF(A283="","",IF(COUNTIFS(po_ref,A283,po_status,"&lt;&gt;Annulé")=0,"",INDEX(po_price,SUMPRODUCT(MAX((po_ref=A283)*(po_status&lt;&gt;"Annulé")*(ROW(po_ref)-5))))))</f>
        <v/>
      </c>
      <c r="K283" s="67" t="str">
        <f>IF(A283="","",IF(COUNTIF(art_ref,A283)&gt;1,"Référence en double",IF(B283="","Désignation manquante",IF(NOT(ISNUMBER(D283)),"Prix manquant",IF(E283="","TVA manquante",IF(ISNA(MATCH(E283,p_tva,0)),"Taux de TVA inconnu",IF(AND(F283&lt;&gt;"",ISNA(MATCH(F283,sup_code,0))),"Fournisseur inconnu","OK")))))))</f>
        <v/>
      </c>
    </row>
    <row r="284">
      <c r="A284" s="63" t="n"/>
      <c r="B284" s="63" t="n"/>
      <c r="C284" s="65" t="n"/>
      <c r="D284" s="69" t="n"/>
      <c r="E284" s="71" t="n"/>
      <c r="F284" s="65" t="n"/>
      <c r="G284" s="74" t="str">
        <f>IF(A284="","",SUMIFS(po_qty,po_ref,A284,po_status,"&lt;&gt;Annulé"))</f>
        <v/>
      </c>
      <c r="H284" s="74" t="str">
        <f>IF(A284="","",SUMIFS(po_rcv,po_ref,A284,po_status,"&lt;&gt;Annulé"))</f>
        <v/>
      </c>
      <c r="I284" s="74" t="str">
        <f>IF(A284="","",SUMIFS(po_rest,po_ref,A284,po_key,"&gt;0"))</f>
        <v/>
      </c>
      <c r="J284" s="70" t="str">
        <f>IF(A284="","",IF(COUNTIFS(po_ref,A284,po_status,"&lt;&gt;Annulé")=0,"",INDEX(po_price,SUMPRODUCT(MAX((po_ref=A284)*(po_status&lt;&gt;"Annulé")*(ROW(po_ref)-5))))))</f>
        <v/>
      </c>
      <c r="K284" s="67" t="str">
        <f>IF(A284="","",IF(COUNTIF(art_ref,A284)&gt;1,"Référence en double",IF(B284="","Désignation manquante",IF(NOT(ISNUMBER(D284)),"Prix manquant",IF(E284="","TVA manquante",IF(ISNA(MATCH(E284,p_tva,0)),"Taux de TVA inconnu",IF(AND(F284&lt;&gt;"",ISNA(MATCH(F284,sup_code,0))),"Fournisseur inconnu","OK")))))))</f>
        <v/>
      </c>
    </row>
    <row r="285">
      <c r="A285" s="63" t="n"/>
      <c r="B285" s="63" t="n"/>
      <c r="C285" s="65" t="n"/>
      <c r="D285" s="69" t="n"/>
      <c r="E285" s="71" t="n"/>
      <c r="F285" s="65" t="n"/>
      <c r="G285" s="74" t="str">
        <f>IF(A285="","",SUMIFS(po_qty,po_ref,A285,po_status,"&lt;&gt;Annulé"))</f>
        <v/>
      </c>
      <c r="H285" s="74" t="str">
        <f>IF(A285="","",SUMIFS(po_rcv,po_ref,A285,po_status,"&lt;&gt;Annulé"))</f>
        <v/>
      </c>
      <c r="I285" s="74" t="str">
        <f>IF(A285="","",SUMIFS(po_rest,po_ref,A285,po_key,"&gt;0"))</f>
        <v/>
      </c>
      <c r="J285" s="70" t="str">
        <f>IF(A285="","",IF(COUNTIFS(po_ref,A285,po_status,"&lt;&gt;Annulé")=0,"",INDEX(po_price,SUMPRODUCT(MAX((po_ref=A285)*(po_status&lt;&gt;"Annulé")*(ROW(po_ref)-5))))))</f>
        <v/>
      </c>
      <c r="K285" s="67" t="str">
        <f>IF(A285="","",IF(COUNTIF(art_ref,A285)&gt;1,"Référence en double",IF(B285="","Désignation manquante",IF(NOT(ISNUMBER(D285)),"Prix manquant",IF(E285="","TVA manquante",IF(ISNA(MATCH(E285,p_tva,0)),"Taux de TVA inconnu",IF(AND(F285&lt;&gt;"",ISNA(MATCH(F285,sup_code,0))),"Fournisseur inconnu","OK")))))))</f>
        <v/>
      </c>
    </row>
    <row r="286">
      <c r="A286" s="63" t="n"/>
      <c r="B286" s="63" t="n"/>
      <c r="C286" s="65" t="n"/>
      <c r="D286" s="69" t="n"/>
      <c r="E286" s="71" t="n"/>
      <c r="F286" s="65" t="n"/>
      <c r="G286" s="74" t="str">
        <f>IF(A286="","",SUMIFS(po_qty,po_ref,A286,po_status,"&lt;&gt;Annulé"))</f>
        <v/>
      </c>
      <c r="H286" s="74" t="str">
        <f>IF(A286="","",SUMIFS(po_rcv,po_ref,A286,po_status,"&lt;&gt;Annulé"))</f>
        <v/>
      </c>
      <c r="I286" s="74" t="str">
        <f>IF(A286="","",SUMIFS(po_rest,po_ref,A286,po_key,"&gt;0"))</f>
        <v/>
      </c>
      <c r="J286" s="70" t="str">
        <f>IF(A286="","",IF(COUNTIFS(po_ref,A286,po_status,"&lt;&gt;Annulé")=0,"",INDEX(po_price,SUMPRODUCT(MAX((po_ref=A286)*(po_status&lt;&gt;"Annulé")*(ROW(po_ref)-5))))))</f>
        <v/>
      </c>
      <c r="K286" s="67" t="str">
        <f>IF(A286="","",IF(COUNTIF(art_ref,A286)&gt;1,"Référence en double",IF(B286="","Désignation manquante",IF(NOT(ISNUMBER(D286)),"Prix manquant",IF(E286="","TVA manquante",IF(ISNA(MATCH(E286,p_tva,0)),"Taux de TVA inconnu",IF(AND(F286&lt;&gt;"",ISNA(MATCH(F286,sup_code,0))),"Fournisseur inconnu","OK")))))))</f>
        <v/>
      </c>
    </row>
    <row r="287">
      <c r="A287" s="63" t="n"/>
      <c r="B287" s="63" t="n"/>
      <c r="C287" s="65" t="n"/>
      <c r="D287" s="69" t="n"/>
      <c r="E287" s="71" t="n"/>
      <c r="F287" s="65" t="n"/>
      <c r="G287" s="74" t="str">
        <f>IF(A287="","",SUMIFS(po_qty,po_ref,A287,po_status,"&lt;&gt;Annulé"))</f>
        <v/>
      </c>
      <c r="H287" s="74" t="str">
        <f>IF(A287="","",SUMIFS(po_rcv,po_ref,A287,po_status,"&lt;&gt;Annulé"))</f>
        <v/>
      </c>
      <c r="I287" s="74" t="str">
        <f>IF(A287="","",SUMIFS(po_rest,po_ref,A287,po_key,"&gt;0"))</f>
        <v/>
      </c>
      <c r="J287" s="70" t="str">
        <f>IF(A287="","",IF(COUNTIFS(po_ref,A287,po_status,"&lt;&gt;Annulé")=0,"",INDEX(po_price,SUMPRODUCT(MAX((po_ref=A287)*(po_status&lt;&gt;"Annulé")*(ROW(po_ref)-5))))))</f>
        <v/>
      </c>
      <c r="K287" s="67" t="str">
        <f>IF(A287="","",IF(COUNTIF(art_ref,A287)&gt;1,"Référence en double",IF(B287="","Désignation manquante",IF(NOT(ISNUMBER(D287)),"Prix manquant",IF(E287="","TVA manquante",IF(ISNA(MATCH(E287,p_tva,0)),"Taux de TVA inconnu",IF(AND(F287&lt;&gt;"",ISNA(MATCH(F287,sup_code,0))),"Fournisseur inconnu","OK")))))))</f>
        <v/>
      </c>
    </row>
    <row r="288">
      <c r="A288" s="63" t="n"/>
      <c r="B288" s="63" t="n"/>
      <c r="C288" s="65" t="n"/>
      <c r="D288" s="69" t="n"/>
      <c r="E288" s="71" t="n"/>
      <c r="F288" s="65" t="n"/>
      <c r="G288" s="74" t="str">
        <f>IF(A288="","",SUMIFS(po_qty,po_ref,A288,po_status,"&lt;&gt;Annulé"))</f>
        <v/>
      </c>
      <c r="H288" s="74" t="str">
        <f>IF(A288="","",SUMIFS(po_rcv,po_ref,A288,po_status,"&lt;&gt;Annulé"))</f>
        <v/>
      </c>
      <c r="I288" s="74" t="str">
        <f>IF(A288="","",SUMIFS(po_rest,po_ref,A288,po_key,"&gt;0"))</f>
        <v/>
      </c>
      <c r="J288" s="70" t="str">
        <f>IF(A288="","",IF(COUNTIFS(po_ref,A288,po_status,"&lt;&gt;Annulé")=0,"",INDEX(po_price,SUMPRODUCT(MAX((po_ref=A288)*(po_status&lt;&gt;"Annulé")*(ROW(po_ref)-5))))))</f>
        <v/>
      </c>
      <c r="K288" s="67" t="str">
        <f>IF(A288="","",IF(COUNTIF(art_ref,A288)&gt;1,"Référence en double",IF(B288="","Désignation manquante",IF(NOT(ISNUMBER(D288)),"Prix manquant",IF(E288="","TVA manquante",IF(ISNA(MATCH(E288,p_tva,0)),"Taux de TVA inconnu",IF(AND(F288&lt;&gt;"",ISNA(MATCH(F288,sup_code,0))),"Fournisseur inconnu","OK")))))))</f>
        <v/>
      </c>
    </row>
    <row r="289">
      <c r="A289" s="63" t="n"/>
      <c r="B289" s="63" t="n"/>
      <c r="C289" s="65" t="n"/>
      <c r="D289" s="69" t="n"/>
      <c r="E289" s="71" t="n"/>
      <c r="F289" s="65" t="n"/>
      <c r="G289" s="74" t="str">
        <f>IF(A289="","",SUMIFS(po_qty,po_ref,A289,po_status,"&lt;&gt;Annulé"))</f>
        <v/>
      </c>
      <c r="H289" s="74" t="str">
        <f>IF(A289="","",SUMIFS(po_rcv,po_ref,A289,po_status,"&lt;&gt;Annulé"))</f>
        <v/>
      </c>
      <c r="I289" s="74" t="str">
        <f>IF(A289="","",SUMIFS(po_rest,po_ref,A289,po_key,"&gt;0"))</f>
        <v/>
      </c>
      <c r="J289" s="70" t="str">
        <f>IF(A289="","",IF(COUNTIFS(po_ref,A289,po_status,"&lt;&gt;Annulé")=0,"",INDEX(po_price,SUMPRODUCT(MAX((po_ref=A289)*(po_status&lt;&gt;"Annulé")*(ROW(po_ref)-5))))))</f>
        <v/>
      </c>
      <c r="K289" s="67" t="str">
        <f>IF(A289="","",IF(COUNTIF(art_ref,A289)&gt;1,"Référence en double",IF(B289="","Désignation manquante",IF(NOT(ISNUMBER(D289)),"Prix manquant",IF(E289="","TVA manquante",IF(ISNA(MATCH(E289,p_tva,0)),"Taux de TVA inconnu",IF(AND(F289&lt;&gt;"",ISNA(MATCH(F289,sup_code,0))),"Fournisseur inconnu","OK")))))))</f>
        <v/>
      </c>
    </row>
    <row r="290">
      <c r="A290" s="63" t="n"/>
      <c r="B290" s="63" t="n"/>
      <c r="C290" s="65" t="n"/>
      <c r="D290" s="69" t="n"/>
      <c r="E290" s="71" t="n"/>
      <c r="F290" s="65" t="n"/>
      <c r="G290" s="74" t="str">
        <f>IF(A290="","",SUMIFS(po_qty,po_ref,A290,po_status,"&lt;&gt;Annulé"))</f>
        <v/>
      </c>
      <c r="H290" s="74" t="str">
        <f>IF(A290="","",SUMIFS(po_rcv,po_ref,A290,po_status,"&lt;&gt;Annulé"))</f>
        <v/>
      </c>
      <c r="I290" s="74" t="str">
        <f>IF(A290="","",SUMIFS(po_rest,po_ref,A290,po_key,"&gt;0"))</f>
        <v/>
      </c>
      <c r="J290" s="70" t="str">
        <f>IF(A290="","",IF(COUNTIFS(po_ref,A290,po_status,"&lt;&gt;Annulé")=0,"",INDEX(po_price,SUMPRODUCT(MAX((po_ref=A290)*(po_status&lt;&gt;"Annulé")*(ROW(po_ref)-5))))))</f>
        <v/>
      </c>
      <c r="K290" s="67" t="str">
        <f>IF(A290="","",IF(COUNTIF(art_ref,A290)&gt;1,"Référence en double",IF(B290="","Désignation manquante",IF(NOT(ISNUMBER(D290)),"Prix manquant",IF(E290="","TVA manquante",IF(ISNA(MATCH(E290,p_tva,0)),"Taux de TVA inconnu",IF(AND(F290&lt;&gt;"",ISNA(MATCH(F290,sup_code,0))),"Fournisseur inconnu","OK")))))))</f>
        <v/>
      </c>
    </row>
    <row r="291">
      <c r="A291" s="63" t="n"/>
      <c r="B291" s="63" t="n"/>
      <c r="C291" s="65" t="n"/>
      <c r="D291" s="69" t="n"/>
      <c r="E291" s="71" t="n"/>
      <c r="F291" s="65" t="n"/>
      <c r="G291" s="74" t="str">
        <f>IF(A291="","",SUMIFS(po_qty,po_ref,A291,po_status,"&lt;&gt;Annulé"))</f>
        <v/>
      </c>
      <c r="H291" s="74" t="str">
        <f>IF(A291="","",SUMIFS(po_rcv,po_ref,A291,po_status,"&lt;&gt;Annulé"))</f>
        <v/>
      </c>
      <c r="I291" s="74" t="str">
        <f>IF(A291="","",SUMIFS(po_rest,po_ref,A291,po_key,"&gt;0"))</f>
        <v/>
      </c>
      <c r="J291" s="70" t="str">
        <f>IF(A291="","",IF(COUNTIFS(po_ref,A291,po_status,"&lt;&gt;Annulé")=0,"",INDEX(po_price,SUMPRODUCT(MAX((po_ref=A291)*(po_status&lt;&gt;"Annulé")*(ROW(po_ref)-5))))))</f>
        <v/>
      </c>
      <c r="K291" s="67" t="str">
        <f>IF(A291="","",IF(COUNTIF(art_ref,A291)&gt;1,"Référence en double",IF(B291="","Désignation manquante",IF(NOT(ISNUMBER(D291)),"Prix manquant",IF(E291="","TVA manquante",IF(ISNA(MATCH(E291,p_tva,0)),"Taux de TVA inconnu",IF(AND(F291&lt;&gt;"",ISNA(MATCH(F291,sup_code,0))),"Fournisseur inconnu","OK")))))))</f>
        <v/>
      </c>
    </row>
    <row r="292">
      <c r="A292" s="63" t="n"/>
      <c r="B292" s="63" t="n"/>
      <c r="C292" s="65" t="n"/>
      <c r="D292" s="69" t="n"/>
      <c r="E292" s="71" t="n"/>
      <c r="F292" s="65" t="n"/>
      <c r="G292" s="74" t="str">
        <f>IF(A292="","",SUMIFS(po_qty,po_ref,A292,po_status,"&lt;&gt;Annulé"))</f>
        <v/>
      </c>
      <c r="H292" s="74" t="str">
        <f>IF(A292="","",SUMIFS(po_rcv,po_ref,A292,po_status,"&lt;&gt;Annulé"))</f>
        <v/>
      </c>
      <c r="I292" s="74" t="str">
        <f>IF(A292="","",SUMIFS(po_rest,po_ref,A292,po_key,"&gt;0"))</f>
        <v/>
      </c>
      <c r="J292" s="70" t="str">
        <f>IF(A292="","",IF(COUNTIFS(po_ref,A292,po_status,"&lt;&gt;Annulé")=0,"",INDEX(po_price,SUMPRODUCT(MAX((po_ref=A292)*(po_status&lt;&gt;"Annulé")*(ROW(po_ref)-5))))))</f>
        <v/>
      </c>
      <c r="K292" s="67" t="str">
        <f>IF(A292="","",IF(COUNTIF(art_ref,A292)&gt;1,"Référence en double",IF(B292="","Désignation manquante",IF(NOT(ISNUMBER(D292)),"Prix manquant",IF(E292="","TVA manquante",IF(ISNA(MATCH(E292,p_tva,0)),"Taux de TVA inconnu",IF(AND(F292&lt;&gt;"",ISNA(MATCH(F292,sup_code,0))),"Fournisseur inconnu","OK")))))))</f>
        <v/>
      </c>
    </row>
    <row r="293">
      <c r="A293" s="63" t="n"/>
      <c r="B293" s="63" t="n"/>
      <c r="C293" s="65" t="n"/>
      <c r="D293" s="69" t="n"/>
      <c r="E293" s="71" t="n"/>
      <c r="F293" s="65" t="n"/>
      <c r="G293" s="74" t="str">
        <f>IF(A293="","",SUMIFS(po_qty,po_ref,A293,po_status,"&lt;&gt;Annulé"))</f>
        <v/>
      </c>
      <c r="H293" s="74" t="str">
        <f>IF(A293="","",SUMIFS(po_rcv,po_ref,A293,po_status,"&lt;&gt;Annulé"))</f>
        <v/>
      </c>
      <c r="I293" s="74" t="str">
        <f>IF(A293="","",SUMIFS(po_rest,po_ref,A293,po_key,"&gt;0"))</f>
        <v/>
      </c>
      <c r="J293" s="70" t="str">
        <f>IF(A293="","",IF(COUNTIFS(po_ref,A293,po_status,"&lt;&gt;Annulé")=0,"",INDEX(po_price,SUMPRODUCT(MAX((po_ref=A293)*(po_status&lt;&gt;"Annulé")*(ROW(po_ref)-5))))))</f>
        <v/>
      </c>
      <c r="K293" s="67" t="str">
        <f>IF(A293="","",IF(COUNTIF(art_ref,A293)&gt;1,"Référence en double",IF(B293="","Désignation manquante",IF(NOT(ISNUMBER(D293)),"Prix manquant",IF(E293="","TVA manquante",IF(ISNA(MATCH(E293,p_tva,0)),"Taux de TVA inconnu",IF(AND(F293&lt;&gt;"",ISNA(MATCH(F293,sup_code,0))),"Fournisseur inconnu","OK")))))))</f>
        <v/>
      </c>
    </row>
    <row r="294">
      <c r="A294" s="63" t="n"/>
      <c r="B294" s="63" t="n"/>
      <c r="C294" s="65" t="n"/>
      <c r="D294" s="69" t="n"/>
      <c r="E294" s="71" t="n"/>
      <c r="F294" s="65" t="n"/>
      <c r="G294" s="74" t="str">
        <f>IF(A294="","",SUMIFS(po_qty,po_ref,A294,po_status,"&lt;&gt;Annulé"))</f>
        <v/>
      </c>
      <c r="H294" s="74" t="str">
        <f>IF(A294="","",SUMIFS(po_rcv,po_ref,A294,po_status,"&lt;&gt;Annulé"))</f>
        <v/>
      </c>
      <c r="I294" s="74" t="str">
        <f>IF(A294="","",SUMIFS(po_rest,po_ref,A294,po_key,"&gt;0"))</f>
        <v/>
      </c>
      <c r="J294" s="70" t="str">
        <f>IF(A294="","",IF(COUNTIFS(po_ref,A294,po_status,"&lt;&gt;Annulé")=0,"",INDEX(po_price,SUMPRODUCT(MAX((po_ref=A294)*(po_status&lt;&gt;"Annulé")*(ROW(po_ref)-5))))))</f>
        <v/>
      </c>
      <c r="K294" s="67" t="str">
        <f>IF(A294="","",IF(COUNTIF(art_ref,A294)&gt;1,"Référence en double",IF(B294="","Désignation manquante",IF(NOT(ISNUMBER(D294)),"Prix manquant",IF(E294="","TVA manquante",IF(ISNA(MATCH(E294,p_tva,0)),"Taux de TVA inconnu",IF(AND(F294&lt;&gt;"",ISNA(MATCH(F294,sup_code,0))),"Fournisseur inconnu","OK")))))))</f>
        <v/>
      </c>
    </row>
    <row r="295">
      <c r="A295" s="63" t="n"/>
      <c r="B295" s="63" t="n"/>
      <c r="C295" s="65" t="n"/>
      <c r="D295" s="69" t="n"/>
      <c r="E295" s="71" t="n"/>
      <c r="F295" s="65" t="n"/>
      <c r="G295" s="74" t="str">
        <f>IF(A295="","",SUMIFS(po_qty,po_ref,A295,po_status,"&lt;&gt;Annulé"))</f>
        <v/>
      </c>
      <c r="H295" s="74" t="str">
        <f>IF(A295="","",SUMIFS(po_rcv,po_ref,A295,po_status,"&lt;&gt;Annulé"))</f>
        <v/>
      </c>
      <c r="I295" s="74" t="str">
        <f>IF(A295="","",SUMIFS(po_rest,po_ref,A295,po_key,"&gt;0"))</f>
        <v/>
      </c>
      <c r="J295" s="70" t="str">
        <f>IF(A295="","",IF(COUNTIFS(po_ref,A295,po_status,"&lt;&gt;Annulé")=0,"",INDEX(po_price,SUMPRODUCT(MAX((po_ref=A295)*(po_status&lt;&gt;"Annulé")*(ROW(po_ref)-5))))))</f>
        <v/>
      </c>
      <c r="K295" s="67" t="str">
        <f>IF(A295="","",IF(COUNTIF(art_ref,A295)&gt;1,"Référence en double",IF(B295="","Désignation manquante",IF(NOT(ISNUMBER(D295)),"Prix manquant",IF(E295="","TVA manquante",IF(ISNA(MATCH(E295,p_tva,0)),"Taux de TVA inconnu",IF(AND(F295&lt;&gt;"",ISNA(MATCH(F295,sup_code,0))),"Fournisseur inconnu","OK")))))))</f>
        <v/>
      </c>
    </row>
    <row r="296">
      <c r="A296" s="63" t="n"/>
      <c r="B296" s="63" t="n"/>
      <c r="C296" s="65" t="n"/>
      <c r="D296" s="69" t="n"/>
      <c r="E296" s="71" t="n"/>
      <c r="F296" s="65" t="n"/>
      <c r="G296" s="74" t="str">
        <f>IF(A296="","",SUMIFS(po_qty,po_ref,A296,po_status,"&lt;&gt;Annulé"))</f>
        <v/>
      </c>
      <c r="H296" s="74" t="str">
        <f>IF(A296="","",SUMIFS(po_rcv,po_ref,A296,po_status,"&lt;&gt;Annulé"))</f>
        <v/>
      </c>
      <c r="I296" s="74" t="str">
        <f>IF(A296="","",SUMIFS(po_rest,po_ref,A296,po_key,"&gt;0"))</f>
        <v/>
      </c>
      <c r="J296" s="70" t="str">
        <f>IF(A296="","",IF(COUNTIFS(po_ref,A296,po_status,"&lt;&gt;Annulé")=0,"",INDEX(po_price,SUMPRODUCT(MAX((po_ref=A296)*(po_status&lt;&gt;"Annulé")*(ROW(po_ref)-5))))))</f>
        <v/>
      </c>
      <c r="K296" s="67" t="str">
        <f>IF(A296="","",IF(COUNTIF(art_ref,A296)&gt;1,"Référence en double",IF(B296="","Désignation manquante",IF(NOT(ISNUMBER(D296)),"Prix manquant",IF(E296="","TVA manquante",IF(ISNA(MATCH(E296,p_tva,0)),"Taux de TVA inconnu",IF(AND(F296&lt;&gt;"",ISNA(MATCH(F296,sup_code,0))),"Fournisseur inconnu","OK")))))))</f>
        <v/>
      </c>
    </row>
    <row r="297">
      <c r="A297" s="63" t="n"/>
      <c r="B297" s="63" t="n"/>
      <c r="C297" s="65" t="n"/>
      <c r="D297" s="69" t="n"/>
      <c r="E297" s="71" t="n"/>
      <c r="F297" s="65" t="n"/>
      <c r="G297" s="74" t="str">
        <f>IF(A297="","",SUMIFS(po_qty,po_ref,A297,po_status,"&lt;&gt;Annulé"))</f>
        <v/>
      </c>
      <c r="H297" s="74" t="str">
        <f>IF(A297="","",SUMIFS(po_rcv,po_ref,A297,po_status,"&lt;&gt;Annulé"))</f>
        <v/>
      </c>
      <c r="I297" s="74" t="str">
        <f>IF(A297="","",SUMIFS(po_rest,po_ref,A297,po_key,"&gt;0"))</f>
        <v/>
      </c>
      <c r="J297" s="70" t="str">
        <f>IF(A297="","",IF(COUNTIFS(po_ref,A297,po_status,"&lt;&gt;Annulé")=0,"",INDEX(po_price,SUMPRODUCT(MAX((po_ref=A297)*(po_status&lt;&gt;"Annulé")*(ROW(po_ref)-5))))))</f>
        <v/>
      </c>
      <c r="K297" s="67" t="str">
        <f>IF(A297="","",IF(COUNTIF(art_ref,A297)&gt;1,"Référence en double",IF(B297="","Désignation manquante",IF(NOT(ISNUMBER(D297)),"Prix manquant",IF(E297="","TVA manquante",IF(ISNA(MATCH(E297,p_tva,0)),"Taux de TVA inconnu",IF(AND(F297&lt;&gt;"",ISNA(MATCH(F297,sup_code,0))),"Fournisseur inconnu","OK")))))))</f>
        <v/>
      </c>
    </row>
    <row r="298">
      <c r="A298" s="63" t="n"/>
      <c r="B298" s="63" t="n"/>
      <c r="C298" s="65" t="n"/>
      <c r="D298" s="69" t="n"/>
      <c r="E298" s="71" t="n"/>
      <c r="F298" s="65" t="n"/>
      <c r="G298" s="74" t="str">
        <f>IF(A298="","",SUMIFS(po_qty,po_ref,A298,po_status,"&lt;&gt;Annulé"))</f>
        <v/>
      </c>
      <c r="H298" s="74" t="str">
        <f>IF(A298="","",SUMIFS(po_rcv,po_ref,A298,po_status,"&lt;&gt;Annulé"))</f>
        <v/>
      </c>
      <c r="I298" s="74" t="str">
        <f>IF(A298="","",SUMIFS(po_rest,po_ref,A298,po_key,"&gt;0"))</f>
        <v/>
      </c>
      <c r="J298" s="70" t="str">
        <f>IF(A298="","",IF(COUNTIFS(po_ref,A298,po_status,"&lt;&gt;Annulé")=0,"",INDEX(po_price,SUMPRODUCT(MAX((po_ref=A298)*(po_status&lt;&gt;"Annulé")*(ROW(po_ref)-5))))))</f>
        <v/>
      </c>
      <c r="K298" s="67" t="str">
        <f>IF(A298="","",IF(COUNTIF(art_ref,A298)&gt;1,"Référence en double",IF(B298="","Désignation manquante",IF(NOT(ISNUMBER(D298)),"Prix manquant",IF(E298="","TVA manquante",IF(ISNA(MATCH(E298,p_tva,0)),"Taux de TVA inconnu",IF(AND(F298&lt;&gt;"",ISNA(MATCH(F298,sup_code,0))),"Fournisseur inconnu","OK")))))))</f>
        <v/>
      </c>
    </row>
    <row r="299">
      <c r="A299" s="63" t="n"/>
      <c r="B299" s="63" t="n"/>
      <c r="C299" s="65" t="n"/>
      <c r="D299" s="69" t="n"/>
      <c r="E299" s="71" t="n"/>
      <c r="F299" s="65" t="n"/>
      <c r="G299" s="74" t="str">
        <f>IF(A299="","",SUMIFS(po_qty,po_ref,A299,po_status,"&lt;&gt;Annulé"))</f>
        <v/>
      </c>
      <c r="H299" s="74" t="str">
        <f>IF(A299="","",SUMIFS(po_rcv,po_ref,A299,po_status,"&lt;&gt;Annulé"))</f>
        <v/>
      </c>
      <c r="I299" s="74" t="str">
        <f>IF(A299="","",SUMIFS(po_rest,po_ref,A299,po_key,"&gt;0"))</f>
        <v/>
      </c>
      <c r="J299" s="70" t="str">
        <f>IF(A299="","",IF(COUNTIFS(po_ref,A299,po_status,"&lt;&gt;Annulé")=0,"",INDEX(po_price,SUMPRODUCT(MAX((po_ref=A299)*(po_status&lt;&gt;"Annulé")*(ROW(po_ref)-5))))))</f>
        <v/>
      </c>
      <c r="K299" s="67" t="str">
        <f>IF(A299="","",IF(COUNTIF(art_ref,A299)&gt;1,"Référence en double",IF(B299="","Désignation manquante",IF(NOT(ISNUMBER(D299)),"Prix manquant",IF(E299="","TVA manquante",IF(ISNA(MATCH(E299,p_tva,0)),"Taux de TVA inconnu",IF(AND(F299&lt;&gt;"",ISNA(MATCH(F299,sup_code,0))),"Fournisseur inconnu","OK")))))))</f>
        <v/>
      </c>
    </row>
    <row r="300">
      <c r="A300" s="63" t="n"/>
      <c r="B300" s="63" t="n"/>
      <c r="C300" s="65" t="n"/>
      <c r="D300" s="69" t="n"/>
      <c r="E300" s="71" t="n"/>
      <c r="F300" s="65" t="n"/>
      <c r="G300" s="74" t="str">
        <f>IF(A300="","",SUMIFS(po_qty,po_ref,A300,po_status,"&lt;&gt;Annulé"))</f>
        <v/>
      </c>
      <c r="H300" s="74" t="str">
        <f>IF(A300="","",SUMIFS(po_rcv,po_ref,A300,po_status,"&lt;&gt;Annulé"))</f>
        <v/>
      </c>
      <c r="I300" s="74" t="str">
        <f>IF(A300="","",SUMIFS(po_rest,po_ref,A300,po_key,"&gt;0"))</f>
        <v/>
      </c>
      <c r="J300" s="70" t="str">
        <f>IF(A300="","",IF(COUNTIFS(po_ref,A300,po_status,"&lt;&gt;Annulé")=0,"",INDEX(po_price,SUMPRODUCT(MAX((po_ref=A300)*(po_status&lt;&gt;"Annulé")*(ROW(po_ref)-5))))))</f>
        <v/>
      </c>
      <c r="K300" s="67" t="str">
        <f>IF(A300="","",IF(COUNTIF(art_ref,A300)&gt;1,"Référence en double",IF(B300="","Désignation manquante",IF(NOT(ISNUMBER(D300)),"Prix manquant",IF(E300="","TVA manquante",IF(ISNA(MATCH(E300,p_tva,0)),"Taux de TVA inconnu",IF(AND(F300&lt;&gt;"",ISNA(MATCH(F300,sup_code,0))),"Fournisseur inconnu","OK")))))))</f>
        <v/>
      </c>
    </row>
    <row r="301">
      <c r="A301" s="63" t="n"/>
      <c r="B301" s="63" t="n"/>
      <c r="C301" s="65" t="n"/>
      <c r="D301" s="69" t="n"/>
      <c r="E301" s="71" t="n"/>
      <c r="F301" s="65" t="n"/>
      <c r="G301" s="74" t="str">
        <f>IF(A301="","",SUMIFS(po_qty,po_ref,A301,po_status,"&lt;&gt;Annulé"))</f>
        <v/>
      </c>
      <c r="H301" s="74" t="str">
        <f>IF(A301="","",SUMIFS(po_rcv,po_ref,A301,po_status,"&lt;&gt;Annulé"))</f>
        <v/>
      </c>
      <c r="I301" s="74" t="str">
        <f>IF(A301="","",SUMIFS(po_rest,po_ref,A301,po_key,"&gt;0"))</f>
        <v/>
      </c>
      <c r="J301" s="70" t="str">
        <f>IF(A301="","",IF(COUNTIFS(po_ref,A301,po_status,"&lt;&gt;Annulé")=0,"",INDEX(po_price,SUMPRODUCT(MAX((po_ref=A301)*(po_status&lt;&gt;"Annulé")*(ROW(po_ref)-5))))))</f>
        <v/>
      </c>
      <c r="K301" s="67" t="str">
        <f>IF(A301="","",IF(COUNTIF(art_ref,A301)&gt;1,"Référence en double",IF(B301="","Désignation manquante",IF(NOT(ISNUMBER(D301)),"Prix manquant",IF(E301="","TVA manquante",IF(ISNA(MATCH(E301,p_tva,0)),"Taux de TVA inconnu",IF(AND(F301&lt;&gt;"",ISNA(MATCH(F301,sup_code,0))),"Fournisseur inconnu","OK")))))))</f>
        <v/>
      </c>
    </row>
    <row r="302">
      <c r="A302" s="63" t="n"/>
      <c r="B302" s="63" t="n"/>
      <c r="C302" s="65" t="n"/>
      <c r="D302" s="69" t="n"/>
      <c r="E302" s="71" t="n"/>
      <c r="F302" s="65" t="n"/>
      <c r="G302" s="74" t="str">
        <f>IF(A302="","",SUMIFS(po_qty,po_ref,A302,po_status,"&lt;&gt;Annulé"))</f>
        <v/>
      </c>
      <c r="H302" s="74" t="str">
        <f>IF(A302="","",SUMIFS(po_rcv,po_ref,A302,po_status,"&lt;&gt;Annulé"))</f>
        <v/>
      </c>
      <c r="I302" s="74" t="str">
        <f>IF(A302="","",SUMIFS(po_rest,po_ref,A302,po_key,"&gt;0"))</f>
        <v/>
      </c>
      <c r="J302" s="70" t="str">
        <f>IF(A302="","",IF(COUNTIFS(po_ref,A302,po_status,"&lt;&gt;Annulé")=0,"",INDEX(po_price,SUMPRODUCT(MAX((po_ref=A302)*(po_status&lt;&gt;"Annulé")*(ROW(po_ref)-5))))))</f>
        <v/>
      </c>
      <c r="K302" s="67" t="str">
        <f>IF(A302="","",IF(COUNTIF(art_ref,A302)&gt;1,"Référence en double",IF(B302="","Désignation manquante",IF(NOT(ISNUMBER(D302)),"Prix manquant",IF(E302="","TVA manquante",IF(ISNA(MATCH(E302,p_tva,0)),"Taux de TVA inconnu",IF(AND(F302&lt;&gt;"",ISNA(MATCH(F302,sup_code,0))),"Fournisseur inconnu","OK")))))))</f>
        <v/>
      </c>
    </row>
    <row r="303">
      <c r="A303" s="63" t="n"/>
      <c r="B303" s="63" t="n"/>
      <c r="C303" s="65" t="n"/>
      <c r="D303" s="69" t="n"/>
      <c r="E303" s="71" t="n"/>
      <c r="F303" s="65" t="n"/>
      <c r="G303" s="74" t="str">
        <f>IF(A303="","",SUMIFS(po_qty,po_ref,A303,po_status,"&lt;&gt;Annulé"))</f>
        <v/>
      </c>
      <c r="H303" s="74" t="str">
        <f>IF(A303="","",SUMIFS(po_rcv,po_ref,A303,po_status,"&lt;&gt;Annulé"))</f>
        <v/>
      </c>
      <c r="I303" s="74" t="str">
        <f>IF(A303="","",SUMIFS(po_rest,po_ref,A303,po_key,"&gt;0"))</f>
        <v/>
      </c>
      <c r="J303" s="70" t="str">
        <f>IF(A303="","",IF(COUNTIFS(po_ref,A303,po_status,"&lt;&gt;Annulé")=0,"",INDEX(po_price,SUMPRODUCT(MAX((po_ref=A303)*(po_status&lt;&gt;"Annulé")*(ROW(po_ref)-5))))))</f>
        <v/>
      </c>
      <c r="K303" s="67" t="str">
        <f>IF(A303="","",IF(COUNTIF(art_ref,A303)&gt;1,"Référence en double",IF(B303="","Désignation manquante",IF(NOT(ISNUMBER(D303)),"Prix manquant",IF(E303="","TVA manquante",IF(ISNA(MATCH(E303,p_tva,0)),"Taux de TVA inconnu",IF(AND(F303&lt;&gt;"",ISNA(MATCH(F303,sup_code,0))),"Fournisseur inconnu","OK")))))))</f>
        <v/>
      </c>
    </row>
    <row r="304">
      <c r="A304" s="63" t="n"/>
      <c r="B304" s="63" t="n"/>
      <c r="C304" s="65" t="n"/>
      <c r="D304" s="69" t="n"/>
      <c r="E304" s="71" t="n"/>
      <c r="F304" s="65" t="n"/>
      <c r="G304" s="74" t="str">
        <f>IF(A304="","",SUMIFS(po_qty,po_ref,A304,po_status,"&lt;&gt;Annulé"))</f>
        <v/>
      </c>
      <c r="H304" s="74" t="str">
        <f>IF(A304="","",SUMIFS(po_rcv,po_ref,A304,po_status,"&lt;&gt;Annulé"))</f>
        <v/>
      </c>
      <c r="I304" s="74" t="str">
        <f>IF(A304="","",SUMIFS(po_rest,po_ref,A304,po_key,"&gt;0"))</f>
        <v/>
      </c>
      <c r="J304" s="70" t="str">
        <f>IF(A304="","",IF(COUNTIFS(po_ref,A304,po_status,"&lt;&gt;Annulé")=0,"",INDEX(po_price,SUMPRODUCT(MAX((po_ref=A304)*(po_status&lt;&gt;"Annulé")*(ROW(po_ref)-5))))))</f>
        <v/>
      </c>
      <c r="K304" s="67" t="str">
        <f>IF(A304="","",IF(COUNTIF(art_ref,A304)&gt;1,"Référence en double",IF(B304="","Désignation manquante",IF(NOT(ISNUMBER(D304)),"Prix manquant",IF(E304="","TVA manquante",IF(ISNA(MATCH(E304,p_tva,0)),"Taux de TVA inconnu",IF(AND(F304&lt;&gt;"",ISNA(MATCH(F304,sup_code,0))),"Fournisseur inconnu","OK")))))))</f>
        <v/>
      </c>
    </row>
    <row r="305">
      <c r="A305" s="63" t="n"/>
      <c r="B305" s="63" t="n"/>
      <c r="C305" s="65" t="n"/>
      <c r="D305" s="69" t="n"/>
      <c r="E305" s="71" t="n"/>
      <c r="F305" s="65" t="n"/>
      <c r="G305" s="74" t="str">
        <f>IF(A305="","",SUMIFS(po_qty,po_ref,A305,po_status,"&lt;&gt;Annulé"))</f>
        <v/>
      </c>
      <c r="H305" s="74" t="str">
        <f>IF(A305="","",SUMIFS(po_rcv,po_ref,A305,po_status,"&lt;&gt;Annulé"))</f>
        <v/>
      </c>
      <c r="I305" s="74" t="str">
        <f>IF(A305="","",SUMIFS(po_rest,po_ref,A305,po_key,"&gt;0"))</f>
        <v/>
      </c>
      <c r="J305" s="70" t="str">
        <f>IF(A305="","",IF(COUNTIFS(po_ref,A305,po_status,"&lt;&gt;Annulé")=0,"",INDEX(po_price,SUMPRODUCT(MAX((po_ref=A305)*(po_status&lt;&gt;"Annulé")*(ROW(po_ref)-5))))))</f>
        <v/>
      </c>
      <c r="K305" s="67" t="str">
        <f>IF(A305="","",IF(COUNTIF(art_ref,A305)&gt;1,"Référence en double",IF(B305="","Désignation manquante",IF(NOT(ISNUMBER(D305)),"Prix manquant",IF(E305="","TVA manquante",IF(ISNA(MATCH(E305,p_tva,0)),"Taux de TVA inconnu",IF(AND(F305&lt;&gt;"",ISNA(MATCH(F305,sup_code,0))),"Fournisseur inconnu","OK")))))))</f>
        <v/>
      </c>
    </row>
    <row r="306">
      <c r="A306" s="63" t="n"/>
      <c r="B306" s="63" t="n"/>
      <c r="C306" s="65" t="n"/>
      <c r="D306" s="69" t="n"/>
      <c r="E306" s="71" t="n"/>
      <c r="F306" s="65" t="n"/>
      <c r="G306" s="74" t="str">
        <f>IF(A306="","",SUMIFS(po_qty,po_ref,A306,po_status,"&lt;&gt;Annulé"))</f>
        <v/>
      </c>
      <c r="H306" s="74" t="str">
        <f>IF(A306="","",SUMIFS(po_rcv,po_ref,A306,po_status,"&lt;&gt;Annulé"))</f>
        <v/>
      </c>
      <c r="I306" s="74" t="str">
        <f>IF(A306="","",SUMIFS(po_rest,po_ref,A306,po_key,"&gt;0"))</f>
        <v/>
      </c>
      <c r="J306" s="70" t="str">
        <f>IF(A306="","",IF(COUNTIFS(po_ref,A306,po_status,"&lt;&gt;Annulé")=0,"",INDEX(po_price,SUMPRODUCT(MAX((po_ref=A306)*(po_status&lt;&gt;"Annulé")*(ROW(po_ref)-5))))))</f>
        <v/>
      </c>
      <c r="K306" s="67" t="str">
        <f>IF(A306="","",IF(COUNTIF(art_ref,A306)&gt;1,"Référence en double",IF(B306="","Désignation manquante",IF(NOT(ISNUMBER(D306)),"Prix manquant",IF(E306="","TVA manquante",IF(ISNA(MATCH(E306,p_tva,0)),"Taux de TVA inconnu",IF(AND(F306&lt;&gt;"",ISNA(MATCH(F306,sup_code,0))),"Fournisseur inconnu","OK")))))))</f>
        <v/>
      </c>
    </row>
    <row r="307">
      <c r="A307" s="63" t="n"/>
      <c r="B307" s="63" t="n"/>
      <c r="C307" s="65" t="n"/>
      <c r="D307" s="69" t="n"/>
      <c r="E307" s="71" t="n"/>
      <c r="F307" s="65" t="n"/>
      <c r="G307" s="74" t="str">
        <f>IF(A307="","",SUMIFS(po_qty,po_ref,A307,po_status,"&lt;&gt;Annulé"))</f>
        <v/>
      </c>
      <c r="H307" s="74" t="str">
        <f>IF(A307="","",SUMIFS(po_rcv,po_ref,A307,po_status,"&lt;&gt;Annulé"))</f>
        <v/>
      </c>
      <c r="I307" s="74" t="str">
        <f>IF(A307="","",SUMIFS(po_rest,po_ref,A307,po_key,"&gt;0"))</f>
        <v/>
      </c>
      <c r="J307" s="70" t="str">
        <f>IF(A307="","",IF(COUNTIFS(po_ref,A307,po_status,"&lt;&gt;Annulé")=0,"",INDEX(po_price,SUMPRODUCT(MAX((po_ref=A307)*(po_status&lt;&gt;"Annulé")*(ROW(po_ref)-5))))))</f>
        <v/>
      </c>
      <c r="K307" s="67" t="str">
        <f>IF(A307="","",IF(COUNTIF(art_ref,A307)&gt;1,"Référence en double",IF(B307="","Désignation manquante",IF(NOT(ISNUMBER(D307)),"Prix manquant",IF(E307="","TVA manquante",IF(ISNA(MATCH(E307,p_tva,0)),"Taux de TVA inconnu",IF(AND(F307&lt;&gt;"",ISNA(MATCH(F307,sup_code,0))),"Fournisseur inconnu","OK")))))))</f>
        <v/>
      </c>
    </row>
    <row r="308">
      <c r="A308" s="63" t="n"/>
      <c r="B308" s="63" t="n"/>
      <c r="C308" s="65" t="n"/>
      <c r="D308" s="69" t="n"/>
      <c r="E308" s="71" t="n"/>
      <c r="F308" s="65" t="n"/>
      <c r="G308" s="74" t="str">
        <f>IF(A308="","",SUMIFS(po_qty,po_ref,A308,po_status,"&lt;&gt;Annulé"))</f>
        <v/>
      </c>
      <c r="H308" s="74" t="str">
        <f>IF(A308="","",SUMIFS(po_rcv,po_ref,A308,po_status,"&lt;&gt;Annulé"))</f>
        <v/>
      </c>
      <c r="I308" s="74" t="str">
        <f>IF(A308="","",SUMIFS(po_rest,po_ref,A308,po_key,"&gt;0"))</f>
        <v/>
      </c>
      <c r="J308" s="70" t="str">
        <f>IF(A308="","",IF(COUNTIFS(po_ref,A308,po_status,"&lt;&gt;Annulé")=0,"",INDEX(po_price,SUMPRODUCT(MAX((po_ref=A308)*(po_status&lt;&gt;"Annulé")*(ROW(po_ref)-5))))))</f>
        <v/>
      </c>
      <c r="K308" s="67" t="str">
        <f>IF(A308="","",IF(COUNTIF(art_ref,A308)&gt;1,"Référence en double",IF(B308="","Désignation manquante",IF(NOT(ISNUMBER(D308)),"Prix manquant",IF(E308="","TVA manquante",IF(ISNA(MATCH(E308,p_tva,0)),"Taux de TVA inconnu",IF(AND(F308&lt;&gt;"",ISNA(MATCH(F308,sup_code,0))),"Fournisseur inconnu","OK")))))))</f>
        <v/>
      </c>
    </row>
    <row r="309">
      <c r="A309" s="63" t="n"/>
      <c r="B309" s="63" t="n"/>
      <c r="C309" s="65" t="n"/>
      <c r="D309" s="69" t="n"/>
      <c r="E309" s="71" t="n"/>
      <c r="F309" s="65" t="n"/>
      <c r="G309" s="74" t="str">
        <f>IF(A309="","",SUMIFS(po_qty,po_ref,A309,po_status,"&lt;&gt;Annulé"))</f>
        <v/>
      </c>
      <c r="H309" s="74" t="str">
        <f>IF(A309="","",SUMIFS(po_rcv,po_ref,A309,po_status,"&lt;&gt;Annulé"))</f>
        <v/>
      </c>
      <c r="I309" s="74" t="str">
        <f>IF(A309="","",SUMIFS(po_rest,po_ref,A309,po_key,"&gt;0"))</f>
        <v/>
      </c>
      <c r="J309" s="70" t="str">
        <f>IF(A309="","",IF(COUNTIFS(po_ref,A309,po_status,"&lt;&gt;Annulé")=0,"",INDEX(po_price,SUMPRODUCT(MAX((po_ref=A309)*(po_status&lt;&gt;"Annulé")*(ROW(po_ref)-5))))))</f>
        <v/>
      </c>
      <c r="K309" s="67" t="str">
        <f>IF(A309="","",IF(COUNTIF(art_ref,A309)&gt;1,"Référence en double",IF(B309="","Désignation manquante",IF(NOT(ISNUMBER(D309)),"Prix manquant",IF(E309="","TVA manquante",IF(ISNA(MATCH(E309,p_tva,0)),"Taux de TVA inconnu",IF(AND(F309&lt;&gt;"",ISNA(MATCH(F309,sup_code,0))),"Fournisseur inconnu","OK")))))))</f>
        <v/>
      </c>
    </row>
    <row r="310">
      <c r="A310" s="63" t="n"/>
      <c r="B310" s="63" t="n"/>
      <c r="C310" s="65" t="n"/>
      <c r="D310" s="69" t="n"/>
      <c r="E310" s="71" t="n"/>
      <c r="F310" s="65" t="n"/>
      <c r="G310" s="74" t="str">
        <f>IF(A310="","",SUMIFS(po_qty,po_ref,A310,po_status,"&lt;&gt;Annulé"))</f>
        <v/>
      </c>
      <c r="H310" s="74" t="str">
        <f>IF(A310="","",SUMIFS(po_rcv,po_ref,A310,po_status,"&lt;&gt;Annulé"))</f>
        <v/>
      </c>
      <c r="I310" s="74" t="str">
        <f>IF(A310="","",SUMIFS(po_rest,po_ref,A310,po_key,"&gt;0"))</f>
        <v/>
      </c>
      <c r="J310" s="70" t="str">
        <f>IF(A310="","",IF(COUNTIFS(po_ref,A310,po_status,"&lt;&gt;Annulé")=0,"",INDEX(po_price,SUMPRODUCT(MAX((po_ref=A310)*(po_status&lt;&gt;"Annulé")*(ROW(po_ref)-5))))))</f>
        <v/>
      </c>
      <c r="K310" s="67" t="str">
        <f>IF(A310="","",IF(COUNTIF(art_ref,A310)&gt;1,"Référence en double",IF(B310="","Désignation manquante",IF(NOT(ISNUMBER(D310)),"Prix manquant",IF(E310="","TVA manquante",IF(ISNA(MATCH(E310,p_tva,0)),"Taux de TVA inconnu",IF(AND(F310&lt;&gt;"",ISNA(MATCH(F310,sup_code,0))),"Fournisseur inconnu","OK")))))))</f>
        <v/>
      </c>
    </row>
    <row r="311">
      <c r="A311" s="63" t="n"/>
      <c r="B311" s="63" t="n"/>
      <c r="C311" s="65" t="n"/>
      <c r="D311" s="69" t="n"/>
      <c r="E311" s="71" t="n"/>
      <c r="F311" s="65" t="n"/>
      <c r="G311" s="74" t="str">
        <f>IF(A311="","",SUMIFS(po_qty,po_ref,A311,po_status,"&lt;&gt;Annulé"))</f>
        <v/>
      </c>
      <c r="H311" s="74" t="str">
        <f>IF(A311="","",SUMIFS(po_rcv,po_ref,A311,po_status,"&lt;&gt;Annulé"))</f>
        <v/>
      </c>
      <c r="I311" s="74" t="str">
        <f>IF(A311="","",SUMIFS(po_rest,po_ref,A311,po_key,"&gt;0"))</f>
        <v/>
      </c>
      <c r="J311" s="70" t="str">
        <f>IF(A311="","",IF(COUNTIFS(po_ref,A311,po_status,"&lt;&gt;Annulé")=0,"",INDEX(po_price,SUMPRODUCT(MAX((po_ref=A311)*(po_status&lt;&gt;"Annulé")*(ROW(po_ref)-5))))))</f>
        <v/>
      </c>
      <c r="K311" s="67" t="str">
        <f>IF(A311="","",IF(COUNTIF(art_ref,A311)&gt;1,"Référence en double",IF(B311="","Désignation manquante",IF(NOT(ISNUMBER(D311)),"Prix manquant",IF(E311="","TVA manquante",IF(ISNA(MATCH(E311,p_tva,0)),"Taux de TVA inconnu",IF(AND(F311&lt;&gt;"",ISNA(MATCH(F311,sup_code,0))),"Fournisseur inconnu","OK")))))))</f>
        <v/>
      </c>
    </row>
    <row r="312">
      <c r="A312" s="63" t="n"/>
      <c r="B312" s="63" t="n"/>
      <c r="C312" s="65" t="n"/>
      <c r="D312" s="69" t="n"/>
      <c r="E312" s="71" t="n"/>
      <c r="F312" s="65" t="n"/>
      <c r="G312" s="74" t="str">
        <f>IF(A312="","",SUMIFS(po_qty,po_ref,A312,po_status,"&lt;&gt;Annulé"))</f>
        <v/>
      </c>
      <c r="H312" s="74" t="str">
        <f>IF(A312="","",SUMIFS(po_rcv,po_ref,A312,po_status,"&lt;&gt;Annulé"))</f>
        <v/>
      </c>
      <c r="I312" s="74" t="str">
        <f>IF(A312="","",SUMIFS(po_rest,po_ref,A312,po_key,"&gt;0"))</f>
        <v/>
      </c>
      <c r="J312" s="70" t="str">
        <f>IF(A312="","",IF(COUNTIFS(po_ref,A312,po_status,"&lt;&gt;Annulé")=0,"",INDEX(po_price,SUMPRODUCT(MAX((po_ref=A312)*(po_status&lt;&gt;"Annulé")*(ROW(po_ref)-5))))))</f>
        <v/>
      </c>
      <c r="K312" s="67" t="str">
        <f>IF(A312="","",IF(COUNTIF(art_ref,A312)&gt;1,"Référence en double",IF(B312="","Désignation manquante",IF(NOT(ISNUMBER(D312)),"Prix manquant",IF(E312="","TVA manquante",IF(ISNA(MATCH(E312,p_tva,0)),"Taux de TVA inconnu",IF(AND(F312&lt;&gt;"",ISNA(MATCH(F312,sup_code,0))),"Fournisseur inconnu","OK")))))))</f>
        <v/>
      </c>
    </row>
    <row r="313">
      <c r="A313" s="63" t="n"/>
      <c r="B313" s="63" t="n"/>
      <c r="C313" s="65" t="n"/>
      <c r="D313" s="69" t="n"/>
      <c r="E313" s="71" t="n"/>
      <c r="F313" s="65" t="n"/>
      <c r="G313" s="74" t="str">
        <f>IF(A313="","",SUMIFS(po_qty,po_ref,A313,po_status,"&lt;&gt;Annulé"))</f>
        <v/>
      </c>
      <c r="H313" s="74" t="str">
        <f>IF(A313="","",SUMIFS(po_rcv,po_ref,A313,po_status,"&lt;&gt;Annulé"))</f>
        <v/>
      </c>
      <c r="I313" s="74" t="str">
        <f>IF(A313="","",SUMIFS(po_rest,po_ref,A313,po_key,"&gt;0"))</f>
        <v/>
      </c>
      <c r="J313" s="70" t="str">
        <f>IF(A313="","",IF(COUNTIFS(po_ref,A313,po_status,"&lt;&gt;Annulé")=0,"",INDEX(po_price,SUMPRODUCT(MAX((po_ref=A313)*(po_status&lt;&gt;"Annulé")*(ROW(po_ref)-5))))))</f>
        <v/>
      </c>
      <c r="K313" s="67" t="str">
        <f>IF(A313="","",IF(COUNTIF(art_ref,A313)&gt;1,"Référence en double",IF(B313="","Désignation manquante",IF(NOT(ISNUMBER(D313)),"Prix manquant",IF(E313="","TVA manquante",IF(ISNA(MATCH(E313,p_tva,0)),"Taux de TVA inconnu",IF(AND(F313&lt;&gt;"",ISNA(MATCH(F313,sup_code,0))),"Fournisseur inconnu","OK")))))))</f>
        <v/>
      </c>
    </row>
    <row r="314">
      <c r="A314" s="63" t="n"/>
      <c r="B314" s="63" t="n"/>
      <c r="C314" s="65" t="n"/>
      <c r="D314" s="69" t="n"/>
      <c r="E314" s="71" t="n"/>
      <c r="F314" s="65" t="n"/>
      <c r="G314" s="74" t="str">
        <f>IF(A314="","",SUMIFS(po_qty,po_ref,A314,po_status,"&lt;&gt;Annulé"))</f>
        <v/>
      </c>
      <c r="H314" s="74" t="str">
        <f>IF(A314="","",SUMIFS(po_rcv,po_ref,A314,po_status,"&lt;&gt;Annulé"))</f>
        <v/>
      </c>
      <c r="I314" s="74" t="str">
        <f>IF(A314="","",SUMIFS(po_rest,po_ref,A314,po_key,"&gt;0"))</f>
        <v/>
      </c>
      <c r="J314" s="70" t="str">
        <f>IF(A314="","",IF(COUNTIFS(po_ref,A314,po_status,"&lt;&gt;Annulé")=0,"",INDEX(po_price,SUMPRODUCT(MAX((po_ref=A314)*(po_status&lt;&gt;"Annulé")*(ROW(po_ref)-5))))))</f>
        <v/>
      </c>
      <c r="K314" s="67" t="str">
        <f>IF(A314="","",IF(COUNTIF(art_ref,A314)&gt;1,"Référence en double",IF(B314="","Désignation manquante",IF(NOT(ISNUMBER(D314)),"Prix manquant",IF(E314="","TVA manquante",IF(ISNA(MATCH(E314,p_tva,0)),"Taux de TVA inconnu",IF(AND(F314&lt;&gt;"",ISNA(MATCH(F314,sup_code,0))),"Fournisseur inconnu","OK")))))))</f>
        <v/>
      </c>
    </row>
    <row r="315">
      <c r="A315" s="63" t="n"/>
      <c r="B315" s="63" t="n"/>
      <c r="C315" s="65" t="n"/>
      <c r="D315" s="69" t="n"/>
      <c r="E315" s="71" t="n"/>
      <c r="F315" s="65" t="n"/>
      <c r="G315" s="74" t="str">
        <f>IF(A315="","",SUMIFS(po_qty,po_ref,A315,po_status,"&lt;&gt;Annulé"))</f>
        <v/>
      </c>
      <c r="H315" s="74" t="str">
        <f>IF(A315="","",SUMIFS(po_rcv,po_ref,A315,po_status,"&lt;&gt;Annulé"))</f>
        <v/>
      </c>
      <c r="I315" s="74" t="str">
        <f>IF(A315="","",SUMIFS(po_rest,po_ref,A315,po_key,"&gt;0"))</f>
        <v/>
      </c>
      <c r="J315" s="70" t="str">
        <f>IF(A315="","",IF(COUNTIFS(po_ref,A315,po_status,"&lt;&gt;Annulé")=0,"",INDEX(po_price,SUMPRODUCT(MAX((po_ref=A315)*(po_status&lt;&gt;"Annulé")*(ROW(po_ref)-5))))))</f>
        <v/>
      </c>
      <c r="K315" s="67" t="str">
        <f>IF(A315="","",IF(COUNTIF(art_ref,A315)&gt;1,"Référence en double",IF(B315="","Désignation manquante",IF(NOT(ISNUMBER(D315)),"Prix manquant",IF(E315="","TVA manquante",IF(ISNA(MATCH(E315,p_tva,0)),"Taux de TVA inconnu",IF(AND(F315&lt;&gt;"",ISNA(MATCH(F315,sup_code,0))),"Fournisseur inconnu","OK")))))))</f>
        <v/>
      </c>
    </row>
    <row r="316">
      <c r="A316" s="63" t="n"/>
      <c r="B316" s="63" t="n"/>
      <c r="C316" s="65" t="n"/>
      <c r="D316" s="69" t="n"/>
      <c r="E316" s="71" t="n"/>
      <c r="F316" s="65" t="n"/>
      <c r="G316" s="74" t="str">
        <f>IF(A316="","",SUMIFS(po_qty,po_ref,A316,po_status,"&lt;&gt;Annulé"))</f>
        <v/>
      </c>
      <c r="H316" s="74" t="str">
        <f>IF(A316="","",SUMIFS(po_rcv,po_ref,A316,po_status,"&lt;&gt;Annulé"))</f>
        <v/>
      </c>
      <c r="I316" s="74" t="str">
        <f>IF(A316="","",SUMIFS(po_rest,po_ref,A316,po_key,"&gt;0"))</f>
        <v/>
      </c>
      <c r="J316" s="70" t="str">
        <f>IF(A316="","",IF(COUNTIFS(po_ref,A316,po_status,"&lt;&gt;Annulé")=0,"",INDEX(po_price,SUMPRODUCT(MAX((po_ref=A316)*(po_status&lt;&gt;"Annulé")*(ROW(po_ref)-5))))))</f>
        <v/>
      </c>
      <c r="K316" s="67" t="str">
        <f>IF(A316="","",IF(COUNTIF(art_ref,A316)&gt;1,"Référence en double",IF(B316="","Désignation manquante",IF(NOT(ISNUMBER(D316)),"Prix manquant",IF(E316="","TVA manquante",IF(ISNA(MATCH(E316,p_tva,0)),"Taux de TVA inconnu",IF(AND(F316&lt;&gt;"",ISNA(MATCH(F316,sup_code,0))),"Fournisseur inconnu","OK")))))))</f>
        <v/>
      </c>
    </row>
    <row r="317">
      <c r="A317" s="63" t="n"/>
      <c r="B317" s="63" t="n"/>
      <c r="C317" s="65" t="n"/>
      <c r="D317" s="69" t="n"/>
      <c r="E317" s="71" t="n"/>
      <c r="F317" s="65" t="n"/>
      <c r="G317" s="74" t="str">
        <f>IF(A317="","",SUMIFS(po_qty,po_ref,A317,po_status,"&lt;&gt;Annulé"))</f>
        <v/>
      </c>
      <c r="H317" s="74" t="str">
        <f>IF(A317="","",SUMIFS(po_rcv,po_ref,A317,po_status,"&lt;&gt;Annulé"))</f>
        <v/>
      </c>
      <c r="I317" s="74" t="str">
        <f>IF(A317="","",SUMIFS(po_rest,po_ref,A317,po_key,"&gt;0"))</f>
        <v/>
      </c>
      <c r="J317" s="70" t="str">
        <f>IF(A317="","",IF(COUNTIFS(po_ref,A317,po_status,"&lt;&gt;Annulé")=0,"",INDEX(po_price,SUMPRODUCT(MAX((po_ref=A317)*(po_status&lt;&gt;"Annulé")*(ROW(po_ref)-5))))))</f>
        <v/>
      </c>
      <c r="K317" s="67" t="str">
        <f>IF(A317="","",IF(COUNTIF(art_ref,A317)&gt;1,"Référence en double",IF(B317="","Désignation manquante",IF(NOT(ISNUMBER(D317)),"Prix manquant",IF(E317="","TVA manquante",IF(ISNA(MATCH(E317,p_tva,0)),"Taux de TVA inconnu",IF(AND(F317&lt;&gt;"",ISNA(MATCH(F317,sup_code,0))),"Fournisseur inconnu","OK")))))))</f>
        <v/>
      </c>
    </row>
    <row r="318">
      <c r="A318" s="63" t="n"/>
      <c r="B318" s="63" t="n"/>
      <c r="C318" s="65" t="n"/>
      <c r="D318" s="69" t="n"/>
      <c r="E318" s="71" t="n"/>
      <c r="F318" s="65" t="n"/>
      <c r="G318" s="74" t="str">
        <f>IF(A318="","",SUMIFS(po_qty,po_ref,A318,po_status,"&lt;&gt;Annulé"))</f>
        <v/>
      </c>
      <c r="H318" s="74" t="str">
        <f>IF(A318="","",SUMIFS(po_rcv,po_ref,A318,po_status,"&lt;&gt;Annulé"))</f>
        <v/>
      </c>
      <c r="I318" s="74" t="str">
        <f>IF(A318="","",SUMIFS(po_rest,po_ref,A318,po_key,"&gt;0"))</f>
        <v/>
      </c>
      <c r="J318" s="70" t="str">
        <f>IF(A318="","",IF(COUNTIFS(po_ref,A318,po_status,"&lt;&gt;Annulé")=0,"",INDEX(po_price,SUMPRODUCT(MAX((po_ref=A318)*(po_status&lt;&gt;"Annulé")*(ROW(po_ref)-5))))))</f>
        <v/>
      </c>
      <c r="K318" s="67" t="str">
        <f>IF(A318="","",IF(COUNTIF(art_ref,A318)&gt;1,"Référence en double",IF(B318="","Désignation manquante",IF(NOT(ISNUMBER(D318)),"Prix manquant",IF(E318="","TVA manquante",IF(ISNA(MATCH(E318,p_tva,0)),"Taux de TVA inconnu",IF(AND(F318&lt;&gt;"",ISNA(MATCH(F318,sup_code,0))),"Fournisseur inconnu","OK")))))))</f>
        <v/>
      </c>
    </row>
    <row r="319">
      <c r="A319" s="63" t="n"/>
      <c r="B319" s="63" t="n"/>
      <c r="C319" s="65" t="n"/>
      <c r="D319" s="69" t="n"/>
      <c r="E319" s="71" t="n"/>
      <c r="F319" s="65" t="n"/>
      <c r="G319" s="74" t="str">
        <f>IF(A319="","",SUMIFS(po_qty,po_ref,A319,po_status,"&lt;&gt;Annulé"))</f>
        <v/>
      </c>
      <c r="H319" s="74" t="str">
        <f>IF(A319="","",SUMIFS(po_rcv,po_ref,A319,po_status,"&lt;&gt;Annulé"))</f>
        <v/>
      </c>
      <c r="I319" s="74" t="str">
        <f>IF(A319="","",SUMIFS(po_rest,po_ref,A319,po_key,"&gt;0"))</f>
        <v/>
      </c>
      <c r="J319" s="70" t="str">
        <f>IF(A319="","",IF(COUNTIFS(po_ref,A319,po_status,"&lt;&gt;Annulé")=0,"",INDEX(po_price,SUMPRODUCT(MAX((po_ref=A319)*(po_status&lt;&gt;"Annulé")*(ROW(po_ref)-5))))))</f>
        <v/>
      </c>
      <c r="K319" s="67" t="str">
        <f>IF(A319="","",IF(COUNTIF(art_ref,A319)&gt;1,"Référence en double",IF(B319="","Désignation manquante",IF(NOT(ISNUMBER(D319)),"Prix manquant",IF(E319="","TVA manquante",IF(ISNA(MATCH(E319,p_tva,0)),"Taux de TVA inconnu",IF(AND(F319&lt;&gt;"",ISNA(MATCH(F319,sup_code,0))),"Fournisseur inconnu","OK")))))))</f>
        <v/>
      </c>
    </row>
    <row r="320">
      <c r="A320" s="63" t="n"/>
      <c r="B320" s="63" t="n"/>
      <c r="C320" s="65" t="n"/>
      <c r="D320" s="69" t="n"/>
      <c r="E320" s="71" t="n"/>
      <c r="F320" s="65" t="n"/>
      <c r="G320" s="74" t="str">
        <f>IF(A320="","",SUMIFS(po_qty,po_ref,A320,po_status,"&lt;&gt;Annulé"))</f>
        <v/>
      </c>
      <c r="H320" s="74" t="str">
        <f>IF(A320="","",SUMIFS(po_rcv,po_ref,A320,po_status,"&lt;&gt;Annulé"))</f>
        <v/>
      </c>
      <c r="I320" s="74" t="str">
        <f>IF(A320="","",SUMIFS(po_rest,po_ref,A320,po_key,"&gt;0"))</f>
        <v/>
      </c>
      <c r="J320" s="70" t="str">
        <f>IF(A320="","",IF(COUNTIFS(po_ref,A320,po_status,"&lt;&gt;Annulé")=0,"",INDEX(po_price,SUMPRODUCT(MAX((po_ref=A320)*(po_status&lt;&gt;"Annulé")*(ROW(po_ref)-5))))))</f>
        <v/>
      </c>
      <c r="K320" s="67" t="str">
        <f>IF(A320="","",IF(COUNTIF(art_ref,A320)&gt;1,"Référence en double",IF(B320="","Désignation manquante",IF(NOT(ISNUMBER(D320)),"Prix manquant",IF(E320="","TVA manquante",IF(ISNA(MATCH(E320,p_tva,0)),"Taux de TVA inconnu",IF(AND(F320&lt;&gt;"",ISNA(MATCH(F320,sup_code,0))),"Fournisseur inconnu","OK")))))))</f>
        <v/>
      </c>
    </row>
    <row r="321">
      <c r="A321" s="63" t="n"/>
      <c r="B321" s="63" t="n"/>
      <c r="C321" s="65" t="n"/>
      <c r="D321" s="69" t="n"/>
      <c r="E321" s="71" t="n"/>
      <c r="F321" s="65" t="n"/>
      <c r="G321" s="74" t="str">
        <f>IF(A321="","",SUMIFS(po_qty,po_ref,A321,po_status,"&lt;&gt;Annulé"))</f>
        <v/>
      </c>
      <c r="H321" s="74" t="str">
        <f>IF(A321="","",SUMIFS(po_rcv,po_ref,A321,po_status,"&lt;&gt;Annulé"))</f>
        <v/>
      </c>
      <c r="I321" s="74" t="str">
        <f>IF(A321="","",SUMIFS(po_rest,po_ref,A321,po_key,"&gt;0"))</f>
        <v/>
      </c>
      <c r="J321" s="70" t="str">
        <f>IF(A321="","",IF(COUNTIFS(po_ref,A321,po_status,"&lt;&gt;Annulé")=0,"",INDEX(po_price,SUMPRODUCT(MAX((po_ref=A321)*(po_status&lt;&gt;"Annulé")*(ROW(po_ref)-5))))))</f>
        <v/>
      </c>
      <c r="K321" s="67" t="str">
        <f>IF(A321="","",IF(COUNTIF(art_ref,A321)&gt;1,"Référence en double",IF(B321="","Désignation manquante",IF(NOT(ISNUMBER(D321)),"Prix manquant",IF(E321="","TVA manquante",IF(ISNA(MATCH(E321,p_tva,0)),"Taux de TVA inconnu",IF(AND(F321&lt;&gt;"",ISNA(MATCH(F321,sup_code,0))),"Fournisseur inconnu","OK")))))))</f>
        <v/>
      </c>
    </row>
    <row r="322">
      <c r="A322" s="63" t="n"/>
      <c r="B322" s="63" t="n"/>
      <c r="C322" s="65" t="n"/>
      <c r="D322" s="69" t="n"/>
      <c r="E322" s="71" t="n"/>
      <c r="F322" s="65" t="n"/>
      <c r="G322" s="74" t="str">
        <f>IF(A322="","",SUMIFS(po_qty,po_ref,A322,po_status,"&lt;&gt;Annulé"))</f>
        <v/>
      </c>
      <c r="H322" s="74" t="str">
        <f>IF(A322="","",SUMIFS(po_rcv,po_ref,A322,po_status,"&lt;&gt;Annulé"))</f>
        <v/>
      </c>
      <c r="I322" s="74" t="str">
        <f>IF(A322="","",SUMIFS(po_rest,po_ref,A322,po_key,"&gt;0"))</f>
        <v/>
      </c>
      <c r="J322" s="70" t="str">
        <f>IF(A322="","",IF(COUNTIFS(po_ref,A322,po_status,"&lt;&gt;Annulé")=0,"",INDEX(po_price,SUMPRODUCT(MAX((po_ref=A322)*(po_status&lt;&gt;"Annulé")*(ROW(po_ref)-5))))))</f>
        <v/>
      </c>
      <c r="K322" s="67" t="str">
        <f>IF(A322="","",IF(COUNTIF(art_ref,A322)&gt;1,"Référence en double",IF(B322="","Désignation manquante",IF(NOT(ISNUMBER(D322)),"Prix manquant",IF(E322="","TVA manquante",IF(ISNA(MATCH(E322,p_tva,0)),"Taux de TVA inconnu",IF(AND(F322&lt;&gt;"",ISNA(MATCH(F322,sup_code,0))),"Fournisseur inconnu","OK")))))))</f>
        <v/>
      </c>
    </row>
    <row r="323">
      <c r="A323" s="63" t="n"/>
      <c r="B323" s="63" t="n"/>
      <c r="C323" s="65" t="n"/>
      <c r="D323" s="69" t="n"/>
      <c r="E323" s="71" t="n"/>
      <c r="F323" s="65" t="n"/>
      <c r="G323" s="74" t="str">
        <f>IF(A323="","",SUMIFS(po_qty,po_ref,A323,po_status,"&lt;&gt;Annulé"))</f>
        <v/>
      </c>
      <c r="H323" s="74" t="str">
        <f>IF(A323="","",SUMIFS(po_rcv,po_ref,A323,po_status,"&lt;&gt;Annulé"))</f>
        <v/>
      </c>
      <c r="I323" s="74" t="str">
        <f>IF(A323="","",SUMIFS(po_rest,po_ref,A323,po_key,"&gt;0"))</f>
        <v/>
      </c>
      <c r="J323" s="70" t="str">
        <f>IF(A323="","",IF(COUNTIFS(po_ref,A323,po_status,"&lt;&gt;Annulé")=0,"",INDEX(po_price,SUMPRODUCT(MAX((po_ref=A323)*(po_status&lt;&gt;"Annulé")*(ROW(po_ref)-5))))))</f>
        <v/>
      </c>
      <c r="K323" s="67" t="str">
        <f>IF(A323="","",IF(COUNTIF(art_ref,A323)&gt;1,"Référence en double",IF(B323="","Désignation manquante",IF(NOT(ISNUMBER(D323)),"Prix manquant",IF(E323="","TVA manquante",IF(ISNA(MATCH(E323,p_tva,0)),"Taux de TVA inconnu",IF(AND(F323&lt;&gt;"",ISNA(MATCH(F323,sup_code,0))),"Fournisseur inconnu","OK")))))))</f>
        <v/>
      </c>
    </row>
    <row r="324">
      <c r="A324" s="63" t="n"/>
      <c r="B324" s="63" t="n"/>
      <c r="C324" s="65" t="n"/>
      <c r="D324" s="69" t="n"/>
      <c r="E324" s="71" t="n"/>
      <c r="F324" s="65" t="n"/>
      <c r="G324" s="74" t="str">
        <f>IF(A324="","",SUMIFS(po_qty,po_ref,A324,po_status,"&lt;&gt;Annulé"))</f>
        <v/>
      </c>
      <c r="H324" s="74" t="str">
        <f>IF(A324="","",SUMIFS(po_rcv,po_ref,A324,po_status,"&lt;&gt;Annulé"))</f>
        <v/>
      </c>
      <c r="I324" s="74" t="str">
        <f>IF(A324="","",SUMIFS(po_rest,po_ref,A324,po_key,"&gt;0"))</f>
        <v/>
      </c>
      <c r="J324" s="70" t="str">
        <f>IF(A324="","",IF(COUNTIFS(po_ref,A324,po_status,"&lt;&gt;Annulé")=0,"",INDEX(po_price,SUMPRODUCT(MAX((po_ref=A324)*(po_status&lt;&gt;"Annulé")*(ROW(po_ref)-5))))))</f>
        <v/>
      </c>
      <c r="K324" s="67" t="str">
        <f>IF(A324="","",IF(COUNTIF(art_ref,A324)&gt;1,"Référence en double",IF(B324="","Désignation manquante",IF(NOT(ISNUMBER(D324)),"Prix manquant",IF(E324="","TVA manquante",IF(ISNA(MATCH(E324,p_tva,0)),"Taux de TVA inconnu",IF(AND(F324&lt;&gt;"",ISNA(MATCH(F324,sup_code,0))),"Fournisseur inconnu","OK")))))))</f>
        <v/>
      </c>
    </row>
    <row r="325">
      <c r="A325" s="63" t="n"/>
      <c r="B325" s="63" t="n"/>
      <c r="C325" s="65" t="n"/>
      <c r="D325" s="69" t="n"/>
      <c r="E325" s="71" t="n"/>
      <c r="F325" s="65" t="n"/>
      <c r="G325" s="74" t="str">
        <f>IF(A325="","",SUMIFS(po_qty,po_ref,A325,po_status,"&lt;&gt;Annulé"))</f>
        <v/>
      </c>
      <c r="H325" s="74" t="str">
        <f>IF(A325="","",SUMIFS(po_rcv,po_ref,A325,po_status,"&lt;&gt;Annulé"))</f>
        <v/>
      </c>
      <c r="I325" s="74" t="str">
        <f>IF(A325="","",SUMIFS(po_rest,po_ref,A325,po_key,"&gt;0"))</f>
        <v/>
      </c>
      <c r="J325" s="70" t="str">
        <f>IF(A325="","",IF(COUNTIFS(po_ref,A325,po_status,"&lt;&gt;Annulé")=0,"",INDEX(po_price,SUMPRODUCT(MAX((po_ref=A325)*(po_status&lt;&gt;"Annulé")*(ROW(po_ref)-5))))))</f>
        <v/>
      </c>
      <c r="K325" s="67" t="str">
        <f>IF(A325="","",IF(COUNTIF(art_ref,A325)&gt;1,"Référence en double",IF(B325="","Désignation manquante",IF(NOT(ISNUMBER(D325)),"Prix manquant",IF(E325="","TVA manquante",IF(ISNA(MATCH(E325,p_tva,0)),"Taux de TVA inconnu",IF(AND(F325&lt;&gt;"",ISNA(MATCH(F325,sup_code,0))),"Fournisseur inconnu","OK")))))))</f>
        <v/>
      </c>
    </row>
    <row r="326">
      <c r="A326" s="63" t="n"/>
      <c r="B326" s="63" t="n"/>
      <c r="C326" s="65" t="n"/>
      <c r="D326" s="69" t="n"/>
      <c r="E326" s="71" t="n"/>
      <c r="F326" s="65" t="n"/>
      <c r="G326" s="74" t="str">
        <f>IF(A326="","",SUMIFS(po_qty,po_ref,A326,po_status,"&lt;&gt;Annulé"))</f>
        <v/>
      </c>
      <c r="H326" s="74" t="str">
        <f>IF(A326="","",SUMIFS(po_rcv,po_ref,A326,po_status,"&lt;&gt;Annulé"))</f>
        <v/>
      </c>
      <c r="I326" s="74" t="str">
        <f>IF(A326="","",SUMIFS(po_rest,po_ref,A326,po_key,"&gt;0"))</f>
        <v/>
      </c>
      <c r="J326" s="70" t="str">
        <f>IF(A326="","",IF(COUNTIFS(po_ref,A326,po_status,"&lt;&gt;Annulé")=0,"",INDEX(po_price,SUMPRODUCT(MAX((po_ref=A326)*(po_status&lt;&gt;"Annulé")*(ROW(po_ref)-5))))))</f>
        <v/>
      </c>
      <c r="K326" s="67" t="str">
        <f>IF(A326="","",IF(COUNTIF(art_ref,A326)&gt;1,"Référence en double",IF(B326="","Désignation manquante",IF(NOT(ISNUMBER(D326)),"Prix manquant",IF(E326="","TVA manquante",IF(ISNA(MATCH(E326,p_tva,0)),"Taux de TVA inconnu",IF(AND(F326&lt;&gt;"",ISNA(MATCH(F326,sup_code,0))),"Fournisseur inconnu","OK")))))))</f>
        <v/>
      </c>
    </row>
    <row r="327">
      <c r="A327" s="63" t="n"/>
      <c r="B327" s="63" t="n"/>
      <c r="C327" s="65" t="n"/>
      <c r="D327" s="69" t="n"/>
      <c r="E327" s="71" t="n"/>
      <c r="F327" s="65" t="n"/>
      <c r="G327" s="74" t="str">
        <f>IF(A327="","",SUMIFS(po_qty,po_ref,A327,po_status,"&lt;&gt;Annulé"))</f>
        <v/>
      </c>
      <c r="H327" s="74" t="str">
        <f>IF(A327="","",SUMIFS(po_rcv,po_ref,A327,po_status,"&lt;&gt;Annulé"))</f>
        <v/>
      </c>
      <c r="I327" s="74" t="str">
        <f>IF(A327="","",SUMIFS(po_rest,po_ref,A327,po_key,"&gt;0"))</f>
        <v/>
      </c>
      <c r="J327" s="70" t="str">
        <f>IF(A327="","",IF(COUNTIFS(po_ref,A327,po_status,"&lt;&gt;Annulé")=0,"",INDEX(po_price,SUMPRODUCT(MAX((po_ref=A327)*(po_status&lt;&gt;"Annulé")*(ROW(po_ref)-5))))))</f>
        <v/>
      </c>
      <c r="K327" s="67" t="str">
        <f>IF(A327="","",IF(COUNTIF(art_ref,A327)&gt;1,"Référence en double",IF(B327="","Désignation manquante",IF(NOT(ISNUMBER(D327)),"Prix manquant",IF(E327="","TVA manquante",IF(ISNA(MATCH(E327,p_tva,0)),"Taux de TVA inconnu",IF(AND(F327&lt;&gt;"",ISNA(MATCH(F327,sup_code,0))),"Fournisseur inconnu","OK")))))))</f>
        <v/>
      </c>
    </row>
    <row r="328">
      <c r="A328" s="63" t="n"/>
      <c r="B328" s="63" t="n"/>
      <c r="C328" s="65" t="n"/>
      <c r="D328" s="69" t="n"/>
      <c r="E328" s="71" t="n"/>
      <c r="F328" s="65" t="n"/>
      <c r="G328" s="74" t="str">
        <f>IF(A328="","",SUMIFS(po_qty,po_ref,A328,po_status,"&lt;&gt;Annulé"))</f>
        <v/>
      </c>
      <c r="H328" s="74" t="str">
        <f>IF(A328="","",SUMIFS(po_rcv,po_ref,A328,po_status,"&lt;&gt;Annulé"))</f>
        <v/>
      </c>
      <c r="I328" s="74" t="str">
        <f>IF(A328="","",SUMIFS(po_rest,po_ref,A328,po_key,"&gt;0"))</f>
        <v/>
      </c>
      <c r="J328" s="70" t="str">
        <f>IF(A328="","",IF(COUNTIFS(po_ref,A328,po_status,"&lt;&gt;Annulé")=0,"",INDEX(po_price,SUMPRODUCT(MAX((po_ref=A328)*(po_status&lt;&gt;"Annulé")*(ROW(po_ref)-5))))))</f>
        <v/>
      </c>
      <c r="K328" s="67" t="str">
        <f>IF(A328="","",IF(COUNTIF(art_ref,A328)&gt;1,"Référence en double",IF(B328="","Désignation manquante",IF(NOT(ISNUMBER(D328)),"Prix manquant",IF(E328="","TVA manquante",IF(ISNA(MATCH(E328,p_tva,0)),"Taux de TVA inconnu",IF(AND(F328&lt;&gt;"",ISNA(MATCH(F328,sup_code,0))),"Fournisseur inconnu","OK")))))))</f>
        <v/>
      </c>
    </row>
    <row r="329">
      <c r="A329" s="63" t="n"/>
      <c r="B329" s="63" t="n"/>
      <c r="C329" s="65" t="n"/>
      <c r="D329" s="69" t="n"/>
      <c r="E329" s="71" t="n"/>
      <c r="F329" s="65" t="n"/>
      <c r="G329" s="74" t="str">
        <f>IF(A329="","",SUMIFS(po_qty,po_ref,A329,po_status,"&lt;&gt;Annulé"))</f>
        <v/>
      </c>
      <c r="H329" s="74" t="str">
        <f>IF(A329="","",SUMIFS(po_rcv,po_ref,A329,po_status,"&lt;&gt;Annulé"))</f>
        <v/>
      </c>
      <c r="I329" s="74" t="str">
        <f>IF(A329="","",SUMIFS(po_rest,po_ref,A329,po_key,"&gt;0"))</f>
        <v/>
      </c>
      <c r="J329" s="70" t="str">
        <f>IF(A329="","",IF(COUNTIFS(po_ref,A329,po_status,"&lt;&gt;Annulé")=0,"",INDEX(po_price,SUMPRODUCT(MAX((po_ref=A329)*(po_status&lt;&gt;"Annulé")*(ROW(po_ref)-5))))))</f>
        <v/>
      </c>
      <c r="K329" s="67" t="str">
        <f>IF(A329="","",IF(COUNTIF(art_ref,A329)&gt;1,"Référence en double",IF(B329="","Désignation manquante",IF(NOT(ISNUMBER(D329)),"Prix manquant",IF(E329="","TVA manquante",IF(ISNA(MATCH(E329,p_tva,0)),"Taux de TVA inconnu",IF(AND(F329&lt;&gt;"",ISNA(MATCH(F329,sup_code,0))),"Fournisseur inconnu","OK")))))))</f>
        <v/>
      </c>
    </row>
    <row r="330">
      <c r="A330" s="63" t="n"/>
      <c r="B330" s="63" t="n"/>
      <c r="C330" s="65" t="n"/>
      <c r="D330" s="69" t="n"/>
      <c r="E330" s="71" t="n"/>
      <c r="F330" s="65" t="n"/>
      <c r="G330" s="74" t="str">
        <f>IF(A330="","",SUMIFS(po_qty,po_ref,A330,po_status,"&lt;&gt;Annulé"))</f>
        <v/>
      </c>
      <c r="H330" s="74" t="str">
        <f>IF(A330="","",SUMIFS(po_rcv,po_ref,A330,po_status,"&lt;&gt;Annulé"))</f>
        <v/>
      </c>
      <c r="I330" s="74" t="str">
        <f>IF(A330="","",SUMIFS(po_rest,po_ref,A330,po_key,"&gt;0"))</f>
        <v/>
      </c>
      <c r="J330" s="70" t="str">
        <f>IF(A330="","",IF(COUNTIFS(po_ref,A330,po_status,"&lt;&gt;Annulé")=0,"",INDEX(po_price,SUMPRODUCT(MAX((po_ref=A330)*(po_status&lt;&gt;"Annulé")*(ROW(po_ref)-5))))))</f>
        <v/>
      </c>
      <c r="K330" s="67" t="str">
        <f>IF(A330="","",IF(COUNTIF(art_ref,A330)&gt;1,"Référence en double",IF(B330="","Désignation manquante",IF(NOT(ISNUMBER(D330)),"Prix manquant",IF(E330="","TVA manquante",IF(ISNA(MATCH(E330,p_tva,0)),"Taux de TVA inconnu",IF(AND(F330&lt;&gt;"",ISNA(MATCH(F330,sup_code,0))),"Fournisseur inconnu","OK")))))))</f>
        <v/>
      </c>
    </row>
    <row r="331">
      <c r="A331" s="63" t="n"/>
      <c r="B331" s="63" t="n"/>
      <c r="C331" s="65" t="n"/>
      <c r="D331" s="69" t="n"/>
      <c r="E331" s="71" t="n"/>
      <c r="F331" s="65" t="n"/>
      <c r="G331" s="74" t="str">
        <f>IF(A331="","",SUMIFS(po_qty,po_ref,A331,po_status,"&lt;&gt;Annulé"))</f>
        <v/>
      </c>
      <c r="H331" s="74" t="str">
        <f>IF(A331="","",SUMIFS(po_rcv,po_ref,A331,po_status,"&lt;&gt;Annulé"))</f>
        <v/>
      </c>
      <c r="I331" s="74" t="str">
        <f>IF(A331="","",SUMIFS(po_rest,po_ref,A331,po_key,"&gt;0"))</f>
        <v/>
      </c>
      <c r="J331" s="70" t="str">
        <f>IF(A331="","",IF(COUNTIFS(po_ref,A331,po_status,"&lt;&gt;Annulé")=0,"",INDEX(po_price,SUMPRODUCT(MAX((po_ref=A331)*(po_status&lt;&gt;"Annulé")*(ROW(po_ref)-5))))))</f>
        <v/>
      </c>
      <c r="K331" s="67" t="str">
        <f>IF(A331="","",IF(COUNTIF(art_ref,A331)&gt;1,"Référence en double",IF(B331="","Désignation manquante",IF(NOT(ISNUMBER(D331)),"Prix manquant",IF(E331="","TVA manquante",IF(ISNA(MATCH(E331,p_tva,0)),"Taux de TVA inconnu",IF(AND(F331&lt;&gt;"",ISNA(MATCH(F331,sup_code,0))),"Fournisseur inconnu","OK")))))))</f>
        <v/>
      </c>
    </row>
    <row r="332">
      <c r="A332" s="63" t="n"/>
      <c r="B332" s="63" t="n"/>
      <c r="C332" s="65" t="n"/>
      <c r="D332" s="69" t="n"/>
      <c r="E332" s="71" t="n"/>
      <c r="F332" s="65" t="n"/>
      <c r="G332" s="74" t="str">
        <f>IF(A332="","",SUMIFS(po_qty,po_ref,A332,po_status,"&lt;&gt;Annulé"))</f>
        <v/>
      </c>
      <c r="H332" s="74" t="str">
        <f>IF(A332="","",SUMIFS(po_rcv,po_ref,A332,po_status,"&lt;&gt;Annulé"))</f>
        <v/>
      </c>
      <c r="I332" s="74" t="str">
        <f>IF(A332="","",SUMIFS(po_rest,po_ref,A332,po_key,"&gt;0"))</f>
        <v/>
      </c>
      <c r="J332" s="70" t="str">
        <f>IF(A332="","",IF(COUNTIFS(po_ref,A332,po_status,"&lt;&gt;Annulé")=0,"",INDEX(po_price,SUMPRODUCT(MAX((po_ref=A332)*(po_status&lt;&gt;"Annulé")*(ROW(po_ref)-5))))))</f>
        <v/>
      </c>
      <c r="K332" s="67" t="str">
        <f>IF(A332="","",IF(COUNTIF(art_ref,A332)&gt;1,"Référence en double",IF(B332="","Désignation manquante",IF(NOT(ISNUMBER(D332)),"Prix manquant",IF(E332="","TVA manquante",IF(ISNA(MATCH(E332,p_tva,0)),"Taux de TVA inconnu",IF(AND(F332&lt;&gt;"",ISNA(MATCH(F332,sup_code,0))),"Fournisseur inconnu","OK")))))))</f>
        <v/>
      </c>
    </row>
    <row r="333">
      <c r="A333" s="63" t="n"/>
      <c r="B333" s="63" t="n"/>
      <c r="C333" s="65" t="n"/>
      <c r="D333" s="69" t="n"/>
      <c r="E333" s="71" t="n"/>
      <c r="F333" s="65" t="n"/>
      <c r="G333" s="74" t="str">
        <f>IF(A333="","",SUMIFS(po_qty,po_ref,A333,po_status,"&lt;&gt;Annulé"))</f>
        <v/>
      </c>
      <c r="H333" s="74" t="str">
        <f>IF(A333="","",SUMIFS(po_rcv,po_ref,A333,po_status,"&lt;&gt;Annulé"))</f>
        <v/>
      </c>
      <c r="I333" s="74" t="str">
        <f>IF(A333="","",SUMIFS(po_rest,po_ref,A333,po_key,"&gt;0"))</f>
        <v/>
      </c>
      <c r="J333" s="70" t="str">
        <f>IF(A333="","",IF(COUNTIFS(po_ref,A333,po_status,"&lt;&gt;Annulé")=0,"",INDEX(po_price,SUMPRODUCT(MAX((po_ref=A333)*(po_status&lt;&gt;"Annulé")*(ROW(po_ref)-5))))))</f>
        <v/>
      </c>
      <c r="K333" s="67" t="str">
        <f>IF(A333="","",IF(COUNTIF(art_ref,A333)&gt;1,"Référence en double",IF(B333="","Désignation manquante",IF(NOT(ISNUMBER(D333)),"Prix manquant",IF(E333="","TVA manquante",IF(ISNA(MATCH(E333,p_tva,0)),"Taux de TVA inconnu",IF(AND(F333&lt;&gt;"",ISNA(MATCH(F333,sup_code,0))),"Fournisseur inconnu","OK")))))))</f>
        <v/>
      </c>
    </row>
    <row r="334">
      <c r="A334" s="63" t="n"/>
      <c r="B334" s="63" t="n"/>
      <c r="C334" s="65" t="n"/>
      <c r="D334" s="69" t="n"/>
      <c r="E334" s="71" t="n"/>
      <c r="F334" s="65" t="n"/>
      <c r="G334" s="74" t="str">
        <f>IF(A334="","",SUMIFS(po_qty,po_ref,A334,po_status,"&lt;&gt;Annulé"))</f>
        <v/>
      </c>
      <c r="H334" s="74" t="str">
        <f>IF(A334="","",SUMIFS(po_rcv,po_ref,A334,po_status,"&lt;&gt;Annulé"))</f>
        <v/>
      </c>
      <c r="I334" s="74" t="str">
        <f>IF(A334="","",SUMIFS(po_rest,po_ref,A334,po_key,"&gt;0"))</f>
        <v/>
      </c>
      <c r="J334" s="70" t="str">
        <f>IF(A334="","",IF(COUNTIFS(po_ref,A334,po_status,"&lt;&gt;Annulé")=0,"",INDEX(po_price,SUMPRODUCT(MAX((po_ref=A334)*(po_status&lt;&gt;"Annulé")*(ROW(po_ref)-5))))))</f>
        <v/>
      </c>
      <c r="K334" s="67" t="str">
        <f>IF(A334="","",IF(COUNTIF(art_ref,A334)&gt;1,"Référence en double",IF(B334="","Désignation manquante",IF(NOT(ISNUMBER(D334)),"Prix manquant",IF(E334="","TVA manquante",IF(ISNA(MATCH(E334,p_tva,0)),"Taux de TVA inconnu",IF(AND(F334&lt;&gt;"",ISNA(MATCH(F334,sup_code,0))),"Fournisseur inconnu","OK")))))))</f>
        <v/>
      </c>
    </row>
    <row r="335">
      <c r="A335" s="63" t="n"/>
      <c r="B335" s="63" t="n"/>
      <c r="C335" s="65" t="n"/>
      <c r="D335" s="69" t="n"/>
      <c r="E335" s="71" t="n"/>
      <c r="F335" s="65" t="n"/>
      <c r="G335" s="74" t="str">
        <f>IF(A335="","",SUMIFS(po_qty,po_ref,A335,po_status,"&lt;&gt;Annulé"))</f>
        <v/>
      </c>
      <c r="H335" s="74" t="str">
        <f>IF(A335="","",SUMIFS(po_rcv,po_ref,A335,po_status,"&lt;&gt;Annulé"))</f>
        <v/>
      </c>
      <c r="I335" s="74" t="str">
        <f>IF(A335="","",SUMIFS(po_rest,po_ref,A335,po_key,"&gt;0"))</f>
        <v/>
      </c>
      <c r="J335" s="70" t="str">
        <f>IF(A335="","",IF(COUNTIFS(po_ref,A335,po_status,"&lt;&gt;Annulé")=0,"",INDEX(po_price,SUMPRODUCT(MAX((po_ref=A335)*(po_status&lt;&gt;"Annulé")*(ROW(po_ref)-5))))))</f>
        <v/>
      </c>
      <c r="K335" s="67" t="str">
        <f>IF(A335="","",IF(COUNTIF(art_ref,A335)&gt;1,"Référence en double",IF(B335="","Désignation manquante",IF(NOT(ISNUMBER(D335)),"Prix manquant",IF(E335="","TVA manquante",IF(ISNA(MATCH(E335,p_tva,0)),"Taux de TVA inconnu",IF(AND(F335&lt;&gt;"",ISNA(MATCH(F335,sup_code,0))),"Fournisseur inconnu","OK")))))))</f>
        <v/>
      </c>
    </row>
    <row r="336">
      <c r="A336" s="63" t="n"/>
      <c r="B336" s="63" t="n"/>
      <c r="C336" s="65" t="n"/>
      <c r="D336" s="69" t="n"/>
      <c r="E336" s="71" t="n"/>
      <c r="F336" s="65" t="n"/>
      <c r="G336" s="74" t="str">
        <f>IF(A336="","",SUMIFS(po_qty,po_ref,A336,po_status,"&lt;&gt;Annulé"))</f>
        <v/>
      </c>
      <c r="H336" s="74" t="str">
        <f>IF(A336="","",SUMIFS(po_rcv,po_ref,A336,po_status,"&lt;&gt;Annulé"))</f>
        <v/>
      </c>
      <c r="I336" s="74" t="str">
        <f>IF(A336="","",SUMIFS(po_rest,po_ref,A336,po_key,"&gt;0"))</f>
        <v/>
      </c>
      <c r="J336" s="70" t="str">
        <f>IF(A336="","",IF(COUNTIFS(po_ref,A336,po_status,"&lt;&gt;Annulé")=0,"",INDEX(po_price,SUMPRODUCT(MAX((po_ref=A336)*(po_status&lt;&gt;"Annulé")*(ROW(po_ref)-5))))))</f>
        <v/>
      </c>
      <c r="K336" s="67" t="str">
        <f>IF(A336="","",IF(COUNTIF(art_ref,A336)&gt;1,"Référence en double",IF(B336="","Désignation manquante",IF(NOT(ISNUMBER(D336)),"Prix manquant",IF(E336="","TVA manquante",IF(ISNA(MATCH(E336,p_tva,0)),"Taux de TVA inconnu",IF(AND(F336&lt;&gt;"",ISNA(MATCH(F336,sup_code,0))),"Fournisseur inconnu","OK")))))))</f>
        <v/>
      </c>
    </row>
    <row r="337">
      <c r="A337" s="63" t="n"/>
      <c r="B337" s="63" t="n"/>
      <c r="C337" s="65" t="n"/>
      <c r="D337" s="69" t="n"/>
      <c r="E337" s="71" t="n"/>
      <c r="F337" s="65" t="n"/>
      <c r="G337" s="74" t="str">
        <f>IF(A337="","",SUMIFS(po_qty,po_ref,A337,po_status,"&lt;&gt;Annulé"))</f>
        <v/>
      </c>
      <c r="H337" s="74" t="str">
        <f>IF(A337="","",SUMIFS(po_rcv,po_ref,A337,po_status,"&lt;&gt;Annulé"))</f>
        <v/>
      </c>
      <c r="I337" s="74" t="str">
        <f>IF(A337="","",SUMIFS(po_rest,po_ref,A337,po_key,"&gt;0"))</f>
        <v/>
      </c>
      <c r="J337" s="70" t="str">
        <f>IF(A337="","",IF(COUNTIFS(po_ref,A337,po_status,"&lt;&gt;Annulé")=0,"",INDEX(po_price,SUMPRODUCT(MAX((po_ref=A337)*(po_status&lt;&gt;"Annulé")*(ROW(po_ref)-5))))))</f>
        <v/>
      </c>
      <c r="K337" s="67" t="str">
        <f>IF(A337="","",IF(COUNTIF(art_ref,A337)&gt;1,"Référence en double",IF(B337="","Désignation manquante",IF(NOT(ISNUMBER(D337)),"Prix manquant",IF(E337="","TVA manquante",IF(ISNA(MATCH(E337,p_tva,0)),"Taux de TVA inconnu",IF(AND(F337&lt;&gt;"",ISNA(MATCH(F337,sup_code,0))),"Fournisseur inconnu","OK")))))))</f>
        <v/>
      </c>
    </row>
    <row r="338">
      <c r="A338" s="63" t="n"/>
      <c r="B338" s="63" t="n"/>
      <c r="C338" s="65" t="n"/>
      <c r="D338" s="69" t="n"/>
      <c r="E338" s="71" t="n"/>
      <c r="F338" s="65" t="n"/>
      <c r="G338" s="74" t="str">
        <f>IF(A338="","",SUMIFS(po_qty,po_ref,A338,po_status,"&lt;&gt;Annulé"))</f>
        <v/>
      </c>
      <c r="H338" s="74" t="str">
        <f>IF(A338="","",SUMIFS(po_rcv,po_ref,A338,po_status,"&lt;&gt;Annulé"))</f>
        <v/>
      </c>
      <c r="I338" s="74" t="str">
        <f>IF(A338="","",SUMIFS(po_rest,po_ref,A338,po_key,"&gt;0"))</f>
        <v/>
      </c>
      <c r="J338" s="70" t="str">
        <f>IF(A338="","",IF(COUNTIFS(po_ref,A338,po_status,"&lt;&gt;Annulé")=0,"",INDEX(po_price,SUMPRODUCT(MAX((po_ref=A338)*(po_status&lt;&gt;"Annulé")*(ROW(po_ref)-5))))))</f>
        <v/>
      </c>
      <c r="K338" s="67" t="str">
        <f>IF(A338="","",IF(COUNTIF(art_ref,A338)&gt;1,"Référence en double",IF(B338="","Désignation manquante",IF(NOT(ISNUMBER(D338)),"Prix manquant",IF(E338="","TVA manquante",IF(ISNA(MATCH(E338,p_tva,0)),"Taux de TVA inconnu",IF(AND(F338&lt;&gt;"",ISNA(MATCH(F338,sup_code,0))),"Fournisseur inconnu","OK")))))))</f>
        <v/>
      </c>
    </row>
    <row r="339">
      <c r="A339" s="63" t="n"/>
      <c r="B339" s="63" t="n"/>
      <c r="C339" s="65" t="n"/>
      <c r="D339" s="69" t="n"/>
      <c r="E339" s="71" t="n"/>
      <c r="F339" s="65" t="n"/>
      <c r="G339" s="74" t="str">
        <f>IF(A339="","",SUMIFS(po_qty,po_ref,A339,po_status,"&lt;&gt;Annulé"))</f>
        <v/>
      </c>
      <c r="H339" s="74" t="str">
        <f>IF(A339="","",SUMIFS(po_rcv,po_ref,A339,po_status,"&lt;&gt;Annulé"))</f>
        <v/>
      </c>
      <c r="I339" s="74" t="str">
        <f>IF(A339="","",SUMIFS(po_rest,po_ref,A339,po_key,"&gt;0"))</f>
        <v/>
      </c>
      <c r="J339" s="70" t="str">
        <f>IF(A339="","",IF(COUNTIFS(po_ref,A339,po_status,"&lt;&gt;Annulé")=0,"",INDEX(po_price,SUMPRODUCT(MAX((po_ref=A339)*(po_status&lt;&gt;"Annulé")*(ROW(po_ref)-5))))))</f>
        <v/>
      </c>
      <c r="K339" s="67" t="str">
        <f>IF(A339="","",IF(COUNTIF(art_ref,A339)&gt;1,"Référence en double",IF(B339="","Désignation manquante",IF(NOT(ISNUMBER(D339)),"Prix manquant",IF(E339="","TVA manquante",IF(ISNA(MATCH(E339,p_tva,0)),"Taux de TVA inconnu",IF(AND(F339&lt;&gt;"",ISNA(MATCH(F339,sup_code,0))),"Fournisseur inconnu","OK")))))))</f>
        <v/>
      </c>
    </row>
    <row r="340">
      <c r="A340" s="63" t="n"/>
      <c r="B340" s="63" t="n"/>
      <c r="C340" s="65" t="n"/>
      <c r="D340" s="69" t="n"/>
      <c r="E340" s="71" t="n"/>
      <c r="F340" s="65" t="n"/>
      <c r="G340" s="74" t="str">
        <f>IF(A340="","",SUMIFS(po_qty,po_ref,A340,po_status,"&lt;&gt;Annulé"))</f>
        <v/>
      </c>
      <c r="H340" s="74" t="str">
        <f>IF(A340="","",SUMIFS(po_rcv,po_ref,A340,po_status,"&lt;&gt;Annulé"))</f>
        <v/>
      </c>
      <c r="I340" s="74" t="str">
        <f>IF(A340="","",SUMIFS(po_rest,po_ref,A340,po_key,"&gt;0"))</f>
        <v/>
      </c>
      <c r="J340" s="70" t="str">
        <f>IF(A340="","",IF(COUNTIFS(po_ref,A340,po_status,"&lt;&gt;Annulé")=0,"",INDEX(po_price,SUMPRODUCT(MAX((po_ref=A340)*(po_status&lt;&gt;"Annulé")*(ROW(po_ref)-5))))))</f>
        <v/>
      </c>
      <c r="K340" s="67" t="str">
        <f>IF(A340="","",IF(COUNTIF(art_ref,A340)&gt;1,"Référence en double",IF(B340="","Désignation manquante",IF(NOT(ISNUMBER(D340)),"Prix manquant",IF(E340="","TVA manquante",IF(ISNA(MATCH(E340,p_tva,0)),"Taux de TVA inconnu",IF(AND(F340&lt;&gt;"",ISNA(MATCH(F340,sup_code,0))),"Fournisseur inconnu","OK")))))))</f>
        <v/>
      </c>
    </row>
    <row r="341">
      <c r="A341" s="63" t="n"/>
      <c r="B341" s="63" t="n"/>
      <c r="C341" s="65" t="n"/>
      <c r="D341" s="69" t="n"/>
      <c r="E341" s="71" t="n"/>
      <c r="F341" s="65" t="n"/>
      <c r="G341" s="74" t="str">
        <f>IF(A341="","",SUMIFS(po_qty,po_ref,A341,po_status,"&lt;&gt;Annulé"))</f>
        <v/>
      </c>
      <c r="H341" s="74" t="str">
        <f>IF(A341="","",SUMIFS(po_rcv,po_ref,A341,po_status,"&lt;&gt;Annulé"))</f>
        <v/>
      </c>
      <c r="I341" s="74" t="str">
        <f>IF(A341="","",SUMIFS(po_rest,po_ref,A341,po_key,"&gt;0"))</f>
        <v/>
      </c>
      <c r="J341" s="70" t="str">
        <f>IF(A341="","",IF(COUNTIFS(po_ref,A341,po_status,"&lt;&gt;Annulé")=0,"",INDEX(po_price,SUMPRODUCT(MAX((po_ref=A341)*(po_status&lt;&gt;"Annulé")*(ROW(po_ref)-5))))))</f>
        <v/>
      </c>
      <c r="K341" s="67" t="str">
        <f>IF(A341="","",IF(COUNTIF(art_ref,A341)&gt;1,"Référence en double",IF(B341="","Désignation manquante",IF(NOT(ISNUMBER(D341)),"Prix manquant",IF(E341="","TVA manquante",IF(ISNA(MATCH(E341,p_tva,0)),"Taux de TVA inconnu",IF(AND(F341&lt;&gt;"",ISNA(MATCH(F341,sup_code,0))),"Fournisseur inconnu","OK")))))))</f>
        <v/>
      </c>
    </row>
    <row r="342">
      <c r="A342" s="63" t="n"/>
      <c r="B342" s="63" t="n"/>
      <c r="C342" s="65" t="n"/>
      <c r="D342" s="69" t="n"/>
      <c r="E342" s="71" t="n"/>
      <c r="F342" s="65" t="n"/>
      <c r="G342" s="74" t="str">
        <f>IF(A342="","",SUMIFS(po_qty,po_ref,A342,po_status,"&lt;&gt;Annulé"))</f>
        <v/>
      </c>
      <c r="H342" s="74" t="str">
        <f>IF(A342="","",SUMIFS(po_rcv,po_ref,A342,po_status,"&lt;&gt;Annulé"))</f>
        <v/>
      </c>
      <c r="I342" s="74" t="str">
        <f>IF(A342="","",SUMIFS(po_rest,po_ref,A342,po_key,"&gt;0"))</f>
        <v/>
      </c>
      <c r="J342" s="70" t="str">
        <f>IF(A342="","",IF(COUNTIFS(po_ref,A342,po_status,"&lt;&gt;Annulé")=0,"",INDEX(po_price,SUMPRODUCT(MAX((po_ref=A342)*(po_status&lt;&gt;"Annulé")*(ROW(po_ref)-5))))))</f>
        <v/>
      </c>
      <c r="K342" s="67" t="str">
        <f>IF(A342="","",IF(COUNTIF(art_ref,A342)&gt;1,"Référence en double",IF(B342="","Désignation manquante",IF(NOT(ISNUMBER(D342)),"Prix manquant",IF(E342="","TVA manquante",IF(ISNA(MATCH(E342,p_tva,0)),"Taux de TVA inconnu",IF(AND(F342&lt;&gt;"",ISNA(MATCH(F342,sup_code,0))),"Fournisseur inconnu","OK")))))))</f>
        <v/>
      </c>
    </row>
    <row r="343">
      <c r="A343" s="63" t="n"/>
      <c r="B343" s="63" t="n"/>
      <c r="C343" s="65" t="n"/>
      <c r="D343" s="69" t="n"/>
      <c r="E343" s="71" t="n"/>
      <c r="F343" s="65" t="n"/>
      <c r="G343" s="74" t="str">
        <f>IF(A343="","",SUMIFS(po_qty,po_ref,A343,po_status,"&lt;&gt;Annulé"))</f>
        <v/>
      </c>
      <c r="H343" s="74" t="str">
        <f>IF(A343="","",SUMIFS(po_rcv,po_ref,A343,po_status,"&lt;&gt;Annulé"))</f>
        <v/>
      </c>
      <c r="I343" s="74" t="str">
        <f>IF(A343="","",SUMIFS(po_rest,po_ref,A343,po_key,"&gt;0"))</f>
        <v/>
      </c>
      <c r="J343" s="70" t="str">
        <f>IF(A343="","",IF(COUNTIFS(po_ref,A343,po_status,"&lt;&gt;Annulé")=0,"",INDEX(po_price,SUMPRODUCT(MAX((po_ref=A343)*(po_status&lt;&gt;"Annulé")*(ROW(po_ref)-5))))))</f>
        <v/>
      </c>
      <c r="K343" s="67" t="str">
        <f>IF(A343="","",IF(COUNTIF(art_ref,A343)&gt;1,"Référence en double",IF(B343="","Désignation manquante",IF(NOT(ISNUMBER(D343)),"Prix manquant",IF(E343="","TVA manquante",IF(ISNA(MATCH(E343,p_tva,0)),"Taux de TVA inconnu",IF(AND(F343&lt;&gt;"",ISNA(MATCH(F343,sup_code,0))),"Fournisseur inconnu","OK")))))))</f>
        <v/>
      </c>
    </row>
    <row r="344">
      <c r="A344" s="63" t="n"/>
      <c r="B344" s="63" t="n"/>
      <c r="C344" s="65" t="n"/>
      <c r="D344" s="69" t="n"/>
      <c r="E344" s="71" t="n"/>
      <c r="F344" s="65" t="n"/>
      <c r="G344" s="74" t="str">
        <f>IF(A344="","",SUMIFS(po_qty,po_ref,A344,po_status,"&lt;&gt;Annulé"))</f>
        <v/>
      </c>
      <c r="H344" s="74" t="str">
        <f>IF(A344="","",SUMIFS(po_rcv,po_ref,A344,po_status,"&lt;&gt;Annulé"))</f>
        <v/>
      </c>
      <c r="I344" s="74" t="str">
        <f>IF(A344="","",SUMIFS(po_rest,po_ref,A344,po_key,"&gt;0"))</f>
        <v/>
      </c>
      <c r="J344" s="70" t="str">
        <f>IF(A344="","",IF(COUNTIFS(po_ref,A344,po_status,"&lt;&gt;Annulé")=0,"",INDEX(po_price,SUMPRODUCT(MAX((po_ref=A344)*(po_status&lt;&gt;"Annulé")*(ROW(po_ref)-5))))))</f>
        <v/>
      </c>
      <c r="K344" s="67" t="str">
        <f>IF(A344="","",IF(COUNTIF(art_ref,A344)&gt;1,"Référence en double",IF(B344="","Désignation manquante",IF(NOT(ISNUMBER(D344)),"Prix manquant",IF(E344="","TVA manquante",IF(ISNA(MATCH(E344,p_tva,0)),"Taux de TVA inconnu",IF(AND(F344&lt;&gt;"",ISNA(MATCH(F344,sup_code,0))),"Fournisseur inconnu","OK")))))))</f>
        <v/>
      </c>
    </row>
    <row r="345">
      <c r="A345" s="63" t="n"/>
      <c r="B345" s="63" t="n"/>
      <c r="C345" s="65" t="n"/>
      <c r="D345" s="69" t="n"/>
      <c r="E345" s="71" t="n"/>
      <c r="F345" s="65" t="n"/>
      <c r="G345" s="74" t="str">
        <f>IF(A345="","",SUMIFS(po_qty,po_ref,A345,po_status,"&lt;&gt;Annulé"))</f>
        <v/>
      </c>
      <c r="H345" s="74" t="str">
        <f>IF(A345="","",SUMIFS(po_rcv,po_ref,A345,po_status,"&lt;&gt;Annulé"))</f>
        <v/>
      </c>
      <c r="I345" s="74" t="str">
        <f>IF(A345="","",SUMIFS(po_rest,po_ref,A345,po_key,"&gt;0"))</f>
        <v/>
      </c>
      <c r="J345" s="70" t="str">
        <f>IF(A345="","",IF(COUNTIFS(po_ref,A345,po_status,"&lt;&gt;Annulé")=0,"",INDEX(po_price,SUMPRODUCT(MAX((po_ref=A345)*(po_status&lt;&gt;"Annulé")*(ROW(po_ref)-5))))))</f>
        <v/>
      </c>
      <c r="K345" s="67" t="str">
        <f>IF(A345="","",IF(COUNTIF(art_ref,A345)&gt;1,"Référence en double",IF(B345="","Désignation manquante",IF(NOT(ISNUMBER(D345)),"Prix manquant",IF(E345="","TVA manquante",IF(ISNA(MATCH(E345,p_tva,0)),"Taux de TVA inconnu",IF(AND(F345&lt;&gt;"",ISNA(MATCH(F345,sup_code,0))),"Fournisseur inconnu","OK")))))))</f>
        <v/>
      </c>
    </row>
    <row r="346">
      <c r="A346" s="63" t="n"/>
      <c r="B346" s="63" t="n"/>
      <c r="C346" s="65" t="n"/>
      <c r="D346" s="69" t="n"/>
      <c r="E346" s="71" t="n"/>
      <c r="F346" s="65" t="n"/>
      <c r="G346" s="74" t="str">
        <f>IF(A346="","",SUMIFS(po_qty,po_ref,A346,po_status,"&lt;&gt;Annulé"))</f>
        <v/>
      </c>
      <c r="H346" s="74" t="str">
        <f>IF(A346="","",SUMIFS(po_rcv,po_ref,A346,po_status,"&lt;&gt;Annulé"))</f>
        <v/>
      </c>
      <c r="I346" s="74" t="str">
        <f>IF(A346="","",SUMIFS(po_rest,po_ref,A346,po_key,"&gt;0"))</f>
        <v/>
      </c>
      <c r="J346" s="70" t="str">
        <f>IF(A346="","",IF(COUNTIFS(po_ref,A346,po_status,"&lt;&gt;Annulé")=0,"",INDEX(po_price,SUMPRODUCT(MAX((po_ref=A346)*(po_status&lt;&gt;"Annulé")*(ROW(po_ref)-5))))))</f>
        <v/>
      </c>
      <c r="K346" s="67" t="str">
        <f>IF(A346="","",IF(COUNTIF(art_ref,A346)&gt;1,"Référence en double",IF(B346="","Désignation manquante",IF(NOT(ISNUMBER(D346)),"Prix manquant",IF(E346="","TVA manquante",IF(ISNA(MATCH(E346,p_tva,0)),"Taux de TVA inconnu",IF(AND(F346&lt;&gt;"",ISNA(MATCH(F346,sup_code,0))),"Fournisseur inconnu","OK")))))))</f>
        <v/>
      </c>
    </row>
    <row r="347">
      <c r="A347" s="63" t="n"/>
      <c r="B347" s="63" t="n"/>
      <c r="C347" s="65" t="n"/>
      <c r="D347" s="69" t="n"/>
      <c r="E347" s="71" t="n"/>
      <c r="F347" s="65" t="n"/>
      <c r="G347" s="74" t="str">
        <f>IF(A347="","",SUMIFS(po_qty,po_ref,A347,po_status,"&lt;&gt;Annulé"))</f>
        <v/>
      </c>
      <c r="H347" s="74" t="str">
        <f>IF(A347="","",SUMIFS(po_rcv,po_ref,A347,po_status,"&lt;&gt;Annulé"))</f>
        <v/>
      </c>
      <c r="I347" s="74" t="str">
        <f>IF(A347="","",SUMIFS(po_rest,po_ref,A347,po_key,"&gt;0"))</f>
        <v/>
      </c>
      <c r="J347" s="70" t="str">
        <f>IF(A347="","",IF(COUNTIFS(po_ref,A347,po_status,"&lt;&gt;Annulé")=0,"",INDEX(po_price,SUMPRODUCT(MAX((po_ref=A347)*(po_status&lt;&gt;"Annulé")*(ROW(po_ref)-5))))))</f>
        <v/>
      </c>
      <c r="K347" s="67" t="str">
        <f>IF(A347="","",IF(COUNTIF(art_ref,A347)&gt;1,"Référence en double",IF(B347="","Désignation manquante",IF(NOT(ISNUMBER(D347)),"Prix manquant",IF(E347="","TVA manquante",IF(ISNA(MATCH(E347,p_tva,0)),"Taux de TVA inconnu",IF(AND(F347&lt;&gt;"",ISNA(MATCH(F347,sup_code,0))),"Fournisseur inconnu","OK")))))))</f>
        <v/>
      </c>
    </row>
    <row r="348">
      <c r="A348" s="63" t="n"/>
      <c r="B348" s="63" t="n"/>
      <c r="C348" s="65" t="n"/>
      <c r="D348" s="69" t="n"/>
      <c r="E348" s="71" t="n"/>
      <c r="F348" s="65" t="n"/>
      <c r="G348" s="74" t="str">
        <f>IF(A348="","",SUMIFS(po_qty,po_ref,A348,po_status,"&lt;&gt;Annulé"))</f>
        <v/>
      </c>
      <c r="H348" s="74" t="str">
        <f>IF(A348="","",SUMIFS(po_rcv,po_ref,A348,po_status,"&lt;&gt;Annulé"))</f>
        <v/>
      </c>
      <c r="I348" s="74" t="str">
        <f>IF(A348="","",SUMIFS(po_rest,po_ref,A348,po_key,"&gt;0"))</f>
        <v/>
      </c>
      <c r="J348" s="70" t="str">
        <f>IF(A348="","",IF(COUNTIFS(po_ref,A348,po_status,"&lt;&gt;Annulé")=0,"",INDEX(po_price,SUMPRODUCT(MAX((po_ref=A348)*(po_status&lt;&gt;"Annulé")*(ROW(po_ref)-5))))))</f>
        <v/>
      </c>
      <c r="K348" s="67" t="str">
        <f>IF(A348="","",IF(COUNTIF(art_ref,A348)&gt;1,"Référence en double",IF(B348="","Désignation manquante",IF(NOT(ISNUMBER(D348)),"Prix manquant",IF(E348="","TVA manquante",IF(ISNA(MATCH(E348,p_tva,0)),"Taux de TVA inconnu",IF(AND(F348&lt;&gt;"",ISNA(MATCH(F348,sup_code,0))),"Fournisseur inconnu","OK")))))))</f>
        <v/>
      </c>
    </row>
    <row r="349">
      <c r="A349" s="63" t="n"/>
      <c r="B349" s="63" t="n"/>
      <c r="C349" s="65" t="n"/>
      <c r="D349" s="69" t="n"/>
      <c r="E349" s="71" t="n"/>
      <c r="F349" s="65" t="n"/>
      <c r="G349" s="74" t="str">
        <f>IF(A349="","",SUMIFS(po_qty,po_ref,A349,po_status,"&lt;&gt;Annulé"))</f>
        <v/>
      </c>
      <c r="H349" s="74" t="str">
        <f>IF(A349="","",SUMIFS(po_rcv,po_ref,A349,po_status,"&lt;&gt;Annulé"))</f>
        <v/>
      </c>
      <c r="I349" s="74" t="str">
        <f>IF(A349="","",SUMIFS(po_rest,po_ref,A349,po_key,"&gt;0"))</f>
        <v/>
      </c>
      <c r="J349" s="70" t="str">
        <f>IF(A349="","",IF(COUNTIFS(po_ref,A349,po_status,"&lt;&gt;Annulé")=0,"",INDEX(po_price,SUMPRODUCT(MAX((po_ref=A349)*(po_status&lt;&gt;"Annulé")*(ROW(po_ref)-5))))))</f>
        <v/>
      </c>
      <c r="K349" s="67" t="str">
        <f>IF(A349="","",IF(COUNTIF(art_ref,A349)&gt;1,"Référence en double",IF(B349="","Désignation manquante",IF(NOT(ISNUMBER(D349)),"Prix manquant",IF(E349="","TVA manquante",IF(ISNA(MATCH(E349,p_tva,0)),"Taux de TVA inconnu",IF(AND(F349&lt;&gt;"",ISNA(MATCH(F349,sup_code,0))),"Fournisseur inconnu","OK")))))))</f>
        <v/>
      </c>
    </row>
    <row r="350">
      <c r="A350" s="63" t="n"/>
      <c r="B350" s="63" t="n"/>
      <c r="C350" s="65" t="n"/>
      <c r="D350" s="69" t="n"/>
      <c r="E350" s="71" t="n"/>
      <c r="F350" s="65" t="n"/>
      <c r="G350" s="74" t="str">
        <f>IF(A350="","",SUMIFS(po_qty,po_ref,A350,po_status,"&lt;&gt;Annulé"))</f>
        <v/>
      </c>
      <c r="H350" s="74" t="str">
        <f>IF(A350="","",SUMIFS(po_rcv,po_ref,A350,po_status,"&lt;&gt;Annulé"))</f>
        <v/>
      </c>
      <c r="I350" s="74" t="str">
        <f>IF(A350="","",SUMIFS(po_rest,po_ref,A350,po_key,"&gt;0"))</f>
        <v/>
      </c>
      <c r="J350" s="70" t="str">
        <f>IF(A350="","",IF(COUNTIFS(po_ref,A350,po_status,"&lt;&gt;Annulé")=0,"",INDEX(po_price,SUMPRODUCT(MAX((po_ref=A350)*(po_status&lt;&gt;"Annulé")*(ROW(po_ref)-5))))))</f>
        <v/>
      </c>
      <c r="K350" s="67" t="str">
        <f>IF(A350="","",IF(COUNTIF(art_ref,A350)&gt;1,"Référence en double",IF(B350="","Désignation manquante",IF(NOT(ISNUMBER(D350)),"Prix manquant",IF(E350="","TVA manquante",IF(ISNA(MATCH(E350,p_tva,0)),"Taux de TVA inconnu",IF(AND(F350&lt;&gt;"",ISNA(MATCH(F350,sup_code,0))),"Fournisseur inconnu","OK")))))))</f>
        <v/>
      </c>
    </row>
    <row r="351">
      <c r="A351" s="63" t="n"/>
      <c r="B351" s="63" t="n"/>
      <c r="C351" s="65" t="n"/>
      <c r="D351" s="69" t="n"/>
      <c r="E351" s="71" t="n"/>
      <c r="F351" s="65" t="n"/>
      <c r="G351" s="74" t="str">
        <f>IF(A351="","",SUMIFS(po_qty,po_ref,A351,po_status,"&lt;&gt;Annulé"))</f>
        <v/>
      </c>
      <c r="H351" s="74" t="str">
        <f>IF(A351="","",SUMIFS(po_rcv,po_ref,A351,po_status,"&lt;&gt;Annulé"))</f>
        <v/>
      </c>
      <c r="I351" s="74" t="str">
        <f>IF(A351="","",SUMIFS(po_rest,po_ref,A351,po_key,"&gt;0"))</f>
        <v/>
      </c>
      <c r="J351" s="70" t="str">
        <f>IF(A351="","",IF(COUNTIFS(po_ref,A351,po_status,"&lt;&gt;Annulé")=0,"",INDEX(po_price,SUMPRODUCT(MAX((po_ref=A351)*(po_status&lt;&gt;"Annulé")*(ROW(po_ref)-5))))))</f>
        <v/>
      </c>
      <c r="K351" s="67" t="str">
        <f>IF(A351="","",IF(COUNTIF(art_ref,A351)&gt;1,"Référence en double",IF(B351="","Désignation manquante",IF(NOT(ISNUMBER(D351)),"Prix manquant",IF(E351="","TVA manquante",IF(ISNA(MATCH(E351,p_tva,0)),"Taux de TVA inconnu",IF(AND(F351&lt;&gt;"",ISNA(MATCH(F351,sup_code,0))),"Fournisseur inconnu","OK")))))))</f>
        <v/>
      </c>
    </row>
    <row r="352">
      <c r="A352" s="63" t="n"/>
      <c r="B352" s="63" t="n"/>
      <c r="C352" s="65" t="n"/>
      <c r="D352" s="69" t="n"/>
      <c r="E352" s="71" t="n"/>
      <c r="F352" s="65" t="n"/>
      <c r="G352" s="74" t="str">
        <f>IF(A352="","",SUMIFS(po_qty,po_ref,A352,po_status,"&lt;&gt;Annulé"))</f>
        <v/>
      </c>
      <c r="H352" s="74" t="str">
        <f>IF(A352="","",SUMIFS(po_rcv,po_ref,A352,po_status,"&lt;&gt;Annulé"))</f>
        <v/>
      </c>
      <c r="I352" s="74" t="str">
        <f>IF(A352="","",SUMIFS(po_rest,po_ref,A352,po_key,"&gt;0"))</f>
        <v/>
      </c>
      <c r="J352" s="70" t="str">
        <f>IF(A352="","",IF(COUNTIFS(po_ref,A352,po_status,"&lt;&gt;Annulé")=0,"",INDEX(po_price,SUMPRODUCT(MAX((po_ref=A352)*(po_status&lt;&gt;"Annulé")*(ROW(po_ref)-5))))))</f>
        <v/>
      </c>
      <c r="K352" s="67" t="str">
        <f>IF(A352="","",IF(COUNTIF(art_ref,A352)&gt;1,"Référence en double",IF(B352="","Désignation manquante",IF(NOT(ISNUMBER(D352)),"Prix manquant",IF(E352="","TVA manquante",IF(ISNA(MATCH(E352,p_tva,0)),"Taux de TVA inconnu",IF(AND(F352&lt;&gt;"",ISNA(MATCH(F352,sup_code,0))),"Fournisseur inconnu","OK")))))))</f>
        <v/>
      </c>
    </row>
    <row r="353">
      <c r="A353" s="63" t="n"/>
      <c r="B353" s="63" t="n"/>
      <c r="C353" s="65" t="n"/>
      <c r="D353" s="69" t="n"/>
      <c r="E353" s="71" t="n"/>
      <c r="F353" s="65" t="n"/>
      <c r="G353" s="74" t="str">
        <f>IF(A353="","",SUMIFS(po_qty,po_ref,A353,po_status,"&lt;&gt;Annulé"))</f>
        <v/>
      </c>
      <c r="H353" s="74" t="str">
        <f>IF(A353="","",SUMIFS(po_rcv,po_ref,A353,po_status,"&lt;&gt;Annulé"))</f>
        <v/>
      </c>
      <c r="I353" s="74" t="str">
        <f>IF(A353="","",SUMIFS(po_rest,po_ref,A353,po_key,"&gt;0"))</f>
        <v/>
      </c>
      <c r="J353" s="70" t="str">
        <f>IF(A353="","",IF(COUNTIFS(po_ref,A353,po_status,"&lt;&gt;Annulé")=0,"",INDEX(po_price,SUMPRODUCT(MAX((po_ref=A353)*(po_status&lt;&gt;"Annulé")*(ROW(po_ref)-5))))))</f>
        <v/>
      </c>
      <c r="K353" s="67" t="str">
        <f>IF(A353="","",IF(COUNTIF(art_ref,A353)&gt;1,"Référence en double",IF(B353="","Désignation manquante",IF(NOT(ISNUMBER(D353)),"Prix manquant",IF(E353="","TVA manquante",IF(ISNA(MATCH(E353,p_tva,0)),"Taux de TVA inconnu",IF(AND(F353&lt;&gt;"",ISNA(MATCH(F353,sup_code,0))),"Fournisseur inconnu","OK")))))))</f>
        <v/>
      </c>
    </row>
    <row r="354">
      <c r="A354" s="63" t="n"/>
      <c r="B354" s="63" t="n"/>
      <c r="C354" s="65" t="n"/>
      <c r="D354" s="69" t="n"/>
      <c r="E354" s="71" t="n"/>
      <c r="F354" s="65" t="n"/>
      <c r="G354" s="74" t="str">
        <f>IF(A354="","",SUMIFS(po_qty,po_ref,A354,po_status,"&lt;&gt;Annulé"))</f>
        <v/>
      </c>
      <c r="H354" s="74" t="str">
        <f>IF(A354="","",SUMIFS(po_rcv,po_ref,A354,po_status,"&lt;&gt;Annulé"))</f>
        <v/>
      </c>
      <c r="I354" s="74" t="str">
        <f>IF(A354="","",SUMIFS(po_rest,po_ref,A354,po_key,"&gt;0"))</f>
        <v/>
      </c>
      <c r="J354" s="70" t="str">
        <f>IF(A354="","",IF(COUNTIFS(po_ref,A354,po_status,"&lt;&gt;Annulé")=0,"",INDEX(po_price,SUMPRODUCT(MAX((po_ref=A354)*(po_status&lt;&gt;"Annulé")*(ROW(po_ref)-5))))))</f>
        <v/>
      </c>
      <c r="K354" s="67" t="str">
        <f>IF(A354="","",IF(COUNTIF(art_ref,A354)&gt;1,"Référence en double",IF(B354="","Désignation manquante",IF(NOT(ISNUMBER(D354)),"Prix manquant",IF(E354="","TVA manquante",IF(ISNA(MATCH(E354,p_tva,0)),"Taux de TVA inconnu",IF(AND(F354&lt;&gt;"",ISNA(MATCH(F354,sup_code,0))),"Fournisseur inconnu","OK")))))))</f>
        <v/>
      </c>
    </row>
    <row r="355">
      <c r="A355" s="63" t="n"/>
      <c r="B355" s="63" t="n"/>
      <c r="C355" s="65" t="n"/>
      <c r="D355" s="69" t="n"/>
      <c r="E355" s="71" t="n"/>
      <c r="F355" s="65" t="n"/>
      <c r="G355" s="74" t="str">
        <f>IF(A355="","",SUMIFS(po_qty,po_ref,A355,po_status,"&lt;&gt;Annulé"))</f>
        <v/>
      </c>
      <c r="H355" s="74" t="str">
        <f>IF(A355="","",SUMIFS(po_rcv,po_ref,A355,po_status,"&lt;&gt;Annulé"))</f>
        <v/>
      </c>
      <c r="I355" s="74" t="str">
        <f>IF(A355="","",SUMIFS(po_rest,po_ref,A355,po_key,"&gt;0"))</f>
        <v/>
      </c>
      <c r="J355" s="70" t="str">
        <f>IF(A355="","",IF(COUNTIFS(po_ref,A355,po_status,"&lt;&gt;Annulé")=0,"",INDEX(po_price,SUMPRODUCT(MAX((po_ref=A355)*(po_status&lt;&gt;"Annulé")*(ROW(po_ref)-5))))))</f>
        <v/>
      </c>
      <c r="K355" s="67" t="str">
        <f>IF(A355="","",IF(COUNTIF(art_ref,A355)&gt;1,"Référence en double",IF(B355="","Désignation manquante",IF(NOT(ISNUMBER(D355)),"Prix manquant",IF(E355="","TVA manquante",IF(ISNA(MATCH(E355,p_tva,0)),"Taux de TVA inconnu",IF(AND(F355&lt;&gt;"",ISNA(MATCH(F355,sup_code,0))),"Fournisseur inconnu","OK")))))))</f>
        <v/>
      </c>
    </row>
    <row r="356">
      <c r="A356" s="63" t="n"/>
      <c r="B356" s="63" t="n"/>
      <c r="C356" s="65" t="n"/>
      <c r="D356" s="69" t="n"/>
      <c r="E356" s="71" t="n"/>
      <c r="F356" s="65" t="n"/>
      <c r="G356" s="74" t="str">
        <f>IF(A356="","",SUMIFS(po_qty,po_ref,A356,po_status,"&lt;&gt;Annulé"))</f>
        <v/>
      </c>
      <c r="H356" s="74" t="str">
        <f>IF(A356="","",SUMIFS(po_rcv,po_ref,A356,po_status,"&lt;&gt;Annulé"))</f>
        <v/>
      </c>
      <c r="I356" s="74" t="str">
        <f>IF(A356="","",SUMIFS(po_rest,po_ref,A356,po_key,"&gt;0"))</f>
        <v/>
      </c>
      <c r="J356" s="70" t="str">
        <f>IF(A356="","",IF(COUNTIFS(po_ref,A356,po_status,"&lt;&gt;Annulé")=0,"",INDEX(po_price,SUMPRODUCT(MAX((po_ref=A356)*(po_status&lt;&gt;"Annulé")*(ROW(po_ref)-5))))))</f>
        <v/>
      </c>
      <c r="K356" s="67" t="str">
        <f>IF(A356="","",IF(COUNTIF(art_ref,A356)&gt;1,"Référence en double",IF(B356="","Désignation manquante",IF(NOT(ISNUMBER(D356)),"Prix manquant",IF(E356="","TVA manquante",IF(ISNA(MATCH(E356,p_tva,0)),"Taux de TVA inconnu",IF(AND(F356&lt;&gt;"",ISNA(MATCH(F356,sup_code,0))),"Fournisseur inconnu","OK")))))))</f>
        <v/>
      </c>
    </row>
    <row r="357">
      <c r="A357" s="63" t="n"/>
      <c r="B357" s="63" t="n"/>
      <c r="C357" s="65" t="n"/>
      <c r="D357" s="69" t="n"/>
      <c r="E357" s="71" t="n"/>
      <c r="F357" s="65" t="n"/>
      <c r="G357" s="74" t="str">
        <f>IF(A357="","",SUMIFS(po_qty,po_ref,A357,po_status,"&lt;&gt;Annulé"))</f>
        <v/>
      </c>
      <c r="H357" s="74" t="str">
        <f>IF(A357="","",SUMIFS(po_rcv,po_ref,A357,po_status,"&lt;&gt;Annulé"))</f>
        <v/>
      </c>
      <c r="I357" s="74" t="str">
        <f>IF(A357="","",SUMIFS(po_rest,po_ref,A357,po_key,"&gt;0"))</f>
        <v/>
      </c>
      <c r="J357" s="70" t="str">
        <f>IF(A357="","",IF(COUNTIFS(po_ref,A357,po_status,"&lt;&gt;Annulé")=0,"",INDEX(po_price,SUMPRODUCT(MAX((po_ref=A357)*(po_status&lt;&gt;"Annulé")*(ROW(po_ref)-5))))))</f>
        <v/>
      </c>
      <c r="K357" s="67" t="str">
        <f>IF(A357="","",IF(COUNTIF(art_ref,A357)&gt;1,"Référence en double",IF(B357="","Désignation manquante",IF(NOT(ISNUMBER(D357)),"Prix manquant",IF(E357="","TVA manquante",IF(ISNA(MATCH(E357,p_tva,0)),"Taux de TVA inconnu",IF(AND(F357&lt;&gt;"",ISNA(MATCH(F357,sup_code,0))),"Fournisseur inconnu","OK")))))))</f>
        <v/>
      </c>
    </row>
    <row r="358">
      <c r="A358" s="63" t="n"/>
      <c r="B358" s="63" t="n"/>
      <c r="C358" s="65" t="n"/>
      <c r="D358" s="69" t="n"/>
      <c r="E358" s="71" t="n"/>
      <c r="F358" s="65" t="n"/>
      <c r="G358" s="74" t="str">
        <f>IF(A358="","",SUMIFS(po_qty,po_ref,A358,po_status,"&lt;&gt;Annulé"))</f>
        <v/>
      </c>
      <c r="H358" s="74" t="str">
        <f>IF(A358="","",SUMIFS(po_rcv,po_ref,A358,po_status,"&lt;&gt;Annulé"))</f>
        <v/>
      </c>
      <c r="I358" s="74" t="str">
        <f>IF(A358="","",SUMIFS(po_rest,po_ref,A358,po_key,"&gt;0"))</f>
        <v/>
      </c>
      <c r="J358" s="70" t="str">
        <f>IF(A358="","",IF(COUNTIFS(po_ref,A358,po_status,"&lt;&gt;Annulé")=0,"",INDEX(po_price,SUMPRODUCT(MAX((po_ref=A358)*(po_status&lt;&gt;"Annulé")*(ROW(po_ref)-5))))))</f>
        <v/>
      </c>
      <c r="K358" s="67" t="str">
        <f>IF(A358="","",IF(COUNTIF(art_ref,A358)&gt;1,"Référence en double",IF(B358="","Désignation manquante",IF(NOT(ISNUMBER(D358)),"Prix manquant",IF(E358="","TVA manquante",IF(ISNA(MATCH(E358,p_tva,0)),"Taux de TVA inconnu",IF(AND(F358&lt;&gt;"",ISNA(MATCH(F358,sup_code,0))),"Fournisseur inconnu","OK")))))))</f>
        <v/>
      </c>
    </row>
    <row r="359">
      <c r="A359" s="63" t="n"/>
      <c r="B359" s="63" t="n"/>
      <c r="C359" s="65" t="n"/>
      <c r="D359" s="69" t="n"/>
      <c r="E359" s="71" t="n"/>
      <c r="F359" s="65" t="n"/>
      <c r="G359" s="74" t="str">
        <f>IF(A359="","",SUMIFS(po_qty,po_ref,A359,po_status,"&lt;&gt;Annulé"))</f>
        <v/>
      </c>
      <c r="H359" s="74" t="str">
        <f>IF(A359="","",SUMIFS(po_rcv,po_ref,A359,po_status,"&lt;&gt;Annulé"))</f>
        <v/>
      </c>
      <c r="I359" s="74" t="str">
        <f>IF(A359="","",SUMIFS(po_rest,po_ref,A359,po_key,"&gt;0"))</f>
        <v/>
      </c>
      <c r="J359" s="70" t="str">
        <f>IF(A359="","",IF(COUNTIFS(po_ref,A359,po_status,"&lt;&gt;Annulé")=0,"",INDEX(po_price,SUMPRODUCT(MAX((po_ref=A359)*(po_status&lt;&gt;"Annulé")*(ROW(po_ref)-5))))))</f>
        <v/>
      </c>
      <c r="K359" s="67" t="str">
        <f>IF(A359="","",IF(COUNTIF(art_ref,A359)&gt;1,"Référence en double",IF(B359="","Désignation manquante",IF(NOT(ISNUMBER(D359)),"Prix manquant",IF(E359="","TVA manquante",IF(ISNA(MATCH(E359,p_tva,0)),"Taux de TVA inconnu",IF(AND(F359&lt;&gt;"",ISNA(MATCH(F359,sup_code,0))),"Fournisseur inconnu","OK")))))))</f>
        <v/>
      </c>
    </row>
    <row r="360">
      <c r="A360" s="63" t="n"/>
      <c r="B360" s="63" t="n"/>
      <c r="C360" s="65" t="n"/>
      <c r="D360" s="69" t="n"/>
      <c r="E360" s="71" t="n"/>
      <c r="F360" s="65" t="n"/>
      <c r="G360" s="74" t="str">
        <f>IF(A360="","",SUMIFS(po_qty,po_ref,A360,po_status,"&lt;&gt;Annulé"))</f>
        <v/>
      </c>
      <c r="H360" s="74" t="str">
        <f>IF(A360="","",SUMIFS(po_rcv,po_ref,A360,po_status,"&lt;&gt;Annulé"))</f>
        <v/>
      </c>
      <c r="I360" s="74" t="str">
        <f>IF(A360="","",SUMIFS(po_rest,po_ref,A360,po_key,"&gt;0"))</f>
        <v/>
      </c>
      <c r="J360" s="70" t="str">
        <f>IF(A360="","",IF(COUNTIFS(po_ref,A360,po_status,"&lt;&gt;Annulé")=0,"",INDEX(po_price,SUMPRODUCT(MAX((po_ref=A360)*(po_status&lt;&gt;"Annulé")*(ROW(po_ref)-5))))))</f>
        <v/>
      </c>
      <c r="K360" s="67" t="str">
        <f>IF(A360="","",IF(COUNTIF(art_ref,A360)&gt;1,"Référence en double",IF(B360="","Désignation manquante",IF(NOT(ISNUMBER(D360)),"Prix manquant",IF(E360="","TVA manquante",IF(ISNA(MATCH(E360,p_tva,0)),"Taux de TVA inconnu",IF(AND(F360&lt;&gt;"",ISNA(MATCH(F360,sup_code,0))),"Fournisseur inconnu","OK")))))))</f>
        <v/>
      </c>
    </row>
    <row r="361">
      <c r="A361" s="63" t="n"/>
      <c r="B361" s="63" t="n"/>
      <c r="C361" s="65" t="n"/>
      <c r="D361" s="69" t="n"/>
      <c r="E361" s="71" t="n"/>
      <c r="F361" s="65" t="n"/>
      <c r="G361" s="74" t="str">
        <f>IF(A361="","",SUMIFS(po_qty,po_ref,A361,po_status,"&lt;&gt;Annulé"))</f>
        <v/>
      </c>
      <c r="H361" s="74" t="str">
        <f>IF(A361="","",SUMIFS(po_rcv,po_ref,A361,po_status,"&lt;&gt;Annulé"))</f>
        <v/>
      </c>
      <c r="I361" s="74" t="str">
        <f>IF(A361="","",SUMIFS(po_rest,po_ref,A361,po_key,"&gt;0"))</f>
        <v/>
      </c>
      <c r="J361" s="70" t="str">
        <f>IF(A361="","",IF(COUNTIFS(po_ref,A361,po_status,"&lt;&gt;Annulé")=0,"",INDEX(po_price,SUMPRODUCT(MAX((po_ref=A361)*(po_status&lt;&gt;"Annulé")*(ROW(po_ref)-5))))))</f>
        <v/>
      </c>
      <c r="K361" s="67" t="str">
        <f>IF(A361="","",IF(COUNTIF(art_ref,A361)&gt;1,"Référence en double",IF(B361="","Désignation manquante",IF(NOT(ISNUMBER(D361)),"Prix manquant",IF(E361="","TVA manquante",IF(ISNA(MATCH(E361,p_tva,0)),"Taux de TVA inconnu",IF(AND(F361&lt;&gt;"",ISNA(MATCH(F361,sup_code,0))),"Fournisseur inconnu","OK")))))))</f>
        <v/>
      </c>
    </row>
    <row r="362">
      <c r="A362" s="63" t="n"/>
      <c r="B362" s="63" t="n"/>
      <c r="C362" s="65" t="n"/>
      <c r="D362" s="69" t="n"/>
      <c r="E362" s="71" t="n"/>
      <c r="F362" s="65" t="n"/>
      <c r="G362" s="74" t="str">
        <f>IF(A362="","",SUMIFS(po_qty,po_ref,A362,po_status,"&lt;&gt;Annulé"))</f>
        <v/>
      </c>
      <c r="H362" s="74" t="str">
        <f>IF(A362="","",SUMIFS(po_rcv,po_ref,A362,po_status,"&lt;&gt;Annulé"))</f>
        <v/>
      </c>
      <c r="I362" s="74" t="str">
        <f>IF(A362="","",SUMIFS(po_rest,po_ref,A362,po_key,"&gt;0"))</f>
        <v/>
      </c>
      <c r="J362" s="70" t="str">
        <f>IF(A362="","",IF(COUNTIFS(po_ref,A362,po_status,"&lt;&gt;Annulé")=0,"",INDEX(po_price,SUMPRODUCT(MAX((po_ref=A362)*(po_status&lt;&gt;"Annulé")*(ROW(po_ref)-5))))))</f>
        <v/>
      </c>
      <c r="K362" s="67" t="str">
        <f>IF(A362="","",IF(COUNTIF(art_ref,A362)&gt;1,"Référence en double",IF(B362="","Désignation manquante",IF(NOT(ISNUMBER(D362)),"Prix manquant",IF(E362="","TVA manquante",IF(ISNA(MATCH(E362,p_tva,0)),"Taux de TVA inconnu",IF(AND(F362&lt;&gt;"",ISNA(MATCH(F362,sup_code,0))),"Fournisseur inconnu","OK")))))))</f>
        <v/>
      </c>
    </row>
    <row r="363">
      <c r="A363" s="63" t="n"/>
      <c r="B363" s="63" t="n"/>
      <c r="C363" s="65" t="n"/>
      <c r="D363" s="69" t="n"/>
      <c r="E363" s="71" t="n"/>
      <c r="F363" s="65" t="n"/>
      <c r="G363" s="74" t="str">
        <f>IF(A363="","",SUMIFS(po_qty,po_ref,A363,po_status,"&lt;&gt;Annulé"))</f>
        <v/>
      </c>
      <c r="H363" s="74" t="str">
        <f>IF(A363="","",SUMIFS(po_rcv,po_ref,A363,po_status,"&lt;&gt;Annulé"))</f>
        <v/>
      </c>
      <c r="I363" s="74" t="str">
        <f>IF(A363="","",SUMIFS(po_rest,po_ref,A363,po_key,"&gt;0"))</f>
        <v/>
      </c>
      <c r="J363" s="70" t="str">
        <f>IF(A363="","",IF(COUNTIFS(po_ref,A363,po_status,"&lt;&gt;Annulé")=0,"",INDEX(po_price,SUMPRODUCT(MAX((po_ref=A363)*(po_status&lt;&gt;"Annulé")*(ROW(po_ref)-5))))))</f>
        <v/>
      </c>
      <c r="K363" s="67" t="str">
        <f>IF(A363="","",IF(COUNTIF(art_ref,A363)&gt;1,"Référence en double",IF(B363="","Désignation manquante",IF(NOT(ISNUMBER(D363)),"Prix manquant",IF(E363="","TVA manquante",IF(ISNA(MATCH(E363,p_tva,0)),"Taux de TVA inconnu",IF(AND(F363&lt;&gt;"",ISNA(MATCH(F363,sup_code,0))),"Fournisseur inconnu","OK")))))))</f>
        <v/>
      </c>
    </row>
    <row r="364">
      <c r="A364" s="63" t="n"/>
      <c r="B364" s="63" t="n"/>
      <c r="C364" s="65" t="n"/>
      <c r="D364" s="69" t="n"/>
      <c r="E364" s="71" t="n"/>
      <c r="F364" s="65" t="n"/>
      <c r="G364" s="74" t="str">
        <f>IF(A364="","",SUMIFS(po_qty,po_ref,A364,po_status,"&lt;&gt;Annulé"))</f>
        <v/>
      </c>
      <c r="H364" s="74" t="str">
        <f>IF(A364="","",SUMIFS(po_rcv,po_ref,A364,po_status,"&lt;&gt;Annulé"))</f>
        <v/>
      </c>
      <c r="I364" s="74" t="str">
        <f>IF(A364="","",SUMIFS(po_rest,po_ref,A364,po_key,"&gt;0"))</f>
        <v/>
      </c>
      <c r="J364" s="70" t="str">
        <f>IF(A364="","",IF(COUNTIFS(po_ref,A364,po_status,"&lt;&gt;Annulé")=0,"",INDEX(po_price,SUMPRODUCT(MAX((po_ref=A364)*(po_status&lt;&gt;"Annulé")*(ROW(po_ref)-5))))))</f>
        <v/>
      </c>
      <c r="K364" s="67" t="str">
        <f>IF(A364="","",IF(COUNTIF(art_ref,A364)&gt;1,"Référence en double",IF(B364="","Désignation manquante",IF(NOT(ISNUMBER(D364)),"Prix manquant",IF(E364="","TVA manquante",IF(ISNA(MATCH(E364,p_tva,0)),"Taux de TVA inconnu",IF(AND(F364&lt;&gt;"",ISNA(MATCH(F364,sup_code,0))),"Fournisseur inconnu","OK")))))))</f>
        <v/>
      </c>
    </row>
    <row r="365">
      <c r="A365" s="63" t="n"/>
      <c r="B365" s="63" t="n"/>
      <c r="C365" s="65" t="n"/>
      <c r="D365" s="69" t="n"/>
      <c r="E365" s="71" t="n"/>
      <c r="F365" s="65" t="n"/>
      <c r="G365" s="74" t="str">
        <f>IF(A365="","",SUMIFS(po_qty,po_ref,A365,po_status,"&lt;&gt;Annulé"))</f>
        <v/>
      </c>
      <c r="H365" s="74" t="str">
        <f>IF(A365="","",SUMIFS(po_rcv,po_ref,A365,po_status,"&lt;&gt;Annulé"))</f>
        <v/>
      </c>
      <c r="I365" s="74" t="str">
        <f>IF(A365="","",SUMIFS(po_rest,po_ref,A365,po_key,"&gt;0"))</f>
        <v/>
      </c>
      <c r="J365" s="70" t="str">
        <f>IF(A365="","",IF(COUNTIFS(po_ref,A365,po_status,"&lt;&gt;Annulé")=0,"",INDEX(po_price,SUMPRODUCT(MAX((po_ref=A365)*(po_status&lt;&gt;"Annulé")*(ROW(po_ref)-5))))))</f>
        <v/>
      </c>
      <c r="K365" s="67" t="str">
        <f>IF(A365="","",IF(COUNTIF(art_ref,A365)&gt;1,"Référence en double",IF(B365="","Désignation manquante",IF(NOT(ISNUMBER(D365)),"Prix manquant",IF(E365="","TVA manquante",IF(ISNA(MATCH(E365,p_tva,0)),"Taux de TVA inconnu",IF(AND(F365&lt;&gt;"",ISNA(MATCH(F365,sup_code,0))),"Fournisseur inconnu","OK")))))))</f>
        <v/>
      </c>
    </row>
    <row r="366">
      <c r="A366" s="63" t="n"/>
      <c r="B366" s="63" t="n"/>
      <c r="C366" s="65" t="n"/>
      <c r="D366" s="69" t="n"/>
      <c r="E366" s="71" t="n"/>
      <c r="F366" s="65" t="n"/>
      <c r="G366" s="74" t="str">
        <f>IF(A366="","",SUMIFS(po_qty,po_ref,A366,po_status,"&lt;&gt;Annulé"))</f>
        <v/>
      </c>
      <c r="H366" s="74" t="str">
        <f>IF(A366="","",SUMIFS(po_rcv,po_ref,A366,po_status,"&lt;&gt;Annulé"))</f>
        <v/>
      </c>
      <c r="I366" s="74" t="str">
        <f>IF(A366="","",SUMIFS(po_rest,po_ref,A366,po_key,"&gt;0"))</f>
        <v/>
      </c>
      <c r="J366" s="70" t="str">
        <f>IF(A366="","",IF(COUNTIFS(po_ref,A366,po_status,"&lt;&gt;Annulé")=0,"",INDEX(po_price,SUMPRODUCT(MAX((po_ref=A366)*(po_status&lt;&gt;"Annulé")*(ROW(po_ref)-5))))))</f>
        <v/>
      </c>
      <c r="K366" s="67" t="str">
        <f>IF(A366="","",IF(COUNTIF(art_ref,A366)&gt;1,"Référence en double",IF(B366="","Désignation manquante",IF(NOT(ISNUMBER(D366)),"Prix manquant",IF(E366="","TVA manquante",IF(ISNA(MATCH(E366,p_tva,0)),"Taux de TVA inconnu",IF(AND(F366&lt;&gt;"",ISNA(MATCH(F366,sup_code,0))),"Fournisseur inconnu","OK")))))))</f>
        <v/>
      </c>
    </row>
    <row r="367">
      <c r="A367" s="63" t="n"/>
      <c r="B367" s="63" t="n"/>
      <c r="C367" s="65" t="n"/>
      <c r="D367" s="69" t="n"/>
      <c r="E367" s="71" t="n"/>
      <c r="F367" s="65" t="n"/>
      <c r="G367" s="74" t="str">
        <f>IF(A367="","",SUMIFS(po_qty,po_ref,A367,po_status,"&lt;&gt;Annulé"))</f>
        <v/>
      </c>
      <c r="H367" s="74" t="str">
        <f>IF(A367="","",SUMIFS(po_rcv,po_ref,A367,po_status,"&lt;&gt;Annulé"))</f>
        <v/>
      </c>
      <c r="I367" s="74" t="str">
        <f>IF(A367="","",SUMIFS(po_rest,po_ref,A367,po_key,"&gt;0"))</f>
        <v/>
      </c>
      <c r="J367" s="70" t="str">
        <f>IF(A367="","",IF(COUNTIFS(po_ref,A367,po_status,"&lt;&gt;Annulé")=0,"",INDEX(po_price,SUMPRODUCT(MAX((po_ref=A367)*(po_status&lt;&gt;"Annulé")*(ROW(po_ref)-5))))))</f>
        <v/>
      </c>
      <c r="K367" s="67" t="str">
        <f>IF(A367="","",IF(COUNTIF(art_ref,A367)&gt;1,"Référence en double",IF(B367="","Désignation manquante",IF(NOT(ISNUMBER(D367)),"Prix manquant",IF(E367="","TVA manquante",IF(ISNA(MATCH(E367,p_tva,0)),"Taux de TVA inconnu",IF(AND(F367&lt;&gt;"",ISNA(MATCH(F367,sup_code,0))),"Fournisseur inconnu","OK")))))))</f>
        <v/>
      </c>
    </row>
    <row r="368">
      <c r="A368" s="63" t="n"/>
      <c r="B368" s="63" t="n"/>
      <c r="C368" s="65" t="n"/>
      <c r="D368" s="69" t="n"/>
      <c r="E368" s="71" t="n"/>
      <c r="F368" s="65" t="n"/>
      <c r="G368" s="74" t="str">
        <f>IF(A368="","",SUMIFS(po_qty,po_ref,A368,po_status,"&lt;&gt;Annulé"))</f>
        <v/>
      </c>
      <c r="H368" s="74" t="str">
        <f>IF(A368="","",SUMIFS(po_rcv,po_ref,A368,po_status,"&lt;&gt;Annulé"))</f>
        <v/>
      </c>
      <c r="I368" s="74" t="str">
        <f>IF(A368="","",SUMIFS(po_rest,po_ref,A368,po_key,"&gt;0"))</f>
        <v/>
      </c>
      <c r="J368" s="70" t="str">
        <f>IF(A368="","",IF(COUNTIFS(po_ref,A368,po_status,"&lt;&gt;Annulé")=0,"",INDEX(po_price,SUMPRODUCT(MAX((po_ref=A368)*(po_status&lt;&gt;"Annulé")*(ROW(po_ref)-5))))))</f>
        <v/>
      </c>
      <c r="K368" s="67" t="str">
        <f>IF(A368="","",IF(COUNTIF(art_ref,A368)&gt;1,"Référence en double",IF(B368="","Désignation manquante",IF(NOT(ISNUMBER(D368)),"Prix manquant",IF(E368="","TVA manquante",IF(ISNA(MATCH(E368,p_tva,0)),"Taux de TVA inconnu",IF(AND(F368&lt;&gt;"",ISNA(MATCH(F368,sup_code,0))),"Fournisseur inconnu","OK")))))))</f>
        <v/>
      </c>
    </row>
    <row r="369">
      <c r="A369" s="63" t="n"/>
      <c r="B369" s="63" t="n"/>
      <c r="C369" s="65" t="n"/>
      <c r="D369" s="69" t="n"/>
      <c r="E369" s="71" t="n"/>
      <c r="F369" s="65" t="n"/>
      <c r="G369" s="74" t="str">
        <f>IF(A369="","",SUMIFS(po_qty,po_ref,A369,po_status,"&lt;&gt;Annulé"))</f>
        <v/>
      </c>
      <c r="H369" s="74" t="str">
        <f>IF(A369="","",SUMIFS(po_rcv,po_ref,A369,po_status,"&lt;&gt;Annulé"))</f>
        <v/>
      </c>
      <c r="I369" s="74" t="str">
        <f>IF(A369="","",SUMIFS(po_rest,po_ref,A369,po_key,"&gt;0"))</f>
        <v/>
      </c>
      <c r="J369" s="70" t="str">
        <f>IF(A369="","",IF(COUNTIFS(po_ref,A369,po_status,"&lt;&gt;Annulé")=0,"",INDEX(po_price,SUMPRODUCT(MAX((po_ref=A369)*(po_status&lt;&gt;"Annulé")*(ROW(po_ref)-5))))))</f>
        <v/>
      </c>
      <c r="K369" s="67" t="str">
        <f>IF(A369="","",IF(COUNTIF(art_ref,A369)&gt;1,"Référence en double",IF(B369="","Désignation manquante",IF(NOT(ISNUMBER(D369)),"Prix manquant",IF(E369="","TVA manquante",IF(ISNA(MATCH(E369,p_tva,0)),"Taux de TVA inconnu",IF(AND(F369&lt;&gt;"",ISNA(MATCH(F369,sup_code,0))),"Fournisseur inconnu","OK")))))))</f>
        <v/>
      </c>
    </row>
    <row r="370">
      <c r="A370" s="63" t="n"/>
      <c r="B370" s="63" t="n"/>
      <c r="C370" s="65" t="n"/>
      <c r="D370" s="69" t="n"/>
      <c r="E370" s="71" t="n"/>
      <c r="F370" s="65" t="n"/>
      <c r="G370" s="74" t="str">
        <f>IF(A370="","",SUMIFS(po_qty,po_ref,A370,po_status,"&lt;&gt;Annulé"))</f>
        <v/>
      </c>
      <c r="H370" s="74" t="str">
        <f>IF(A370="","",SUMIFS(po_rcv,po_ref,A370,po_status,"&lt;&gt;Annulé"))</f>
        <v/>
      </c>
      <c r="I370" s="74" t="str">
        <f>IF(A370="","",SUMIFS(po_rest,po_ref,A370,po_key,"&gt;0"))</f>
        <v/>
      </c>
      <c r="J370" s="70" t="str">
        <f>IF(A370="","",IF(COUNTIFS(po_ref,A370,po_status,"&lt;&gt;Annulé")=0,"",INDEX(po_price,SUMPRODUCT(MAX((po_ref=A370)*(po_status&lt;&gt;"Annulé")*(ROW(po_ref)-5))))))</f>
        <v/>
      </c>
      <c r="K370" s="67" t="str">
        <f>IF(A370="","",IF(COUNTIF(art_ref,A370)&gt;1,"Référence en double",IF(B370="","Désignation manquante",IF(NOT(ISNUMBER(D370)),"Prix manquant",IF(E370="","TVA manquante",IF(ISNA(MATCH(E370,p_tva,0)),"Taux de TVA inconnu",IF(AND(F370&lt;&gt;"",ISNA(MATCH(F370,sup_code,0))),"Fournisseur inconnu","OK")))))))</f>
        <v/>
      </c>
    </row>
    <row r="371">
      <c r="A371" s="63" t="n"/>
      <c r="B371" s="63" t="n"/>
      <c r="C371" s="65" t="n"/>
      <c r="D371" s="69" t="n"/>
      <c r="E371" s="71" t="n"/>
      <c r="F371" s="65" t="n"/>
      <c r="G371" s="74" t="str">
        <f>IF(A371="","",SUMIFS(po_qty,po_ref,A371,po_status,"&lt;&gt;Annulé"))</f>
        <v/>
      </c>
      <c r="H371" s="74" t="str">
        <f>IF(A371="","",SUMIFS(po_rcv,po_ref,A371,po_status,"&lt;&gt;Annulé"))</f>
        <v/>
      </c>
      <c r="I371" s="74" t="str">
        <f>IF(A371="","",SUMIFS(po_rest,po_ref,A371,po_key,"&gt;0"))</f>
        <v/>
      </c>
      <c r="J371" s="70" t="str">
        <f>IF(A371="","",IF(COUNTIFS(po_ref,A371,po_status,"&lt;&gt;Annulé")=0,"",INDEX(po_price,SUMPRODUCT(MAX((po_ref=A371)*(po_status&lt;&gt;"Annulé")*(ROW(po_ref)-5))))))</f>
        <v/>
      </c>
      <c r="K371" s="67" t="str">
        <f>IF(A371="","",IF(COUNTIF(art_ref,A371)&gt;1,"Référence en double",IF(B371="","Désignation manquante",IF(NOT(ISNUMBER(D371)),"Prix manquant",IF(E371="","TVA manquante",IF(ISNA(MATCH(E371,p_tva,0)),"Taux de TVA inconnu",IF(AND(F371&lt;&gt;"",ISNA(MATCH(F371,sup_code,0))),"Fournisseur inconnu","OK")))))))</f>
        <v/>
      </c>
    </row>
    <row r="372">
      <c r="A372" s="63" t="n"/>
      <c r="B372" s="63" t="n"/>
      <c r="C372" s="65" t="n"/>
      <c r="D372" s="69" t="n"/>
      <c r="E372" s="71" t="n"/>
      <c r="F372" s="65" t="n"/>
      <c r="G372" s="74" t="str">
        <f>IF(A372="","",SUMIFS(po_qty,po_ref,A372,po_status,"&lt;&gt;Annulé"))</f>
        <v/>
      </c>
      <c r="H372" s="74" t="str">
        <f>IF(A372="","",SUMIFS(po_rcv,po_ref,A372,po_status,"&lt;&gt;Annulé"))</f>
        <v/>
      </c>
      <c r="I372" s="74" t="str">
        <f>IF(A372="","",SUMIFS(po_rest,po_ref,A372,po_key,"&gt;0"))</f>
        <v/>
      </c>
      <c r="J372" s="70" t="str">
        <f>IF(A372="","",IF(COUNTIFS(po_ref,A372,po_status,"&lt;&gt;Annulé")=0,"",INDEX(po_price,SUMPRODUCT(MAX((po_ref=A372)*(po_status&lt;&gt;"Annulé")*(ROW(po_ref)-5))))))</f>
        <v/>
      </c>
      <c r="K372" s="67" t="str">
        <f>IF(A372="","",IF(COUNTIF(art_ref,A372)&gt;1,"Référence en double",IF(B372="","Désignation manquante",IF(NOT(ISNUMBER(D372)),"Prix manquant",IF(E372="","TVA manquante",IF(ISNA(MATCH(E372,p_tva,0)),"Taux de TVA inconnu",IF(AND(F372&lt;&gt;"",ISNA(MATCH(F372,sup_code,0))),"Fournisseur inconnu","OK")))))))</f>
        <v/>
      </c>
    </row>
    <row r="373">
      <c r="A373" s="63" t="n"/>
      <c r="B373" s="63" t="n"/>
      <c r="C373" s="65" t="n"/>
      <c r="D373" s="69" t="n"/>
      <c r="E373" s="71" t="n"/>
      <c r="F373" s="65" t="n"/>
      <c r="G373" s="74" t="str">
        <f>IF(A373="","",SUMIFS(po_qty,po_ref,A373,po_status,"&lt;&gt;Annulé"))</f>
        <v/>
      </c>
      <c r="H373" s="74" t="str">
        <f>IF(A373="","",SUMIFS(po_rcv,po_ref,A373,po_status,"&lt;&gt;Annulé"))</f>
        <v/>
      </c>
      <c r="I373" s="74" t="str">
        <f>IF(A373="","",SUMIFS(po_rest,po_ref,A373,po_key,"&gt;0"))</f>
        <v/>
      </c>
      <c r="J373" s="70" t="str">
        <f>IF(A373="","",IF(COUNTIFS(po_ref,A373,po_status,"&lt;&gt;Annulé")=0,"",INDEX(po_price,SUMPRODUCT(MAX((po_ref=A373)*(po_status&lt;&gt;"Annulé")*(ROW(po_ref)-5))))))</f>
        <v/>
      </c>
      <c r="K373" s="67" t="str">
        <f>IF(A373="","",IF(COUNTIF(art_ref,A373)&gt;1,"Référence en double",IF(B373="","Désignation manquante",IF(NOT(ISNUMBER(D373)),"Prix manquant",IF(E373="","TVA manquante",IF(ISNA(MATCH(E373,p_tva,0)),"Taux de TVA inconnu",IF(AND(F373&lt;&gt;"",ISNA(MATCH(F373,sup_code,0))),"Fournisseur inconnu","OK")))))))</f>
        <v/>
      </c>
    </row>
    <row r="374">
      <c r="A374" s="63" t="n"/>
      <c r="B374" s="63" t="n"/>
      <c r="C374" s="65" t="n"/>
      <c r="D374" s="69" t="n"/>
      <c r="E374" s="71" t="n"/>
      <c r="F374" s="65" t="n"/>
      <c r="G374" s="74" t="str">
        <f>IF(A374="","",SUMIFS(po_qty,po_ref,A374,po_status,"&lt;&gt;Annulé"))</f>
        <v/>
      </c>
      <c r="H374" s="74" t="str">
        <f>IF(A374="","",SUMIFS(po_rcv,po_ref,A374,po_status,"&lt;&gt;Annulé"))</f>
        <v/>
      </c>
      <c r="I374" s="74" t="str">
        <f>IF(A374="","",SUMIFS(po_rest,po_ref,A374,po_key,"&gt;0"))</f>
        <v/>
      </c>
      <c r="J374" s="70" t="str">
        <f>IF(A374="","",IF(COUNTIFS(po_ref,A374,po_status,"&lt;&gt;Annulé")=0,"",INDEX(po_price,SUMPRODUCT(MAX((po_ref=A374)*(po_status&lt;&gt;"Annulé")*(ROW(po_ref)-5))))))</f>
        <v/>
      </c>
      <c r="K374" s="67" t="str">
        <f>IF(A374="","",IF(COUNTIF(art_ref,A374)&gt;1,"Référence en double",IF(B374="","Désignation manquante",IF(NOT(ISNUMBER(D374)),"Prix manquant",IF(E374="","TVA manquante",IF(ISNA(MATCH(E374,p_tva,0)),"Taux de TVA inconnu",IF(AND(F374&lt;&gt;"",ISNA(MATCH(F374,sup_code,0))),"Fournisseur inconnu","OK")))))))</f>
        <v/>
      </c>
    </row>
    <row r="375">
      <c r="A375" s="63" t="n"/>
      <c r="B375" s="63" t="n"/>
      <c r="C375" s="65" t="n"/>
      <c r="D375" s="69" t="n"/>
      <c r="E375" s="71" t="n"/>
      <c r="F375" s="65" t="n"/>
      <c r="G375" s="74" t="str">
        <f>IF(A375="","",SUMIFS(po_qty,po_ref,A375,po_status,"&lt;&gt;Annulé"))</f>
        <v/>
      </c>
      <c r="H375" s="74" t="str">
        <f>IF(A375="","",SUMIFS(po_rcv,po_ref,A375,po_status,"&lt;&gt;Annulé"))</f>
        <v/>
      </c>
      <c r="I375" s="74" t="str">
        <f>IF(A375="","",SUMIFS(po_rest,po_ref,A375,po_key,"&gt;0"))</f>
        <v/>
      </c>
      <c r="J375" s="70" t="str">
        <f>IF(A375="","",IF(COUNTIFS(po_ref,A375,po_status,"&lt;&gt;Annulé")=0,"",INDEX(po_price,SUMPRODUCT(MAX((po_ref=A375)*(po_status&lt;&gt;"Annulé")*(ROW(po_ref)-5))))))</f>
        <v/>
      </c>
      <c r="K375" s="67" t="str">
        <f>IF(A375="","",IF(COUNTIF(art_ref,A375)&gt;1,"Référence en double",IF(B375="","Désignation manquante",IF(NOT(ISNUMBER(D375)),"Prix manquant",IF(E375="","TVA manquante",IF(ISNA(MATCH(E375,p_tva,0)),"Taux de TVA inconnu",IF(AND(F375&lt;&gt;"",ISNA(MATCH(F375,sup_code,0))),"Fournisseur inconnu","OK")))))))</f>
        <v/>
      </c>
    </row>
    <row r="376">
      <c r="A376" s="63" t="n"/>
      <c r="B376" s="63" t="n"/>
      <c r="C376" s="65" t="n"/>
      <c r="D376" s="69" t="n"/>
      <c r="E376" s="71" t="n"/>
      <c r="F376" s="65" t="n"/>
      <c r="G376" s="74" t="str">
        <f>IF(A376="","",SUMIFS(po_qty,po_ref,A376,po_status,"&lt;&gt;Annulé"))</f>
        <v/>
      </c>
      <c r="H376" s="74" t="str">
        <f>IF(A376="","",SUMIFS(po_rcv,po_ref,A376,po_status,"&lt;&gt;Annulé"))</f>
        <v/>
      </c>
      <c r="I376" s="74" t="str">
        <f>IF(A376="","",SUMIFS(po_rest,po_ref,A376,po_key,"&gt;0"))</f>
        <v/>
      </c>
      <c r="J376" s="70" t="str">
        <f>IF(A376="","",IF(COUNTIFS(po_ref,A376,po_status,"&lt;&gt;Annulé")=0,"",INDEX(po_price,SUMPRODUCT(MAX((po_ref=A376)*(po_status&lt;&gt;"Annulé")*(ROW(po_ref)-5))))))</f>
        <v/>
      </c>
      <c r="K376" s="67" t="str">
        <f>IF(A376="","",IF(COUNTIF(art_ref,A376)&gt;1,"Référence en double",IF(B376="","Désignation manquante",IF(NOT(ISNUMBER(D376)),"Prix manquant",IF(E376="","TVA manquante",IF(ISNA(MATCH(E376,p_tva,0)),"Taux de TVA inconnu",IF(AND(F376&lt;&gt;"",ISNA(MATCH(F376,sup_code,0))),"Fournisseur inconnu","OK")))))))</f>
        <v/>
      </c>
    </row>
    <row r="377">
      <c r="A377" s="63" t="n"/>
      <c r="B377" s="63" t="n"/>
      <c r="C377" s="65" t="n"/>
      <c r="D377" s="69" t="n"/>
      <c r="E377" s="71" t="n"/>
      <c r="F377" s="65" t="n"/>
      <c r="G377" s="74" t="str">
        <f>IF(A377="","",SUMIFS(po_qty,po_ref,A377,po_status,"&lt;&gt;Annulé"))</f>
        <v/>
      </c>
      <c r="H377" s="74" t="str">
        <f>IF(A377="","",SUMIFS(po_rcv,po_ref,A377,po_status,"&lt;&gt;Annulé"))</f>
        <v/>
      </c>
      <c r="I377" s="74" t="str">
        <f>IF(A377="","",SUMIFS(po_rest,po_ref,A377,po_key,"&gt;0"))</f>
        <v/>
      </c>
      <c r="J377" s="70" t="str">
        <f>IF(A377="","",IF(COUNTIFS(po_ref,A377,po_status,"&lt;&gt;Annulé")=0,"",INDEX(po_price,SUMPRODUCT(MAX((po_ref=A377)*(po_status&lt;&gt;"Annulé")*(ROW(po_ref)-5))))))</f>
        <v/>
      </c>
      <c r="K377" s="67" t="str">
        <f>IF(A377="","",IF(COUNTIF(art_ref,A377)&gt;1,"Référence en double",IF(B377="","Désignation manquante",IF(NOT(ISNUMBER(D377)),"Prix manquant",IF(E377="","TVA manquante",IF(ISNA(MATCH(E377,p_tva,0)),"Taux de TVA inconnu",IF(AND(F377&lt;&gt;"",ISNA(MATCH(F377,sup_code,0))),"Fournisseur inconnu","OK")))))))</f>
        <v/>
      </c>
    </row>
    <row r="378">
      <c r="A378" s="63" t="n"/>
      <c r="B378" s="63" t="n"/>
      <c r="C378" s="65" t="n"/>
      <c r="D378" s="69" t="n"/>
      <c r="E378" s="71" t="n"/>
      <c r="F378" s="65" t="n"/>
      <c r="G378" s="74" t="str">
        <f>IF(A378="","",SUMIFS(po_qty,po_ref,A378,po_status,"&lt;&gt;Annulé"))</f>
        <v/>
      </c>
      <c r="H378" s="74" t="str">
        <f>IF(A378="","",SUMIFS(po_rcv,po_ref,A378,po_status,"&lt;&gt;Annulé"))</f>
        <v/>
      </c>
      <c r="I378" s="74" t="str">
        <f>IF(A378="","",SUMIFS(po_rest,po_ref,A378,po_key,"&gt;0"))</f>
        <v/>
      </c>
      <c r="J378" s="70" t="str">
        <f>IF(A378="","",IF(COUNTIFS(po_ref,A378,po_status,"&lt;&gt;Annulé")=0,"",INDEX(po_price,SUMPRODUCT(MAX((po_ref=A378)*(po_status&lt;&gt;"Annulé")*(ROW(po_ref)-5))))))</f>
        <v/>
      </c>
      <c r="K378" s="67" t="str">
        <f>IF(A378="","",IF(COUNTIF(art_ref,A378)&gt;1,"Référence en double",IF(B378="","Désignation manquante",IF(NOT(ISNUMBER(D378)),"Prix manquant",IF(E378="","TVA manquante",IF(ISNA(MATCH(E378,p_tva,0)),"Taux de TVA inconnu",IF(AND(F378&lt;&gt;"",ISNA(MATCH(F378,sup_code,0))),"Fournisseur inconnu","OK")))))))</f>
        <v/>
      </c>
    </row>
    <row r="379">
      <c r="A379" s="63" t="n"/>
      <c r="B379" s="63" t="n"/>
      <c r="C379" s="65" t="n"/>
      <c r="D379" s="69" t="n"/>
      <c r="E379" s="71" t="n"/>
      <c r="F379" s="65" t="n"/>
      <c r="G379" s="74" t="str">
        <f>IF(A379="","",SUMIFS(po_qty,po_ref,A379,po_status,"&lt;&gt;Annulé"))</f>
        <v/>
      </c>
      <c r="H379" s="74" t="str">
        <f>IF(A379="","",SUMIFS(po_rcv,po_ref,A379,po_status,"&lt;&gt;Annulé"))</f>
        <v/>
      </c>
      <c r="I379" s="74" t="str">
        <f>IF(A379="","",SUMIFS(po_rest,po_ref,A379,po_key,"&gt;0"))</f>
        <v/>
      </c>
      <c r="J379" s="70" t="str">
        <f>IF(A379="","",IF(COUNTIFS(po_ref,A379,po_status,"&lt;&gt;Annulé")=0,"",INDEX(po_price,SUMPRODUCT(MAX((po_ref=A379)*(po_status&lt;&gt;"Annulé")*(ROW(po_ref)-5))))))</f>
        <v/>
      </c>
      <c r="K379" s="67" t="str">
        <f>IF(A379="","",IF(COUNTIF(art_ref,A379)&gt;1,"Référence en double",IF(B379="","Désignation manquante",IF(NOT(ISNUMBER(D379)),"Prix manquant",IF(E379="","TVA manquante",IF(ISNA(MATCH(E379,p_tva,0)),"Taux de TVA inconnu",IF(AND(F379&lt;&gt;"",ISNA(MATCH(F379,sup_code,0))),"Fournisseur inconnu","OK")))))))</f>
        <v/>
      </c>
    </row>
    <row r="380">
      <c r="A380" s="63" t="n"/>
      <c r="B380" s="63" t="n"/>
      <c r="C380" s="65" t="n"/>
      <c r="D380" s="69" t="n"/>
      <c r="E380" s="71" t="n"/>
      <c r="F380" s="65" t="n"/>
      <c r="G380" s="74" t="str">
        <f>IF(A380="","",SUMIFS(po_qty,po_ref,A380,po_status,"&lt;&gt;Annulé"))</f>
        <v/>
      </c>
      <c r="H380" s="74" t="str">
        <f>IF(A380="","",SUMIFS(po_rcv,po_ref,A380,po_status,"&lt;&gt;Annulé"))</f>
        <v/>
      </c>
      <c r="I380" s="74" t="str">
        <f>IF(A380="","",SUMIFS(po_rest,po_ref,A380,po_key,"&gt;0"))</f>
        <v/>
      </c>
      <c r="J380" s="70" t="str">
        <f>IF(A380="","",IF(COUNTIFS(po_ref,A380,po_status,"&lt;&gt;Annulé")=0,"",INDEX(po_price,SUMPRODUCT(MAX((po_ref=A380)*(po_status&lt;&gt;"Annulé")*(ROW(po_ref)-5))))))</f>
        <v/>
      </c>
      <c r="K380" s="67" t="str">
        <f>IF(A380="","",IF(COUNTIF(art_ref,A380)&gt;1,"Référence en double",IF(B380="","Désignation manquante",IF(NOT(ISNUMBER(D380)),"Prix manquant",IF(E380="","TVA manquante",IF(ISNA(MATCH(E380,p_tva,0)),"Taux de TVA inconnu",IF(AND(F380&lt;&gt;"",ISNA(MATCH(F380,sup_code,0))),"Fournisseur inconnu","OK")))))))</f>
        <v/>
      </c>
    </row>
    <row r="381">
      <c r="A381" s="63" t="n"/>
      <c r="B381" s="63" t="n"/>
      <c r="C381" s="65" t="n"/>
      <c r="D381" s="69" t="n"/>
      <c r="E381" s="71" t="n"/>
      <c r="F381" s="65" t="n"/>
      <c r="G381" s="74" t="str">
        <f>IF(A381="","",SUMIFS(po_qty,po_ref,A381,po_status,"&lt;&gt;Annulé"))</f>
        <v/>
      </c>
      <c r="H381" s="74" t="str">
        <f>IF(A381="","",SUMIFS(po_rcv,po_ref,A381,po_status,"&lt;&gt;Annulé"))</f>
        <v/>
      </c>
      <c r="I381" s="74" t="str">
        <f>IF(A381="","",SUMIFS(po_rest,po_ref,A381,po_key,"&gt;0"))</f>
        <v/>
      </c>
      <c r="J381" s="70" t="str">
        <f>IF(A381="","",IF(COUNTIFS(po_ref,A381,po_status,"&lt;&gt;Annulé")=0,"",INDEX(po_price,SUMPRODUCT(MAX((po_ref=A381)*(po_status&lt;&gt;"Annulé")*(ROW(po_ref)-5))))))</f>
        <v/>
      </c>
      <c r="K381" s="67" t="str">
        <f>IF(A381="","",IF(COUNTIF(art_ref,A381)&gt;1,"Référence en double",IF(B381="","Désignation manquante",IF(NOT(ISNUMBER(D381)),"Prix manquant",IF(E381="","TVA manquante",IF(ISNA(MATCH(E381,p_tva,0)),"Taux de TVA inconnu",IF(AND(F381&lt;&gt;"",ISNA(MATCH(F381,sup_code,0))),"Fournisseur inconnu","OK")))))))</f>
        <v/>
      </c>
    </row>
    <row r="382">
      <c r="A382" s="63" t="n"/>
      <c r="B382" s="63" t="n"/>
      <c r="C382" s="65" t="n"/>
      <c r="D382" s="69" t="n"/>
      <c r="E382" s="71" t="n"/>
      <c r="F382" s="65" t="n"/>
      <c r="G382" s="74" t="str">
        <f>IF(A382="","",SUMIFS(po_qty,po_ref,A382,po_status,"&lt;&gt;Annulé"))</f>
        <v/>
      </c>
      <c r="H382" s="74" t="str">
        <f>IF(A382="","",SUMIFS(po_rcv,po_ref,A382,po_status,"&lt;&gt;Annulé"))</f>
        <v/>
      </c>
      <c r="I382" s="74" t="str">
        <f>IF(A382="","",SUMIFS(po_rest,po_ref,A382,po_key,"&gt;0"))</f>
        <v/>
      </c>
      <c r="J382" s="70" t="str">
        <f>IF(A382="","",IF(COUNTIFS(po_ref,A382,po_status,"&lt;&gt;Annulé")=0,"",INDEX(po_price,SUMPRODUCT(MAX((po_ref=A382)*(po_status&lt;&gt;"Annulé")*(ROW(po_ref)-5))))))</f>
        <v/>
      </c>
      <c r="K382" s="67" t="str">
        <f>IF(A382="","",IF(COUNTIF(art_ref,A382)&gt;1,"Référence en double",IF(B382="","Désignation manquante",IF(NOT(ISNUMBER(D382)),"Prix manquant",IF(E382="","TVA manquante",IF(ISNA(MATCH(E382,p_tva,0)),"Taux de TVA inconnu",IF(AND(F382&lt;&gt;"",ISNA(MATCH(F382,sup_code,0))),"Fournisseur inconnu","OK")))))))</f>
        <v/>
      </c>
    </row>
    <row r="383">
      <c r="A383" s="63" t="n"/>
      <c r="B383" s="63" t="n"/>
      <c r="C383" s="65" t="n"/>
      <c r="D383" s="69" t="n"/>
      <c r="E383" s="71" t="n"/>
      <c r="F383" s="65" t="n"/>
      <c r="G383" s="74" t="str">
        <f>IF(A383="","",SUMIFS(po_qty,po_ref,A383,po_status,"&lt;&gt;Annulé"))</f>
        <v/>
      </c>
      <c r="H383" s="74" t="str">
        <f>IF(A383="","",SUMIFS(po_rcv,po_ref,A383,po_status,"&lt;&gt;Annulé"))</f>
        <v/>
      </c>
      <c r="I383" s="74" t="str">
        <f>IF(A383="","",SUMIFS(po_rest,po_ref,A383,po_key,"&gt;0"))</f>
        <v/>
      </c>
      <c r="J383" s="70" t="str">
        <f>IF(A383="","",IF(COUNTIFS(po_ref,A383,po_status,"&lt;&gt;Annulé")=0,"",INDEX(po_price,SUMPRODUCT(MAX((po_ref=A383)*(po_status&lt;&gt;"Annulé")*(ROW(po_ref)-5))))))</f>
        <v/>
      </c>
      <c r="K383" s="67" t="str">
        <f>IF(A383="","",IF(COUNTIF(art_ref,A383)&gt;1,"Référence en double",IF(B383="","Désignation manquante",IF(NOT(ISNUMBER(D383)),"Prix manquant",IF(E383="","TVA manquante",IF(ISNA(MATCH(E383,p_tva,0)),"Taux de TVA inconnu",IF(AND(F383&lt;&gt;"",ISNA(MATCH(F383,sup_code,0))),"Fournisseur inconnu","OK")))))))</f>
        <v/>
      </c>
    </row>
    <row r="384">
      <c r="A384" s="63" t="n"/>
      <c r="B384" s="63" t="n"/>
      <c r="C384" s="65" t="n"/>
      <c r="D384" s="69" t="n"/>
      <c r="E384" s="71" t="n"/>
      <c r="F384" s="65" t="n"/>
      <c r="G384" s="74" t="str">
        <f>IF(A384="","",SUMIFS(po_qty,po_ref,A384,po_status,"&lt;&gt;Annulé"))</f>
        <v/>
      </c>
      <c r="H384" s="74" t="str">
        <f>IF(A384="","",SUMIFS(po_rcv,po_ref,A384,po_status,"&lt;&gt;Annulé"))</f>
        <v/>
      </c>
      <c r="I384" s="74" t="str">
        <f>IF(A384="","",SUMIFS(po_rest,po_ref,A384,po_key,"&gt;0"))</f>
        <v/>
      </c>
      <c r="J384" s="70" t="str">
        <f>IF(A384="","",IF(COUNTIFS(po_ref,A384,po_status,"&lt;&gt;Annulé")=0,"",INDEX(po_price,SUMPRODUCT(MAX((po_ref=A384)*(po_status&lt;&gt;"Annulé")*(ROW(po_ref)-5))))))</f>
        <v/>
      </c>
      <c r="K384" s="67" t="str">
        <f>IF(A384="","",IF(COUNTIF(art_ref,A384)&gt;1,"Référence en double",IF(B384="","Désignation manquante",IF(NOT(ISNUMBER(D384)),"Prix manquant",IF(E384="","TVA manquante",IF(ISNA(MATCH(E384,p_tva,0)),"Taux de TVA inconnu",IF(AND(F384&lt;&gt;"",ISNA(MATCH(F384,sup_code,0))),"Fournisseur inconnu","OK")))))))</f>
        <v/>
      </c>
    </row>
    <row r="385">
      <c r="A385" s="63" t="n"/>
      <c r="B385" s="63" t="n"/>
      <c r="C385" s="65" t="n"/>
      <c r="D385" s="69" t="n"/>
      <c r="E385" s="71" t="n"/>
      <c r="F385" s="65" t="n"/>
      <c r="G385" s="74" t="str">
        <f>IF(A385="","",SUMIFS(po_qty,po_ref,A385,po_status,"&lt;&gt;Annulé"))</f>
        <v/>
      </c>
      <c r="H385" s="74" t="str">
        <f>IF(A385="","",SUMIFS(po_rcv,po_ref,A385,po_status,"&lt;&gt;Annulé"))</f>
        <v/>
      </c>
      <c r="I385" s="74" t="str">
        <f>IF(A385="","",SUMIFS(po_rest,po_ref,A385,po_key,"&gt;0"))</f>
        <v/>
      </c>
      <c r="J385" s="70" t="str">
        <f>IF(A385="","",IF(COUNTIFS(po_ref,A385,po_status,"&lt;&gt;Annulé")=0,"",INDEX(po_price,SUMPRODUCT(MAX((po_ref=A385)*(po_status&lt;&gt;"Annulé")*(ROW(po_ref)-5))))))</f>
        <v/>
      </c>
      <c r="K385" s="67" t="str">
        <f>IF(A385="","",IF(COUNTIF(art_ref,A385)&gt;1,"Référence en double",IF(B385="","Désignation manquante",IF(NOT(ISNUMBER(D385)),"Prix manquant",IF(E385="","TVA manquante",IF(ISNA(MATCH(E385,p_tva,0)),"Taux de TVA inconnu",IF(AND(F385&lt;&gt;"",ISNA(MATCH(F385,sup_code,0))),"Fournisseur inconnu","OK")))))))</f>
        <v/>
      </c>
    </row>
    <row r="386">
      <c r="A386" s="63" t="n"/>
      <c r="B386" s="63" t="n"/>
      <c r="C386" s="65" t="n"/>
      <c r="D386" s="69" t="n"/>
      <c r="E386" s="71" t="n"/>
      <c r="F386" s="65" t="n"/>
      <c r="G386" s="74" t="str">
        <f>IF(A386="","",SUMIFS(po_qty,po_ref,A386,po_status,"&lt;&gt;Annulé"))</f>
        <v/>
      </c>
      <c r="H386" s="74" t="str">
        <f>IF(A386="","",SUMIFS(po_rcv,po_ref,A386,po_status,"&lt;&gt;Annulé"))</f>
        <v/>
      </c>
      <c r="I386" s="74" t="str">
        <f>IF(A386="","",SUMIFS(po_rest,po_ref,A386,po_key,"&gt;0"))</f>
        <v/>
      </c>
      <c r="J386" s="70" t="str">
        <f>IF(A386="","",IF(COUNTIFS(po_ref,A386,po_status,"&lt;&gt;Annulé")=0,"",INDEX(po_price,SUMPRODUCT(MAX((po_ref=A386)*(po_status&lt;&gt;"Annulé")*(ROW(po_ref)-5))))))</f>
        <v/>
      </c>
      <c r="K386" s="67" t="str">
        <f>IF(A386="","",IF(COUNTIF(art_ref,A386)&gt;1,"Référence en double",IF(B386="","Désignation manquante",IF(NOT(ISNUMBER(D386)),"Prix manquant",IF(E386="","TVA manquante",IF(ISNA(MATCH(E386,p_tva,0)),"Taux de TVA inconnu",IF(AND(F386&lt;&gt;"",ISNA(MATCH(F386,sup_code,0))),"Fournisseur inconnu","OK")))))))</f>
        <v/>
      </c>
    </row>
    <row r="387">
      <c r="A387" s="63" t="n"/>
      <c r="B387" s="63" t="n"/>
      <c r="C387" s="65" t="n"/>
      <c r="D387" s="69" t="n"/>
      <c r="E387" s="71" t="n"/>
      <c r="F387" s="65" t="n"/>
      <c r="G387" s="74" t="str">
        <f>IF(A387="","",SUMIFS(po_qty,po_ref,A387,po_status,"&lt;&gt;Annulé"))</f>
        <v/>
      </c>
      <c r="H387" s="74" t="str">
        <f>IF(A387="","",SUMIFS(po_rcv,po_ref,A387,po_status,"&lt;&gt;Annulé"))</f>
        <v/>
      </c>
      <c r="I387" s="74" t="str">
        <f>IF(A387="","",SUMIFS(po_rest,po_ref,A387,po_key,"&gt;0"))</f>
        <v/>
      </c>
      <c r="J387" s="70" t="str">
        <f>IF(A387="","",IF(COUNTIFS(po_ref,A387,po_status,"&lt;&gt;Annulé")=0,"",INDEX(po_price,SUMPRODUCT(MAX((po_ref=A387)*(po_status&lt;&gt;"Annulé")*(ROW(po_ref)-5))))))</f>
        <v/>
      </c>
      <c r="K387" s="67" t="str">
        <f>IF(A387="","",IF(COUNTIF(art_ref,A387)&gt;1,"Référence en double",IF(B387="","Désignation manquante",IF(NOT(ISNUMBER(D387)),"Prix manquant",IF(E387="","TVA manquante",IF(ISNA(MATCH(E387,p_tva,0)),"Taux de TVA inconnu",IF(AND(F387&lt;&gt;"",ISNA(MATCH(F387,sup_code,0))),"Fournisseur inconnu","OK")))))))</f>
        <v/>
      </c>
    </row>
    <row r="388">
      <c r="A388" s="63" t="n"/>
      <c r="B388" s="63" t="n"/>
      <c r="C388" s="65" t="n"/>
      <c r="D388" s="69" t="n"/>
      <c r="E388" s="71" t="n"/>
      <c r="F388" s="65" t="n"/>
      <c r="G388" s="74" t="str">
        <f>IF(A388="","",SUMIFS(po_qty,po_ref,A388,po_status,"&lt;&gt;Annulé"))</f>
        <v/>
      </c>
      <c r="H388" s="74" t="str">
        <f>IF(A388="","",SUMIFS(po_rcv,po_ref,A388,po_status,"&lt;&gt;Annulé"))</f>
        <v/>
      </c>
      <c r="I388" s="74" t="str">
        <f>IF(A388="","",SUMIFS(po_rest,po_ref,A388,po_key,"&gt;0"))</f>
        <v/>
      </c>
      <c r="J388" s="70" t="str">
        <f>IF(A388="","",IF(COUNTIFS(po_ref,A388,po_status,"&lt;&gt;Annulé")=0,"",INDEX(po_price,SUMPRODUCT(MAX((po_ref=A388)*(po_status&lt;&gt;"Annulé")*(ROW(po_ref)-5))))))</f>
        <v/>
      </c>
      <c r="K388" s="67" t="str">
        <f>IF(A388="","",IF(COUNTIF(art_ref,A388)&gt;1,"Référence en double",IF(B388="","Désignation manquante",IF(NOT(ISNUMBER(D388)),"Prix manquant",IF(E388="","TVA manquante",IF(ISNA(MATCH(E388,p_tva,0)),"Taux de TVA inconnu",IF(AND(F388&lt;&gt;"",ISNA(MATCH(F388,sup_code,0))),"Fournisseur inconnu","OK")))))))</f>
        <v/>
      </c>
    </row>
    <row r="389">
      <c r="A389" s="63" t="n"/>
      <c r="B389" s="63" t="n"/>
      <c r="C389" s="65" t="n"/>
      <c r="D389" s="69" t="n"/>
      <c r="E389" s="71" t="n"/>
      <c r="F389" s="65" t="n"/>
      <c r="G389" s="74" t="str">
        <f>IF(A389="","",SUMIFS(po_qty,po_ref,A389,po_status,"&lt;&gt;Annulé"))</f>
        <v/>
      </c>
      <c r="H389" s="74" t="str">
        <f>IF(A389="","",SUMIFS(po_rcv,po_ref,A389,po_status,"&lt;&gt;Annulé"))</f>
        <v/>
      </c>
      <c r="I389" s="74" t="str">
        <f>IF(A389="","",SUMIFS(po_rest,po_ref,A389,po_key,"&gt;0"))</f>
        <v/>
      </c>
      <c r="J389" s="70" t="str">
        <f>IF(A389="","",IF(COUNTIFS(po_ref,A389,po_status,"&lt;&gt;Annulé")=0,"",INDEX(po_price,SUMPRODUCT(MAX((po_ref=A389)*(po_status&lt;&gt;"Annulé")*(ROW(po_ref)-5))))))</f>
        <v/>
      </c>
      <c r="K389" s="67" t="str">
        <f>IF(A389="","",IF(COUNTIF(art_ref,A389)&gt;1,"Référence en double",IF(B389="","Désignation manquante",IF(NOT(ISNUMBER(D389)),"Prix manquant",IF(E389="","TVA manquante",IF(ISNA(MATCH(E389,p_tva,0)),"Taux de TVA inconnu",IF(AND(F389&lt;&gt;"",ISNA(MATCH(F389,sup_code,0))),"Fournisseur inconnu","OK")))))))</f>
        <v/>
      </c>
    </row>
    <row r="390">
      <c r="A390" s="63" t="n"/>
      <c r="B390" s="63" t="n"/>
      <c r="C390" s="65" t="n"/>
      <c r="D390" s="69" t="n"/>
      <c r="E390" s="71" t="n"/>
      <c r="F390" s="65" t="n"/>
      <c r="G390" s="74" t="str">
        <f>IF(A390="","",SUMIFS(po_qty,po_ref,A390,po_status,"&lt;&gt;Annulé"))</f>
        <v/>
      </c>
      <c r="H390" s="74" t="str">
        <f>IF(A390="","",SUMIFS(po_rcv,po_ref,A390,po_status,"&lt;&gt;Annulé"))</f>
        <v/>
      </c>
      <c r="I390" s="74" t="str">
        <f>IF(A390="","",SUMIFS(po_rest,po_ref,A390,po_key,"&gt;0"))</f>
        <v/>
      </c>
      <c r="J390" s="70" t="str">
        <f>IF(A390="","",IF(COUNTIFS(po_ref,A390,po_status,"&lt;&gt;Annulé")=0,"",INDEX(po_price,SUMPRODUCT(MAX((po_ref=A390)*(po_status&lt;&gt;"Annulé")*(ROW(po_ref)-5))))))</f>
        <v/>
      </c>
      <c r="K390" s="67" t="str">
        <f>IF(A390="","",IF(COUNTIF(art_ref,A390)&gt;1,"Référence en double",IF(B390="","Désignation manquante",IF(NOT(ISNUMBER(D390)),"Prix manquant",IF(E390="","TVA manquante",IF(ISNA(MATCH(E390,p_tva,0)),"Taux de TVA inconnu",IF(AND(F390&lt;&gt;"",ISNA(MATCH(F390,sup_code,0))),"Fournisseur inconnu","OK")))))))</f>
        <v/>
      </c>
    </row>
    <row r="391">
      <c r="A391" s="63" t="n"/>
      <c r="B391" s="63" t="n"/>
      <c r="C391" s="65" t="n"/>
      <c r="D391" s="69" t="n"/>
      <c r="E391" s="71" t="n"/>
      <c r="F391" s="65" t="n"/>
      <c r="G391" s="74" t="str">
        <f>IF(A391="","",SUMIFS(po_qty,po_ref,A391,po_status,"&lt;&gt;Annulé"))</f>
        <v/>
      </c>
      <c r="H391" s="74" t="str">
        <f>IF(A391="","",SUMIFS(po_rcv,po_ref,A391,po_status,"&lt;&gt;Annulé"))</f>
        <v/>
      </c>
      <c r="I391" s="74" t="str">
        <f>IF(A391="","",SUMIFS(po_rest,po_ref,A391,po_key,"&gt;0"))</f>
        <v/>
      </c>
      <c r="J391" s="70" t="str">
        <f>IF(A391="","",IF(COUNTIFS(po_ref,A391,po_status,"&lt;&gt;Annulé")=0,"",INDEX(po_price,SUMPRODUCT(MAX((po_ref=A391)*(po_status&lt;&gt;"Annulé")*(ROW(po_ref)-5))))))</f>
        <v/>
      </c>
      <c r="K391" s="67" t="str">
        <f>IF(A391="","",IF(COUNTIF(art_ref,A391)&gt;1,"Référence en double",IF(B391="","Désignation manquante",IF(NOT(ISNUMBER(D391)),"Prix manquant",IF(E391="","TVA manquante",IF(ISNA(MATCH(E391,p_tva,0)),"Taux de TVA inconnu",IF(AND(F391&lt;&gt;"",ISNA(MATCH(F391,sup_code,0))),"Fournisseur inconnu","OK")))))))</f>
        <v/>
      </c>
    </row>
    <row r="392">
      <c r="A392" s="63" t="n"/>
      <c r="B392" s="63" t="n"/>
      <c r="C392" s="65" t="n"/>
      <c r="D392" s="69" t="n"/>
      <c r="E392" s="71" t="n"/>
      <c r="F392" s="65" t="n"/>
      <c r="G392" s="74" t="str">
        <f>IF(A392="","",SUMIFS(po_qty,po_ref,A392,po_status,"&lt;&gt;Annulé"))</f>
        <v/>
      </c>
      <c r="H392" s="74" t="str">
        <f>IF(A392="","",SUMIFS(po_rcv,po_ref,A392,po_status,"&lt;&gt;Annulé"))</f>
        <v/>
      </c>
      <c r="I392" s="74" t="str">
        <f>IF(A392="","",SUMIFS(po_rest,po_ref,A392,po_key,"&gt;0"))</f>
        <v/>
      </c>
      <c r="J392" s="70" t="str">
        <f>IF(A392="","",IF(COUNTIFS(po_ref,A392,po_status,"&lt;&gt;Annulé")=0,"",INDEX(po_price,SUMPRODUCT(MAX((po_ref=A392)*(po_status&lt;&gt;"Annulé")*(ROW(po_ref)-5))))))</f>
        <v/>
      </c>
      <c r="K392" s="67" t="str">
        <f>IF(A392="","",IF(COUNTIF(art_ref,A392)&gt;1,"Référence en double",IF(B392="","Désignation manquante",IF(NOT(ISNUMBER(D392)),"Prix manquant",IF(E392="","TVA manquante",IF(ISNA(MATCH(E392,p_tva,0)),"Taux de TVA inconnu",IF(AND(F392&lt;&gt;"",ISNA(MATCH(F392,sup_code,0))),"Fournisseur inconnu","OK")))))))</f>
        <v/>
      </c>
    </row>
    <row r="393">
      <c r="A393" s="63" t="n"/>
      <c r="B393" s="63" t="n"/>
      <c r="C393" s="65" t="n"/>
      <c r="D393" s="69" t="n"/>
      <c r="E393" s="71" t="n"/>
      <c r="F393" s="65" t="n"/>
      <c r="G393" s="74" t="str">
        <f>IF(A393="","",SUMIFS(po_qty,po_ref,A393,po_status,"&lt;&gt;Annulé"))</f>
        <v/>
      </c>
      <c r="H393" s="74" t="str">
        <f>IF(A393="","",SUMIFS(po_rcv,po_ref,A393,po_status,"&lt;&gt;Annulé"))</f>
        <v/>
      </c>
      <c r="I393" s="74" t="str">
        <f>IF(A393="","",SUMIFS(po_rest,po_ref,A393,po_key,"&gt;0"))</f>
        <v/>
      </c>
      <c r="J393" s="70" t="str">
        <f>IF(A393="","",IF(COUNTIFS(po_ref,A393,po_status,"&lt;&gt;Annulé")=0,"",INDEX(po_price,SUMPRODUCT(MAX((po_ref=A393)*(po_status&lt;&gt;"Annulé")*(ROW(po_ref)-5))))))</f>
        <v/>
      </c>
      <c r="K393" s="67" t="str">
        <f>IF(A393="","",IF(COUNTIF(art_ref,A393)&gt;1,"Référence en double",IF(B393="","Désignation manquante",IF(NOT(ISNUMBER(D393)),"Prix manquant",IF(E393="","TVA manquante",IF(ISNA(MATCH(E393,p_tva,0)),"Taux de TVA inconnu",IF(AND(F393&lt;&gt;"",ISNA(MATCH(F393,sup_code,0))),"Fournisseur inconnu","OK")))))))</f>
        <v/>
      </c>
    </row>
    <row r="394">
      <c r="A394" s="63" t="n"/>
      <c r="B394" s="63" t="n"/>
      <c r="C394" s="65" t="n"/>
      <c r="D394" s="69" t="n"/>
      <c r="E394" s="71" t="n"/>
      <c r="F394" s="65" t="n"/>
      <c r="G394" s="74" t="str">
        <f>IF(A394="","",SUMIFS(po_qty,po_ref,A394,po_status,"&lt;&gt;Annulé"))</f>
        <v/>
      </c>
      <c r="H394" s="74" t="str">
        <f>IF(A394="","",SUMIFS(po_rcv,po_ref,A394,po_status,"&lt;&gt;Annulé"))</f>
        <v/>
      </c>
      <c r="I394" s="74" t="str">
        <f>IF(A394="","",SUMIFS(po_rest,po_ref,A394,po_key,"&gt;0"))</f>
        <v/>
      </c>
      <c r="J394" s="70" t="str">
        <f>IF(A394="","",IF(COUNTIFS(po_ref,A394,po_status,"&lt;&gt;Annulé")=0,"",INDEX(po_price,SUMPRODUCT(MAX((po_ref=A394)*(po_status&lt;&gt;"Annulé")*(ROW(po_ref)-5))))))</f>
        <v/>
      </c>
      <c r="K394" s="67" t="str">
        <f>IF(A394="","",IF(COUNTIF(art_ref,A394)&gt;1,"Référence en double",IF(B394="","Désignation manquante",IF(NOT(ISNUMBER(D394)),"Prix manquant",IF(E394="","TVA manquante",IF(ISNA(MATCH(E394,p_tva,0)),"Taux de TVA inconnu",IF(AND(F394&lt;&gt;"",ISNA(MATCH(F394,sup_code,0))),"Fournisseur inconnu","OK")))))))</f>
        <v/>
      </c>
    </row>
    <row r="395">
      <c r="A395" s="63" t="n"/>
      <c r="B395" s="63" t="n"/>
      <c r="C395" s="65" t="n"/>
      <c r="D395" s="69" t="n"/>
      <c r="E395" s="71" t="n"/>
      <c r="F395" s="65" t="n"/>
      <c r="G395" s="74" t="str">
        <f>IF(A395="","",SUMIFS(po_qty,po_ref,A395,po_status,"&lt;&gt;Annulé"))</f>
        <v/>
      </c>
      <c r="H395" s="74" t="str">
        <f>IF(A395="","",SUMIFS(po_rcv,po_ref,A395,po_status,"&lt;&gt;Annulé"))</f>
        <v/>
      </c>
      <c r="I395" s="74" t="str">
        <f>IF(A395="","",SUMIFS(po_rest,po_ref,A395,po_key,"&gt;0"))</f>
        <v/>
      </c>
      <c r="J395" s="70" t="str">
        <f>IF(A395="","",IF(COUNTIFS(po_ref,A395,po_status,"&lt;&gt;Annulé")=0,"",INDEX(po_price,SUMPRODUCT(MAX((po_ref=A395)*(po_status&lt;&gt;"Annulé")*(ROW(po_ref)-5))))))</f>
        <v/>
      </c>
      <c r="K395" s="67" t="str">
        <f>IF(A395="","",IF(COUNTIF(art_ref,A395)&gt;1,"Référence en double",IF(B395="","Désignation manquante",IF(NOT(ISNUMBER(D395)),"Prix manquant",IF(E395="","TVA manquante",IF(ISNA(MATCH(E395,p_tva,0)),"Taux de TVA inconnu",IF(AND(F395&lt;&gt;"",ISNA(MATCH(F395,sup_code,0))),"Fournisseur inconnu","OK")))))))</f>
        <v/>
      </c>
    </row>
    <row r="396">
      <c r="A396" s="63" t="n"/>
      <c r="B396" s="63" t="n"/>
      <c r="C396" s="65" t="n"/>
      <c r="D396" s="69" t="n"/>
      <c r="E396" s="71" t="n"/>
      <c r="F396" s="65" t="n"/>
      <c r="G396" s="74" t="str">
        <f>IF(A396="","",SUMIFS(po_qty,po_ref,A396,po_status,"&lt;&gt;Annulé"))</f>
        <v/>
      </c>
      <c r="H396" s="74" t="str">
        <f>IF(A396="","",SUMIFS(po_rcv,po_ref,A396,po_status,"&lt;&gt;Annulé"))</f>
        <v/>
      </c>
      <c r="I396" s="74" t="str">
        <f>IF(A396="","",SUMIFS(po_rest,po_ref,A396,po_key,"&gt;0"))</f>
        <v/>
      </c>
      <c r="J396" s="70" t="str">
        <f>IF(A396="","",IF(COUNTIFS(po_ref,A396,po_status,"&lt;&gt;Annulé")=0,"",INDEX(po_price,SUMPRODUCT(MAX((po_ref=A396)*(po_status&lt;&gt;"Annulé")*(ROW(po_ref)-5))))))</f>
        <v/>
      </c>
      <c r="K396" s="67" t="str">
        <f>IF(A396="","",IF(COUNTIF(art_ref,A396)&gt;1,"Référence en double",IF(B396="","Désignation manquante",IF(NOT(ISNUMBER(D396)),"Prix manquant",IF(E396="","TVA manquante",IF(ISNA(MATCH(E396,p_tva,0)),"Taux de TVA inconnu",IF(AND(F396&lt;&gt;"",ISNA(MATCH(F396,sup_code,0))),"Fournisseur inconnu","OK")))))))</f>
        <v/>
      </c>
    </row>
    <row r="397">
      <c r="A397" s="63" t="n"/>
      <c r="B397" s="63" t="n"/>
      <c r="C397" s="65" t="n"/>
      <c r="D397" s="69" t="n"/>
      <c r="E397" s="71" t="n"/>
      <c r="F397" s="65" t="n"/>
      <c r="G397" s="74" t="str">
        <f>IF(A397="","",SUMIFS(po_qty,po_ref,A397,po_status,"&lt;&gt;Annulé"))</f>
        <v/>
      </c>
      <c r="H397" s="74" t="str">
        <f>IF(A397="","",SUMIFS(po_rcv,po_ref,A397,po_status,"&lt;&gt;Annulé"))</f>
        <v/>
      </c>
      <c r="I397" s="74" t="str">
        <f>IF(A397="","",SUMIFS(po_rest,po_ref,A397,po_key,"&gt;0"))</f>
        <v/>
      </c>
      <c r="J397" s="70" t="str">
        <f>IF(A397="","",IF(COUNTIFS(po_ref,A397,po_status,"&lt;&gt;Annulé")=0,"",INDEX(po_price,SUMPRODUCT(MAX((po_ref=A397)*(po_status&lt;&gt;"Annulé")*(ROW(po_ref)-5))))))</f>
        <v/>
      </c>
      <c r="K397" s="67" t="str">
        <f>IF(A397="","",IF(COUNTIF(art_ref,A397)&gt;1,"Référence en double",IF(B397="","Désignation manquante",IF(NOT(ISNUMBER(D397)),"Prix manquant",IF(E397="","TVA manquante",IF(ISNA(MATCH(E397,p_tva,0)),"Taux de TVA inconnu",IF(AND(F397&lt;&gt;"",ISNA(MATCH(F397,sup_code,0))),"Fournisseur inconnu","OK")))))))</f>
        <v/>
      </c>
    </row>
    <row r="398">
      <c r="A398" s="63" t="n"/>
      <c r="B398" s="63" t="n"/>
      <c r="C398" s="65" t="n"/>
      <c r="D398" s="69" t="n"/>
      <c r="E398" s="71" t="n"/>
      <c r="F398" s="65" t="n"/>
      <c r="G398" s="74" t="str">
        <f>IF(A398="","",SUMIFS(po_qty,po_ref,A398,po_status,"&lt;&gt;Annulé"))</f>
        <v/>
      </c>
      <c r="H398" s="74" t="str">
        <f>IF(A398="","",SUMIFS(po_rcv,po_ref,A398,po_status,"&lt;&gt;Annulé"))</f>
        <v/>
      </c>
      <c r="I398" s="74" t="str">
        <f>IF(A398="","",SUMIFS(po_rest,po_ref,A398,po_key,"&gt;0"))</f>
        <v/>
      </c>
      <c r="J398" s="70" t="str">
        <f>IF(A398="","",IF(COUNTIFS(po_ref,A398,po_status,"&lt;&gt;Annulé")=0,"",INDEX(po_price,SUMPRODUCT(MAX((po_ref=A398)*(po_status&lt;&gt;"Annulé")*(ROW(po_ref)-5))))))</f>
        <v/>
      </c>
      <c r="K398" s="67" t="str">
        <f>IF(A398="","",IF(COUNTIF(art_ref,A398)&gt;1,"Référence en double",IF(B398="","Désignation manquante",IF(NOT(ISNUMBER(D398)),"Prix manquant",IF(E398="","TVA manquante",IF(ISNA(MATCH(E398,p_tva,0)),"Taux de TVA inconnu",IF(AND(F398&lt;&gt;"",ISNA(MATCH(F398,sup_code,0))),"Fournisseur inconnu","OK")))))))</f>
        <v/>
      </c>
    </row>
    <row r="399">
      <c r="A399" s="63" t="n"/>
      <c r="B399" s="63" t="n"/>
      <c r="C399" s="65" t="n"/>
      <c r="D399" s="69" t="n"/>
      <c r="E399" s="71" t="n"/>
      <c r="F399" s="65" t="n"/>
      <c r="G399" s="74" t="str">
        <f>IF(A399="","",SUMIFS(po_qty,po_ref,A399,po_status,"&lt;&gt;Annulé"))</f>
        <v/>
      </c>
      <c r="H399" s="74" t="str">
        <f>IF(A399="","",SUMIFS(po_rcv,po_ref,A399,po_status,"&lt;&gt;Annulé"))</f>
        <v/>
      </c>
      <c r="I399" s="74" t="str">
        <f>IF(A399="","",SUMIFS(po_rest,po_ref,A399,po_key,"&gt;0"))</f>
        <v/>
      </c>
      <c r="J399" s="70" t="str">
        <f>IF(A399="","",IF(COUNTIFS(po_ref,A399,po_status,"&lt;&gt;Annulé")=0,"",INDEX(po_price,SUMPRODUCT(MAX((po_ref=A399)*(po_status&lt;&gt;"Annulé")*(ROW(po_ref)-5))))))</f>
        <v/>
      </c>
      <c r="K399" s="67" t="str">
        <f>IF(A399="","",IF(COUNTIF(art_ref,A399)&gt;1,"Référence en double",IF(B399="","Désignation manquante",IF(NOT(ISNUMBER(D399)),"Prix manquant",IF(E399="","TVA manquante",IF(ISNA(MATCH(E399,p_tva,0)),"Taux de TVA inconnu",IF(AND(F399&lt;&gt;"",ISNA(MATCH(F399,sup_code,0))),"Fournisseur inconnu","OK")))))))</f>
        <v/>
      </c>
    </row>
    <row r="400">
      <c r="A400" s="63" t="n"/>
      <c r="B400" s="63" t="n"/>
      <c r="C400" s="65" t="n"/>
      <c r="D400" s="69" t="n"/>
      <c r="E400" s="71" t="n"/>
      <c r="F400" s="65" t="n"/>
      <c r="G400" s="74" t="str">
        <f>IF(A400="","",SUMIFS(po_qty,po_ref,A400,po_status,"&lt;&gt;Annulé"))</f>
        <v/>
      </c>
      <c r="H400" s="74" t="str">
        <f>IF(A400="","",SUMIFS(po_rcv,po_ref,A400,po_status,"&lt;&gt;Annulé"))</f>
        <v/>
      </c>
      <c r="I400" s="74" t="str">
        <f>IF(A400="","",SUMIFS(po_rest,po_ref,A400,po_key,"&gt;0"))</f>
        <v/>
      </c>
      <c r="J400" s="70" t="str">
        <f>IF(A400="","",IF(COUNTIFS(po_ref,A400,po_status,"&lt;&gt;Annulé")=0,"",INDEX(po_price,SUMPRODUCT(MAX((po_ref=A400)*(po_status&lt;&gt;"Annulé")*(ROW(po_ref)-5))))))</f>
        <v/>
      </c>
      <c r="K400" s="67" t="str">
        <f>IF(A400="","",IF(COUNTIF(art_ref,A400)&gt;1,"Référence en double",IF(B400="","Désignation manquante",IF(NOT(ISNUMBER(D400)),"Prix manquant",IF(E400="","TVA manquante",IF(ISNA(MATCH(E400,p_tva,0)),"Taux de TVA inconnu",IF(AND(F400&lt;&gt;"",ISNA(MATCH(F400,sup_code,0))),"Fournisseur inconnu","OK")))))))</f>
        <v/>
      </c>
    </row>
    <row r="401">
      <c r="A401" s="63" t="n"/>
      <c r="B401" s="63" t="n"/>
      <c r="C401" s="65" t="n"/>
      <c r="D401" s="69" t="n"/>
      <c r="E401" s="71" t="n"/>
      <c r="F401" s="65" t="n"/>
      <c r="G401" s="74" t="str">
        <f>IF(A401="","",SUMIFS(po_qty,po_ref,A401,po_status,"&lt;&gt;Annulé"))</f>
        <v/>
      </c>
      <c r="H401" s="74" t="str">
        <f>IF(A401="","",SUMIFS(po_rcv,po_ref,A401,po_status,"&lt;&gt;Annulé"))</f>
        <v/>
      </c>
      <c r="I401" s="74" t="str">
        <f>IF(A401="","",SUMIFS(po_rest,po_ref,A401,po_key,"&gt;0"))</f>
        <v/>
      </c>
      <c r="J401" s="70" t="str">
        <f>IF(A401="","",IF(COUNTIFS(po_ref,A401,po_status,"&lt;&gt;Annulé")=0,"",INDEX(po_price,SUMPRODUCT(MAX((po_ref=A401)*(po_status&lt;&gt;"Annulé")*(ROW(po_ref)-5))))))</f>
        <v/>
      </c>
      <c r="K401" s="67" t="str">
        <f>IF(A401="","",IF(COUNTIF(art_ref,A401)&gt;1,"Référence en double",IF(B401="","Désignation manquante",IF(NOT(ISNUMBER(D401)),"Prix manquant",IF(E401="","TVA manquante",IF(ISNA(MATCH(E401,p_tva,0)),"Taux de TVA inconnu",IF(AND(F401&lt;&gt;"",ISNA(MATCH(F401,sup_code,0))),"Fournisseur inconnu","OK")))))))</f>
        <v/>
      </c>
    </row>
    <row r="402">
      <c r="A402" s="63" t="n"/>
      <c r="B402" s="63" t="n"/>
      <c r="C402" s="65" t="n"/>
      <c r="D402" s="69" t="n"/>
      <c r="E402" s="71" t="n"/>
      <c r="F402" s="65" t="n"/>
      <c r="G402" s="74" t="str">
        <f>IF(A402="","",SUMIFS(po_qty,po_ref,A402,po_status,"&lt;&gt;Annulé"))</f>
        <v/>
      </c>
      <c r="H402" s="74" t="str">
        <f>IF(A402="","",SUMIFS(po_rcv,po_ref,A402,po_status,"&lt;&gt;Annulé"))</f>
        <v/>
      </c>
      <c r="I402" s="74" t="str">
        <f>IF(A402="","",SUMIFS(po_rest,po_ref,A402,po_key,"&gt;0"))</f>
        <v/>
      </c>
      <c r="J402" s="70" t="str">
        <f>IF(A402="","",IF(COUNTIFS(po_ref,A402,po_status,"&lt;&gt;Annulé")=0,"",INDEX(po_price,SUMPRODUCT(MAX((po_ref=A402)*(po_status&lt;&gt;"Annulé")*(ROW(po_ref)-5))))))</f>
        <v/>
      </c>
      <c r="K402" s="67" t="str">
        <f>IF(A402="","",IF(COUNTIF(art_ref,A402)&gt;1,"Référence en double",IF(B402="","Désignation manquante",IF(NOT(ISNUMBER(D402)),"Prix manquant",IF(E402="","TVA manquante",IF(ISNA(MATCH(E402,p_tva,0)),"Taux de TVA inconnu",IF(AND(F402&lt;&gt;"",ISNA(MATCH(F402,sup_code,0))),"Fournisseur inconnu","OK")))))))</f>
        <v/>
      </c>
    </row>
    <row r="403">
      <c r="A403" s="63" t="n"/>
      <c r="B403" s="63" t="n"/>
      <c r="C403" s="65" t="n"/>
      <c r="D403" s="69" t="n"/>
      <c r="E403" s="71" t="n"/>
      <c r="F403" s="65" t="n"/>
      <c r="G403" s="74" t="str">
        <f>IF(A403="","",SUMIFS(po_qty,po_ref,A403,po_status,"&lt;&gt;Annulé"))</f>
        <v/>
      </c>
      <c r="H403" s="74" t="str">
        <f>IF(A403="","",SUMIFS(po_rcv,po_ref,A403,po_status,"&lt;&gt;Annulé"))</f>
        <v/>
      </c>
      <c r="I403" s="74" t="str">
        <f>IF(A403="","",SUMIFS(po_rest,po_ref,A403,po_key,"&gt;0"))</f>
        <v/>
      </c>
      <c r="J403" s="70" t="str">
        <f>IF(A403="","",IF(COUNTIFS(po_ref,A403,po_status,"&lt;&gt;Annulé")=0,"",INDEX(po_price,SUMPRODUCT(MAX((po_ref=A403)*(po_status&lt;&gt;"Annulé")*(ROW(po_ref)-5))))))</f>
        <v/>
      </c>
      <c r="K403" s="67" t="str">
        <f>IF(A403="","",IF(COUNTIF(art_ref,A403)&gt;1,"Référence en double",IF(B403="","Désignation manquante",IF(NOT(ISNUMBER(D403)),"Prix manquant",IF(E403="","TVA manquante",IF(ISNA(MATCH(E403,p_tva,0)),"Taux de TVA inconnu",IF(AND(F403&lt;&gt;"",ISNA(MATCH(F403,sup_code,0))),"Fournisseur inconnu","OK")))))))</f>
        <v/>
      </c>
    </row>
    <row r="404">
      <c r="A404" s="63" t="n"/>
      <c r="B404" s="63" t="n"/>
      <c r="C404" s="65" t="n"/>
      <c r="D404" s="69" t="n"/>
      <c r="E404" s="71" t="n"/>
      <c r="F404" s="65" t="n"/>
      <c r="G404" s="74" t="str">
        <f>IF(A404="","",SUMIFS(po_qty,po_ref,A404,po_status,"&lt;&gt;Annulé"))</f>
        <v/>
      </c>
      <c r="H404" s="74" t="str">
        <f>IF(A404="","",SUMIFS(po_rcv,po_ref,A404,po_status,"&lt;&gt;Annulé"))</f>
        <v/>
      </c>
      <c r="I404" s="74" t="str">
        <f>IF(A404="","",SUMIFS(po_rest,po_ref,A404,po_key,"&gt;0"))</f>
        <v/>
      </c>
      <c r="J404" s="70" t="str">
        <f>IF(A404="","",IF(COUNTIFS(po_ref,A404,po_status,"&lt;&gt;Annulé")=0,"",INDEX(po_price,SUMPRODUCT(MAX((po_ref=A404)*(po_status&lt;&gt;"Annulé")*(ROW(po_ref)-5))))))</f>
        <v/>
      </c>
      <c r="K404" s="67" t="str">
        <f>IF(A404="","",IF(COUNTIF(art_ref,A404)&gt;1,"Référence en double",IF(B404="","Désignation manquante",IF(NOT(ISNUMBER(D404)),"Prix manquant",IF(E404="","TVA manquante",IF(ISNA(MATCH(E404,p_tva,0)),"Taux de TVA inconnu",IF(AND(F404&lt;&gt;"",ISNA(MATCH(F404,sup_code,0))),"Fournisseur inconnu","OK")))))))</f>
        <v/>
      </c>
    </row>
    <row r="405">
      <c r="A405" s="63" t="n"/>
      <c r="B405" s="63" t="n"/>
      <c r="C405" s="65" t="n"/>
      <c r="D405" s="69" t="n"/>
      <c r="E405" s="71" t="n"/>
      <c r="F405" s="65" t="n"/>
      <c r="G405" s="74" t="str">
        <f>IF(A405="","",SUMIFS(po_qty,po_ref,A405,po_status,"&lt;&gt;Annulé"))</f>
        <v/>
      </c>
      <c r="H405" s="74" t="str">
        <f>IF(A405="","",SUMIFS(po_rcv,po_ref,A405,po_status,"&lt;&gt;Annulé"))</f>
        <v/>
      </c>
      <c r="I405" s="74" t="str">
        <f>IF(A405="","",SUMIFS(po_rest,po_ref,A405,po_key,"&gt;0"))</f>
        <v/>
      </c>
      <c r="J405" s="70" t="str">
        <f>IF(A405="","",IF(COUNTIFS(po_ref,A405,po_status,"&lt;&gt;Annulé")=0,"",INDEX(po_price,SUMPRODUCT(MAX((po_ref=A405)*(po_status&lt;&gt;"Annulé")*(ROW(po_ref)-5))))))</f>
        <v/>
      </c>
      <c r="K405" s="67" t="str">
        <f>IF(A405="","",IF(COUNTIF(art_ref,A405)&gt;1,"Référence en double",IF(B405="","Désignation manquante",IF(NOT(ISNUMBER(D405)),"Prix manquant",IF(E405="","TVA manquante",IF(ISNA(MATCH(E405,p_tva,0)),"Taux de TVA inconnu",IF(AND(F405&lt;&gt;"",ISNA(MATCH(F405,sup_code,0))),"Fournisseur inconnu","OK")))))))</f>
        <v/>
      </c>
    </row>
    <row r="406">
      <c r="A406" s="63" t="n"/>
      <c r="B406" s="63" t="n"/>
      <c r="C406" s="65" t="n"/>
      <c r="D406" s="69" t="n"/>
      <c r="E406" s="71" t="n"/>
      <c r="F406" s="65" t="n"/>
      <c r="G406" s="74" t="str">
        <f>IF(A406="","",SUMIFS(po_qty,po_ref,A406,po_status,"&lt;&gt;Annulé"))</f>
        <v/>
      </c>
      <c r="H406" s="74" t="str">
        <f>IF(A406="","",SUMIFS(po_rcv,po_ref,A406,po_status,"&lt;&gt;Annulé"))</f>
        <v/>
      </c>
      <c r="I406" s="74" t="str">
        <f>IF(A406="","",SUMIFS(po_rest,po_ref,A406,po_key,"&gt;0"))</f>
        <v/>
      </c>
      <c r="J406" s="70" t="str">
        <f>IF(A406="","",IF(COUNTIFS(po_ref,A406,po_status,"&lt;&gt;Annulé")=0,"",INDEX(po_price,SUMPRODUCT(MAX((po_ref=A406)*(po_status&lt;&gt;"Annulé")*(ROW(po_ref)-5))))))</f>
        <v/>
      </c>
      <c r="K406" s="67" t="str">
        <f>IF(A406="","",IF(COUNTIF(art_ref,A406)&gt;1,"Référence en double",IF(B406="","Désignation manquante",IF(NOT(ISNUMBER(D406)),"Prix manquant",IF(E406="","TVA manquante",IF(ISNA(MATCH(E406,p_tva,0)),"Taux de TVA inconnu",IF(AND(F406&lt;&gt;"",ISNA(MATCH(F406,sup_code,0))),"Fournisseur inconnu","OK")))))))</f>
        <v/>
      </c>
    </row>
    <row r="407">
      <c r="A407" s="63" t="n"/>
      <c r="B407" s="63" t="n"/>
      <c r="C407" s="65" t="n"/>
      <c r="D407" s="69" t="n"/>
      <c r="E407" s="71" t="n"/>
      <c r="F407" s="65" t="n"/>
      <c r="G407" s="74" t="str">
        <f>IF(A407="","",SUMIFS(po_qty,po_ref,A407,po_status,"&lt;&gt;Annulé"))</f>
        <v/>
      </c>
      <c r="H407" s="74" t="str">
        <f>IF(A407="","",SUMIFS(po_rcv,po_ref,A407,po_status,"&lt;&gt;Annulé"))</f>
        <v/>
      </c>
      <c r="I407" s="74" t="str">
        <f>IF(A407="","",SUMIFS(po_rest,po_ref,A407,po_key,"&gt;0"))</f>
        <v/>
      </c>
      <c r="J407" s="70" t="str">
        <f>IF(A407="","",IF(COUNTIFS(po_ref,A407,po_status,"&lt;&gt;Annulé")=0,"",INDEX(po_price,SUMPRODUCT(MAX((po_ref=A407)*(po_status&lt;&gt;"Annulé")*(ROW(po_ref)-5))))))</f>
        <v/>
      </c>
      <c r="K407" s="67" t="str">
        <f>IF(A407="","",IF(COUNTIF(art_ref,A407)&gt;1,"Référence en double",IF(B407="","Désignation manquante",IF(NOT(ISNUMBER(D407)),"Prix manquant",IF(E407="","TVA manquante",IF(ISNA(MATCH(E407,p_tva,0)),"Taux de TVA inconnu",IF(AND(F407&lt;&gt;"",ISNA(MATCH(F407,sup_code,0))),"Fournisseur inconnu","OK")))))))</f>
        <v/>
      </c>
    </row>
    <row r="408">
      <c r="A408" s="63" t="n"/>
      <c r="B408" s="63" t="n"/>
      <c r="C408" s="65" t="n"/>
      <c r="D408" s="69" t="n"/>
      <c r="E408" s="71" t="n"/>
      <c r="F408" s="65" t="n"/>
      <c r="G408" s="74" t="str">
        <f>IF(A408="","",SUMIFS(po_qty,po_ref,A408,po_status,"&lt;&gt;Annulé"))</f>
        <v/>
      </c>
      <c r="H408" s="74" t="str">
        <f>IF(A408="","",SUMIFS(po_rcv,po_ref,A408,po_status,"&lt;&gt;Annulé"))</f>
        <v/>
      </c>
      <c r="I408" s="74" t="str">
        <f>IF(A408="","",SUMIFS(po_rest,po_ref,A408,po_key,"&gt;0"))</f>
        <v/>
      </c>
      <c r="J408" s="70" t="str">
        <f>IF(A408="","",IF(COUNTIFS(po_ref,A408,po_status,"&lt;&gt;Annulé")=0,"",INDEX(po_price,SUMPRODUCT(MAX((po_ref=A408)*(po_status&lt;&gt;"Annulé")*(ROW(po_ref)-5))))))</f>
        <v/>
      </c>
      <c r="K408" s="67" t="str">
        <f>IF(A408="","",IF(COUNTIF(art_ref,A408)&gt;1,"Référence en double",IF(B408="","Désignation manquante",IF(NOT(ISNUMBER(D408)),"Prix manquant",IF(E408="","TVA manquante",IF(ISNA(MATCH(E408,p_tva,0)),"Taux de TVA inconnu",IF(AND(F408&lt;&gt;"",ISNA(MATCH(F408,sup_code,0))),"Fournisseur inconnu","OK")))))))</f>
        <v/>
      </c>
    </row>
    <row r="409">
      <c r="A409" s="63" t="n"/>
      <c r="B409" s="63" t="n"/>
      <c r="C409" s="65" t="n"/>
      <c r="D409" s="69" t="n"/>
      <c r="E409" s="71" t="n"/>
      <c r="F409" s="65" t="n"/>
      <c r="G409" s="74" t="str">
        <f>IF(A409="","",SUMIFS(po_qty,po_ref,A409,po_status,"&lt;&gt;Annulé"))</f>
        <v/>
      </c>
      <c r="H409" s="74" t="str">
        <f>IF(A409="","",SUMIFS(po_rcv,po_ref,A409,po_status,"&lt;&gt;Annulé"))</f>
        <v/>
      </c>
      <c r="I409" s="74" t="str">
        <f>IF(A409="","",SUMIFS(po_rest,po_ref,A409,po_key,"&gt;0"))</f>
        <v/>
      </c>
      <c r="J409" s="70" t="str">
        <f>IF(A409="","",IF(COUNTIFS(po_ref,A409,po_status,"&lt;&gt;Annulé")=0,"",INDEX(po_price,SUMPRODUCT(MAX((po_ref=A409)*(po_status&lt;&gt;"Annulé")*(ROW(po_ref)-5))))))</f>
        <v/>
      </c>
      <c r="K409" s="67" t="str">
        <f>IF(A409="","",IF(COUNTIF(art_ref,A409)&gt;1,"Référence en double",IF(B409="","Désignation manquante",IF(NOT(ISNUMBER(D409)),"Prix manquant",IF(E409="","TVA manquante",IF(ISNA(MATCH(E409,p_tva,0)),"Taux de TVA inconnu",IF(AND(F409&lt;&gt;"",ISNA(MATCH(F409,sup_code,0))),"Fournisseur inconnu","OK")))))))</f>
        <v/>
      </c>
    </row>
    <row r="410">
      <c r="A410" s="63" t="n"/>
      <c r="B410" s="63" t="n"/>
      <c r="C410" s="65" t="n"/>
      <c r="D410" s="69" t="n"/>
      <c r="E410" s="71" t="n"/>
      <c r="F410" s="65" t="n"/>
      <c r="G410" s="74" t="str">
        <f>IF(A410="","",SUMIFS(po_qty,po_ref,A410,po_status,"&lt;&gt;Annulé"))</f>
        <v/>
      </c>
      <c r="H410" s="74" t="str">
        <f>IF(A410="","",SUMIFS(po_rcv,po_ref,A410,po_status,"&lt;&gt;Annulé"))</f>
        <v/>
      </c>
      <c r="I410" s="74" t="str">
        <f>IF(A410="","",SUMIFS(po_rest,po_ref,A410,po_key,"&gt;0"))</f>
        <v/>
      </c>
      <c r="J410" s="70" t="str">
        <f>IF(A410="","",IF(COUNTIFS(po_ref,A410,po_status,"&lt;&gt;Annulé")=0,"",INDEX(po_price,SUMPRODUCT(MAX((po_ref=A410)*(po_status&lt;&gt;"Annulé")*(ROW(po_ref)-5))))))</f>
        <v/>
      </c>
      <c r="K410" s="67" t="str">
        <f>IF(A410="","",IF(COUNTIF(art_ref,A410)&gt;1,"Référence en double",IF(B410="","Désignation manquante",IF(NOT(ISNUMBER(D410)),"Prix manquant",IF(E410="","TVA manquante",IF(ISNA(MATCH(E410,p_tva,0)),"Taux de TVA inconnu",IF(AND(F410&lt;&gt;"",ISNA(MATCH(F410,sup_code,0))),"Fournisseur inconnu","OK")))))))</f>
        <v/>
      </c>
    </row>
    <row r="411">
      <c r="A411" s="63" t="n"/>
      <c r="B411" s="63" t="n"/>
      <c r="C411" s="65" t="n"/>
      <c r="D411" s="69" t="n"/>
      <c r="E411" s="71" t="n"/>
      <c r="F411" s="65" t="n"/>
      <c r="G411" s="74" t="str">
        <f>IF(A411="","",SUMIFS(po_qty,po_ref,A411,po_status,"&lt;&gt;Annulé"))</f>
        <v/>
      </c>
      <c r="H411" s="74" t="str">
        <f>IF(A411="","",SUMIFS(po_rcv,po_ref,A411,po_status,"&lt;&gt;Annulé"))</f>
        <v/>
      </c>
      <c r="I411" s="74" t="str">
        <f>IF(A411="","",SUMIFS(po_rest,po_ref,A411,po_key,"&gt;0"))</f>
        <v/>
      </c>
      <c r="J411" s="70" t="str">
        <f>IF(A411="","",IF(COUNTIFS(po_ref,A411,po_status,"&lt;&gt;Annulé")=0,"",INDEX(po_price,SUMPRODUCT(MAX((po_ref=A411)*(po_status&lt;&gt;"Annulé")*(ROW(po_ref)-5))))))</f>
        <v/>
      </c>
      <c r="K411" s="67" t="str">
        <f>IF(A411="","",IF(COUNTIF(art_ref,A411)&gt;1,"Référence en double",IF(B411="","Désignation manquante",IF(NOT(ISNUMBER(D411)),"Prix manquant",IF(E411="","TVA manquante",IF(ISNA(MATCH(E411,p_tva,0)),"Taux de TVA inconnu",IF(AND(F411&lt;&gt;"",ISNA(MATCH(F411,sup_code,0))),"Fournisseur inconnu","OK")))))))</f>
        <v/>
      </c>
    </row>
    <row r="412">
      <c r="A412" s="63" t="n"/>
      <c r="B412" s="63" t="n"/>
      <c r="C412" s="65" t="n"/>
      <c r="D412" s="69" t="n"/>
      <c r="E412" s="71" t="n"/>
      <c r="F412" s="65" t="n"/>
      <c r="G412" s="74" t="str">
        <f>IF(A412="","",SUMIFS(po_qty,po_ref,A412,po_status,"&lt;&gt;Annulé"))</f>
        <v/>
      </c>
      <c r="H412" s="74" t="str">
        <f>IF(A412="","",SUMIFS(po_rcv,po_ref,A412,po_status,"&lt;&gt;Annulé"))</f>
        <v/>
      </c>
      <c r="I412" s="74" t="str">
        <f>IF(A412="","",SUMIFS(po_rest,po_ref,A412,po_key,"&gt;0"))</f>
        <v/>
      </c>
      <c r="J412" s="70" t="str">
        <f>IF(A412="","",IF(COUNTIFS(po_ref,A412,po_status,"&lt;&gt;Annulé")=0,"",INDEX(po_price,SUMPRODUCT(MAX((po_ref=A412)*(po_status&lt;&gt;"Annulé")*(ROW(po_ref)-5))))))</f>
        <v/>
      </c>
      <c r="K412" s="67" t="str">
        <f>IF(A412="","",IF(COUNTIF(art_ref,A412)&gt;1,"Référence en double",IF(B412="","Désignation manquante",IF(NOT(ISNUMBER(D412)),"Prix manquant",IF(E412="","TVA manquante",IF(ISNA(MATCH(E412,p_tva,0)),"Taux de TVA inconnu",IF(AND(F412&lt;&gt;"",ISNA(MATCH(F412,sup_code,0))),"Fournisseur inconnu","OK")))))))</f>
        <v/>
      </c>
    </row>
    <row r="413">
      <c r="A413" s="63" t="n"/>
      <c r="B413" s="63" t="n"/>
      <c r="C413" s="65" t="n"/>
      <c r="D413" s="69" t="n"/>
      <c r="E413" s="71" t="n"/>
      <c r="F413" s="65" t="n"/>
      <c r="G413" s="74" t="str">
        <f>IF(A413="","",SUMIFS(po_qty,po_ref,A413,po_status,"&lt;&gt;Annulé"))</f>
        <v/>
      </c>
      <c r="H413" s="74" t="str">
        <f>IF(A413="","",SUMIFS(po_rcv,po_ref,A413,po_status,"&lt;&gt;Annulé"))</f>
        <v/>
      </c>
      <c r="I413" s="74" t="str">
        <f>IF(A413="","",SUMIFS(po_rest,po_ref,A413,po_key,"&gt;0"))</f>
        <v/>
      </c>
      <c r="J413" s="70" t="str">
        <f>IF(A413="","",IF(COUNTIFS(po_ref,A413,po_status,"&lt;&gt;Annulé")=0,"",INDEX(po_price,SUMPRODUCT(MAX((po_ref=A413)*(po_status&lt;&gt;"Annulé")*(ROW(po_ref)-5))))))</f>
        <v/>
      </c>
      <c r="K413" s="67" t="str">
        <f>IF(A413="","",IF(COUNTIF(art_ref,A413)&gt;1,"Référence en double",IF(B413="","Désignation manquante",IF(NOT(ISNUMBER(D413)),"Prix manquant",IF(E413="","TVA manquante",IF(ISNA(MATCH(E413,p_tva,0)),"Taux de TVA inconnu",IF(AND(F413&lt;&gt;"",ISNA(MATCH(F413,sup_code,0))),"Fournisseur inconnu","OK")))))))</f>
        <v/>
      </c>
    </row>
    <row r="414">
      <c r="A414" s="63" t="n"/>
      <c r="B414" s="63" t="n"/>
      <c r="C414" s="65" t="n"/>
      <c r="D414" s="69" t="n"/>
      <c r="E414" s="71" t="n"/>
      <c r="F414" s="65" t="n"/>
      <c r="G414" s="74" t="str">
        <f>IF(A414="","",SUMIFS(po_qty,po_ref,A414,po_status,"&lt;&gt;Annulé"))</f>
        <v/>
      </c>
      <c r="H414" s="74" t="str">
        <f>IF(A414="","",SUMIFS(po_rcv,po_ref,A414,po_status,"&lt;&gt;Annulé"))</f>
        <v/>
      </c>
      <c r="I414" s="74" t="str">
        <f>IF(A414="","",SUMIFS(po_rest,po_ref,A414,po_key,"&gt;0"))</f>
        <v/>
      </c>
      <c r="J414" s="70" t="str">
        <f>IF(A414="","",IF(COUNTIFS(po_ref,A414,po_status,"&lt;&gt;Annulé")=0,"",INDEX(po_price,SUMPRODUCT(MAX((po_ref=A414)*(po_status&lt;&gt;"Annulé")*(ROW(po_ref)-5))))))</f>
        <v/>
      </c>
      <c r="K414" s="67" t="str">
        <f>IF(A414="","",IF(COUNTIF(art_ref,A414)&gt;1,"Référence en double",IF(B414="","Désignation manquante",IF(NOT(ISNUMBER(D414)),"Prix manquant",IF(E414="","TVA manquante",IF(ISNA(MATCH(E414,p_tva,0)),"Taux de TVA inconnu",IF(AND(F414&lt;&gt;"",ISNA(MATCH(F414,sup_code,0))),"Fournisseur inconnu","OK")))))))</f>
        <v/>
      </c>
    </row>
    <row r="415">
      <c r="A415" s="63" t="n"/>
      <c r="B415" s="63" t="n"/>
      <c r="C415" s="65" t="n"/>
      <c r="D415" s="69" t="n"/>
      <c r="E415" s="71" t="n"/>
      <c r="F415" s="65" t="n"/>
      <c r="G415" s="74" t="str">
        <f>IF(A415="","",SUMIFS(po_qty,po_ref,A415,po_status,"&lt;&gt;Annulé"))</f>
        <v/>
      </c>
      <c r="H415" s="74" t="str">
        <f>IF(A415="","",SUMIFS(po_rcv,po_ref,A415,po_status,"&lt;&gt;Annulé"))</f>
        <v/>
      </c>
      <c r="I415" s="74" t="str">
        <f>IF(A415="","",SUMIFS(po_rest,po_ref,A415,po_key,"&gt;0"))</f>
        <v/>
      </c>
      <c r="J415" s="70" t="str">
        <f>IF(A415="","",IF(COUNTIFS(po_ref,A415,po_status,"&lt;&gt;Annulé")=0,"",INDEX(po_price,SUMPRODUCT(MAX((po_ref=A415)*(po_status&lt;&gt;"Annulé")*(ROW(po_ref)-5))))))</f>
        <v/>
      </c>
      <c r="K415" s="67" t="str">
        <f>IF(A415="","",IF(COUNTIF(art_ref,A415)&gt;1,"Référence en double",IF(B415="","Désignation manquante",IF(NOT(ISNUMBER(D415)),"Prix manquant",IF(E415="","TVA manquante",IF(ISNA(MATCH(E415,p_tva,0)),"Taux de TVA inconnu",IF(AND(F415&lt;&gt;"",ISNA(MATCH(F415,sup_code,0))),"Fournisseur inconnu","OK")))))))</f>
        <v/>
      </c>
    </row>
    <row r="416">
      <c r="A416" s="63" t="n"/>
      <c r="B416" s="63" t="n"/>
      <c r="C416" s="65" t="n"/>
      <c r="D416" s="69" t="n"/>
      <c r="E416" s="71" t="n"/>
      <c r="F416" s="65" t="n"/>
      <c r="G416" s="74" t="str">
        <f>IF(A416="","",SUMIFS(po_qty,po_ref,A416,po_status,"&lt;&gt;Annulé"))</f>
        <v/>
      </c>
      <c r="H416" s="74" t="str">
        <f>IF(A416="","",SUMIFS(po_rcv,po_ref,A416,po_status,"&lt;&gt;Annulé"))</f>
        <v/>
      </c>
      <c r="I416" s="74" t="str">
        <f>IF(A416="","",SUMIFS(po_rest,po_ref,A416,po_key,"&gt;0"))</f>
        <v/>
      </c>
      <c r="J416" s="70" t="str">
        <f>IF(A416="","",IF(COUNTIFS(po_ref,A416,po_status,"&lt;&gt;Annulé")=0,"",INDEX(po_price,SUMPRODUCT(MAX((po_ref=A416)*(po_status&lt;&gt;"Annulé")*(ROW(po_ref)-5))))))</f>
        <v/>
      </c>
      <c r="K416" s="67" t="str">
        <f>IF(A416="","",IF(COUNTIF(art_ref,A416)&gt;1,"Référence en double",IF(B416="","Désignation manquante",IF(NOT(ISNUMBER(D416)),"Prix manquant",IF(E416="","TVA manquante",IF(ISNA(MATCH(E416,p_tva,0)),"Taux de TVA inconnu",IF(AND(F416&lt;&gt;"",ISNA(MATCH(F416,sup_code,0))),"Fournisseur inconnu","OK")))))))</f>
        <v/>
      </c>
    </row>
    <row r="417">
      <c r="A417" s="63" t="n"/>
      <c r="B417" s="63" t="n"/>
      <c r="C417" s="65" t="n"/>
      <c r="D417" s="69" t="n"/>
      <c r="E417" s="71" t="n"/>
      <c r="F417" s="65" t="n"/>
      <c r="G417" s="74" t="str">
        <f>IF(A417="","",SUMIFS(po_qty,po_ref,A417,po_status,"&lt;&gt;Annulé"))</f>
        <v/>
      </c>
      <c r="H417" s="74" t="str">
        <f>IF(A417="","",SUMIFS(po_rcv,po_ref,A417,po_status,"&lt;&gt;Annulé"))</f>
        <v/>
      </c>
      <c r="I417" s="74" t="str">
        <f>IF(A417="","",SUMIFS(po_rest,po_ref,A417,po_key,"&gt;0"))</f>
        <v/>
      </c>
      <c r="J417" s="70" t="str">
        <f>IF(A417="","",IF(COUNTIFS(po_ref,A417,po_status,"&lt;&gt;Annulé")=0,"",INDEX(po_price,SUMPRODUCT(MAX((po_ref=A417)*(po_status&lt;&gt;"Annulé")*(ROW(po_ref)-5))))))</f>
        <v/>
      </c>
      <c r="K417" s="67" t="str">
        <f>IF(A417="","",IF(COUNTIF(art_ref,A417)&gt;1,"Référence en double",IF(B417="","Désignation manquante",IF(NOT(ISNUMBER(D417)),"Prix manquant",IF(E417="","TVA manquante",IF(ISNA(MATCH(E417,p_tva,0)),"Taux de TVA inconnu",IF(AND(F417&lt;&gt;"",ISNA(MATCH(F417,sup_code,0))),"Fournisseur inconnu","OK")))))))</f>
        <v/>
      </c>
    </row>
    <row r="418">
      <c r="A418" s="63" t="n"/>
      <c r="B418" s="63" t="n"/>
      <c r="C418" s="65" t="n"/>
      <c r="D418" s="69" t="n"/>
      <c r="E418" s="71" t="n"/>
      <c r="F418" s="65" t="n"/>
      <c r="G418" s="74" t="str">
        <f>IF(A418="","",SUMIFS(po_qty,po_ref,A418,po_status,"&lt;&gt;Annulé"))</f>
        <v/>
      </c>
      <c r="H418" s="74" t="str">
        <f>IF(A418="","",SUMIFS(po_rcv,po_ref,A418,po_status,"&lt;&gt;Annulé"))</f>
        <v/>
      </c>
      <c r="I418" s="74" t="str">
        <f>IF(A418="","",SUMIFS(po_rest,po_ref,A418,po_key,"&gt;0"))</f>
        <v/>
      </c>
      <c r="J418" s="70" t="str">
        <f>IF(A418="","",IF(COUNTIFS(po_ref,A418,po_status,"&lt;&gt;Annulé")=0,"",INDEX(po_price,SUMPRODUCT(MAX((po_ref=A418)*(po_status&lt;&gt;"Annulé")*(ROW(po_ref)-5))))))</f>
        <v/>
      </c>
      <c r="K418" s="67" t="str">
        <f>IF(A418="","",IF(COUNTIF(art_ref,A418)&gt;1,"Référence en double",IF(B418="","Désignation manquante",IF(NOT(ISNUMBER(D418)),"Prix manquant",IF(E418="","TVA manquante",IF(ISNA(MATCH(E418,p_tva,0)),"Taux de TVA inconnu",IF(AND(F418&lt;&gt;"",ISNA(MATCH(F418,sup_code,0))),"Fournisseur inconnu","OK")))))))</f>
        <v/>
      </c>
    </row>
    <row r="419">
      <c r="A419" s="63" t="n"/>
      <c r="B419" s="63" t="n"/>
      <c r="C419" s="65" t="n"/>
      <c r="D419" s="69" t="n"/>
      <c r="E419" s="71" t="n"/>
      <c r="F419" s="65" t="n"/>
      <c r="G419" s="74" t="str">
        <f>IF(A419="","",SUMIFS(po_qty,po_ref,A419,po_status,"&lt;&gt;Annulé"))</f>
        <v/>
      </c>
      <c r="H419" s="74" t="str">
        <f>IF(A419="","",SUMIFS(po_rcv,po_ref,A419,po_status,"&lt;&gt;Annulé"))</f>
        <v/>
      </c>
      <c r="I419" s="74" t="str">
        <f>IF(A419="","",SUMIFS(po_rest,po_ref,A419,po_key,"&gt;0"))</f>
        <v/>
      </c>
      <c r="J419" s="70" t="str">
        <f>IF(A419="","",IF(COUNTIFS(po_ref,A419,po_status,"&lt;&gt;Annulé")=0,"",INDEX(po_price,SUMPRODUCT(MAX((po_ref=A419)*(po_status&lt;&gt;"Annulé")*(ROW(po_ref)-5))))))</f>
        <v/>
      </c>
      <c r="K419" s="67" t="str">
        <f>IF(A419="","",IF(COUNTIF(art_ref,A419)&gt;1,"Référence en double",IF(B419="","Désignation manquante",IF(NOT(ISNUMBER(D419)),"Prix manquant",IF(E419="","TVA manquante",IF(ISNA(MATCH(E419,p_tva,0)),"Taux de TVA inconnu",IF(AND(F419&lt;&gt;"",ISNA(MATCH(F419,sup_code,0))),"Fournisseur inconnu","OK")))))))</f>
        <v/>
      </c>
    </row>
    <row r="420">
      <c r="A420" s="63" t="n"/>
      <c r="B420" s="63" t="n"/>
      <c r="C420" s="65" t="n"/>
      <c r="D420" s="69" t="n"/>
      <c r="E420" s="71" t="n"/>
      <c r="F420" s="65" t="n"/>
      <c r="G420" s="74" t="str">
        <f>IF(A420="","",SUMIFS(po_qty,po_ref,A420,po_status,"&lt;&gt;Annulé"))</f>
        <v/>
      </c>
      <c r="H420" s="74" t="str">
        <f>IF(A420="","",SUMIFS(po_rcv,po_ref,A420,po_status,"&lt;&gt;Annulé"))</f>
        <v/>
      </c>
      <c r="I420" s="74" t="str">
        <f>IF(A420="","",SUMIFS(po_rest,po_ref,A420,po_key,"&gt;0"))</f>
        <v/>
      </c>
      <c r="J420" s="70" t="str">
        <f>IF(A420="","",IF(COUNTIFS(po_ref,A420,po_status,"&lt;&gt;Annulé")=0,"",INDEX(po_price,SUMPRODUCT(MAX((po_ref=A420)*(po_status&lt;&gt;"Annulé")*(ROW(po_ref)-5))))))</f>
        <v/>
      </c>
      <c r="K420" s="67" t="str">
        <f>IF(A420="","",IF(COUNTIF(art_ref,A420)&gt;1,"Référence en double",IF(B420="","Désignation manquante",IF(NOT(ISNUMBER(D420)),"Prix manquant",IF(E420="","TVA manquante",IF(ISNA(MATCH(E420,p_tva,0)),"Taux de TVA inconnu",IF(AND(F420&lt;&gt;"",ISNA(MATCH(F420,sup_code,0))),"Fournisseur inconnu","OK")))))))</f>
        <v/>
      </c>
    </row>
    <row r="421">
      <c r="A421" s="63" t="n"/>
      <c r="B421" s="63" t="n"/>
      <c r="C421" s="65" t="n"/>
      <c r="D421" s="69" t="n"/>
      <c r="E421" s="71" t="n"/>
      <c r="F421" s="65" t="n"/>
      <c r="G421" s="74" t="str">
        <f>IF(A421="","",SUMIFS(po_qty,po_ref,A421,po_status,"&lt;&gt;Annulé"))</f>
        <v/>
      </c>
      <c r="H421" s="74" t="str">
        <f>IF(A421="","",SUMIFS(po_rcv,po_ref,A421,po_status,"&lt;&gt;Annulé"))</f>
        <v/>
      </c>
      <c r="I421" s="74" t="str">
        <f>IF(A421="","",SUMIFS(po_rest,po_ref,A421,po_key,"&gt;0"))</f>
        <v/>
      </c>
      <c r="J421" s="70" t="str">
        <f>IF(A421="","",IF(COUNTIFS(po_ref,A421,po_status,"&lt;&gt;Annulé")=0,"",INDEX(po_price,SUMPRODUCT(MAX((po_ref=A421)*(po_status&lt;&gt;"Annulé")*(ROW(po_ref)-5))))))</f>
        <v/>
      </c>
      <c r="K421" s="67" t="str">
        <f>IF(A421="","",IF(COUNTIF(art_ref,A421)&gt;1,"Référence en double",IF(B421="","Désignation manquante",IF(NOT(ISNUMBER(D421)),"Prix manquant",IF(E421="","TVA manquante",IF(ISNA(MATCH(E421,p_tva,0)),"Taux de TVA inconnu",IF(AND(F421&lt;&gt;"",ISNA(MATCH(F421,sup_code,0))),"Fournisseur inconnu","OK")))))))</f>
        <v/>
      </c>
    </row>
    <row r="422">
      <c r="A422" s="63" t="n"/>
      <c r="B422" s="63" t="n"/>
      <c r="C422" s="65" t="n"/>
      <c r="D422" s="69" t="n"/>
      <c r="E422" s="71" t="n"/>
      <c r="F422" s="65" t="n"/>
      <c r="G422" s="74" t="str">
        <f>IF(A422="","",SUMIFS(po_qty,po_ref,A422,po_status,"&lt;&gt;Annulé"))</f>
        <v/>
      </c>
      <c r="H422" s="74" t="str">
        <f>IF(A422="","",SUMIFS(po_rcv,po_ref,A422,po_status,"&lt;&gt;Annulé"))</f>
        <v/>
      </c>
      <c r="I422" s="74" t="str">
        <f>IF(A422="","",SUMIFS(po_rest,po_ref,A422,po_key,"&gt;0"))</f>
        <v/>
      </c>
      <c r="J422" s="70" t="str">
        <f>IF(A422="","",IF(COUNTIFS(po_ref,A422,po_status,"&lt;&gt;Annulé")=0,"",INDEX(po_price,SUMPRODUCT(MAX((po_ref=A422)*(po_status&lt;&gt;"Annulé")*(ROW(po_ref)-5))))))</f>
        <v/>
      </c>
      <c r="K422" s="67" t="str">
        <f>IF(A422="","",IF(COUNTIF(art_ref,A422)&gt;1,"Référence en double",IF(B422="","Désignation manquante",IF(NOT(ISNUMBER(D422)),"Prix manquant",IF(E422="","TVA manquante",IF(ISNA(MATCH(E422,p_tva,0)),"Taux de TVA inconnu",IF(AND(F422&lt;&gt;"",ISNA(MATCH(F422,sup_code,0))),"Fournisseur inconnu","OK")))))))</f>
        <v/>
      </c>
    </row>
    <row r="423">
      <c r="A423" s="63" t="n"/>
      <c r="B423" s="63" t="n"/>
      <c r="C423" s="65" t="n"/>
      <c r="D423" s="69" t="n"/>
      <c r="E423" s="71" t="n"/>
      <c r="F423" s="65" t="n"/>
      <c r="G423" s="74" t="str">
        <f>IF(A423="","",SUMIFS(po_qty,po_ref,A423,po_status,"&lt;&gt;Annulé"))</f>
        <v/>
      </c>
      <c r="H423" s="74" t="str">
        <f>IF(A423="","",SUMIFS(po_rcv,po_ref,A423,po_status,"&lt;&gt;Annulé"))</f>
        <v/>
      </c>
      <c r="I423" s="74" t="str">
        <f>IF(A423="","",SUMIFS(po_rest,po_ref,A423,po_key,"&gt;0"))</f>
        <v/>
      </c>
      <c r="J423" s="70" t="str">
        <f>IF(A423="","",IF(COUNTIFS(po_ref,A423,po_status,"&lt;&gt;Annulé")=0,"",INDEX(po_price,SUMPRODUCT(MAX((po_ref=A423)*(po_status&lt;&gt;"Annulé")*(ROW(po_ref)-5))))))</f>
        <v/>
      </c>
      <c r="K423" s="67" t="str">
        <f>IF(A423="","",IF(COUNTIF(art_ref,A423)&gt;1,"Référence en double",IF(B423="","Désignation manquante",IF(NOT(ISNUMBER(D423)),"Prix manquant",IF(E423="","TVA manquante",IF(ISNA(MATCH(E423,p_tva,0)),"Taux de TVA inconnu",IF(AND(F423&lt;&gt;"",ISNA(MATCH(F423,sup_code,0))),"Fournisseur inconnu","OK")))))))</f>
        <v/>
      </c>
    </row>
    <row r="424">
      <c r="A424" s="63" t="n"/>
      <c r="B424" s="63" t="n"/>
      <c r="C424" s="65" t="n"/>
      <c r="D424" s="69" t="n"/>
      <c r="E424" s="71" t="n"/>
      <c r="F424" s="65" t="n"/>
      <c r="G424" s="74" t="str">
        <f>IF(A424="","",SUMIFS(po_qty,po_ref,A424,po_status,"&lt;&gt;Annulé"))</f>
        <v/>
      </c>
      <c r="H424" s="74" t="str">
        <f>IF(A424="","",SUMIFS(po_rcv,po_ref,A424,po_status,"&lt;&gt;Annulé"))</f>
        <v/>
      </c>
      <c r="I424" s="74" t="str">
        <f>IF(A424="","",SUMIFS(po_rest,po_ref,A424,po_key,"&gt;0"))</f>
        <v/>
      </c>
      <c r="J424" s="70" t="str">
        <f>IF(A424="","",IF(COUNTIFS(po_ref,A424,po_status,"&lt;&gt;Annulé")=0,"",INDEX(po_price,SUMPRODUCT(MAX((po_ref=A424)*(po_status&lt;&gt;"Annulé")*(ROW(po_ref)-5))))))</f>
        <v/>
      </c>
      <c r="K424" s="67" t="str">
        <f>IF(A424="","",IF(COUNTIF(art_ref,A424)&gt;1,"Référence en double",IF(B424="","Désignation manquante",IF(NOT(ISNUMBER(D424)),"Prix manquant",IF(E424="","TVA manquante",IF(ISNA(MATCH(E424,p_tva,0)),"Taux de TVA inconnu",IF(AND(F424&lt;&gt;"",ISNA(MATCH(F424,sup_code,0))),"Fournisseur inconnu","OK")))))))</f>
        <v/>
      </c>
    </row>
    <row r="425">
      <c r="A425" s="63" t="n"/>
      <c r="B425" s="63" t="n"/>
      <c r="C425" s="65" t="n"/>
      <c r="D425" s="69" t="n"/>
      <c r="E425" s="71" t="n"/>
      <c r="F425" s="65" t="n"/>
      <c r="G425" s="74" t="str">
        <f>IF(A425="","",SUMIFS(po_qty,po_ref,A425,po_status,"&lt;&gt;Annulé"))</f>
        <v/>
      </c>
      <c r="H425" s="74" t="str">
        <f>IF(A425="","",SUMIFS(po_rcv,po_ref,A425,po_status,"&lt;&gt;Annulé"))</f>
        <v/>
      </c>
      <c r="I425" s="74" t="str">
        <f>IF(A425="","",SUMIFS(po_rest,po_ref,A425,po_key,"&gt;0"))</f>
        <v/>
      </c>
      <c r="J425" s="70" t="str">
        <f>IF(A425="","",IF(COUNTIFS(po_ref,A425,po_status,"&lt;&gt;Annulé")=0,"",INDEX(po_price,SUMPRODUCT(MAX((po_ref=A425)*(po_status&lt;&gt;"Annulé")*(ROW(po_ref)-5))))))</f>
        <v/>
      </c>
      <c r="K425" s="67" t="str">
        <f>IF(A425="","",IF(COUNTIF(art_ref,A425)&gt;1,"Référence en double",IF(B425="","Désignation manquante",IF(NOT(ISNUMBER(D425)),"Prix manquant",IF(E425="","TVA manquante",IF(ISNA(MATCH(E425,p_tva,0)),"Taux de TVA inconnu",IF(AND(F425&lt;&gt;"",ISNA(MATCH(F425,sup_code,0))),"Fournisseur inconnu","OK")))))))</f>
        <v/>
      </c>
    </row>
    <row r="426">
      <c r="A426" s="63" t="n"/>
      <c r="B426" s="63" t="n"/>
      <c r="C426" s="65" t="n"/>
      <c r="D426" s="69" t="n"/>
      <c r="E426" s="71" t="n"/>
      <c r="F426" s="65" t="n"/>
      <c r="G426" s="74" t="str">
        <f>IF(A426="","",SUMIFS(po_qty,po_ref,A426,po_status,"&lt;&gt;Annulé"))</f>
        <v/>
      </c>
      <c r="H426" s="74" t="str">
        <f>IF(A426="","",SUMIFS(po_rcv,po_ref,A426,po_status,"&lt;&gt;Annulé"))</f>
        <v/>
      </c>
      <c r="I426" s="74" t="str">
        <f>IF(A426="","",SUMIFS(po_rest,po_ref,A426,po_key,"&gt;0"))</f>
        <v/>
      </c>
      <c r="J426" s="70" t="str">
        <f>IF(A426="","",IF(COUNTIFS(po_ref,A426,po_status,"&lt;&gt;Annulé")=0,"",INDEX(po_price,SUMPRODUCT(MAX((po_ref=A426)*(po_status&lt;&gt;"Annulé")*(ROW(po_ref)-5))))))</f>
        <v/>
      </c>
      <c r="K426" s="67" t="str">
        <f>IF(A426="","",IF(COUNTIF(art_ref,A426)&gt;1,"Référence en double",IF(B426="","Désignation manquante",IF(NOT(ISNUMBER(D426)),"Prix manquant",IF(E426="","TVA manquante",IF(ISNA(MATCH(E426,p_tva,0)),"Taux de TVA inconnu",IF(AND(F426&lt;&gt;"",ISNA(MATCH(F426,sup_code,0))),"Fournisseur inconnu","OK")))))))</f>
        <v/>
      </c>
    </row>
    <row r="427">
      <c r="A427" s="63" t="n"/>
      <c r="B427" s="63" t="n"/>
      <c r="C427" s="65" t="n"/>
      <c r="D427" s="69" t="n"/>
      <c r="E427" s="71" t="n"/>
      <c r="F427" s="65" t="n"/>
      <c r="G427" s="74" t="str">
        <f>IF(A427="","",SUMIFS(po_qty,po_ref,A427,po_status,"&lt;&gt;Annulé"))</f>
        <v/>
      </c>
      <c r="H427" s="74" t="str">
        <f>IF(A427="","",SUMIFS(po_rcv,po_ref,A427,po_status,"&lt;&gt;Annulé"))</f>
        <v/>
      </c>
      <c r="I427" s="74" t="str">
        <f>IF(A427="","",SUMIFS(po_rest,po_ref,A427,po_key,"&gt;0"))</f>
        <v/>
      </c>
      <c r="J427" s="70" t="str">
        <f>IF(A427="","",IF(COUNTIFS(po_ref,A427,po_status,"&lt;&gt;Annulé")=0,"",INDEX(po_price,SUMPRODUCT(MAX((po_ref=A427)*(po_status&lt;&gt;"Annulé")*(ROW(po_ref)-5))))))</f>
        <v/>
      </c>
      <c r="K427" s="67" t="str">
        <f>IF(A427="","",IF(COUNTIF(art_ref,A427)&gt;1,"Référence en double",IF(B427="","Désignation manquante",IF(NOT(ISNUMBER(D427)),"Prix manquant",IF(E427="","TVA manquante",IF(ISNA(MATCH(E427,p_tva,0)),"Taux de TVA inconnu",IF(AND(F427&lt;&gt;"",ISNA(MATCH(F427,sup_code,0))),"Fournisseur inconnu","OK")))))))</f>
        <v/>
      </c>
    </row>
    <row r="428">
      <c r="A428" s="63" t="n"/>
      <c r="B428" s="63" t="n"/>
      <c r="C428" s="65" t="n"/>
      <c r="D428" s="69" t="n"/>
      <c r="E428" s="71" t="n"/>
      <c r="F428" s="65" t="n"/>
      <c r="G428" s="74" t="str">
        <f>IF(A428="","",SUMIFS(po_qty,po_ref,A428,po_status,"&lt;&gt;Annulé"))</f>
        <v/>
      </c>
      <c r="H428" s="74" t="str">
        <f>IF(A428="","",SUMIFS(po_rcv,po_ref,A428,po_status,"&lt;&gt;Annulé"))</f>
        <v/>
      </c>
      <c r="I428" s="74" t="str">
        <f>IF(A428="","",SUMIFS(po_rest,po_ref,A428,po_key,"&gt;0"))</f>
        <v/>
      </c>
      <c r="J428" s="70" t="str">
        <f>IF(A428="","",IF(COUNTIFS(po_ref,A428,po_status,"&lt;&gt;Annulé")=0,"",INDEX(po_price,SUMPRODUCT(MAX((po_ref=A428)*(po_status&lt;&gt;"Annulé")*(ROW(po_ref)-5))))))</f>
        <v/>
      </c>
      <c r="K428" s="67" t="str">
        <f>IF(A428="","",IF(COUNTIF(art_ref,A428)&gt;1,"Référence en double",IF(B428="","Désignation manquante",IF(NOT(ISNUMBER(D428)),"Prix manquant",IF(E428="","TVA manquante",IF(ISNA(MATCH(E428,p_tva,0)),"Taux de TVA inconnu",IF(AND(F428&lt;&gt;"",ISNA(MATCH(F428,sup_code,0))),"Fournisseur inconnu","OK")))))))</f>
        <v/>
      </c>
    </row>
    <row r="429">
      <c r="A429" s="63" t="n"/>
      <c r="B429" s="63" t="n"/>
      <c r="C429" s="65" t="n"/>
      <c r="D429" s="69" t="n"/>
      <c r="E429" s="71" t="n"/>
      <c r="F429" s="65" t="n"/>
      <c r="G429" s="74" t="str">
        <f>IF(A429="","",SUMIFS(po_qty,po_ref,A429,po_status,"&lt;&gt;Annulé"))</f>
        <v/>
      </c>
      <c r="H429" s="74" t="str">
        <f>IF(A429="","",SUMIFS(po_rcv,po_ref,A429,po_status,"&lt;&gt;Annulé"))</f>
        <v/>
      </c>
      <c r="I429" s="74" t="str">
        <f>IF(A429="","",SUMIFS(po_rest,po_ref,A429,po_key,"&gt;0"))</f>
        <v/>
      </c>
      <c r="J429" s="70" t="str">
        <f>IF(A429="","",IF(COUNTIFS(po_ref,A429,po_status,"&lt;&gt;Annulé")=0,"",INDEX(po_price,SUMPRODUCT(MAX((po_ref=A429)*(po_status&lt;&gt;"Annulé")*(ROW(po_ref)-5))))))</f>
        <v/>
      </c>
      <c r="K429" s="67" t="str">
        <f>IF(A429="","",IF(COUNTIF(art_ref,A429)&gt;1,"Référence en double",IF(B429="","Désignation manquante",IF(NOT(ISNUMBER(D429)),"Prix manquant",IF(E429="","TVA manquante",IF(ISNA(MATCH(E429,p_tva,0)),"Taux de TVA inconnu",IF(AND(F429&lt;&gt;"",ISNA(MATCH(F429,sup_code,0))),"Fournisseur inconnu","OK")))))))</f>
        <v/>
      </c>
    </row>
    <row r="430">
      <c r="A430" s="63" t="n"/>
      <c r="B430" s="63" t="n"/>
      <c r="C430" s="65" t="n"/>
      <c r="D430" s="69" t="n"/>
      <c r="E430" s="71" t="n"/>
      <c r="F430" s="65" t="n"/>
      <c r="G430" s="74" t="str">
        <f>IF(A430="","",SUMIFS(po_qty,po_ref,A430,po_status,"&lt;&gt;Annulé"))</f>
        <v/>
      </c>
      <c r="H430" s="74" t="str">
        <f>IF(A430="","",SUMIFS(po_rcv,po_ref,A430,po_status,"&lt;&gt;Annulé"))</f>
        <v/>
      </c>
      <c r="I430" s="74" t="str">
        <f>IF(A430="","",SUMIFS(po_rest,po_ref,A430,po_key,"&gt;0"))</f>
        <v/>
      </c>
      <c r="J430" s="70" t="str">
        <f>IF(A430="","",IF(COUNTIFS(po_ref,A430,po_status,"&lt;&gt;Annulé")=0,"",INDEX(po_price,SUMPRODUCT(MAX((po_ref=A430)*(po_status&lt;&gt;"Annulé")*(ROW(po_ref)-5))))))</f>
        <v/>
      </c>
      <c r="K430" s="67" t="str">
        <f>IF(A430="","",IF(COUNTIF(art_ref,A430)&gt;1,"Référence en double",IF(B430="","Désignation manquante",IF(NOT(ISNUMBER(D430)),"Prix manquant",IF(E430="","TVA manquante",IF(ISNA(MATCH(E430,p_tva,0)),"Taux de TVA inconnu",IF(AND(F430&lt;&gt;"",ISNA(MATCH(F430,sup_code,0))),"Fournisseur inconnu","OK")))))))</f>
        <v/>
      </c>
    </row>
    <row r="431">
      <c r="A431" s="63" t="n"/>
      <c r="B431" s="63" t="n"/>
      <c r="C431" s="65" t="n"/>
      <c r="D431" s="69" t="n"/>
      <c r="E431" s="71" t="n"/>
      <c r="F431" s="65" t="n"/>
      <c r="G431" s="74" t="str">
        <f>IF(A431="","",SUMIFS(po_qty,po_ref,A431,po_status,"&lt;&gt;Annulé"))</f>
        <v/>
      </c>
      <c r="H431" s="74" t="str">
        <f>IF(A431="","",SUMIFS(po_rcv,po_ref,A431,po_status,"&lt;&gt;Annulé"))</f>
        <v/>
      </c>
      <c r="I431" s="74" t="str">
        <f>IF(A431="","",SUMIFS(po_rest,po_ref,A431,po_key,"&gt;0"))</f>
        <v/>
      </c>
      <c r="J431" s="70" t="str">
        <f>IF(A431="","",IF(COUNTIFS(po_ref,A431,po_status,"&lt;&gt;Annulé")=0,"",INDEX(po_price,SUMPRODUCT(MAX((po_ref=A431)*(po_status&lt;&gt;"Annulé")*(ROW(po_ref)-5))))))</f>
        <v/>
      </c>
      <c r="K431" s="67" t="str">
        <f>IF(A431="","",IF(COUNTIF(art_ref,A431)&gt;1,"Référence en double",IF(B431="","Désignation manquante",IF(NOT(ISNUMBER(D431)),"Prix manquant",IF(E431="","TVA manquante",IF(ISNA(MATCH(E431,p_tva,0)),"Taux de TVA inconnu",IF(AND(F431&lt;&gt;"",ISNA(MATCH(F431,sup_code,0))),"Fournisseur inconnu","OK")))))))</f>
        <v/>
      </c>
    </row>
    <row r="432">
      <c r="A432" s="63" t="n"/>
      <c r="B432" s="63" t="n"/>
      <c r="C432" s="65" t="n"/>
      <c r="D432" s="69" t="n"/>
      <c r="E432" s="71" t="n"/>
      <c r="F432" s="65" t="n"/>
      <c r="G432" s="74" t="str">
        <f>IF(A432="","",SUMIFS(po_qty,po_ref,A432,po_status,"&lt;&gt;Annulé"))</f>
        <v/>
      </c>
      <c r="H432" s="74" t="str">
        <f>IF(A432="","",SUMIFS(po_rcv,po_ref,A432,po_status,"&lt;&gt;Annulé"))</f>
        <v/>
      </c>
      <c r="I432" s="74" t="str">
        <f>IF(A432="","",SUMIFS(po_rest,po_ref,A432,po_key,"&gt;0"))</f>
        <v/>
      </c>
      <c r="J432" s="70" t="str">
        <f>IF(A432="","",IF(COUNTIFS(po_ref,A432,po_status,"&lt;&gt;Annulé")=0,"",INDEX(po_price,SUMPRODUCT(MAX((po_ref=A432)*(po_status&lt;&gt;"Annulé")*(ROW(po_ref)-5))))))</f>
        <v/>
      </c>
      <c r="K432" s="67" t="str">
        <f>IF(A432="","",IF(COUNTIF(art_ref,A432)&gt;1,"Référence en double",IF(B432="","Désignation manquante",IF(NOT(ISNUMBER(D432)),"Prix manquant",IF(E432="","TVA manquante",IF(ISNA(MATCH(E432,p_tva,0)),"Taux de TVA inconnu",IF(AND(F432&lt;&gt;"",ISNA(MATCH(F432,sup_code,0))),"Fournisseur inconnu","OK")))))))</f>
        <v/>
      </c>
    </row>
    <row r="433">
      <c r="A433" s="63" t="n"/>
      <c r="B433" s="63" t="n"/>
      <c r="C433" s="65" t="n"/>
      <c r="D433" s="69" t="n"/>
      <c r="E433" s="71" t="n"/>
      <c r="F433" s="65" t="n"/>
      <c r="G433" s="74" t="str">
        <f>IF(A433="","",SUMIFS(po_qty,po_ref,A433,po_status,"&lt;&gt;Annulé"))</f>
        <v/>
      </c>
      <c r="H433" s="74" t="str">
        <f>IF(A433="","",SUMIFS(po_rcv,po_ref,A433,po_status,"&lt;&gt;Annulé"))</f>
        <v/>
      </c>
      <c r="I433" s="74" t="str">
        <f>IF(A433="","",SUMIFS(po_rest,po_ref,A433,po_key,"&gt;0"))</f>
        <v/>
      </c>
      <c r="J433" s="70" t="str">
        <f>IF(A433="","",IF(COUNTIFS(po_ref,A433,po_status,"&lt;&gt;Annulé")=0,"",INDEX(po_price,SUMPRODUCT(MAX((po_ref=A433)*(po_status&lt;&gt;"Annulé")*(ROW(po_ref)-5))))))</f>
        <v/>
      </c>
      <c r="K433" s="67" t="str">
        <f>IF(A433="","",IF(COUNTIF(art_ref,A433)&gt;1,"Référence en double",IF(B433="","Désignation manquante",IF(NOT(ISNUMBER(D433)),"Prix manquant",IF(E433="","TVA manquante",IF(ISNA(MATCH(E433,p_tva,0)),"Taux de TVA inconnu",IF(AND(F433&lt;&gt;"",ISNA(MATCH(F433,sup_code,0))),"Fournisseur inconnu","OK")))))))</f>
        <v/>
      </c>
    </row>
    <row r="434">
      <c r="A434" s="63" t="n"/>
      <c r="B434" s="63" t="n"/>
      <c r="C434" s="65" t="n"/>
      <c r="D434" s="69" t="n"/>
      <c r="E434" s="71" t="n"/>
      <c r="F434" s="65" t="n"/>
      <c r="G434" s="74" t="str">
        <f>IF(A434="","",SUMIFS(po_qty,po_ref,A434,po_status,"&lt;&gt;Annulé"))</f>
        <v/>
      </c>
      <c r="H434" s="74" t="str">
        <f>IF(A434="","",SUMIFS(po_rcv,po_ref,A434,po_status,"&lt;&gt;Annulé"))</f>
        <v/>
      </c>
      <c r="I434" s="74" t="str">
        <f>IF(A434="","",SUMIFS(po_rest,po_ref,A434,po_key,"&gt;0"))</f>
        <v/>
      </c>
      <c r="J434" s="70" t="str">
        <f>IF(A434="","",IF(COUNTIFS(po_ref,A434,po_status,"&lt;&gt;Annulé")=0,"",INDEX(po_price,SUMPRODUCT(MAX((po_ref=A434)*(po_status&lt;&gt;"Annulé")*(ROW(po_ref)-5))))))</f>
        <v/>
      </c>
      <c r="K434" s="67" t="str">
        <f>IF(A434="","",IF(COUNTIF(art_ref,A434)&gt;1,"Référence en double",IF(B434="","Désignation manquante",IF(NOT(ISNUMBER(D434)),"Prix manquant",IF(E434="","TVA manquante",IF(ISNA(MATCH(E434,p_tva,0)),"Taux de TVA inconnu",IF(AND(F434&lt;&gt;"",ISNA(MATCH(F434,sup_code,0))),"Fournisseur inconnu","OK")))))))</f>
        <v/>
      </c>
    </row>
    <row r="435">
      <c r="A435" s="63" t="n"/>
      <c r="B435" s="63" t="n"/>
      <c r="C435" s="65" t="n"/>
      <c r="D435" s="69" t="n"/>
      <c r="E435" s="71" t="n"/>
      <c r="F435" s="65" t="n"/>
      <c r="G435" s="74" t="str">
        <f>IF(A435="","",SUMIFS(po_qty,po_ref,A435,po_status,"&lt;&gt;Annulé"))</f>
        <v/>
      </c>
      <c r="H435" s="74" t="str">
        <f>IF(A435="","",SUMIFS(po_rcv,po_ref,A435,po_status,"&lt;&gt;Annulé"))</f>
        <v/>
      </c>
      <c r="I435" s="74" t="str">
        <f>IF(A435="","",SUMIFS(po_rest,po_ref,A435,po_key,"&gt;0"))</f>
        <v/>
      </c>
      <c r="J435" s="70" t="str">
        <f>IF(A435="","",IF(COUNTIFS(po_ref,A435,po_status,"&lt;&gt;Annulé")=0,"",INDEX(po_price,SUMPRODUCT(MAX((po_ref=A435)*(po_status&lt;&gt;"Annulé")*(ROW(po_ref)-5))))))</f>
        <v/>
      </c>
      <c r="K435" s="67" t="str">
        <f>IF(A435="","",IF(COUNTIF(art_ref,A435)&gt;1,"Référence en double",IF(B435="","Désignation manquante",IF(NOT(ISNUMBER(D435)),"Prix manquant",IF(E435="","TVA manquante",IF(ISNA(MATCH(E435,p_tva,0)),"Taux de TVA inconnu",IF(AND(F435&lt;&gt;"",ISNA(MATCH(F435,sup_code,0))),"Fournisseur inconnu","OK")))))))</f>
        <v/>
      </c>
    </row>
    <row r="436">
      <c r="A436" s="63" t="n"/>
      <c r="B436" s="63" t="n"/>
      <c r="C436" s="65" t="n"/>
      <c r="D436" s="69" t="n"/>
      <c r="E436" s="71" t="n"/>
      <c r="F436" s="65" t="n"/>
      <c r="G436" s="74" t="str">
        <f>IF(A436="","",SUMIFS(po_qty,po_ref,A436,po_status,"&lt;&gt;Annulé"))</f>
        <v/>
      </c>
      <c r="H436" s="74" t="str">
        <f>IF(A436="","",SUMIFS(po_rcv,po_ref,A436,po_status,"&lt;&gt;Annulé"))</f>
        <v/>
      </c>
      <c r="I436" s="74" t="str">
        <f>IF(A436="","",SUMIFS(po_rest,po_ref,A436,po_key,"&gt;0"))</f>
        <v/>
      </c>
      <c r="J436" s="70" t="str">
        <f>IF(A436="","",IF(COUNTIFS(po_ref,A436,po_status,"&lt;&gt;Annulé")=0,"",INDEX(po_price,SUMPRODUCT(MAX((po_ref=A436)*(po_status&lt;&gt;"Annulé")*(ROW(po_ref)-5))))))</f>
        <v/>
      </c>
      <c r="K436" s="67" t="str">
        <f>IF(A436="","",IF(COUNTIF(art_ref,A436)&gt;1,"Référence en double",IF(B436="","Désignation manquante",IF(NOT(ISNUMBER(D436)),"Prix manquant",IF(E436="","TVA manquante",IF(ISNA(MATCH(E436,p_tva,0)),"Taux de TVA inconnu",IF(AND(F436&lt;&gt;"",ISNA(MATCH(F436,sup_code,0))),"Fournisseur inconnu","OK")))))))</f>
        <v/>
      </c>
    </row>
    <row r="437">
      <c r="A437" s="63" t="n"/>
      <c r="B437" s="63" t="n"/>
      <c r="C437" s="65" t="n"/>
      <c r="D437" s="69" t="n"/>
      <c r="E437" s="71" t="n"/>
      <c r="F437" s="65" t="n"/>
      <c r="G437" s="74" t="str">
        <f>IF(A437="","",SUMIFS(po_qty,po_ref,A437,po_status,"&lt;&gt;Annulé"))</f>
        <v/>
      </c>
      <c r="H437" s="74" t="str">
        <f>IF(A437="","",SUMIFS(po_rcv,po_ref,A437,po_status,"&lt;&gt;Annulé"))</f>
        <v/>
      </c>
      <c r="I437" s="74" t="str">
        <f>IF(A437="","",SUMIFS(po_rest,po_ref,A437,po_key,"&gt;0"))</f>
        <v/>
      </c>
      <c r="J437" s="70" t="str">
        <f>IF(A437="","",IF(COUNTIFS(po_ref,A437,po_status,"&lt;&gt;Annulé")=0,"",INDEX(po_price,SUMPRODUCT(MAX((po_ref=A437)*(po_status&lt;&gt;"Annulé")*(ROW(po_ref)-5))))))</f>
        <v/>
      </c>
      <c r="K437" s="67" t="str">
        <f>IF(A437="","",IF(COUNTIF(art_ref,A437)&gt;1,"Référence en double",IF(B437="","Désignation manquante",IF(NOT(ISNUMBER(D437)),"Prix manquant",IF(E437="","TVA manquante",IF(ISNA(MATCH(E437,p_tva,0)),"Taux de TVA inconnu",IF(AND(F437&lt;&gt;"",ISNA(MATCH(F437,sup_code,0))),"Fournisseur inconnu","OK")))))))</f>
        <v/>
      </c>
    </row>
    <row r="438">
      <c r="A438" s="63" t="n"/>
      <c r="B438" s="63" t="n"/>
      <c r="C438" s="65" t="n"/>
      <c r="D438" s="69" t="n"/>
      <c r="E438" s="71" t="n"/>
      <c r="F438" s="65" t="n"/>
      <c r="G438" s="74" t="str">
        <f>IF(A438="","",SUMIFS(po_qty,po_ref,A438,po_status,"&lt;&gt;Annulé"))</f>
        <v/>
      </c>
      <c r="H438" s="74" t="str">
        <f>IF(A438="","",SUMIFS(po_rcv,po_ref,A438,po_status,"&lt;&gt;Annulé"))</f>
        <v/>
      </c>
      <c r="I438" s="74" t="str">
        <f>IF(A438="","",SUMIFS(po_rest,po_ref,A438,po_key,"&gt;0"))</f>
        <v/>
      </c>
      <c r="J438" s="70" t="str">
        <f>IF(A438="","",IF(COUNTIFS(po_ref,A438,po_status,"&lt;&gt;Annulé")=0,"",INDEX(po_price,SUMPRODUCT(MAX((po_ref=A438)*(po_status&lt;&gt;"Annulé")*(ROW(po_ref)-5))))))</f>
        <v/>
      </c>
      <c r="K438" s="67" t="str">
        <f>IF(A438="","",IF(COUNTIF(art_ref,A438)&gt;1,"Référence en double",IF(B438="","Désignation manquante",IF(NOT(ISNUMBER(D438)),"Prix manquant",IF(E438="","TVA manquante",IF(ISNA(MATCH(E438,p_tva,0)),"Taux de TVA inconnu",IF(AND(F438&lt;&gt;"",ISNA(MATCH(F438,sup_code,0))),"Fournisseur inconnu","OK")))))))</f>
        <v/>
      </c>
    </row>
    <row r="439">
      <c r="A439" s="63" t="n"/>
      <c r="B439" s="63" t="n"/>
      <c r="C439" s="65" t="n"/>
      <c r="D439" s="69" t="n"/>
      <c r="E439" s="71" t="n"/>
      <c r="F439" s="65" t="n"/>
      <c r="G439" s="74" t="str">
        <f>IF(A439="","",SUMIFS(po_qty,po_ref,A439,po_status,"&lt;&gt;Annulé"))</f>
        <v/>
      </c>
      <c r="H439" s="74" t="str">
        <f>IF(A439="","",SUMIFS(po_rcv,po_ref,A439,po_status,"&lt;&gt;Annulé"))</f>
        <v/>
      </c>
      <c r="I439" s="74" t="str">
        <f>IF(A439="","",SUMIFS(po_rest,po_ref,A439,po_key,"&gt;0"))</f>
        <v/>
      </c>
      <c r="J439" s="70" t="str">
        <f>IF(A439="","",IF(COUNTIFS(po_ref,A439,po_status,"&lt;&gt;Annulé")=0,"",INDEX(po_price,SUMPRODUCT(MAX((po_ref=A439)*(po_status&lt;&gt;"Annulé")*(ROW(po_ref)-5))))))</f>
        <v/>
      </c>
      <c r="K439" s="67" t="str">
        <f>IF(A439="","",IF(COUNTIF(art_ref,A439)&gt;1,"Référence en double",IF(B439="","Désignation manquante",IF(NOT(ISNUMBER(D439)),"Prix manquant",IF(E439="","TVA manquante",IF(ISNA(MATCH(E439,p_tva,0)),"Taux de TVA inconnu",IF(AND(F439&lt;&gt;"",ISNA(MATCH(F439,sup_code,0))),"Fournisseur inconnu","OK")))))))</f>
        <v/>
      </c>
    </row>
    <row r="440">
      <c r="A440" s="63" t="n"/>
      <c r="B440" s="63" t="n"/>
      <c r="C440" s="65" t="n"/>
      <c r="D440" s="69" t="n"/>
      <c r="E440" s="71" t="n"/>
      <c r="F440" s="65" t="n"/>
      <c r="G440" s="74" t="str">
        <f>IF(A440="","",SUMIFS(po_qty,po_ref,A440,po_status,"&lt;&gt;Annulé"))</f>
        <v/>
      </c>
      <c r="H440" s="74" t="str">
        <f>IF(A440="","",SUMIFS(po_rcv,po_ref,A440,po_status,"&lt;&gt;Annulé"))</f>
        <v/>
      </c>
      <c r="I440" s="74" t="str">
        <f>IF(A440="","",SUMIFS(po_rest,po_ref,A440,po_key,"&gt;0"))</f>
        <v/>
      </c>
      <c r="J440" s="70" t="str">
        <f>IF(A440="","",IF(COUNTIFS(po_ref,A440,po_status,"&lt;&gt;Annulé")=0,"",INDEX(po_price,SUMPRODUCT(MAX((po_ref=A440)*(po_status&lt;&gt;"Annulé")*(ROW(po_ref)-5))))))</f>
        <v/>
      </c>
      <c r="K440" s="67" t="str">
        <f>IF(A440="","",IF(COUNTIF(art_ref,A440)&gt;1,"Référence en double",IF(B440="","Désignation manquante",IF(NOT(ISNUMBER(D440)),"Prix manquant",IF(E440="","TVA manquante",IF(ISNA(MATCH(E440,p_tva,0)),"Taux de TVA inconnu",IF(AND(F440&lt;&gt;"",ISNA(MATCH(F440,sup_code,0))),"Fournisseur inconnu","OK")))))))</f>
        <v/>
      </c>
    </row>
    <row r="441">
      <c r="A441" s="63" t="n"/>
      <c r="B441" s="63" t="n"/>
      <c r="C441" s="65" t="n"/>
      <c r="D441" s="69" t="n"/>
      <c r="E441" s="71" t="n"/>
      <c r="F441" s="65" t="n"/>
      <c r="G441" s="74" t="str">
        <f>IF(A441="","",SUMIFS(po_qty,po_ref,A441,po_status,"&lt;&gt;Annulé"))</f>
        <v/>
      </c>
      <c r="H441" s="74" t="str">
        <f>IF(A441="","",SUMIFS(po_rcv,po_ref,A441,po_status,"&lt;&gt;Annulé"))</f>
        <v/>
      </c>
      <c r="I441" s="74" t="str">
        <f>IF(A441="","",SUMIFS(po_rest,po_ref,A441,po_key,"&gt;0"))</f>
        <v/>
      </c>
      <c r="J441" s="70" t="str">
        <f>IF(A441="","",IF(COUNTIFS(po_ref,A441,po_status,"&lt;&gt;Annulé")=0,"",INDEX(po_price,SUMPRODUCT(MAX((po_ref=A441)*(po_status&lt;&gt;"Annulé")*(ROW(po_ref)-5))))))</f>
        <v/>
      </c>
      <c r="K441" s="67" t="str">
        <f>IF(A441="","",IF(COUNTIF(art_ref,A441)&gt;1,"Référence en double",IF(B441="","Désignation manquante",IF(NOT(ISNUMBER(D441)),"Prix manquant",IF(E441="","TVA manquante",IF(ISNA(MATCH(E441,p_tva,0)),"Taux de TVA inconnu",IF(AND(F441&lt;&gt;"",ISNA(MATCH(F441,sup_code,0))),"Fournisseur inconnu","OK")))))))</f>
        <v/>
      </c>
    </row>
    <row r="442">
      <c r="A442" s="63" t="n"/>
      <c r="B442" s="63" t="n"/>
      <c r="C442" s="65" t="n"/>
      <c r="D442" s="69" t="n"/>
      <c r="E442" s="71" t="n"/>
      <c r="F442" s="65" t="n"/>
      <c r="G442" s="74" t="str">
        <f>IF(A442="","",SUMIFS(po_qty,po_ref,A442,po_status,"&lt;&gt;Annulé"))</f>
        <v/>
      </c>
      <c r="H442" s="74" t="str">
        <f>IF(A442="","",SUMIFS(po_rcv,po_ref,A442,po_status,"&lt;&gt;Annulé"))</f>
        <v/>
      </c>
      <c r="I442" s="74" t="str">
        <f>IF(A442="","",SUMIFS(po_rest,po_ref,A442,po_key,"&gt;0"))</f>
        <v/>
      </c>
      <c r="J442" s="70" t="str">
        <f>IF(A442="","",IF(COUNTIFS(po_ref,A442,po_status,"&lt;&gt;Annulé")=0,"",INDEX(po_price,SUMPRODUCT(MAX((po_ref=A442)*(po_status&lt;&gt;"Annulé")*(ROW(po_ref)-5))))))</f>
        <v/>
      </c>
      <c r="K442" s="67" t="str">
        <f>IF(A442="","",IF(COUNTIF(art_ref,A442)&gt;1,"Référence en double",IF(B442="","Désignation manquante",IF(NOT(ISNUMBER(D442)),"Prix manquant",IF(E442="","TVA manquante",IF(ISNA(MATCH(E442,p_tva,0)),"Taux de TVA inconnu",IF(AND(F442&lt;&gt;"",ISNA(MATCH(F442,sup_code,0))),"Fournisseur inconnu","OK")))))))</f>
        <v/>
      </c>
    </row>
    <row r="443">
      <c r="A443" s="63" t="n"/>
      <c r="B443" s="63" t="n"/>
      <c r="C443" s="65" t="n"/>
      <c r="D443" s="69" t="n"/>
      <c r="E443" s="71" t="n"/>
      <c r="F443" s="65" t="n"/>
      <c r="G443" s="74" t="str">
        <f>IF(A443="","",SUMIFS(po_qty,po_ref,A443,po_status,"&lt;&gt;Annulé"))</f>
        <v/>
      </c>
      <c r="H443" s="74" t="str">
        <f>IF(A443="","",SUMIFS(po_rcv,po_ref,A443,po_status,"&lt;&gt;Annulé"))</f>
        <v/>
      </c>
      <c r="I443" s="74" t="str">
        <f>IF(A443="","",SUMIFS(po_rest,po_ref,A443,po_key,"&gt;0"))</f>
        <v/>
      </c>
      <c r="J443" s="70" t="str">
        <f>IF(A443="","",IF(COUNTIFS(po_ref,A443,po_status,"&lt;&gt;Annulé")=0,"",INDEX(po_price,SUMPRODUCT(MAX((po_ref=A443)*(po_status&lt;&gt;"Annulé")*(ROW(po_ref)-5))))))</f>
        <v/>
      </c>
      <c r="K443" s="67" t="str">
        <f>IF(A443="","",IF(COUNTIF(art_ref,A443)&gt;1,"Référence en double",IF(B443="","Désignation manquante",IF(NOT(ISNUMBER(D443)),"Prix manquant",IF(E443="","TVA manquante",IF(ISNA(MATCH(E443,p_tva,0)),"Taux de TVA inconnu",IF(AND(F443&lt;&gt;"",ISNA(MATCH(F443,sup_code,0))),"Fournisseur inconnu","OK")))))))</f>
        <v/>
      </c>
    </row>
    <row r="444">
      <c r="A444" s="63" t="n"/>
      <c r="B444" s="63" t="n"/>
      <c r="C444" s="65" t="n"/>
      <c r="D444" s="69" t="n"/>
      <c r="E444" s="71" t="n"/>
      <c r="F444" s="65" t="n"/>
      <c r="G444" s="74" t="str">
        <f>IF(A444="","",SUMIFS(po_qty,po_ref,A444,po_status,"&lt;&gt;Annulé"))</f>
        <v/>
      </c>
      <c r="H444" s="74" t="str">
        <f>IF(A444="","",SUMIFS(po_rcv,po_ref,A444,po_status,"&lt;&gt;Annulé"))</f>
        <v/>
      </c>
      <c r="I444" s="74" t="str">
        <f>IF(A444="","",SUMIFS(po_rest,po_ref,A444,po_key,"&gt;0"))</f>
        <v/>
      </c>
      <c r="J444" s="70" t="str">
        <f>IF(A444="","",IF(COUNTIFS(po_ref,A444,po_status,"&lt;&gt;Annulé")=0,"",INDEX(po_price,SUMPRODUCT(MAX((po_ref=A444)*(po_status&lt;&gt;"Annulé")*(ROW(po_ref)-5))))))</f>
        <v/>
      </c>
      <c r="K444" s="67" t="str">
        <f>IF(A444="","",IF(COUNTIF(art_ref,A444)&gt;1,"Référence en double",IF(B444="","Désignation manquante",IF(NOT(ISNUMBER(D444)),"Prix manquant",IF(E444="","TVA manquante",IF(ISNA(MATCH(E444,p_tva,0)),"Taux de TVA inconnu",IF(AND(F444&lt;&gt;"",ISNA(MATCH(F444,sup_code,0))),"Fournisseur inconnu","OK")))))))</f>
        <v/>
      </c>
    </row>
    <row r="445">
      <c r="A445" s="63" t="n"/>
      <c r="B445" s="63" t="n"/>
      <c r="C445" s="65" t="n"/>
      <c r="D445" s="69" t="n"/>
      <c r="E445" s="71" t="n"/>
      <c r="F445" s="65" t="n"/>
      <c r="G445" s="74" t="str">
        <f>IF(A445="","",SUMIFS(po_qty,po_ref,A445,po_status,"&lt;&gt;Annulé"))</f>
        <v/>
      </c>
      <c r="H445" s="74" t="str">
        <f>IF(A445="","",SUMIFS(po_rcv,po_ref,A445,po_status,"&lt;&gt;Annulé"))</f>
        <v/>
      </c>
      <c r="I445" s="74" t="str">
        <f>IF(A445="","",SUMIFS(po_rest,po_ref,A445,po_key,"&gt;0"))</f>
        <v/>
      </c>
      <c r="J445" s="70" t="str">
        <f>IF(A445="","",IF(COUNTIFS(po_ref,A445,po_status,"&lt;&gt;Annulé")=0,"",INDEX(po_price,SUMPRODUCT(MAX((po_ref=A445)*(po_status&lt;&gt;"Annulé")*(ROW(po_ref)-5))))))</f>
        <v/>
      </c>
      <c r="K445" s="67" t="str">
        <f>IF(A445="","",IF(COUNTIF(art_ref,A445)&gt;1,"Référence en double",IF(B445="","Désignation manquante",IF(NOT(ISNUMBER(D445)),"Prix manquant",IF(E445="","TVA manquante",IF(ISNA(MATCH(E445,p_tva,0)),"Taux de TVA inconnu",IF(AND(F445&lt;&gt;"",ISNA(MATCH(F445,sup_code,0))),"Fournisseur inconnu","OK")))))))</f>
        <v/>
      </c>
    </row>
    <row r="446">
      <c r="A446" s="63" t="n"/>
      <c r="B446" s="63" t="n"/>
      <c r="C446" s="65" t="n"/>
      <c r="D446" s="69" t="n"/>
      <c r="E446" s="71" t="n"/>
      <c r="F446" s="65" t="n"/>
      <c r="G446" s="74" t="str">
        <f>IF(A446="","",SUMIFS(po_qty,po_ref,A446,po_status,"&lt;&gt;Annulé"))</f>
        <v/>
      </c>
      <c r="H446" s="74" t="str">
        <f>IF(A446="","",SUMIFS(po_rcv,po_ref,A446,po_status,"&lt;&gt;Annulé"))</f>
        <v/>
      </c>
      <c r="I446" s="74" t="str">
        <f>IF(A446="","",SUMIFS(po_rest,po_ref,A446,po_key,"&gt;0"))</f>
        <v/>
      </c>
      <c r="J446" s="70" t="str">
        <f>IF(A446="","",IF(COUNTIFS(po_ref,A446,po_status,"&lt;&gt;Annulé")=0,"",INDEX(po_price,SUMPRODUCT(MAX((po_ref=A446)*(po_status&lt;&gt;"Annulé")*(ROW(po_ref)-5))))))</f>
        <v/>
      </c>
      <c r="K446" s="67" t="str">
        <f>IF(A446="","",IF(COUNTIF(art_ref,A446)&gt;1,"Référence en double",IF(B446="","Désignation manquante",IF(NOT(ISNUMBER(D446)),"Prix manquant",IF(E446="","TVA manquante",IF(ISNA(MATCH(E446,p_tva,0)),"Taux de TVA inconnu",IF(AND(F446&lt;&gt;"",ISNA(MATCH(F446,sup_code,0))),"Fournisseur inconnu","OK")))))))</f>
        <v/>
      </c>
    </row>
    <row r="447">
      <c r="A447" s="63" t="n"/>
      <c r="B447" s="63" t="n"/>
      <c r="C447" s="65" t="n"/>
      <c r="D447" s="69" t="n"/>
      <c r="E447" s="71" t="n"/>
      <c r="F447" s="65" t="n"/>
      <c r="G447" s="74" t="str">
        <f>IF(A447="","",SUMIFS(po_qty,po_ref,A447,po_status,"&lt;&gt;Annulé"))</f>
        <v/>
      </c>
      <c r="H447" s="74" t="str">
        <f>IF(A447="","",SUMIFS(po_rcv,po_ref,A447,po_status,"&lt;&gt;Annulé"))</f>
        <v/>
      </c>
      <c r="I447" s="74" t="str">
        <f>IF(A447="","",SUMIFS(po_rest,po_ref,A447,po_key,"&gt;0"))</f>
        <v/>
      </c>
      <c r="J447" s="70" t="str">
        <f>IF(A447="","",IF(COUNTIFS(po_ref,A447,po_status,"&lt;&gt;Annulé")=0,"",INDEX(po_price,SUMPRODUCT(MAX((po_ref=A447)*(po_status&lt;&gt;"Annulé")*(ROW(po_ref)-5))))))</f>
        <v/>
      </c>
      <c r="K447" s="67" t="str">
        <f>IF(A447="","",IF(COUNTIF(art_ref,A447)&gt;1,"Référence en double",IF(B447="","Désignation manquante",IF(NOT(ISNUMBER(D447)),"Prix manquant",IF(E447="","TVA manquante",IF(ISNA(MATCH(E447,p_tva,0)),"Taux de TVA inconnu",IF(AND(F447&lt;&gt;"",ISNA(MATCH(F447,sup_code,0))),"Fournisseur inconnu","OK")))))))</f>
        <v/>
      </c>
    </row>
    <row r="448">
      <c r="A448" s="63" t="n"/>
      <c r="B448" s="63" t="n"/>
      <c r="C448" s="65" t="n"/>
      <c r="D448" s="69" t="n"/>
      <c r="E448" s="71" t="n"/>
      <c r="F448" s="65" t="n"/>
      <c r="G448" s="74" t="str">
        <f>IF(A448="","",SUMIFS(po_qty,po_ref,A448,po_status,"&lt;&gt;Annulé"))</f>
        <v/>
      </c>
      <c r="H448" s="74" t="str">
        <f>IF(A448="","",SUMIFS(po_rcv,po_ref,A448,po_status,"&lt;&gt;Annulé"))</f>
        <v/>
      </c>
      <c r="I448" s="74" t="str">
        <f>IF(A448="","",SUMIFS(po_rest,po_ref,A448,po_key,"&gt;0"))</f>
        <v/>
      </c>
      <c r="J448" s="70" t="str">
        <f>IF(A448="","",IF(COUNTIFS(po_ref,A448,po_status,"&lt;&gt;Annulé")=0,"",INDEX(po_price,SUMPRODUCT(MAX((po_ref=A448)*(po_status&lt;&gt;"Annulé")*(ROW(po_ref)-5))))))</f>
        <v/>
      </c>
      <c r="K448" s="67" t="str">
        <f>IF(A448="","",IF(COUNTIF(art_ref,A448)&gt;1,"Référence en double",IF(B448="","Désignation manquante",IF(NOT(ISNUMBER(D448)),"Prix manquant",IF(E448="","TVA manquante",IF(ISNA(MATCH(E448,p_tva,0)),"Taux de TVA inconnu",IF(AND(F448&lt;&gt;"",ISNA(MATCH(F448,sup_code,0))),"Fournisseur inconnu","OK")))))))</f>
        <v/>
      </c>
    </row>
    <row r="449">
      <c r="A449" s="63" t="n"/>
      <c r="B449" s="63" t="n"/>
      <c r="C449" s="65" t="n"/>
      <c r="D449" s="69" t="n"/>
      <c r="E449" s="71" t="n"/>
      <c r="F449" s="65" t="n"/>
      <c r="G449" s="74" t="str">
        <f>IF(A449="","",SUMIFS(po_qty,po_ref,A449,po_status,"&lt;&gt;Annulé"))</f>
        <v/>
      </c>
      <c r="H449" s="74" t="str">
        <f>IF(A449="","",SUMIFS(po_rcv,po_ref,A449,po_status,"&lt;&gt;Annulé"))</f>
        <v/>
      </c>
      <c r="I449" s="74" t="str">
        <f>IF(A449="","",SUMIFS(po_rest,po_ref,A449,po_key,"&gt;0"))</f>
        <v/>
      </c>
      <c r="J449" s="70" t="str">
        <f>IF(A449="","",IF(COUNTIFS(po_ref,A449,po_status,"&lt;&gt;Annulé")=0,"",INDEX(po_price,SUMPRODUCT(MAX((po_ref=A449)*(po_status&lt;&gt;"Annulé")*(ROW(po_ref)-5))))))</f>
        <v/>
      </c>
      <c r="K449" s="67" t="str">
        <f>IF(A449="","",IF(COUNTIF(art_ref,A449)&gt;1,"Référence en double",IF(B449="","Désignation manquante",IF(NOT(ISNUMBER(D449)),"Prix manquant",IF(E449="","TVA manquante",IF(ISNA(MATCH(E449,p_tva,0)),"Taux de TVA inconnu",IF(AND(F449&lt;&gt;"",ISNA(MATCH(F449,sup_code,0))),"Fournisseur inconnu","OK")))))))</f>
        <v/>
      </c>
    </row>
    <row r="450">
      <c r="A450" s="63" t="n"/>
      <c r="B450" s="63" t="n"/>
      <c r="C450" s="65" t="n"/>
      <c r="D450" s="69" t="n"/>
      <c r="E450" s="71" t="n"/>
      <c r="F450" s="65" t="n"/>
      <c r="G450" s="74" t="str">
        <f>IF(A450="","",SUMIFS(po_qty,po_ref,A450,po_status,"&lt;&gt;Annulé"))</f>
        <v/>
      </c>
      <c r="H450" s="74" t="str">
        <f>IF(A450="","",SUMIFS(po_rcv,po_ref,A450,po_status,"&lt;&gt;Annulé"))</f>
        <v/>
      </c>
      <c r="I450" s="74" t="str">
        <f>IF(A450="","",SUMIFS(po_rest,po_ref,A450,po_key,"&gt;0"))</f>
        <v/>
      </c>
      <c r="J450" s="70" t="str">
        <f>IF(A450="","",IF(COUNTIFS(po_ref,A450,po_status,"&lt;&gt;Annulé")=0,"",INDEX(po_price,SUMPRODUCT(MAX((po_ref=A450)*(po_status&lt;&gt;"Annulé")*(ROW(po_ref)-5))))))</f>
        <v/>
      </c>
      <c r="K450" s="67" t="str">
        <f>IF(A450="","",IF(COUNTIF(art_ref,A450)&gt;1,"Référence en double",IF(B450="","Désignation manquante",IF(NOT(ISNUMBER(D450)),"Prix manquant",IF(E450="","TVA manquante",IF(ISNA(MATCH(E450,p_tva,0)),"Taux de TVA inconnu",IF(AND(F450&lt;&gt;"",ISNA(MATCH(F450,sup_code,0))),"Fournisseur inconnu","OK")))))))</f>
        <v/>
      </c>
    </row>
    <row r="451">
      <c r="A451" s="63" t="n"/>
      <c r="B451" s="63" t="n"/>
      <c r="C451" s="65" t="n"/>
      <c r="D451" s="69" t="n"/>
      <c r="E451" s="71" t="n"/>
      <c r="F451" s="65" t="n"/>
      <c r="G451" s="74" t="str">
        <f>IF(A451="","",SUMIFS(po_qty,po_ref,A451,po_status,"&lt;&gt;Annulé"))</f>
        <v/>
      </c>
      <c r="H451" s="74" t="str">
        <f>IF(A451="","",SUMIFS(po_rcv,po_ref,A451,po_status,"&lt;&gt;Annulé"))</f>
        <v/>
      </c>
      <c r="I451" s="74" t="str">
        <f>IF(A451="","",SUMIFS(po_rest,po_ref,A451,po_key,"&gt;0"))</f>
        <v/>
      </c>
      <c r="J451" s="70" t="str">
        <f>IF(A451="","",IF(COUNTIFS(po_ref,A451,po_status,"&lt;&gt;Annulé")=0,"",INDEX(po_price,SUMPRODUCT(MAX((po_ref=A451)*(po_status&lt;&gt;"Annulé")*(ROW(po_ref)-5))))))</f>
        <v/>
      </c>
      <c r="K451" s="67" t="str">
        <f>IF(A451="","",IF(COUNTIF(art_ref,A451)&gt;1,"Référence en double",IF(B451="","Désignation manquante",IF(NOT(ISNUMBER(D451)),"Prix manquant",IF(E451="","TVA manquante",IF(ISNA(MATCH(E451,p_tva,0)),"Taux de TVA inconnu",IF(AND(F451&lt;&gt;"",ISNA(MATCH(F451,sup_code,0))),"Fournisseur inconnu","OK")))))))</f>
        <v/>
      </c>
    </row>
    <row r="452">
      <c r="A452" s="63" t="n"/>
      <c r="B452" s="63" t="n"/>
      <c r="C452" s="65" t="n"/>
      <c r="D452" s="69" t="n"/>
      <c r="E452" s="71" t="n"/>
      <c r="F452" s="65" t="n"/>
      <c r="G452" s="74" t="str">
        <f>IF(A452="","",SUMIFS(po_qty,po_ref,A452,po_status,"&lt;&gt;Annulé"))</f>
        <v/>
      </c>
      <c r="H452" s="74" t="str">
        <f>IF(A452="","",SUMIFS(po_rcv,po_ref,A452,po_status,"&lt;&gt;Annulé"))</f>
        <v/>
      </c>
      <c r="I452" s="74" t="str">
        <f>IF(A452="","",SUMIFS(po_rest,po_ref,A452,po_key,"&gt;0"))</f>
        <v/>
      </c>
      <c r="J452" s="70" t="str">
        <f>IF(A452="","",IF(COUNTIFS(po_ref,A452,po_status,"&lt;&gt;Annulé")=0,"",INDEX(po_price,SUMPRODUCT(MAX((po_ref=A452)*(po_status&lt;&gt;"Annulé")*(ROW(po_ref)-5))))))</f>
        <v/>
      </c>
      <c r="K452" s="67" t="str">
        <f>IF(A452="","",IF(COUNTIF(art_ref,A452)&gt;1,"Référence en double",IF(B452="","Désignation manquante",IF(NOT(ISNUMBER(D452)),"Prix manquant",IF(E452="","TVA manquante",IF(ISNA(MATCH(E452,p_tva,0)),"Taux de TVA inconnu",IF(AND(F452&lt;&gt;"",ISNA(MATCH(F452,sup_code,0))),"Fournisseur inconnu","OK")))))))</f>
        <v/>
      </c>
    </row>
    <row r="453">
      <c r="A453" s="63" t="n"/>
      <c r="B453" s="63" t="n"/>
      <c r="C453" s="65" t="n"/>
      <c r="D453" s="69" t="n"/>
      <c r="E453" s="71" t="n"/>
      <c r="F453" s="65" t="n"/>
      <c r="G453" s="74" t="str">
        <f>IF(A453="","",SUMIFS(po_qty,po_ref,A453,po_status,"&lt;&gt;Annulé"))</f>
        <v/>
      </c>
      <c r="H453" s="74" t="str">
        <f>IF(A453="","",SUMIFS(po_rcv,po_ref,A453,po_status,"&lt;&gt;Annulé"))</f>
        <v/>
      </c>
      <c r="I453" s="74" t="str">
        <f>IF(A453="","",SUMIFS(po_rest,po_ref,A453,po_key,"&gt;0"))</f>
        <v/>
      </c>
      <c r="J453" s="70" t="str">
        <f>IF(A453="","",IF(COUNTIFS(po_ref,A453,po_status,"&lt;&gt;Annulé")=0,"",INDEX(po_price,SUMPRODUCT(MAX((po_ref=A453)*(po_status&lt;&gt;"Annulé")*(ROW(po_ref)-5))))))</f>
        <v/>
      </c>
      <c r="K453" s="67" t="str">
        <f>IF(A453="","",IF(COUNTIF(art_ref,A453)&gt;1,"Référence en double",IF(B453="","Désignation manquante",IF(NOT(ISNUMBER(D453)),"Prix manquant",IF(E453="","TVA manquante",IF(ISNA(MATCH(E453,p_tva,0)),"Taux de TVA inconnu",IF(AND(F453&lt;&gt;"",ISNA(MATCH(F453,sup_code,0))),"Fournisseur inconnu","OK")))))))</f>
        <v/>
      </c>
    </row>
    <row r="454">
      <c r="A454" s="63" t="n"/>
      <c r="B454" s="63" t="n"/>
      <c r="C454" s="65" t="n"/>
      <c r="D454" s="69" t="n"/>
      <c r="E454" s="71" t="n"/>
      <c r="F454" s="65" t="n"/>
      <c r="G454" s="74" t="str">
        <f>IF(A454="","",SUMIFS(po_qty,po_ref,A454,po_status,"&lt;&gt;Annulé"))</f>
        <v/>
      </c>
      <c r="H454" s="74" t="str">
        <f>IF(A454="","",SUMIFS(po_rcv,po_ref,A454,po_status,"&lt;&gt;Annulé"))</f>
        <v/>
      </c>
      <c r="I454" s="74" t="str">
        <f>IF(A454="","",SUMIFS(po_rest,po_ref,A454,po_key,"&gt;0"))</f>
        <v/>
      </c>
      <c r="J454" s="70" t="str">
        <f>IF(A454="","",IF(COUNTIFS(po_ref,A454,po_status,"&lt;&gt;Annulé")=0,"",INDEX(po_price,SUMPRODUCT(MAX((po_ref=A454)*(po_status&lt;&gt;"Annulé")*(ROW(po_ref)-5))))))</f>
        <v/>
      </c>
      <c r="K454" s="67" t="str">
        <f>IF(A454="","",IF(COUNTIF(art_ref,A454)&gt;1,"Référence en double",IF(B454="","Désignation manquante",IF(NOT(ISNUMBER(D454)),"Prix manquant",IF(E454="","TVA manquante",IF(ISNA(MATCH(E454,p_tva,0)),"Taux de TVA inconnu",IF(AND(F454&lt;&gt;"",ISNA(MATCH(F454,sup_code,0))),"Fournisseur inconnu","OK")))))))</f>
        <v/>
      </c>
    </row>
    <row r="455">
      <c r="A455" s="63" t="n"/>
      <c r="B455" s="63" t="n"/>
      <c r="C455" s="65" t="n"/>
      <c r="D455" s="69" t="n"/>
      <c r="E455" s="71" t="n"/>
      <c r="F455" s="65" t="n"/>
      <c r="G455" s="74" t="str">
        <f>IF(A455="","",SUMIFS(po_qty,po_ref,A455,po_status,"&lt;&gt;Annulé"))</f>
        <v/>
      </c>
      <c r="H455" s="74" t="str">
        <f>IF(A455="","",SUMIFS(po_rcv,po_ref,A455,po_status,"&lt;&gt;Annulé"))</f>
        <v/>
      </c>
      <c r="I455" s="74" t="str">
        <f>IF(A455="","",SUMIFS(po_rest,po_ref,A455,po_key,"&gt;0"))</f>
        <v/>
      </c>
      <c r="J455" s="70" t="str">
        <f>IF(A455="","",IF(COUNTIFS(po_ref,A455,po_status,"&lt;&gt;Annulé")=0,"",INDEX(po_price,SUMPRODUCT(MAX((po_ref=A455)*(po_status&lt;&gt;"Annulé")*(ROW(po_ref)-5))))))</f>
        <v/>
      </c>
      <c r="K455" s="67" t="str">
        <f>IF(A455="","",IF(COUNTIF(art_ref,A455)&gt;1,"Référence en double",IF(B455="","Désignation manquante",IF(NOT(ISNUMBER(D455)),"Prix manquant",IF(E455="","TVA manquante",IF(ISNA(MATCH(E455,p_tva,0)),"Taux de TVA inconnu",IF(AND(F455&lt;&gt;"",ISNA(MATCH(F455,sup_code,0))),"Fournisseur inconnu","OK")))))))</f>
        <v/>
      </c>
    </row>
    <row r="456">
      <c r="A456" s="63" t="n"/>
      <c r="B456" s="63" t="n"/>
      <c r="C456" s="65" t="n"/>
      <c r="D456" s="69" t="n"/>
      <c r="E456" s="71" t="n"/>
      <c r="F456" s="65" t="n"/>
      <c r="G456" s="74" t="str">
        <f>IF(A456="","",SUMIFS(po_qty,po_ref,A456,po_status,"&lt;&gt;Annulé"))</f>
        <v/>
      </c>
      <c r="H456" s="74" t="str">
        <f>IF(A456="","",SUMIFS(po_rcv,po_ref,A456,po_status,"&lt;&gt;Annulé"))</f>
        <v/>
      </c>
      <c r="I456" s="74" t="str">
        <f>IF(A456="","",SUMIFS(po_rest,po_ref,A456,po_key,"&gt;0"))</f>
        <v/>
      </c>
      <c r="J456" s="70" t="str">
        <f>IF(A456="","",IF(COUNTIFS(po_ref,A456,po_status,"&lt;&gt;Annulé")=0,"",INDEX(po_price,SUMPRODUCT(MAX((po_ref=A456)*(po_status&lt;&gt;"Annulé")*(ROW(po_ref)-5))))))</f>
        <v/>
      </c>
      <c r="K456" s="67" t="str">
        <f>IF(A456="","",IF(COUNTIF(art_ref,A456)&gt;1,"Référence en double",IF(B456="","Désignation manquante",IF(NOT(ISNUMBER(D456)),"Prix manquant",IF(E456="","TVA manquante",IF(ISNA(MATCH(E456,p_tva,0)),"Taux de TVA inconnu",IF(AND(F456&lt;&gt;"",ISNA(MATCH(F456,sup_code,0))),"Fournisseur inconnu","OK")))))))</f>
        <v/>
      </c>
    </row>
    <row r="457">
      <c r="A457" s="63" t="n"/>
      <c r="B457" s="63" t="n"/>
      <c r="C457" s="65" t="n"/>
      <c r="D457" s="69" t="n"/>
      <c r="E457" s="71" t="n"/>
      <c r="F457" s="65" t="n"/>
      <c r="G457" s="74" t="str">
        <f>IF(A457="","",SUMIFS(po_qty,po_ref,A457,po_status,"&lt;&gt;Annulé"))</f>
        <v/>
      </c>
      <c r="H457" s="74" t="str">
        <f>IF(A457="","",SUMIFS(po_rcv,po_ref,A457,po_status,"&lt;&gt;Annulé"))</f>
        <v/>
      </c>
      <c r="I457" s="74" t="str">
        <f>IF(A457="","",SUMIFS(po_rest,po_ref,A457,po_key,"&gt;0"))</f>
        <v/>
      </c>
      <c r="J457" s="70" t="str">
        <f>IF(A457="","",IF(COUNTIFS(po_ref,A457,po_status,"&lt;&gt;Annulé")=0,"",INDEX(po_price,SUMPRODUCT(MAX((po_ref=A457)*(po_status&lt;&gt;"Annulé")*(ROW(po_ref)-5))))))</f>
        <v/>
      </c>
      <c r="K457" s="67" t="str">
        <f>IF(A457="","",IF(COUNTIF(art_ref,A457)&gt;1,"Référence en double",IF(B457="","Désignation manquante",IF(NOT(ISNUMBER(D457)),"Prix manquant",IF(E457="","TVA manquante",IF(ISNA(MATCH(E457,p_tva,0)),"Taux de TVA inconnu",IF(AND(F457&lt;&gt;"",ISNA(MATCH(F457,sup_code,0))),"Fournisseur inconnu","OK")))))))</f>
        <v/>
      </c>
    </row>
    <row r="458">
      <c r="A458" s="63" t="n"/>
      <c r="B458" s="63" t="n"/>
      <c r="C458" s="65" t="n"/>
      <c r="D458" s="69" t="n"/>
      <c r="E458" s="71" t="n"/>
      <c r="F458" s="65" t="n"/>
      <c r="G458" s="74" t="str">
        <f>IF(A458="","",SUMIFS(po_qty,po_ref,A458,po_status,"&lt;&gt;Annulé"))</f>
        <v/>
      </c>
      <c r="H458" s="74" t="str">
        <f>IF(A458="","",SUMIFS(po_rcv,po_ref,A458,po_status,"&lt;&gt;Annulé"))</f>
        <v/>
      </c>
      <c r="I458" s="74" t="str">
        <f>IF(A458="","",SUMIFS(po_rest,po_ref,A458,po_key,"&gt;0"))</f>
        <v/>
      </c>
      <c r="J458" s="70" t="str">
        <f>IF(A458="","",IF(COUNTIFS(po_ref,A458,po_status,"&lt;&gt;Annulé")=0,"",INDEX(po_price,SUMPRODUCT(MAX((po_ref=A458)*(po_status&lt;&gt;"Annulé")*(ROW(po_ref)-5))))))</f>
        <v/>
      </c>
      <c r="K458" s="67" t="str">
        <f>IF(A458="","",IF(COUNTIF(art_ref,A458)&gt;1,"Référence en double",IF(B458="","Désignation manquante",IF(NOT(ISNUMBER(D458)),"Prix manquant",IF(E458="","TVA manquante",IF(ISNA(MATCH(E458,p_tva,0)),"Taux de TVA inconnu",IF(AND(F458&lt;&gt;"",ISNA(MATCH(F458,sup_code,0))),"Fournisseur inconnu","OK")))))))</f>
        <v/>
      </c>
    </row>
    <row r="459">
      <c r="A459" s="63" t="n"/>
      <c r="B459" s="63" t="n"/>
      <c r="C459" s="65" t="n"/>
      <c r="D459" s="69" t="n"/>
      <c r="E459" s="71" t="n"/>
      <c r="F459" s="65" t="n"/>
      <c r="G459" s="74" t="str">
        <f>IF(A459="","",SUMIFS(po_qty,po_ref,A459,po_status,"&lt;&gt;Annulé"))</f>
        <v/>
      </c>
      <c r="H459" s="74" t="str">
        <f>IF(A459="","",SUMIFS(po_rcv,po_ref,A459,po_status,"&lt;&gt;Annulé"))</f>
        <v/>
      </c>
      <c r="I459" s="74" t="str">
        <f>IF(A459="","",SUMIFS(po_rest,po_ref,A459,po_key,"&gt;0"))</f>
        <v/>
      </c>
      <c r="J459" s="70" t="str">
        <f>IF(A459="","",IF(COUNTIFS(po_ref,A459,po_status,"&lt;&gt;Annulé")=0,"",INDEX(po_price,SUMPRODUCT(MAX((po_ref=A459)*(po_status&lt;&gt;"Annulé")*(ROW(po_ref)-5))))))</f>
        <v/>
      </c>
      <c r="K459" s="67" t="str">
        <f>IF(A459="","",IF(COUNTIF(art_ref,A459)&gt;1,"Référence en double",IF(B459="","Désignation manquante",IF(NOT(ISNUMBER(D459)),"Prix manquant",IF(E459="","TVA manquante",IF(ISNA(MATCH(E459,p_tva,0)),"Taux de TVA inconnu",IF(AND(F459&lt;&gt;"",ISNA(MATCH(F459,sup_code,0))),"Fournisseur inconnu","OK")))))))</f>
        <v/>
      </c>
    </row>
    <row r="460">
      <c r="A460" s="63" t="n"/>
      <c r="B460" s="63" t="n"/>
      <c r="C460" s="65" t="n"/>
      <c r="D460" s="69" t="n"/>
      <c r="E460" s="71" t="n"/>
      <c r="F460" s="65" t="n"/>
      <c r="G460" s="74" t="str">
        <f>IF(A460="","",SUMIFS(po_qty,po_ref,A460,po_status,"&lt;&gt;Annulé"))</f>
        <v/>
      </c>
      <c r="H460" s="74" t="str">
        <f>IF(A460="","",SUMIFS(po_rcv,po_ref,A460,po_status,"&lt;&gt;Annulé"))</f>
        <v/>
      </c>
      <c r="I460" s="74" t="str">
        <f>IF(A460="","",SUMIFS(po_rest,po_ref,A460,po_key,"&gt;0"))</f>
        <v/>
      </c>
      <c r="J460" s="70" t="str">
        <f>IF(A460="","",IF(COUNTIFS(po_ref,A460,po_status,"&lt;&gt;Annulé")=0,"",INDEX(po_price,SUMPRODUCT(MAX((po_ref=A460)*(po_status&lt;&gt;"Annulé")*(ROW(po_ref)-5))))))</f>
        <v/>
      </c>
      <c r="K460" s="67" t="str">
        <f>IF(A460="","",IF(COUNTIF(art_ref,A460)&gt;1,"Référence en double",IF(B460="","Désignation manquante",IF(NOT(ISNUMBER(D460)),"Prix manquant",IF(E460="","TVA manquante",IF(ISNA(MATCH(E460,p_tva,0)),"Taux de TVA inconnu",IF(AND(F460&lt;&gt;"",ISNA(MATCH(F460,sup_code,0))),"Fournisseur inconnu","OK")))))))</f>
        <v/>
      </c>
    </row>
    <row r="461">
      <c r="A461" s="63" t="n"/>
      <c r="B461" s="63" t="n"/>
      <c r="C461" s="65" t="n"/>
      <c r="D461" s="69" t="n"/>
      <c r="E461" s="71" t="n"/>
      <c r="F461" s="65" t="n"/>
      <c r="G461" s="74" t="str">
        <f>IF(A461="","",SUMIFS(po_qty,po_ref,A461,po_status,"&lt;&gt;Annulé"))</f>
        <v/>
      </c>
      <c r="H461" s="74" t="str">
        <f>IF(A461="","",SUMIFS(po_rcv,po_ref,A461,po_status,"&lt;&gt;Annulé"))</f>
        <v/>
      </c>
      <c r="I461" s="74" t="str">
        <f>IF(A461="","",SUMIFS(po_rest,po_ref,A461,po_key,"&gt;0"))</f>
        <v/>
      </c>
      <c r="J461" s="70" t="str">
        <f>IF(A461="","",IF(COUNTIFS(po_ref,A461,po_status,"&lt;&gt;Annulé")=0,"",INDEX(po_price,SUMPRODUCT(MAX((po_ref=A461)*(po_status&lt;&gt;"Annulé")*(ROW(po_ref)-5))))))</f>
        <v/>
      </c>
      <c r="K461" s="67" t="str">
        <f>IF(A461="","",IF(COUNTIF(art_ref,A461)&gt;1,"Référence en double",IF(B461="","Désignation manquante",IF(NOT(ISNUMBER(D461)),"Prix manquant",IF(E461="","TVA manquante",IF(ISNA(MATCH(E461,p_tva,0)),"Taux de TVA inconnu",IF(AND(F461&lt;&gt;"",ISNA(MATCH(F461,sup_code,0))),"Fournisseur inconnu","OK")))))))</f>
        <v/>
      </c>
    </row>
    <row r="462">
      <c r="A462" s="63" t="n"/>
      <c r="B462" s="63" t="n"/>
      <c r="C462" s="65" t="n"/>
      <c r="D462" s="69" t="n"/>
      <c r="E462" s="71" t="n"/>
      <c r="F462" s="65" t="n"/>
      <c r="G462" s="74" t="str">
        <f>IF(A462="","",SUMIFS(po_qty,po_ref,A462,po_status,"&lt;&gt;Annulé"))</f>
        <v/>
      </c>
      <c r="H462" s="74" t="str">
        <f>IF(A462="","",SUMIFS(po_rcv,po_ref,A462,po_status,"&lt;&gt;Annulé"))</f>
        <v/>
      </c>
      <c r="I462" s="74" t="str">
        <f>IF(A462="","",SUMIFS(po_rest,po_ref,A462,po_key,"&gt;0"))</f>
        <v/>
      </c>
      <c r="J462" s="70" t="str">
        <f>IF(A462="","",IF(COUNTIFS(po_ref,A462,po_status,"&lt;&gt;Annulé")=0,"",INDEX(po_price,SUMPRODUCT(MAX((po_ref=A462)*(po_status&lt;&gt;"Annulé")*(ROW(po_ref)-5))))))</f>
        <v/>
      </c>
      <c r="K462" s="67" t="str">
        <f>IF(A462="","",IF(COUNTIF(art_ref,A462)&gt;1,"Référence en double",IF(B462="","Désignation manquante",IF(NOT(ISNUMBER(D462)),"Prix manquant",IF(E462="","TVA manquante",IF(ISNA(MATCH(E462,p_tva,0)),"Taux de TVA inconnu",IF(AND(F462&lt;&gt;"",ISNA(MATCH(F462,sup_code,0))),"Fournisseur inconnu","OK")))))))</f>
        <v/>
      </c>
    </row>
    <row r="463">
      <c r="A463" s="63" t="n"/>
      <c r="B463" s="63" t="n"/>
      <c r="C463" s="65" t="n"/>
      <c r="D463" s="69" t="n"/>
      <c r="E463" s="71" t="n"/>
      <c r="F463" s="65" t="n"/>
      <c r="G463" s="74" t="str">
        <f>IF(A463="","",SUMIFS(po_qty,po_ref,A463,po_status,"&lt;&gt;Annulé"))</f>
        <v/>
      </c>
      <c r="H463" s="74" t="str">
        <f>IF(A463="","",SUMIFS(po_rcv,po_ref,A463,po_status,"&lt;&gt;Annulé"))</f>
        <v/>
      </c>
      <c r="I463" s="74" t="str">
        <f>IF(A463="","",SUMIFS(po_rest,po_ref,A463,po_key,"&gt;0"))</f>
        <v/>
      </c>
      <c r="J463" s="70" t="str">
        <f>IF(A463="","",IF(COUNTIFS(po_ref,A463,po_status,"&lt;&gt;Annulé")=0,"",INDEX(po_price,SUMPRODUCT(MAX((po_ref=A463)*(po_status&lt;&gt;"Annulé")*(ROW(po_ref)-5))))))</f>
        <v/>
      </c>
      <c r="K463" s="67" t="str">
        <f>IF(A463="","",IF(COUNTIF(art_ref,A463)&gt;1,"Référence en double",IF(B463="","Désignation manquante",IF(NOT(ISNUMBER(D463)),"Prix manquant",IF(E463="","TVA manquante",IF(ISNA(MATCH(E463,p_tva,0)),"Taux de TVA inconnu",IF(AND(F463&lt;&gt;"",ISNA(MATCH(F463,sup_code,0))),"Fournisseur inconnu","OK")))))))</f>
        <v/>
      </c>
    </row>
    <row r="464">
      <c r="A464" s="63" t="n"/>
      <c r="B464" s="63" t="n"/>
      <c r="C464" s="65" t="n"/>
      <c r="D464" s="69" t="n"/>
      <c r="E464" s="71" t="n"/>
      <c r="F464" s="65" t="n"/>
      <c r="G464" s="74" t="str">
        <f>IF(A464="","",SUMIFS(po_qty,po_ref,A464,po_status,"&lt;&gt;Annulé"))</f>
        <v/>
      </c>
      <c r="H464" s="74" t="str">
        <f>IF(A464="","",SUMIFS(po_rcv,po_ref,A464,po_status,"&lt;&gt;Annulé"))</f>
        <v/>
      </c>
      <c r="I464" s="74" t="str">
        <f>IF(A464="","",SUMIFS(po_rest,po_ref,A464,po_key,"&gt;0"))</f>
        <v/>
      </c>
      <c r="J464" s="70" t="str">
        <f>IF(A464="","",IF(COUNTIFS(po_ref,A464,po_status,"&lt;&gt;Annulé")=0,"",INDEX(po_price,SUMPRODUCT(MAX((po_ref=A464)*(po_status&lt;&gt;"Annulé")*(ROW(po_ref)-5))))))</f>
        <v/>
      </c>
      <c r="K464" s="67" t="str">
        <f>IF(A464="","",IF(COUNTIF(art_ref,A464)&gt;1,"Référence en double",IF(B464="","Désignation manquante",IF(NOT(ISNUMBER(D464)),"Prix manquant",IF(E464="","TVA manquante",IF(ISNA(MATCH(E464,p_tva,0)),"Taux de TVA inconnu",IF(AND(F464&lt;&gt;"",ISNA(MATCH(F464,sup_code,0))),"Fournisseur inconnu","OK")))))))</f>
        <v/>
      </c>
    </row>
    <row r="465">
      <c r="A465" s="63" t="n"/>
      <c r="B465" s="63" t="n"/>
      <c r="C465" s="65" t="n"/>
      <c r="D465" s="69" t="n"/>
      <c r="E465" s="71" t="n"/>
      <c r="F465" s="65" t="n"/>
      <c r="G465" s="74" t="str">
        <f>IF(A465="","",SUMIFS(po_qty,po_ref,A465,po_status,"&lt;&gt;Annulé"))</f>
        <v/>
      </c>
      <c r="H465" s="74" t="str">
        <f>IF(A465="","",SUMIFS(po_rcv,po_ref,A465,po_status,"&lt;&gt;Annulé"))</f>
        <v/>
      </c>
      <c r="I465" s="74" t="str">
        <f>IF(A465="","",SUMIFS(po_rest,po_ref,A465,po_key,"&gt;0"))</f>
        <v/>
      </c>
      <c r="J465" s="70" t="str">
        <f>IF(A465="","",IF(COUNTIFS(po_ref,A465,po_status,"&lt;&gt;Annulé")=0,"",INDEX(po_price,SUMPRODUCT(MAX((po_ref=A465)*(po_status&lt;&gt;"Annulé")*(ROW(po_ref)-5))))))</f>
        <v/>
      </c>
      <c r="K465" s="67" t="str">
        <f>IF(A465="","",IF(COUNTIF(art_ref,A465)&gt;1,"Référence en double",IF(B465="","Désignation manquante",IF(NOT(ISNUMBER(D465)),"Prix manquant",IF(E465="","TVA manquante",IF(ISNA(MATCH(E465,p_tva,0)),"Taux de TVA inconnu",IF(AND(F465&lt;&gt;"",ISNA(MATCH(F465,sup_code,0))),"Fournisseur inconnu","OK")))))))</f>
        <v/>
      </c>
    </row>
    <row r="466">
      <c r="A466" s="63" t="n"/>
      <c r="B466" s="63" t="n"/>
      <c r="C466" s="65" t="n"/>
      <c r="D466" s="69" t="n"/>
      <c r="E466" s="71" t="n"/>
      <c r="F466" s="65" t="n"/>
      <c r="G466" s="74" t="str">
        <f>IF(A466="","",SUMIFS(po_qty,po_ref,A466,po_status,"&lt;&gt;Annulé"))</f>
        <v/>
      </c>
      <c r="H466" s="74" t="str">
        <f>IF(A466="","",SUMIFS(po_rcv,po_ref,A466,po_status,"&lt;&gt;Annulé"))</f>
        <v/>
      </c>
      <c r="I466" s="74" t="str">
        <f>IF(A466="","",SUMIFS(po_rest,po_ref,A466,po_key,"&gt;0"))</f>
        <v/>
      </c>
      <c r="J466" s="70" t="str">
        <f>IF(A466="","",IF(COUNTIFS(po_ref,A466,po_status,"&lt;&gt;Annulé")=0,"",INDEX(po_price,SUMPRODUCT(MAX((po_ref=A466)*(po_status&lt;&gt;"Annulé")*(ROW(po_ref)-5))))))</f>
        <v/>
      </c>
      <c r="K466" s="67" t="str">
        <f>IF(A466="","",IF(COUNTIF(art_ref,A466)&gt;1,"Référence en double",IF(B466="","Désignation manquante",IF(NOT(ISNUMBER(D466)),"Prix manquant",IF(E466="","TVA manquante",IF(ISNA(MATCH(E466,p_tva,0)),"Taux de TVA inconnu",IF(AND(F466&lt;&gt;"",ISNA(MATCH(F466,sup_code,0))),"Fournisseur inconnu","OK")))))))</f>
        <v/>
      </c>
    </row>
    <row r="467">
      <c r="A467" s="63" t="n"/>
      <c r="B467" s="63" t="n"/>
      <c r="C467" s="65" t="n"/>
      <c r="D467" s="69" t="n"/>
      <c r="E467" s="71" t="n"/>
      <c r="F467" s="65" t="n"/>
      <c r="G467" s="74" t="str">
        <f>IF(A467="","",SUMIFS(po_qty,po_ref,A467,po_status,"&lt;&gt;Annulé"))</f>
        <v/>
      </c>
      <c r="H467" s="74" t="str">
        <f>IF(A467="","",SUMIFS(po_rcv,po_ref,A467,po_status,"&lt;&gt;Annulé"))</f>
        <v/>
      </c>
      <c r="I467" s="74" t="str">
        <f>IF(A467="","",SUMIFS(po_rest,po_ref,A467,po_key,"&gt;0"))</f>
        <v/>
      </c>
      <c r="J467" s="70" t="str">
        <f>IF(A467="","",IF(COUNTIFS(po_ref,A467,po_status,"&lt;&gt;Annulé")=0,"",INDEX(po_price,SUMPRODUCT(MAX((po_ref=A467)*(po_status&lt;&gt;"Annulé")*(ROW(po_ref)-5))))))</f>
        <v/>
      </c>
      <c r="K467" s="67" t="str">
        <f>IF(A467="","",IF(COUNTIF(art_ref,A467)&gt;1,"Référence en double",IF(B467="","Désignation manquante",IF(NOT(ISNUMBER(D467)),"Prix manquant",IF(E467="","TVA manquante",IF(ISNA(MATCH(E467,p_tva,0)),"Taux de TVA inconnu",IF(AND(F467&lt;&gt;"",ISNA(MATCH(F467,sup_code,0))),"Fournisseur inconnu","OK")))))))</f>
        <v/>
      </c>
    </row>
    <row r="468">
      <c r="A468" s="63" t="n"/>
      <c r="B468" s="63" t="n"/>
      <c r="C468" s="65" t="n"/>
      <c r="D468" s="69" t="n"/>
      <c r="E468" s="71" t="n"/>
      <c r="F468" s="65" t="n"/>
      <c r="G468" s="74" t="str">
        <f>IF(A468="","",SUMIFS(po_qty,po_ref,A468,po_status,"&lt;&gt;Annulé"))</f>
        <v/>
      </c>
      <c r="H468" s="74" t="str">
        <f>IF(A468="","",SUMIFS(po_rcv,po_ref,A468,po_status,"&lt;&gt;Annulé"))</f>
        <v/>
      </c>
      <c r="I468" s="74" t="str">
        <f>IF(A468="","",SUMIFS(po_rest,po_ref,A468,po_key,"&gt;0"))</f>
        <v/>
      </c>
      <c r="J468" s="70" t="str">
        <f>IF(A468="","",IF(COUNTIFS(po_ref,A468,po_status,"&lt;&gt;Annulé")=0,"",INDEX(po_price,SUMPRODUCT(MAX((po_ref=A468)*(po_status&lt;&gt;"Annulé")*(ROW(po_ref)-5))))))</f>
        <v/>
      </c>
      <c r="K468" s="67" t="str">
        <f>IF(A468="","",IF(COUNTIF(art_ref,A468)&gt;1,"Référence en double",IF(B468="","Désignation manquante",IF(NOT(ISNUMBER(D468)),"Prix manquant",IF(E468="","TVA manquante",IF(ISNA(MATCH(E468,p_tva,0)),"Taux de TVA inconnu",IF(AND(F468&lt;&gt;"",ISNA(MATCH(F468,sup_code,0))),"Fournisseur inconnu","OK")))))))</f>
        <v/>
      </c>
    </row>
    <row r="469">
      <c r="A469" s="63" t="n"/>
      <c r="B469" s="63" t="n"/>
      <c r="C469" s="65" t="n"/>
      <c r="D469" s="69" t="n"/>
      <c r="E469" s="71" t="n"/>
      <c r="F469" s="65" t="n"/>
      <c r="G469" s="74" t="str">
        <f>IF(A469="","",SUMIFS(po_qty,po_ref,A469,po_status,"&lt;&gt;Annulé"))</f>
        <v/>
      </c>
      <c r="H469" s="74" t="str">
        <f>IF(A469="","",SUMIFS(po_rcv,po_ref,A469,po_status,"&lt;&gt;Annulé"))</f>
        <v/>
      </c>
      <c r="I469" s="74" t="str">
        <f>IF(A469="","",SUMIFS(po_rest,po_ref,A469,po_key,"&gt;0"))</f>
        <v/>
      </c>
      <c r="J469" s="70" t="str">
        <f>IF(A469="","",IF(COUNTIFS(po_ref,A469,po_status,"&lt;&gt;Annulé")=0,"",INDEX(po_price,SUMPRODUCT(MAX((po_ref=A469)*(po_status&lt;&gt;"Annulé")*(ROW(po_ref)-5))))))</f>
        <v/>
      </c>
      <c r="K469" s="67" t="str">
        <f>IF(A469="","",IF(COUNTIF(art_ref,A469)&gt;1,"Référence en double",IF(B469="","Désignation manquante",IF(NOT(ISNUMBER(D469)),"Prix manquant",IF(E469="","TVA manquante",IF(ISNA(MATCH(E469,p_tva,0)),"Taux de TVA inconnu",IF(AND(F469&lt;&gt;"",ISNA(MATCH(F469,sup_code,0))),"Fournisseur inconnu","OK")))))))</f>
        <v/>
      </c>
    </row>
    <row r="470">
      <c r="A470" s="63" t="n"/>
      <c r="B470" s="63" t="n"/>
      <c r="C470" s="65" t="n"/>
      <c r="D470" s="69" t="n"/>
      <c r="E470" s="71" t="n"/>
      <c r="F470" s="65" t="n"/>
      <c r="G470" s="74" t="str">
        <f>IF(A470="","",SUMIFS(po_qty,po_ref,A470,po_status,"&lt;&gt;Annulé"))</f>
        <v/>
      </c>
      <c r="H470" s="74" t="str">
        <f>IF(A470="","",SUMIFS(po_rcv,po_ref,A470,po_status,"&lt;&gt;Annulé"))</f>
        <v/>
      </c>
      <c r="I470" s="74" t="str">
        <f>IF(A470="","",SUMIFS(po_rest,po_ref,A470,po_key,"&gt;0"))</f>
        <v/>
      </c>
      <c r="J470" s="70" t="str">
        <f>IF(A470="","",IF(COUNTIFS(po_ref,A470,po_status,"&lt;&gt;Annulé")=0,"",INDEX(po_price,SUMPRODUCT(MAX((po_ref=A470)*(po_status&lt;&gt;"Annulé")*(ROW(po_ref)-5))))))</f>
        <v/>
      </c>
      <c r="K470" s="67" t="str">
        <f>IF(A470="","",IF(COUNTIF(art_ref,A470)&gt;1,"Référence en double",IF(B470="","Désignation manquante",IF(NOT(ISNUMBER(D470)),"Prix manquant",IF(E470="","TVA manquante",IF(ISNA(MATCH(E470,p_tva,0)),"Taux de TVA inconnu",IF(AND(F470&lt;&gt;"",ISNA(MATCH(F470,sup_code,0))),"Fournisseur inconnu","OK")))))))</f>
        <v/>
      </c>
    </row>
    <row r="471">
      <c r="A471" s="63" t="n"/>
      <c r="B471" s="63" t="n"/>
      <c r="C471" s="65" t="n"/>
      <c r="D471" s="69" t="n"/>
      <c r="E471" s="71" t="n"/>
      <c r="F471" s="65" t="n"/>
      <c r="G471" s="74" t="str">
        <f>IF(A471="","",SUMIFS(po_qty,po_ref,A471,po_status,"&lt;&gt;Annulé"))</f>
        <v/>
      </c>
      <c r="H471" s="74" t="str">
        <f>IF(A471="","",SUMIFS(po_rcv,po_ref,A471,po_status,"&lt;&gt;Annulé"))</f>
        <v/>
      </c>
      <c r="I471" s="74" t="str">
        <f>IF(A471="","",SUMIFS(po_rest,po_ref,A471,po_key,"&gt;0"))</f>
        <v/>
      </c>
      <c r="J471" s="70" t="str">
        <f>IF(A471="","",IF(COUNTIFS(po_ref,A471,po_status,"&lt;&gt;Annulé")=0,"",INDEX(po_price,SUMPRODUCT(MAX((po_ref=A471)*(po_status&lt;&gt;"Annulé")*(ROW(po_ref)-5))))))</f>
        <v/>
      </c>
      <c r="K471" s="67" t="str">
        <f>IF(A471="","",IF(COUNTIF(art_ref,A471)&gt;1,"Référence en double",IF(B471="","Désignation manquante",IF(NOT(ISNUMBER(D471)),"Prix manquant",IF(E471="","TVA manquante",IF(ISNA(MATCH(E471,p_tva,0)),"Taux de TVA inconnu",IF(AND(F471&lt;&gt;"",ISNA(MATCH(F471,sup_code,0))),"Fournisseur inconnu","OK")))))))</f>
        <v/>
      </c>
    </row>
    <row r="472">
      <c r="A472" s="63" t="n"/>
      <c r="B472" s="63" t="n"/>
      <c r="C472" s="65" t="n"/>
      <c r="D472" s="69" t="n"/>
      <c r="E472" s="71" t="n"/>
      <c r="F472" s="65" t="n"/>
      <c r="G472" s="74" t="str">
        <f>IF(A472="","",SUMIFS(po_qty,po_ref,A472,po_status,"&lt;&gt;Annulé"))</f>
        <v/>
      </c>
      <c r="H472" s="74" t="str">
        <f>IF(A472="","",SUMIFS(po_rcv,po_ref,A472,po_status,"&lt;&gt;Annulé"))</f>
        <v/>
      </c>
      <c r="I472" s="74" t="str">
        <f>IF(A472="","",SUMIFS(po_rest,po_ref,A472,po_key,"&gt;0"))</f>
        <v/>
      </c>
      <c r="J472" s="70" t="str">
        <f>IF(A472="","",IF(COUNTIFS(po_ref,A472,po_status,"&lt;&gt;Annulé")=0,"",INDEX(po_price,SUMPRODUCT(MAX((po_ref=A472)*(po_status&lt;&gt;"Annulé")*(ROW(po_ref)-5))))))</f>
        <v/>
      </c>
      <c r="K472" s="67" t="str">
        <f>IF(A472="","",IF(COUNTIF(art_ref,A472)&gt;1,"Référence en double",IF(B472="","Désignation manquante",IF(NOT(ISNUMBER(D472)),"Prix manquant",IF(E472="","TVA manquante",IF(ISNA(MATCH(E472,p_tva,0)),"Taux de TVA inconnu",IF(AND(F472&lt;&gt;"",ISNA(MATCH(F472,sup_code,0))),"Fournisseur inconnu","OK")))))))</f>
        <v/>
      </c>
    </row>
    <row r="473">
      <c r="A473" s="63" t="n"/>
      <c r="B473" s="63" t="n"/>
      <c r="C473" s="65" t="n"/>
      <c r="D473" s="69" t="n"/>
      <c r="E473" s="71" t="n"/>
      <c r="F473" s="65" t="n"/>
      <c r="G473" s="74" t="str">
        <f>IF(A473="","",SUMIFS(po_qty,po_ref,A473,po_status,"&lt;&gt;Annulé"))</f>
        <v/>
      </c>
      <c r="H473" s="74" t="str">
        <f>IF(A473="","",SUMIFS(po_rcv,po_ref,A473,po_status,"&lt;&gt;Annulé"))</f>
        <v/>
      </c>
      <c r="I473" s="74" t="str">
        <f>IF(A473="","",SUMIFS(po_rest,po_ref,A473,po_key,"&gt;0"))</f>
        <v/>
      </c>
      <c r="J473" s="70" t="str">
        <f>IF(A473="","",IF(COUNTIFS(po_ref,A473,po_status,"&lt;&gt;Annulé")=0,"",INDEX(po_price,SUMPRODUCT(MAX((po_ref=A473)*(po_status&lt;&gt;"Annulé")*(ROW(po_ref)-5))))))</f>
        <v/>
      </c>
      <c r="K473" s="67" t="str">
        <f>IF(A473="","",IF(COUNTIF(art_ref,A473)&gt;1,"Référence en double",IF(B473="","Désignation manquante",IF(NOT(ISNUMBER(D473)),"Prix manquant",IF(E473="","TVA manquante",IF(ISNA(MATCH(E473,p_tva,0)),"Taux de TVA inconnu",IF(AND(F473&lt;&gt;"",ISNA(MATCH(F473,sup_code,0))),"Fournisseur inconnu","OK")))))))</f>
        <v/>
      </c>
    </row>
    <row r="474">
      <c r="A474" s="63" t="n"/>
      <c r="B474" s="63" t="n"/>
      <c r="C474" s="65" t="n"/>
      <c r="D474" s="69" t="n"/>
      <c r="E474" s="71" t="n"/>
      <c r="F474" s="65" t="n"/>
      <c r="G474" s="74" t="str">
        <f>IF(A474="","",SUMIFS(po_qty,po_ref,A474,po_status,"&lt;&gt;Annulé"))</f>
        <v/>
      </c>
      <c r="H474" s="74" t="str">
        <f>IF(A474="","",SUMIFS(po_rcv,po_ref,A474,po_status,"&lt;&gt;Annulé"))</f>
        <v/>
      </c>
      <c r="I474" s="74" t="str">
        <f>IF(A474="","",SUMIFS(po_rest,po_ref,A474,po_key,"&gt;0"))</f>
        <v/>
      </c>
      <c r="J474" s="70" t="str">
        <f>IF(A474="","",IF(COUNTIFS(po_ref,A474,po_status,"&lt;&gt;Annulé")=0,"",INDEX(po_price,SUMPRODUCT(MAX((po_ref=A474)*(po_status&lt;&gt;"Annulé")*(ROW(po_ref)-5))))))</f>
        <v/>
      </c>
      <c r="K474" s="67" t="str">
        <f>IF(A474="","",IF(COUNTIF(art_ref,A474)&gt;1,"Référence en double",IF(B474="","Désignation manquante",IF(NOT(ISNUMBER(D474)),"Prix manquant",IF(E474="","TVA manquante",IF(ISNA(MATCH(E474,p_tva,0)),"Taux de TVA inconnu",IF(AND(F474&lt;&gt;"",ISNA(MATCH(F474,sup_code,0))),"Fournisseur inconnu","OK")))))))</f>
        <v/>
      </c>
    </row>
    <row r="475">
      <c r="A475" s="63" t="n"/>
      <c r="B475" s="63" t="n"/>
      <c r="C475" s="65" t="n"/>
      <c r="D475" s="69" t="n"/>
      <c r="E475" s="71" t="n"/>
      <c r="F475" s="65" t="n"/>
      <c r="G475" s="74" t="str">
        <f>IF(A475="","",SUMIFS(po_qty,po_ref,A475,po_status,"&lt;&gt;Annulé"))</f>
        <v/>
      </c>
      <c r="H475" s="74" t="str">
        <f>IF(A475="","",SUMIFS(po_rcv,po_ref,A475,po_status,"&lt;&gt;Annulé"))</f>
        <v/>
      </c>
      <c r="I475" s="74" t="str">
        <f>IF(A475="","",SUMIFS(po_rest,po_ref,A475,po_key,"&gt;0"))</f>
        <v/>
      </c>
      <c r="J475" s="70" t="str">
        <f>IF(A475="","",IF(COUNTIFS(po_ref,A475,po_status,"&lt;&gt;Annulé")=0,"",INDEX(po_price,SUMPRODUCT(MAX((po_ref=A475)*(po_status&lt;&gt;"Annulé")*(ROW(po_ref)-5))))))</f>
        <v/>
      </c>
      <c r="K475" s="67" t="str">
        <f>IF(A475="","",IF(COUNTIF(art_ref,A475)&gt;1,"Référence en double",IF(B475="","Désignation manquante",IF(NOT(ISNUMBER(D475)),"Prix manquant",IF(E475="","TVA manquante",IF(ISNA(MATCH(E475,p_tva,0)),"Taux de TVA inconnu",IF(AND(F475&lt;&gt;"",ISNA(MATCH(F475,sup_code,0))),"Fournisseur inconnu","OK")))))))</f>
        <v/>
      </c>
    </row>
    <row r="476">
      <c r="A476" s="63" t="n"/>
      <c r="B476" s="63" t="n"/>
      <c r="C476" s="65" t="n"/>
      <c r="D476" s="69" t="n"/>
      <c r="E476" s="71" t="n"/>
      <c r="F476" s="65" t="n"/>
      <c r="G476" s="74" t="str">
        <f>IF(A476="","",SUMIFS(po_qty,po_ref,A476,po_status,"&lt;&gt;Annulé"))</f>
        <v/>
      </c>
      <c r="H476" s="74" t="str">
        <f>IF(A476="","",SUMIFS(po_rcv,po_ref,A476,po_status,"&lt;&gt;Annulé"))</f>
        <v/>
      </c>
      <c r="I476" s="74" t="str">
        <f>IF(A476="","",SUMIFS(po_rest,po_ref,A476,po_key,"&gt;0"))</f>
        <v/>
      </c>
      <c r="J476" s="70" t="str">
        <f>IF(A476="","",IF(COUNTIFS(po_ref,A476,po_status,"&lt;&gt;Annulé")=0,"",INDEX(po_price,SUMPRODUCT(MAX((po_ref=A476)*(po_status&lt;&gt;"Annulé")*(ROW(po_ref)-5))))))</f>
        <v/>
      </c>
      <c r="K476" s="67" t="str">
        <f>IF(A476="","",IF(COUNTIF(art_ref,A476)&gt;1,"Référence en double",IF(B476="","Désignation manquante",IF(NOT(ISNUMBER(D476)),"Prix manquant",IF(E476="","TVA manquante",IF(ISNA(MATCH(E476,p_tva,0)),"Taux de TVA inconnu",IF(AND(F476&lt;&gt;"",ISNA(MATCH(F476,sup_code,0))),"Fournisseur inconnu","OK")))))))</f>
        <v/>
      </c>
    </row>
    <row r="477">
      <c r="A477" s="63" t="n"/>
      <c r="B477" s="63" t="n"/>
      <c r="C477" s="65" t="n"/>
      <c r="D477" s="69" t="n"/>
      <c r="E477" s="71" t="n"/>
      <c r="F477" s="65" t="n"/>
      <c r="G477" s="74" t="str">
        <f>IF(A477="","",SUMIFS(po_qty,po_ref,A477,po_status,"&lt;&gt;Annulé"))</f>
        <v/>
      </c>
      <c r="H477" s="74" t="str">
        <f>IF(A477="","",SUMIFS(po_rcv,po_ref,A477,po_status,"&lt;&gt;Annulé"))</f>
        <v/>
      </c>
      <c r="I477" s="74" t="str">
        <f>IF(A477="","",SUMIFS(po_rest,po_ref,A477,po_key,"&gt;0"))</f>
        <v/>
      </c>
      <c r="J477" s="70" t="str">
        <f>IF(A477="","",IF(COUNTIFS(po_ref,A477,po_status,"&lt;&gt;Annulé")=0,"",INDEX(po_price,SUMPRODUCT(MAX((po_ref=A477)*(po_status&lt;&gt;"Annulé")*(ROW(po_ref)-5))))))</f>
        <v/>
      </c>
      <c r="K477" s="67" t="str">
        <f>IF(A477="","",IF(COUNTIF(art_ref,A477)&gt;1,"Référence en double",IF(B477="","Désignation manquante",IF(NOT(ISNUMBER(D477)),"Prix manquant",IF(E477="","TVA manquante",IF(ISNA(MATCH(E477,p_tva,0)),"Taux de TVA inconnu",IF(AND(F477&lt;&gt;"",ISNA(MATCH(F477,sup_code,0))),"Fournisseur inconnu","OK")))))))</f>
        <v/>
      </c>
    </row>
    <row r="478">
      <c r="A478" s="63" t="n"/>
      <c r="B478" s="63" t="n"/>
      <c r="C478" s="65" t="n"/>
      <c r="D478" s="69" t="n"/>
      <c r="E478" s="71" t="n"/>
      <c r="F478" s="65" t="n"/>
      <c r="G478" s="74" t="str">
        <f>IF(A478="","",SUMIFS(po_qty,po_ref,A478,po_status,"&lt;&gt;Annulé"))</f>
        <v/>
      </c>
      <c r="H478" s="74" t="str">
        <f>IF(A478="","",SUMIFS(po_rcv,po_ref,A478,po_status,"&lt;&gt;Annulé"))</f>
        <v/>
      </c>
      <c r="I478" s="74" t="str">
        <f>IF(A478="","",SUMIFS(po_rest,po_ref,A478,po_key,"&gt;0"))</f>
        <v/>
      </c>
      <c r="J478" s="70" t="str">
        <f>IF(A478="","",IF(COUNTIFS(po_ref,A478,po_status,"&lt;&gt;Annulé")=0,"",INDEX(po_price,SUMPRODUCT(MAX((po_ref=A478)*(po_status&lt;&gt;"Annulé")*(ROW(po_ref)-5))))))</f>
        <v/>
      </c>
      <c r="K478" s="67" t="str">
        <f>IF(A478="","",IF(COUNTIF(art_ref,A478)&gt;1,"Référence en double",IF(B478="","Désignation manquante",IF(NOT(ISNUMBER(D478)),"Prix manquant",IF(E478="","TVA manquante",IF(ISNA(MATCH(E478,p_tva,0)),"Taux de TVA inconnu",IF(AND(F478&lt;&gt;"",ISNA(MATCH(F478,sup_code,0))),"Fournisseur inconnu","OK")))))))</f>
        <v/>
      </c>
    </row>
    <row r="479">
      <c r="A479" s="63" t="n"/>
      <c r="B479" s="63" t="n"/>
      <c r="C479" s="65" t="n"/>
      <c r="D479" s="69" t="n"/>
      <c r="E479" s="71" t="n"/>
      <c r="F479" s="65" t="n"/>
      <c r="G479" s="74" t="str">
        <f>IF(A479="","",SUMIFS(po_qty,po_ref,A479,po_status,"&lt;&gt;Annulé"))</f>
        <v/>
      </c>
      <c r="H479" s="74" t="str">
        <f>IF(A479="","",SUMIFS(po_rcv,po_ref,A479,po_status,"&lt;&gt;Annulé"))</f>
        <v/>
      </c>
      <c r="I479" s="74" t="str">
        <f>IF(A479="","",SUMIFS(po_rest,po_ref,A479,po_key,"&gt;0"))</f>
        <v/>
      </c>
      <c r="J479" s="70" t="str">
        <f>IF(A479="","",IF(COUNTIFS(po_ref,A479,po_status,"&lt;&gt;Annulé")=0,"",INDEX(po_price,SUMPRODUCT(MAX((po_ref=A479)*(po_status&lt;&gt;"Annulé")*(ROW(po_ref)-5))))))</f>
        <v/>
      </c>
      <c r="K479" s="67" t="str">
        <f>IF(A479="","",IF(COUNTIF(art_ref,A479)&gt;1,"Référence en double",IF(B479="","Désignation manquante",IF(NOT(ISNUMBER(D479)),"Prix manquant",IF(E479="","TVA manquante",IF(ISNA(MATCH(E479,p_tva,0)),"Taux de TVA inconnu",IF(AND(F479&lt;&gt;"",ISNA(MATCH(F479,sup_code,0))),"Fournisseur inconnu","OK")))))))</f>
        <v/>
      </c>
    </row>
    <row r="480">
      <c r="A480" s="63" t="n"/>
      <c r="B480" s="63" t="n"/>
      <c r="C480" s="65" t="n"/>
      <c r="D480" s="69" t="n"/>
      <c r="E480" s="71" t="n"/>
      <c r="F480" s="65" t="n"/>
      <c r="G480" s="74" t="str">
        <f>IF(A480="","",SUMIFS(po_qty,po_ref,A480,po_status,"&lt;&gt;Annulé"))</f>
        <v/>
      </c>
      <c r="H480" s="74" t="str">
        <f>IF(A480="","",SUMIFS(po_rcv,po_ref,A480,po_status,"&lt;&gt;Annulé"))</f>
        <v/>
      </c>
      <c r="I480" s="74" t="str">
        <f>IF(A480="","",SUMIFS(po_rest,po_ref,A480,po_key,"&gt;0"))</f>
        <v/>
      </c>
      <c r="J480" s="70" t="str">
        <f>IF(A480="","",IF(COUNTIFS(po_ref,A480,po_status,"&lt;&gt;Annulé")=0,"",INDEX(po_price,SUMPRODUCT(MAX((po_ref=A480)*(po_status&lt;&gt;"Annulé")*(ROW(po_ref)-5))))))</f>
        <v/>
      </c>
      <c r="K480" s="67" t="str">
        <f>IF(A480="","",IF(COUNTIF(art_ref,A480)&gt;1,"Référence en double",IF(B480="","Désignation manquante",IF(NOT(ISNUMBER(D480)),"Prix manquant",IF(E480="","TVA manquante",IF(ISNA(MATCH(E480,p_tva,0)),"Taux de TVA inconnu",IF(AND(F480&lt;&gt;"",ISNA(MATCH(F480,sup_code,0))),"Fournisseur inconnu","OK")))))))</f>
        <v/>
      </c>
    </row>
    <row r="481">
      <c r="A481" s="63" t="n"/>
      <c r="B481" s="63" t="n"/>
      <c r="C481" s="65" t="n"/>
      <c r="D481" s="69" t="n"/>
      <c r="E481" s="71" t="n"/>
      <c r="F481" s="65" t="n"/>
      <c r="G481" s="74" t="str">
        <f>IF(A481="","",SUMIFS(po_qty,po_ref,A481,po_status,"&lt;&gt;Annulé"))</f>
        <v/>
      </c>
      <c r="H481" s="74" t="str">
        <f>IF(A481="","",SUMIFS(po_rcv,po_ref,A481,po_status,"&lt;&gt;Annulé"))</f>
        <v/>
      </c>
      <c r="I481" s="74" t="str">
        <f>IF(A481="","",SUMIFS(po_rest,po_ref,A481,po_key,"&gt;0"))</f>
        <v/>
      </c>
      <c r="J481" s="70" t="str">
        <f>IF(A481="","",IF(COUNTIFS(po_ref,A481,po_status,"&lt;&gt;Annulé")=0,"",INDEX(po_price,SUMPRODUCT(MAX((po_ref=A481)*(po_status&lt;&gt;"Annulé")*(ROW(po_ref)-5))))))</f>
        <v/>
      </c>
      <c r="K481" s="67" t="str">
        <f>IF(A481="","",IF(COUNTIF(art_ref,A481)&gt;1,"Référence en double",IF(B481="","Désignation manquante",IF(NOT(ISNUMBER(D481)),"Prix manquant",IF(E481="","TVA manquante",IF(ISNA(MATCH(E481,p_tva,0)),"Taux de TVA inconnu",IF(AND(F481&lt;&gt;"",ISNA(MATCH(F481,sup_code,0))),"Fournisseur inconnu","OK")))))))</f>
        <v/>
      </c>
    </row>
    <row r="482">
      <c r="A482" s="63" t="n"/>
      <c r="B482" s="63" t="n"/>
      <c r="C482" s="65" t="n"/>
      <c r="D482" s="69" t="n"/>
      <c r="E482" s="71" t="n"/>
      <c r="F482" s="65" t="n"/>
      <c r="G482" s="74" t="str">
        <f>IF(A482="","",SUMIFS(po_qty,po_ref,A482,po_status,"&lt;&gt;Annulé"))</f>
        <v/>
      </c>
      <c r="H482" s="74" t="str">
        <f>IF(A482="","",SUMIFS(po_rcv,po_ref,A482,po_status,"&lt;&gt;Annulé"))</f>
        <v/>
      </c>
      <c r="I482" s="74" t="str">
        <f>IF(A482="","",SUMIFS(po_rest,po_ref,A482,po_key,"&gt;0"))</f>
        <v/>
      </c>
      <c r="J482" s="70" t="str">
        <f>IF(A482="","",IF(COUNTIFS(po_ref,A482,po_status,"&lt;&gt;Annulé")=0,"",INDEX(po_price,SUMPRODUCT(MAX((po_ref=A482)*(po_status&lt;&gt;"Annulé")*(ROW(po_ref)-5))))))</f>
        <v/>
      </c>
      <c r="K482" s="67" t="str">
        <f>IF(A482="","",IF(COUNTIF(art_ref,A482)&gt;1,"Référence en double",IF(B482="","Désignation manquante",IF(NOT(ISNUMBER(D482)),"Prix manquant",IF(E482="","TVA manquante",IF(ISNA(MATCH(E482,p_tva,0)),"Taux de TVA inconnu",IF(AND(F482&lt;&gt;"",ISNA(MATCH(F482,sup_code,0))),"Fournisseur inconnu","OK")))))))</f>
        <v/>
      </c>
    </row>
    <row r="483">
      <c r="A483" s="63" t="n"/>
      <c r="B483" s="63" t="n"/>
      <c r="C483" s="65" t="n"/>
      <c r="D483" s="69" t="n"/>
      <c r="E483" s="71" t="n"/>
      <c r="F483" s="65" t="n"/>
      <c r="G483" s="74" t="str">
        <f>IF(A483="","",SUMIFS(po_qty,po_ref,A483,po_status,"&lt;&gt;Annulé"))</f>
        <v/>
      </c>
      <c r="H483" s="74" t="str">
        <f>IF(A483="","",SUMIFS(po_rcv,po_ref,A483,po_status,"&lt;&gt;Annulé"))</f>
        <v/>
      </c>
      <c r="I483" s="74" t="str">
        <f>IF(A483="","",SUMIFS(po_rest,po_ref,A483,po_key,"&gt;0"))</f>
        <v/>
      </c>
      <c r="J483" s="70" t="str">
        <f>IF(A483="","",IF(COUNTIFS(po_ref,A483,po_status,"&lt;&gt;Annulé")=0,"",INDEX(po_price,SUMPRODUCT(MAX((po_ref=A483)*(po_status&lt;&gt;"Annulé")*(ROW(po_ref)-5))))))</f>
        <v/>
      </c>
      <c r="K483" s="67" t="str">
        <f>IF(A483="","",IF(COUNTIF(art_ref,A483)&gt;1,"Référence en double",IF(B483="","Désignation manquante",IF(NOT(ISNUMBER(D483)),"Prix manquant",IF(E483="","TVA manquante",IF(ISNA(MATCH(E483,p_tva,0)),"Taux de TVA inconnu",IF(AND(F483&lt;&gt;"",ISNA(MATCH(F483,sup_code,0))),"Fournisseur inconnu","OK")))))))</f>
        <v/>
      </c>
    </row>
    <row r="484">
      <c r="A484" s="63" t="n"/>
      <c r="B484" s="63" t="n"/>
      <c r="C484" s="65" t="n"/>
      <c r="D484" s="69" t="n"/>
      <c r="E484" s="71" t="n"/>
      <c r="F484" s="65" t="n"/>
      <c r="G484" s="74" t="str">
        <f>IF(A484="","",SUMIFS(po_qty,po_ref,A484,po_status,"&lt;&gt;Annulé"))</f>
        <v/>
      </c>
      <c r="H484" s="74" t="str">
        <f>IF(A484="","",SUMIFS(po_rcv,po_ref,A484,po_status,"&lt;&gt;Annulé"))</f>
        <v/>
      </c>
      <c r="I484" s="74" t="str">
        <f>IF(A484="","",SUMIFS(po_rest,po_ref,A484,po_key,"&gt;0"))</f>
        <v/>
      </c>
      <c r="J484" s="70" t="str">
        <f>IF(A484="","",IF(COUNTIFS(po_ref,A484,po_status,"&lt;&gt;Annulé")=0,"",INDEX(po_price,SUMPRODUCT(MAX((po_ref=A484)*(po_status&lt;&gt;"Annulé")*(ROW(po_ref)-5))))))</f>
        <v/>
      </c>
      <c r="K484" s="67" t="str">
        <f>IF(A484="","",IF(COUNTIF(art_ref,A484)&gt;1,"Référence en double",IF(B484="","Désignation manquante",IF(NOT(ISNUMBER(D484)),"Prix manquant",IF(E484="","TVA manquante",IF(ISNA(MATCH(E484,p_tva,0)),"Taux de TVA inconnu",IF(AND(F484&lt;&gt;"",ISNA(MATCH(F484,sup_code,0))),"Fournisseur inconnu","OK")))))))</f>
        <v/>
      </c>
    </row>
    <row r="485">
      <c r="A485" s="63" t="n"/>
      <c r="B485" s="63" t="n"/>
      <c r="C485" s="65" t="n"/>
      <c r="D485" s="69" t="n"/>
      <c r="E485" s="71" t="n"/>
      <c r="F485" s="65" t="n"/>
      <c r="G485" s="74" t="str">
        <f>IF(A485="","",SUMIFS(po_qty,po_ref,A485,po_status,"&lt;&gt;Annulé"))</f>
        <v/>
      </c>
      <c r="H485" s="74" t="str">
        <f>IF(A485="","",SUMIFS(po_rcv,po_ref,A485,po_status,"&lt;&gt;Annulé"))</f>
        <v/>
      </c>
      <c r="I485" s="74" t="str">
        <f>IF(A485="","",SUMIFS(po_rest,po_ref,A485,po_key,"&gt;0"))</f>
        <v/>
      </c>
      <c r="J485" s="70" t="str">
        <f>IF(A485="","",IF(COUNTIFS(po_ref,A485,po_status,"&lt;&gt;Annulé")=0,"",INDEX(po_price,SUMPRODUCT(MAX((po_ref=A485)*(po_status&lt;&gt;"Annulé")*(ROW(po_ref)-5))))))</f>
        <v/>
      </c>
      <c r="K485" s="67" t="str">
        <f>IF(A485="","",IF(COUNTIF(art_ref,A485)&gt;1,"Référence en double",IF(B485="","Désignation manquante",IF(NOT(ISNUMBER(D485)),"Prix manquant",IF(E485="","TVA manquante",IF(ISNA(MATCH(E485,p_tva,0)),"Taux de TVA inconnu",IF(AND(F485&lt;&gt;"",ISNA(MATCH(F485,sup_code,0))),"Fournisseur inconnu","OK")))))))</f>
        <v/>
      </c>
    </row>
    <row r="486">
      <c r="A486" s="63" t="n"/>
      <c r="B486" s="63" t="n"/>
      <c r="C486" s="65" t="n"/>
      <c r="D486" s="69" t="n"/>
      <c r="E486" s="71" t="n"/>
      <c r="F486" s="65" t="n"/>
      <c r="G486" s="74" t="str">
        <f>IF(A486="","",SUMIFS(po_qty,po_ref,A486,po_status,"&lt;&gt;Annulé"))</f>
        <v/>
      </c>
      <c r="H486" s="74" t="str">
        <f>IF(A486="","",SUMIFS(po_rcv,po_ref,A486,po_status,"&lt;&gt;Annulé"))</f>
        <v/>
      </c>
      <c r="I486" s="74" t="str">
        <f>IF(A486="","",SUMIFS(po_rest,po_ref,A486,po_key,"&gt;0"))</f>
        <v/>
      </c>
      <c r="J486" s="70" t="str">
        <f>IF(A486="","",IF(COUNTIFS(po_ref,A486,po_status,"&lt;&gt;Annulé")=0,"",INDEX(po_price,SUMPRODUCT(MAX((po_ref=A486)*(po_status&lt;&gt;"Annulé")*(ROW(po_ref)-5))))))</f>
        <v/>
      </c>
      <c r="K486" s="67" t="str">
        <f>IF(A486="","",IF(COUNTIF(art_ref,A486)&gt;1,"Référence en double",IF(B486="","Désignation manquante",IF(NOT(ISNUMBER(D486)),"Prix manquant",IF(E486="","TVA manquante",IF(ISNA(MATCH(E486,p_tva,0)),"Taux de TVA inconnu",IF(AND(F486&lt;&gt;"",ISNA(MATCH(F486,sup_code,0))),"Fournisseur inconnu","OK")))))))</f>
        <v/>
      </c>
    </row>
    <row r="487">
      <c r="A487" s="63" t="n"/>
      <c r="B487" s="63" t="n"/>
      <c r="C487" s="65" t="n"/>
      <c r="D487" s="69" t="n"/>
      <c r="E487" s="71" t="n"/>
      <c r="F487" s="65" t="n"/>
      <c r="G487" s="74" t="str">
        <f>IF(A487="","",SUMIFS(po_qty,po_ref,A487,po_status,"&lt;&gt;Annulé"))</f>
        <v/>
      </c>
      <c r="H487" s="74" t="str">
        <f>IF(A487="","",SUMIFS(po_rcv,po_ref,A487,po_status,"&lt;&gt;Annulé"))</f>
        <v/>
      </c>
      <c r="I487" s="74" t="str">
        <f>IF(A487="","",SUMIFS(po_rest,po_ref,A487,po_key,"&gt;0"))</f>
        <v/>
      </c>
      <c r="J487" s="70" t="str">
        <f>IF(A487="","",IF(COUNTIFS(po_ref,A487,po_status,"&lt;&gt;Annulé")=0,"",INDEX(po_price,SUMPRODUCT(MAX((po_ref=A487)*(po_status&lt;&gt;"Annulé")*(ROW(po_ref)-5))))))</f>
        <v/>
      </c>
      <c r="K487" s="67" t="str">
        <f>IF(A487="","",IF(COUNTIF(art_ref,A487)&gt;1,"Référence en double",IF(B487="","Désignation manquante",IF(NOT(ISNUMBER(D487)),"Prix manquant",IF(E487="","TVA manquante",IF(ISNA(MATCH(E487,p_tva,0)),"Taux de TVA inconnu",IF(AND(F487&lt;&gt;"",ISNA(MATCH(F487,sup_code,0))),"Fournisseur inconnu","OK")))))))</f>
        <v/>
      </c>
    </row>
    <row r="488">
      <c r="A488" s="63" t="n"/>
      <c r="B488" s="63" t="n"/>
      <c r="C488" s="65" t="n"/>
      <c r="D488" s="69" t="n"/>
      <c r="E488" s="71" t="n"/>
      <c r="F488" s="65" t="n"/>
      <c r="G488" s="74" t="str">
        <f>IF(A488="","",SUMIFS(po_qty,po_ref,A488,po_status,"&lt;&gt;Annulé"))</f>
        <v/>
      </c>
      <c r="H488" s="74" t="str">
        <f>IF(A488="","",SUMIFS(po_rcv,po_ref,A488,po_status,"&lt;&gt;Annulé"))</f>
        <v/>
      </c>
      <c r="I488" s="74" t="str">
        <f>IF(A488="","",SUMIFS(po_rest,po_ref,A488,po_key,"&gt;0"))</f>
        <v/>
      </c>
      <c r="J488" s="70" t="str">
        <f>IF(A488="","",IF(COUNTIFS(po_ref,A488,po_status,"&lt;&gt;Annulé")=0,"",INDEX(po_price,SUMPRODUCT(MAX((po_ref=A488)*(po_status&lt;&gt;"Annulé")*(ROW(po_ref)-5))))))</f>
        <v/>
      </c>
      <c r="K488" s="67" t="str">
        <f>IF(A488="","",IF(COUNTIF(art_ref,A488)&gt;1,"Référence en double",IF(B488="","Désignation manquante",IF(NOT(ISNUMBER(D488)),"Prix manquant",IF(E488="","TVA manquante",IF(ISNA(MATCH(E488,p_tva,0)),"Taux de TVA inconnu",IF(AND(F488&lt;&gt;"",ISNA(MATCH(F488,sup_code,0))),"Fournisseur inconnu","OK")))))))</f>
        <v/>
      </c>
    </row>
    <row r="489">
      <c r="A489" s="63" t="n"/>
      <c r="B489" s="63" t="n"/>
      <c r="C489" s="65" t="n"/>
      <c r="D489" s="69" t="n"/>
      <c r="E489" s="71" t="n"/>
      <c r="F489" s="65" t="n"/>
      <c r="G489" s="74" t="str">
        <f>IF(A489="","",SUMIFS(po_qty,po_ref,A489,po_status,"&lt;&gt;Annulé"))</f>
        <v/>
      </c>
      <c r="H489" s="74" t="str">
        <f>IF(A489="","",SUMIFS(po_rcv,po_ref,A489,po_status,"&lt;&gt;Annulé"))</f>
        <v/>
      </c>
      <c r="I489" s="74" t="str">
        <f>IF(A489="","",SUMIFS(po_rest,po_ref,A489,po_key,"&gt;0"))</f>
        <v/>
      </c>
      <c r="J489" s="70" t="str">
        <f>IF(A489="","",IF(COUNTIFS(po_ref,A489,po_status,"&lt;&gt;Annulé")=0,"",INDEX(po_price,SUMPRODUCT(MAX((po_ref=A489)*(po_status&lt;&gt;"Annulé")*(ROW(po_ref)-5))))))</f>
        <v/>
      </c>
      <c r="K489" s="67" t="str">
        <f>IF(A489="","",IF(COUNTIF(art_ref,A489)&gt;1,"Référence en double",IF(B489="","Désignation manquante",IF(NOT(ISNUMBER(D489)),"Prix manquant",IF(E489="","TVA manquante",IF(ISNA(MATCH(E489,p_tva,0)),"Taux de TVA inconnu",IF(AND(F489&lt;&gt;"",ISNA(MATCH(F489,sup_code,0))),"Fournisseur inconnu","OK")))))))</f>
        <v/>
      </c>
    </row>
    <row r="490">
      <c r="A490" s="63" t="n"/>
      <c r="B490" s="63" t="n"/>
      <c r="C490" s="65" t="n"/>
      <c r="D490" s="69" t="n"/>
      <c r="E490" s="71" t="n"/>
      <c r="F490" s="65" t="n"/>
      <c r="G490" s="74" t="str">
        <f>IF(A490="","",SUMIFS(po_qty,po_ref,A490,po_status,"&lt;&gt;Annulé"))</f>
        <v/>
      </c>
      <c r="H490" s="74" t="str">
        <f>IF(A490="","",SUMIFS(po_rcv,po_ref,A490,po_status,"&lt;&gt;Annulé"))</f>
        <v/>
      </c>
      <c r="I490" s="74" t="str">
        <f>IF(A490="","",SUMIFS(po_rest,po_ref,A490,po_key,"&gt;0"))</f>
        <v/>
      </c>
      <c r="J490" s="70" t="str">
        <f>IF(A490="","",IF(COUNTIFS(po_ref,A490,po_status,"&lt;&gt;Annulé")=0,"",INDEX(po_price,SUMPRODUCT(MAX((po_ref=A490)*(po_status&lt;&gt;"Annulé")*(ROW(po_ref)-5))))))</f>
        <v/>
      </c>
      <c r="K490" s="67" t="str">
        <f>IF(A490="","",IF(COUNTIF(art_ref,A490)&gt;1,"Référence en double",IF(B490="","Désignation manquante",IF(NOT(ISNUMBER(D490)),"Prix manquant",IF(E490="","TVA manquante",IF(ISNA(MATCH(E490,p_tva,0)),"Taux de TVA inconnu",IF(AND(F490&lt;&gt;"",ISNA(MATCH(F490,sup_code,0))),"Fournisseur inconnu","OK")))))))</f>
        <v/>
      </c>
    </row>
    <row r="491">
      <c r="A491" s="63" t="n"/>
      <c r="B491" s="63" t="n"/>
      <c r="C491" s="65" t="n"/>
      <c r="D491" s="69" t="n"/>
      <c r="E491" s="71" t="n"/>
      <c r="F491" s="65" t="n"/>
      <c r="G491" s="74" t="str">
        <f>IF(A491="","",SUMIFS(po_qty,po_ref,A491,po_status,"&lt;&gt;Annulé"))</f>
        <v/>
      </c>
      <c r="H491" s="74" t="str">
        <f>IF(A491="","",SUMIFS(po_rcv,po_ref,A491,po_status,"&lt;&gt;Annulé"))</f>
        <v/>
      </c>
      <c r="I491" s="74" t="str">
        <f>IF(A491="","",SUMIFS(po_rest,po_ref,A491,po_key,"&gt;0"))</f>
        <v/>
      </c>
      <c r="J491" s="70" t="str">
        <f>IF(A491="","",IF(COUNTIFS(po_ref,A491,po_status,"&lt;&gt;Annulé")=0,"",INDEX(po_price,SUMPRODUCT(MAX((po_ref=A491)*(po_status&lt;&gt;"Annulé")*(ROW(po_ref)-5))))))</f>
        <v/>
      </c>
      <c r="K491" s="67" t="str">
        <f>IF(A491="","",IF(COUNTIF(art_ref,A491)&gt;1,"Référence en double",IF(B491="","Désignation manquante",IF(NOT(ISNUMBER(D491)),"Prix manquant",IF(E491="","TVA manquante",IF(ISNA(MATCH(E491,p_tva,0)),"Taux de TVA inconnu",IF(AND(F491&lt;&gt;"",ISNA(MATCH(F491,sup_code,0))),"Fournisseur inconnu","OK")))))))</f>
        <v/>
      </c>
    </row>
    <row r="492">
      <c r="A492" s="63" t="n"/>
      <c r="B492" s="63" t="n"/>
      <c r="C492" s="65" t="n"/>
      <c r="D492" s="69" t="n"/>
      <c r="E492" s="71" t="n"/>
      <c r="F492" s="65" t="n"/>
      <c r="G492" s="74" t="str">
        <f>IF(A492="","",SUMIFS(po_qty,po_ref,A492,po_status,"&lt;&gt;Annulé"))</f>
        <v/>
      </c>
      <c r="H492" s="74" t="str">
        <f>IF(A492="","",SUMIFS(po_rcv,po_ref,A492,po_status,"&lt;&gt;Annulé"))</f>
        <v/>
      </c>
      <c r="I492" s="74" t="str">
        <f>IF(A492="","",SUMIFS(po_rest,po_ref,A492,po_key,"&gt;0"))</f>
        <v/>
      </c>
      <c r="J492" s="70" t="str">
        <f>IF(A492="","",IF(COUNTIFS(po_ref,A492,po_status,"&lt;&gt;Annulé")=0,"",INDEX(po_price,SUMPRODUCT(MAX((po_ref=A492)*(po_status&lt;&gt;"Annulé")*(ROW(po_ref)-5))))))</f>
        <v/>
      </c>
      <c r="K492" s="67" t="str">
        <f>IF(A492="","",IF(COUNTIF(art_ref,A492)&gt;1,"Référence en double",IF(B492="","Désignation manquante",IF(NOT(ISNUMBER(D492)),"Prix manquant",IF(E492="","TVA manquante",IF(ISNA(MATCH(E492,p_tva,0)),"Taux de TVA inconnu",IF(AND(F492&lt;&gt;"",ISNA(MATCH(F492,sup_code,0))),"Fournisseur inconnu","OK")))))))</f>
        <v/>
      </c>
    </row>
    <row r="493">
      <c r="A493" s="63" t="n"/>
      <c r="B493" s="63" t="n"/>
      <c r="C493" s="65" t="n"/>
      <c r="D493" s="69" t="n"/>
      <c r="E493" s="71" t="n"/>
      <c r="F493" s="65" t="n"/>
      <c r="G493" s="74" t="str">
        <f>IF(A493="","",SUMIFS(po_qty,po_ref,A493,po_status,"&lt;&gt;Annulé"))</f>
        <v/>
      </c>
      <c r="H493" s="74" t="str">
        <f>IF(A493="","",SUMIFS(po_rcv,po_ref,A493,po_status,"&lt;&gt;Annulé"))</f>
        <v/>
      </c>
      <c r="I493" s="74" t="str">
        <f>IF(A493="","",SUMIFS(po_rest,po_ref,A493,po_key,"&gt;0"))</f>
        <v/>
      </c>
      <c r="J493" s="70" t="str">
        <f>IF(A493="","",IF(COUNTIFS(po_ref,A493,po_status,"&lt;&gt;Annulé")=0,"",INDEX(po_price,SUMPRODUCT(MAX((po_ref=A493)*(po_status&lt;&gt;"Annulé")*(ROW(po_ref)-5))))))</f>
        <v/>
      </c>
      <c r="K493" s="67" t="str">
        <f>IF(A493="","",IF(COUNTIF(art_ref,A493)&gt;1,"Référence en double",IF(B493="","Désignation manquante",IF(NOT(ISNUMBER(D493)),"Prix manquant",IF(E493="","TVA manquante",IF(ISNA(MATCH(E493,p_tva,0)),"Taux de TVA inconnu",IF(AND(F493&lt;&gt;"",ISNA(MATCH(F493,sup_code,0))),"Fournisseur inconnu","OK")))))))</f>
        <v/>
      </c>
    </row>
    <row r="494">
      <c r="A494" s="63" t="n"/>
      <c r="B494" s="63" t="n"/>
      <c r="C494" s="65" t="n"/>
      <c r="D494" s="69" t="n"/>
      <c r="E494" s="71" t="n"/>
      <c r="F494" s="65" t="n"/>
      <c r="G494" s="74" t="str">
        <f>IF(A494="","",SUMIFS(po_qty,po_ref,A494,po_status,"&lt;&gt;Annulé"))</f>
        <v/>
      </c>
      <c r="H494" s="74" t="str">
        <f>IF(A494="","",SUMIFS(po_rcv,po_ref,A494,po_status,"&lt;&gt;Annulé"))</f>
        <v/>
      </c>
      <c r="I494" s="74" t="str">
        <f>IF(A494="","",SUMIFS(po_rest,po_ref,A494,po_key,"&gt;0"))</f>
        <v/>
      </c>
      <c r="J494" s="70" t="str">
        <f>IF(A494="","",IF(COUNTIFS(po_ref,A494,po_status,"&lt;&gt;Annulé")=0,"",INDEX(po_price,SUMPRODUCT(MAX((po_ref=A494)*(po_status&lt;&gt;"Annulé")*(ROW(po_ref)-5))))))</f>
        <v/>
      </c>
      <c r="K494" s="67" t="str">
        <f>IF(A494="","",IF(COUNTIF(art_ref,A494)&gt;1,"Référence en double",IF(B494="","Désignation manquante",IF(NOT(ISNUMBER(D494)),"Prix manquant",IF(E494="","TVA manquante",IF(ISNA(MATCH(E494,p_tva,0)),"Taux de TVA inconnu",IF(AND(F494&lt;&gt;"",ISNA(MATCH(F494,sup_code,0))),"Fournisseur inconnu","OK")))))))</f>
        <v/>
      </c>
    </row>
    <row r="495">
      <c r="A495" s="63" t="n"/>
      <c r="B495" s="63" t="n"/>
      <c r="C495" s="65" t="n"/>
      <c r="D495" s="69" t="n"/>
      <c r="E495" s="71" t="n"/>
      <c r="F495" s="65" t="n"/>
      <c r="G495" s="74" t="str">
        <f>IF(A495="","",SUMIFS(po_qty,po_ref,A495,po_status,"&lt;&gt;Annulé"))</f>
        <v/>
      </c>
      <c r="H495" s="74" t="str">
        <f>IF(A495="","",SUMIFS(po_rcv,po_ref,A495,po_status,"&lt;&gt;Annulé"))</f>
        <v/>
      </c>
      <c r="I495" s="74" t="str">
        <f>IF(A495="","",SUMIFS(po_rest,po_ref,A495,po_key,"&gt;0"))</f>
        <v/>
      </c>
      <c r="J495" s="70" t="str">
        <f>IF(A495="","",IF(COUNTIFS(po_ref,A495,po_status,"&lt;&gt;Annulé")=0,"",INDEX(po_price,SUMPRODUCT(MAX((po_ref=A495)*(po_status&lt;&gt;"Annulé")*(ROW(po_ref)-5))))))</f>
        <v/>
      </c>
      <c r="K495" s="67" t="str">
        <f>IF(A495="","",IF(COUNTIF(art_ref,A495)&gt;1,"Référence en double",IF(B495="","Désignation manquante",IF(NOT(ISNUMBER(D495)),"Prix manquant",IF(E495="","TVA manquante",IF(ISNA(MATCH(E495,p_tva,0)),"Taux de TVA inconnu",IF(AND(F495&lt;&gt;"",ISNA(MATCH(F495,sup_code,0))),"Fournisseur inconnu","OK")))))))</f>
        <v/>
      </c>
    </row>
    <row r="496">
      <c r="A496" s="63" t="n"/>
      <c r="B496" s="63" t="n"/>
      <c r="C496" s="65" t="n"/>
      <c r="D496" s="69" t="n"/>
      <c r="E496" s="71" t="n"/>
      <c r="F496" s="65" t="n"/>
      <c r="G496" s="74" t="str">
        <f>IF(A496="","",SUMIFS(po_qty,po_ref,A496,po_status,"&lt;&gt;Annulé"))</f>
        <v/>
      </c>
      <c r="H496" s="74" t="str">
        <f>IF(A496="","",SUMIFS(po_rcv,po_ref,A496,po_status,"&lt;&gt;Annulé"))</f>
        <v/>
      </c>
      <c r="I496" s="74" t="str">
        <f>IF(A496="","",SUMIFS(po_rest,po_ref,A496,po_key,"&gt;0"))</f>
        <v/>
      </c>
      <c r="J496" s="70" t="str">
        <f>IF(A496="","",IF(COUNTIFS(po_ref,A496,po_status,"&lt;&gt;Annulé")=0,"",INDEX(po_price,SUMPRODUCT(MAX((po_ref=A496)*(po_status&lt;&gt;"Annulé")*(ROW(po_ref)-5))))))</f>
        <v/>
      </c>
      <c r="K496" s="67" t="str">
        <f>IF(A496="","",IF(COUNTIF(art_ref,A496)&gt;1,"Référence en double",IF(B496="","Désignation manquante",IF(NOT(ISNUMBER(D496)),"Prix manquant",IF(E496="","TVA manquante",IF(ISNA(MATCH(E496,p_tva,0)),"Taux de TVA inconnu",IF(AND(F496&lt;&gt;"",ISNA(MATCH(F496,sup_code,0))),"Fournisseur inconnu","OK")))))))</f>
        <v/>
      </c>
    </row>
    <row r="497">
      <c r="A497" s="63" t="n"/>
      <c r="B497" s="63" t="n"/>
      <c r="C497" s="65" t="n"/>
      <c r="D497" s="69" t="n"/>
      <c r="E497" s="71" t="n"/>
      <c r="F497" s="65" t="n"/>
      <c r="G497" s="74" t="str">
        <f>IF(A497="","",SUMIFS(po_qty,po_ref,A497,po_status,"&lt;&gt;Annulé"))</f>
        <v/>
      </c>
      <c r="H497" s="74" t="str">
        <f>IF(A497="","",SUMIFS(po_rcv,po_ref,A497,po_status,"&lt;&gt;Annulé"))</f>
        <v/>
      </c>
      <c r="I497" s="74" t="str">
        <f>IF(A497="","",SUMIFS(po_rest,po_ref,A497,po_key,"&gt;0"))</f>
        <v/>
      </c>
      <c r="J497" s="70" t="str">
        <f>IF(A497="","",IF(COUNTIFS(po_ref,A497,po_status,"&lt;&gt;Annulé")=0,"",INDEX(po_price,SUMPRODUCT(MAX((po_ref=A497)*(po_status&lt;&gt;"Annulé")*(ROW(po_ref)-5))))))</f>
        <v/>
      </c>
      <c r="K497" s="67" t="str">
        <f>IF(A497="","",IF(COUNTIF(art_ref,A497)&gt;1,"Référence en double",IF(B497="","Désignation manquante",IF(NOT(ISNUMBER(D497)),"Prix manquant",IF(E497="","TVA manquante",IF(ISNA(MATCH(E497,p_tva,0)),"Taux de TVA inconnu",IF(AND(F497&lt;&gt;"",ISNA(MATCH(F497,sup_code,0))),"Fournisseur inconnu","OK")))))))</f>
        <v/>
      </c>
    </row>
    <row r="498">
      <c r="A498" s="63" t="n"/>
      <c r="B498" s="63" t="n"/>
      <c r="C498" s="65" t="n"/>
      <c r="D498" s="69" t="n"/>
      <c r="E498" s="71" t="n"/>
      <c r="F498" s="65" t="n"/>
      <c r="G498" s="74" t="str">
        <f>IF(A498="","",SUMIFS(po_qty,po_ref,A498,po_status,"&lt;&gt;Annulé"))</f>
        <v/>
      </c>
      <c r="H498" s="74" t="str">
        <f>IF(A498="","",SUMIFS(po_rcv,po_ref,A498,po_status,"&lt;&gt;Annulé"))</f>
        <v/>
      </c>
      <c r="I498" s="74" t="str">
        <f>IF(A498="","",SUMIFS(po_rest,po_ref,A498,po_key,"&gt;0"))</f>
        <v/>
      </c>
      <c r="J498" s="70" t="str">
        <f>IF(A498="","",IF(COUNTIFS(po_ref,A498,po_status,"&lt;&gt;Annulé")=0,"",INDEX(po_price,SUMPRODUCT(MAX((po_ref=A498)*(po_status&lt;&gt;"Annulé")*(ROW(po_ref)-5))))))</f>
        <v/>
      </c>
      <c r="K498" s="67" t="str">
        <f>IF(A498="","",IF(COUNTIF(art_ref,A498)&gt;1,"Référence en double",IF(B498="","Désignation manquante",IF(NOT(ISNUMBER(D498)),"Prix manquant",IF(E498="","TVA manquante",IF(ISNA(MATCH(E498,p_tva,0)),"Taux de TVA inconnu",IF(AND(F498&lt;&gt;"",ISNA(MATCH(F498,sup_code,0))),"Fournisseur inconnu","OK")))))))</f>
        <v/>
      </c>
    </row>
    <row r="499">
      <c r="A499" s="63" t="n"/>
      <c r="B499" s="63" t="n"/>
      <c r="C499" s="65" t="n"/>
      <c r="D499" s="69" t="n"/>
      <c r="E499" s="71" t="n"/>
      <c r="F499" s="65" t="n"/>
      <c r="G499" s="74" t="str">
        <f>IF(A499="","",SUMIFS(po_qty,po_ref,A499,po_status,"&lt;&gt;Annulé"))</f>
        <v/>
      </c>
      <c r="H499" s="74" t="str">
        <f>IF(A499="","",SUMIFS(po_rcv,po_ref,A499,po_status,"&lt;&gt;Annulé"))</f>
        <v/>
      </c>
      <c r="I499" s="74" t="str">
        <f>IF(A499="","",SUMIFS(po_rest,po_ref,A499,po_key,"&gt;0"))</f>
        <v/>
      </c>
      <c r="J499" s="70" t="str">
        <f>IF(A499="","",IF(COUNTIFS(po_ref,A499,po_status,"&lt;&gt;Annulé")=0,"",INDEX(po_price,SUMPRODUCT(MAX((po_ref=A499)*(po_status&lt;&gt;"Annulé")*(ROW(po_ref)-5))))))</f>
        <v/>
      </c>
      <c r="K499" s="67" t="str">
        <f>IF(A499="","",IF(COUNTIF(art_ref,A499)&gt;1,"Référence en double",IF(B499="","Désignation manquante",IF(NOT(ISNUMBER(D499)),"Prix manquant",IF(E499="","TVA manquante",IF(ISNA(MATCH(E499,p_tva,0)),"Taux de TVA inconnu",IF(AND(F499&lt;&gt;"",ISNA(MATCH(F499,sup_code,0))),"Fournisseur inconnu","OK")))))))</f>
        <v/>
      </c>
    </row>
    <row r="500">
      <c r="A500" s="63" t="n"/>
      <c r="B500" s="63" t="n"/>
      <c r="C500" s="65" t="n"/>
      <c r="D500" s="69" t="n"/>
      <c r="E500" s="71" t="n"/>
      <c r="F500" s="65" t="n"/>
      <c r="G500" s="74" t="str">
        <f>IF(A500="","",SUMIFS(po_qty,po_ref,A500,po_status,"&lt;&gt;Annulé"))</f>
        <v/>
      </c>
      <c r="H500" s="74" t="str">
        <f>IF(A500="","",SUMIFS(po_rcv,po_ref,A500,po_status,"&lt;&gt;Annulé"))</f>
        <v/>
      </c>
      <c r="I500" s="74" t="str">
        <f>IF(A500="","",SUMIFS(po_rest,po_ref,A500,po_key,"&gt;0"))</f>
        <v/>
      </c>
      <c r="J500" s="70" t="str">
        <f>IF(A500="","",IF(COUNTIFS(po_ref,A500,po_status,"&lt;&gt;Annulé")=0,"",INDEX(po_price,SUMPRODUCT(MAX((po_ref=A500)*(po_status&lt;&gt;"Annulé")*(ROW(po_ref)-5))))))</f>
        <v/>
      </c>
      <c r="K500" s="67" t="str">
        <f>IF(A500="","",IF(COUNTIF(art_ref,A500)&gt;1,"Référence en double",IF(B500="","Désignation manquante",IF(NOT(ISNUMBER(D500)),"Prix manquant",IF(E500="","TVA manquante",IF(ISNA(MATCH(E500,p_tva,0)),"Taux de TVA inconnu",IF(AND(F500&lt;&gt;"",ISNA(MATCH(F500,sup_code,0))),"Fournisseur inconnu","OK")))))))</f>
        <v/>
      </c>
    </row>
    <row r="501">
      <c r="A501" s="63" t="n"/>
      <c r="B501" s="63" t="n"/>
      <c r="C501" s="65" t="n"/>
      <c r="D501" s="69" t="n"/>
      <c r="E501" s="71" t="n"/>
      <c r="F501" s="65" t="n"/>
      <c r="G501" s="74" t="str">
        <f>IF(A501="","",SUMIFS(po_qty,po_ref,A501,po_status,"&lt;&gt;Annulé"))</f>
        <v/>
      </c>
      <c r="H501" s="74" t="str">
        <f>IF(A501="","",SUMIFS(po_rcv,po_ref,A501,po_status,"&lt;&gt;Annulé"))</f>
        <v/>
      </c>
      <c r="I501" s="74" t="str">
        <f>IF(A501="","",SUMIFS(po_rest,po_ref,A501,po_key,"&gt;0"))</f>
        <v/>
      </c>
      <c r="J501" s="70" t="str">
        <f>IF(A501="","",IF(COUNTIFS(po_ref,A501,po_status,"&lt;&gt;Annulé")=0,"",INDEX(po_price,SUMPRODUCT(MAX((po_ref=A501)*(po_status&lt;&gt;"Annulé")*(ROW(po_ref)-5))))))</f>
        <v/>
      </c>
      <c r="K501" s="67" t="str">
        <f>IF(A501="","",IF(COUNTIF(art_ref,A501)&gt;1,"Référence en double",IF(B501="","Désignation manquante",IF(NOT(ISNUMBER(D501)),"Prix manquant",IF(E501="","TVA manquante",IF(ISNA(MATCH(E501,p_tva,0)),"Taux de TVA inconnu",IF(AND(F501&lt;&gt;"",ISNA(MATCH(F501,sup_code,0))),"Fournisseur inconnu","OK")))))))</f>
        <v/>
      </c>
    </row>
    <row r="502">
      <c r="A502" s="63" t="n"/>
      <c r="B502" s="63" t="n"/>
      <c r="C502" s="65" t="n"/>
      <c r="D502" s="69" t="n"/>
      <c r="E502" s="71" t="n"/>
      <c r="F502" s="65" t="n"/>
      <c r="G502" s="74" t="str">
        <f>IF(A502="","",SUMIFS(po_qty,po_ref,A502,po_status,"&lt;&gt;Annulé"))</f>
        <v/>
      </c>
      <c r="H502" s="74" t="str">
        <f>IF(A502="","",SUMIFS(po_rcv,po_ref,A502,po_status,"&lt;&gt;Annulé"))</f>
        <v/>
      </c>
      <c r="I502" s="74" t="str">
        <f>IF(A502="","",SUMIFS(po_rest,po_ref,A502,po_key,"&gt;0"))</f>
        <v/>
      </c>
      <c r="J502" s="70" t="str">
        <f>IF(A502="","",IF(COUNTIFS(po_ref,A502,po_status,"&lt;&gt;Annulé")=0,"",INDEX(po_price,SUMPRODUCT(MAX((po_ref=A502)*(po_status&lt;&gt;"Annulé")*(ROW(po_ref)-5))))))</f>
        <v/>
      </c>
      <c r="K502" s="67" t="str">
        <f>IF(A502="","",IF(COUNTIF(art_ref,A502)&gt;1,"Référence en double",IF(B502="","Désignation manquante",IF(NOT(ISNUMBER(D502)),"Prix manquant",IF(E502="","TVA manquante",IF(ISNA(MATCH(E502,p_tva,0)),"Taux de TVA inconnu",IF(AND(F502&lt;&gt;"",ISNA(MATCH(F502,sup_code,0))),"Fournisseur inconnu","OK")))))))</f>
        <v/>
      </c>
    </row>
    <row r="503">
      <c r="A503" s="63" t="n"/>
      <c r="B503" s="63" t="n"/>
      <c r="C503" s="65" t="n"/>
      <c r="D503" s="69" t="n"/>
      <c r="E503" s="71" t="n"/>
      <c r="F503" s="65" t="n"/>
      <c r="G503" s="74" t="str">
        <f>IF(A503="","",SUMIFS(po_qty,po_ref,A503,po_status,"&lt;&gt;Annulé"))</f>
        <v/>
      </c>
      <c r="H503" s="74" t="str">
        <f>IF(A503="","",SUMIFS(po_rcv,po_ref,A503,po_status,"&lt;&gt;Annulé"))</f>
        <v/>
      </c>
      <c r="I503" s="74" t="str">
        <f>IF(A503="","",SUMIFS(po_rest,po_ref,A503,po_key,"&gt;0"))</f>
        <v/>
      </c>
      <c r="J503" s="70" t="str">
        <f>IF(A503="","",IF(COUNTIFS(po_ref,A503,po_status,"&lt;&gt;Annulé")=0,"",INDEX(po_price,SUMPRODUCT(MAX((po_ref=A503)*(po_status&lt;&gt;"Annulé")*(ROW(po_ref)-5))))))</f>
        <v/>
      </c>
      <c r="K503" s="67" t="str">
        <f>IF(A503="","",IF(COUNTIF(art_ref,A503)&gt;1,"Référence en double",IF(B503="","Désignation manquante",IF(NOT(ISNUMBER(D503)),"Prix manquant",IF(E503="","TVA manquante",IF(ISNA(MATCH(E503,p_tva,0)),"Taux de TVA inconnu",IF(AND(F503&lt;&gt;"",ISNA(MATCH(F503,sup_code,0))),"Fournisseur inconnu","OK")))))))</f>
        <v/>
      </c>
    </row>
    <row r="504">
      <c r="A504" s="63" t="n"/>
      <c r="B504" s="63" t="n"/>
      <c r="C504" s="65" t="n"/>
      <c r="D504" s="69" t="n"/>
      <c r="E504" s="71" t="n"/>
      <c r="F504" s="65" t="n"/>
      <c r="G504" s="74" t="str">
        <f>IF(A504="","",SUMIFS(po_qty,po_ref,A504,po_status,"&lt;&gt;Annulé"))</f>
        <v/>
      </c>
      <c r="H504" s="74" t="str">
        <f>IF(A504="","",SUMIFS(po_rcv,po_ref,A504,po_status,"&lt;&gt;Annulé"))</f>
        <v/>
      </c>
      <c r="I504" s="74" t="str">
        <f>IF(A504="","",SUMIFS(po_rest,po_ref,A504,po_key,"&gt;0"))</f>
        <v/>
      </c>
      <c r="J504" s="70" t="str">
        <f>IF(A504="","",IF(COUNTIFS(po_ref,A504,po_status,"&lt;&gt;Annulé")=0,"",INDEX(po_price,SUMPRODUCT(MAX((po_ref=A504)*(po_status&lt;&gt;"Annulé")*(ROW(po_ref)-5))))))</f>
        <v/>
      </c>
      <c r="K504" s="67" t="str">
        <f>IF(A504="","",IF(COUNTIF(art_ref,A504)&gt;1,"Référence en double",IF(B504="","Désignation manquante",IF(NOT(ISNUMBER(D504)),"Prix manquant",IF(E504="","TVA manquante",IF(ISNA(MATCH(E504,p_tva,0)),"Taux de TVA inconnu",IF(AND(F504&lt;&gt;"",ISNA(MATCH(F504,sup_code,0))),"Fournisseur inconnu","OK")))))))</f>
        <v/>
      </c>
    </row>
    <row r="505">
      <c r="A505" s="63" t="n"/>
      <c r="B505" s="63" t="n"/>
      <c r="C505" s="65" t="n"/>
      <c r="D505" s="69" t="n"/>
      <c r="E505" s="71" t="n"/>
      <c r="F505" s="65" t="n"/>
      <c r="G505" s="74" t="str">
        <f>IF(A505="","",SUMIFS(po_qty,po_ref,A505,po_status,"&lt;&gt;Annulé"))</f>
        <v/>
      </c>
      <c r="H505" s="74" t="str">
        <f>IF(A505="","",SUMIFS(po_rcv,po_ref,A505,po_status,"&lt;&gt;Annulé"))</f>
        <v/>
      </c>
      <c r="I505" s="74" t="str">
        <f>IF(A505="","",SUMIFS(po_rest,po_ref,A505,po_key,"&gt;0"))</f>
        <v/>
      </c>
      <c r="J505" s="70" t="str">
        <f>IF(A505="","",IF(COUNTIFS(po_ref,A505,po_status,"&lt;&gt;Annulé")=0,"",INDEX(po_price,SUMPRODUCT(MAX((po_ref=A505)*(po_status&lt;&gt;"Annulé")*(ROW(po_ref)-5))))))</f>
        <v/>
      </c>
      <c r="K505" s="67" t="str">
        <f>IF(A505="","",IF(COUNTIF(art_ref,A505)&gt;1,"Référence en double",IF(B505="","Désignation manquante",IF(NOT(ISNUMBER(D505)),"Prix manquant",IF(E505="","TVA manquante",IF(ISNA(MATCH(E505,p_tva,0)),"Taux de TVA inconnu",IF(AND(F505&lt;&gt;"",ISNA(MATCH(F505,sup_code,0))),"Fournisseur inconnu","OK")))))))</f>
        <v/>
      </c>
    </row>
    <row r="506">
      <c r="A506" s="63" t="n"/>
      <c r="B506" s="63" t="n"/>
      <c r="C506" s="65" t="n"/>
      <c r="D506" s="69" t="n"/>
      <c r="E506" s="71" t="n"/>
      <c r="F506" s="65" t="n"/>
      <c r="G506" s="74" t="str">
        <f>IF(A506="","",SUMIFS(po_qty,po_ref,A506,po_status,"&lt;&gt;Annulé"))</f>
        <v/>
      </c>
      <c r="H506" s="74" t="str">
        <f>IF(A506="","",SUMIFS(po_rcv,po_ref,A506,po_status,"&lt;&gt;Annulé"))</f>
        <v/>
      </c>
      <c r="I506" s="74" t="str">
        <f>IF(A506="","",SUMIFS(po_rest,po_ref,A506,po_key,"&gt;0"))</f>
        <v/>
      </c>
      <c r="J506" s="70" t="str">
        <f>IF(A506="","",IF(COUNTIFS(po_ref,A506,po_status,"&lt;&gt;Annulé")=0,"",INDEX(po_price,SUMPRODUCT(MAX((po_ref=A506)*(po_status&lt;&gt;"Annulé")*(ROW(po_ref)-5))))))</f>
        <v/>
      </c>
      <c r="K506" s="67" t="str">
        <f>IF(A506="","",IF(COUNTIF(art_ref,A506)&gt;1,"Référence en double",IF(B506="","Désignation manquante",IF(NOT(ISNUMBER(D506)),"Prix manquant",IF(E506="","TVA manquante",IF(ISNA(MATCH(E506,p_tva,0)),"Taux de TVA inconnu",IF(AND(F506&lt;&gt;"",ISNA(MATCH(F506,sup_code,0))),"Fournisseur inconnu","OK")))))))</f>
        <v/>
      </c>
    </row>
    <row r="507">
      <c r="A507" s="63" t="n"/>
      <c r="B507" s="63" t="n"/>
      <c r="C507" s="65" t="n"/>
      <c r="D507" s="69" t="n"/>
      <c r="E507" s="71" t="n"/>
      <c r="F507" s="65" t="n"/>
      <c r="G507" s="74" t="str">
        <f>IF(A507="","",SUMIFS(po_qty,po_ref,A507,po_status,"&lt;&gt;Annulé"))</f>
        <v/>
      </c>
      <c r="H507" s="74" t="str">
        <f>IF(A507="","",SUMIFS(po_rcv,po_ref,A507,po_status,"&lt;&gt;Annulé"))</f>
        <v/>
      </c>
      <c r="I507" s="74" t="str">
        <f>IF(A507="","",SUMIFS(po_rest,po_ref,A507,po_key,"&gt;0"))</f>
        <v/>
      </c>
      <c r="J507" s="70" t="str">
        <f>IF(A507="","",IF(COUNTIFS(po_ref,A507,po_status,"&lt;&gt;Annulé")=0,"",INDEX(po_price,SUMPRODUCT(MAX((po_ref=A507)*(po_status&lt;&gt;"Annulé")*(ROW(po_ref)-5))))))</f>
        <v/>
      </c>
      <c r="K507" s="67" t="str">
        <f>IF(A507="","",IF(COUNTIF(art_ref,A507)&gt;1,"Référence en double",IF(B507="","Désignation manquante",IF(NOT(ISNUMBER(D507)),"Prix manquant",IF(E507="","TVA manquante",IF(ISNA(MATCH(E507,p_tva,0)),"Taux de TVA inconnu",IF(AND(F507&lt;&gt;"",ISNA(MATCH(F507,sup_code,0))),"Fournisseur inconnu","OK")))))))</f>
        <v/>
      </c>
    </row>
    <row r="508">
      <c r="A508" s="63" t="n"/>
      <c r="B508" s="63" t="n"/>
      <c r="C508" s="65" t="n"/>
      <c r="D508" s="69" t="n"/>
      <c r="E508" s="71" t="n"/>
      <c r="F508" s="65" t="n"/>
      <c r="G508" s="74" t="str">
        <f>IF(A508="","",SUMIFS(po_qty,po_ref,A508,po_status,"&lt;&gt;Annulé"))</f>
        <v/>
      </c>
      <c r="H508" s="74" t="str">
        <f>IF(A508="","",SUMIFS(po_rcv,po_ref,A508,po_status,"&lt;&gt;Annulé"))</f>
        <v/>
      </c>
      <c r="I508" s="74" t="str">
        <f>IF(A508="","",SUMIFS(po_rest,po_ref,A508,po_key,"&gt;0"))</f>
        <v/>
      </c>
      <c r="J508" s="70" t="str">
        <f>IF(A508="","",IF(COUNTIFS(po_ref,A508,po_status,"&lt;&gt;Annulé")=0,"",INDEX(po_price,SUMPRODUCT(MAX((po_ref=A508)*(po_status&lt;&gt;"Annulé")*(ROW(po_ref)-5))))))</f>
        <v/>
      </c>
      <c r="K508" s="67" t="str">
        <f>IF(A508="","",IF(COUNTIF(art_ref,A508)&gt;1,"Référence en double",IF(B508="","Désignation manquante",IF(NOT(ISNUMBER(D508)),"Prix manquant",IF(E508="","TVA manquante",IF(ISNA(MATCH(E508,p_tva,0)),"Taux de TVA inconnu",IF(AND(F508&lt;&gt;"",ISNA(MATCH(F508,sup_code,0))),"Fournisseur inconnu","OK")))))))</f>
        <v/>
      </c>
    </row>
    <row r="509">
      <c r="A509" s="63" t="n"/>
      <c r="B509" s="63" t="n"/>
      <c r="C509" s="65" t="n"/>
      <c r="D509" s="69" t="n"/>
      <c r="E509" s="71" t="n"/>
      <c r="F509" s="65" t="n"/>
      <c r="G509" s="74" t="str">
        <f>IF(A509="","",SUMIFS(po_qty,po_ref,A509,po_status,"&lt;&gt;Annulé"))</f>
        <v/>
      </c>
      <c r="H509" s="74" t="str">
        <f>IF(A509="","",SUMIFS(po_rcv,po_ref,A509,po_status,"&lt;&gt;Annulé"))</f>
        <v/>
      </c>
      <c r="I509" s="74" t="str">
        <f>IF(A509="","",SUMIFS(po_rest,po_ref,A509,po_key,"&gt;0"))</f>
        <v/>
      </c>
      <c r="J509" s="70" t="str">
        <f>IF(A509="","",IF(COUNTIFS(po_ref,A509,po_status,"&lt;&gt;Annulé")=0,"",INDEX(po_price,SUMPRODUCT(MAX((po_ref=A509)*(po_status&lt;&gt;"Annulé")*(ROW(po_ref)-5))))))</f>
        <v/>
      </c>
      <c r="K509" s="67" t="str">
        <f>IF(A509="","",IF(COUNTIF(art_ref,A509)&gt;1,"Référence en double",IF(B509="","Désignation manquante",IF(NOT(ISNUMBER(D509)),"Prix manquant",IF(E509="","TVA manquante",IF(ISNA(MATCH(E509,p_tva,0)),"Taux de TVA inconnu",IF(AND(F509&lt;&gt;"",ISNA(MATCH(F509,sup_code,0))),"Fournisseur inconnu","OK")))))))</f>
        <v/>
      </c>
    </row>
    <row r="510">
      <c r="A510" s="63" t="n"/>
      <c r="B510" s="63" t="n"/>
      <c r="C510" s="65" t="n"/>
      <c r="D510" s="69" t="n"/>
      <c r="E510" s="71" t="n"/>
      <c r="F510" s="65" t="n"/>
      <c r="G510" s="74" t="str">
        <f>IF(A510="","",SUMIFS(po_qty,po_ref,A510,po_status,"&lt;&gt;Annulé"))</f>
        <v/>
      </c>
      <c r="H510" s="74" t="str">
        <f>IF(A510="","",SUMIFS(po_rcv,po_ref,A510,po_status,"&lt;&gt;Annulé"))</f>
        <v/>
      </c>
      <c r="I510" s="74" t="str">
        <f>IF(A510="","",SUMIFS(po_rest,po_ref,A510,po_key,"&gt;0"))</f>
        <v/>
      </c>
      <c r="J510" s="70" t="str">
        <f>IF(A510="","",IF(COUNTIFS(po_ref,A510,po_status,"&lt;&gt;Annulé")=0,"",INDEX(po_price,SUMPRODUCT(MAX((po_ref=A510)*(po_status&lt;&gt;"Annulé")*(ROW(po_ref)-5))))))</f>
        <v/>
      </c>
      <c r="K510" s="67" t="str">
        <f>IF(A510="","",IF(COUNTIF(art_ref,A510)&gt;1,"Référence en double",IF(B510="","Désignation manquante",IF(NOT(ISNUMBER(D510)),"Prix manquant",IF(E510="","TVA manquante",IF(ISNA(MATCH(E510,p_tva,0)),"Taux de TVA inconnu",IF(AND(F510&lt;&gt;"",ISNA(MATCH(F510,sup_code,0))),"Fournisseur inconnu","OK")))))))</f>
        <v/>
      </c>
    </row>
    <row r="511">
      <c r="A511" s="63" t="n"/>
      <c r="B511" s="63" t="n"/>
      <c r="C511" s="65" t="n"/>
      <c r="D511" s="69" t="n"/>
      <c r="E511" s="71" t="n"/>
      <c r="F511" s="65" t="n"/>
      <c r="G511" s="74" t="str">
        <f>IF(A511="","",SUMIFS(po_qty,po_ref,A511,po_status,"&lt;&gt;Annulé"))</f>
        <v/>
      </c>
      <c r="H511" s="74" t="str">
        <f>IF(A511="","",SUMIFS(po_rcv,po_ref,A511,po_status,"&lt;&gt;Annulé"))</f>
        <v/>
      </c>
      <c r="I511" s="74" t="str">
        <f>IF(A511="","",SUMIFS(po_rest,po_ref,A511,po_key,"&gt;0"))</f>
        <v/>
      </c>
      <c r="J511" s="70" t="str">
        <f>IF(A511="","",IF(COUNTIFS(po_ref,A511,po_status,"&lt;&gt;Annulé")=0,"",INDEX(po_price,SUMPRODUCT(MAX((po_ref=A511)*(po_status&lt;&gt;"Annulé")*(ROW(po_ref)-5))))))</f>
        <v/>
      </c>
      <c r="K511" s="67" t="str">
        <f>IF(A511="","",IF(COUNTIF(art_ref,A511)&gt;1,"Référence en double",IF(B511="","Désignation manquante",IF(NOT(ISNUMBER(D511)),"Prix manquant",IF(E511="","TVA manquante",IF(ISNA(MATCH(E511,p_tva,0)),"Taux de TVA inconnu",IF(AND(F511&lt;&gt;"",ISNA(MATCH(F511,sup_code,0))),"Fournisseur inconnu","OK")))))))</f>
        <v/>
      </c>
    </row>
    <row r="512">
      <c r="A512" s="63" t="n"/>
      <c r="B512" s="63" t="n"/>
      <c r="C512" s="65" t="n"/>
      <c r="D512" s="69" t="n"/>
      <c r="E512" s="71" t="n"/>
      <c r="F512" s="65" t="n"/>
      <c r="G512" s="74" t="str">
        <f>IF(A512="","",SUMIFS(po_qty,po_ref,A512,po_status,"&lt;&gt;Annulé"))</f>
        <v/>
      </c>
      <c r="H512" s="74" t="str">
        <f>IF(A512="","",SUMIFS(po_rcv,po_ref,A512,po_status,"&lt;&gt;Annulé"))</f>
        <v/>
      </c>
      <c r="I512" s="74" t="str">
        <f>IF(A512="","",SUMIFS(po_rest,po_ref,A512,po_key,"&gt;0"))</f>
        <v/>
      </c>
      <c r="J512" s="70" t="str">
        <f>IF(A512="","",IF(COUNTIFS(po_ref,A512,po_status,"&lt;&gt;Annulé")=0,"",INDEX(po_price,SUMPRODUCT(MAX((po_ref=A512)*(po_status&lt;&gt;"Annulé")*(ROW(po_ref)-5))))))</f>
        <v/>
      </c>
      <c r="K512" s="67" t="str">
        <f>IF(A512="","",IF(COUNTIF(art_ref,A512)&gt;1,"Référence en double",IF(B512="","Désignation manquante",IF(NOT(ISNUMBER(D512)),"Prix manquant",IF(E512="","TVA manquante",IF(ISNA(MATCH(E512,p_tva,0)),"Taux de TVA inconnu",IF(AND(F512&lt;&gt;"",ISNA(MATCH(F512,sup_code,0))),"Fournisseur inconnu","OK")))))))</f>
        <v/>
      </c>
    </row>
    <row r="513">
      <c r="A513" s="63" t="n"/>
      <c r="B513" s="63" t="n"/>
      <c r="C513" s="65" t="n"/>
      <c r="D513" s="69" t="n"/>
      <c r="E513" s="71" t="n"/>
      <c r="F513" s="65" t="n"/>
      <c r="G513" s="74" t="str">
        <f>IF(A513="","",SUMIFS(po_qty,po_ref,A513,po_status,"&lt;&gt;Annulé"))</f>
        <v/>
      </c>
      <c r="H513" s="74" t="str">
        <f>IF(A513="","",SUMIFS(po_rcv,po_ref,A513,po_status,"&lt;&gt;Annulé"))</f>
        <v/>
      </c>
      <c r="I513" s="74" t="str">
        <f>IF(A513="","",SUMIFS(po_rest,po_ref,A513,po_key,"&gt;0"))</f>
        <v/>
      </c>
      <c r="J513" s="70" t="str">
        <f>IF(A513="","",IF(COUNTIFS(po_ref,A513,po_status,"&lt;&gt;Annulé")=0,"",INDEX(po_price,SUMPRODUCT(MAX((po_ref=A513)*(po_status&lt;&gt;"Annulé")*(ROW(po_ref)-5))))))</f>
        <v/>
      </c>
      <c r="K513" s="67" t="str">
        <f>IF(A513="","",IF(COUNTIF(art_ref,A513)&gt;1,"Référence en double",IF(B513="","Désignation manquante",IF(NOT(ISNUMBER(D513)),"Prix manquant",IF(E513="","TVA manquante",IF(ISNA(MATCH(E513,p_tva,0)),"Taux de TVA inconnu",IF(AND(F513&lt;&gt;"",ISNA(MATCH(F513,sup_code,0))),"Fournisseur inconnu","OK")))))))</f>
        <v/>
      </c>
    </row>
    <row r="514">
      <c r="A514" s="63" t="n"/>
      <c r="B514" s="63" t="n"/>
      <c r="C514" s="65" t="n"/>
      <c r="D514" s="69" t="n"/>
      <c r="E514" s="71" t="n"/>
      <c r="F514" s="65" t="n"/>
      <c r="G514" s="74" t="str">
        <f>IF(A514="","",SUMIFS(po_qty,po_ref,A514,po_status,"&lt;&gt;Annulé"))</f>
        <v/>
      </c>
      <c r="H514" s="74" t="str">
        <f>IF(A514="","",SUMIFS(po_rcv,po_ref,A514,po_status,"&lt;&gt;Annulé"))</f>
        <v/>
      </c>
      <c r="I514" s="74" t="str">
        <f>IF(A514="","",SUMIFS(po_rest,po_ref,A514,po_key,"&gt;0"))</f>
        <v/>
      </c>
      <c r="J514" s="70" t="str">
        <f>IF(A514="","",IF(COUNTIFS(po_ref,A514,po_status,"&lt;&gt;Annulé")=0,"",INDEX(po_price,SUMPRODUCT(MAX((po_ref=A514)*(po_status&lt;&gt;"Annulé")*(ROW(po_ref)-5))))))</f>
        <v/>
      </c>
      <c r="K514" s="67" t="str">
        <f>IF(A514="","",IF(COUNTIF(art_ref,A514)&gt;1,"Référence en double",IF(B514="","Désignation manquante",IF(NOT(ISNUMBER(D514)),"Prix manquant",IF(E514="","TVA manquante",IF(ISNA(MATCH(E514,p_tva,0)),"Taux de TVA inconnu",IF(AND(F514&lt;&gt;"",ISNA(MATCH(F514,sup_code,0))),"Fournisseur inconnu","OK")))))))</f>
        <v/>
      </c>
    </row>
    <row r="515">
      <c r="A515" s="63" t="n"/>
      <c r="B515" s="63" t="n"/>
      <c r="C515" s="65" t="n"/>
      <c r="D515" s="69" t="n"/>
      <c r="E515" s="71" t="n"/>
      <c r="F515" s="65" t="n"/>
      <c r="G515" s="74" t="str">
        <f>IF(A515="","",SUMIFS(po_qty,po_ref,A515,po_status,"&lt;&gt;Annulé"))</f>
        <v/>
      </c>
      <c r="H515" s="74" t="str">
        <f>IF(A515="","",SUMIFS(po_rcv,po_ref,A515,po_status,"&lt;&gt;Annulé"))</f>
        <v/>
      </c>
      <c r="I515" s="74" t="str">
        <f>IF(A515="","",SUMIFS(po_rest,po_ref,A515,po_key,"&gt;0"))</f>
        <v/>
      </c>
      <c r="J515" s="70" t="str">
        <f>IF(A515="","",IF(COUNTIFS(po_ref,A515,po_status,"&lt;&gt;Annulé")=0,"",INDEX(po_price,SUMPRODUCT(MAX((po_ref=A515)*(po_status&lt;&gt;"Annulé")*(ROW(po_ref)-5))))))</f>
        <v/>
      </c>
      <c r="K515" s="67" t="str">
        <f>IF(A515="","",IF(COUNTIF(art_ref,A515)&gt;1,"Référence en double",IF(B515="","Désignation manquante",IF(NOT(ISNUMBER(D515)),"Prix manquant",IF(E515="","TVA manquante",IF(ISNA(MATCH(E515,p_tva,0)),"Taux de TVA inconnu",IF(AND(F515&lt;&gt;"",ISNA(MATCH(F515,sup_code,0))),"Fournisseur inconnu","OK")))))))</f>
        <v/>
      </c>
    </row>
    <row r="516">
      <c r="A516" s="63" t="n"/>
      <c r="B516" s="63" t="n"/>
      <c r="C516" s="65" t="n"/>
      <c r="D516" s="69" t="n"/>
      <c r="E516" s="71" t="n"/>
      <c r="F516" s="65" t="n"/>
      <c r="G516" s="74" t="str">
        <f>IF(A516="","",SUMIFS(po_qty,po_ref,A516,po_status,"&lt;&gt;Annulé"))</f>
        <v/>
      </c>
      <c r="H516" s="74" t="str">
        <f>IF(A516="","",SUMIFS(po_rcv,po_ref,A516,po_status,"&lt;&gt;Annulé"))</f>
        <v/>
      </c>
      <c r="I516" s="74" t="str">
        <f>IF(A516="","",SUMIFS(po_rest,po_ref,A516,po_key,"&gt;0"))</f>
        <v/>
      </c>
      <c r="J516" s="70" t="str">
        <f>IF(A516="","",IF(COUNTIFS(po_ref,A516,po_status,"&lt;&gt;Annulé")=0,"",INDEX(po_price,SUMPRODUCT(MAX((po_ref=A516)*(po_status&lt;&gt;"Annulé")*(ROW(po_ref)-5))))))</f>
        <v/>
      </c>
      <c r="K516" s="67" t="str">
        <f>IF(A516="","",IF(COUNTIF(art_ref,A516)&gt;1,"Référence en double",IF(B516="","Désignation manquante",IF(NOT(ISNUMBER(D516)),"Prix manquant",IF(E516="","TVA manquante",IF(ISNA(MATCH(E516,p_tva,0)),"Taux de TVA inconnu",IF(AND(F516&lt;&gt;"",ISNA(MATCH(F516,sup_code,0))),"Fournisseur inconnu","OK")))))))</f>
        <v/>
      </c>
    </row>
    <row r="517">
      <c r="A517" s="63" t="n"/>
      <c r="B517" s="63" t="n"/>
      <c r="C517" s="65" t="n"/>
      <c r="D517" s="69" t="n"/>
      <c r="E517" s="71" t="n"/>
      <c r="F517" s="65" t="n"/>
      <c r="G517" s="74" t="str">
        <f>IF(A517="","",SUMIFS(po_qty,po_ref,A517,po_status,"&lt;&gt;Annulé"))</f>
        <v/>
      </c>
      <c r="H517" s="74" t="str">
        <f>IF(A517="","",SUMIFS(po_rcv,po_ref,A517,po_status,"&lt;&gt;Annulé"))</f>
        <v/>
      </c>
      <c r="I517" s="74" t="str">
        <f>IF(A517="","",SUMIFS(po_rest,po_ref,A517,po_key,"&gt;0"))</f>
        <v/>
      </c>
      <c r="J517" s="70" t="str">
        <f>IF(A517="","",IF(COUNTIFS(po_ref,A517,po_status,"&lt;&gt;Annulé")=0,"",INDEX(po_price,SUMPRODUCT(MAX((po_ref=A517)*(po_status&lt;&gt;"Annulé")*(ROW(po_ref)-5))))))</f>
        <v/>
      </c>
      <c r="K517" s="67" t="str">
        <f>IF(A517="","",IF(COUNTIF(art_ref,A517)&gt;1,"Référence en double",IF(B517="","Désignation manquante",IF(NOT(ISNUMBER(D517)),"Prix manquant",IF(E517="","TVA manquante",IF(ISNA(MATCH(E517,p_tva,0)),"Taux de TVA inconnu",IF(AND(F517&lt;&gt;"",ISNA(MATCH(F517,sup_code,0))),"Fournisseur inconnu","OK")))))))</f>
        <v/>
      </c>
    </row>
    <row r="518">
      <c r="A518" s="63" t="n"/>
      <c r="B518" s="63" t="n"/>
      <c r="C518" s="65" t="n"/>
      <c r="D518" s="69" t="n"/>
      <c r="E518" s="71" t="n"/>
      <c r="F518" s="65" t="n"/>
      <c r="G518" s="74" t="str">
        <f>IF(A518="","",SUMIFS(po_qty,po_ref,A518,po_status,"&lt;&gt;Annulé"))</f>
        <v/>
      </c>
      <c r="H518" s="74" t="str">
        <f>IF(A518="","",SUMIFS(po_rcv,po_ref,A518,po_status,"&lt;&gt;Annulé"))</f>
        <v/>
      </c>
      <c r="I518" s="74" t="str">
        <f>IF(A518="","",SUMIFS(po_rest,po_ref,A518,po_key,"&gt;0"))</f>
        <v/>
      </c>
      <c r="J518" s="70" t="str">
        <f>IF(A518="","",IF(COUNTIFS(po_ref,A518,po_status,"&lt;&gt;Annulé")=0,"",INDEX(po_price,SUMPRODUCT(MAX((po_ref=A518)*(po_status&lt;&gt;"Annulé")*(ROW(po_ref)-5))))))</f>
        <v/>
      </c>
      <c r="K518" s="67" t="str">
        <f>IF(A518="","",IF(COUNTIF(art_ref,A518)&gt;1,"Référence en double",IF(B518="","Désignation manquante",IF(NOT(ISNUMBER(D518)),"Prix manquant",IF(E518="","TVA manquante",IF(ISNA(MATCH(E518,p_tva,0)),"Taux de TVA inconnu",IF(AND(F518&lt;&gt;"",ISNA(MATCH(F518,sup_code,0))),"Fournisseur inconnu","OK")))))))</f>
        <v/>
      </c>
    </row>
    <row r="519">
      <c r="A519" s="63" t="n"/>
      <c r="B519" s="63" t="n"/>
      <c r="C519" s="65" t="n"/>
      <c r="D519" s="69" t="n"/>
      <c r="E519" s="71" t="n"/>
      <c r="F519" s="65" t="n"/>
      <c r="G519" s="74" t="str">
        <f>IF(A519="","",SUMIFS(po_qty,po_ref,A519,po_status,"&lt;&gt;Annulé"))</f>
        <v/>
      </c>
      <c r="H519" s="74" t="str">
        <f>IF(A519="","",SUMIFS(po_rcv,po_ref,A519,po_status,"&lt;&gt;Annulé"))</f>
        <v/>
      </c>
      <c r="I519" s="74" t="str">
        <f>IF(A519="","",SUMIFS(po_rest,po_ref,A519,po_key,"&gt;0"))</f>
        <v/>
      </c>
      <c r="J519" s="70" t="str">
        <f>IF(A519="","",IF(COUNTIFS(po_ref,A519,po_status,"&lt;&gt;Annulé")=0,"",INDEX(po_price,SUMPRODUCT(MAX((po_ref=A519)*(po_status&lt;&gt;"Annulé")*(ROW(po_ref)-5))))))</f>
        <v/>
      </c>
      <c r="K519" s="67" t="str">
        <f>IF(A519="","",IF(COUNTIF(art_ref,A519)&gt;1,"Référence en double",IF(B519="","Désignation manquante",IF(NOT(ISNUMBER(D519)),"Prix manquant",IF(E519="","TVA manquante",IF(ISNA(MATCH(E519,p_tva,0)),"Taux de TVA inconnu",IF(AND(F519&lt;&gt;"",ISNA(MATCH(F519,sup_code,0))),"Fournisseur inconnu","OK")))))))</f>
        <v/>
      </c>
    </row>
    <row r="520">
      <c r="A520" s="63" t="n"/>
      <c r="B520" s="63" t="n"/>
      <c r="C520" s="65" t="n"/>
      <c r="D520" s="69" t="n"/>
      <c r="E520" s="71" t="n"/>
      <c r="F520" s="65" t="n"/>
      <c r="G520" s="74" t="str">
        <f>IF(A520="","",SUMIFS(po_qty,po_ref,A520,po_status,"&lt;&gt;Annulé"))</f>
        <v/>
      </c>
      <c r="H520" s="74" t="str">
        <f>IF(A520="","",SUMIFS(po_rcv,po_ref,A520,po_status,"&lt;&gt;Annulé"))</f>
        <v/>
      </c>
      <c r="I520" s="74" t="str">
        <f>IF(A520="","",SUMIFS(po_rest,po_ref,A520,po_key,"&gt;0"))</f>
        <v/>
      </c>
      <c r="J520" s="70" t="str">
        <f>IF(A520="","",IF(COUNTIFS(po_ref,A520,po_status,"&lt;&gt;Annulé")=0,"",INDEX(po_price,SUMPRODUCT(MAX((po_ref=A520)*(po_status&lt;&gt;"Annulé")*(ROW(po_ref)-5))))))</f>
        <v/>
      </c>
      <c r="K520" s="67" t="str">
        <f>IF(A520="","",IF(COUNTIF(art_ref,A520)&gt;1,"Référence en double",IF(B520="","Désignation manquante",IF(NOT(ISNUMBER(D520)),"Prix manquant",IF(E520="","TVA manquante",IF(ISNA(MATCH(E520,p_tva,0)),"Taux de TVA inconnu",IF(AND(F520&lt;&gt;"",ISNA(MATCH(F520,sup_code,0))),"Fournisseur inconnu","OK")))))))</f>
        <v/>
      </c>
    </row>
    <row r="521">
      <c r="A521" s="63" t="n"/>
      <c r="B521" s="63" t="n"/>
      <c r="C521" s="65" t="n"/>
      <c r="D521" s="69" t="n"/>
      <c r="E521" s="71" t="n"/>
      <c r="F521" s="65" t="n"/>
      <c r="G521" s="74" t="str">
        <f>IF(A521="","",SUMIFS(po_qty,po_ref,A521,po_status,"&lt;&gt;Annulé"))</f>
        <v/>
      </c>
      <c r="H521" s="74" t="str">
        <f>IF(A521="","",SUMIFS(po_rcv,po_ref,A521,po_status,"&lt;&gt;Annulé"))</f>
        <v/>
      </c>
      <c r="I521" s="74" t="str">
        <f>IF(A521="","",SUMIFS(po_rest,po_ref,A521,po_key,"&gt;0"))</f>
        <v/>
      </c>
      <c r="J521" s="70" t="str">
        <f>IF(A521="","",IF(COUNTIFS(po_ref,A521,po_status,"&lt;&gt;Annulé")=0,"",INDEX(po_price,SUMPRODUCT(MAX((po_ref=A521)*(po_status&lt;&gt;"Annulé")*(ROW(po_ref)-5))))))</f>
        <v/>
      </c>
      <c r="K521" s="67" t="str">
        <f>IF(A521="","",IF(COUNTIF(art_ref,A521)&gt;1,"Référence en double",IF(B521="","Désignation manquante",IF(NOT(ISNUMBER(D521)),"Prix manquant",IF(E521="","TVA manquante",IF(ISNA(MATCH(E521,p_tva,0)),"Taux de TVA inconnu",IF(AND(F521&lt;&gt;"",ISNA(MATCH(F521,sup_code,0))),"Fournisseur inconnu","OK")))))))</f>
        <v/>
      </c>
    </row>
    <row r="522">
      <c r="A522" s="63" t="n"/>
      <c r="B522" s="63" t="n"/>
      <c r="C522" s="65" t="n"/>
      <c r="D522" s="69" t="n"/>
      <c r="E522" s="71" t="n"/>
      <c r="F522" s="65" t="n"/>
      <c r="G522" s="74" t="str">
        <f>IF(A522="","",SUMIFS(po_qty,po_ref,A522,po_status,"&lt;&gt;Annulé"))</f>
        <v/>
      </c>
      <c r="H522" s="74" t="str">
        <f>IF(A522="","",SUMIFS(po_rcv,po_ref,A522,po_status,"&lt;&gt;Annulé"))</f>
        <v/>
      </c>
      <c r="I522" s="74" t="str">
        <f>IF(A522="","",SUMIFS(po_rest,po_ref,A522,po_key,"&gt;0"))</f>
        <v/>
      </c>
      <c r="J522" s="70" t="str">
        <f>IF(A522="","",IF(COUNTIFS(po_ref,A522,po_status,"&lt;&gt;Annulé")=0,"",INDEX(po_price,SUMPRODUCT(MAX((po_ref=A522)*(po_status&lt;&gt;"Annulé")*(ROW(po_ref)-5))))))</f>
        <v/>
      </c>
      <c r="K522" s="67" t="str">
        <f>IF(A522="","",IF(COUNTIF(art_ref,A522)&gt;1,"Référence en double",IF(B522="","Désignation manquante",IF(NOT(ISNUMBER(D522)),"Prix manquant",IF(E522="","TVA manquante",IF(ISNA(MATCH(E522,p_tva,0)),"Taux de TVA inconnu",IF(AND(F522&lt;&gt;"",ISNA(MATCH(F522,sup_code,0))),"Fournisseur inconnu","OK")))))))</f>
        <v/>
      </c>
    </row>
    <row r="523">
      <c r="A523" s="63" t="n"/>
      <c r="B523" s="63" t="n"/>
      <c r="C523" s="65" t="n"/>
      <c r="D523" s="69" t="n"/>
      <c r="E523" s="71" t="n"/>
      <c r="F523" s="65" t="n"/>
      <c r="G523" s="74" t="str">
        <f>IF(A523="","",SUMIFS(po_qty,po_ref,A523,po_status,"&lt;&gt;Annulé"))</f>
        <v/>
      </c>
      <c r="H523" s="74" t="str">
        <f>IF(A523="","",SUMIFS(po_rcv,po_ref,A523,po_status,"&lt;&gt;Annulé"))</f>
        <v/>
      </c>
      <c r="I523" s="74" t="str">
        <f>IF(A523="","",SUMIFS(po_rest,po_ref,A523,po_key,"&gt;0"))</f>
        <v/>
      </c>
      <c r="J523" s="70" t="str">
        <f>IF(A523="","",IF(COUNTIFS(po_ref,A523,po_status,"&lt;&gt;Annulé")=0,"",INDEX(po_price,SUMPRODUCT(MAX((po_ref=A523)*(po_status&lt;&gt;"Annulé")*(ROW(po_ref)-5))))))</f>
        <v/>
      </c>
      <c r="K523" s="67" t="str">
        <f>IF(A523="","",IF(COUNTIF(art_ref,A523)&gt;1,"Référence en double",IF(B523="","Désignation manquante",IF(NOT(ISNUMBER(D523)),"Prix manquant",IF(E523="","TVA manquante",IF(ISNA(MATCH(E523,p_tva,0)),"Taux de TVA inconnu",IF(AND(F523&lt;&gt;"",ISNA(MATCH(F523,sup_code,0))),"Fournisseur inconnu","OK")))))))</f>
        <v/>
      </c>
    </row>
    <row r="524">
      <c r="A524" s="63" t="n"/>
      <c r="B524" s="63" t="n"/>
      <c r="C524" s="65" t="n"/>
      <c r="D524" s="69" t="n"/>
      <c r="E524" s="71" t="n"/>
      <c r="F524" s="65" t="n"/>
      <c r="G524" s="74" t="str">
        <f>IF(A524="","",SUMIFS(po_qty,po_ref,A524,po_status,"&lt;&gt;Annulé"))</f>
        <v/>
      </c>
      <c r="H524" s="74" t="str">
        <f>IF(A524="","",SUMIFS(po_rcv,po_ref,A524,po_status,"&lt;&gt;Annulé"))</f>
        <v/>
      </c>
      <c r="I524" s="74" t="str">
        <f>IF(A524="","",SUMIFS(po_rest,po_ref,A524,po_key,"&gt;0"))</f>
        <v/>
      </c>
      <c r="J524" s="70" t="str">
        <f>IF(A524="","",IF(COUNTIFS(po_ref,A524,po_status,"&lt;&gt;Annulé")=0,"",INDEX(po_price,SUMPRODUCT(MAX((po_ref=A524)*(po_status&lt;&gt;"Annulé")*(ROW(po_ref)-5))))))</f>
        <v/>
      </c>
      <c r="K524" s="67" t="str">
        <f>IF(A524="","",IF(COUNTIF(art_ref,A524)&gt;1,"Référence en double",IF(B524="","Désignation manquante",IF(NOT(ISNUMBER(D524)),"Prix manquant",IF(E524="","TVA manquante",IF(ISNA(MATCH(E524,p_tva,0)),"Taux de TVA inconnu",IF(AND(F524&lt;&gt;"",ISNA(MATCH(F524,sup_code,0))),"Fournisseur inconnu","OK")))))))</f>
        <v/>
      </c>
    </row>
    <row r="525">
      <c r="A525" s="63" t="n"/>
      <c r="B525" s="63" t="n"/>
      <c r="C525" s="65" t="n"/>
      <c r="D525" s="69" t="n"/>
      <c r="E525" s="71" t="n"/>
      <c r="F525" s="65" t="n"/>
      <c r="G525" s="74" t="str">
        <f>IF(A525="","",SUMIFS(po_qty,po_ref,A525,po_status,"&lt;&gt;Annulé"))</f>
        <v/>
      </c>
      <c r="H525" s="74" t="str">
        <f>IF(A525="","",SUMIFS(po_rcv,po_ref,A525,po_status,"&lt;&gt;Annulé"))</f>
        <v/>
      </c>
      <c r="I525" s="74" t="str">
        <f>IF(A525="","",SUMIFS(po_rest,po_ref,A525,po_key,"&gt;0"))</f>
        <v/>
      </c>
      <c r="J525" s="70" t="str">
        <f>IF(A525="","",IF(COUNTIFS(po_ref,A525,po_status,"&lt;&gt;Annulé")=0,"",INDEX(po_price,SUMPRODUCT(MAX((po_ref=A525)*(po_status&lt;&gt;"Annulé")*(ROW(po_ref)-5))))))</f>
        <v/>
      </c>
      <c r="K525" s="67" t="str">
        <f>IF(A525="","",IF(COUNTIF(art_ref,A525)&gt;1,"Référence en double",IF(B525="","Désignation manquante",IF(NOT(ISNUMBER(D525)),"Prix manquant",IF(E525="","TVA manquante",IF(ISNA(MATCH(E525,p_tva,0)),"Taux de TVA inconnu",IF(AND(F525&lt;&gt;"",ISNA(MATCH(F525,sup_code,0))),"Fournisseur inconnu","OK")))))))</f>
        <v/>
      </c>
    </row>
    <row r="526">
      <c r="A526" s="63" t="n"/>
      <c r="B526" s="63" t="n"/>
      <c r="C526" s="65" t="n"/>
      <c r="D526" s="69" t="n"/>
      <c r="E526" s="71" t="n"/>
      <c r="F526" s="65" t="n"/>
      <c r="G526" s="74" t="str">
        <f>IF(A526="","",SUMIFS(po_qty,po_ref,A526,po_status,"&lt;&gt;Annulé"))</f>
        <v/>
      </c>
      <c r="H526" s="74" t="str">
        <f>IF(A526="","",SUMIFS(po_rcv,po_ref,A526,po_status,"&lt;&gt;Annulé"))</f>
        <v/>
      </c>
      <c r="I526" s="74" t="str">
        <f>IF(A526="","",SUMIFS(po_rest,po_ref,A526,po_key,"&gt;0"))</f>
        <v/>
      </c>
      <c r="J526" s="70" t="str">
        <f>IF(A526="","",IF(COUNTIFS(po_ref,A526,po_status,"&lt;&gt;Annulé")=0,"",INDEX(po_price,SUMPRODUCT(MAX((po_ref=A526)*(po_status&lt;&gt;"Annulé")*(ROW(po_ref)-5))))))</f>
        <v/>
      </c>
      <c r="K526" s="67" t="str">
        <f>IF(A526="","",IF(COUNTIF(art_ref,A526)&gt;1,"Référence en double",IF(B526="","Désignation manquante",IF(NOT(ISNUMBER(D526)),"Prix manquant",IF(E526="","TVA manquante",IF(ISNA(MATCH(E526,p_tva,0)),"Taux de TVA inconnu",IF(AND(F526&lt;&gt;"",ISNA(MATCH(F526,sup_code,0))),"Fournisseur inconnu","OK")))))))</f>
        <v/>
      </c>
    </row>
    <row r="527">
      <c r="A527" s="63" t="n"/>
      <c r="B527" s="63" t="n"/>
      <c r="C527" s="65" t="n"/>
      <c r="D527" s="69" t="n"/>
      <c r="E527" s="71" t="n"/>
      <c r="F527" s="65" t="n"/>
      <c r="G527" s="74" t="str">
        <f>IF(A527="","",SUMIFS(po_qty,po_ref,A527,po_status,"&lt;&gt;Annulé"))</f>
        <v/>
      </c>
      <c r="H527" s="74" t="str">
        <f>IF(A527="","",SUMIFS(po_rcv,po_ref,A527,po_status,"&lt;&gt;Annulé"))</f>
        <v/>
      </c>
      <c r="I527" s="74" t="str">
        <f>IF(A527="","",SUMIFS(po_rest,po_ref,A527,po_key,"&gt;0"))</f>
        <v/>
      </c>
      <c r="J527" s="70" t="str">
        <f>IF(A527="","",IF(COUNTIFS(po_ref,A527,po_status,"&lt;&gt;Annulé")=0,"",INDEX(po_price,SUMPRODUCT(MAX((po_ref=A527)*(po_status&lt;&gt;"Annulé")*(ROW(po_ref)-5))))))</f>
        <v/>
      </c>
      <c r="K527" s="67" t="str">
        <f>IF(A527="","",IF(COUNTIF(art_ref,A527)&gt;1,"Référence en double",IF(B527="","Désignation manquante",IF(NOT(ISNUMBER(D527)),"Prix manquant",IF(E527="","TVA manquante",IF(ISNA(MATCH(E527,p_tva,0)),"Taux de TVA inconnu",IF(AND(F527&lt;&gt;"",ISNA(MATCH(F527,sup_code,0))),"Fournisseur inconnu","OK")))))))</f>
        <v/>
      </c>
    </row>
    <row r="528">
      <c r="A528" s="63" t="n"/>
      <c r="B528" s="63" t="n"/>
      <c r="C528" s="65" t="n"/>
      <c r="D528" s="69" t="n"/>
      <c r="E528" s="71" t="n"/>
      <c r="F528" s="65" t="n"/>
      <c r="G528" s="74" t="str">
        <f>IF(A528="","",SUMIFS(po_qty,po_ref,A528,po_status,"&lt;&gt;Annulé"))</f>
        <v/>
      </c>
      <c r="H528" s="74" t="str">
        <f>IF(A528="","",SUMIFS(po_rcv,po_ref,A528,po_status,"&lt;&gt;Annulé"))</f>
        <v/>
      </c>
      <c r="I528" s="74" t="str">
        <f>IF(A528="","",SUMIFS(po_rest,po_ref,A528,po_key,"&gt;0"))</f>
        <v/>
      </c>
      <c r="J528" s="70" t="str">
        <f>IF(A528="","",IF(COUNTIFS(po_ref,A528,po_status,"&lt;&gt;Annulé")=0,"",INDEX(po_price,SUMPRODUCT(MAX((po_ref=A528)*(po_status&lt;&gt;"Annulé")*(ROW(po_ref)-5))))))</f>
        <v/>
      </c>
      <c r="K528" s="67" t="str">
        <f>IF(A528="","",IF(COUNTIF(art_ref,A528)&gt;1,"Référence en double",IF(B528="","Désignation manquante",IF(NOT(ISNUMBER(D528)),"Prix manquant",IF(E528="","TVA manquante",IF(ISNA(MATCH(E528,p_tva,0)),"Taux de TVA inconnu",IF(AND(F528&lt;&gt;"",ISNA(MATCH(F528,sup_code,0))),"Fournisseur inconnu","OK")))))))</f>
        <v/>
      </c>
    </row>
    <row r="529">
      <c r="A529" s="63" t="n"/>
      <c r="B529" s="63" t="n"/>
      <c r="C529" s="65" t="n"/>
      <c r="D529" s="69" t="n"/>
      <c r="E529" s="71" t="n"/>
      <c r="F529" s="65" t="n"/>
      <c r="G529" s="74" t="str">
        <f>IF(A529="","",SUMIFS(po_qty,po_ref,A529,po_status,"&lt;&gt;Annulé"))</f>
        <v/>
      </c>
      <c r="H529" s="74" t="str">
        <f>IF(A529="","",SUMIFS(po_rcv,po_ref,A529,po_status,"&lt;&gt;Annulé"))</f>
        <v/>
      </c>
      <c r="I529" s="74" t="str">
        <f>IF(A529="","",SUMIFS(po_rest,po_ref,A529,po_key,"&gt;0"))</f>
        <v/>
      </c>
      <c r="J529" s="70" t="str">
        <f>IF(A529="","",IF(COUNTIFS(po_ref,A529,po_status,"&lt;&gt;Annulé")=0,"",INDEX(po_price,SUMPRODUCT(MAX((po_ref=A529)*(po_status&lt;&gt;"Annulé")*(ROW(po_ref)-5))))))</f>
        <v/>
      </c>
      <c r="K529" s="67" t="str">
        <f>IF(A529="","",IF(COUNTIF(art_ref,A529)&gt;1,"Référence en double",IF(B529="","Désignation manquante",IF(NOT(ISNUMBER(D529)),"Prix manquant",IF(E529="","TVA manquante",IF(ISNA(MATCH(E529,p_tva,0)),"Taux de TVA inconnu",IF(AND(F529&lt;&gt;"",ISNA(MATCH(F529,sup_code,0))),"Fournisseur inconnu","OK")))))))</f>
        <v/>
      </c>
    </row>
    <row r="530">
      <c r="A530" s="63" t="n"/>
      <c r="B530" s="63" t="n"/>
      <c r="C530" s="65" t="n"/>
      <c r="D530" s="69" t="n"/>
      <c r="E530" s="71" t="n"/>
      <c r="F530" s="65" t="n"/>
      <c r="G530" s="74" t="str">
        <f>IF(A530="","",SUMIFS(po_qty,po_ref,A530,po_status,"&lt;&gt;Annulé"))</f>
        <v/>
      </c>
      <c r="H530" s="74" t="str">
        <f>IF(A530="","",SUMIFS(po_rcv,po_ref,A530,po_status,"&lt;&gt;Annulé"))</f>
        <v/>
      </c>
      <c r="I530" s="74" t="str">
        <f>IF(A530="","",SUMIFS(po_rest,po_ref,A530,po_key,"&gt;0"))</f>
        <v/>
      </c>
      <c r="J530" s="70" t="str">
        <f>IF(A530="","",IF(COUNTIFS(po_ref,A530,po_status,"&lt;&gt;Annulé")=0,"",INDEX(po_price,SUMPRODUCT(MAX((po_ref=A530)*(po_status&lt;&gt;"Annulé")*(ROW(po_ref)-5))))))</f>
        <v/>
      </c>
      <c r="K530" s="67" t="str">
        <f>IF(A530="","",IF(COUNTIF(art_ref,A530)&gt;1,"Référence en double",IF(B530="","Désignation manquante",IF(NOT(ISNUMBER(D530)),"Prix manquant",IF(E530="","TVA manquante",IF(ISNA(MATCH(E530,p_tva,0)),"Taux de TVA inconnu",IF(AND(F530&lt;&gt;"",ISNA(MATCH(F530,sup_code,0))),"Fournisseur inconnu","OK")))))))</f>
        <v/>
      </c>
    </row>
    <row r="531">
      <c r="A531" s="63" t="n"/>
      <c r="B531" s="63" t="n"/>
      <c r="C531" s="65" t="n"/>
      <c r="D531" s="69" t="n"/>
      <c r="E531" s="71" t="n"/>
      <c r="F531" s="65" t="n"/>
      <c r="G531" s="74" t="str">
        <f>IF(A531="","",SUMIFS(po_qty,po_ref,A531,po_status,"&lt;&gt;Annulé"))</f>
        <v/>
      </c>
      <c r="H531" s="74" t="str">
        <f>IF(A531="","",SUMIFS(po_rcv,po_ref,A531,po_status,"&lt;&gt;Annulé"))</f>
        <v/>
      </c>
      <c r="I531" s="74" t="str">
        <f>IF(A531="","",SUMIFS(po_rest,po_ref,A531,po_key,"&gt;0"))</f>
        <v/>
      </c>
      <c r="J531" s="70" t="str">
        <f>IF(A531="","",IF(COUNTIFS(po_ref,A531,po_status,"&lt;&gt;Annulé")=0,"",INDEX(po_price,SUMPRODUCT(MAX((po_ref=A531)*(po_status&lt;&gt;"Annulé")*(ROW(po_ref)-5))))))</f>
        <v/>
      </c>
      <c r="K531" s="67" t="str">
        <f>IF(A531="","",IF(COUNTIF(art_ref,A531)&gt;1,"Référence en double",IF(B531="","Désignation manquante",IF(NOT(ISNUMBER(D531)),"Prix manquant",IF(E531="","TVA manquante",IF(ISNA(MATCH(E531,p_tva,0)),"Taux de TVA inconnu",IF(AND(F531&lt;&gt;"",ISNA(MATCH(F531,sup_code,0))),"Fournisseur inconnu","OK")))))))</f>
        <v/>
      </c>
    </row>
    <row r="532">
      <c r="A532" s="63" t="n"/>
      <c r="B532" s="63" t="n"/>
      <c r="C532" s="65" t="n"/>
      <c r="D532" s="69" t="n"/>
      <c r="E532" s="71" t="n"/>
      <c r="F532" s="65" t="n"/>
      <c r="G532" s="74" t="str">
        <f>IF(A532="","",SUMIFS(po_qty,po_ref,A532,po_status,"&lt;&gt;Annulé"))</f>
        <v/>
      </c>
      <c r="H532" s="74" t="str">
        <f>IF(A532="","",SUMIFS(po_rcv,po_ref,A532,po_status,"&lt;&gt;Annulé"))</f>
        <v/>
      </c>
      <c r="I532" s="74" t="str">
        <f>IF(A532="","",SUMIFS(po_rest,po_ref,A532,po_key,"&gt;0"))</f>
        <v/>
      </c>
      <c r="J532" s="70" t="str">
        <f>IF(A532="","",IF(COUNTIFS(po_ref,A532,po_status,"&lt;&gt;Annulé")=0,"",INDEX(po_price,SUMPRODUCT(MAX((po_ref=A532)*(po_status&lt;&gt;"Annulé")*(ROW(po_ref)-5))))))</f>
        <v/>
      </c>
      <c r="K532" s="67" t="str">
        <f>IF(A532="","",IF(COUNTIF(art_ref,A532)&gt;1,"Référence en double",IF(B532="","Désignation manquante",IF(NOT(ISNUMBER(D532)),"Prix manquant",IF(E532="","TVA manquante",IF(ISNA(MATCH(E532,p_tva,0)),"Taux de TVA inconnu",IF(AND(F532&lt;&gt;"",ISNA(MATCH(F532,sup_code,0))),"Fournisseur inconnu","OK")))))))</f>
        <v/>
      </c>
    </row>
    <row r="533">
      <c r="A533" s="63" t="n"/>
      <c r="B533" s="63" t="n"/>
      <c r="C533" s="65" t="n"/>
      <c r="D533" s="69" t="n"/>
      <c r="E533" s="71" t="n"/>
      <c r="F533" s="65" t="n"/>
      <c r="G533" s="74" t="str">
        <f>IF(A533="","",SUMIFS(po_qty,po_ref,A533,po_status,"&lt;&gt;Annulé"))</f>
        <v/>
      </c>
      <c r="H533" s="74" t="str">
        <f>IF(A533="","",SUMIFS(po_rcv,po_ref,A533,po_status,"&lt;&gt;Annulé"))</f>
        <v/>
      </c>
      <c r="I533" s="74" t="str">
        <f>IF(A533="","",SUMIFS(po_rest,po_ref,A533,po_key,"&gt;0"))</f>
        <v/>
      </c>
      <c r="J533" s="70" t="str">
        <f>IF(A533="","",IF(COUNTIFS(po_ref,A533,po_status,"&lt;&gt;Annulé")=0,"",INDEX(po_price,SUMPRODUCT(MAX((po_ref=A533)*(po_status&lt;&gt;"Annulé")*(ROW(po_ref)-5))))))</f>
        <v/>
      </c>
      <c r="K533" s="67" t="str">
        <f>IF(A533="","",IF(COUNTIF(art_ref,A533)&gt;1,"Référence en double",IF(B533="","Désignation manquante",IF(NOT(ISNUMBER(D533)),"Prix manquant",IF(E533="","TVA manquante",IF(ISNA(MATCH(E533,p_tva,0)),"Taux de TVA inconnu",IF(AND(F533&lt;&gt;"",ISNA(MATCH(F533,sup_code,0))),"Fournisseur inconnu","OK")))))))</f>
        <v/>
      </c>
    </row>
    <row r="534">
      <c r="A534" s="63" t="n"/>
      <c r="B534" s="63" t="n"/>
      <c r="C534" s="65" t="n"/>
      <c r="D534" s="69" t="n"/>
      <c r="E534" s="71" t="n"/>
      <c r="F534" s="65" t="n"/>
      <c r="G534" s="74" t="str">
        <f>IF(A534="","",SUMIFS(po_qty,po_ref,A534,po_status,"&lt;&gt;Annulé"))</f>
        <v/>
      </c>
      <c r="H534" s="74" t="str">
        <f>IF(A534="","",SUMIFS(po_rcv,po_ref,A534,po_status,"&lt;&gt;Annulé"))</f>
        <v/>
      </c>
      <c r="I534" s="74" t="str">
        <f>IF(A534="","",SUMIFS(po_rest,po_ref,A534,po_key,"&gt;0"))</f>
        <v/>
      </c>
      <c r="J534" s="70" t="str">
        <f>IF(A534="","",IF(COUNTIFS(po_ref,A534,po_status,"&lt;&gt;Annulé")=0,"",INDEX(po_price,SUMPRODUCT(MAX((po_ref=A534)*(po_status&lt;&gt;"Annulé")*(ROW(po_ref)-5))))))</f>
        <v/>
      </c>
      <c r="K534" s="67" t="str">
        <f>IF(A534="","",IF(COUNTIF(art_ref,A534)&gt;1,"Référence en double",IF(B534="","Désignation manquante",IF(NOT(ISNUMBER(D534)),"Prix manquant",IF(E534="","TVA manquante",IF(ISNA(MATCH(E534,p_tva,0)),"Taux de TVA inconnu",IF(AND(F534&lt;&gt;"",ISNA(MATCH(F534,sup_code,0))),"Fournisseur inconnu","OK")))))))</f>
        <v/>
      </c>
    </row>
    <row r="535">
      <c r="A535" s="63" t="n"/>
      <c r="B535" s="63" t="n"/>
      <c r="C535" s="65" t="n"/>
      <c r="D535" s="69" t="n"/>
      <c r="E535" s="71" t="n"/>
      <c r="F535" s="65" t="n"/>
      <c r="G535" s="74" t="str">
        <f>IF(A535="","",SUMIFS(po_qty,po_ref,A535,po_status,"&lt;&gt;Annulé"))</f>
        <v/>
      </c>
      <c r="H535" s="74" t="str">
        <f>IF(A535="","",SUMIFS(po_rcv,po_ref,A535,po_status,"&lt;&gt;Annulé"))</f>
        <v/>
      </c>
      <c r="I535" s="74" t="str">
        <f>IF(A535="","",SUMIFS(po_rest,po_ref,A535,po_key,"&gt;0"))</f>
        <v/>
      </c>
      <c r="J535" s="70" t="str">
        <f>IF(A535="","",IF(COUNTIFS(po_ref,A535,po_status,"&lt;&gt;Annulé")=0,"",INDEX(po_price,SUMPRODUCT(MAX((po_ref=A535)*(po_status&lt;&gt;"Annulé")*(ROW(po_ref)-5))))))</f>
        <v/>
      </c>
      <c r="K535" s="67" t="str">
        <f>IF(A535="","",IF(COUNTIF(art_ref,A535)&gt;1,"Référence en double",IF(B535="","Désignation manquante",IF(NOT(ISNUMBER(D535)),"Prix manquant",IF(E535="","TVA manquante",IF(ISNA(MATCH(E535,p_tva,0)),"Taux de TVA inconnu",IF(AND(F535&lt;&gt;"",ISNA(MATCH(F535,sup_code,0))),"Fournisseur inconnu","OK")))))))</f>
        <v/>
      </c>
    </row>
    <row r="536">
      <c r="A536" s="63" t="n"/>
      <c r="B536" s="63" t="n"/>
      <c r="C536" s="65" t="n"/>
      <c r="D536" s="69" t="n"/>
      <c r="E536" s="71" t="n"/>
      <c r="F536" s="65" t="n"/>
      <c r="G536" s="74" t="str">
        <f>IF(A536="","",SUMIFS(po_qty,po_ref,A536,po_status,"&lt;&gt;Annulé"))</f>
        <v/>
      </c>
      <c r="H536" s="74" t="str">
        <f>IF(A536="","",SUMIFS(po_rcv,po_ref,A536,po_status,"&lt;&gt;Annulé"))</f>
        <v/>
      </c>
      <c r="I536" s="74" t="str">
        <f>IF(A536="","",SUMIFS(po_rest,po_ref,A536,po_key,"&gt;0"))</f>
        <v/>
      </c>
      <c r="J536" s="70" t="str">
        <f>IF(A536="","",IF(COUNTIFS(po_ref,A536,po_status,"&lt;&gt;Annulé")=0,"",INDEX(po_price,SUMPRODUCT(MAX((po_ref=A536)*(po_status&lt;&gt;"Annulé")*(ROW(po_ref)-5))))))</f>
        <v/>
      </c>
      <c r="K536" s="67" t="str">
        <f>IF(A536="","",IF(COUNTIF(art_ref,A536)&gt;1,"Référence en double",IF(B536="","Désignation manquante",IF(NOT(ISNUMBER(D536)),"Prix manquant",IF(E536="","TVA manquante",IF(ISNA(MATCH(E536,p_tva,0)),"Taux de TVA inconnu",IF(AND(F536&lt;&gt;"",ISNA(MATCH(F536,sup_code,0))),"Fournisseur inconnu","OK")))))))</f>
        <v/>
      </c>
    </row>
    <row r="537">
      <c r="A537" s="63" t="n"/>
      <c r="B537" s="63" t="n"/>
      <c r="C537" s="65" t="n"/>
      <c r="D537" s="69" t="n"/>
      <c r="E537" s="71" t="n"/>
      <c r="F537" s="65" t="n"/>
      <c r="G537" s="74" t="str">
        <f>IF(A537="","",SUMIFS(po_qty,po_ref,A537,po_status,"&lt;&gt;Annulé"))</f>
        <v/>
      </c>
      <c r="H537" s="74" t="str">
        <f>IF(A537="","",SUMIFS(po_rcv,po_ref,A537,po_status,"&lt;&gt;Annulé"))</f>
        <v/>
      </c>
      <c r="I537" s="74" t="str">
        <f>IF(A537="","",SUMIFS(po_rest,po_ref,A537,po_key,"&gt;0"))</f>
        <v/>
      </c>
      <c r="J537" s="70" t="str">
        <f>IF(A537="","",IF(COUNTIFS(po_ref,A537,po_status,"&lt;&gt;Annulé")=0,"",INDEX(po_price,SUMPRODUCT(MAX((po_ref=A537)*(po_status&lt;&gt;"Annulé")*(ROW(po_ref)-5))))))</f>
        <v/>
      </c>
      <c r="K537" s="67" t="str">
        <f>IF(A537="","",IF(COUNTIF(art_ref,A537)&gt;1,"Référence en double",IF(B537="","Désignation manquante",IF(NOT(ISNUMBER(D537)),"Prix manquant",IF(E537="","TVA manquante",IF(ISNA(MATCH(E537,p_tva,0)),"Taux de TVA inconnu",IF(AND(F537&lt;&gt;"",ISNA(MATCH(F537,sup_code,0))),"Fournisseur inconnu","OK")))))))</f>
        <v/>
      </c>
    </row>
    <row r="538">
      <c r="A538" s="63" t="n"/>
      <c r="B538" s="63" t="n"/>
      <c r="C538" s="65" t="n"/>
      <c r="D538" s="69" t="n"/>
      <c r="E538" s="71" t="n"/>
      <c r="F538" s="65" t="n"/>
      <c r="G538" s="74" t="str">
        <f>IF(A538="","",SUMIFS(po_qty,po_ref,A538,po_status,"&lt;&gt;Annulé"))</f>
        <v/>
      </c>
      <c r="H538" s="74" t="str">
        <f>IF(A538="","",SUMIFS(po_rcv,po_ref,A538,po_status,"&lt;&gt;Annulé"))</f>
        <v/>
      </c>
      <c r="I538" s="74" t="str">
        <f>IF(A538="","",SUMIFS(po_rest,po_ref,A538,po_key,"&gt;0"))</f>
        <v/>
      </c>
      <c r="J538" s="70" t="str">
        <f>IF(A538="","",IF(COUNTIFS(po_ref,A538,po_status,"&lt;&gt;Annulé")=0,"",INDEX(po_price,SUMPRODUCT(MAX((po_ref=A538)*(po_status&lt;&gt;"Annulé")*(ROW(po_ref)-5))))))</f>
        <v/>
      </c>
      <c r="K538" s="67" t="str">
        <f>IF(A538="","",IF(COUNTIF(art_ref,A538)&gt;1,"Référence en double",IF(B538="","Désignation manquante",IF(NOT(ISNUMBER(D538)),"Prix manquant",IF(E538="","TVA manquante",IF(ISNA(MATCH(E538,p_tva,0)),"Taux de TVA inconnu",IF(AND(F538&lt;&gt;"",ISNA(MATCH(F538,sup_code,0))),"Fournisseur inconnu","OK")))))))</f>
        <v/>
      </c>
    </row>
    <row r="539">
      <c r="A539" s="63" t="n"/>
      <c r="B539" s="63" t="n"/>
      <c r="C539" s="65" t="n"/>
      <c r="D539" s="69" t="n"/>
      <c r="E539" s="71" t="n"/>
      <c r="F539" s="65" t="n"/>
      <c r="G539" s="74" t="str">
        <f>IF(A539="","",SUMIFS(po_qty,po_ref,A539,po_status,"&lt;&gt;Annulé"))</f>
        <v/>
      </c>
      <c r="H539" s="74" t="str">
        <f>IF(A539="","",SUMIFS(po_rcv,po_ref,A539,po_status,"&lt;&gt;Annulé"))</f>
        <v/>
      </c>
      <c r="I539" s="74" t="str">
        <f>IF(A539="","",SUMIFS(po_rest,po_ref,A539,po_key,"&gt;0"))</f>
        <v/>
      </c>
      <c r="J539" s="70" t="str">
        <f>IF(A539="","",IF(COUNTIFS(po_ref,A539,po_status,"&lt;&gt;Annulé")=0,"",INDEX(po_price,SUMPRODUCT(MAX((po_ref=A539)*(po_status&lt;&gt;"Annulé")*(ROW(po_ref)-5))))))</f>
        <v/>
      </c>
      <c r="K539" s="67" t="str">
        <f>IF(A539="","",IF(COUNTIF(art_ref,A539)&gt;1,"Référence en double",IF(B539="","Désignation manquante",IF(NOT(ISNUMBER(D539)),"Prix manquant",IF(E539="","TVA manquante",IF(ISNA(MATCH(E539,p_tva,0)),"Taux de TVA inconnu",IF(AND(F539&lt;&gt;"",ISNA(MATCH(F539,sup_code,0))),"Fournisseur inconnu","OK")))))))</f>
        <v/>
      </c>
    </row>
    <row r="540">
      <c r="A540" s="63" t="n"/>
      <c r="B540" s="63" t="n"/>
      <c r="C540" s="65" t="n"/>
      <c r="D540" s="69" t="n"/>
      <c r="E540" s="71" t="n"/>
      <c r="F540" s="65" t="n"/>
      <c r="G540" s="74" t="str">
        <f>IF(A540="","",SUMIFS(po_qty,po_ref,A540,po_status,"&lt;&gt;Annulé"))</f>
        <v/>
      </c>
      <c r="H540" s="74" t="str">
        <f>IF(A540="","",SUMIFS(po_rcv,po_ref,A540,po_status,"&lt;&gt;Annulé"))</f>
        <v/>
      </c>
      <c r="I540" s="74" t="str">
        <f>IF(A540="","",SUMIFS(po_rest,po_ref,A540,po_key,"&gt;0"))</f>
        <v/>
      </c>
      <c r="J540" s="70" t="str">
        <f>IF(A540="","",IF(COUNTIFS(po_ref,A540,po_status,"&lt;&gt;Annulé")=0,"",INDEX(po_price,SUMPRODUCT(MAX((po_ref=A540)*(po_status&lt;&gt;"Annulé")*(ROW(po_ref)-5))))))</f>
        <v/>
      </c>
      <c r="K540" s="67" t="str">
        <f>IF(A540="","",IF(COUNTIF(art_ref,A540)&gt;1,"Référence en double",IF(B540="","Désignation manquante",IF(NOT(ISNUMBER(D540)),"Prix manquant",IF(E540="","TVA manquante",IF(ISNA(MATCH(E540,p_tva,0)),"Taux de TVA inconnu",IF(AND(F540&lt;&gt;"",ISNA(MATCH(F540,sup_code,0))),"Fournisseur inconnu","OK")))))))</f>
        <v/>
      </c>
    </row>
    <row r="541">
      <c r="A541" s="63" t="n"/>
      <c r="B541" s="63" t="n"/>
      <c r="C541" s="65" t="n"/>
      <c r="D541" s="69" t="n"/>
      <c r="E541" s="71" t="n"/>
      <c r="F541" s="65" t="n"/>
      <c r="G541" s="74" t="str">
        <f>IF(A541="","",SUMIFS(po_qty,po_ref,A541,po_status,"&lt;&gt;Annulé"))</f>
        <v/>
      </c>
      <c r="H541" s="74" t="str">
        <f>IF(A541="","",SUMIFS(po_rcv,po_ref,A541,po_status,"&lt;&gt;Annulé"))</f>
        <v/>
      </c>
      <c r="I541" s="74" t="str">
        <f>IF(A541="","",SUMIFS(po_rest,po_ref,A541,po_key,"&gt;0"))</f>
        <v/>
      </c>
      <c r="J541" s="70" t="str">
        <f>IF(A541="","",IF(COUNTIFS(po_ref,A541,po_status,"&lt;&gt;Annulé")=0,"",INDEX(po_price,SUMPRODUCT(MAX((po_ref=A541)*(po_status&lt;&gt;"Annulé")*(ROW(po_ref)-5))))))</f>
        <v/>
      </c>
      <c r="K541" s="67" t="str">
        <f>IF(A541="","",IF(COUNTIF(art_ref,A541)&gt;1,"Référence en double",IF(B541="","Désignation manquante",IF(NOT(ISNUMBER(D541)),"Prix manquant",IF(E541="","TVA manquante",IF(ISNA(MATCH(E541,p_tva,0)),"Taux de TVA inconnu",IF(AND(F541&lt;&gt;"",ISNA(MATCH(F541,sup_code,0))),"Fournisseur inconnu","OK")))))))</f>
        <v/>
      </c>
    </row>
    <row r="542">
      <c r="A542" s="63" t="n"/>
      <c r="B542" s="63" t="n"/>
      <c r="C542" s="65" t="n"/>
      <c r="D542" s="69" t="n"/>
      <c r="E542" s="71" t="n"/>
      <c r="F542" s="65" t="n"/>
      <c r="G542" s="74" t="str">
        <f>IF(A542="","",SUMIFS(po_qty,po_ref,A542,po_status,"&lt;&gt;Annulé"))</f>
        <v/>
      </c>
      <c r="H542" s="74" t="str">
        <f>IF(A542="","",SUMIFS(po_rcv,po_ref,A542,po_status,"&lt;&gt;Annulé"))</f>
        <v/>
      </c>
      <c r="I542" s="74" t="str">
        <f>IF(A542="","",SUMIFS(po_rest,po_ref,A542,po_key,"&gt;0"))</f>
        <v/>
      </c>
      <c r="J542" s="70" t="str">
        <f>IF(A542="","",IF(COUNTIFS(po_ref,A542,po_status,"&lt;&gt;Annulé")=0,"",INDEX(po_price,SUMPRODUCT(MAX((po_ref=A542)*(po_status&lt;&gt;"Annulé")*(ROW(po_ref)-5))))))</f>
        <v/>
      </c>
      <c r="K542" s="67" t="str">
        <f>IF(A542="","",IF(COUNTIF(art_ref,A542)&gt;1,"Référence en double",IF(B542="","Désignation manquante",IF(NOT(ISNUMBER(D542)),"Prix manquant",IF(E542="","TVA manquante",IF(ISNA(MATCH(E542,p_tva,0)),"Taux de TVA inconnu",IF(AND(F542&lt;&gt;"",ISNA(MATCH(F542,sup_code,0))),"Fournisseur inconnu","OK")))))))</f>
        <v/>
      </c>
    </row>
    <row r="543">
      <c r="A543" s="63" t="n"/>
      <c r="B543" s="63" t="n"/>
      <c r="C543" s="65" t="n"/>
      <c r="D543" s="69" t="n"/>
      <c r="E543" s="71" t="n"/>
      <c r="F543" s="65" t="n"/>
      <c r="G543" s="74" t="str">
        <f>IF(A543="","",SUMIFS(po_qty,po_ref,A543,po_status,"&lt;&gt;Annulé"))</f>
        <v/>
      </c>
      <c r="H543" s="74" t="str">
        <f>IF(A543="","",SUMIFS(po_rcv,po_ref,A543,po_status,"&lt;&gt;Annulé"))</f>
        <v/>
      </c>
      <c r="I543" s="74" t="str">
        <f>IF(A543="","",SUMIFS(po_rest,po_ref,A543,po_key,"&gt;0"))</f>
        <v/>
      </c>
      <c r="J543" s="70" t="str">
        <f>IF(A543="","",IF(COUNTIFS(po_ref,A543,po_status,"&lt;&gt;Annulé")=0,"",INDEX(po_price,SUMPRODUCT(MAX((po_ref=A543)*(po_status&lt;&gt;"Annulé")*(ROW(po_ref)-5))))))</f>
        <v/>
      </c>
      <c r="K543" s="67" t="str">
        <f>IF(A543="","",IF(COUNTIF(art_ref,A543)&gt;1,"Référence en double",IF(B543="","Désignation manquante",IF(NOT(ISNUMBER(D543)),"Prix manquant",IF(E543="","TVA manquante",IF(ISNA(MATCH(E543,p_tva,0)),"Taux de TVA inconnu",IF(AND(F543&lt;&gt;"",ISNA(MATCH(F543,sup_code,0))),"Fournisseur inconnu","OK")))))))</f>
        <v/>
      </c>
    </row>
    <row r="544">
      <c r="A544" s="63" t="n"/>
      <c r="B544" s="63" t="n"/>
      <c r="C544" s="65" t="n"/>
      <c r="D544" s="69" t="n"/>
      <c r="E544" s="71" t="n"/>
      <c r="F544" s="65" t="n"/>
      <c r="G544" s="74" t="str">
        <f>IF(A544="","",SUMIFS(po_qty,po_ref,A544,po_status,"&lt;&gt;Annulé"))</f>
        <v/>
      </c>
      <c r="H544" s="74" t="str">
        <f>IF(A544="","",SUMIFS(po_rcv,po_ref,A544,po_status,"&lt;&gt;Annulé"))</f>
        <v/>
      </c>
      <c r="I544" s="74" t="str">
        <f>IF(A544="","",SUMIFS(po_rest,po_ref,A544,po_key,"&gt;0"))</f>
        <v/>
      </c>
      <c r="J544" s="70" t="str">
        <f>IF(A544="","",IF(COUNTIFS(po_ref,A544,po_status,"&lt;&gt;Annulé")=0,"",INDEX(po_price,SUMPRODUCT(MAX((po_ref=A544)*(po_status&lt;&gt;"Annulé")*(ROW(po_ref)-5))))))</f>
        <v/>
      </c>
      <c r="K544" s="67" t="str">
        <f>IF(A544="","",IF(COUNTIF(art_ref,A544)&gt;1,"Référence en double",IF(B544="","Désignation manquante",IF(NOT(ISNUMBER(D544)),"Prix manquant",IF(E544="","TVA manquante",IF(ISNA(MATCH(E544,p_tva,0)),"Taux de TVA inconnu",IF(AND(F544&lt;&gt;"",ISNA(MATCH(F544,sup_code,0))),"Fournisseur inconnu","OK")))))))</f>
        <v/>
      </c>
    </row>
    <row r="545">
      <c r="A545" s="63" t="n"/>
      <c r="B545" s="63" t="n"/>
      <c r="C545" s="65" t="n"/>
      <c r="D545" s="69" t="n"/>
      <c r="E545" s="71" t="n"/>
      <c r="F545" s="65" t="n"/>
      <c r="G545" s="74" t="str">
        <f>IF(A545="","",SUMIFS(po_qty,po_ref,A545,po_status,"&lt;&gt;Annulé"))</f>
        <v/>
      </c>
      <c r="H545" s="74" t="str">
        <f>IF(A545="","",SUMIFS(po_rcv,po_ref,A545,po_status,"&lt;&gt;Annulé"))</f>
        <v/>
      </c>
      <c r="I545" s="74" t="str">
        <f>IF(A545="","",SUMIFS(po_rest,po_ref,A545,po_key,"&gt;0"))</f>
        <v/>
      </c>
      <c r="J545" s="70" t="str">
        <f>IF(A545="","",IF(COUNTIFS(po_ref,A545,po_status,"&lt;&gt;Annulé")=0,"",INDEX(po_price,SUMPRODUCT(MAX((po_ref=A545)*(po_status&lt;&gt;"Annulé")*(ROW(po_ref)-5))))))</f>
        <v/>
      </c>
      <c r="K545" s="67" t="str">
        <f>IF(A545="","",IF(COUNTIF(art_ref,A545)&gt;1,"Référence en double",IF(B545="","Désignation manquante",IF(NOT(ISNUMBER(D545)),"Prix manquant",IF(E545="","TVA manquante",IF(ISNA(MATCH(E545,p_tva,0)),"Taux de TVA inconnu",IF(AND(F545&lt;&gt;"",ISNA(MATCH(F545,sup_code,0))),"Fournisseur inconnu","OK")))))))</f>
        <v/>
      </c>
    </row>
    <row r="546">
      <c r="A546" s="63" t="n"/>
      <c r="B546" s="63" t="n"/>
      <c r="C546" s="65" t="n"/>
      <c r="D546" s="69" t="n"/>
      <c r="E546" s="71" t="n"/>
      <c r="F546" s="65" t="n"/>
      <c r="G546" s="74" t="str">
        <f>IF(A546="","",SUMIFS(po_qty,po_ref,A546,po_status,"&lt;&gt;Annulé"))</f>
        <v/>
      </c>
      <c r="H546" s="74" t="str">
        <f>IF(A546="","",SUMIFS(po_rcv,po_ref,A546,po_status,"&lt;&gt;Annulé"))</f>
        <v/>
      </c>
      <c r="I546" s="74" t="str">
        <f>IF(A546="","",SUMIFS(po_rest,po_ref,A546,po_key,"&gt;0"))</f>
        <v/>
      </c>
      <c r="J546" s="70" t="str">
        <f>IF(A546="","",IF(COUNTIFS(po_ref,A546,po_status,"&lt;&gt;Annulé")=0,"",INDEX(po_price,SUMPRODUCT(MAX((po_ref=A546)*(po_status&lt;&gt;"Annulé")*(ROW(po_ref)-5))))))</f>
        <v/>
      </c>
      <c r="K546" s="67" t="str">
        <f>IF(A546="","",IF(COUNTIF(art_ref,A546)&gt;1,"Référence en double",IF(B546="","Désignation manquante",IF(NOT(ISNUMBER(D546)),"Prix manquant",IF(E546="","TVA manquante",IF(ISNA(MATCH(E546,p_tva,0)),"Taux de TVA inconnu",IF(AND(F546&lt;&gt;"",ISNA(MATCH(F546,sup_code,0))),"Fournisseur inconnu","OK")))))))</f>
        <v/>
      </c>
    </row>
    <row r="547">
      <c r="A547" s="63" t="n"/>
      <c r="B547" s="63" t="n"/>
      <c r="C547" s="65" t="n"/>
      <c r="D547" s="69" t="n"/>
      <c r="E547" s="71" t="n"/>
      <c r="F547" s="65" t="n"/>
      <c r="G547" s="74" t="str">
        <f>IF(A547="","",SUMIFS(po_qty,po_ref,A547,po_status,"&lt;&gt;Annulé"))</f>
        <v/>
      </c>
      <c r="H547" s="74" t="str">
        <f>IF(A547="","",SUMIFS(po_rcv,po_ref,A547,po_status,"&lt;&gt;Annulé"))</f>
        <v/>
      </c>
      <c r="I547" s="74" t="str">
        <f>IF(A547="","",SUMIFS(po_rest,po_ref,A547,po_key,"&gt;0"))</f>
        <v/>
      </c>
      <c r="J547" s="70" t="str">
        <f>IF(A547="","",IF(COUNTIFS(po_ref,A547,po_status,"&lt;&gt;Annulé")=0,"",INDEX(po_price,SUMPRODUCT(MAX((po_ref=A547)*(po_status&lt;&gt;"Annulé")*(ROW(po_ref)-5))))))</f>
        <v/>
      </c>
      <c r="K547" s="67" t="str">
        <f>IF(A547="","",IF(COUNTIF(art_ref,A547)&gt;1,"Référence en double",IF(B547="","Désignation manquante",IF(NOT(ISNUMBER(D547)),"Prix manquant",IF(E547="","TVA manquante",IF(ISNA(MATCH(E547,p_tva,0)),"Taux de TVA inconnu",IF(AND(F547&lt;&gt;"",ISNA(MATCH(F547,sup_code,0))),"Fournisseur inconnu","OK")))))))</f>
        <v/>
      </c>
    </row>
    <row r="548">
      <c r="A548" s="63" t="n"/>
      <c r="B548" s="63" t="n"/>
      <c r="C548" s="65" t="n"/>
      <c r="D548" s="69" t="n"/>
      <c r="E548" s="71" t="n"/>
      <c r="F548" s="65" t="n"/>
      <c r="G548" s="74" t="str">
        <f>IF(A548="","",SUMIFS(po_qty,po_ref,A548,po_status,"&lt;&gt;Annulé"))</f>
        <v/>
      </c>
      <c r="H548" s="74" t="str">
        <f>IF(A548="","",SUMIFS(po_rcv,po_ref,A548,po_status,"&lt;&gt;Annulé"))</f>
        <v/>
      </c>
      <c r="I548" s="74" t="str">
        <f>IF(A548="","",SUMIFS(po_rest,po_ref,A548,po_key,"&gt;0"))</f>
        <v/>
      </c>
      <c r="J548" s="70" t="str">
        <f>IF(A548="","",IF(COUNTIFS(po_ref,A548,po_status,"&lt;&gt;Annulé")=0,"",INDEX(po_price,SUMPRODUCT(MAX((po_ref=A548)*(po_status&lt;&gt;"Annulé")*(ROW(po_ref)-5))))))</f>
        <v/>
      </c>
      <c r="K548" s="67" t="str">
        <f>IF(A548="","",IF(COUNTIF(art_ref,A548)&gt;1,"Référence en double",IF(B548="","Désignation manquante",IF(NOT(ISNUMBER(D548)),"Prix manquant",IF(E548="","TVA manquante",IF(ISNA(MATCH(E548,p_tva,0)),"Taux de TVA inconnu",IF(AND(F548&lt;&gt;"",ISNA(MATCH(F548,sup_code,0))),"Fournisseur inconnu","OK")))))))</f>
        <v/>
      </c>
    </row>
    <row r="549">
      <c r="A549" s="63" t="n"/>
      <c r="B549" s="63" t="n"/>
      <c r="C549" s="65" t="n"/>
      <c r="D549" s="69" t="n"/>
      <c r="E549" s="71" t="n"/>
      <c r="F549" s="65" t="n"/>
      <c r="G549" s="74" t="str">
        <f>IF(A549="","",SUMIFS(po_qty,po_ref,A549,po_status,"&lt;&gt;Annulé"))</f>
        <v/>
      </c>
      <c r="H549" s="74" t="str">
        <f>IF(A549="","",SUMIFS(po_rcv,po_ref,A549,po_status,"&lt;&gt;Annulé"))</f>
        <v/>
      </c>
      <c r="I549" s="74" t="str">
        <f>IF(A549="","",SUMIFS(po_rest,po_ref,A549,po_key,"&gt;0"))</f>
        <v/>
      </c>
      <c r="J549" s="70" t="str">
        <f>IF(A549="","",IF(COUNTIFS(po_ref,A549,po_status,"&lt;&gt;Annulé")=0,"",INDEX(po_price,SUMPRODUCT(MAX((po_ref=A549)*(po_status&lt;&gt;"Annulé")*(ROW(po_ref)-5))))))</f>
        <v/>
      </c>
      <c r="K549" s="67" t="str">
        <f>IF(A549="","",IF(COUNTIF(art_ref,A549)&gt;1,"Référence en double",IF(B549="","Désignation manquante",IF(NOT(ISNUMBER(D549)),"Prix manquant",IF(E549="","TVA manquante",IF(ISNA(MATCH(E549,p_tva,0)),"Taux de TVA inconnu",IF(AND(F549&lt;&gt;"",ISNA(MATCH(F549,sup_code,0))),"Fournisseur inconnu","OK")))))))</f>
        <v/>
      </c>
    </row>
    <row r="550">
      <c r="A550" s="63" t="n"/>
      <c r="B550" s="63" t="n"/>
      <c r="C550" s="65" t="n"/>
      <c r="D550" s="69" t="n"/>
      <c r="E550" s="71" t="n"/>
      <c r="F550" s="65" t="n"/>
      <c r="G550" s="74" t="str">
        <f>IF(A550="","",SUMIFS(po_qty,po_ref,A550,po_status,"&lt;&gt;Annulé"))</f>
        <v/>
      </c>
      <c r="H550" s="74" t="str">
        <f>IF(A550="","",SUMIFS(po_rcv,po_ref,A550,po_status,"&lt;&gt;Annulé"))</f>
        <v/>
      </c>
      <c r="I550" s="74" t="str">
        <f>IF(A550="","",SUMIFS(po_rest,po_ref,A550,po_key,"&gt;0"))</f>
        <v/>
      </c>
      <c r="J550" s="70" t="str">
        <f>IF(A550="","",IF(COUNTIFS(po_ref,A550,po_status,"&lt;&gt;Annulé")=0,"",INDEX(po_price,SUMPRODUCT(MAX((po_ref=A550)*(po_status&lt;&gt;"Annulé")*(ROW(po_ref)-5))))))</f>
        <v/>
      </c>
      <c r="K550" s="67" t="str">
        <f>IF(A550="","",IF(COUNTIF(art_ref,A550)&gt;1,"Référence en double",IF(B550="","Désignation manquante",IF(NOT(ISNUMBER(D550)),"Prix manquant",IF(E550="","TVA manquante",IF(ISNA(MATCH(E550,p_tva,0)),"Taux de TVA inconnu",IF(AND(F550&lt;&gt;"",ISNA(MATCH(F550,sup_code,0))),"Fournisseur inconnu","OK")))))))</f>
        <v/>
      </c>
    </row>
    <row r="551">
      <c r="A551" s="63" t="n"/>
      <c r="B551" s="63" t="n"/>
      <c r="C551" s="65" t="n"/>
      <c r="D551" s="69" t="n"/>
      <c r="E551" s="71" t="n"/>
      <c r="F551" s="65" t="n"/>
      <c r="G551" s="74" t="str">
        <f>IF(A551="","",SUMIFS(po_qty,po_ref,A551,po_status,"&lt;&gt;Annulé"))</f>
        <v/>
      </c>
      <c r="H551" s="74" t="str">
        <f>IF(A551="","",SUMIFS(po_rcv,po_ref,A551,po_status,"&lt;&gt;Annulé"))</f>
        <v/>
      </c>
      <c r="I551" s="74" t="str">
        <f>IF(A551="","",SUMIFS(po_rest,po_ref,A551,po_key,"&gt;0"))</f>
        <v/>
      </c>
      <c r="J551" s="70" t="str">
        <f>IF(A551="","",IF(COUNTIFS(po_ref,A551,po_status,"&lt;&gt;Annulé")=0,"",INDEX(po_price,SUMPRODUCT(MAX((po_ref=A551)*(po_status&lt;&gt;"Annulé")*(ROW(po_ref)-5))))))</f>
        <v/>
      </c>
      <c r="K551" s="67" t="str">
        <f>IF(A551="","",IF(COUNTIF(art_ref,A551)&gt;1,"Référence en double",IF(B551="","Désignation manquante",IF(NOT(ISNUMBER(D551)),"Prix manquant",IF(E551="","TVA manquante",IF(ISNA(MATCH(E551,p_tva,0)),"Taux de TVA inconnu",IF(AND(F551&lt;&gt;"",ISNA(MATCH(F551,sup_code,0))),"Fournisseur inconnu","OK")))))))</f>
        <v/>
      </c>
    </row>
    <row r="552">
      <c r="A552" s="63" t="n"/>
      <c r="B552" s="63" t="n"/>
      <c r="C552" s="65" t="n"/>
      <c r="D552" s="69" t="n"/>
      <c r="E552" s="71" t="n"/>
      <c r="F552" s="65" t="n"/>
      <c r="G552" s="74" t="str">
        <f>IF(A552="","",SUMIFS(po_qty,po_ref,A552,po_status,"&lt;&gt;Annulé"))</f>
        <v/>
      </c>
      <c r="H552" s="74" t="str">
        <f>IF(A552="","",SUMIFS(po_rcv,po_ref,A552,po_status,"&lt;&gt;Annulé"))</f>
        <v/>
      </c>
      <c r="I552" s="74" t="str">
        <f>IF(A552="","",SUMIFS(po_rest,po_ref,A552,po_key,"&gt;0"))</f>
        <v/>
      </c>
      <c r="J552" s="70" t="str">
        <f>IF(A552="","",IF(COUNTIFS(po_ref,A552,po_status,"&lt;&gt;Annulé")=0,"",INDEX(po_price,SUMPRODUCT(MAX((po_ref=A552)*(po_status&lt;&gt;"Annulé")*(ROW(po_ref)-5))))))</f>
        <v/>
      </c>
      <c r="K552" s="67" t="str">
        <f>IF(A552="","",IF(COUNTIF(art_ref,A552)&gt;1,"Référence en double",IF(B552="","Désignation manquante",IF(NOT(ISNUMBER(D552)),"Prix manquant",IF(E552="","TVA manquante",IF(ISNA(MATCH(E552,p_tva,0)),"Taux de TVA inconnu",IF(AND(F552&lt;&gt;"",ISNA(MATCH(F552,sup_code,0))),"Fournisseur inconnu","OK")))))))</f>
        <v/>
      </c>
    </row>
    <row r="553">
      <c r="A553" s="63" t="n"/>
      <c r="B553" s="63" t="n"/>
      <c r="C553" s="65" t="n"/>
      <c r="D553" s="69" t="n"/>
      <c r="E553" s="71" t="n"/>
      <c r="F553" s="65" t="n"/>
      <c r="G553" s="74" t="str">
        <f>IF(A553="","",SUMIFS(po_qty,po_ref,A553,po_status,"&lt;&gt;Annulé"))</f>
        <v/>
      </c>
      <c r="H553" s="74" t="str">
        <f>IF(A553="","",SUMIFS(po_rcv,po_ref,A553,po_status,"&lt;&gt;Annulé"))</f>
        <v/>
      </c>
      <c r="I553" s="74" t="str">
        <f>IF(A553="","",SUMIFS(po_rest,po_ref,A553,po_key,"&gt;0"))</f>
        <v/>
      </c>
      <c r="J553" s="70" t="str">
        <f>IF(A553="","",IF(COUNTIFS(po_ref,A553,po_status,"&lt;&gt;Annulé")=0,"",INDEX(po_price,SUMPRODUCT(MAX((po_ref=A553)*(po_status&lt;&gt;"Annulé")*(ROW(po_ref)-5))))))</f>
        <v/>
      </c>
      <c r="K553" s="67" t="str">
        <f>IF(A553="","",IF(COUNTIF(art_ref,A553)&gt;1,"Référence en double",IF(B553="","Désignation manquante",IF(NOT(ISNUMBER(D553)),"Prix manquant",IF(E553="","TVA manquante",IF(ISNA(MATCH(E553,p_tva,0)),"Taux de TVA inconnu",IF(AND(F553&lt;&gt;"",ISNA(MATCH(F553,sup_code,0))),"Fournisseur inconnu","OK")))))))</f>
        <v/>
      </c>
    </row>
    <row r="554">
      <c r="A554" s="63" t="n"/>
      <c r="B554" s="63" t="n"/>
      <c r="C554" s="65" t="n"/>
      <c r="D554" s="69" t="n"/>
      <c r="E554" s="71" t="n"/>
      <c r="F554" s="65" t="n"/>
      <c r="G554" s="74" t="str">
        <f>IF(A554="","",SUMIFS(po_qty,po_ref,A554,po_status,"&lt;&gt;Annulé"))</f>
        <v/>
      </c>
      <c r="H554" s="74" t="str">
        <f>IF(A554="","",SUMIFS(po_rcv,po_ref,A554,po_status,"&lt;&gt;Annulé"))</f>
        <v/>
      </c>
      <c r="I554" s="74" t="str">
        <f>IF(A554="","",SUMIFS(po_rest,po_ref,A554,po_key,"&gt;0"))</f>
        <v/>
      </c>
      <c r="J554" s="70" t="str">
        <f>IF(A554="","",IF(COUNTIFS(po_ref,A554,po_status,"&lt;&gt;Annulé")=0,"",INDEX(po_price,SUMPRODUCT(MAX((po_ref=A554)*(po_status&lt;&gt;"Annulé")*(ROW(po_ref)-5))))))</f>
        <v/>
      </c>
      <c r="K554" s="67" t="str">
        <f>IF(A554="","",IF(COUNTIF(art_ref,A554)&gt;1,"Référence en double",IF(B554="","Désignation manquante",IF(NOT(ISNUMBER(D554)),"Prix manquant",IF(E554="","TVA manquante",IF(ISNA(MATCH(E554,p_tva,0)),"Taux de TVA inconnu",IF(AND(F554&lt;&gt;"",ISNA(MATCH(F554,sup_code,0))),"Fournisseur inconnu","OK")))))))</f>
        <v/>
      </c>
    </row>
    <row r="555">
      <c r="A555" s="63" t="n"/>
      <c r="B555" s="63" t="n"/>
      <c r="C555" s="65" t="n"/>
      <c r="D555" s="69" t="n"/>
      <c r="E555" s="71" t="n"/>
      <c r="F555" s="65" t="n"/>
      <c r="G555" s="74" t="str">
        <f>IF(A555="","",SUMIFS(po_qty,po_ref,A555,po_status,"&lt;&gt;Annulé"))</f>
        <v/>
      </c>
      <c r="H555" s="74" t="str">
        <f>IF(A555="","",SUMIFS(po_rcv,po_ref,A555,po_status,"&lt;&gt;Annulé"))</f>
        <v/>
      </c>
      <c r="I555" s="74" t="str">
        <f>IF(A555="","",SUMIFS(po_rest,po_ref,A555,po_key,"&gt;0"))</f>
        <v/>
      </c>
      <c r="J555" s="70" t="str">
        <f>IF(A555="","",IF(COUNTIFS(po_ref,A555,po_status,"&lt;&gt;Annulé")=0,"",INDEX(po_price,SUMPRODUCT(MAX((po_ref=A555)*(po_status&lt;&gt;"Annulé")*(ROW(po_ref)-5))))))</f>
        <v/>
      </c>
      <c r="K555" s="67" t="str">
        <f>IF(A555="","",IF(COUNTIF(art_ref,A555)&gt;1,"Référence en double",IF(B555="","Désignation manquante",IF(NOT(ISNUMBER(D555)),"Prix manquant",IF(E555="","TVA manquante",IF(ISNA(MATCH(E555,p_tva,0)),"Taux de TVA inconnu",IF(AND(F555&lt;&gt;"",ISNA(MATCH(F555,sup_code,0))),"Fournisseur inconnu","OK")))))))</f>
        <v/>
      </c>
    </row>
    <row r="556">
      <c r="A556" s="63" t="n"/>
      <c r="B556" s="63" t="n"/>
      <c r="C556" s="65" t="n"/>
      <c r="D556" s="69" t="n"/>
      <c r="E556" s="71" t="n"/>
      <c r="F556" s="65" t="n"/>
      <c r="G556" s="74" t="str">
        <f>IF(A556="","",SUMIFS(po_qty,po_ref,A556,po_status,"&lt;&gt;Annulé"))</f>
        <v/>
      </c>
      <c r="H556" s="74" t="str">
        <f>IF(A556="","",SUMIFS(po_rcv,po_ref,A556,po_status,"&lt;&gt;Annulé"))</f>
        <v/>
      </c>
      <c r="I556" s="74" t="str">
        <f>IF(A556="","",SUMIFS(po_rest,po_ref,A556,po_key,"&gt;0"))</f>
        <v/>
      </c>
      <c r="J556" s="70" t="str">
        <f>IF(A556="","",IF(COUNTIFS(po_ref,A556,po_status,"&lt;&gt;Annulé")=0,"",INDEX(po_price,SUMPRODUCT(MAX((po_ref=A556)*(po_status&lt;&gt;"Annulé")*(ROW(po_ref)-5))))))</f>
        <v/>
      </c>
      <c r="K556" s="67" t="str">
        <f>IF(A556="","",IF(COUNTIF(art_ref,A556)&gt;1,"Référence en double",IF(B556="","Désignation manquante",IF(NOT(ISNUMBER(D556)),"Prix manquant",IF(E556="","TVA manquante",IF(ISNA(MATCH(E556,p_tva,0)),"Taux de TVA inconnu",IF(AND(F556&lt;&gt;"",ISNA(MATCH(F556,sup_code,0))),"Fournisseur inconnu","OK")))))))</f>
        <v/>
      </c>
    </row>
    <row r="557">
      <c r="A557" s="63" t="n"/>
      <c r="B557" s="63" t="n"/>
      <c r="C557" s="65" t="n"/>
      <c r="D557" s="69" t="n"/>
      <c r="E557" s="71" t="n"/>
      <c r="F557" s="65" t="n"/>
      <c r="G557" s="74" t="str">
        <f>IF(A557="","",SUMIFS(po_qty,po_ref,A557,po_status,"&lt;&gt;Annulé"))</f>
        <v/>
      </c>
      <c r="H557" s="74" t="str">
        <f>IF(A557="","",SUMIFS(po_rcv,po_ref,A557,po_status,"&lt;&gt;Annulé"))</f>
        <v/>
      </c>
      <c r="I557" s="74" t="str">
        <f>IF(A557="","",SUMIFS(po_rest,po_ref,A557,po_key,"&gt;0"))</f>
        <v/>
      </c>
      <c r="J557" s="70" t="str">
        <f>IF(A557="","",IF(COUNTIFS(po_ref,A557,po_status,"&lt;&gt;Annulé")=0,"",INDEX(po_price,SUMPRODUCT(MAX((po_ref=A557)*(po_status&lt;&gt;"Annulé")*(ROW(po_ref)-5))))))</f>
        <v/>
      </c>
      <c r="K557" s="67" t="str">
        <f>IF(A557="","",IF(COUNTIF(art_ref,A557)&gt;1,"Référence en double",IF(B557="","Désignation manquante",IF(NOT(ISNUMBER(D557)),"Prix manquant",IF(E557="","TVA manquante",IF(ISNA(MATCH(E557,p_tva,0)),"Taux de TVA inconnu",IF(AND(F557&lt;&gt;"",ISNA(MATCH(F557,sup_code,0))),"Fournisseur inconnu","OK")))))))</f>
        <v/>
      </c>
    </row>
    <row r="558">
      <c r="A558" s="63" t="n"/>
      <c r="B558" s="63" t="n"/>
      <c r="C558" s="65" t="n"/>
      <c r="D558" s="69" t="n"/>
      <c r="E558" s="71" t="n"/>
      <c r="F558" s="65" t="n"/>
      <c r="G558" s="74" t="str">
        <f>IF(A558="","",SUMIFS(po_qty,po_ref,A558,po_status,"&lt;&gt;Annulé"))</f>
        <v/>
      </c>
      <c r="H558" s="74" t="str">
        <f>IF(A558="","",SUMIFS(po_rcv,po_ref,A558,po_status,"&lt;&gt;Annulé"))</f>
        <v/>
      </c>
      <c r="I558" s="74" t="str">
        <f>IF(A558="","",SUMIFS(po_rest,po_ref,A558,po_key,"&gt;0"))</f>
        <v/>
      </c>
      <c r="J558" s="70" t="str">
        <f>IF(A558="","",IF(COUNTIFS(po_ref,A558,po_status,"&lt;&gt;Annulé")=0,"",INDEX(po_price,SUMPRODUCT(MAX((po_ref=A558)*(po_status&lt;&gt;"Annulé")*(ROW(po_ref)-5))))))</f>
        <v/>
      </c>
      <c r="K558" s="67" t="str">
        <f>IF(A558="","",IF(COUNTIF(art_ref,A558)&gt;1,"Référence en double",IF(B558="","Désignation manquante",IF(NOT(ISNUMBER(D558)),"Prix manquant",IF(E558="","TVA manquante",IF(ISNA(MATCH(E558,p_tva,0)),"Taux de TVA inconnu",IF(AND(F558&lt;&gt;"",ISNA(MATCH(F558,sup_code,0))),"Fournisseur inconnu","OK")))))))</f>
        <v/>
      </c>
    </row>
    <row r="559">
      <c r="A559" s="63" t="n"/>
      <c r="B559" s="63" t="n"/>
      <c r="C559" s="65" t="n"/>
      <c r="D559" s="69" t="n"/>
      <c r="E559" s="71" t="n"/>
      <c r="F559" s="65" t="n"/>
      <c r="G559" s="74" t="str">
        <f>IF(A559="","",SUMIFS(po_qty,po_ref,A559,po_status,"&lt;&gt;Annulé"))</f>
        <v/>
      </c>
      <c r="H559" s="74" t="str">
        <f>IF(A559="","",SUMIFS(po_rcv,po_ref,A559,po_status,"&lt;&gt;Annulé"))</f>
        <v/>
      </c>
      <c r="I559" s="74" t="str">
        <f>IF(A559="","",SUMIFS(po_rest,po_ref,A559,po_key,"&gt;0"))</f>
        <v/>
      </c>
      <c r="J559" s="70" t="str">
        <f>IF(A559="","",IF(COUNTIFS(po_ref,A559,po_status,"&lt;&gt;Annulé")=0,"",INDEX(po_price,SUMPRODUCT(MAX((po_ref=A559)*(po_status&lt;&gt;"Annulé")*(ROW(po_ref)-5))))))</f>
        <v/>
      </c>
      <c r="K559" s="67" t="str">
        <f>IF(A559="","",IF(COUNTIF(art_ref,A559)&gt;1,"Référence en double",IF(B559="","Désignation manquante",IF(NOT(ISNUMBER(D559)),"Prix manquant",IF(E559="","TVA manquante",IF(ISNA(MATCH(E559,p_tva,0)),"Taux de TVA inconnu",IF(AND(F559&lt;&gt;"",ISNA(MATCH(F559,sup_code,0))),"Fournisseur inconnu","OK")))))))</f>
        <v/>
      </c>
    </row>
    <row r="560">
      <c r="A560" s="63" t="n"/>
      <c r="B560" s="63" t="n"/>
      <c r="C560" s="65" t="n"/>
      <c r="D560" s="69" t="n"/>
      <c r="E560" s="71" t="n"/>
      <c r="F560" s="65" t="n"/>
      <c r="G560" s="74" t="str">
        <f>IF(A560="","",SUMIFS(po_qty,po_ref,A560,po_status,"&lt;&gt;Annulé"))</f>
        <v/>
      </c>
      <c r="H560" s="74" t="str">
        <f>IF(A560="","",SUMIFS(po_rcv,po_ref,A560,po_status,"&lt;&gt;Annulé"))</f>
        <v/>
      </c>
      <c r="I560" s="74" t="str">
        <f>IF(A560="","",SUMIFS(po_rest,po_ref,A560,po_key,"&gt;0"))</f>
        <v/>
      </c>
      <c r="J560" s="70" t="str">
        <f>IF(A560="","",IF(COUNTIFS(po_ref,A560,po_status,"&lt;&gt;Annulé")=0,"",INDEX(po_price,SUMPRODUCT(MAX((po_ref=A560)*(po_status&lt;&gt;"Annulé")*(ROW(po_ref)-5))))))</f>
        <v/>
      </c>
      <c r="K560" s="67" t="str">
        <f>IF(A560="","",IF(COUNTIF(art_ref,A560)&gt;1,"Référence en double",IF(B560="","Désignation manquante",IF(NOT(ISNUMBER(D560)),"Prix manquant",IF(E560="","TVA manquante",IF(ISNA(MATCH(E560,p_tva,0)),"Taux de TVA inconnu",IF(AND(F560&lt;&gt;"",ISNA(MATCH(F560,sup_code,0))),"Fournisseur inconnu","OK")))))))</f>
        <v/>
      </c>
    </row>
    <row r="561">
      <c r="A561" s="63" t="n"/>
      <c r="B561" s="63" t="n"/>
      <c r="C561" s="65" t="n"/>
      <c r="D561" s="69" t="n"/>
      <c r="E561" s="71" t="n"/>
      <c r="F561" s="65" t="n"/>
      <c r="G561" s="74" t="str">
        <f>IF(A561="","",SUMIFS(po_qty,po_ref,A561,po_status,"&lt;&gt;Annulé"))</f>
        <v/>
      </c>
      <c r="H561" s="74" t="str">
        <f>IF(A561="","",SUMIFS(po_rcv,po_ref,A561,po_status,"&lt;&gt;Annulé"))</f>
        <v/>
      </c>
      <c r="I561" s="74" t="str">
        <f>IF(A561="","",SUMIFS(po_rest,po_ref,A561,po_key,"&gt;0"))</f>
        <v/>
      </c>
      <c r="J561" s="70" t="str">
        <f>IF(A561="","",IF(COUNTIFS(po_ref,A561,po_status,"&lt;&gt;Annulé")=0,"",INDEX(po_price,SUMPRODUCT(MAX((po_ref=A561)*(po_status&lt;&gt;"Annulé")*(ROW(po_ref)-5))))))</f>
        <v/>
      </c>
      <c r="K561" s="67" t="str">
        <f>IF(A561="","",IF(COUNTIF(art_ref,A561)&gt;1,"Référence en double",IF(B561="","Désignation manquante",IF(NOT(ISNUMBER(D561)),"Prix manquant",IF(E561="","TVA manquante",IF(ISNA(MATCH(E561,p_tva,0)),"Taux de TVA inconnu",IF(AND(F561&lt;&gt;"",ISNA(MATCH(F561,sup_code,0))),"Fournisseur inconnu","OK")))))))</f>
        <v/>
      </c>
    </row>
    <row r="562">
      <c r="A562" s="63" t="n"/>
      <c r="B562" s="63" t="n"/>
      <c r="C562" s="65" t="n"/>
      <c r="D562" s="69" t="n"/>
      <c r="E562" s="71" t="n"/>
      <c r="F562" s="65" t="n"/>
      <c r="G562" s="74" t="str">
        <f>IF(A562="","",SUMIFS(po_qty,po_ref,A562,po_status,"&lt;&gt;Annulé"))</f>
        <v/>
      </c>
      <c r="H562" s="74" t="str">
        <f>IF(A562="","",SUMIFS(po_rcv,po_ref,A562,po_status,"&lt;&gt;Annulé"))</f>
        <v/>
      </c>
      <c r="I562" s="74" t="str">
        <f>IF(A562="","",SUMIFS(po_rest,po_ref,A562,po_key,"&gt;0"))</f>
        <v/>
      </c>
      <c r="J562" s="70" t="str">
        <f>IF(A562="","",IF(COUNTIFS(po_ref,A562,po_status,"&lt;&gt;Annulé")=0,"",INDEX(po_price,SUMPRODUCT(MAX((po_ref=A562)*(po_status&lt;&gt;"Annulé")*(ROW(po_ref)-5))))))</f>
        <v/>
      </c>
      <c r="K562" s="67" t="str">
        <f>IF(A562="","",IF(COUNTIF(art_ref,A562)&gt;1,"Référence en double",IF(B562="","Désignation manquante",IF(NOT(ISNUMBER(D562)),"Prix manquant",IF(E562="","TVA manquante",IF(ISNA(MATCH(E562,p_tva,0)),"Taux de TVA inconnu",IF(AND(F562&lt;&gt;"",ISNA(MATCH(F562,sup_code,0))),"Fournisseur inconnu","OK")))))))</f>
        <v/>
      </c>
    </row>
    <row r="563">
      <c r="A563" s="63" t="n"/>
      <c r="B563" s="63" t="n"/>
      <c r="C563" s="65" t="n"/>
      <c r="D563" s="69" t="n"/>
      <c r="E563" s="71" t="n"/>
      <c r="F563" s="65" t="n"/>
      <c r="G563" s="74" t="str">
        <f>IF(A563="","",SUMIFS(po_qty,po_ref,A563,po_status,"&lt;&gt;Annulé"))</f>
        <v/>
      </c>
      <c r="H563" s="74" t="str">
        <f>IF(A563="","",SUMIFS(po_rcv,po_ref,A563,po_status,"&lt;&gt;Annulé"))</f>
        <v/>
      </c>
      <c r="I563" s="74" t="str">
        <f>IF(A563="","",SUMIFS(po_rest,po_ref,A563,po_key,"&gt;0"))</f>
        <v/>
      </c>
      <c r="J563" s="70" t="str">
        <f>IF(A563="","",IF(COUNTIFS(po_ref,A563,po_status,"&lt;&gt;Annulé")=0,"",INDEX(po_price,SUMPRODUCT(MAX((po_ref=A563)*(po_status&lt;&gt;"Annulé")*(ROW(po_ref)-5))))))</f>
        <v/>
      </c>
      <c r="K563" s="67" t="str">
        <f>IF(A563="","",IF(COUNTIF(art_ref,A563)&gt;1,"Référence en double",IF(B563="","Désignation manquante",IF(NOT(ISNUMBER(D563)),"Prix manquant",IF(E563="","TVA manquante",IF(ISNA(MATCH(E563,p_tva,0)),"Taux de TVA inconnu",IF(AND(F563&lt;&gt;"",ISNA(MATCH(F563,sup_code,0))),"Fournisseur inconnu","OK")))))))</f>
        <v/>
      </c>
    </row>
    <row r="564">
      <c r="A564" s="63" t="n"/>
      <c r="B564" s="63" t="n"/>
      <c r="C564" s="65" t="n"/>
      <c r="D564" s="69" t="n"/>
      <c r="E564" s="71" t="n"/>
      <c r="F564" s="65" t="n"/>
      <c r="G564" s="74" t="str">
        <f>IF(A564="","",SUMIFS(po_qty,po_ref,A564,po_status,"&lt;&gt;Annulé"))</f>
        <v/>
      </c>
      <c r="H564" s="74" t="str">
        <f>IF(A564="","",SUMIFS(po_rcv,po_ref,A564,po_status,"&lt;&gt;Annulé"))</f>
        <v/>
      </c>
      <c r="I564" s="74" t="str">
        <f>IF(A564="","",SUMIFS(po_rest,po_ref,A564,po_key,"&gt;0"))</f>
        <v/>
      </c>
      <c r="J564" s="70" t="str">
        <f>IF(A564="","",IF(COUNTIFS(po_ref,A564,po_status,"&lt;&gt;Annulé")=0,"",INDEX(po_price,SUMPRODUCT(MAX((po_ref=A564)*(po_status&lt;&gt;"Annulé")*(ROW(po_ref)-5))))))</f>
        <v/>
      </c>
      <c r="K564" s="67" t="str">
        <f>IF(A564="","",IF(COUNTIF(art_ref,A564)&gt;1,"Référence en double",IF(B564="","Désignation manquante",IF(NOT(ISNUMBER(D564)),"Prix manquant",IF(E564="","TVA manquante",IF(ISNA(MATCH(E564,p_tva,0)),"Taux de TVA inconnu",IF(AND(F564&lt;&gt;"",ISNA(MATCH(F564,sup_code,0))),"Fournisseur inconnu","OK")))))))</f>
        <v/>
      </c>
    </row>
    <row r="565">
      <c r="A565" s="63" t="n"/>
      <c r="B565" s="63" t="n"/>
      <c r="C565" s="65" t="n"/>
      <c r="D565" s="69" t="n"/>
      <c r="E565" s="71" t="n"/>
      <c r="F565" s="65" t="n"/>
      <c r="G565" s="74" t="str">
        <f>IF(A565="","",SUMIFS(po_qty,po_ref,A565,po_status,"&lt;&gt;Annulé"))</f>
        <v/>
      </c>
      <c r="H565" s="74" t="str">
        <f>IF(A565="","",SUMIFS(po_rcv,po_ref,A565,po_status,"&lt;&gt;Annulé"))</f>
        <v/>
      </c>
      <c r="I565" s="74" t="str">
        <f>IF(A565="","",SUMIFS(po_rest,po_ref,A565,po_key,"&gt;0"))</f>
        <v/>
      </c>
      <c r="J565" s="70" t="str">
        <f>IF(A565="","",IF(COUNTIFS(po_ref,A565,po_status,"&lt;&gt;Annulé")=0,"",INDEX(po_price,SUMPRODUCT(MAX((po_ref=A565)*(po_status&lt;&gt;"Annulé")*(ROW(po_ref)-5))))))</f>
        <v/>
      </c>
      <c r="K565" s="67" t="str">
        <f>IF(A565="","",IF(COUNTIF(art_ref,A565)&gt;1,"Référence en double",IF(B565="","Désignation manquante",IF(NOT(ISNUMBER(D565)),"Prix manquant",IF(E565="","TVA manquante",IF(ISNA(MATCH(E565,p_tva,0)),"Taux de TVA inconnu",IF(AND(F565&lt;&gt;"",ISNA(MATCH(F565,sup_code,0))),"Fournisseur inconnu","OK")))))))</f>
        <v/>
      </c>
    </row>
    <row r="566">
      <c r="A566" s="63" t="n"/>
      <c r="B566" s="63" t="n"/>
      <c r="C566" s="65" t="n"/>
      <c r="D566" s="69" t="n"/>
      <c r="E566" s="71" t="n"/>
      <c r="F566" s="65" t="n"/>
      <c r="G566" s="74" t="str">
        <f>IF(A566="","",SUMIFS(po_qty,po_ref,A566,po_status,"&lt;&gt;Annulé"))</f>
        <v/>
      </c>
      <c r="H566" s="74" t="str">
        <f>IF(A566="","",SUMIFS(po_rcv,po_ref,A566,po_status,"&lt;&gt;Annulé"))</f>
        <v/>
      </c>
      <c r="I566" s="74" t="str">
        <f>IF(A566="","",SUMIFS(po_rest,po_ref,A566,po_key,"&gt;0"))</f>
        <v/>
      </c>
      <c r="J566" s="70" t="str">
        <f>IF(A566="","",IF(COUNTIFS(po_ref,A566,po_status,"&lt;&gt;Annulé")=0,"",INDEX(po_price,SUMPRODUCT(MAX((po_ref=A566)*(po_status&lt;&gt;"Annulé")*(ROW(po_ref)-5))))))</f>
        <v/>
      </c>
      <c r="K566" s="67" t="str">
        <f>IF(A566="","",IF(COUNTIF(art_ref,A566)&gt;1,"Référence en double",IF(B566="","Désignation manquante",IF(NOT(ISNUMBER(D566)),"Prix manquant",IF(E566="","TVA manquante",IF(ISNA(MATCH(E566,p_tva,0)),"Taux de TVA inconnu",IF(AND(F566&lt;&gt;"",ISNA(MATCH(F566,sup_code,0))),"Fournisseur inconnu","OK")))))))</f>
        <v/>
      </c>
    </row>
    <row r="567">
      <c r="A567" s="63" t="n"/>
      <c r="B567" s="63" t="n"/>
      <c r="C567" s="65" t="n"/>
      <c r="D567" s="69" t="n"/>
      <c r="E567" s="71" t="n"/>
      <c r="F567" s="65" t="n"/>
      <c r="G567" s="74" t="str">
        <f>IF(A567="","",SUMIFS(po_qty,po_ref,A567,po_status,"&lt;&gt;Annulé"))</f>
        <v/>
      </c>
      <c r="H567" s="74" t="str">
        <f>IF(A567="","",SUMIFS(po_rcv,po_ref,A567,po_status,"&lt;&gt;Annulé"))</f>
        <v/>
      </c>
      <c r="I567" s="74" t="str">
        <f>IF(A567="","",SUMIFS(po_rest,po_ref,A567,po_key,"&gt;0"))</f>
        <v/>
      </c>
      <c r="J567" s="70" t="str">
        <f>IF(A567="","",IF(COUNTIFS(po_ref,A567,po_status,"&lt;&gt;Annulé")=0,"",INDEX(po_price,SUMPRODUCT(MAX((po_ref=A567)*(po_status&lt;&gt;"Annulé")*(ROW(po_ref)-5))))))</f>
        <v/>
      </c>
      <c r="K567" s="67" t="str">
        <f>IF(A567="","",IF(COUNTIF(art_ref,A567)&gt;1,"Référence en double",IF(B567="","Désignation manquante",IF(NOT(ISNUMBER(D567)),"Prix manquant",IF(E567="","TVA manquante",IF(ISNA(MATCH(E567,p_tva,0)),"Taux de TVA inconnu",IF(AND(F567&lt;&gt;"",ISNA(MATCH(F567,sup_code,0))),"Fournisseur inconnu","OK")))))))</f>
        <v/>
      </c>
    </row>
    <row r="568">
      <c r="A568" s="63" t="n"/>
      <c r="B568" s="63" t="n"/>
      <c r="C568" s="65" t="n"/>
      <c r="D568" s="69" t="n"/>
      <c r="E568" s="71" t="n"/>
      <c r="F568" s="65" t="n"/>
      <c r="G568" s="74" t="str">
        <f>IF(A568="","",SUMIFS(po_qty,po_ref,A568,po_status,"&lt;&gt;Annulé"))</f>
        <v/>
      </c>
      <c r="H568" s="74" t="str">
        <f>IF(A568="","",SUMIFS(po_rcv,po_ref,A568,po_status,"&lt;&gt;Annulé"))</f>
        <v/>
      </c>
      <c r="I568" s="74" t="str">
        <f>IF(A568="","",SUMIFS(po_rest,po_ref,A568,po_key,"&gt;0"))</f>
        <v/>
      </c>
      <c r="J568" s="70" t="str">
        <f>IF(A568="","",IF(COUNTIFS(po_ref,A568,po_status,"&lt;&gt;Annulé")=0,"",INDEX(po_price,SUMPRODUCT(MAX((po_ref=A568)*(po_status&lt;&gt;"Annulé")*(ROW(po_ref)-5))))))</f>
        <v/>
      </c>
      <c r="K568" s="67" t="str">
        <f>IF(A568="","",IF(COUNTIF(art_ref,A568)&gt;1,"Référence en double",IF(B568="","Désignation manquante",IF(NOT(ISNUMBER(D568)),"Prix manquant",IF(E568="","TVA manquante",IF(ISNA(MATCH(E568,p_tva,0)),"Taux de TVA inconnu",IF(AND(F568&lt;&gt;"",ISNA(MATCH(F568,sup_code,0))),"Fournisseur inconnu","OK")))))))</f>
        <v/>
      </c>
    </row>
    <row r="569">
      <c r="A569" s="63" t="n"/>
      <c r="B569" s="63" t="n"/>
      <c r="C569" s="65" t="n"/>
      <c r="D569" s="69" t="n"/>
      <c r="E569" s="71" t="n"/>
      <c r="F569" s="65" t="n"/>
      <c r="G569" s="74" t="str">
        <f>IF(A569="","",SUMIFS(po_qty,po_ref,A569,po_status,"&lt;&gt;Annulé"))</f>
        <v/>
      </c>
      <c r="H569" s="74" t="str">
        <f>IF(A569="","",SUMIFS(po_rcv,po_ref,A569,po_status,"&lt;&gt;Annulé"))</f>
        <v/>
      </c>
      <c r="I569" s="74" t="str">
        <f>IF(A569="","",SUMIFS(po_rest,po_ref,A569,po_key,"&gt;0"))</f>
        <v/>
      </c>
      <c r="J569" s="70" t="str">
        <f>IF(A569="","",IF(COUNTIFS(po_ref,A569,po_status,"&lt;&gt;Annulé")=0,"",INDEX(po_price,SUMPRODUCT(MAX((po_ref=A569)*(po_status&lt;&gt;"Annulé")*(ROW(po_ref)-5))))))</f>
        <v/>
      </c>
      <c r="K569" s="67" t="str">
        <f>IF(A569="","",IF(COUNTIF(art_ref,A569)&gt;1,"Référence en double",IF(B569="","Désignation manquante",IF(NOT(ISNUMBER(D569)),"Prix manquant",IF(E569="","TVA manquante",IF(ISNA(MATCH(E569,p_tva,0)),"Taux de TVA inconnu",IF(AND(F569&lt;&gt;"",ISNA(MATCH(F569,sup_code,0))),"Fournisseur inconnu","OK")))))))</f>
        <v/>
      </c>
    </row>
    <row r="570">
      <c r="A570" s="63" t="n"/>
      <c r="B570" s="63" t="n"/>
      <c r="C570" s="65" t="n"/>
      <c r="D570" s="69" t="n"/>
      <c r="E570" s="71" t="n"/>
      <c r="F570" s="65" t="n"/>
      <c r="G570" s="74" t="str">
        <f>IF(A570="","",SUMIFS(po_qty,po_ref,A570,po_status,"&lt;&gt;Annulé"))</f>
        <v/>
      </c>
      <c r="H570" s="74" t="str">
        <f>IF(A570="","",SUMIFS(po_rcv,po_ref,A570,po_status,"&lt;&gt;Annulé"))</f>
        <v/>
      </c>
      <c r="I570" s="74" t="str">
        <f>IF(A570="","",SUMIFS(po_rest,po_ref,A570,po_key,"&gt;0"))</f>
        <v/>
      </c>
      <c r="J570" s="70" t="str">
        <f>IF(A570="","",IF(COUNTIFS(po_ref,A570,po_status,"&lt;&gt;Annulé")=0,"",INDEX(po_price,SUMPRODUCT(MAX((po_ref=A570)*(po_status&lt;&gt;"Annulé")*(ROW(po_ref)-5))))))</f>
        <v/>
      </c>
      <c r="K570" s="67" t="str">
        <f>IF(A570="","",IF(COUNTIF(art_ref,A570)&gt;1,"Référence en double",IF(B570="","Désignation manquante",IF(NOT(ISNUMBER(D570)),"Prix manquant",IF(E570="","TVA manquante",IF(ISNA(MATCH(E570,p_tva,0)),"Taux de TVA inconnu",IF(AND(F570&lt;&gt;"",ISNA(MATCH(F570,sup_code,0))),"Fournisseur inconnu","OK")))))))</f>
        <v/>
      </c>
    </row>
    <row r="571">
      <c r="A571" s="63" t="n"/>
      <c r="B571" s="63" t="n"/>
      <c r="C571" s="65" t="n"/>
      <c r="D571" s="69" t="n"/>
      <c r="E571" s="71" t="n"/>
      <c r="F571" s="65" t="n"/>
      <c r="G571" s="74" t="str">
        <f>IF(A571="","",SUMIFS(po_qty,po_ref,A571,po_status,"&lt;&gt;Annulé"))</f>
        <v/>
      </c>
      <c r="H571" s="74" t="str">
        <f>IF(A571="","",SUMIFS(po_rcv,po_ref,A571,po_status,"&lt;&gt;Annulé"))</f>
        <v/>
      </c>
      <c r="I571" s="74" t="str">
        <f>IF(A571="","",SUMIFS(po_rest,po_ref,A571,po_key,"&gt;0"))</f>
        <v/>
      </c>
      <c r="J571" s="70" t="str">
        <f>IF(A571="","",IF(COUNTIFS(po_ref,A571,po_status,"&lt;&gt;Annulé")=0,"",INDEX(po_price,SUMPRODUCT(MAX((po_ref=A571)*(po_status&lt;&gt;"Annulé")*(ROW(po_ref)-5))))))</f>
        <v/>
      </c>
      <c r="K571" s="67" t="str">
        <f>IF(A571="","",IF(COUNTIF(art_ref,A571)&gt;1,"Référence en double",IF(B571="","Désignation manquante",IF(NOT(ISNUMBER(D571)),"Prix manquant",IF(E571="","TVA manquante",IF(ISNA(MATCH(E571,p_tva,0)),"Taux de TVA inconnu",IF(AND(F571&lt;&gt;"",ISNA(MATCH(F571,sup_code,0))),"Fournisseur inconnu","OK")))))))</f>
        <v/>
      </c>
    </row>
    <row r="572">
      <c r="A572" s="63" t="n"/>
      <c r="B572" s="63" t="n"/>
      <c r="C572" s="65" t="n"/>
      <c r="D572" s="69" t="n"/>
      <c r="E572" s="71" t="n"/>
      <c r="F572" s="65" t="n"/>
      <c r="G572" s="74" t="str">
        <f>IF(A572="","",SUMIFS(po_qty,po_ref,A572,po_status,"&lt;&gt;Annulé"))</f>
        <v/>
      </c>
      <c r="H572" s="74" t="str">
        <f>IF(A572="","",SUMIFS(po_rcv,po_ref,A572,po_status,"&lt;&gt;Annulé"))</f>
        <v/>
      </c>
      <c r="I572" s="74" t="str">
        <f>IF(A572="","",SUMIFS(po_rest,po_ref,A572,po_key,"&gt;0"))</f>
        <v/>
      </c>
      <c r="J572" s="70" t="str">
        <f>IF(A572="","",IF(COUNTIFS(po_ref,A572,po_status,"&lt;&gt;Annulé")=0,"",INDEX(po_price,SUMPRODUCT(MAX((po_ref=A572)*(po_status&lt;&gt;"Annulé")*(ROW(po_ref)-5))))))</f>
        <v/>
      </c>
      <c r="K572" s="67" t="str">
        <f>IF(A572="","",IF(COUNTIF(art_ref,A572)&gt;1,"Référence en double",IF(B572="","Désignation manquante",IF(NOT(ISNUMBER(D572)),"Prix manquant",IF(E572="","TVA manquante",IF(ISNA(MATCH(E572,p_tva,0)),"Taux de TVA inconnu",IF(AND(F572&lt;&gt;"",ISNA(MATCH(F572,sup_code,0))),"Fournisseur inconnu","OK")))))))</f>
        <v/>
      </c>
    </row>
    <row r="573">
      <c r="A573" s="63" t="n"/>
      <c r="B573" s="63" t="n"/>
      <c r="C573" s="65" t="n"/>
      <c r="D573" s="69" t="n"/>
      <c r="E573" s="71" t="n"/>
      <c r="F573" s="65" t="n"/>
      <c r="G573" s="74" t="str">
        <f>IF(A573="","",SUMIFS(po_qty,po_ref,A573,po_status,"&lt;&gt;Annulé"))</f>
        <v/>
      </c>
      <c r="H573" s="74" t="str">
        <f>IF(A573="","",SUMIFS(po_rcv,po_ref,A573,po_status,"&lt;&gt;Annulé"))</f>
        <v/>
      </c>
      <c r="I573" s="74" t="str">
        <f>IF(A573="","",SUMIFS(po_rest,po_ref,A573,po_key,"&gt;0"))</f>
        <v/>
      </c>
      <c r="J573" s="70" t="str">
        <f>IF(A573="","",IF(COUNTIFS(po_ref,A573,po_status,"&lt;&gt;Annulé")=0,"",INDEX(po_price,SUMPRODUCT(MAX((po_ref=A573)*(po_status&lt;&gt;"Annulé")*(ROW(po_ref)-5))))))</f>
        <v/>
      </c>
      <c r="K573" s="67" t="str">
        <f>IF(A573="","",IF(COUNTIF(art_ref,A573)&gt;1,"Référence en double",IF(B573="","Désignation manquante",IF(NOT(ISNUMBER(D573)),"Prix manquant",IF(E573="","TVA manquante",IF(ISNA(MATCH(E573,p_tva,0)),"Taux de TVA inconnu",IF(AND(F573&lt;&gt;"",ISNA(MATCH(F573,sup_code,0))),"Fournisseur inconnu","OK")))))))</f>
        <v/>
      </c>
    </row>
    <row r="574">
      <c r="A574" s="63" t="n"/>
      <c r="B574" s="63" t="n"/>
      <c r="C574" s="65" t="n"/>
      <c r="D574" s="69" t="n"/>
      <c r="E574" s="71" t="n"/>
      <c r="F574" s="65" t="n"/>
      <c r="G574" s="74" t="str">
        <f>IF(A574="","",SUMIFS(po_qty,po_ref,A574,po_status,"&lt;&gt;Annulé"))</f>
        <v/>
      </c>
      <c r="H574" s="74" t="str">
        <f>IF(A574="","",SUMIFS(po_rcv,po_ref,A574,po_status,"&lt;&gt;Annulé"))</f>
        <v/>
      </c>
      <c r="I574" s="74" t="str">
        <f>IF(A574="","",SUMIFS(po_rest,po_ref,A574,po_key,"&gt;0"))</f>
        <v/>
      </c>
      <c r="J574" s="70" t="str">
        <f>IF(A574="","",IF(COUNTIFS(po_ref,A574,po_status,"&lt;&gt;Annulé")=0,"",INDEX(po_price,SUMPRODUCT(MAX((po_ref=A574)*(po_status&lt;&gt;"Annulé")*(ROW(po_ref)-5))))))</f>
        <v/>
      </c>
      <c r="K574" s="67" t="str">
        <f>IF(A574="","",IF(COUNTIF(art_ref,A574)&gt;1,"Référence en double",IF(B574="","Désignation manquante",IF(NOT(ISNUMBER(D574)),"Prix manquant",IF(E574="","TVA manquante",IF(ISNA(MATCH(E574,p_tva,0)),"Taux de TVA inconnu",IF(AND(F574&lt;&gt;"",ISNA(MATCH(F574,sup_code,0))),"Fournisseur inconnu","OK")))))))</f>
        <v/>
      </c>
    </row>
    <row r="575">
      <c r="A575" s="63" t="n"/>
      <c r="B575" s="63" t="n"/>
      <c r="C575" s="65" t="n"/>
      <c r="D575" s="69" t="n"/>
      <c r="E575" s="71" t="n"/>
      <c r="F575" s="65" t="n"/>
      <c r="G575" s="74" t="str">
        <f>IF(A575="","",SUMIFS(po_qty,po_ref,A575,po_status,"&lt;&gt;Annulé"))</f>
        <v/>
      </c>
      <c r="H575" s="74" t="str">
        <f>IF(A575="","",SUMIFS(po_rcv,po_ref,A575,po_status,"&lt;&gt;Annulé"))</f>
        <v/>
      </c>
      <c r="I575" s="74" t="str">
        <f>IF(A575="","",SUMIFS(po_rest,po_ref,A575,po_key,"&gt;0"))</f>
        <v/>
      </c>
      <c r="J575" s="70" t="str">
        <f>IF(A575="","",IF(COUNTIFS(po_ref,A575,po_status,"&lt;&gt;Annulé")=0,"",INDEX(po_price,SUMPRODUCT(MAX((po_ref=A575)*(po_status&lt;&gt;"Annulé")*(ROW(po_ref)-5))))))</f>
        <v/>
      </c>
      <c r="K575" s="67" t="str">
        <f>IF(A575="","",IF(COUNTIF(art_ref,A575)&gt;1,"Référence en double",IF(B575="","Désignation manquante",IF(NOT(ISNUMBER(D575)),"Prix manquant",IF(E575="","TVA manquante",IF(ISNA(MATCH(E575,p_tva,0)),"Taux de TVA inconnu",IF(AND(F575&lt;&gt;"",ISNA(MATCH(F575,sup_code,0))),"Fournisseur inconnu","OK")))))))</f>
        <v/>
      </c>
    </row>
    <row r="576">
      <c r="A576" s="63" t="n"/>
      <c r="B576" s="63" t="n"/>
      <c r="C576" s="65" t="n"/>
      <c r="D576" s="69" t="n"/>
      <c r="E576" s="71" t="n"/>
      <c r="F576" s="65" t="n"/>
      <c r="G576" s="74" t="str">
        <f>IF(A576="","",SUMIFS(po_qty,po_ref,A576,po_status,"&lt;&gt;Annulé"))</f>
        <v/>
      </c>
      <c r="H576" s="74" t="str">
        <f>IF(A576="","",SUMIFS(po_rcv,po_ref,A576,po_status,"&lt;&gt;Annulé"))</f>
        <v/>
      </c>
      <c r="I576" s="74" t="str">
        <f>IF(A576="","",SUMIFS(po_rest,po_ref,A576,po_key,"&gt;0"))</f>
        <v/>
      </c>
      <c r="J576" s="70" t="str">
        <f>IF(A576="","",IF(COUNTIFS(po_ref,A576,po_status,"&lt;&gt;Annulé")=0,"",INDEX(po_price,SUMPRODUCT(MAX((po_ref=A576)*(po_status&lt;&gt;"Annulé")*(ROW(po_ref)-5))))))</f>
        <v/>
      </c>
      <c r="K576" s="67" t="str">
        <f>IF(A576="","",IF(COUNTIF(art_ref,A576)&gt;1,"Référence en double",IF(B576="","Désignation manquante",IF(NOT(ISNUMBER(D576)),"Prix manquant",IF(E576="","TVA manquante",IF(ISNA(MATCH(E576,p_tva,0)),"Taux de TVA inconnu",IF(AND(F576&lt;&gt;"",ISNA(MATCH(F576,sup_code,0))),"Fournisseur inconnu","OK")))))))</f>
        <v/>
      </c>
    </row>
    <row r="577">
      <c r="A577" s="63" t="n"/>
      <c r="B577" s="63" t="n"/>
      <c r="C577" s="65" t="n"/>
      <c r="D577" s="69" t="n"/>
      <c r="E577" s="71" t="n"/>
      <c r="F577" s="65" t="n"/>
      <c r="G577" s="74" t="str">
        <f>IF(A577="","",SUMIFS(po_qty,po_ref,A577,po_status,"&lt;&gt;Annulé"))</f>
        <v/>
      </c>
      <c r="H577" s="74" t="str">
        <f>IF(A577="","",SUMIFS(po_rcv,po_ref,A577,po_status,"&lt;&gt;Annulé"))</f>
        <v/>
      </c>
      <c r="I577" s="74" t="str">
        <f>IF(A577="","",SUMIFS(po_rest,po_ref,A577,po_key,"&gt;0"))</f>
        <v/>
      </c>
      <c r="J577" s="70" t="str">
        <f>IF(A577="","",IF(COUNTIFS(po_ref,A577,po_status,"&lt;&gt;Annulé")=0,"",INDEX(po_price,SUMPRODUCT(MAX((po_ref=A577)*(po_status&lt;&gt;"Annulé")*(ROW(po_ref)-5))))))</f>
        <v/>
      </c>
      <c r="K577" s="67" t="str">
        <f>IF(A577="","",IF(COUNTIF(art_ref,A577)&gt;1,"Référence en double",IF(B577="","Désignation manquante",IF(NOT(ISNUMBER(D577)),"Prix manquant",IF(E577="","TVA manquante",IF(ISNA(MATCH(E577,p_tva,0)),"Taux de TVA inconnu",IF(AND(F577&lt;&gt;"",ISNA(MATCH(F577,sup_code,0))),"Fournisseur inconnu","OK")))))))</f>
        <v/>
      </c>
    </row>
    <row r="578">
      <c r="A578" s="63" t="n"/>
      <c r="B578" s="63" t="n"/>
      <c r="C578" s="65" t="n"/>
      <c r="D578" s="69" t="n"/>
      <c r="E578" s="71" t="n"/>
      <c r="F578" s="65" t="n"/>
      <c r="G578" s="74" t="str">
        <f>IF(A578="","",SUMIFS(po_qty,po_ref,A578,po_status,"&lt;&gt;Annulé"))</f>
        <v/>
      </c>
      <c r="H578" s="74" t="str">
        <f>IF(A578="","",SUMIFS(po_rcv,po_ref,A578,po_status,"&lt;&gt;Annulé"))</f>
        <v/>
      </c>
      <c r="I578" s="74" t="str">
        <f>IF(A578="","",SUMIFS(po_rest,po_ref,A578,po_key,"&gt;0"))</f>
        <v/>
      </c>
      <c r="J578" s="70" t="str">
        <f>IF(A578="","",IF(COUNTIFS(po_ref,A578,po_status,"&lt;&gt;Annulé")=0,"",INDEX(po_price,SUMPRODUCT(MAX((po_ref=A578)*(po_status&lt;&gt;"Annulé")*(ROW(po_ref)-5))))))</f>
        <v/>
      </c>
      <c r="K578" s="67" t="str">
        <f>IF(A578="","",IF(COUNTIF(art_ref,A578)&gt;1,"Référence en double",IF(B578="","Désignation manquante",IF(NOT(ISNUMBER(D578)),"Prix manquant",IF(E578="","TVA manquante",IF(ISNA(MATCH(E578,p_tva,0)),"Taux de TVA inconnu",IF(AND(F578&lt;&gt;"",ISNA(MATCH(F578,sup_code,0))),"Fournisseur inconnu","OK")))))))</f>
        <v/>
      </c>
    </row>
    <row r="579">
      <c r="A579" s="63" t="n"/>
      <c r="B579" s="63" t="n"/>
      <c r="C579" s="65" t="n"/>
      <c r="D579" s="69" t="n"/>
      <c r="E579" s="71" t="n"/>
      <c r="F579" s="65" t="n"/>
      <c r="G579" s="74" t="str">
        <f>IF(A579="","",SUMIFS(po_qty,po_ref,A579,po_status,"&lt;&gt;Annulé"))</f>
        <v/>
      </c>
      <c r="H579" s="74" t="str">
        <f>IF(A579="","",SUMIFS(po_rcv,po_ref,A579,po_status,"&lt;&gt;Annulé"))</f>
        <v/>
      </c>
      <c r="I579" s="74" t="str">
        <f>IF(A579="","",SUMIFS(po_rest,po_ref,A579,po_key,"&gt;0"))</f>
        <v/>
      </c>
      <c r="J579" s="70" t="str">
        <f>IF(A579="","",IF(COUNTIFS(po_ref,A579,po_status,"&lt;&gt;Annulé")=0,"",INDEX(po_price,SUMPRODUCT(MAX((po_ref=A579)*(po_status&lt;&gt;"Annulé")*(ROW(po_ref)-5))))))</f>
        <v/>
      </c>
      <c r="K579" s="67" t="str">
        <f>IF(A579="","",IF(COUNTIF(art_ref,A579)&gt;1,"Référence en double",IF(B579="","Désignation manquante",IF(NOT(ISNUMBER(D579)),"Prix manquant",IF(E579="","TVA manquante",IF(ISNA(MATCH(E579,p_tva,0)),"Taux de TVA inconnu",IF(AND(F579&lt;&gt;"",ISNA(MATCH(F579,sup_code,0))),"Fournisseur inconnu","OK")))))))</f>
        <v/>
      </c>
    </row>
    <row r="580">
      <c r="A580" s="63" t="n"/>
      <c r="B580" s="63" t="n"/>
      <c r="C580" s="65" t="n"/>
      <c r="D580" s="69" t="n"/>
      <c r="E580" s="71" t="n"/>
      <c r="F580" s="65" t="n"/>
      <c r="G580" s="74" t="str">
        <f>IF(A580="","",SUMIFS(po_qty,po_ref,A580,po_status,"&lt;&gt;Annulé"))</f>
        <v/>
      </c>
      <c r="H580" s="74" t="str">
        <f>IF(A580="","",SUMIFS(po_rcv,po_ref,A580,po_status,"&lt;&gt;Annulé"))</f>
        <v/>
      </c>
      <c r="I580" s="74" t="str">
        <f>IF(A580="","",SUMIFS(po_rest,po_ref,A580,po_key,"&gt;0"))</f>
        <v/>
      </c>
      <c r="J580" s="70" t="str">
        <f>IF(A580="","",IF(COUNTIFS(po_ref,A580,po_status,"&lt;&gt;Annulé")=0,"",INDEX(po_price,SUMPRODUCT(MAX((po_ref=A580)*(po_status&lt;&gt;"Annulé")*(ROW(po_ref)-5))))))</f>
        <v/>
      </c>
      <c r="K580" s="67" t="str">
        <f>IF(A580="","",IF(COUNTIF(art_ref,A580)&gt;1,"Référence en double",IF(B580="","Désignation manquante",IF(NOT(ISNUMBER(D580)),"Prix manquant",IF(E580="","TVA manquante",IF(ISNA(MATCH(E580,p_tva,0)),"Taux de TVA inconnu",IF(AND(F580&lt;&gt;"",ISNA(MATCH(F580,sup_code,0))),"Fournisseur inconnu","OK")))))))</f>
        <v/>
      </c>
    </row>
    <row r="581">
      <c r="A581" s="63" t="n"/>
      <c r="B581" s="63" t="n"/>
      <c r="C581" s="65" t="n"/>
      <c r="D581" s="69" t="n"/>
      <c r="E581" s="71" t="n"/>
      <c r="F581" s="65" t="n"/>
      <c r="G581" s="74" t="str">
        <f>IF(A581="","",SUMIFS(po_qty,po_ref,A581,po_status,"&lt;&gt;Annulé"))</f>
        <v/>
      </c>
      <c r="H581" s="74" t="str">
        <f>IF(A581="","",SUMIFS(po_rcv,po_ref,A581,po_status,"&lt;&gt;Annulé"))</f>
        <v/>
      </c>
      <c r="I581" s="74" t="str">
        <f>IF(A581="","",SUMIFS(po_rest,po_ref,A581,po_key,"&gt;0"))</f>
        <v/>
      </c>
      <c r="J581" s="70" t="str">
        <f>IF(A581="","",IF(COUNTIFS(po_ref,A581,po_status,"&lt;&gt;Annulé")=0,"",INDEX(po_price,SUMPRODUCT(MAX((po_ref=A581)*(po_status&lt;&gt;"Annulé")*(ROW(po_ref)-5))))))</f>
        <v/>
      </c>
      <c r="K581" s="67" t="str">
        <f>IF(A581="","",IF(COUNTIF(art_ref,A581)&gt;1,"Référence en double",IF(B581="","Désignation manquante",IF(NOT(ISNUMBER(D581)),"Prix manquant",IF(E581="","TVA manquante",IF(ISNA(MATCH(E581,p_tva,0)),"Taux de TVA inconnu",IF(AND(F581&lt;&gt;"",ISNA(MATCH(F581,sup_code,0))),"Fournisseur inconnu","OK")))))))</f>
        <v/>
      </c>
    </row>
    <row r="582">
      <c r="A582" s="63" t="n"/>
      <c r="B582" s="63" t="n"/>
      <c r="C582" s="65" t="n"/>
      <c r="D582" s="69" t="n"/>
      <c r="E582" s="71" t="n"/>
      <c r="F582" s="65" t="n"/>
      <c r="G582" s="74" t="str">
        <f>IF(A582="","",SUMIFS(po_qty,po_ref,A582,po_status,"&lt;&gt;Annulé"))</f>
        <v/>
      </c>
      <c r="H582" s="74" t="str">
        <f>IF(A582="","",SUMIFS(po_rcv,po_ref,A582,po_status,"&lt;&gt;Annulé"))</f>
        <v/>
      </c>
      <c r="I582" s="74" t="str">
        <f>IF(A582="","",SUMIFS(po_rest,po_ref,A582,po_key,"&gt;0"))</f>
        <v/>
      </c>
      <c r="J582" s="70" t="str">
        <f>IF(A582="","",IF(COUNTIFS(po_ref,A582,po_status,"&lt;&gt;Annulé")=0,"",INDEX(po_price,SUMPRODUCT(MAX((po_ref=A582)*(po_status&lt;&gt;"Annulé")*(ROW(po_ref)-5))))))</f>
        <v/>
      </c>
      <c r="K582" s="67" t="str">
        <f>IF(A582="","",IF(COUNTIF(art_ref,A582)&gt;1,"Référence en double",IF(B582="","Désignation manquante",IF(NOT(ISNUMBER(D582)),"Prix manquant",IF(E582="","TVA manquante",IF(ISNA(MATCH(E582,p_tva,0)),"Taux de TVA inconnu",IF(AND(F582&lt;&gt;"",ISNA(MATCH(F582,sup_code,0))),"Fournisseur inconnu","OK")))))))</f>
        <v/>
      </c>
    </row>
    <row r="583">
      <c r="A583" s="63" t="n"/>
      <c r="B583" s="63" t="n"/>
      <c r="C583" s="65" t="n"/>
      <c r="D583" s="69" t="n"/>
      <c r="E583" s="71" t="n"/>
      <c r="F583" s="65" t="n"/>
      <c r="G583" s="74" t="str">
        <f>IF(A583="","",SUMIFS(po_qty,po_ref,A583,po_status,"&lt;&gt;Annulé"))</f>
        <v/>
      </c>
      <c r="H583" s="74" t="str">
        <f>IF(A583="","",SUMIFS(po_rcv,po_ref,A583,po_status,"&lt;&gt;Annulé"))</f>
        <v/>
      </c>
      <c r="I583" s="74" t="str">
        <f>IF(A583="","",SUMIFS(po_rest,po_ref,A583,po_key,"&gt;0"))</f>
        <v/>
      </c>
      <c r="J583" s="70" t="str">
        <f>IF(A583="","",IF(COUNTIFS(po_ref,A583,po_status,"&lt;&gt;Annulé")=0,"",INDEX(po_price,SUMPRODUCT(MAX((po_ref=A583)*(po_status&lt;&gt;"Annulé")*(ROW(po_ref)-5))))))</f>
        <v/>
      </c>
      <c r="K583" s="67" t="str">
        <f>IF(A583="","",IF(COUNTIF(art_ref,A583)&gt;1,"Référence en double",IF(B583="","Désignation manquante",IF(NOT(ISNUMBER(D583)),"Prix manquant",IF(E583="","TVA manquante",IF(ISNA(MATCH(E583,p_tva,0)),"Taux de TVA inconnu",IF(AND(F583&lt;&gt;"",ISNA(MATCH(F583,sup_code,0))),"Fournisseur inconnu","OK")))))))</f>
        <v/>
      </c>
    </row>
    <row r="584">
      <c r="A584" s="63" t="n"/>
      <c r="B584" s="63" t="n"/>
      <c r="C584" s="65" t="n"/>
      <c r="D584" s="69" t="n"/>
      <c r="E584" s="71" t="n"/>
      <c r="F584" s="65" t="n"/>
      <c r="G584" s="74" t="str">
        <f>IF(A584="","",SUMIFS(po_qty,po_ref,A584,po_status,"&lt;&gt;Annulé"))</f>
        <v/>
      </c>
      <c r="H584" s="74" t="str">
        <f>IF(A584="","",SUMIFS(po_rcv,po_ref,A584,po_status,"&lt;&gt;Annulé"))</f>
        <v/>
      </c>
      <c r="I584" s="74" t="str">
        <f>IF(A584="","",SUMIFS(po_rest,po_ref,A584,po_key,"&gt;0"))</f>
        <v/>
      </c>
      <c r="J584" s="70" t="str">
        <f>IF(A584="","",IF(COUNTIFS(po_ref,A584,po_status,"&lt;&gt;Annulé")=0,"",INDEX(po_price,SUMPRODUCT(MAX((po_ref=A584)*(po_status&lt;&gt;"Annulé")*(ROW(po_ref)-5))))))</f>
        <v/>
      </c>
      <c r="K584" s="67" t="str">
        <f>IF(A584="","",IF(COUNTIF(art_ref,A584)&gt;1,"Référence en double",IF(B584="","Désignation manquante",IF(NOT(ISNUMBER(D584)),"Prix manquant",IF(E584="","TVA manquante",IF(ISNA(MATCH(E584,p_tva,0)),"Taux de TVA inconnu",IF(AND(F584&lt;&gt;"",ISNA(MATCH(F584,sup_code,0))),"Fournisseur inconnu","OK")))))))</f>
        <v/>
      </c>
    </row>
    <row r="585">
      <c r="A585" s="63" t="n"/>
      <c r="B585" s="63" t="n"/>
      <c r="C585" s="65" t="n"/>
      <c r="D585" s="69" t="n"/>
      <c r="E585" s="71" t="n"/>
      <c r="F585" s="65" t="n"/>
      <c r="G585" s="74" t="str">
        <f>IF(A585="","",SUMIFS(po_qty,po_ref,A585,po_status,"&lt;&gt;Annulé"))</f>
        <v/>
      </c>
      <c r="H585" s="74" t="str">
        <f>IF(A585="","",SUMIFS(po_rcv,po_ref,A585,po_status,"&lt;&gt;Annulé"))</f>
        <v/>
      </c>
      <c r="I585" s="74" t="str">
        <f>IF(A585="","",SUMIFS(po_rest,po_ref,A585,po_key,"&gt;0"))</f>
        <v/>
      </c>
      <c r="J585" s="70" t="str">
        <f>IF(A585="","",IF(COUNTIFS(po_ref,A585,po_status,"&lt;&gt;Annulé")=0,"",INDEX(po_price,SUMPRODUCT(MAX((po_ref=A585)*(po_status&lt;&gt;"Annulé")*(ROW(po_ref)-5))))))</f>
        <v/>
      </c>
      <c r="K585" s="67" t="str">
        <f>IF(A585="","",IF(COUNTIF(art_ref,A585)&gt;1,"Référence en double",IF(B585="","Désignation manquante",IF(NOT(ISNUMBER(D585)),"Prix manquant",IF(E585="","TVA manquante",IF(ISNA(MATCH(E585,p_tva,0)),"Taux de TVA inconnu",IF(AND(F585&lt;&gt;"",ISNA(MATCH(F585,sup_code,0))),"Fournisseur inconnu","OK")))))))</f>
        <v/>
      </c>
    </row>
    <row r="586">
      <c r="A586" s="63" t="n"/>
      <c r="B586" s="63" t="n"/>
      <c r="C586" s="65" t="n"/>
      <c r="D586" s="69" t="n"/>
      <c r="E586" s="71" t="n"/>
      <c r="F586" s="65" t="n"/>
      <c r="G586" s="74" t="str">
        <f>IF(A586="","",SUMIFS(po_qty,po_ref,A586,po_status,"&lt;&gt;Annulé"))</f>
        <v/>
      </c>
      <c r="H586" s="74" t="str">
        <f>IF(A586="","",SUMIFS(po_rcv,po_ref,A586,po_status,"&lt;&gt;Annulé"))</f>
        <v/>
      </c>
      <c r="I586" s="74" t="str">
        <f>IF(A586="","",SUMIFS(po_rest,po_ref,A586,po_key,"&gt;0"))</f>
        <v/>
      </c>
      <c r="J586" s="70" t="str">
        <f>IF(A586="","",IF(COUNTIFS(po_ref,A586,po_status,"&lt;&gt;Annulé")=0,"",INDEX(po_price,SUMPRODUCT(MAX((po_ref=A586)*(po_status&lt;&gt;"Annulé")*(ROW(po_ref)-5))))))</f>
        <v/>
      </c>
      <c r="K586" s="67" t="str">
        <f>IF(A586="","",IF(COUNTIF(art_ref,A586)&gt;1,"Référence en double",IF(B586="","Désignation manquante",IF(NOT(ISNUMBER(D586)),"Prix manquant",IF(E586="","TVA manquante",IF(ISNA(MATCH(E586,p_tva,0)),"Taux de TVA inconnu",IF(AND(F586&lt;&gt;"",ISNA(MATCH(F586,sup_code,0))),"Fournisseur inconnu","OK")))))))</f>
        <v/>
      </c>
    </row>
    <row r="587">
      <c r="A587" s="63" t="n"/>
      <c r="B587" s="63" t="n"/>
      <c r="C587" s="65" t="n"/>
      <c r="D587" s="69" t="n"/>
      <c r="E587" s="71" t="n"/>
      <c r="F587" s="65" t="n"/>
      <c r="G587" s="74" t="str">
        <f>IF(A587="","",SUMIFS(po_qty,po_ref,A587,po_status,"&lt;&gt;Annulé"))</f>
        <v/>
      </c>
      <c r="H587" s="74" t="str">
        <f>IF(A587="","",SUMIFS(po_rcv,po_ref,A587,po_status,"&lt;&gt;Annulé"))</f>
        <v/>
      </c>
      <c r="I587" s="74" t="str">
        <f>IF(A587="","",SUMIFS(po_rest,po_ref,A587,po_key,"&gt;0"))</f>
        <v/>
      </c>
      <c r="J587" s="70" t="str">
        <f>IF(A587="","",IF(COUNTIFS(po_ref,A587,po_status,"&lt;&gt;Annulé")=0,"",INDEX(po_price,SUMPRODUCT(MAX((po_ref=A587)*(po_status&lt;&gt;"Annulé")*(ROW(po_ref)-5))))))</f>
        <v/>
      </c>
      <c r="K587" s="67" t="str">
        <f>IF(A587="","",IF(COUNTIF(art_ref,A587)&gt;1,"Référence en double",IF(B587="","Désignation manquante",IF(NOT(ISNUMBER(D587)),"Prix manquant",IF(E587="","TVA manquante",IF(ISNA(MATCH(E587,p_tva,0)),"Taux de TVA inconnu",IF(AND(F587&lt;&gt;"",ISNA(MATCH(F587,sup_code,0))),"Fournisseur inconnu","OK")))))))</f>
        <v/>
      </c>
    </row>
    <row r="588">
      <c r="A588" s="63" t="n"/>
      <c r="B588" s="63" t="n"/>
      <c r="C588" s="65" t="n"/>
      <c r="D588" s="69" t="n"/>
      <c r="E588" s="71" t="n"/>
      <c r="F588" s="65" t="n"/>
      <c r="G588" s="74" t="str">
        <f>IF(A588="","",SUMIFS(po_qty,po_ref,A588,po_status,"&lt;&gt;Annulé"))</f>
        <v/>
      </c>
      <c r="H588" s="74" t="str">
        <f>IF(A588="","",SUMIFS(po_rcv,po_ref,A588,po_status,"&lt;&gt;Annulé"))</f>
        <v/>
      </c>
      <c r="I588" s="74" t="str">
        <f>IF(A588="","",SUMIFS(po_rest,po_ref,A588,po_key,"&gt;0"))</f>
        <v/>
      </c>
      <c r="J588" s="70" t="str">
        <f>IF(A588="","",IF(COUNTIFS(po_ref,A588,po_status,"&lt;&gt;Annulé")=0,"",INDEX(po_price,SUMPRODUCT(MAX((po_ref=A588)*(po_status&lt;&gt;"Annulé")*(ROW(po_ref)-5))))))</f>
        <v/>
      </c>
      <c r="K588" s="67" t="str">
        <f>IF(A588="","",IF(COUNTIF(art_ref,A588)&gt;1,"Référence en double",IF(B588="","Désignation manquante",IF(NOT(ISNUMBER(D588)),"Prix manquant",IF(E588="","TVA manquante",IF(ISNA(MATCH(E588,p_tva,0)),"Taux de TVA inconnu",IF(AND(F588&lt;&gt;"",ISNA(MATCH(F588,sup_code,0))),"Fournisseur inconnu","OK")))))))</f>
        <v/>
      </c>
    </row>
    <row r="589">
      <c r="A589" s="63" t="n"/>
      <c r="B589" s="63" t="n"/>
      <c r="C589" s="65" t="n"/>
      <c r="D589" s="69" t="n"/>
      <c r="E589" s="71" t="n"/>
      <c r="F589" s="65" t="n"/>
      <c r="G589" s="74" t="str">
        <f>IF(A589="","",SUMIFS(po_qty,po_ref,A589,po_status,"&lt;&gt;Annulé"))</f>
        <v/>
      </c>
      <c r="H589" s="74" t="str">
        <f>IF(A589="","",SUMIFS(po_rcv,po_ref,A589,po_status,"&lt;&gt;Annulé"))</f>
        <v/>
      </c>
      <c r="I589" s="74" t="str">
        <f>IF(A589="","",SUMIFS(po_rest,po_ref,A589,po_key,"&gt;0"))</f>
        <v/>
      </c>
      <c r="J589" s="70" t="str">
        <f>IF(A589="","",IF(COUNTIFS(po_ref,A589,po_status,"&lt;&gt;Annulé")=0,"",INDEX(po_price,SUMPRODUCT(MAX((po_ref=A589)*(po_status&lt;&gt;"Annulé")*(ROW(po_ref)-5))))))</f>
        <v/>
      </c>
      <c r="K589" s="67" t="str">
        <f>IF(A589="","",IF(COUNTIF(art_ref,A589)&gt;1,"Référence en double",IF(B589="","Désignation manquante",IF(NOT(ISNUMBER(D589)),"Prix manquant",IF(E589="","TVA manquante",IF(ISNA(MATCH(E589,p_tva,0)),"Taux de TVA inconnu",IF(AND(F589&lt;&gt;"",ISNA(MATCH(F589,sup_code,0))),"Fournisseur inconnu","OK")))))))</f>
        <v/>
      </c>
    </row>
    <row r="590">
      <c r="A590" s="63" t="n"/>
      <c r="B590" s="63" t="n"/>
      <c r="C590" s="65" t="n"/>
      <c r="D590" s="69" t="n"/>
      <c r="E590" s="71" t="n"/>
      <c r="F590" s="65" t="n"/>
      <c r="G590" s="74" t="str">
        <f>IF(A590="","",SUMIFS(po_qty,po_ref,A590,po_status,"&lt;&gt;Annulé"))</f>
        <v/>
      </c>
      <c r="H590" s="74" t="str">
        <f>IF(A590="","",SUMIFS(po_rcv,po_ref,A590,po_status,"&lt;&gt;Annulé"))</f>
        <v/>
      </c>
      <c r="I590" s="74" t="str">
        <f>IF(A590="","",SUMIFS(po_rest,po_ref,A590,po_key,"&gt;0"))</f>
        <v/>
      </c>
      <c r="J590" s="70" t="str">
        <f>IF(A590="","",IF(COUNTIFS(po_ref,A590,po_status,"&lt;&gt;Annulé")=0,"",INDEX(po_price,SUMPRODUCT(MAX((po_ref=A590)*(po_status&lt;&gt;"Annulé")*(ROW(po_ref)-5))))))</f>
        <v/>
      </c>
      <c r="K590" s="67" t="str">
        <f>IF(A590="","",IF(COUNTIF(art_ref,A590)&gt;1,"Référence en double",IF(B590="","Désignation manquante",IF(NOT(ISNUMBER(D590)),"Prix manquant",IF(E590="","TVA manquante",IF(ISNA(MATCH(E590,p_tva,0)),"Taux de TVA inconnu",IF(AND(F590&lt;&gt;"",ISNA(MATCH(F590,sup_code,0))),"Fournisseur inconnu","OK")))))))</f>
        <v/>
      </c>
    </row>
    <row r="591">
      <c r="A591" s="63" t="n"/>
      <c r="B591" s="63" t="n"/>
      <c r="C591" s="65" t="n"/>
      <c r="D591" s="69" t="n"/>
      <c r="E591" s="71" t="n"/>
      <c r="F591" s="65" t="n"/>
      <c r="G591" s="74" t="str">
        <f>IF(A591="","",SUMIFS(po_qty,po_ref,A591,po_status,"&lt;&gt;Annulé"))</f>
        <v/>
      </c>
      <c r="H591" s="74" t="str">
        <f>IF(A591="","",SUMIFS(po_rcv,po_ref,A591,po_status,"&lt;&gt;Annulé"))</f>
        <v/>
      </c>
      <c r="I591" s="74" t="str">
        <f>IF(A591="","",SUMIFS(po_rest,po_ref,A591,po_key,"&gt;0"))</f>
        <v/>
      </c>
      <c r="J591" s="70" t="str">
        <f>IF(A591="","",IF(COUNTIFS(po_ref,A591,po_status,"&lt;&gt;Annulé")=0,"",INDEX(po_price,SUMPRODUCT(MAX((po_ref=A591)*(po_status&lt;&gt;"Annulé")*(ROW(po_ref)-5))))))</f>
        <v/>
      </c>
      <c r="K591" s="67" t="str">
        <f>IF(A591="","",IF(COUNTIF(art_ref,A591)&gt;1,"Référence en double",IF(B591="","Désignation manquante",IF(NOT(ISNUMBER(D591)),"Prix manquant",IF(E591="","TVA manquante",IF(ISNA(MATCH(E591,p_tva,0)),"Taux de TVA inconnu",IF(AND(F591&lt;&gt;"",ISNA(MATCH(F591,sup_code,0))),"Fournisseur inconnu","OK")))))))</f>
        <v/>
      </c>
    </row>
    <row r="592">
      <c r="A592" s="63" t="n"/>
      <c r="B592" s="63" t="n"/>
      <c r="C592" s="65" t="n"/>
      <c r="D592" s="69" t="n"/>
      <c r="E592" s="71" t="n"/>
      <c r="F592" s="65" t="n"/>
      <c r="G592" s="74" t="str">
        <f>IF(A592="","",SUMIFS(po_qty,po_ref,A592,po_status,"&lt;&gt;Annulé"))</f>
        <v/>
      </c>
      <c r="H592" s="74" t="str">
        <f>IF(A592="","",SUMIFS(po_rcv,po_ref,A592,po_status,"&lt;&gt;Annulé"))</f>
        <v/>
      </c>
      <c r="I592" s="74" t="str">
        <f>IF(A592="","",SUMIFS(po_rest,po_ref,A592,po_key,"&gt;0"))</f>
        <v/>
      </c>
      <c r="J592" s="70" t="str">
        <f>IF(A592="","",IF(COUNTIFS(po_ref,A592,po_status,"&lt;&gt;Annulé")=0,"",INDEX(po_price,SUMPRODUCT(MAX((po_ref=A592)*(po_status&lt;&gt;"Annulé")*(ROW(po_ref)-5))))))</f>
        <v/>
      </c>
      <c r="K592" s="67" t="str">
        <f>IF(A592="","",IF(COUNTIF(art_ref,A592)&gt;1,"Référence en double",IF(B592="","Désignation manquante",IF(NOT(ISNUMBER(D592)),"Prix manquant",IF(E592="","TVA manquante",IF(ISNA(MATCH(E592,p_tva,0)),"Taux de TVA inconnu",IF(AND(F592&lt;&gt;"",ISNA(MATCH(F592,sup_code,0))),"Fournisseur inconnu","OK")))))))</f>
        <v/>
      </c>
    </row>
    <row r="593">
      <c r="A593" s="63" t="n"/>
      <c r="B593" s="63" t="n"/>
      <c r="C593" s="65" t="n"/>
      <c r="D593" s="69" t="n"/>
      <c r="E593" s="71" t="n"/>
      <c r="F593" s="65" t="n"/>
      <c r="G593" s="74" t="str">
        <f>IF(A593="","",SUMIFS(po_qty,po_ref,A593,po_status,"&lt;&gt;Annulé"))</f>
        <v/>
      </c>
      <c r="H593" s="74" t="str">
        <f>IF(A593="","",SUMIFS(po_rcv,po_ref,A593,po_status,"&lt;&gt;Annulé"))</f>
        <v/>
      </c>
      <c r="I593" s="74" t="str">
        <f>IF(A593="","",SUMIFS(po_rest,po_ref,A593,po_key,"&gt;0"))</f>
        <v/>
      </c>
      <c r="J593" s="70" t="str">
        <f>IF(A593="","",IF(COUNTIFS(po_ref,A593,po_status,"&lt;&gt;Annulé")=0,"",INDEX(po_price,SUMPRODUCT(MAX((po_ref=A593)*(po_status&lt;&gt;"Annulé")*(ROW(po_ref)-5))))))</f>
        <v/>
      </c>
      <c r="K593" s="67" t="str">
        <f>IF(A593="","",IF(COUNTIF(art_ref,A593)&gt;1,"Référence en double",IF(B593="","Désignation manquante",IF(NOT(ISNUMBER(D593)),"Prix manquant",IF(E593="","TVA manquante",IF(ISNA(MATCH(E593,p_tva,0)),"Taux de TVA inconnu",IF(AND(F593&lt;&gt;"",ISNA(MATCH(F593,sup_code,0))),"Fournisseur inconnu","OK")))))))</f>
        <v/>
      </c>
    </row>
    <row r="594">
      <c r="A594" s="63" t="n"/>
      <c r="B594" s="63" t="n"/>
      <c r="C594" s="65" t="n"/>
      <c r="D594" s="69" t="n"/>
      <c r="E594" s="71" t="n"/>
      <c r="F594" s="65" t="n"/>
      <c r="G594" s="74" t="str">
        <f>IF(A594="","",SUMIFS(po_qty,po_ref,A594,po_status,"&lt;&gt;Annulé"))</f>
        <v/>
      </c>
      <c r="H594" s="74" t="str">
        <f>IF(A594="","",SUMIFS(po_rcv,po_ref,A594,po_status,"&lt;&gt;Annulé"))</f>
        <v/>
      </c>
      <c r="I594" s="74" t="str">
        <f>IF(A594="","",SUMIFS(po_rest,po_ref,A594,po_key,"&gt;0"))</f>
        <v/>
      </c>
      <c r="J594" s="70" t="str">
        <f>IF(A594="","",IF(COUNTIFS(po_ref,A594,po_status,"&lt;&gt;Annulé")=0,"",INDEX(po_price,SUMPRODUCT(MAX((po_ref=A594)*(po_status&lt;&gt;"Annulé")*(ROW(po_ref)-5))))))</f>
        <v/>
      </c>
      <c r="K594" s="67" t="str">
        <f>IF(A594="","",IF(COUNTIF(art_ref,A594)&gt;1,"Référence en double",IF(B594="","Désignation manquante",IF(NOT(ISNUMBER(D594)),"Prix manquant",IF(E594="","TVA manquante",IF(ISNA(MATCH(E594,p_tva,0)),"Taux de TVA inconnu",IF(AND(F594&lt;&gt;"",ISNA(MATCH(F594,sup_code,0))),"Fournisseur inconnu","OK")))))))</f>
        <v/>
      </c>
    </row>
    <row r="595">
      <c r="A595" s="63" t="n"/>
      <c r="B595" s="63" t="n"/>
      <c r="C595" s="65" t="n"/>
      <c r="D595" s="69" t="n"/>
      <c r="E595" s="71" t="n"/>
      <c r="F595" s="65" t="n"/>
      <c r="G595" s="74" t="str">
        <f>IF(A595="","",SUMIFS(po_qty,po_ref,A595,po_status,"&lt;&gt;Annulé"))</f>
        <v/>
      </c>
      <c r="H595" s="74" t="str">
        <f>IF(A595="","",SUMIFS(po_rcv,po_ref,A595,po_status,"&lt;&gt;Annulé"))</f>
        <v/>
      </c>
      <c r="I595" s="74" t="str">
        <f>IF(A595="","",SUMIFS(po_rest,po_ref,A595,po_key,"&gt;0"))</f>
        <v/>
      </c>
      <c r="J595" s="70" t="str">
        <f>IF(A595="","",IF(COUNTIFS(po_ref,A595,po_status,"&lt;&gt;Annulé")=0,"",INDEX(po_price,SUMPRODUCT(MAX((po_ref=A595)*(po_status&lt;&gt;"Annulé")*(ROW(po_ref)-5))))))</f>
        <v/>
      </c>
      <c r="K595" s="67" t="str">
        <f>IF(A595="","",IF(COUNTIF(art_ref,A595)&gt;1,"Référence en double",IF(B595="","Désignation manquante",IF(NOT(ISNUMBER(D595)),"Prix manquant",IF(E595="","TVA manquante",IF(ISNA(MATCH(E595,p_tva,0)),"Taux de TVA inconnu",IF(AND(F595&lt;&gt;"",ISNA(MATCH(F595,sup_code,0))),"Fournisseur inconnu","OK")))))))</f>
        <v/>
      </c>
    </row>
    <row r="596">
      <c r="A596" s="63" t="n"/>
      <c r="B596" s="63" t="n"/>
      <c r="C596" s="65" t="n"/>
      <c r="D596" s="69" t="n"/>
      <c r="E596" s="71" t="n"/>
      <c r="F596" s="65" t="n"/>
      <c r="G596" s="74" t="str">
        <f>IF(A596="","",SUMIFS(po_qty,po_ref,A596,po_status,"&lt;&gt;Annulé"))</f>
        <v/>
      </c>
      <c r="H596" s="74" t="str">
        <f>IF(A596="","",SUMIFS(po_rcv,po_ref,A596,po_status,"&lt;&gt;Annulé"))</f>
        <v/>
      </c>
      <c r="I596" s="74" t="str">
        <f>IF(A596="","",SUMIFS(po_rest,po_ref,A596,po_key,"&gt;0"))</f>
        <v/>
      </c>
      <c r="J596" s="70" t="str">
        <f>IF(A596="","",IF(COUNTIFS(po_ref,A596,po_status,"&lt;&gt;Annulé")=0,"",INDEX(po_price,SUMPRODUCT(MAX((po_ref=A596)*(po_status&lt;&gt;"Annulé")*(ROW(po_ref)-5))))))</f>
        <v/>
      </c>
      <c r="K596" s="67" t="str">
        <f>IF(A596="","",IF(COUNTIF(art_ref,A596)&gt;1,"Référence en double",IF(B596="","Désignation manquante",IF(NOT(ISNUMBER(D596)),"Prix manquant",IF(E596="","TVA manquante",IF(ISNA(MATCH(E596,p_tva,0)),"Taux de TVA inconnu",IF(AND(F596&lt;&gt;"",ISNA(MATCH(F596,sup_code,0))),"Fournisseur inconnu","OK")))))))</f>
        <v/>
      </c>
    </row>
    <row r="597">
      <c r="A597" s="63" t="n"/>
      <c r="B597" s="63" t="n"/>
      <c r="C597" s="65" t="n"/>
      <c r="D597" s="69" t="n"/>
      <c r="E597" s="71" t="n"/>
      <c r="F597" s="65" t="n"/>
      <c r="G597" s="74" t="str">
        <f>IF(A597="","",SUMIFS(po_qty,po_ref,A597,po_status,"&lt;&gt;Annulé"))</f>
        <v/>
      </c>
      <c r="H597" s="74" t="str">
        <f>IF(A597="","",SUMIFS(po_rcv,po_ref,A597,po_status,"&lt;&gt;Annulé"))</f>
        <v/>
      </c>
      <c r="I597" s="74" t="str">
        <f>IF(A597="","",SUMIFS(po_rest,po_ref,A597,po_key,"&gt;0"))</f>
        <v/>
      </c>
      <c r="J597" s="70" t="str">
        <f>IF(A597="","",IF(COUNTIFS(po_ref,A597,po_status,"&lt;&gt;Annulé")=0,"",INDEX(po_price,SUMPRODUCT(MAX((po_ref=A597)*(po_status&lt;&gt;"Annulé")*(ROW(po_ref)-5))))))</f>
        <v/>
      </c>
      <c r="K597" s="67" t="str">
        <f>IF(A597="","",IF(COUNTIF(art_ref,A597)&gt;1,"Référence en double",IF(B597="","Désignation manquante",IF(NOT(ISNUMBER(D597)),"Prix manquant",IF(E597="","TVA manquante",IF(ISNA(MATCH(E597,p_tva,0)),"Taux de TVA inconnu",IF(AND(F597&lt;&gt;"",ISNA(MATCH(F597,sup_code,0))),"Fournisseur inconnu","OK")))))))</f>
        <v/>
      </c>
    </row>
    <row r="598">
      <c r="A598" s="63" t="n"/>
      <c r="B598" s="63" t="n"/>
      <c r="C598" s="65" t="n"/>
      <c r="D598" s="69" t="n"/>
      <c r="E598" s="71" t="n"/>
      <c r="F598" s="65" t="n"/>
      <c r="G598" s="74" t="str">
        <f>IF(A598="","",SUMIFS(po_qty,po_ref,A598,po_status,"&lt;&gt;Annulé"))</f>
        <v/>
      </c>
      <c r="H598" s="74" t="str">
        <f>IF(A598="","",SUMIFS(po_rcv,po_ref,A598,po_status,"&lt;&gt;Annulé"))</f>
        <v/>
      </c>
      <c r="I598" s="74" t="str">
        <f>IF(A598="","",SUMIFS(po_rest,po_ref,A598,po_key,"&gt;0"))</f>
        <v/>
      </c>
      <c r="J598" s="70" t="str">
        <f>IF(A598="","",IF(COUNTIFS(po_ref,A598,po_status,"&lt;&gt;Annulé")=0,"",INDEX(po_price,SUMPRODUCT(MAX((po_ref=A598)*(po_status&lt;&gt;"Annulé")*(ROW(po_ref)-5))))))</f>
        <v/>
      </c>
      <c r="K598" s="67" t="str">
        <f>IF(A598="","",IF(COUNTIF(art_ref,A598)&gt;1,"Référence en double",IF(B598="","Désignation manquante",IF(NOT(ISNUMBER(D598)),"Prix manquant",IF(E598="","TVA manquante",IF(ISNA(MATCH(E598,p_tva,0)),"Taux de TVA inconnu",IF(AND(F598&lt;&gt;"",ISNA(MATCH(F598,sup_code,0))),"Fournisseur inconnu","OK")))))))</f>
        <v/>
      </c>
    </row>
    <row r="599">
      <c r="A599" s="63" t="n"/>
      <c r="B599" s="63" t="n"/>
      <c r="C599" s="65" t="n"/>
      <c r="D599" s="69" t="n"/>
      <c r="E599" s="71" t="n"/>
      <c r="F599" s="65" t="n"/>
      <c r="G599" s="74" t="str">
        <f>IF(A599="","",SUMIFS(po_qty,po_ref,A599,po_status,"&lt;&gt;Annulé"))</f>
        <v/>
      </c>
      <c r="H599" s="74" t="str">
        <f>IF(A599="","",SUMIFS(po_rcv,po_ref,A599,po_status,"&lt;&gt;Annulé"))</f>
        <v/>
      </c>
      <c r="I599" s="74" t="str">
        <f>IF(A599="","",SUMIFS(po_rest,po_ref,A599,po_key,"&gt;0"))</f>
        <v/>
      </c>
      <c r="J599" s="70" t="str">
        <f>IF(A599="","",IF(COUNTIFS(po_ref,A599,po_status,"&lt;&gt;Annulé")=0,"",INDEX(po_price,SUMPRODUCT(MAX((po_ref=A599)*(po_status&lt;&gt;"Annulé")*(ROW(po_ref)-5))))))</f>
        <v/>
      </c>
      <c r="K599" s="67" t="str">
        <f>IF(A599="","",IF(COUNTIF(art_ref,A599)&gt;1,"Référence en double",IF(B599="","Désignation manquante",IF(NOT(ISNUMBER(D599)),"Prix manquant",IF(E599="","TVA manquante",IF(ISNA(MATCH(E599,p_tva,0)),"Taux de TVA inconnu",IF(AND(F599&lt;&gt;"",ISNA(MATCH(F599,sup_code,0))),"Fournisseur inconnu","OK")))))))</f>
        <v/>
      </c>
    </row>
    <row r="600">
      <c r="A600" s="63" t="n"/>
      <c r="B600" s="63" t="n"/>
      <c r="C600" s="65" t="n"/>
      <c r="D600" s="69" t="n"/>
      <c r="E600" s="71" t="n"/>
      <c r="F600" s="65" t="n"/>
      <c r="G600" s="74" t="str">
        <f>IF(A600="","",SUMIFS(po_qty,po_ref,A600,po_status,"&lt;&gt;Annulé"))</f>
        <v/>
      </c>
      <c r="H600" s="74" t="str">
        <f>IF(A600="","",SUMIFS(po_rcv,po_ref,A600,po_status,"&lt;&gt;Annulé"))</f>
        <v/>
      </c>
      <c r="I600" s="74" t="str">
        <f>IF(A600="","",SUMIFS(po_rest,po_ref,A600,po_key,"&gt;0"))</f>
        <v/>
      </c>
      <c r="J600" s="70" t="str">
        <f>IF(A600="","",IF(COUNTIFS(po_ref,A600,po_status,"&lt;&gt;Annulé")=0,"",INDEX(po_price,SUMPRODUCT(MAX((po_ref=A600)*(po_status&lt;&gt;"Annulé")*(ROW(po_ref)-5))))))</f>
        <v/>
      </c>
      <c r="K600" s="67" t="str">
        <f>IF(A600="","",IF(COUNTIF(art_ref,A600)&gt;1,"Référence en double",IF(B600="","Désignation manquante",IF(NOT(ISNUMBER(D600)),"Prix manquant",IF(E600="","TVA manquante",IF(ISNA(MATCH(E600,p_tva,0)),"Taux de TVA inconnu",IF(AND(F600&lt;&gt;"",ISNA(MATCH(F600,sup_code,0))),"Fournisseur inconnu","OK")))))))</f>
        <v/>
      </c>
    </row>
    <row r="601">
      <c r="A601" s="63" t="n"/>
      <c r="B601" s="63" t="n"/>
      <c r="C601" s="65" t="n"/>
      <c r="D601" s="69" t="n"/>
      <c r="E601" s="71" t="n"/>
      <c r="F601" s="65" t="n"/>
      <c r="G601" s="74" t="str">
        <f>IF(A601="","",SUMIFS(po_qty,po_ref,A601,po_status,"&lt;&gt;Annulé"))</f>
        <v/>
      </c>
      <c r="H601" s="74" t="str">
        <f>IF(A601="","",SUMIFS(po_rcv,po_ref,A601,po_status,"&lt;&gt;Annulé"))</f>
        <v/>
      </c>
      <c r="I601" s="74" t="str">
        <f>IF(A601="","",SUMIFS(po_rest,po_ref,A601,po_key,"&gt;0"))</f>
        <v/>
      </c>
      <c r="J601" s="70" t="str">
        <f>IF(A601="","",IF(COUNTIFS(po_ref,A601,po_status,"&lt;&gt;Annulé")=0,"",INDEX(po_price,SUMPRODUCT(MAX((po_ref=A601)*(po_status&lt;&gt;"Annulé")*(ROW(po_ref)-5))))))</f>
        <v/>
      </c>
      <c r="K601" s="67" t="str">
        <f>IF(A601="","",IF(COUNTIF(art_ref,A601)&gt;1,"Référence en double",IF(B601="","Désignation manquante",IF(NOT(ISNUMBER(D601)),"Prix manquant",IF(E601="","TVA manquante",IF(ISNA(MATCH(E601,p_tva,0)),"Taux de TVA inconnu",IF(AND(F601&lt;&gt;"",ISNA(MATCH(F601,sup_code,0))),"Fournisseur inconnu","OK")))))))</f>
        <v/>
      </c>
    </row>
    <row r="602">
      <c r="A602" s="63" t="n"/>
      <c r="B602" s="63" t="n"/>
      <c r="C602" s="65" t="n"/>
      <c r="D602" s="69" t="n"/>
      <c r="E602" s="71" t="n"/>
      <c r="F602" s="65" t="n"/>
      <c r="G602" s="74" t="str">
        <f>IF(A602="","",SUMIFS(po_qty,po_ref,A602,po_status,"&lt;&gt;Annulé"))</f>
        <v/>
      </c>
      <c r="H602" s="74" t="str">
        <f>IF(A602="","",SUMIFS(po_rcv,po_ref,A602,po_status,"&lt;&gt;Annulé"))</f>
        <v/>
      </c>
      <c r="I602" s="74" t="str">
        <f>IF(A602="","",SUMIFS(po_rest,po_ref,A602,po_key,"&gt;0"))</f>
        <v/>
      </c>
      <c r="J602" s="70" t="str">
        <f>IF(A602="","",IF(COUNTIFS(po_ref,A602,po_status,"&lt;&gt;Annulé")=0,"",INDEX(po_price,SUMPRODUCT(MAX((po_ref=A602)*(po_status&lt;&gt;"Annulé")*(ROW(po_ref)-5))))))</f>
        <v/>
      </c>
      <c r="K602" s="67" t="str">
        <f>IF(A602="","",IF(COUNTIF(art_ref,A602)&gt;1,"Référence en double",IF(B602="","Désignation manquante",IF(NOT(ISNUMBER(D602)),"Prix manquant",IF(E602="","TVA manquante",IF(ISNA(MATCH(E602,p_tva,0)),"Taux de TVA inconnu",IF(AND(F602&lt;&gt;"",ISNA(MATCH(F602,sup_code,0))),"Fournisseur inconnu","OK")))))))</f>
        <v/>
      </c>
    </row>
    <row r="603">
      <c r="A603" s="63" t="n"/>
      <c r="B603" s="63" t="n"/>
      <c r="C603" s="65" t="n"/>
      <c r="D603" s="69" t="n"/>
      <c r="E603" s="71" t="n"/>
      <c r="F603" s="65" t="n"/>
      <c r="G603" s="74" t="str">
        <f>IF(A603="","",SUMIFS(po_qty,po_ref,A603,po_status,"&lt;&gt;Annulé"))</f>
        <v/>
      </c>
      <c r="H603" s="74" t="str">
        <f>IF(A603="","",SUMIFS(po_rcv,po_ref,A603,po_status,"&lt;&gt;Annulé"))</f>
        <v/>
      </c>
      <c r="I603" s="74" t="str">
        <f>IF(A603="","",SUMIFS(po_rest,po_ref,A603,po_key,"&gt;0"))</f>
        <v/>
      </c>
      <c r="J603" s="70" t="str">
        <f>IF(A603="","",IF(COUNTIFS(po_ref,A603,po_status,"&lt;&gt;Annulé")=0,"",INDEX(po_price,SUMPRODUCT(MAX((po_ref=A603)*(po_status&lt;&gt;"Annulé")*(ROW(po_ref)-5))))))</f>
        <v/>
      </c>
      <c r="K603" s="67" t="str">
        <f>IF(A603="","",IF(COUNTIF(art_ref,A603)&gt;1,"Référence en double",IF(B603="","Désignation manquante",IF(NOT(ISNUMBER(D603)),"Prix manquant",IF(E603="","TVA manquante",IF(ISNA(MATCH(E603,p_tva,0)),"Taux de TVA inconnu",IF(AND(F603&lt;&gt;"",ISNA(MATCH(F603,sup_code,0))),"Fournisseur inconnu","OK")))))))</f>
        <v/>
      </c>
    </row>
    <row r="604">
      <c r="A604" s="63" t="n"/>
      <c r="B604" s="63" t="n"/>
      <c r="C604" s="65" t="n"/>
      <c r="D604" s="69" t="n"/>
      <c r="E604" s="71" t="n"/>
      <c r="F604" s="65" t="n"/>
      <c r="G604" s="74" t="str">
        <f>IF(A604="","",SUMIFS(po_qty,po_ref,A604,po_status,"&lt;&gt;Annulé"))</f>
        <v/>
      </c>
      <c r="H604" s="74" t="str">
        <f>IF(A604="","",SUMIFS(po_rcv,po_ref,A604,po_status,"&lt;&gt;Annulé"))</f>
        <v/>
      </c>
      <c r="I604" s="74" t="str">
        <f>IF(A604="","",SUMIFS(po_rest,po_ref,A604,po_key,"&gt;0"))</f>
        <v/>
      </c>
      <c r="J604" s="70" t="str">
        <f>IF(A604="","",IF(COUNTIFS(po_ref,A604,po_status,"&lt;&gt;Annulé")=0,"",INDEX(po_price,SUMPRODUCT(MAX((po_ref=A604)*(po_status&lt;&gt;"Annulé")*(ROW(po_ref)-5))))))</f>
        <v/>
      </c>
      <c r="K604" s="67" t="str">
        <f>IF(A604="","",IF(COUNTIF(art_ref,A604)&gt;1,"Référence en double",IF(B604="","Désignation manquante",IF(NOT(ISNUMBER(D604)),"Prix manquant",IF(E604="","TVA manquante",IF(ISNA(MATCH(E604,p_tva,0)),"Taux de TVA inconnu",IF(AND(F604&lt;&gt;"",ISNA(MATCH(F604,sup_code,0))),"Fournisseur inconnu","OK")))))))</f>
        <v/>
      </c>
    </row>
    <row r="605">
      <c r="A605" s="63" t="n"/>
      <c r="B605" s="63" t="n"/>
      <c r="C605" s="65" t="n"/>
      <c r="D605" s="69" t="n"/>
      <c r="E605" s="71" t="n"/>
      <c r="F605" s="65" t="n"/>
      <c r="G605" s="74" t="str">
        <f>IF(A605="","",SUMIFS(po_qty,po_ref,A605,po_status,"&lt;&gt;Annulé"))</f>
        <v/>
      </c>
      <c r="H605" s="74" t="str">
        <f>IF(A605="","",SUMIFS(po_rcv,po_ref,A605,po_status,"&lt;&gt;Annulé"))</f>
        <v/>
      </c>
      <c r="I605" s="74" t="str">
        <f>IF(A605="","",SUMIFS(po_rest,po_ref,A605,po_key,"&gt;0"))</f>
        <v/>
      </c>
      <c r="J605" s="70" t="str">
        <f>IF(A605="","",IF(COUNTIFS(po_ref,A605,po_status,"&lt;&gt;Annulé")=0,"",INDEX(po_price,SUMPRODUCT(MAX((po_ref=A605)*(po_status&lt;&gt;"Annulé")*(ROW(po_ref)-5))))))</f>
        <v/>
      </c>
      <c r="K605" s="67" t="str">
        <f>IF(A605="","",IF(COUNTIF(art_ref,A605)&gt;1,"Référence en double",IF(B605="","Désignation manquante",IF(NOT(ISNUMBER(D605)),"Prix manquant",IF(E605="","TVA manquante",IF(ISNA(MATCH(E605,p_tva,0)),"Taux de TVA inconnu",IF(AND(F605&lt;&gt;"",ISNA(MATCH(F605,sup_code,0))),"Fournisseur inconnu","OK")))))))</f>
        <v/>
      </c>
    </row>
    <row r="606">
      <c r="A606" s="63" t="n"/>
      <c r="B606" s="63" t="n"/>
      <c r="C606" s="65" t="n"/>
      <c r="D606" s="69" t="n"/>
      <c r="E606" s="71" t="n"/>
      <c r="F606" s="65" t="n"/>
      <c r="G606" s="74" t="str">
        <f>IF(A606="","",SUMIFS(po_qty,po_ref,A606,po_status,"&lt;&gt;Annulé"))</f>
        <v/>
      </c>
      <c r="H606" s="74" t="str">
        <f>IF(A606="","",SUMIFS(po_rcv,po_ref,A606,po_status,"&lt;&gt;Annulé"))</f>
        <v/>
      </c>
      <c r="I606" s="74" t="str">
        <f>IF(A606="","",SUMIFS(po_rest,po_ref,A606,po_key,"&gt;0"))</f>
        <v/>
      </c>
      <c r="J606" s="70" t="str">
        <f>IF(A606="","",IF(COUNTIFS(po_ref,A606,po_status,"&lt;&gt;Annulé")=0,"",INDEX(po_price,SUMPRODUCT(MAX((po_ref=A606)*(po_status&lt;&gt;"Annulé")*(ROW(po_ref)-5))))))</f>
        <v/>
      </c>
      <c r="K606" s="67" t="str">
        <f>IF(A606="","",IF(COUNTIF(art_ref,A606)&gt;1,"Référence en double",IF(B606="","Désignation manquante",IF(NOT(ISNUMBER(D606)),"Prix manquant",IF(E606="","TVA manquante",IF(ISNA(MATCH(E606,p_tva,0)),"Taux de TVA inconnu",IF(AND(F606&lt;&gt;"",ISNA(MATCH(F606,sup_code,0))),"Fournisseur inconnu","OK")))))))</f>
        <v/>
      </c>
    </row>
    <row r="607">
      <c r="A607" s="63" t="n"/>
      <c r="B607" s="63" t="n"/>
      <c r="C607" s="65" t="n"/>
      <c r="D607" s="69" t="n"/>
      <c r="E607" s="71" t="n"/>
      <c r="F607" s="65" t="n"/>
      <c r="G607" s="74" t="str">
        <f>IF(A607="","",SUMIFS(po_qty,po_ref,A607,po_status,"&lt;&gt;Annulé"))</f>
        <v/>
      </c>
      <c r="H607" s="74" t="str">
        <f>IF(A607="","",SUMIFS(po_rcv,po_ref,A607,po_status,"&lt;&gt;Annulé"))</f>
        <v/>
      </c>
      <c r="I607" s="74" t="str">
        <f>IF(A607="","",SUMIFS(po_rest,po_ref,A607,po_key,"&gt;0"))</f>
        <v/>
      </c>
      <c r="J607" s="70" t="str">
        <f>IF(A607="","",IF(COUNTIFS(po_ref,A607,po_status,"&lt;&gt;Annulé")=0,"",INDEX(po_price,SUMPRODUCT(MAX((po_ref=A607)*(po_status&lt;&gt;"Annulé")*(ROW(po_ref)-5))))))</f>
        <v/>
      </c>
      <c r="K607" s="67" t="str">
        <f>IF(A607="","",IF(COUNTIF(art_ref,A607)&gt;1,"Référence en double",IF(B607="","Désignation manquante",IF(NOT(ISNUMBER(D607)),"Prix manquant",IF(E607="","TVA manquante",IF(ISNA(MATCH(E607,p_tva,0)),"Taux de TVA inconnu",IF(AND(F607&lt;&gt;"",ISNA(MATCH(F607,sup_code,0))),"Fournisseur inconnu","OK")))))))</f>
        <v/>
      </c>
    </row>
    <row r="608">
      <c r="A608" s="63" t="n"/>
      <c r="B608" s="63" t="n"/>
      <c r="C608" s="65" t="n"/>
      <c r="D608" s="69" t="n"/>
      <c r="E608" s="71" t="n"/>
      <c r="F608" s="65" t="n"/>
      <c r="G608" s="74" t="str">
        <f>IF(A608="","",SUMIFS(po_qty,po_ref,A608,po_status,"&lt;&gt;Annulé"))</f>
        <v/>
      </c>
      <c r="H608" s="74" t="str">
        <f>IF(A608="","",SUMIFS(po_rcv,po_ref,A608,po_status,"&lt;&gt;Annulé"))</f>
        <v/>
      </c>
      <c r="I608" s="74" t="str">
        <f>IF(A608="","",SUMIFS(po_rest,po_ref,A608,po_key,"&gt;0"))</f>
        <v/>
      </c>
      <c r="J608" s="70" t="str">
        <f>IF(A608="","",IF(COUNTIFS(po_ref,A608,po_status,"&lt;&gt;Annulé")=0,"",INDEX(po_price,SUMPRODUCT(MAX((po_ref=A608)*(po_status&lt;&gt;"Annulé")*(ROW(po_ref)-5))))))</f>
        <v/>
      </c>
      <c r="K608" s="67" t="str">
        <f>IF(A608="","",IF(COUNTIF(art_ref,A608)&gt;1,"Référence en double",IF(B608="","Désignation manquante",IF(NOT(ISNUMBER(D608)),"Prix manquant",IF(E608="","TVA manquante",IF(ISNA(MATCH(E608,p_tva,0)),"Taux de TVA inconnu",IF(AND(F608&lt;&gt;"",ISNA(MATCH(F608,sup_code,0))),"Fournisseur inconnu","OK")))))))</f>
        <v/>
      </c>
    </row>
    <row r="609">
      <c r="A609" s="63" t="n"/>
      <c r="B609" s="63" t="n"/>
      <c r="C609" s="65" t="n"/>
      <c r="D609" s="69" t="n"/>
      <c r="E609" s="71" t="n"/>
      <c r="F609" s="65" t="n"/>
      <c r="G609" s="74" t="str">
        <f>IF(A609="","",SUMIFS(po_qty,po_ref,A609,po_status,"&lt;&gt;Annulé"))</f>
        <v/>
      </c>
      <c r="H609" s="74" t="str">
        <f>IF(A609="","",SUMIFS(po_rcv,po_ref,A609,po_status,"&lt;&gt;Annulé"))</f>
        <v/>
      </c>
      <c r="I609" s="74" t="str">
        <f>IF(A609="","",SUMIFS(po_rest,po_ref,A609,po_key,"&gt;0"))</f>
        <v/>
      </c>
      <c r="J609" s="70" t="str">
        <f>IF(A609="","",IF(COUNTIFS(po_ref,A609,po_status,"&lt;&gt;Annulé")=0,"",INDEX(po_price,SUMPRODUCT(MAX((po_ref=A609)*(po_status&lt;&gt;"Annulé")*(ROW(po_ref)-5))))))</f>
        <v/>
      </c>
      <c r="K609" s="67" t="str">
        <f>IF(A609="","",IF(COUNTIF(art_ref,A609)&gt;1,"Référence en double",IF(B609="","Désignation manquante",IF(NOT(ISNUMBER(D609)),"Prix manquant",IF(E609="","TVA manquante",IF(ISNA(MATCH(E609,p_tva,0)),"Taux de TVA inconnu",IF(AND(F609&lt;&gt;"",ISNA(MATCH(F609,sup_code,0))),"Fournisseur inconnu","OK")))))))</f>
        <v/>
      </c>
    </row>
    <row r="610">
      <c r="A610" s="63" t="n"/>
      <c r="B610" s="63" t="n"/>
      <c r="C610" s="65" t="n"/>
      <c r="D610" s="69" t="n"/>
      <c r="E610" s="71" t="n"/>
      <c r="F610" s="65" t="n"/>
      <c r="G610" s="74" t="str">
        <f>IF(A610="","",SUMIFS(po_qty,po_ref,A610,po_status,"&lt;&gt;Annulé"))</f>
        <v/>
      </c>
      <c r="H610" s="74" t="str">
        <f>IF(A610="","",SUMIFS(po_rcv,po_ref,A610,po_status,"&lt;&gt;Annulé"))</f>
        <v/>
      </c>
      <c r="I610" s="74" t="str">
        <f>IF(A610="","",SUMIFS(po_rest,po_ref,A610,po_key,"&gt;0"))</f>
        <v/>
      </c>
      <c r="J610" s="70" t="str">
        <f>IF(A610="","",IF(COUNTIFS(po_ref,A610,po_status,"&lt;&gt;Annulé")=0,"",INDEX(po_price,SUMPRODUCT(MAX((po_ref=A610)*(po_status&lt;&gt;"Annulé")*(ROW(po_ref)-5))))))</f>
        <v/>
      </c>
      <c r="K610" s="67" t="str">
        <f>IF(A610="","",IF(COUNTIF(art_ref,A610)&gt;1,"Référence en double",IF(B610="","Désignation manquante",IF(NOT(ISNUMBER(D610)),"Prix manquant",IF(E610="","TVA manquante",IF(ISNA(MATCH(E610,p_tva,0)),"Taux de TVA inconnu",IF(AND(F610&lt;&gt;"",ISNA(MATCH(F610,sup_code,0))),"Fournisseur inconnu","OK")))))))</f>
        <v/>
      </c>
    </row>
    <row r="611">
      <c r="A611" s="63" t="n"/>
      <c r="B611" s="63" t="n"/>
      <c r="C611" s="65" t="n"/>
      <c r="D611" s="69" t="n"/>
      <c r="E611" s="71" t="n"/>
      <c r="F611" s="65" t="n"/>
      <c r="G611" s="74" t="str">
        <f>IF(A611="","",SUMIFS(po_qty,po_ref,A611,po_status,"&lt;&gt;Annulé"))</f>
        <v/>
      </c>
      <c r="H611" s="74" t="str">
        <f>IF(A611="","",SUMIFS(po_rcv,po_ref,A611,po_status,"&lt;&gt;Annulé"))</f>
        <v/>
      </c>
      <c r="I611" s="74" t="str">
        <f>IF(A611="","",SUMIFS(po_rest,po_ref,A611,po_key,"&gt;0"))</f>
        <v/>
      </c>
      <c r="J611" s="70" t="str">
        <f>IF(A611="","",IF(COUNTIFS(po_ref,A611,po_status,"&lt;&gt;Annulé")=0,"",INDEX(po_price,SUMPRODUCT(MAX((po_ref=A611)*(po_status&lt;&gt;"Annulé")*(ROW(po_ref)-5))))))</f>
        <v/>
      </c>
      <c r="K611" s="67" t="str">
        <f>IF(A611="","",IF(COUNTIF(art_ref,A611)&gt;1,"Référence en double",IF(B611="","Désignation manquante",IF(NOT(ISNUMBER(D611)),"Prix manquant",IF(E611="","TVA manquante",IF(ISNA(MATCH(E611,p_tva,0)),"Taux de TVA inconnu",IF(AND(F611&lt;&gt;"",ISNA(MATCH(F611,sup_code,0))),"Fournisseur inconnu","OK")))))))</f>
        <v/>
      </c>
    </row>
    <row r="612">
      <c r="A612" s="63" t="n"/>
      <c r="B612" s="63" t="n"/>
      <c r="C612" s="65" t="n"/>
      <c r="D612" s="69" t="n"/>
      <c r="E612" s="71" t="n"/>
      <c r="F612" s="65" t="n"/>
      <c r="G612" s="74" t="str">
        <f>IF(A612="","",SUMIFS(po_qty,po_ref,A612,po_status,"&lt;&gt;Annulé"))</f>
        <v/>
      </c>
      <c r="H612" s="74" t="str">
        <f>IF(A612="","",SUMIFS(po_rcv,po_ref,A612,po_status,"&lt;&gt;Annulé"))</f>
        <v/>
      </c>
      <c r="I612" s="74" t="str">
        <f>IF(A612="","",SUMIFS(po_rest,po_ref,A612,po_key,"&gt;0"))</f>
        <v/>
      </c>
      <c r="J612" s="70" t="str">
        <f>IF(A612="","",IF(COUNTIFS(po_ref,A612,po_status,"&lt;&gt;Annulé")=0,"",INDEX(po_price,SUMPRODUCT(MAX((po_ref=A612)*(po_status&lt;&gt;"Annulé")*(ROW(po_ref)-5))))))</f>
        <v/>
      </c>
      <c r="K612" s="67" t="str">
        <f>IF(A612="","",IF(COUNTIF(art_ref,A612)&gt;1,"Référence en double",IF(B612="","Désignation manquante",IF(NOT(ISNUMBER(D612)),"Prix manquant",IF(E612="","TVA manquante",IF(ISNA(MATCH(E612,p_tva,0)),"Taux de TVA inconnu",IF(AND(F612&lt;&gt;"",ISNA(MATCH(F612,sup_code,0))),"Fournisseur inconnu","OK")))))))</f>
        <v/>
      </c>
    </row>
    <row r="613">
      <c r="A613" s="63" t="n"/>
      <c r="B613" s="63" t="n"/>
      <c r="C613" s="65" t="n"/>
      <c r="D613" s="69" t="n"/>
      <c r="E613" s="71" t="n"/>
      <c r="F613" s="65" t="n"/>
      <c r="G613" s="74" t="str">
        <f>IF(A613="","",SUMIFS(po_qty,po_ref,A613,po_status,"&lt;&gt;Annulé"))</f>
        <v/>
      </c>
      <c r="H613" s="74" t="str">
        <f>IF(A613="","",SUMIFS(po_rcv,po_ref,A613,po_status,"&lt;&gt;Annulé"))</f>
        <v/>
      </c>
      <c r="I613" s="74" t="str">
        <f>IF(A613="","",SUMIFS(po_rest,po_ref,A613,po_key,"&gt;0"))</f>
        <v/>
      </c>
      <c r="J613" s="70" t="str">
        <f>IF(A613="","",IF(COUNTIFS(po_ref,A613,po_status,"&lt;&gt;Annulé")=0,"",INDEX(po_price,SUMPRODUCT(MAX((po_ref=A613)*(po_status&lt;&gt;"Annulé")*(ROW(po_ref)-5))))))</f>
        <v/>
      </c>
      <c r="K613" s="67" t="str">
        <f>IF(A613="","",IF(COUNTIF(art_ref,A613)&gt;1,"Référence en double",IF(B613="","Désignation manquante",IF(NOT(ISNUMBER(D613)),"Prix manquant",IF(E613="","TVA manquante",IF(ISNA(MATCH(E613,p_tva,0)),"Taux de TVA inconnu",IF(AND(F613&lt;&gt;"",ISNA(MATCH(F613,sup_code,0))),"Fournisseur inconnu","OK")))))))</f>
        <v/>
      </c>
    </row>
    <row r="614">
      <c r="A614" s="63" t="n"/>
      <c r="B614" s="63" t="n"/>
      <c r="C614" s="65" t="n"/>
      <c r="D614" s="69" t="n"/>
      <c r="E614" s="71" t="n"/>
      <c r="F614" s="65" t="n"/>
      <c r="G614" s="74" t="str">
        <f>IF(A614="","",SUMIFS(po_qty,po_ref,A614,po_status,"&lt;&gt;Annulé"))</f>
        <v/>
      </c>
      <c r="H614" s="74" t="str">
        <f>IF(A614="","",SUMIFS(po_rcv,po_ref,A614,po_status,"&lt;&gt;Annulé"))</f>
        <v/>
      </c>
      <c r="I614" s="74" t="str">
        <f>IF(A614="","",SUMIFS(po_rest,po_ref,A614,po_key,"&gt;0"))</f>
        <v/>
      </c>
      <c r="J614" s="70" t="str">
        <f>IF(A614="","",IF(COUNTIFS(po_ref,A614,po_status,"&lt;&gt;Annulé")=0,"",INDEX(po_price,SUMPRODUCT(MAX((po_ref=A614)*(po_status&lt;&gt;"Annulé")*(ROW(po_ref)-5))))))</f>
        <v/>
      </c>
      <c r="K614" s="67" t="str">
        <f>IF(A614="","",IF(COUNTIF(art_ref,A614)&gt;1,"Référence en double",IF(B614="","Désignation manquante",IF(NOT(ISNUMBER(D614)),"Prix manquant",IF(E614="","TVA manquante",IF(ISNA(MATCH(E614,p_tva,0)),"Taux de TVA inconnu",IF(AND(F614&lt;&gt;"",ISNA(MATCH(F614,sup_code,0))),"Fournisseur inconnu","OK")))))))</f>
        <v/>
      </c>
    </row>
    <row r="615">
      <c r="A615" s="63" t="n"/>
      <c r="B615" s="63" t="n"/>
      <c r="C615" s="65" t="n"/>
      <c r="D615" s="69" t="n"/>
      <c r="E615" s="71" t="n"/>
      <c r="F615" s="65" t="n"/>
      <c r="G615" s="74" t="str">
        <f>IF(A615="","",SUMIFS(po_qty,po_ref,A615,po_status,"&lt;&gt;Annulé"))</f>
        <v/>
      </c>
      <c r="H615" s="74" t="str">
        <f>IF(A615="","",SUMIFS(po_rcv,po_ref,A615,po_status,"&lt;&gt;Annulé"))</f>
        <v/>
      </c>
      <c r="I615" s="74" t="str">
        <f>IF(A615="","",SUMIFS(po_rest,po_ref,A615,po_key,"&gt;0"))</f>
        <v/>
      </c>
      <c r="J615" s="70" t="str">
        <f>IF(A615="","",IF(COUNTIFS(po_ref,A615,po_status,"&lt;&gt;Annulé")=0,"",INDEX(po_price,SUMPRODUCT(MAX((po_ref=A615)*(po_status&lt;&gt;"Annulé")*(ROW(po_ref)-5))))))</f>
        <v/>
      </c>
      <c r="K615" s="67" t="str">
        <f>IF(A615="","",IF(COUNTIF(art_ref,A615)&gt;1,"Référence en double",IF(B615="","Désignation manquante",IF(NOT(ISNUMBER(D615)),"Prix manquant",IF(E615="","TVA manquante",IF(ISNA(MATCH(E615,p_tva,0)),"Taux de TVA inconnu",IF(AND(F615&lt;&gt;"",ISNA(MATCH(F615,sup_code,0))),"Fournisseur inconnu","OK")))))))</f>
        <v/>
      </c>
    </row>
    <row r="616">
      <c r="A616" s="63" t="n"/>
      <c r="B616" s="63" t="n"/>
      <c r="C616" s="65" t="n"/>
      <c r="D616" s="69" t="n"/>
      <c r="E616" s="71" t="n"/>
      <c r="F616" s="65" t="n"/>
      <c r="G616" s="74" t="str">
        <f>IF(A616="","",SUMIFS(po_qty,po_ref,A616,po_status,"&lt;&gt;Annulé"))</f>
        <v/>
      </c>
      <c r="H616" s="74" t="str">
        <f>IF(A616="","",SUMIFS(po_rcv,po_ref,A616,po_status,"&lt;&gt;Annulé"))</f>
        <v/>
      </c>
      <c r="I616" s="74" t="str">
        <f>IF(A616="","",SUMIFS(po_rest,po_ref,A616,po_key,"&gt;0"))</f>
        <v/>
      </c>
      <c r="J616" s="70" t="str">
        <f>IF(A616="","",IF(COUNTIFS(po_ref,A616,po_status,"&lt;&gt;Annulé")=0,"",INDEX(po_price,SUMPRODUCT(MAX((po_ref=A616)*(po_status&lt;&gt;"Annulé")*(ROW(po_ref)-5))))))</f>
        <v/>
      </c>
      <c r="K616" s="67" t="str">
        <f>IF(A616="","",IF(COUNTIF(art_ref,A616)&gt;1,"Référence en double",IF(B616="","Désignation manquante",IF(NOT(ISNUMBER(D616)),"Prix manquant",IF(E616="","TVA manquante",IF(ISNA(MATCH(E616,p_tva,0)),"Taux de TVA inconnu",IF(AND(F616&lt;&gt;"",ISNA(MATCH(F616,sup_code,0))),"Fournisseur inconnu","OK")))))))</f>
        <v/>
      </c>
    </row>
    <row r="617">
      <c r="A617" s="63" t="n"/>
      <c r="B617" s="63" t="n"/>
      <c r="C617" s="65" t="n"/>
      <c r="D617" s="69" t="n"/>
      <c r="E617" s="71" t="n"/>
      <c r="F617" s="65" t="n"/>
      <c r="G617" s="74" t="str">
        <f>IF(A617="","",SUMIFS(po_qty,po_ref,A617,po_status,"&lt;&gt;Annulé"))</f>
        <v/>
      </c>
      <c r="H617" s="74" t="str">
        <f>IF(A617="","",SUMIFS(po_rcv,po_ref,A617,po_status,"&lt;&gt;Annulé"))</f>
        <v/>
      </c>
      <c r="I617" s="74" t="str">
        <f>IF(A617="","",SUMIFS(po_rest,po_ref,A617,po_key,"&gt;0"))</f>
        <v/>
      </c>
      <c r="J617" s="70" t="str">
        <f>IF(A617="","",IF(COUNTIFS(po_ref,A617,po_status,"&lt;&gt;Annulé")=0,"",INDEX(po_price,SUMPRODUCT(MAX((po_ref=A617)*(po_status&lt;&gt;"Annulé")*(ROW(po_ref)-5))))))</f>
        <v/>
      </c>
      <c r="K617" s="67" t="str">
        <f>IF(A617="","",IF(COUNTIF(art_ref,A617)&gt;1,"Référence en double",IF(B617="","Désignation manquante",IF(NOT(ISNUMBER(D617)),"Prix manquant",IF(E617="","TVA manquante",IF(ISNA(MATCH(E617,p_tva,0)),"Taux de TVA inconnu",IF(AND(F617&lt;&gt;"",ISNA(MATCH(F617,sup_code,0))),"Fournisseur inconnu","OK")))))))</f>
        <v/>
      </c>
    </row>
    <row r="618">
      <c r="A618" s="63" t="n"/>
      <c r="B618" s="63" t="n"/>
      <c r="C618" s="65" t="n"/>
      <c r="D618" s="69" t="n"/>
      <c r="E618" s="71" t="n"/>
      <c r="F618" s="65" t="n"/>
      <c r="G618" s="74" t="str">
        <f>IF(A618="","",SUMIFS(po_qty,po_ref,A618,po_status,"&lt;&gt;Annulé"))</f>
        <v/>
      </c>
      <c r="H618" s="74" t="str">
        <f>IF(A618="","",SUMIFS(po_rcv,po_ref,A618,po_status,"&lt;&gt;Annulé"))</f>
        <v/>
      </c>
      <c r="I618" s="74" t="str">
        <f>IF(A618="","",SUMIFS(po_rest,po_ref,A618,po_key,"&gt;0"))</f>
        <v/>
      </c>
      <c r="J618" s="70" t="str">
        <f>IF(A618="","",IF(COUNTIFS(po_ref,A618,po_status,"&lt;&gt;Annulé")=0,"",INDEX(po_price,SUMPRODUCT(MAX((po_ref=A618)*(po_status&lt;&gt;"Annulé")*(ROW(po_ref)-5))))))</f>
        <v/>
      </c>
      <c r="K618" s="67" t="str">
        <f>IF(A618="","",IF(COUNTIF(art_ref,A618)&gt;1,"Référence en double",IF(B618="","Désignation manquante",IF(NOT(ISNUMBER(D618)),"Prix manquant",IF(E618="","TVA manquante",IF(ISNA(MATCH(E618,p_tva,0)),"Taux de TVA inconnu",IF(AND(F618&lt;&gt;"",ISNA(MATCH(F618,sup_code,0))),"Fournisseur inconnu","OK")))))))</f>
        <v/>
      </c>
    </row>
    <row r="619">
      <c r="A619" s="63" t="n"/>
      <c r="B619" s="63" t="n"/>
      <c r="C619" s="65" t="n"/>
      <c r="D619" s="69" t="n"/>
      <c r="E619" s="71" t="n"/>
      <c r="F619" s="65" t="n"/>
      <c r="G619" s="74" t="str">
        <f>IF(A619="","",SUMIFS(po_qty,po_ref,A619,po_status,"&lt;&gt;Annulé"))</f>
        <v/>
      </c>
      <c r="H619" s="74" t="str">
        <f>IF(A619="","",SUMIFS(po_rcv,po_ref,A619,po_status,"&lt;&gt;Annulé"))</f>
        <v/>
      </c>
      <c r="I619" s="74" t="str">
        <f>IF(A619="","",SUMIFS(po_rest,po_ref,A619,po_key,"&gt;0"))</f>
        <v/>
      </c>
      <c r="J619" s="70" t="str">
        <f>IF(A619="","",IF(COUNTIFS(po_ref,A619,po_status,"&lt;&gt;Annulé")=0,"",INDEX(po_price,SUMPRODUCT(MAX((po_ref=A619)*(po_status&lt;&gt;"Annulé")*(ROW(po_ref)-5))))))</f>
        <v/>
      </c>
      <c r="K619" s="67" t="str">
        <f>IF(A619="","",IF(COUNTIF(art_ref,A619)&gt;1,"Référence en double",IF(B619="","Désignation manquante",IF(NOT(ISNUMBER(D619)),"Prix manquant",IF(E619="","TVA manquante",IF(ISNA(MATCH(E619,p_tva,0)),"Taux de TVA inconnu",IF(AND(F619&lt;&gt;"",ISNA(MATCH(F619,sup_code,0))),"Fournisseur inconnu","OK")))))))</f>
        <v/>
      </c>
    </row>
    <row r="620">
      <c r="A620" s="63" t="n"/>
      <c r="B620" s="63" t="n"/>
      <c r="C620" s="65" t="n"/>
      <c r="D620" s="69" t="n"/>
      <c r="E620" s="71" t="n"/>
      <c r="F620" s="65" t="n"/>
      <c r="G620" s="74" t="str">
        <f>IF(A620="","",SUMIFS(po_qty,po_ref,A620,po_status,"&lt;&gt;Annulé"))</f>
        <v/>
      </c>
      <c r="H620" s="74" t="str">
        <f>IF(A620="","",SUMIFS(po_rcv,po_ref,A620,po_status,"&lt;&gt;Annulé"))</f>
        <v/>
      </c>
      <c r="I620" s="74" t="str">
        <f>IF(A620="","",SUMIFS(po_rest,po_ref,A620,po_key,"&gt;0"))</f>
        <v/>
      </c>
      <c r="J620" s="70" t="str">
        <f>IF(A620="","",IF(COUNTIFS(po_ref,A620,po_status,"&lt;&gt;Annulé")=0,"",INDEX(po_price,SUMPRODUCT(MAX((po_ref=A620)*(po_status&lt;&gt;"Annulé")*(ROW(po_ref)-5))))))</f>
        <v/>
      </c>
      <c r="K620" s="67" t="str">
        <f>IF(A620="","",IF(COUNTIF(art_ref,A620)&gt;1,"Référence en double",IF(B620="","Désignation manquante",IF(NOT(ISNUMBER(D620)),"Prix manquant",IF(E620="","TVA manquante",IF(ISNA(MATCH(E620,p_tva,0)),"Taux de TVA inconnu",IF(AND(F620&lt;&gt;"",ISNA(MATCH(F620,sup_code,0))),"Fournisseur inconnu","OK")))))))</f>
        <v/>
      </c>
    </row>
    <row r="621">
      <c r="A621" s="63" t="n"/>
      <c r="B621" s="63" t="n"/>
      <c r="C621" s="65" t="n"/>
      <c r="D621" s="69" t="n"/>
      <c r="E621" s="71" t="n"/>
      <c r="F621" s="65" t="n"/>
      <c r="G621" s="74" t="str">
        <f>IF(A621="","",SUMIFS(po_qty,po_ref,A621,po_status,"&lt;&gt;Annulé"))</f>
        <v/>
      </c>
      <c r="H621" s="74" t="str">
        <f>IF(A621="","",SUMIFS(po_rcv,po_ref,A621,po_status,"&lt;&gt;Annulé"))</f>
        <v/>
      </c>
      <c r="I621" s="74" t="str">
        <f>IF(A621="","",SUMIFS(po_rest,po_ref,A621,po_key,"&gt;0"))</f>
        <v/>
      </c>
      <c r="J621" s="70" t="str">
        <f>IF(A621="","",IF(COUNTIFS(po_ref,A621,po_status,"&lt;&gt;Annulé")=0,"",INDEX(po_price,SUMPRODUCT(MAX((po_ref=A621)*(po_status&lt;&gt;"Annulé")*(ROW(po_ref)-5))))))</f>
        <v/>
      </c>
      <c r="K621" s="67" t="str">
        <f>IF(A621="","",IF(COUNTIF(art_ref,A621)&gt;1,"Référence en double",IF(B621="","Désignation manquante",IF(NOT(ISNUMBER(D621)),"Prix manquant",IF(E621="","TVA manquante",IF(ISNA(MATCH(E621,p_tva,0)),"Taux de TVA inconnu",IF(AND(F621&lt;&gt;"",ISNA(MATCH(F621,sup_code,0))),"Fournisseur inconnu","OK")))))))</f>
        <v/>
      </c>
    </row>
    <row r="622">
      <c r="A622" s="63" t="n"/>
      <c r="B622" s="63" t="n"/>
      <c r="C622" s="65" t="n"/>
      <c r="D622" s="69" t="n"/>
      <c r="E622" s="71" t="n"/>
      <c r="F622" s="65" t="n"/>
      <c r="G622" s="74" t="str">
        <f>IF(A622="","",SUMIFS(po_qty,po_ref,A622,po_status,"&lt;&gt;Annulé"))</f>
        <v/>
      </c>
      <c r="H622" s="74" t="str">
        <f>IF(A622="","",SUMIFS(po_rcv,po_ref,A622,po_status,"&lt;&gt;Annulé"))</f>
        <v/>
      </c>
      <c r="I622" s="74" t="str">
        <f>IF(A622="","",SUMIFS(po_rest,po_ref,A622,po_key,"&gt;0"))</f>
        <v/>
      </c>
      <c r="J622" s="70" t="str">
        <f>IF(A622="","",IF(COUNTIFS(po_ref,A622,po_status,"&lt;&gt;Annulé")=0,"",INDEX(po_price,SUMPRODUCT(MAX((po_ref=A622)*(po_status&lt;&gt;"Annulé")*(ROW(po_ref)-5))))))</f>
        <v/>
      </c>
      <c r="K622" s="67" t="str">
        <f>IF(A622="","",IF(COUNTIF(art_ref,A622)&gt;1,"Référence en double",IF(B622="","Désignation manquante",IF(NOT(ISNUMBER(D622)),"Prix manquant",IF(E622="","TVA manquante",IF(ISNA(MATCH(E622,p_tva,0)),"Taux de TVA inconnu",IF(AND(F622&lt;&gt;"",ISNA(MATCH(F622,sup_code,0))),"Fournisseur inconnu","OK")))))))</f>
        <v/>
      </c>
    </row>
    <row r="623">
      <c r="A623" s="63" t="n"/>
      <c r="B623" s="63" t="n"/>
      <c r="C623" s="65" t="n"/>
      <c r="D623" s="69" t="n"/>
      <c r="E623" s="71" t="n"/>
      <c r="F623" s="65" t="n"/>
      <c r="G623" s="74" t="str">
        <f>IF(A623="","",SUMIFS(po_qty,po_ref,A623,po_status,"&lt;&gt;Annulé"))</f>
        <v/>
      </c>
      <c r="H623" s="74" t="str">
        <f>IF(A623="","",SUMIFS(po_rcv,po_ref,A623,po_status,"&lt;&gt;Annulé"))</f>
        <v/>
      </c>
      <c r="I623" s="74" t="str">
        <f>IF(A623="","",SUMIFS(po_rest,po_ref,A623,po_key,"&gt;0"))</f>
        <v/>
      </c>
      <c r="J623" s="70" t="str">
        <f>IF(A623="","",IF(COUNTIFS(po_ref,A623,po_status,"&lt;&gt;Annulé")=0,"",INDEX(po_price,SUMPRODUCT(MAX((po_ref=A623)*(po_status&lt;&gt;"Annulé")*(ROW(po_ref)-5))))))</f>
        <v/>
      </c>
      <c r="K623" s="67" t="str">
        <f>IF(A623="","",IF(COUNTIF(art_ref,A623)&gt;1,"Référence en double",IF(B623="","Désignation manquante",IF(NOT(ISNUMBER(D623)),"Prix manquant",IF(E623="","TVA manquante",IF(ISNA(MATCH(E623,p_tva,0)),"Taux de TVA inconnu",IF(AND(F623&lt;&gt;"",ISNA(MATCH(F623,sup_code,0))),"Fournisseur inconnu","OK")))))))</f>
        <v/>
      </c>
    </row>
    <row r="624">
      <c r="A624" s="63" t="n"/>
      <c r="B624" s="63" t="n"/>
      <c r="C624" s="65" t="n"/>
      <c r="D624" s="69" t="n"/>
      <c r="E624" s="71" t="n"/>
      <c r="F624" s="65" t="n"/>
      <c r="G624" s="74" t="str">
        <f>IF(A624="","",SUMIFS(po_qty,po_ref,A624,po_status,"&lt;&gt;Annulé"))</f>
        <v/>
      </c>
      <c r="H624" s="74" t="str">
        <f>IF(A624="","",SUMIFS(po_rcv,po_ref,A624,po_status,"&lt;&gt;Annulé"))</f>
        <v/>
      </c>
      <c r="I624" s="74" t="str">
        <f>IF(A624="","",SUMIFS(po_rest,po_ref,A624,po_key,"&gt;0"))</f>
        <v/>
      </c>
      <c r="J624" s="70" t="str">
        <f>IF(A624="","",IF(COUNTIFS(po_ref,A624,po_status,"&lt;&gt;Annulé")=0,"",INDEX(po_price,SUMPRODUCT(MAX((po_ref=A624)*(po_status&lt;&gt;"Annulé")*(ROW(po_ref)-5))))))</f>
        <v/>
      </c>
      <c r="K624" s="67" t="str">
        <f>IF(A624="","",IF(COUNTIF(art_ref,A624)&gt;1,"Référence en double",IF(B624="","Désignation manquante",IF(NOT(ISNUMBER(D624)),"Prix manquant",IF(E624="","TVA manquante",IF(ISNA(MATCH(E624,p_tva,0)),"Taux de TVA inconnu",IF(AND(F624&lt;&gt;"",ISNA(MATCH(F624,sup_code,0))),"Fournisseur inconnu","OK")))))))</f>
        <v/>
      </c>
    </row>
    <row r="625">
      <c r="A625" s="63" t="n"/>
      <c r="B625" s="63" t="n"/>
      <c r="C625" s="65" t="n"/>
      <c r="D625" s="69" t="n"/>
      <c r="E625" s="71" t="n"/>
      <c r="F625" s="65" t="n"/>
      <c r="G625" s="74" t="str">
        <f>IF(A625="","",SUMIFS(po_qty,po_ref,A625,po_status,"&lt;&gt;Annulé"))</f>
        <v/>
      </c>
      <c r="H625" s="74" t="str">
        <f>IF(A625="","",SUMIFS(po_rcv,po_ref,A625,po_status,"&lt;&gt;Annulé"))</f>
        <v/>
      </c>
      <c r="I625" s="74" t="str">
        <f>IF(A625="","",SUMIFS(po_rest,po_ref,A625,po_key,"&gt;0"))</f>
        <v/>
      </c>
      <c r="J625" s="70" t="str">
        <f>IF(A625="","",IF(COUNTIFS(po_ref,A625,po_status,"&lt;&gt;Annulé")=0,"",INDEX(po_price,SUMPRODUCT(MAX((po_ref=A625)*(po_status&lt;&gt;"Annulé")*(ROW(po_ref)-5))))))</f>
        <v/>
      </c>
      <c r="K625" s="67" t="str">
        <f>IF(A625="","",IF(COUNTIF(art_ref,A625)&gt;1,"Référence en double",IF(B625="","Désignation manquante",IF(NOT(ISNUMBER(D625)),"Prix manquant",IF(E625="","TVA manquante",IF(ISNA(MATCH(E625,p_tva,0)),"Taux de TVA inconnu",IF(AND(F625&lt;&gt;"",ISNA(MATCH(F625,sup_code,0))),"Fournisseur inconnu","OK")))))))</f>
        <v/>
      </c>
    </row>
    <row r="626">
      <c r="A626" s="63" t="n"/>
      <c r="B626" s="63" t="n"/>
      <c r="C626" s="65" t="n"/>
      <c r="D626" s="69" t="n"/>
      <c r="E626" s="71" t="n"/>
      <c r="F626" s="65" t="n"/>
      <c r="G626" s="74" t="str">
        <f>IF(A626="","",SUMIFS(po_qty,po_ref,A626,po_status,"&lt;&gt;Annulé"))</f>
        <v/>
      </c>
      <c r="H626" s="74" t="str">
        <f>IF(A626="","",SUMIFS(po_rcv,po_ref,A626,po_status,"&lt;&gt;Annulé"))</f>
        <v/>
      </c>
      <c r="I626" s="74" t="str">
        <f>IF(A626="","",SUMIFS(po_rest,po_ref,A626,po_key,"&gt;0"))</f>
        <v/>
      </c>
      <c r="J626" s="70" t="str">
        <f>IF(A626="","",IF(COUNTIFS(po_ref,A626,po_status,"&lt;&gt;Annulé")=0,"",INDEX(po_price,SUMPRODUCT(MAX((po_ref=A626)*(po_status&lt;&gt;"Annulé")*(ROW(po_ref)-5))))))</f>
        <v/>
      </c>
      <c r="K626" s="67" t="str">
        <f>IF(A626="","",IF(COUNTIF(art_ref,A626)&gt;1,"Référence en double",IF(B626="","Désignation manquante",IF(NOT(ISNUMBER(D626)),"Prix manquant",IF(E626="","TVA manquante",IF(ISNA(MATCH(E626,p_tva,0)),"Taux de TVA inconnu",IF(AND(F626&lt;&gt;"",ISNA(MATCH(F626,sup_code,0))),"Fournisseur inconnu","OK")))))))</f>
        <v/>
      </c>
    </row>
    <row r="627">
      <c r="A627" s="63" t="n"/>
      <c r="B627" s="63" t="n"/>
      <c r="C627" s="65" t="n"/>
      <c r="D627" s="69" t="n"/>
      <c r="E627" s="71" t="n"/>
      <c r="F627" s="65" t="n"/>
      <c r="G627" s="74" t="str">
        <f>IF(A627="","",SUMIFS(po_qty,po_ref,A627,po_status,"&lt;&gt;Annulé"))</f>
        <v/>
      </c>
      <c r="H627" s="74" t="str">
        <f>IF(A627="","",SUMIFS(po_rcv,po_ref,A627,po_status,"&lt;&gt;Annulé"))</f>
        <v/>
      </c>
      <c r="I627" s="74" t="str">
        <f>IF(A627="","",SUMIFS(po_rest,po_ref,A627,po_key,"&gt;0"))</f>
        <v/>
      </c>
      <c r="J627" s="70" t="str">
        <f>IF(A627="","",IF(COUNTIFS(po_ref,A627,po_status,"&lt;&gt;Annulé")=0,"",INDEX(po_price,SUMPRODUCT(MAX((po_ref=A627)*(po_status&lt;&gt;"Annulé")*(ROW(po_ref)-5))))))</f>
        <v/>
      </c>
      <c r="K627" s="67" t="str">
        <f>IF(A627="","",IF(COUNTIF(art_ref,A627)&gt;1,"Référence en double",IF(B627="","Désignation manquante",IF(NOT(ISNUMBER(D627)),"Prix manquant",IF(E627="","TVA manquante",IF(ISNA(MATCH(E627,p_tva,0)),"Taux de TVA inconnu",IF(AND(F627&lt;&gt;"",ISNA(MATCH(F627,sup_code,0))),"Fournisseur inconnu","OK")))))))</f>
        <v/>
      </c>
    </row>
    <row r="628">
      <c r="A628" s="63" t="n"/>
      <c r="B628" s="63" t="n"/>
      <c r="C628" s="65" t="n"/>
      <c r="D628" s="69" t="n"/>
      <c r="E628" s="71" t="n"/>
      <c r="F628" s="65" t="n"/>
      <c r="G628" s="74" t="str">
        <f>IF(A628="","",SUMIFS(po_qty,po_ref,A628,po_status,"&lt;&gt;Annulé"))</f>
        <v/>
      </c>
      <c r="H628" s="74" t="str">
        <f>IF(A628="","",SUMIFS(po_rcv,po_ref,A628,po_status,"&lt;&gt;Annulé"))</f>
        <v/>
      </c>
      <c r="I628" s="74" t="str">
        <f>IF(A628="","",SUMIFS(po_rest,po_ref,A628,po_key,"&gt;0"))</f>
        <v/>
      </c>
      <c r="J628" s="70" t="str">
        <f>IF(A628="","",IF(COUNTIFS(po_ref,A628,po_status,"&lt;&gt;Annulé")=0,"",INDEX(po_price,SUMPRODUCT(MAX((po_ref=A628)*(po_status&lt;&gt;"Annulé")*(ROW(po_ref)-5))))))</f>
        <v/>
      </c>
      <c r="K628" s="67" t="str">
        <f>IF(A628="","",IF(COUNTIF(art_ref,A628)&gt;1,"Référence en double",IF(B628="","Désignation manquante",IF(NOT(ISNUMBER(D628)),"Prix manquant",IF(E628="","TVA manquante",IF(ISNA(MATCH(E628,p_tva,0)),"Taux de TVA inconnu",IF(AND(F628&lt;&gt;"",ISNA(MATCH(F628,sup_code,0))),"Fournisseur inconnu","OK")))))))</f>
        <v/>
      </c>
    </row>
    <row r="629">
      <c r="A629" s="63" t="n"/>
      <c r="B629" s="63" t="n"/>
      <c r="C629" s="65" t="n"/>
      <c r="D629" s="69" t="n"/>
      <c r="E629" s="71" t="n"/>
      <c r="F629" s="65" t="n"/>
      <c r="G629" s="74" t="str">
        <f>IF(A629="","",SUMIFS(po_qty,po_ref,A629,po_status,"&lt;&gt;Annulé"))</f>
        <v/>
      </c>
      <c r="H629" s="74" t="str">
        <f>IF(A629="","",SUMIFS(po_rcv,po_ref,A629,po_status,"&lt;&gt;Annulé"))</f>
        <v/>
      </c>
      <c r="I629" s="74" t="str">
        <f>IF(A629="","",SUMIFS(po_rest,po_ref,A629,po_key,"&gt;0"))</f>
        <v/>
      </c>
      <c r="J629" s="70" t="str">
        <f>IF(A629="","",IF(COUNTIFS(po_ref,A629,po_status,"&lt;&gt;Annulé")=0,"",INDEX(po_price,SUMPRODUCT(MAX((po_ref=A629)*(po_status&lt;&gt;"Annulé")*(ROW(po_ref)-5))))))</f>
        <v/>
      </c>
      <c r="K629" s="67" t="str">
        <f>IF(A629="","",IF(COUNTIF(art_ref,A629)&gt;1,"Référence en double",IF(B629="","Désignation manquante",IF(NOT(ISNUMBER(D629)),"Prix manquant",IF(E629="","TVA manquante",IF(ISNA(MATCH(E629,p_tva,0)),"Taux de TVA inconnu",IF(AND(F629&lt;&gt;"",ISNA(MATCH(F629,sup_code,0))),"Fournisseur inconnu","OK")))))))</f>
        <v/>
      </c>
    </row>
    <row r="630">
      <c r="A630" s="63" t="n"/>
      <c r="B630" s="63" t="n"/>
      <c r="C630" s="65" t="n"/>
      <c r="D630" s="69" t="n"/>
      <c r="E630" s="71" t="n"/>
      <c r="F630" s="65" t="n"/>
      <c r="G630" s="74" t="str">
        <f>IF(A630="","",SUMIFS(po_qty,po_ref,A630,po_status,"&lt;&gt;Annulé"))</f>
        <v/>
      </c>
      <c r="H630" s="74" t="str">
        <f>IF(A630="","",SUMIFS(po_rcv,po_ref,A630,po_status,"&lt;&gt;Annulé"))</f>
        <v/>
      </c>
      <c r="I630" s="74" t="str">
        <f>IF(A630="","",SUMIFS(po_rest,po_ref,A630,po_key,"&gt;0"))</f>
        <v/>
      </c>
      <c r="J630" s="70" t="str">
        <f>IF(A630="","",IF(COUNTIFS(po_ref,A630,po_status,"&lt;&gt;Annulé")=0,"",INDEX(po_price,SUMPRODUCT(MAX((po_ref=A630)*(po_status&lt;&gt;"Annulé")*(ROW(po_ref)-5))))))</f>
        <v/>
      </c>
      <c r="K630" s="67" t="str">
        <f>IF(A630="","",IF(COUNTIF(art_ref,A630)&gt;1,"Référence en double",IF(B630="","Désignation manquante",IF(NOT(ISNUMBER(D630)),"Prix manquant",IF(E630="","TVA manquante",IF(ISNA(MATCH(E630,p_tva,0)),"Taux de TVA inconnu",IF(AND(F630&lt;&gt;"",ISNA(MATCH(F630,sup_code,0))),"Fournisseur inconnu","OK")))))))</f>
        <v/>
      </c>
    </row>
    <row r="631">
      <c r="A631" s="63" t="n"/>
      <c r="B631" s="63" t="n"/>
      <c r="C631" s="65" t="n"/>
      <c r="D631" s="69" t="n"/>
      <c r="E631" s="71" t="n"/>
      <c r="F631" s="65" t="n"/>
      <c r="G631" s="74" t="str">
        <f>IF(A631="","",SUMIFS(po_qty,po_ref,A631,po_status,"&lt;&gt;Annulé"))</f>
        <v/>
      </c>
      <c r="H631" s="74" t="str">
        <f>IF(A631="","",SUMIFS(po_rcv,po_ref,A631,po_status,"&lt;&gt;Annulé"))</f>
        <v/>
      </c>
      <c r="I631" s="74" t="str">
        <f>IF(A631="","",SUMIFS(po_rest,po_ref,A631,po_key,"&gt;0"))</f>
        <v/>
      </c>
      <c r="J631" s="70" t="str">
        <f>IF(A631="","",IF(COUNTIFS(po_ref,A631,po_status,"&lt;&gt;Annulé")=0,"",INDEX(po_price,SUMPRODUCT(MAX((po_ref=A631)*(po_status&lt;&gt;"Annulé")*(ROW(po_ref)-5))))))</f>
        <v/>
      </c>
      <c r="K631" s="67" t="str">
        <f>IF(A631="","",IF(COUNTIF(art_ref,A631)&gt;1,"Référence en double",IF(B631="","Désignation manquante",IF(NOT(ISNUMBER(D631)),"Prix manquant",IF(E631="","TVA manquante",IF(ISNA(MATCH(E631,p_tva,0)),"Taux de TVA inconnu",IF(AND(F631&lt;&gt;"",ISNA(MATCH(F631,sup_code,0))),"Fournisseur inconnu","OK")))))))</f>
        <v/>
      </c>
    </row>
    <row r="632">
      <c r="A632" s="63" t="n"/>
      <c r="B632" s="63" t="n"/>
      <c r="C632" s="65" t="n"/>
      <c r="D632" s="69" t="n"/>
      <c r="E632" s="71" t="n"/>
      <c r="F632" s="65" t="n"/>
      <c r="G632" s="74" t="str">
        <f>IF(A632="","",SUMIFS(po_qty,po_ref,A632,po_status,"&lt;&gt;Annulé"))</f>
        <v/>
      </c>
      <c r="H632" s="74" t="str">
        <f>IF(A632="","",SUMIFS(po_rcv,po_ref,A632,po_status,"&lt;&gt;Annulé"))</f>
        <v/>
      </c>
      <c r="I632" s="74" t="str">
        <f>IF(A632="","",SUMIFS(po_rest,po_ref,A632,po_key,"&gt;0"))</f>
        <v/>
      </c>
      <c r="J632" s="70" t="str">
        <f>IF(A632="","",IF(COUNTIFS(po_ref,A632,po_status,"&lt;&gt;Annulé")=0,"",INDEX(po_price,SUMPRODUCT(MAX((po_ref=A632)*(po_status&lt;&gt;"Annulé")*(ROW(po_ref)-5))))))</f>
        <v/>
      </c>
      <c r="K632" s="67" t="str">
        <f>IF(A632="","",IF(COUNTIF(art_ref,A632)&gt;1,"Référence en double",IF(B632="","Désignation manquante",IF(NOT(ISNUMBER(D632)),"Prix manquant",IF(E632="","TVA manquante",IF(ISNA(MATCH(E632,p_tva,0)),"Taux de TVA inconnu",IF(AND(F632&lt;&gt;"",ISNA(MATCH(F632,sup_code,0))),"Fournisseur inconnu","OK")))))))</f>
        <v/>
      </c>
    </row>
    <row r="633">
      <c r="A633" s="63" t="n"/>
      <c r="B633" s="63" t="n"/>
      <c r="C633" s="65" t="n"/>
      <c r="D633" s="69" t="n"/>
      <c r="E633" s="71" t="n"/>
      <c r="F633" s="65" t="n"/>
      <c r="G633" s="74" t="str">
        <f>IF(A633="","",SUMIFS(po_qty,po_ref,A633,po_status,"&lt;&gt;Annulé"))</f>
        <v/>
      </c>
      <c r="H633" s="74" t="str">
        <f>IF(A633="","",SUMIFS(po_rcv,po_ref,A633,po_status,"&lt;&gt;Annulé"))</f>
        <v/>
      </c>
      <c r="I633" s="74" t="str">
        <f>IF(A633="","",SUMIFS(po_rest,po_ref,A633,po_key,"&gt;0"))</f>
        <v/>
      </c>
      <c r="J633" s="70" t="str">
        <f>IF(A633="","",IF(COUNTIFS(po_ref,A633,po_status,"&lt;&gt;Annulé")=0,"",INDEX(po_price,SUMPRODUCT(MAX((po_ref=A633)*(po_status&lt;&gt;"Annulé")*(ROW(po_ref)-5))))))</f>
        <v/>
      </c>
      <c r="K633" s="67" t="str">
        <f>IF(A633="","",IF(COUNTIF(art_ref,A633)&gt;1,"Référence en double",IF(B633="","Désignation manquante",IF(NOT(ISNUMBER(D633)),"Prix manquant",IF(E633="","TVA manquante",IF(ISNA(MATCH(E633,p_tva,0)),"Taux de TVA inconnu",IF(AND(F633&lt;&gt;"",ISNA(MATCH(F633,sup_code,0))),"Fournisseur inconnu","OK")))))))</f>
        <v/>
      </c>
    </row>
    <row r="634">
      <c r="A634" s="63" t="n"/>
      <c r="B634" s="63" t="n"/>
      <c r="C634" s="65" t="n"/>
      <c r="D634" s="69" t="n"/>
      <c r="E634" s="71" t="n"/>
      <c r="F634" s="65" t="n"/>
      <c r="G634" s="74" t="str">
        <f>IF(A634="","",SUMIFS(po_qty,po_ref,A634,po_status,"&lt;&gt;Annulé"))</f>
        <v/>
      </c>
      <c r="H634" s="74" t="str">
        <f>IF(A634="","",SUMIFS(po_rcv,po_ref,A634,po_status,"&lt;&gt;Annulé"))</f>
        <v/>
      </c>
      <c r="I634" s="74" t="str">
        <f>IF(A634="","",SUMIFS(po_rest,po_ref,A634,po_key,"&gt;0"))</f>
        <v/>
      </c>
      <c r="J634" s="70" t="str">
        <f>IF(A634="","",IF(COUNTIFS(po_ref,A634,po_status,"&lt;&gt;Annulé")=0,"",INDEX(po_price,SUMPRODUCT(MAX((po_ref=A634)*(po_status&lt;&gt;"Annulé")*(ROW(po_ref)-5))))))</f>
        <v/>
      </c>
      <c r="K634" s="67" t="str">
        <f>IF(A634="","",IF(COUNTIF(art_ref,A634)&gt;1,"Référence en double",IF(B634="","Désignation manquante",IF(NOT(ISNUMBER(D634)),"Prix manquant",IF(E634="","TVA manquante",IF(ISNA(MATCH(E634,p_tva,0)),"Taux de TVA inconnu",IF(AND(F634&lt;&gt;"",ISNA(MATCH(F634,sup_code,0))),"Fournisseur inconnu","OK")))))))</f>
        <v/>
      </c>
    </row>
    <row r="635">
      <c r="A635" s="63" t="n"/>
      <c r="B635" s="63" t="n"/>
      <c r="C635" s="65" t="n"/>
      <c r="D635" s="69" t="n"/>
      <c r="E635" s="71" t="n"/>
      <c r="F635" s="65" t="n"/>
      <c r="G635" s="74" t="str">
        <f>IF(A635="","",SUMIFS(po_qty,po_ref,A635,po_status,"&lt;&gt;Annulé"))</f>
        <v/>
      </c>
      <c r="H635" s="74" t="str">
        <f>IF(A635="","",SUMIFS(po_rcv,po_ref,A635,po_status,"&lt;&gt;Annulé"))</f>
        <v/>
      </c>
      <c r="I635" s="74" t="str">
        <f>IF(A635="","",SUMIFS(po_rest,po_ref,A635,po_key,"&gt;0"))</f>
        <v/>
      </c>
      <c r="J635" s="70" t="str">
        <f>IF(A635="","",IF(COUNTIFS(po_ref,A635,po_status,"&lt;&gt;Annulé")=0,"",INDEX(po_price,SUMPRODUCT(MAX((po_ref=A635)*(po_status&lt;&gt;"Annulé")*(ROW(po_ref)-5))))))</f>
        <v/>
      </c>
      <c r="K635" s="67" t="str">
        <f>IF(A635="","",IF(COUNTIF(art_ref,A635)&gt;1,"Référence en double",IF(B635="","Désignation manquante",IF(NOT(ISNUMBER(D635)),"Prix manquant",IF(E635="","TVA manquante",IF(ISNA(MATCH(E635,p_tva,0)),"Taux de TVA inconnu",IF(AND(F635&lt;&gt;"",ISNA(MATCH(F635,sup_code,0))),"Fournisseur inconnu","OK")))))))</f>
        <v/>
      </c>
    </row>
    <row r="636">
      <c r="A636" s="63" t="n"/>
      <c r="B636" s="63" t="n"/>
      <c r="C636" s="65" t="n"/>
      <c r="D636" s="69" t="n"/>
      <c r="E636" s="71" t="n"/>
      <c r="F636" s="65" t="n"/>
      <c r="G636" s="74" t="str">
        <f>IF(A636="","",SUMIFS(po_qty,po_ref,A636,po_status,"&lt;&gt;Annulé"))</f>
        <v/>
      </c>
      <c r="H636" s="74" t="str">
        <f>IF(A636="","",SUMIFS(po_rcv,po_ref,A636,po_status,"&lt;&gt;Annulé"))</f>
        <v/>
      </c>
      <c r="I636" s="74" t="str">
        <f>IF(A636="","",SUMIFS(po_rest,po_ref,A636,po_key,"&gt;0"))</f>
        <v/>
      </c>
      <c r="J636" s="70" t="str">
        <f>IF(A636="","",IF(COUNTIFS(po_ref,A636,po_status,"&lt;&gt;Annulé")=0,"",INDEX(po_price,SUMPRODUCT(MAX((po_ref=A636)*(po_status&lt;&gt;"Annulé")*(ROW(po_ref)-5))))))</f>
        <v/>
      </c>
      <c r="K636" s="67" t="str">
        <f>IF(A636="","",IF(COUNTIF(art_ref,A636)&gt;1,"Référence en double",IF(B636="","Désignation manquante",IF(NOT(ISNUMBER(D636)),"Prix manquant",IF(E636="","TVA manquante",IF(ISNA(MATCH(E636,p_tva,0)),"Taux de TVA inconnu",IF(AND(F636&lt;&gt;"",ISNA(MATCH(F636,sup_code,0))),"Fournisseur inconnu","OK")))))))</f>
        <v/>
      </c>
    </row>
    <row r="637">
      <c r="A637" s="63" t="n"/>
      <c r="B637" s="63" t="n"/>
      <c r="C637" s="65" t="n"/>
      <c r="D637" s="69" t="n"/>
      <c r="E637" s="71" t="n"/>
      <c r="F637" s="65" t="n"/>
      <c r="G637" s="74" t="str">
        <f>IF(A637="","",SUMIFS(po_qty,po_ref,A637,po_status,"&lt;&gt;Annulé"))</f>
        <v/>
      </c>
      <c r="H637" s="74" t="str">
        <f>IF(A637="","",SUMIFS(po_rcv,po_ref,A637,po_status,"&lt;&gt;Annulé"))</f>
        <v/>
      </c>
      <c r="I637" s="74" t="str">
        <f>IF(A637="","",SUMIFS(po_rest,po_ref,A637,po_key,"&gt;0"))</f>
        <v/>
      </c>
      <c r="J637" s="70" t="str">
        <f>IF(A637="","",IF(COUNTIFS(po_ref,A637,po_status,"&lt;&gt;Annulé")=0,"",INDEX(po_price,SUMPRODUCT(MAX((po_ref=A637)*(po_status&lt;&gt;"Annulé")*(ROW(po_ref)-5))))))</f>
        <v/>
      </c>
      <c r="K637" s="67" t="str">
        <f>IF(A637="","",IF(COUNTIF(art_ref,A637)&gt;1,"Référence en double",IF(B637="","Désignation manquante",IF(NOT(ISNUMBER(D637)),"Prix manquant",IF(E637="","TVA manquante",IF(ISNA(MATCH(E637,p_tva,0)),"Taux de TVA inconnu",IF(AND(F637&lt;&gt;"",ISNA(MATCH(F637,sup_code,0))),"Fournisseur inconnu","OK")))))))</f>
        <v/>
      </c>
    </row>
    <row r="638">
      <c r="A638" s="63" t="n"/>
      <c r="B638" s="63" t="n"/>
      <c r="C638" s="65" t="n"/>
      <c r="D638" s="69" t="n"/>
      <c r="E638" s="71" t="n"/>
      <c r="F638" s="65" t="n"/>
      <c r="G638" s="74" t="str">
        <f>IF(A638="","",SUMIFS(po_qty,po_ref,A638,po_status,"&lt;&gt;Annulé"))</f>
        <v/>
      </c>
      <c r="H638" s="74" t="str">
        <f>IF(A638="","",SUMIFS(po_rcv,po_ref,A638,po_status,"&lt;&gt;Annulé"))</f>
        <v/>
      </c>
      <c r="I638" s="74" t="str">
        <f>IF(A638="","",SUMIFS(po_rest,po_ref,A638,po_key,"&gt;0"))</f>
        <v/>
      </c>
      <c r="J638" s="70" t="str">
        <f>IF(A638="","",IF(COUNTIFS(po_ref,A638,po_status,"&lt;&gt;Annulé")=0,"",INDEX(po_price,SUMPRODUCT(MAX((po_ref=A638)*(po_status&lt;&gt;"Annulé")*(ROW(po_ref)-5))))))</f>
        <v/>
      </c>
      <c r="K638" s="67" t="str">
        <f>IF(A638="","",IF(COUNTIF(art_ref,A638)&gt;1,"Référence en double",IF(B638="","Désignation manquante",IF(NOT(ISNUMBER(D638)),"Prix manquant",IF(E638="","TVA manquante",IF(ISNA(MATCH(E638,p_tva,0)),"Taux de TVA inconnu",IF(AND(F638&lt;&gt;"",ISNA(MATCH(F638,sup_code,0))),"Fournisseur inconnu","OK")))))))</f>
        <v/>
      </c>
    </row>
    <row r="639">
      <c r="A639" s="63" t="n"/>
      <c r="B639" s="63" t="n"/>
      <c r="C639" s="65" t="n"/>
      <c r="D639" s="69" t="n"/>
      <c r="E639" s="71" t="n"/>
      <c r="F639" s="65" t="n"/>
      <c r="G639" s="74" t="str">
        <f>IF(A639="","",SUMIFS(po_qty,po_ref,A639,po_status,"&lt;&gt;Annulé"))</f>
        <v/>
      </c>
      <c r="H639" s="74" t="str">
        <f>IF(A639="","",SUMIFS(po_rcv,po_ref,A639,po_status,"&lt;&gt;Annulé"))</f>
        <v/>
      </c>
      <c r="I639" s="74" t="str">
        <f>IF(A639="","",SUMIFS(po_rest,po_ref,A639,po_key,"&gt;0"))</f>
        <v/>
      </c>
      <c r="J639" s="70" t="str">
        <f>IF(A639="","",IF(COUNTIFS(po_ref,A639,po_status,"&lt;&gt;Annulé")=0,"",INDEX(po_price,SUMPRODUCT(MAX((po_ref=A639)*(po_status&lt;&gt;"Annulé")*(ROW(po_ref)-5))))))</f>
        <v/>
      </c>
      <c r="K639" s="67" t="str">
        <f>IF(A639="","",IF(COUNTIF(art_ref,A639)&gt;1,"Référence en double",IF(B639="","Désignation manquante",IF(NOT(ISNUMBER(D639)),"Prix manquant",IF(E639="","TVA manquante",IF(ISNA(MATCH(E639,p_tva,0)),"Taux de TVA inconnu",IF(AND(F639&lt;&gt;"",ISNA(MATCH(F639,sup_code,0))),"Fournisseur inconnu","OK")))))))</f>
        <v/>
      </c>
    </row>
    <row r="640">
      <c r="A640" s="63" t="n"/>
      <c r="B640" s="63" t="n"/>
      <c r="C640" s="65" t="n"/>
      <c r="D640" s="69" t="n"/>
      <c r="E640" s="71" t="n"/>
      <c r="F640" s="65" t="n"/>
      <c r="G640" s="74" t="str">
        <f>IF(A640="","",SUMIFS(po_qty,po_ref,A640,po_status,"&lt;&gt;Annulé"))</f>
        <v/>
      </c>
      <c r="H640" s="74" t="str">
        <f>IF(A640="","",SUMIFS(po_rcv,po_ref,A640,po_status,"&lt;&gt;Annulé"))</f>
        <v/>
      </c>
      <c r="I640" s="74" t="str">
        <f>IF(A640="","",SUMIFS(po_rest,po_ref,A640,po_key,"&gt;0"))</f>
        <v/>
      </c>
      <c r="J640" s="70" t="str">
        <f>IF(A640="","",IF(COUNTIFS(po_ref,A640,po_status,"&lt;&gt;Annulé")=0,"",INDEX(po_price,SUMPRODUCT(MAX((po_ref=A640)*(po_status&lt;&gt;"Annulé")*(ROW(po_ref)-5))))))</f>
        <v/>
      </c>
      <c r="K640" s="67" t="str">
        <f>IF(A640="","",IF(COUNTIF(art_ref,A640)&gt;1,"Référence en double",IF(B640="","Désignation manquante",IF(NOT(ISNUMBER(D640)),"Prix manquant",IF(E640="","TVA manquante",IF(ISNA(MATCH(E640,p_tva,0)),"Taux de TVA inconnu",IF(AND(F640&lt;&gt;"",ISNA(MATCH(F640,sup_code,0))),"Fournisseur inconnu","OK")))))))</f>
        <v/>
      </c>
    </row>
    <row r="641">
      <c r="A641" s="63" t="n"/>
      <c r="B641" s="63" t="n"/>
      <c r="C641" s="65" t="n"/>
      <c r="D641" s="69" t="n"/>
      <c r="E641" s="71" t="n"/>
      <c r="F641" s="65" t="n"/>
      <c r="G641" s="74" t="str">
        <f>IF(A641="","",SUMIFS(po_qty,po_ref,A641,po_status,"&lt;&gt;Annulé"))</f>
        <v/>
      </c>
      <c r="H641" s="74" t="str">
        <f>IF(A641="","",SUMIFS(po_rcv,po_ref,A641,po_status,"&lt;&gt;Annulé"))</f>
        <v/>
      </c>
      <c r="I641" s="74" t="str">
        <f>IF(A641="","",SUMIFS(po_rest,po_ref,A641,po_key,"&gt;0"))</f>
        <v/>
      </c>
      <c r="J641" s="70" t="str">
        <f>IF(A641="","",IF(COUNTIFS(po_ref,A641,po_status,"&lt;&gt;Annulé")=0,"",INDEX(po_price,SUMPRODUCT(MAX((po_ref=A641)*(po_status&lt;&gt;"Annulé")*(ROW(po_ref)-5))))))</f>
        <v/>
      </c>
      <c r="K641" s="67" t="str">
        <f>IF(A641="","",IF(COUNTIF(art_ref,A641)&gt;1,"Référence en double",IF(B641="","Désignation manquante",IF(NOT(ISNUMBER(D641)),"Prix manquant",IF(E641="","TVA manquante",IF(ISNA(MATCH(E641,p_tva,0)),"Taux de TVA inconnu",IF(AND(F641&lt;&gt;"",ISNA(MATCH(F641,sup_code,0))),"Fournisseur inconnu","OK")))))))</f>
        <v/>
      </c>
    </row>
    <row r="642">
      <c r="A642" s="63" t="n"/>
      <c r="B642" s="63" t="n"/>
      <c r="C642" s="65" t="n"/>
      <c r="D642" s="69" t="n"/>
      <c r="E642" s="71" t="n"/>
      <c r="F642" s="65" t="n"/>
      <c r="G642" s="74" t="str">
        <f>IF(A642="","",SUMIFS(po_qty,po_ref,A642,po_status,"&lt;&gt;Annulé"))</f>
        <v/>
      </c>
      <c r="H642" s="74" t="str">
        <f>IF(A642="","",SUMIFS(po_rcv,po_ref,A642,po_status,"&lt;&gt;Annulé"))</f>
        <v/>
      </c>
      <c r="I642" s="74" t="str">
        <f>IF(A642="","",SUMIFS(po_rest,po_ref,A642,po_key,"&gt;0"))</f>
        <v/>
      </c>
      <c r="J642" s="70" t="str">
        <f>IF(A642="","",IF(COUNTIFS(po_ref,A642,po_status,"&lt;&gt;Annulé")=0,"",INDEX(po_price,SUMPRODUCT(MAX((po_ref=A642)*(po_status&lt;&gt;"Annulé")*(ROW(po_ref)-5))))))</f>
        <v/>
      </c>
      <c r="K642" s="67" t="str">
        <f>IF(A642="","",IF(COUNTIF(art_ref,A642)&gt;1,"Référence en double",IF(B642="","Désignation manquante",IF(NOT(ISNUMBER(D642)),"Prix manquant",IF(E642="","TVA manquante",IF(ISNA(MATCH(E642,p_tva,0)),"Taux de TVA inconnu",IF(AND(F642&lt;&gt;"",ISNA(MATCH(F642,sup_code,0))),"Fournisseur inconnu","OK")))))))</f>
        <v/>
      </c>
    </row>
    <row r="643">
      <c r="A643" s="63" t="n"/>
      <c r="B643" s="63" t="n"/>
      <c r="C643" s="65" t="n"/>
      <c r="D643" s="69" t="n"/>
      <c r="E643" s="71" t="n"/>
      <c r="F643" s="65" t="n"/>
      <c r="G643" s="74" t="str">
        <f>IF(A643="","",SUMIFS(po_qty,po_ref,A643,po_status,"&lt;&gt;Annulé"))</f>
        <v/>
      </c>
      <c r="H643" s="74" t="str">
        <f>IF(A643="","",SUMIFS(po_rcv,po_ref,A643,po_status,"&lt;&gt;Annulé"))</f>
        <v/>
      </c>
      <c r="I643" s="74" t="str">
        <f>IF(A643="","",SUMIFS(po_rest,po_ref,A643,po_key,"&gt;0"))</f>
        <v/>
      </c>
      <c r="J643" s="70" t="str">
        <f>IF(A643="","",IF(COUNTIFS(po_ref,A643,po_status,"&lt;&gt;Annulé")=0,"",INDEX(po_price,SUMPRODUCT(MAX((po_ref=A643)*(po_status&lt;&gt;"Annulé")*(ROW(po_ref)-5))))))</f>
        <v/>
      </c>
      <c r="K643" s="67" t="str">
        <f>IF(A643="","",IF(COUNTIF(art_ref,A643)&gt;1,"Référence en double",IF(B643="","Désignation manquante",IF(NOT(ISNUMBER(D643)),"Prix manquant",IF(E643="","TVA manquante",IF(ISNA(MATCH(E643,p_tva,0)),"Taux de TVA inconnu",IF(AND(F643&lt;&gt;"",ISNA(MATCH(F643,sup_code,0))),"Fournisseur inconnu","OK")))))))</f>
        <v/>
      </c>
    </row>
    <row r="644">
      <c r="A644" s="63" t="n"/>
      <c r="B644" s="63" t="n"/>
      <c r="C644" s="65" t="n"/>
      <c r="D644" s="69" t="n"/>
      <c r="E644" s="71" t="n"/>
      <c r="F644" s="65" t="n"/>
      <c r="G644" s="74" t="str">
        <f>IF(A644="","",SUMIFS(po_qty,po_ref,A644,po_status,"&lt;&gt;Annulé"))</f>
        <v/>
      </c>
      <c r="H644" s="74" t="str">
        <f>IF(A644="","",SUMIFS(po_rcv,po_ref,A644,po_status,"&lt;&gt;Annulé"))</f>
        <v/>
      </c>
      <c r="I644" s="74" t="str">
        <f>IF(A644="","",SUMIFS(po_rest,po_ref,A644,po_key,"&gt;0"))</f>
        <v/>
      </c>
      <c r="J644" s="70" t="str">
        <f>IF(A644="","",IF(COUNTIFS(po_ref,A644,po_status,"&lt;&gt;Annulé")=0,"",INDEX(po_price,SUMPRODUCT(MAX((po_ref=A644)*(po_status&lt;&gt;"Annulé")*(ROW(po_ref)-5))))))</f>
        <v/>
      </c>
      <c r="K644" s="67" t="str">
        <f>IF(A644="","",IF(COUNTIF(art_ref,A644)&gt;1,"Référence en double",IF(B644="","Désignation manquante",IF(NOT(ISNUMBER(D644)),"Prix manquant",IF(E644="","TVA manquante",IF(ISNA(MATCH(E644,p_tva,0)),"Taux de TVA inconnu",IF(AND(F644&lt;&gt;"",ISNA(MATCH(F644,sup_code,0))),"Fournisseur inconnu","OK")))))))</f>
        <v/>
      </c>
    </row>
    <row r="645">
      <c r="A645" s="63" t="n"/>
      <c r="B645" s="63" t="n"/>
      <c r="C645" s="65" t="n"/>
      <c r="D645" s="69" t="n"/>
      <c r="E645" s="71" t="n"/>
      <c r="F645" s="65" t="n"/>
      <c r="G645" s="74" t="str">
        <f>IF(A645="","",SUMIFS(po_qty,po_ref,A645,po_status,"&lt;&gt;Annulé"))</f>
        <v/>
      </c>
      <c r="H645" s="74" t="str">
        <f>IF(A645="","",SUMIFS(po_rcv,po_ref,A645,po_status,"&lt;&gt;Annulé"))</f>
        <v/>
      </c>
      <c r="I645" s="74" t="str">
        <f>IF(A645="","",SUMIFS(po_rest,po_ref,A645,po_key,"&gt;0"))</f>
        <v/>
      </c>
      <c r="J645" s="70" t="str">
        <f>IF(A645="","",IF(COUNTIFS(po_ref,A645,po_status,"&lt;&gt;Annulé")=0,"",INDEX(po_price,SUMPRODUCT(MAX((po_ref=A645)*(po_status&lt;&gt;"Annulé")*(ROW(po_ref)-5))))))</f>
        <v/>
      </c>
      <c r="K645" s="67" t="str">
        <f>IF(A645="","",IF(COUNTIF(art_ref,A645)&gt;1,"Référence en double",IF(B645="","Désignation manquante",IF(NOT(ISNUMBER(D645)),"Prix manquant",IF(E645="","TVA manquante",IF(ISNA(MATCH(E645,p_tva,0)),"Taux de TVA inconnu",IF(AND(F645&lt;&gt;"",ISNA(MATCH(F645,sup_code,0))),"Fournisseur inconnu","OK")))))))</f>
        <v/>
      </c>
    </row>
    <row r="646">
      <c r="A646" s="63" t="n"/>
      <c r="B646" s="63" t="n"/>
      <c r="C646" s="65" t="n"/>
      <c r="D646" s="69" t="n"/>
      <c r="E646" s="71" t="n"/>
      <c r="F646" s="65" t="n"/>
      <c r="G646" s="74" t="str">
        <f>IF(A646="","",SUMIFS(po_qty,po_ref,A646,po_status,"&lt;&gt;Annulé"))</f>
        <v/>
      </c>
      <c r="H646" s="74" t="str">
        <f>IF(A646="","",SUMIFS(po_rcv,po_ref,A646,po_status,"&lt;&gt;Annulé"))</f>
        <v/>
      </c>
      <c r="I646" s="74" t="str">
        <f>IF(A646="","",SUMIFS(po_rest,po_ref,A646,po_key,"&gt;0"))</f>
        <v/>
      </c>
      <c r="J646" s="70" t="str">
        <f>IF(A646="","",IF(COUNTIFS(po_ref,A646,po_status,"&lt;&gt;Annulé")=0,"",INDEX(po_price,SUMPRODUCT(MAX((po_ref=A646)*(po_status&lt;&gt;"Annulé")*(ROW(po_ref)-5))))))</f>
        <v/>
      </c>
      <c r="K646" s="67" t="str">
        <f>IF(A646="","",IF(COUNTIF(art_ref,A646)&gt;1,"Référence en double",IF(B646="","Désignation manquante",IF(NOT(ISNUMBER(D646)),"Prix manquant",IF(E646="","TVA manquante",IF(ISNA(MATCH(E646,p_tva,0)),"Taux de TVA inconnu",IF(AND(F646&lt;&gt;"",ISNA(MATCH(F646,sup_code,0))),"Fournisseur inconnu","OK")))))))</f>
        <v/>
      </c>
    </row>
    <row r="647">
      <c r="A647" s="63" t="n"/>
      <c r="B647" s="63" t="n"/>
      <c r="C647" s="65" t="n"/>
      <c r="D647" s="69" t="n"/>
      <c r="E647" s="71" t="n"/>
      <c r="F647" s="65" t="n"/>
      <c r="G647" s="74" t="str">
        <f>IF(A647="","",SUMIFS(po_qty,po_ref,A647,po_status,"&lt;&gt;Annulé"))</f>
        <v/>
      </c>
      <c r="H647" s="74" t="str">
        <f>IF(A647="","",SUMIFS(po_rcv,po_ref,A647,po_status,"&lt;&gt;Annulé"))</f>
        <v/>
      </c>
      <c r="I647" s="74" t="str">
        <f>IF(A647="","",SUMIFS(po_rest,po_ref,A647,po_key,"&gt;0"))</f>
        <v/>
      </c>
      <c r="J647" s="70" t="str">
        <f>IF(A647="","",IF(COUNTIFS(po_ref,A647,po_status,"&lt;&gt;Annulé")=0,"",INDEX(po_price,SUMPRODUCT(MAX((po_ref=A647)*(po_status&lt;&gt;"Annulé")*(ROW(po_ref)-5))))))</f>
        <v/>
      </c>
      <c r="K647" s="67" t="str">
        <f>IF(A647="","",IF(COUNTIF(art_ref,A647)&gt;1,"Référence en double",IF(B647="","Désignation manquante",IF(NOT(ISNUMBER(D647)),"Prix manquant",IF(E647="","TVA manquante",IF(ISNA(MATCH(E647,p_tva,0)),"Taux de TVA inconnu",IF(AND(F647&lt;&gt;"",ISNA(MATCH(F647,sup_code,0))),"Fournisseur inconnu","OK")))))))</f>
        <v/>
      </c>
    </row>
    <row r="648">
      <c r="A648" s="63" t="n"/>
      <c r="B648" s="63" t="n"/>
      <c r="C648" s="65" t="n"/>
      <c r="D648" s="69" t="n"/>
      <c r="E648" s="71" t="n"/>
      <c r="F648" s="65" t="n"/>
      <c r="G648" s="74" t="str">
        <f>IF(A648="","",SUMIFS(po_qty,po_ref,A648,po_status,"&lt;&gt;Annulé"))</f>
        <v/>
      </c>
      <c r="H648" s="74" t="str">
        <f>IF(A648="","",SUMIFS(po_rcv,po_ref,A648,po_status,"&lt;&gt;Annulé"))</f>
        <v/>
      </c>
      <c r="I648" s="74" t="str">
        <f>IF(A648="","",SUMIFS(po_rest,po_ref,A648,po_key,"&gt;0"))</f>
        <v/>
      </c>
      <c r="J648" s="70" t="str">
        <f>IF(A648="","",IF(COUNTIFS(po_ref,A648,po_status,"&lt;&gt;Annulé")=0,"",INDEX(po_price,SUMPRODUCT(MAX((po_ref=A648)*(po_status&lt;&gt;"Annulé")*(ROW(po_ref)-5))))))</f>
        <v/>
      </c>
      <c r="K648" s="67" t="str">
        <f>IF(A648="","",IF(COUNTIF(art_ref,A648)&gt;1,"Référence en double",IF(B648="","Désignation manquante",IF(NOT(ISNUMBER(D648)),"Prix manquant",IF(E648="","TVA manquante",IF(ISNA(MATCH(E648,p_tva,0)),"Taux de TVA inconnu",IF(AND(F648&lt;&gt;"",ISNA(MATCH(F648,sup_code,0))),"Fournisseur inconnu","OK")))))))</f>
        <v/>
      </c>
    </row>
    <row r="649">
      <c r="A649" s="63" t="n"/>
      <c r="B649" s="63" t="n"/>
      <c r="C649" s="65" t="n"/>
      <c r="D649" s="69" t="n"/>
      <c r="E649" s="71" t="n"/>
      <c r="F649" s="65" t="n"/>
      <c r="G649" s="74" t="str">
        <f>IF(A649="","",SUMIFS(po_qty,po_ref,A649,po_status,"&lt;&gt;Annulé"))</f>
        <v/>
      </c>
      <c r="H649" s="74" t="str">
        <f>IF(A649="","",SUMIFS(po_rcv,po_ref,A649,po_status,"&lt;&gt;Annulé"))</f>
        <v/>
      </c>
      <c r="I649" s="74" t="str">
        <f>IF(A649="","",SUMIFS(po_rest,po_ref,A649,po_key,"&gt;0"))</f>
        <v/>
      </c>
      <c r="J649" s="70" t="str">
        <f>IF(A649="","",IF(COUNTIFS(po_ref,A649,po_status,"&lt;&gt;Annulé")=0,"",INDEX(po_price,SUMPRODUCT(MAX((po_ref=A649)*(po_status&lt;&gt;"Annulé")*(ROW(po_ref)-5))))))</f>
        <v/>
      </c>
      <c r="K649" s="67" t="str">
        <f>IF(A649="","",IF(COUNTIF(art_ref,A649)&gt;1,"Référence en double",IF(B649="","Désignation manquante",IF(NOT(ISNUMBER(D649)),"Prix manquant",IF(E649="","TVA manquante",IF(ISNA(MATCH(E649,p_tva,0)),"Taux de TVA inconnu",IF(AND(F649&lt;&gt;"",ISNA(MATCH(F649,sup_code,0))),"Fournisseur inconnu","OK")))))))</f>
        <v/>
      </c>
    </row>
    <row r="650">
      <c r="A650" s="63" t="n"/>
      <c r="B650" s="63" t="n"/>
      <c r="C650" s="65" t="n"/>
      <c r="D650" s="69" t="n"/>
      <c r="E650" s="71" t="n"/>
      <c r="F650" s="65" t="n"/>
      <c r="G650" s="74" t="str">
        <f>IF(A650="","",SUMIFS(po_qty,po_ref,A650,po_status,"&lt;&gt;Annulé"))</f>
        <v/>
      </c>
      <c r="H650" s="74" t="str">
        <f>IF(A650="","",SUMIFS(po_rcv,po_ref,A650,po_status,"&lt;&gt;Annulé"))</f>
        <v/>
      </c>
      <c r="I650" s="74" t="str">
        <f>IF(A650="","",SUMIFS(po_rest,po_ref,A650,po_key,"&gt;0"))</f>
        <v/>
      </c>
      <c r="J650" s="70" t="str">
        <f>IF(A650="","",IF(COUNTIFS(po_ref,A650,po_status,"&lt;&gt;Annulé")=0,"",INDEX(po_price,SUMPRODUCT(MAX((po_ref=A650)*(po_status&lt;&gt;"Annulé")*(ROW(po_ref)-5))))))</f>
        <v/>
      </c>
      <c r="K650" s="67" t="str">
        <f>IF(A650="","",IF(COUNTIF(art_ref,A650)&gt;1,"Référence en double",IF(B650="","Désignation manquante",IF(NOT(ISNUMBER(D650)),"Prix manquant",IF(E650="","TVA manquante",IF(ISNA(MATCH(E650,p_tva,0)),"Taux de TVA inconnu",IF(AND(F650&lt;&gt;"",ISNA(MATCH(F650,sup_code,0))),"Fournisseur inconnu","OK")))))))</f>
        <v/>
      </c>
    </row>
    <row r="651">
      <c r="A651" s="63" t="n"/>
      <c r="B651" s="63" t="n"/>
      <c r="C651" s="65" t="n"/>
      <c r="D651" s="69" t="n"/>
      <c r="E651" s="71" t="n"/>
      <c r="F651" s="65" t="n"/>
      <c r="G651" s="74" t="str">
        <f>IF(A651="","",SUMIFS(po_qty,po_ref,A651,po_status,"&lt;&gt;Annulé"))</f>
        <v/>
      </c>
      <c r="H651" s="74" t="str">
        <f>IF(A651="","",SUMIFS(po_rcv,po_ref,A651,po_status,"&lt;&gt;Annulé"))</f>
        <v/>
      </c>
      <c r="I651" s="74" t="str">
        <f>IF(A651="","",SUMIFS(po_rest,po_ref,A651,po_key,"&gt;0"))</f>
        <v/>
      </c>
      <c r="J651" s="70" t="str">
        <f>IF(A651="","",IF(COUNTIFS(po_ref,A651,po_status,"&lt;&gt;Annulé")=0,"",INDEX(po_price,SUMPRODUCT(MAX((po_ref=A651)*(po_status&lt;&gt;"Annulé")*(ROW(po_ref)-5))))))</f>
        <v/>
      </c>
      <c r="K651" s="67" t="str">
        <f>IF(A651="","",IF(COUNTIF(art_ref,A651)&gt;1,"Référence en double",IF(B651="","Désignation manquante",IF(NOT(ISNUMBER(D651)),"Prix manquant",IF(E651="","TVA manquante",IF(ISNA(MATCH(E651,p_tva,0)),"Taux de TVA inconnu",IF(AND(F651&lt;&gt;"",ISNA(MATCH(F651,sup_code,0))),"Fournisseur inconnu","OK")))))))</f>
        <v/>
      </c>
    </row>
    <row r="652">
      <c r="A652" s="63" t="n"/>
      <c r="B652" s="63" t="n"/>
      <c r="C652" s="65" t="n"/>
      <c r="D652" s="69" t="n"/>
      <c r="E652" s="71" t="n"/>
      <c r="F652" s="65" t="n"/>
      <c r="G652" s="74" t="str">
        <f>IF(A652="","",SUMIFS(po_qty,po_ref,A652,po_status,"&lt;&gt;Annulé"))</f>
        <v/>
      </c>
      <c r="H652" s="74" t="str">
        <f>IF(A652="","",SUMIFS(po_rcv,po_ref,A652,po_status,"&lt;&gt;Annulé"))</f>
        <v/>
      </c>
      <c r="I652" s="74" t="str">
        <f>IF(A652="","",SUMIFS(po_rest,po_ref,A652,po_key,"&gt;0"))</f>
        <v/>
      </c>
      <c r="J652" s="70" t="str">
        <f>IF(A652="","",IF(COUNTIFS(po_ref,A652,po_status,"&lt;&gt;Annulé")=0,"",INDEX(po_price,SUMPRODUCT(MAX((po_ref=A652)*(po_status&lt;&gt;"Annulé")*(ROW(po_ref)-5))))))</f>
        <v/>
      </c>
      <c r="K652" s="67" t="str">
        <f>IF(A652="","",IF(COUNTIF(art_ref,A652)&gt;1,"Référence en double",IF(B652="","Désignation manquante",IF(NOT(ISNUMBER(D652)),"Prix manquant",IF(E652="","TVA manquante",IF(ISNA(MATCH(E652,p_tva,0)),"Taux de TVA inconnu",IF(AND(F652&lt;&gt;"",ISNA(MATCH(F652,sup_code,0))),"Fournisseur inconnu","OK")))))))</f>
        <v/>
      </c>
    </row>
    <row r="653">
      <c r="A653" s="63" t="n"/>
      <c r="B653" s="63" t="n"/>
      <c r="C653" s="65" t="n"/>
      <c r="D653" s="69" t="n"/>
      <c r="E653" s="71" t="n"/>
      <c r="F653" s="65" t="n"/>
      <c r="G653" s="74" t="str">
        <f>IF(A653="","",SUMIFS(po_qty,po_ref,A653,po_status,"&lt;&gt;Annulé"))</f>
        <v/>
      </c>
      <c r="H653" s="74" t="str">
        <f>IF(A653="","",SUMIFS(po_rcv,po_ref,A653,po_status,"&lt;&gt;Annulé"))</f>
        <v/>
      </c>
      <c r="I653" s="74" t="str">
        <f>IF(A653="","",SUMIFS(po_rest,po_ref,A653,po_key,"&gt;0"))</f>
        <v/>
      </c>
      <c r="J653" s="70" t="str">
        <f>IF(A653="","",IF(COUNTIFS(po_ref,A653,po_status,"&lt;&gt;Annulé")=0,"",INDEX(po_price,SUMPRODUCT(MAX((po_ref=A653)*(po_status&lt;&gt;"Annulé")*(ROW(po_ref)-5))))))</f>
        <v/>
      </c>
      <c r="K653" s="67" t="str">
        <f>IF(A653="","",IF(COUNTIF(art_ref,A653)&gt;1,"Référence en double",IF(B653="","Désignation manquante",IF(NOT(ISNUMBER(D653)),"Prix manquant",IF(E653="","TVA manquante",IF(ISNA(MATCH(E653,p_tva,0)),"Taux de TVA inconnu",IF(AND(F653&lt;&gt;"",ISNA(MATCH(F653,sup_code,0))),"Fournisseur inconnu","OK")))))))</f>
        <v/>
      </c>
    </row>
    <row r="654">
      <c r="A654" s="63" t="n"/>
      <c r="B654" s="63" t="n"/>
      <c r="C654" s="65" t="n"/>
      <c r="D654" s="69" t="n"/>
      <c r="E654" s="71" t="n"/>
      <c r="F654" s="65" t="n"/>
      <c r="G654" s="74" t="str">
        <f>IF(A654="","",SUMIFS(po_qty,po_ref,A654,po_status,"&lt;&gt;Annulé"))</f>
        <v/>
      </c>
      <c r="H654" s="74" t="str">
        <f>IF(A654="","",SUMIFS(po_rcv,po_ref,A654,po_status,"&lt;&gt;Annulé"))</f>
        <v/>
      </c>
      <c r="I654" s="74" t="str">
        <f>IF(A654="","",SUMIFS(po_rest,po_ref,A654,po_key,"&gt;0"))</f>
        <v/>
      </c>
      <c r="J654" s="70" t="str">
        <f>IF(A654="","",IF(COUNTIFS(po_ref,A654,po_status,"&lt;&gt;Annulé")=0,"",INDEX(po_price,SUMPRODUCT(MAX((po_ref=A654)*(po_status&lt;&gt;"Annulé")*(ROW(po_ref)-5))))))</f>
        <v/>
      </c>
      <c r="K654" s="67" t="str">
        <f>IF(A654="","",IF(COUNTIF(art_ref,A654)&gt;1,"Référence en double",IF(B654="","Désignation manquante",IF(NOT(ISNUMBER(D654)),"Prix manquant",IF(E654="","TVA manquante",IF(ISNA(MATCH(E654,p_tva,0)),"Taux de TVA inconnu",IF(AND(F654&lt;&gt;"",ISNA(MATCH(F654,sup_code,0))),"Fournisseur inconnu","OK")))))))</f>
        <v/>
      </c>
    </row>
    <row r="655">
      <c r="A655" s="63" t="n"/>
      <c r="B655" s="63" t="n"/>
      <c r="C655" s="65" t="n"/>
      <c r="D655" s="69" t="n"/>
      <c r="E655" s="71" t="n"/>
      <c r="F655" s="65" t="n"/>
      <c r="G655" s="74" t="str">
        <f>IF(A655="","",SUMIFS(po_qty,po_ref,A655,po_status,"&lt;&gt;Annulé"))</f>
        <v/>
      </c>
      <c r="H655" s="74" t="str">
        <f>IF(A655="","",SUMIFS(po_rcv,po_ref,A655,po_status,"&lt;&gt;Annulé"))</f>
        <v/>
      </c>
      <c r="I655" s="74" t="str">
        <f>IF(A655="","",SUMIFS(po_rest,po_ref,A655,po_key,"&gt;0"))</f>
        <v/>
      </c>
      <c r="J655" s="70" t="str">
        <f>IF(A655="","",IF(COUNTIFS(po_ref,A655,po_status,"&lt;&gt;Annulé")=0,"",INDEX(po_price,SUMPRODUCT(MAX((po_ref=A655)*(po_status&lt;&gt;"Annulé")*(ROW(po_ref)-5))))))</f>
        <v/>
      </c>
      <c r="K655" s="67" t="str">
        <f>IF(A655="","",IF(COUNTIF(art_ref,A655)&gt;1,"Référence en double",IF(B655="","Désignation manquante",IF(NOT(ISNUMBER(D655)),"Prix manquant",IF(E655="","TVA manquante",IF(ISNA(MATCH(E655,p_tva,0)),"Taux de TVA inconnu",IF(AND(F655&lt;&gt;"",ISNA(MATCH(F655,sup_code,0))),"Fournisseur inconnu","OK")))))))</f>
        <v/>
      </c>
    </row>
    <row r="656">
      <c r="A656" s="63" t="n"/>
      <c r="B656" s="63" t="n"/>
      <c r="C656" s="65" t="n"/>
      <c r="D656" s="69" t="n"/>
      <c r="E656" s="71" t="n"/>
      <c r="F656" s="65" t="n"/>
      <c r="G656" s="74" t="str">
        <f>IF(A656="","",SUMIFS(po_qty,po_ref,A656,po_status,"&lt;&gt;Annulé"))</f>
        <v/>
      </c>
      <c r="H656" s="74" t="str">
        <f>IF(A656="","",SUMIFS(po_rcv,po_ref,A656,po_status,"&lt;&gt;Annulé"))</f>
        <v/>
      </c>
      <c r="I656" s="74" t="str">
        <f>IF(A656="","",SUMIFS(po_rest,po_ref,A656,po_key,"&gt;0"))</f>
        <v/>
      </c>
      <c r="J656" s="70" t="str">
        <f>IF(A656="","",IF(COUNTIFS(po_ref,A656,po_status,"&lt;&gt;Annulé")=0,"",INDEX(po_price,SUMPRODUCT(MAX((po_ref=A656)*(po_status&lt;&gt;"Annulé")*(ROW(po_ref)-5))))))</f>
        <v/>
      </c>
      <c r="K656" s="67" t="str">
        <f>IF(A656="","",IF(COUNTIF(art_ref,A656)&gt;1,"Référence en double",IF(B656="","Désignation manquante",IF(NOT(ISNUMBER(D656)),"Prix manquant",IF(E656="","TVA manquante",IF(ISNA(MATCH(E656,p_tva,0)),"Taux de TVA inconnu",IF(AND(F656&lt;&gt;"",ISNA(MATCH(F656,sup_code,0))),"Fournisseur inconnu","OK")))))))</f>
        <v/>
      </c>
    </row>
    <row r="657">
      <c r="A657" s="63" t="n"/>
      <c r="B657" s="63" t="n"/>
      <c r="C657" s="65" t="n"/>
      <c r="D657" s="69" t="n"/>
      <c r="E657" s="71" t="n"/>
      <c r="F657" s="65" t="n"/>
      <c r="G657" s="74" t="str">
        <f>IF(A657="","",SUMIFS(po_qty,po_ref,A657,po_status,"&lt;&gt;Annulé"))</f>
        <v/>
      </c>
      <c r="H657" s="74" t="str">
        <f>IF(A657="","",SUMIFS(po_rcv,po_ref,A657,po_status,"&lt;&gt;Annulé"))</f>
        <v/>
      </c>
      <c r="I657" s="74" t="str">
        <f>IF(A657="","",SUMIFS(po_rest,po_ref,A657,po_key,"&gt;0"))</f>
        <v/>
      </c>
      <c r="J657" s="70" t="str">
        <f>IF(A657="","",IF(COUNTIFS(po_ref,A657,po_status,"&lt;&gt;Annulé")=0,"",INDEX(po_price,SUMPRODUCT(MAX((po_ref=A657)*(po_status&lt;&gt;"Annulé")*(ROW(po_ref)-5))))))</f>
        <v/>
      </c>
      <c r="K657" s="67" t="str">
        <f>IF(A657="","",IF(COUNTIF(art_ref,A657)&gt;1,"Référence en double",IF(B657="","Désignation manquante",IF(NOT(ISNUMBER(D657)),"Prix manquant",IF(E657="","TVA manquante",IF(ISNA(MATCH(E657,p_tva,0)),"Taux de TVA inconnu",IF(AND(F657&lt;&gt;"",ISNA(MATCH(F657,sup_code,0))),"Fournisseur inconnu","OK")))))))</f>
        <v/>
      </c>
    </row>
    <row r="658">
      <c r="A658" s="63" t="n"/>
      <c r="B658" s="63" t="n"/>
      <c r="C658" s="65" t="n"/>
      <c r="D658" s="69" t="n"/>
      <c r="E658" s="71" t="n"/>
      <c r="F658" s="65" t="n"/>
      <c r="G658" s="74" t="str">
        <f>IF(A658="","",SUMIFS(po_qty,po_ref,A658,po_status,"&lt;&gt;Annulé"))</f>
        <v/>
      </c>
      <c r="H658" s="74" t="str">
        <f>IF(A658="","",SUMIFS(po_rcv,po_ref,A658,po_status,"&lt;&gt;Annulé"))</f>
        <v/>
      </c>
      <c r="I658" s="74" t="str">
        <f>IF(A658="","",SUMIFS(po_rest,po_ref,A658,po_key,"&gt;0"))</f>
        <v/>
      </c>
      <c r="J658" s="70" t="str">
        <f>IF(A658="","",IF(COUNTIFS(po_ref,A658,po_status,"&lt;&gt;Annulé")=0,"",INDEX(po_price,SUMPRODUCT(MAX((po_ref=A658)*(po_status&lt;&gt;"Annulé")*(ROW(po_ref)-5))))))</f>
        <v/>
      </c>
      <c r="K658" s="67" t="str">
        <f>IF(A658="","",IF(COUNTIF(art_ref,A658)&gt;1,"Référence en double",IF(B658="","Désignation manquante",IF(NOT(ISNUMBER(D658)),"Prix manquant",IF(E658="","TVA manquante",IF(ISNA(MATCH(E658,p_tva,0)),"Taux de TVA inconnu",IF(AND(F658&lt;&gt;"",ISNA(MATCH(F658,sup_code,0))),"Fournisseur inconnu","OK")))))))</f>
        <v/>
      </c>
    </row>
    <row r="659">
      <c r="A659" s="63" t="n"/>
      <c r="B659" s="63" t="n"/>
      <c r="C659" s="65" t="n"/>
      <c r="D659" s="69" t="n"/>
      <c r="E659" s="71" t="n"/>
      <c r="F659" s="65" t="n"/>
      <c r="G659" s="74" t="str">
        <f>IF(A659="","",SUMIFS(po_qty,po_ref,A659,po_status,"&lt;&gt;Annulé"))</f>
        <v/>
      </c>
      <c r="H659" s="74" t="str">
        <f>IF(A659="","",SUMIFS(po_rcv,po_ref,A659,po_status,"&lt;&gt;Annulé"))</f>
        <v/>
      </c>
      <c r="I659" s="74" t="str">
        <f>IF(A659="","",SUMIFS(po_rest,po_ref,A659,po_key,"&gt;0"))</f>
        <v/>
      </c>
      <c r="J659" s="70" t="str">
        <f>IF(A659="","",IF(COUNTIFS(po_ref,A659,po_status,"&lt;&gt;Annulé")=0,"",INDEX(po_price,SUMPRODUCT(MAX((po_ref=A659)*(po_status&lt;&gt;"Annulé")*(ROW(po_ref)-5))))))</f>
        <v/>
      </c>
      <c r="K659" s="67" t="str">
        <f>IF(A659="","",IF(COUNTIF(art_ref,A659)&gt;1,"Référence en double",IF(B659="","Désignation manquante",IF(NOT(ISNUMBER(D659)),"Prix manquant",IF(E659="","TVA manquante",IF(ISNA(MATCH(E659,p_tva,0)),"Taux de TVA inconnu",IF(AND(F659&lt;&gt;"",ISNA(MATCH(F659,sup_code,0))),"Fournisseur inconnu","OK")))))))</f>
        <v/>
      </c>
    </row>
    <row r="660">
      <c r="A660" s="63" t="n"/>
      <c r="B660" s="63" t="n"/>
      <c r="C660" s="65" t="n"/>
      <c r="D660" s="69" t="n"/>
      <c r="E660" s="71" t="n"/>
      <c r="F660" s="65" t="n"/>
      <c r="G660" s="74" t="str">
        <f>IF(A660="","",SUMIFS(po_qty,po_ref,A660,po_status,"&lt;&gt;Annulé"))</f>
        <v/>
      </c>
      <c r="H660" s="74" t="str">
        <f>IF(A660="","",SUMIFS(po_rcv,po_ref,A660,po_status,"&lt;&gt;Annulé"))</f>
        <v/>
      </c>
      <c r="I660" s="74" t="str">
        <f>IF(A660="","",SUMIFS(po_rest,po_ref,A660,po_key,"&gt;0"))</f>
        <v/>
      </c>
      <c r="J660" s="70" t="str">
        <f>IF(A660="","",IF(COUNTIFS(po_ref,A660,po_status,"&lt;&gt;Annulé")=0,"",INDEX(po_price,SUMPRODUCT(MAX((po_ref=A660)*(po_status&lt;&gt;"Annulé")*(ROW(po_ref)-5))))))</f>
        <v/>
      </c>
      <c r="K660" s="67" t="str">
        <f>IF(A660="","",IF(COUNTIF(art_ref,A660)&gt;1,"Référence en double",IF(B660="","Désignation manquante",IF(NOT(ISNUMBER(D660)),"Prix manquant",IF(E660="","TVA manquante",IF(ISNA(MATCH(E660,p_tva,0)),"Taux de TVA inconnu",IF(AND(F660&lt;&gt;"",ISNA(MATCH(F660,sup_code,0))),"Fournisseur inconnu","OK")))))))</f>
        <v/>
      </c>
    </row>
    <row r="661">
      <c r="A661" s="63" t="n"/>
      <c r="B661" s="63" t="n"/>
      <c r="C661" s="65" t="n"/>
      <c r="D661" s="69" t="n"/>
      <c r="E661" s="71" t="n"/>
      <c r="F661" s="65" t="n"/>
      <c r="G661" s="74" t="str">
        <f>IF(A661="","",SUMIFS(po_qty,po_ref,A661,po_status,"&lt;&gt;Annulé"))</f>
        <v/>
      </c>
      <c r="H661" s="74" t="str">
        <f>IF(A661="","",SUMIFS(po_rcv,po_ref,A661,po_status,"&lt;&gt;Annulé"))</f>
        <v/>
      </c>
      <c r="I661" s="74" t="str">
        <f>IF(A661="","",SUMIFS(po_rest,po_ref,A661,po_key,"&gt;0"))</f>
        <v/>
      </c>
      <c r="J661" s="70" t="str">
        <f>IF(A661="","",IF(COUNTIFS(po_ref,A661,po_status,"&lt;&gt;Annulé")=0,"",INDEX(po_price,SUMPRODUCT(MAX((po_ref=A661)*(po_status&lt;&gt;"Annulé")*(ROW(po_ref)-5))))))</f>
        <v/>
      </c>
      <c r="K661" s="67" t="str">
        <f>IF(A661="","",IF(COUNTIF(art_ref,A661)&gt;1,"Référence en double",IF(B661="","Désignation manquante",IF(NOT(ISNUMBER(D661)),"Prix manquant",IF(E661="","TVA manquante",IF(ISNA(MATCH(E661,p_tva,0)),"Taux de TVA inconnu",IF(AND(F661&lt;&gt;"",ISNA(MATCH(F661,sup_code,0))),"Fournisseur inconnu","OK")))))))</f>
        <v/>
      </c>
    </row>
    <row r="662">
      <c r="A662" s="63" t="n"/>
      <c r="B662" s="63" t="n"/>
      <c r="C662" s="65" t="n"/>
      <c r="D662" s="69" t="n"/>
      <c r="E662" s="71" t="n"/>
      <c r="F662" s="65" t="n"/>
      <c r="G662" s="74" t="str">
        <f>IF(A662="","",SUMIFS(po_qty,po_ref,A662,po_status,"&lt;&gt;Annulé"))</f>
        <v/>
      </c>
      <c r="H662" s="74" t="str">
        <f>IF(A662="","",SUMIFS(po_rcv,po_ref,A662,po_status,"&lt;&gt;Annulé"))</f>
        <v/>
      </c>
      <c r="I662" s="74" t="str">
        <f>IF(A662="","",SUMIFS(po_rest,po_ref,A662,po_key,"&gt;0"))</f>
        <v/>
      </c>
      <c r="J662" s="70" t="str">
        <f>IF(A662="","",IF(COUNTIFS(po_ref,A662,po_status,"&lt;&gt;Annulé")=0,"",INDEX(po_price,SUMPRODUCT(MAX((po_ref=A662)*(po_status&lt;&gt;"Annulé")*(ROW(po_ref)-5))))))</f>
        <v/>
      </c>
      <c r="K662" s="67" t="str">
        <f>IF(A662="","",IF(COUNTIF(art_ref,A662)&gt;1,"Référence en double",IF(B662="","Désignation manquante",IF(NOT(ISNUMBER(D662)),"Prix manquant",IF(E662="","TVA manquante",IF(ISNA(MATCH(E662,p_tva,0)),"Taux de TVA inconnu",IF(AND(F662&lt;&gt;"",ISNA(MATCH(F662,sup_code,0))),"Fournisseur inconnu","OK")))))))</f>
        <v/>
      </c>
    </row>
    <row r="663">
      <c r="A663" s="63" t="n"/>
      <c r="B663" s="63" t="n"/>
      <c r="C663" s="65" t="n"/>
      <c r="D663" s="69" t="n"/>
      <c r="E663" s="71" t="n"/>
      <c r="F663" s="65" t="n"/>
      <c r="G663" s="74" t="str">
        <f>IF(A663="","",SUMIFS(po_qty,po_ref,A663,po_status,"&lt;&gt;Annulé"))</f>
        <v/>
      </c>
      <c r="H663" s="74" t="str">
        <f>IF(A663="","",SUMIFS(po_rcv,po_ref,A663,po_status,"&lt;&gt;Annulé"))</f>
        <v/>
      </c>
      <c r="I663" s="74" t="str">
        <f>IF(A663="","",SUMIFS(po_rest,po_ref,A663,po_key,"&gt;0"))</f>
        <v/>
      </c>
      <c r="J663" s="70" t="str">
        <f>IF(A663="","",IF(COUNTIFS(po_ref,A663,po_status,"&lt;&gt;Annulé")=0,"",INDEX(po_price,SUMPRODUCT(MAX((po_ref=A663)*(po_status&lt;&gt;"Annulé")*(ROW(po_ref)-5))))))</f>
        <v/>
      </c>
      <c r="K663" s="67" t="str">
        <f>IF(A663="","",IF(COUNTIF(art_ref,A663)&gt;1,"Référence en double",IF(B663="","Désignation manquante",IF(NOT(ISNUMBER(D663)),"Prix manquant",IF(E663="","TVA manquante",IF(ISNA(MATCH(E663,p_tva,0)),"Taux de TVA inconnu",IF(AND(F663&lt;&gt;"",ISNA(MATCH(F663,sup_code,0))),"Fournisseur inconnu","OK")))))))</f>
        <v/>
      </c>
    </row>
    <row r="664">
      <c r="A664" s="63" t="n"/>
      <c r="B664" s="63" t="n"/>
      <c r="C664" s="65" t="n"/>
      <c r="D664" s="69" t="n"/>
      <c r="E664" s="71" t="n"/>
      <c r="F664" s="65" t="n"/>
      <c r="G664" s="74" t="str">
        <f>IF(A664="","",SUMIFS(po_qty,po_ref,A664,po_status,"&lt;&gt;Annulé"))</f>
        <v/>
      </c>
      <c r="H664" s="74" t="str">
        <f>IF(A664="","",SUMIFS(po_rcv,po_ref,A664,po_status,"&lt;&gt;Annulé"))</f>
        <v/>
      </c>
      <c r="I664" s="74" t="str">
        <f>IF(A664="","",SUMIFS(po_rest,po_ref,A664,po_key,"&gt;0"))</f>
        <v/>
      </c>
      <c r="J664" s="70" t="str">
        <f>IF(A664="","",IF(COUNTIFS(po_ref,A664,po_status,"&lt;&gt;Annulé")=0,"",INDEX(po_price,SUMPRODUCT(MAX((po_ref=A664)*(po_status&lt;&gt;"Annulé")*(ROW(po_ref)-5))))))</f>
        <v/>
      </c>
      <c r="K664" s="67" t="str">
        <f>IF(A664="","",IF(COUNTIF(art_ref,A664)&gt;1,"Référence en double",IF(B664="","Désignation manquante",IF(NOT(ISNUMBER(D664)),"Prix manquant",IF(E664="","TVA manquante",IF(ISNA(MATCH(E664,p_tva,0)),"Taux de TVA inconnu",IF(AND(F664&lt;&gt;"",ISNA(MATCH(F664,sup_code,0))),"Fournisseur inconnu","OK")))))))</f>
        <v/>
      </c>
    </row>
    <row r="665">
      <c r="A665" s="63" t="n"/>
      <c r="B665" s="63" t="n"/>
      <c r="C665" s="65" t="n"/>
      <c r="D665" s="69" t="n"/>
      <c r="E665" s="71" t="n"/>
      <c r="F665" s="65" t="n"/>
      <c r="G665" s="74" t="str">
        <f>IF(A665="","",SUMIFS(po_qty,po_ref,A665,po_status,"&lt;&gt;Annulé"))</f>
        <v/>
      </c>
      <c r="H665" s="74" t="str">
        <f>IF(A665="","",SUMIFS(po_rcv,po_ref,A665,po_status,"&lt;&gt;Annulé"))</f>
        <v/>
      </c>
      <c r="I665" s="74" t="str">
        <f>IF(A665="","",SUMIFS(po_rest,po_ref,A665,po_key,"&gt;0"))</f>
        <v/>
      </c>
      <c r="J665" s="70" t="str">
        <f>IF(A665="","",IF(COUNTIFS(po_ref,A665,po_status,"&lt;&gt;Annulé")=0,"",INDEX(po_price,SUMPRODUCT(MAX((po_ref=A665)*(po_status&lt;&gt;"Annulé")*(ROW(po_ref)-5))))))</f>
        <v/>
      </c>
      <c r="K665" s="67" t="str">
        <f>IF(A665="","",IF(COUNTIF(art_ref,A665)&gt;1,"Référence en double",IF(B665="","Désignation manquante",IF(NOT(ISNUMBER(D665)),"Prix manquant",IF(E665="","TVA manquante",IF(ISNA(MATCH(E665,p_tva,0)),"Taux de TVA inconnu",IF(AND(F665&lt;&gt;"",ISNA(MATCH(F665,sup_code,0))),"Fournisseur inconnu","OK")))))))</f>
        <v/>
      </c>
    </row>
    <row r="666">
      <c r="A666" s="63" t="n"/>
      <c r="B666" s="63" t="n"/>
      <c r="C666" s="65" t="n"/>
      <c r="D666" s="69" t="n"/>
      <c r="E666" s="71" t="n"/>
      <c r="F666" s="65" t="n"/>
      <c r="G666" s="74" t="str">
        <f>IF(A666="","",SUMIFS(po_qty,po_ref,A666,po_status,"&lt;&gt;Annulé"))</f>
        <v/>
      </c>
      <c r="H666" s="74" t="str">
        <f>IF(A666="","",SUMIFS(po_rcv,po_ref,A666,po_status,"&lt;&gt;Annulé"))</f>
        <v/>
      </c>
      <c r="I666" s="74" t="str">
        <f>IF(A666="","",SUMIFS(po_rest,po_ref,A666,po_key,"&gt;0"))</f>
        <v/>
      </c>
      <c r="J666" s="70" t="str">
        <f>IF(A666="","",IF(COUNTIFS(po_ref,A666,po_status,"&lt;&gt;Annulé")=0,"",INDEX(po_price,SUMPRODUCT(MAX((po_ref=A666)*(po_status&lt;&gt;"Annulé")*(ROW(po_ref)-5))))))</f>
        <v/>
      </c>
      <c r="K666" s="67" t="str">
        <f>IF(A666="","",IF(COUNTIF(art_ref,A666)&gt;1,"Référence en double",IF(B666="","Désignation manquante",IF(NOT(ISNUMBER(D666)),"Prix manquant",IF(E666="","TVA manquante",IF(ISNA(MATCH(E666,p_tva,0)),"Taux de TVA inconnu",IF(AND(F666&lt;&gt;"",ISNA(MATCH(F666,sup_code,0))),"Fournisseur inconnu","OK")))))))</f>
        <v/>
      </c>
    </row>
    <row r="667">
      <c r="A667" s="63" t="n"/>
      <c r="B667" s="63" t="n"/>
      <c r="C667" s="65" t="n"/>
      <c r="D667" s="69" t="n"/>
      <c r="E667" s="71" t="n"/>
      <c r="F667" s="65" t="n"/>
      <c r="G667" s="74" t="str">
        <f>IF(A667="","",SUMIFS(po_qty,po_ref,A667,po_status,"&lt;&gt;Annulé"))</f>
        <v/>
      </c>
      <c r="H667" s="74" t="str">
        <f>IF(A667="","",SUMIFS(po_rcv,po_ref,A667,po_status,"&lt;&gt;Annulé"))</f>
        <v/>
      </c>
      <c r="I667" s="74" t="str">
        <f>IF(A667="","",SUMIFS(po_rest,po_ref,A667,po_key,"&gt;0"))</f>
        <v/>
      </c>
      <c r="J667" s="70" t="str">
        <f>IF(A667="","",IF(COUNTIFS(po_ref,A667,po_status,"&lt;&gt;Annulé")=0,"",INDEX(po_price,SUMPRODUCT(MAX((po_ref=A667)*(po_status&lt;&gt;"Annulé")*(ROW(po_ref)-5))))))</f>
        <v/>
      </c>
      <c r="K667" s="67" t="str">
        <f>IF(A667="","",IF(COUNTIF(art_ref,A667)&gt;1,"Référence en double",IF(B667="","Désignation manquante",IF(NOT(ISNUMBER(D667)),"Prix manquant",IF(E667="","TVA manquante",IF(ISNA(MATCH(E667,p_tva,0)),"Taux de TVA inconnu",IF(AND(F667&lt;&gt;"",ISNA(MATCH(F667,sup_code,0))),"Fournisseur inconnu","OK")))))))</f>
        <v/>
      </c>
    </row>
    <row r="668">
      <c r="A668" s="63" t="n"/>
      <c r="B668" s="63" t="n"/>
      <c r="C668" s="65" t="n"/>
      <c r="D668" s="69" t="n"/>
      <c r="E668" s="71" t="n"/>
      <c r="F668" s="65" t="n"/>
      <c r="G668" s="74" t="str">
        <f>IF(A668="","",SUMIFS(po_qty,po_ref,A668,po_status,"&lt;&gt;Annulé"))</f>
        <v/>
      </c>
      <c r="H668" s="74" t="str">
        <f>IF(A668="","",SUMIFS(po_rcv,po_ref,A668,po_status,"&lt;&gt;Annulé"))</f>
        <v/>
      </c>
      <c r="I668" s="74" t="str">
        <f>IF(A668="","",SUMIFS(po_rest,po_ref,A668,po_key,"&gt;0"))</f>
        <v/>
      </c>
      <c r="J668" s="70" t="str">
        <f>IF(A668="","",IF(COUNTIFS(po_ref,A668,po_status,"&lt;&gt;Annulé")=0,"",INDEX(po_price,SUMPRODUCT(MAX((po_ref=A668)*(po_status&lt;&gt;"Annulé")*(ROW(po_ref)-5))))))</f>
        <v/>
      </c>
      <c r="K668" s="67" t="str">
        <f>IF(A668="","",IF(COUNTIF(art_ref,A668)&gt;1,"Référence en double",IF(B668="","Désignation manquante",IF(NOT(ISNUMBER(D668)),"Prix manquant",IF(E668="","TVA manquante",IF(ISNA(MATCH(E668,p_tva,0)),"Taux de TVA inconnu",IF(AND(F668&lt;&gt;"",ISNA(MATCH(F668,sup_code,0))),"Fournisseur inconnu","OK")))))))</f>
        <v/>
      </c>
    </row>
    <row r="669">
      <c r="A669" s="63" t="n"/>
      <c r="B669" s="63" t="n"/>
      <c r="C669" s="65" t="n"/>
      <c r="D669" s="69" t="n"/>
      <c r="E669" s="71" t="n"/>
      <c r="F669" s="65" t="n"/>
      <c r="G669" s="74" t="str">
        <f>IF(A669="","",SUMIFS(po_qty,po_ref,A669,po_status,"&lt;&gt;Annulé"))</f>
        <v/>
      </c>
      <c r="H669" s="74" t="str">
        <f>IF(A669="","",SUMIFS(po_rcv,po_ref,A669,po_status,"&lt;&gt;Annulé"))</f>
        <v/>
      </c>
      <c r="I669" s="74" t="str">
        <f>IF(A669="","",SUMIFS(po_rest,po_ref,A669,po_key,"&gt;0"))</f>
        <v/>
      </c>
      <c r="J669" s="70" t="str">
        <f>IF(A669="","",IF(COUNTIFS(po_ref,A669,po_status,"&lt;&gt;Annulé")=0,"",INDEX(po_price,SUMPRODUCT(MAX((po_ref=A669)*(po_status&lt;&gt;"Annulé")*(ROW(po_ref)-5))))))</f>
        <v/>
      </c>
      <c r="K669" s="67" t="str">
        <f>IF(A669="","",IF(COUNTIF(art_ref,A669)&gt;1,"Référence en double",IF(B669="","Désignation manquante",IF(NOT(ISNUMBER(D669)),"Prix manquant",IF(E669="","TVA manquante",IF(ISNA(MATCH(E669,p_tva,0)),"Taux de TVA inconnu",IF(AND(F669&lt;&gt;"",ISNA(MATCH(F669,sup_code,0))),"Fournisseur inconnu","OK")))))))</f>
        <v/>
      </c>
    </row>
    <row r="670">
      <c r="A670" s="63" t="n"/>
      <c r="B670" s="63" t="n"/>
      <c r="C670" s="65" t="n"/>
      <c r="D670" s="69" t="n"/>
      <c r="E670" s="71" t="n"/>
      <c r="F670" s="65" t="n"/>
      <c r="G670" s="74" t="str">
        <f>IF(A670="","",SUMIFS(po_qty,po_ref,A670,po_status,"&lt;&gt;Annulé"))</f>
        <v/>
      </c>
      <c r="H670" s="74" t="str">
        <f>IF(A670="","",SUMIFS(po_rcv,po_ref,A670,po_status,"&lt;&gt;Annulé"))</f>
        <v/>
      </c>
      <c r="I670" s="74" t="str">
        <f>IF(A670="","",SUMIFS(po_rest,po_ref,A670,po_key,"&gt;0"))</f>
        <v/>
      </c>
      <c r="J670" s="70" t="str">
        <f>IF(A670="","",IF(COUNTIFS(po_ref,A670,po_status,"&lt;&gt;Annulé")=0,"",INDEX(po_price,SUMPRODUCT(MAX((po_ref=A670)*(po_status&lt;&gt;"Annulé")*(ROW(po_ref)-5))))))</f>
        <v/>
      </c>
      <c r="K670" s="67" t="str">
        <f>IF(A670="","",IF(COUNTIF(art_ref,A670)&gt;1,"Référence en double",IF(B670="","Désignation manquante",IF(NOT(ISNUMBER(D670)),"Prix manquant",IF(E670="","TVA manquante",IF(ISNA(MATCH(E670,p_tva,0)),"Taux de TVA inconnu",IF(AND(F670&lt;&gt;"",ISNA(MATCH(F670,sup_code,0))),"Fournisseur inconnu","OK")))))))</f>
        <v/>
      </c>
    </row>
    <row r="671">
      <c r="A671" s="63" t="n"/>
      <c r="B671" s="63" t="n"/>
      <c r="C671" s="65" t="n"/>
      <c r="D671" s="69" t="n"/>
      <c r="E671" s="71" t="n"/>
      <c r="F671" s="65" t="n"/>
      <c r="G671" s="74" t="str">
        <f>IF(A671="","",SUMIFS(po_qty,po_ref,A671,po_status,"&lt;&gt;Annulé"))</f>
        <v/>
      </c>
      <c r="H671" s="74" t="str">
        <f>IF(A671="","",SUMIFS(po_rcv,po_ref,A671,po_status,"&lt;&gt;Annulé"))</f>
        <v/>
      </c>
      <c r="I671" s="74" t="str">
        <f>IF(A671="","",SUMIFS(po_rest,po_ref,A671,po_key,"&gt;0"))</f>
        <v/>
      </c>
      <c r="J671" s="70" t="str">
        <f>IF(A671="","",IF(COUNTIFS(po_ref,A671,po_status,"&lt;&gt;Annulé")=0,"",INDEX(po_price,SUMPRODUCT(MAX((po_ref=A671)*(po_status&lt;&gt;"Annulé")*(ROW(po_ref)-5))))))</f>
        <v/>
      </c>
      <c r="K671" s="67" t="str">
        <f>IF(A671="","",IF(COUNTIF(art_ref,A671)&gt;1,"Référence en double",IF(B671="","Désignation manquante",IF(NOT(ISNUMBER(D671)),"Prix manquant",IF(E671="","TVA manquante",IF(ISNA(MATCH(E671,p_tva,0)),"Taux de TVA inconnu",IF(AND(F671&lt;&gt;"",ISNA(MATCH(F671,sup_code,0))),"Fournisseur inconnu","OK")))))))</f>
        <v/>
      </c>
    </row>
    <row r="672">
      <c r="A672" s="63" t="n"/>
      <c r="B672" s="63" t="n"/>
      <c r="C672" s="65" t="n"/>
      <c r="D672" s="69" t="n"/>
      <c r="E672" s="71" t="n"/>
      <c r="F672" s="65" t="n"/>
      <c r="G672" s="74" t="str">
        <f>IF(A672="","",SUMIFS(po_qty,po_ref,A672,po_status,"&lt;&gt;Annulé"))</f>
        <v/>
      </c>
      <c r="H672" s="74" t="str">
        <f>IF(A672="","",SUMIFS(po_rcv,po_ref,A672,po_status,"&lt;&gt;Annulé"))</f>
        <v/>
      </c>
      <c r="I672" s="74" t="str">
        <f>IF(A672="","",SUMIFS(po_rest,po_ref,A672,po_key,"&gt;0"))</f>
        <v/>
      </c>
      <c r="J672" s="70" t="str">
        <f>IF(A672="","",IF(COUNTIFS(po_ref,A672,po_status,"&lt;&gt;Annulé")=0,"",INDEX(po_price,SUMPRODUCT(MAX((po_ref=A672)*(po_status&lt;&gt;"Annulé")*(ROW(po_ref)-5))))))</f>
        <v/>
      </c>
      <c r="K672" s="67" t="str">
        <f>IF(A672="","",IF(COUNTIF(art_ref,A672)&gt;1,"Référence en double",IF(B672="","Désignation manquante",IF(NOT(ISNUMBER(D672)),"Prix manquant",IF(E672="","TVA manquante",IF(ISNA(MATCH(E672,p_tva,0)),"Taux de TVA inconnu",IF(AND(F672&lt;&gt;"",ISNA(MATCH(F672,sup_code,0))),"Fournisseur inconnu","OK")))))))</f>
        <v/>
      </c>
    </row>
    <row r="673">
      <c r="A673" s="63" t="n"/>
      <c r="B673" s="63" t="n"/>
      <c r="C673" s="65" t="n"/>
      <c r="D673" s="69" t="n"/>
      <c r="E673" s="71" t="n"/>
      <c r="F673" s="65" t="n"/>
      <c r="G673" s="74" t="str">
        <f>IF(A673="","",SUMIFS(po_qty,po_ref,A673,po_status,"&lt;&gt;Annulé"))</f>
        <v/>
      </c>
      <c r="H673" s="74" t="str">
        <f>IF(A673="","",SUMIFS(po_rcv,po_ref,A673,po_status,"&lt;&gt;Annulé"))</f>
        <v/>
      </c>
      <c r="I673" s="74" t="str">
        <f>IF(A673="","",SUMIFS(po_rest,po_ref,A673,po_key,"&gt;0"))</f>
        <v/>
      </c>
      <c r="J673" s="70" t="str">
        <f>IF(A673="","",IF(COUNTIFS(po_ref,A673,po_status,"&lt;&gt;Annulé")=0,"",INDEX(po_price,SUMPRODUCT(MAX((po_ref=A673)*(po_status&lt;&gt;"Annulé")*(ROW(po_ref)-5))))))</f>
        <v/>
      </c>
      <c r="K673" s="67" t="str">
        <f>IF(A673="","",IF(COUNTIF(art_ref,A673)&gt;1,"Référence en double",IF(B673="","Désignation manquante",IF(NOT(ISNUMBER(D673)),"Prix manquant",IF(E673="","TVA manquante",IF(ISNA(MATCH(E673,p_tva,0)),"Taux de TVA inconnu",IF(AND(F673&lt;&gt;"",ISNA(MATCH(F673,sup_code,0))),"Fournisseur inconnu","OK")))))))</f>
        <v/>
      </c>
    </row>
    <row r="674">
      <c r="A674" s="63" t="n"/>
      <c r="B674" s="63" t="n"/>
      <c r="C674" s="65" t="n"/>
      <c r="D674" s="69" t="n"/>
      <c r="E674" s="71" t="n"/>
      <c r="F674" s="65" t="n"/>
      <c r="G674" s="74" t="str">
        <f>IF(A674="","",SUMIFS(po_qty,po_ref,A674,po_status,"&lt;&gt;Annulé"))</f>
        <v/>
      </c>
      <c r="H674" s="74" t="str">
        <f>IF(A674="","",SUMIFS(po_rcv,po_ref,A674,po_status,"&lt;&gt;Annulé"))</f>
        <v/>
      </c>
      <c r="I674" s="74" t="str">
        <f>IF(A674="","",SUMIFS(po_rest,po_ref,A674,po_key,"&gt;0"))</f>
        <v/>
      </c>
      <c r="J674" s="70" t="str">
        <f>IF(A674="","",IF(COUNTIFS(po_ref,A674,po_status,"&lt;&gt;Annulé")=0,"",INDEX(po_price,SUMPRODUCT(MAX((po_ref=A674)*(po_status&lt;&gt;"Annulé")*(ROW(po_ref)-5))))))</f>
        <v/>
      </c>
      <c r="K674" s="67" t="str">
        <f>IF(A674="","",IF(COUNTIF(art_ref,A674)&gt;1,"Référence en double",IF(B674="","Désignation manquante",IF(NOT(ISNUMBER(D674)),"Prix manquant",IF(E674="","TVA manquante",IF(ISNA(MATCH(E674,p_tva,0)),"Taux de TVA inconnu",IF(AND(F674&lt;&gt;"",ISNA(MATCH(F674,sup_code,0))),"Fournisseur inconnu","OK")))))))</f>
        <v/>
      </c>
    </row>
    <row r="675">
      <c r="A675" s="63" t="n"/>
      <c r="B675" s="63" t="n"/>
      <c r="C675" s="65" t="n"/>
      <c r="D675" s="69" t="n"/>
      <c r="E675" s="71" t="n"/>
      <c r="F675" s="65" t="n"/>
      <c r="G675" s="74" t="str">
        <f>IF(A675="","",SUMIFS(po_qty,po_ref,A675,po_status,"&lt;&gt;Annulé"))</f>
        <v/>
      </c>
      <c r="H675" s="74" t="str">
        <f>IF(A675="","",SUMIFS(po_rcv,po_ref,A675,po_status,"&lt;&gt;Annulé"))</f>
        <v/>
      </c>
      <c r="I675" s="74" t="str">
        <f>IF(A675="","",SUMIFS(po_rest,po_ref,A675,po_key,"&gt;0"))</f>
        <v/>
      </c>
      <c r="J675" s="70" t="str">
        <f>IF(A675="","",IF(COUNTIFS(po_ref,A675,po_status,"&lt;&gt;Annulé")=0,"",INDEX(po_price,SUMPRODUCT(MAX((po_ref=A675)*(po_status&lt;&gt;"Annulé")*(ROW(po_ref)-5))))))</f>
        <v/>
      </c>
      <c r="K675" s="67" t="str">
        <f>IF(A675="","",IF(COUNTIF(art_ref,A675)&gt;1,"Référence en double",IF(B675="","Désignation manquante",IF(NOT(ISNUMBER(D675)),"Prix manquant",IF(E675="","TVA manquante",IF(ISNA(MATCH(E675,p_tva,0)),"Taux de TVA inconnu",IF(AND(F675&lt;&gt;"",ISNA(MATCH(F675,sup_code,0))),"Fournisseur inconnu","OK")))))))</f>
        <v/>
      </c>
    </row>
    <row r="676">
      <c r="A676" s="63" t="n"/>
      <c r="B676" s="63" t="n"/>
      <c r="C676" s="65" t="n"/>
      <c r="D676" s="69" t="n"/>
      <c r="E676" s="71" t="n"/>
      <c r="F676" s="65" t="n"/>
      <c r="G676" s="74" t="str">
        <f>IF(A676="","",SUMIFS(po_qty,po_ref,A676,po_status,"&lt;&gt;Annulé"))</f>
        <v/>
      </c>
      <c r="H676" s="74" t="str">
        <f>IF(A676="","",SUMIFS(po_rcv,po_ref,A676,po_status,"&lt;&gt;Annulé"))</f>
        <v/>
      </c>
      <c r="I676" s="74" t="str">
        <f>IF(A676="","",SUMIFS(po_rest,po_ref,A676,po_key,"&gt;0"))</f>
        <v/>
      </c>
      <c r="J676" s="70" t="str">
        <f>IF(A676="","",IF(COUNTIFS(po_ref,A676,po_status,"&lt;&gt;Annulé")=0,"",INDEX(po_price,SUMPRODUCT(MAX((po_ref=A676)*(po_status&lt;&gt;"Annulé")*(ROW(po_ref)-5))))))</f>
        <v/>
      </c>
      <c r="K676" s="67" t="str">
        <f>IF(A676="","",IF(COUNTIF(art_ref,A676)&gt;1,"Référence en double",IF(B676="","Désignation manquante",IF(NOT(ISNUMBER(D676)),"Prix manquant",IF(E676="","TVA manquante",IF(ISNA(MATCH(E676,p_tva,0)),"Taux de TVA inconnu",IF(AND(F676&lt;&gt;"",ISNA(MATCH(F676,sup_code,0))),"Fournisseur inconnu","OK")))))))</f>
        <v/>
      </c>
    </row>
    <row r="677">
      <c r="A677" s="63" t="n"/>
      <c r="B677" s="63" t="n"/>
      <c r="C677" s="65" t="n"/>
      <c r="D677" s="69" t="n"/>
      <c r="E677" s="71" t="n"/>
      <c r="F677" s="65" t="n"/>
      <c r="G677" s="74" t="str">
        <f>IF(A677="","",SUMIFS(po_qty,po_ref,A677,po_status,"&lt;&gt;Annulé"))</f>
        <v/>
      </c>
      <c r="H677" s="74" t="str">
        <f>IF(A677="","",SUMIFS(po_rcv,po_ref,A677,po_status,"&lt;&gt;Annulé"))</f>
        <v/>
      </c>
      <c r="I677" s="74" t="str">
        <f>IF(A677="","",SUMIFS(po_rest,po_ref,A677,po_key,"&gt;0"))</f>
        <v/>
      </c>
      <c r="J677" s="70" t="str">
        <f>IF(A677="","",IF(COUNTIFS(po_ref,A677,po_status,"&lt;&gt;Annulé")=0,"",INDEX(po_price,SUMPRODUCT(MAX((po_ref=A677)*(po_status&lt;&gt;"Annulé")*(ROW(po_ref)-5))))))</f>
        <v/>
      </c>
      <c r="K677" s="67" t="str">
        <f>IF(A677="","",IF(COUNTIF(art_ref,A677)&gt;1,"Référence en double",IF(B677="","Désignation manquante",IF(NOT(ISNUMBER(D677)),"Prix manquant",IF(E677="","TVA manquante",IF(ISNA(MATCH(E677,p_tva,0)),"Taux de TVA inconnu",IF(AND(F677&lt;&gt;"",ISNA(MATCH(F677,sup_code,0))),"Fournisseur inconnu","OK")))))))</f>
        <v/>
      </c>
    </row>
    <row r="678">
      <c r="A678" s="63" t="n"/>
      <c r="B678" s="63" t="n"/>
      <c r="C678" s="65" t="n"/>
      <c r="D678" s="69" t="n"/>
      <c r="E678" s="71" t="n"/>
      <c r="F678" s="65" t="n"/>
      <c r="G678" s="74" t="str">
        <f>IF(A678="","",SUMIFS(po_qty,po_ref,A678,po_status,"&lt;&gt;Annulé"))</f>
        <v/>
      </c>
      <c r="H678" s="74" t="str">
        <f>IF(A678="","",SUMIFS(po_rcv,po_ref,A678,po_status,"&lt;&gt;Annulé"))</f>
        <v/>
      </c>
      <c r="I678" s="74" t="str">
        <f>IF(A678="","",SUMIFS(po_rest,po_ref,A678,po_key,"&gt;0"))</f>
        <v/>
      </c>
      <c r="J678" s="70" t="str">
        <f>IF(A678="","",IF(COUNTIFS(po_ref,A678,po_status,"&lt;&gt;Annulé")=0,"",INDEX(po_price,SUMPRODUCT(MAX((po_ref=A678)*(po_status&lt;&gt;"Annulé")*(ROW(po_ref)-5))))))</f>
        <v/>
      </c>
      <c r="K678" s="67" t="str">
        <f>IF(A678="","",IF(COUNTIF(art_ref,A678)&gt;1,"Référence en double",IF(B678="","Désignation manquante",IF(NOT(ISNUMBER(D678)),"Prix manquant",IF(E678="","TVA manquante",IF(ISNA(MATCH(E678,p_tva,0)),"Taux de TVA inconnu",IF(AND(F678&lt;&gt;"",ISNA(MATCH(F678,sup_code,0))),"Fournisseur inconnu","OK")))))))</f>
        <v/>
      </c>
    </row>
    <row r="679">
      <c r="A679" s="63" t="n"/>
      <c r="B679" s="63" t="n"/>
      <c r="C679" s="65" t="n"/>
      <c r="D679" s="69" t="n"/>
      <c r="E679" s="71" t="n"/>
      <c r="F679" s="65" t="n"/>
      <c r="G679" s="74" t="str">
        <f>IF(A679="","",SUMIFS(po_qty,po_ref,A679,po_status,"&lt;&gt;Annulé"))</f>
        <v/>
      </c>
      <c r="H679" s="74" t="str">
        <f>IF(A679="","",SUMIFS(po_rcv,po_ref,A679,po_status,"&lt;&gt;Annulé"))</f>
        <v/>
      </c>
      <c r="I679" s="74" t="str">
        <f>IF(A679="","",SUMIFS(po_rest,po_ref,A679,po_key,"&gt;0"))</f>
        <v/>
      </c>
      <c r="J679" s="70" t="str">
        <f>IF(A679="","",IF(COUNTIFS(po_ref,A679,po_status,"&lt;&gt;Annulé")=0,"",INDEX(po_price,SUMPRODUCT(MAX((po_ref=A679)*(po_status&lt;&gt;"Annulé")*(ROW(po_ref)-5))))))</f>
        <v/>
      </c>
      <c r="K679" s="67" t="str">
        <f>IF(A679="","",IF(COUNTIF(art_ref,A679)&gt;1,"Référence en double",IF(B679="","Désignation manquante",IF(NOT(ISNUMBER(D679)),"Prix manquant",IF(E679="","TVA manquante",IF(ISNA(MATCH(E679,p_tva,0)),"Taux de TVA inconnu",IF(AND(F679&lt;&gt;"",ISNA(MATCH(F679,sup_code,0))),"Fournisseur inconnu","OK")))))))</f>
        <v/>
      </c>
    </row>
    <row r="680">
      <c r="A680" s="63" t="n"/>
      <c r="B680" s="63" t="n"/>
      <c r="C680" s="65" t="n"/>
      <c r="D680" s="69" t="n"/>
      <c r="E680" s="71" t="n"/>
      <c r="F680" s="65" t="n"/>
      <c r="G680" s="74" t="str">
        <f>IF(A680="","",SUMIFS(po_qty,po_ref,A680,po_status,"&lt;&gt;Annulé"))</f>
        <v/>
      </c>
      <c r="H680" s="74" t="str">
        <f>IF(A680="","",SUMIFS(po_rcv,po_ref,A680,po_status,"&lt;&gt;Annulé"))</f>
        <v/>
      </c>
      <c r="I680" s="74" t="str">
        <f>IF(A680="","",SUMIFS(po_rest,po_ref,A680,po_key,"&gt;0"))</f>
        <v/>
      </c>
      <c r="J680" s="70" t="str">
        <f>IF(A680="","",IF(COUNTIFS(po_ref,A680,po_status,"&lt;&gt;Annulé")=0,"",INDEX(po_price,SUMPRODUCT(MAX((po_ref=A680)*(po_status&lt;&gt;"Annulé")*(ROW(po_ref)-5))))))</f>
        <v/>
      </c>
      <c r="K680" s="67" t="str">
        <f>IF(A680="","",IF(COUNTIF(art_ref,A680)&gt;1,"Référence en double",IF(B680="","Désignation manquante",IF(NOT(ISNUMBER(D680)),"Prix manquant",IF(E680="","TVA manquante",IF(ISNA(MATCH(E680,p_tva,0)),"Taux de TVA inconnu",IF(AND(F680&lt;&gt;"",ISNA(MATCH(F680,sup_code,0))),"Fournisseur inconnu","OK")))))))</f>
        <v/>
      </c>
    </row>
    <row r="681">
      <c r="A681" s="63" t="n"/>
      <c r="B681" s="63" t="n"/>
      <c r="C681" s="65" t="n"/>
      <c r="D681" s="69" t="n"/>
      <c r="E681" s="71" t="n"/>
      <c r="F681" s="65" t="n"/>
      <c r="G681" s="74" t="str">
        <f>IF(A681="","",SUMIFS(po_qty,po_ref,A681,po_status,"&lt;&gt;Annulé"))</f>
        <v/>
      </c>
      <c r="H681" s="74" t="str">
        <f>IF(A681="","",SUMIFS(po_rcv,po_ref,A681,po_status,"&lt;&gt;Annulé"))</f>
        <v/>
      </c>
      <c r="I681" s="74" t="str">
        <f>IF(A681="","",SUMIFS(po_rest,po_ref,A681,po_key,"&gt;0"))</f>
        <v/>
      </c>
      <c r="J681" s="70" t="str">
        <f>IF(A681="","",IF(COUNTIFS(po_ref,A681,po_status,"&lt;&gt;Annulé")=0,"",INDEX(po_price,SUMPRODUCT(MAX((po_ref=A681)*(po_status&lt;&gt;"Annulé")*(ROW(po_ref)-5))))))</f>
        <v/>
      </c>
      <c r="K681" s="67" t="str">
        <f>IF(A681="","",IF(COUNTIF(art_ref,A681)&gt;1,"Référence en double",IF(B681="","Désignation manquante",IF(NOT(ISNUMBER(D681)),"Prix manquant",IF(E681="","TVA manquante",IF(ISNA(MATCH(E681,p_tva,0)),"Taux de TVA inconnu",IF(AND(F681&lt;&gt;"",ISNA(MATCH(F681,sup_code,0))),"Fournisseur inconnu","OK")))))))</f>
        <v/>
      </c>
    </row>
    <row r="682">
      <c r="A682" s="63" t="n"/>
      <c r="B682" s="63" t="n"/>
      <c r="C682" s="65" t="n"/>
      <c r="D682" s="69" t="n"/>
      <c r="E682" s="71" t="n"/>
      <c r="F682" s="65" t="n"/>
      <c r="G682" s="74" t="str">
        <f>IF(A682="","",SUMIFS(po_qty,po_ref,A682,po_status,"&lt;&gt;Annulé"))</f>
        <v/>
      </c>
      <c r="H682" s="74" t="str">
        <f>IF(A682="","",SUMIFS(po_rcv,po_ref,A682,po_status,"&lt;&gt;Annulé"))</f>
        <v/>
      </c>
      <c r="I682" s="74" t="str">
        <f>IF(A682="","",SUMIFS(po_rest,po_ref,A682,po_key,"&gt;0"))</f>
        <v/>
      </c>
      <c r="J682" s="70" t="str">
        <f>IF(A682="","",IF(COUNTIFS(po_ref,A682,po_status,"&lt;&gt;Annulé")=0,"",INDEX(po_price,SUMPRODUCT(MAX((po_ref=A682)*(po_status&lt;&gt;"Annulé")*(ROW(po_ref)-5))))))</f>
        <v/>
      </c>
      <c r="K682" s="67" t="str">
        <f>IF(A682="","",IF(COUNTIF(art_ref,A682)&gt;1,"Référence en double",IF(B682="","Désignation manquante",IF(NOT(ISNUMBER(D682)),"Prix manquant",IF(E682="","TVA manquante",IF(ISNA(MATCH(E682,p_tva,0)),"Taux de TVA inconnu",IF(AND(F682&lt;&gt;"",ISNA(MATCH(F682,sup_code,0))),"Fournisseur inconnu","OK")))))))</f>
        <v/>
      </c>
    </row>
    <row r="683">
      <c r="A683" s="63" t="n"/>
      <c r="B683" s="63" t="n"/>
      <c r="C683" s="65" t="n"/>
      <c r="D683" s="69" t="n"/>
      <c r="E683" s="71" t="n"/>
      <c r="F683" s="65" t="n"/>
      <c r="G683" s="74" t="str">
        <f>IF(A683="","",SUMIFS(po_qty,po_ref,A683,po_status,"&lt;&gt;Annulé"))</f>
        <v/>
      </c>
      <c r="H683" s="74" t="str">
        <f>IF(A683="","",SUMIFS(po_rcv,po_ref,A683,po_status,"&lt;&gt;Annulé"))</f>
        <v/>
      </c>
      <c r="I683" s="74" t="str">
        <f>IF(A683="","",SUMIFS(po_rest,po_ref,A683,po_key,"&gt;0"))</f>
        <v/>
      </c>
      <c r="J683" s="70" t="str">
        <f>IF(A683="","",IF(COUNTIFS(po_ref,A683,po_status,"&lt;&gt;Annulé")=0,"",INDEX(po_price,SUMPRODUCT(MAX((po_ref=A683)*(po_status&lt;&gt;"Annulé")*(ROW(po_ref)-5))))))</f>
        <v/>
      </c>
      <c r="K683" s="67" t="str">
        <f>IF(A683="","",IF(COUNTIF(art_ref,A683)&gt;1,"Référence en double",IF(B683="","Désignation manquante",IF(NOT(ISNUMBER(D683)),"Prix manquant",IF(E683="","TVA manquante",IF(ISNA(MATCH(E683,p_tva,0)),"Taux de TVA inconnu",IF(AND(F683&lt;&gt;"",ISNA(MATCH(F683,sup_code,0))),"Fournisseur inconnu","OK")))))))</f>
        <v/>
      </c>
    </row>
    <row r="684">
      <c r="A684" s="63" t="n"/>
      <c r="B684" s="63" t="n"/>
      <c r="C684" s="65" t="n"/>
      <c r="D684" s="69" t="n"/>
      <c r="E684" s="71" t="n"/>
      <c r="F684" s="65" t="n"/>
      <c r="G684" s="74" t="str">
        <f>IF(A684="","",SUMIFS(po_qty,po_ref,A684,po_status,"&lt;&gt;Annulé"))</f>
        <v/>
      </c>
      <c r="H684" s="74" t="str">
        <f>IF(A684="","",SUMIFS(po_rcv,po_ref,A684,po_status,"&lt;&gt;Annulé"))</f>
        <v/>
      </c>
      <c r="I684" s="74" t="str">
        <f>IF(A684="","",SUMIFS(po_rest,po_ref,A684,po_key,"&gt;0"))</f>
        <v/>
      </c>
      <c r="J684" s="70" t="str">
        <f>IF(A684="","",IF(COUNTIFS(po_ref,A684,po_status,"&lt;&gt;Annulé")=0,"",INDEX(po_price,SUMPRODUCT(MAX((po_ref=A684)*(po_status&lt;&gt;"Annulé")*(ROW(po_ref)-5))))))</f>
        <v/>
      </c>
      <c r="K684" s="67" t="str">
        <f>IF(A684="","",IF(COUNTIF(art_ref,A684)&gt;1,"Référence en double",IF(B684="","Désignation manquante",IF(NOT(ISNUMBER(D684)),"Prix manquant",IF(E684="","TVA manquante",IF(ISNA(MATCH(E684,p_tva,0)),"Taux de TVA inconnu",IF(AND(F684&lt;&gt;"",ISNA(MATCH(F684,sup_code,0))),"Fournisseur inconnu","OK")))))))</f>
        <v/>
      </c>
    </row>
    <row r="685">
      <c r="A685" s="63" t="n"/>
      <c r="B685" s="63" t="n"/>
      <c r="C685" s="65" t="n"/>
      <c r="D685" s="69" t="n"/>
      <c r="E685" s="71" t="n"/>
      <c r="F685" s="65" t="n"/>
      <c r="G685" s="74" t="str">
        <f>IF(A685="","",SUMIFS(po_qty,po_ref,A685,po_status,"&lt;&gt;Annulé"))</f>
        <v/>
      </c>
      <c r="H685" s="74" t="str">
        <f>IF(A685="","",SUMIFS(po_rcv,po_ref,A685,po_status,"&lt;&gt;Annulé"))</f>
        <v/>
      </c>
      <c r="I685" s="74" t="str">
        <f>IF(A685="","",SUMIFS(po_rest,po_ref,A685,po_key,"&gt;0"))</f>
        <v/>
      </c>
      <c r="J685" s="70" t="str">
        <f>IF(A685="","",IF(COUNTIFS(po_ref,A685,po_status,"&lt;&gt;Annulé")=0,"",INDEX(po_price,SUMPRODUCT(MAX((po_ref=A685)*(po_status&lt;&gt;"Annulé")*(ROW(po_ref)-5))))))</f>
        <v/>
      </c>
      <c r="K685" s="67" t="str">
        <f>IF(A685="","",IF(COUNTIF(art_ref,A685)&gt;1,"Référence en double",IF(B685="","Désignation manquante",IF(NOT(ISNUMBER(D685)),"Prix manquant",IF(E685="","TVA manquante",IF(ISNA(MATCH(E685,p_tva,0)),"Taux de TVA inconnu",IF(AND(F685&lt;&gt;"",ISNA(MATCH(F685,sup_code,0))),"Fournisseur inconnu","OK")))))))</f>
        <v/>
      </c>
    </row>
    <row r="686">
      <c r="A686" s="63" t="n"/>
      <c r="B686" s="63" t="n"/>
      <c r="C686" s="65" t="n"/>
      <c r="D686" s="69" t="n"/>
      <c r="E686" s="71" t="n"/>
      <c r="F686" s="65" t="n"/>
      <c r="G686" s="74" t="str">
        <f>IF(A686="","",SUMIFS(po_qty,po_ref,A686,po_status,"&lt;&gt;Annulé"))</f>
        <v/>
      </c>
      <c r="H686" s="74" t="str">
        <f>IF(A686="","",SUMIFS(po_rcv,po_ref,A686,po_status,"&lt;&gt;Annulé"))</f>
        <v/>
      </c>
      <c r="I686" s="74" t="str">
        <f>IF(A686="","",SUMIFS(po_rest,po_ref,A686,po_key,"&gt;0"))</f>
        <v/>
      </c>
      <c r="J686" s="70" t="str">
        <f>IF(A686="","",IF(COUNTIFS(po_ref,A686,po_status,"&lt;&gt;Annulé")=0,"",INDEX(po_price,SUMPRODUCT(MAX((po_ref=A686)*(po_status&lt;&gt;"Annulé")*(ROW(po_ref)-5))))))</f>
        <v/>
      </c>
      <c r="K686" s="67" t="str">
        <f>IF(A686="","",IF(COUNTIF(art_ref,A686)&gt;1,"Référence en double",IF(B686="","Désignation manquante",IF(NOT(ISNUMBER(D686)),"Prix manquant",IF(E686="","TVA manquante",IF(ISNA(MATCH(E686,p_tva,0)),"Taux de TVA inconnu",IF(AND(F686&lt;&gt;"",ISNA(MATCH(F686,sup_code,0))),"Fournisseur inconnu","OK")))))))</f>
        <v/>
      </c>
    </row>
    <row r="687">
      <c r="A687" s="63" t="n"/>
      <c r="B687" s="63" t="n"/>
      <c r="C687" s="65" t="n"/>
      <c r="D687" s="69" t="n"/>
      <c r="E687" s="71" t="n"/>
      <c r="F687" s="65" t="n"/>
      <c r="G687" s="74" t="str">
        <f>IF(A687="","",SUMIFS(po_qty,po_ref,A687,po_status,"&lt;&gt;Annulé"))</f>
        <v/>
      </c>
      <c r="H687" s="74" t="str">
        <f>IF(A687="","",SUMIFS(po_rcv,po_ref,A687,po_status,"&lt;&gt;Annulé"))</f>
        <v/>
      </c>
      <c r="I687" s="74" t="str">
        <f>IF(A687="","",SUMIFS(po_rest,po_ref,A687,po_key,"&gt;0"))</f>
        <v/>
      </c>
      <c r="J687" s="70" t="str">
        <f>IF(A687="","",IF(COUNTIFS(po_ref,A687,po_status,"&lt;&gt;Annulé")=0,"",INDEX(po_price,SUMPRODUCT(MAX((po_ref=A687)*(po_status&lt;&gt;"Annulé")*(ROW(po_ref)-5))))))</f>
        <v/>
      </c>
      <c r="K687" s="67" t="str">
        <f>IF(A687="","",IF(COUNTIF(art_ref,A687)&gt;1,"Référence en double",IF(B687="","Désignation manquante",IF(NOT(ISNUMBER(D687)),"Prix manquant",IF(E687="","TVA manquante",IF(ISNA(MATCH(E687,p_tva,0)),"Taux de TVA inconnu",IF(AND(F687&lt;&gt;"",ISNA(MATCH(F687,sup_code,0))),"Fournisseur inconnu","OK")))))))</f>
        <v/>
      </c>
    </row>
    <row r="688">
      <c r="A688" s="63" t="n"/>
      <c r="B688" s="63" t="n"/>
      <c r="C688" s="65" t="n"/>
      <c r="D688" s="69" t="n"/>
      <c r="E688" s="71" t="n"/>
      <c r="F688" s="65" t="n"/>
      <c r="G688" s="74" t="str">
        <f>IF(A688="","",SUMIFS(po_qty,po_ref,A688,po_status,"&lt;&gt;Annulé"))</f>
        <v/>
      </c>
      <c r="H688" s="74" t="str">
        <f>IF(A688="","",SUMIFS(po_rcv,po_ref,A688,po_status,"&lt;&gt;Annulé"))</f>
        <v/>
      </c>
      <c r="I688" s="74" t="str">
        <f>IF(A688="","",SUMIFS(po_rest,po_ref,A688,po_key,"&gt;0"))</f>
        <v/>
      </c>
      <c r="J688" s="70" t="str">
        <f>IF(A688="","",IF(COUNTIFS(po_ref,A688,po_status,"&lt;&gt;Annulé")=0,"",INDEX(po_price,SUMPRODUCT(MAX((po_ref=A688)*(po_status&lt;&gt;"Annulé")*(ROW(po_ref)-5))))))</f>
        <v/>
      </c>
      <c r="K688" s="67" t="str">
        <f>IF(A688="","",IF(COUNTIF(art_ref,A688)&gt;1,"Référence en double",IF(B688="","Désignation manquante",IF(NOT(ISNUMBER(D688)),"Prix manquant",IF(E688="","TVA manquante",IF(ISNA(MATCH(E688,p_tva,0)),"Taux de TVA inconnu",IF(AND(F688&lt;&gt;"",ISNA(MATCH(F688,sup_code,0))),"Fournisseur inconnu","OK")))))))</f>
        <v/>
      </c>
    </row>
    <row r="689">
      <c r="A689" s="63" t="n"/>
      <c r="B689" s="63" t="n"/>
      <c r="C689" s="65" t="n"/>
      <c r="D689" s="69" t="n"/>
      <c r="E689" s="71" t="n"/>
      <c r="F689" s="65" t="n"/>
      <c r="G689" s="74" t="str">
        <f>IF(A689="","",SUMIFS(po_qty,po_ref,A689,po_status,"&lt;&gt;Annulé"))</f>
        <v/>
      </c>
      <c r="H689" s="74" t="str">
        <f>IF(A689="","",SUMIFS(po_rcv,po_ref,A689,po_status,"&lt;&gt;Annulé"))</f>
        <v/>
      </c>
      <c r="I689" s="74" t="str">
        <f>IF(A689="","",SUMIFS(po_rest,po_ref,A689,po_key,"&gt;0"))</f>
        <v/>
      </c>
      <c r="J689" s="70" t="str">
        <f>IF(A689="","",IF(COUNTIFS(po_ref,A689,po_status,"&lt;&gt;Annulé")=0,"",INDEX(po_price,SUMPRODUCT(MAX((po_ref=A689)*(po_status&lt;&gt;"Annulé")*(ROW(po_ref)-5))))))</f>
        <v/>
      </c>
      <c r="K689" s="67" t="str">
        <f>IF(A689="","",IF(COUNTIF(art_ref,A689)&gt;1,"Référence en double",IF(B689="","Désignation manquante",IF(NOT(ISNUMBER(D689)),"Prix manquant",IF(E689="","TVA manquante",IF(ISNA(MATCH(E689,p_tva,0)),"Taux de TVA inconnu",IF(AND(F689&lt;&gt;"",ISNA(MATCH(F689,sup_code,0))),"Fournisseur inconnu","OK")))))))</f>
        <v/>
      </c>
    </row>
    <row r="690">
      <c r="A690" s="63" t="n"/>
      <c r="B690" s="63" t="n"/>
      <c r="C690" s="65" t="n"/>
      <c r="D690" s="69" t="n"/>
      <c r="E690" s="71" t="n"/>
      <c r="F690" s="65" t="n"/>
      <c r="G690" s="74" t="str">
        <f>IF(A690="","",SUMIFS(po_qty,po_ref,A690,po_status,"&lt;&gt;Annulé"))</f>
        <v/>
      </c>
      <c r="H690" s="74" t="str">
        <f>IF(A690="","",SUMIFS(po_rcv,po_ref,A690,po_status,"&lt;&gt;Annulé"))</f>
        <v/>
      </c>
      <c r="I690" s="74" t="str">
        <f>IF(A690="","",SUMIFS(po_rest,po_ref,A690,po_key,"&gt;0"))</f>
        <v/>
      </c>
      <c r="J690" s="70" t="str">
        <f>IF(A690="","",IF(COUNTIFS(po_ref,A690,po_status,"&lt;&gt;Annulé")=0,"",INDEX(po_price,SUMPRODUCT(MAX((po_ref=A690)*(po_status&lt;&gt;"Annulé")*(ROW(po_ref)-5))))))</f>
        <v/>
      </c>
      <c r="K690" s="67" t="str">
        <f>IF(A690="","",IF(COUNTIF(art_ref,A690)&gt;1,"Référence en double",IF(B690="","Désignation manquante",IF(NOT(ISNUMBER(D690)),"Prix manquant",IF(E690="","TVA manquante",IF(ISNA(MATCH(E690,p_tva,0)),"Taux de TVA inconnu",IF(AND(F690&lt;&gt;"",ISNA(MATCH(F690,sup_code,0))),"Fournisseur inconnu","OK")))))))</f>
        <v/>
      </c>
    </row>
    <row r="691">
      <c r="A691" s="63" t="n"/>
      <c r="B691" s="63" t="n"/>
      <c r="C691" s="65" t="n"/>
      <c r="D691" s="69" t="n"/>
      <c r="E691" s="71" t="n"/>
      <c r="F691" s="65" t="n"/>
      <c r="G691" s="74" t="str">
        <f>IF(A691="","",SUMIFS(po_qty,po_ref,A691,po_status,"&lt;&gt;Annulé"))</f>
        <v/>
      </c>
      <c r="H691" s="74" t="str">
        <f>IF(A691="","",SUMIFS(po_rcv,po_ref,A691,po_status,"&lt;&gt;Annulé"))</f>
        <v/>
      </c>
      <c r="I691" s="74" t="str">
        <f>IF(A691="","",SUMIFS(po_rest,po_ref,A691,po_key,"&gt;0"))</f>
        <v/>
      </c>
      <c r="J691" s="70" t="str">
        <f>IF(A691="","",IF(COUNTIFS(po_ref,A691,po_status,"&lt;&gt;Annulé")=0,"",INDEX(po_price,SUMPRODUCT(MAX((po_ref=A691)*(po_status&lt;&gt;"Annulé")*(ROW(po_ref)-5))))))</f>
        <v/>
      </c>
      <c r="K691" s="67" t="str">
        <f>IF(A691="","",IF(COUNTIF(art_ref,A691)&gt;1,"Référence en double",IF(B691="","Désignation manquante",IF(NOT(ISNUMBER(D691)),"Prix manquant",IF(E691="","TVA manquante",IF(ISNA(MATCH(E691,p_tva,0)),"Taux de TVA inconnu",IF(AND(F691&lt;&gt;"",ISNA(MATCH(F691,sup_code,0))),"Fournisseur inconnu","OK")))))))</f>
        <v/>
      </c>
    </row>
    <row r="692">
      <c r="A692" s="63" t="n"/>
      <c r="B692" s="63" t="n"/>
      <c r="C692" s="65" t="n"/>
      <c r="D692" s="69" t="n"/>
      <c r="E692" s="71" t="n"/>
      <c r="F692" s="65" t="n"/>
      <c r="G692" s="74" t="str">
        <f>IF(A692="","",SUMIFS(po_qty,po_ref,A692,po_status,"&lt;&gt;Annulé"))</f>
        <v/>
      </c>
      <c r="H692" s="74" t="str">
        <f>IF(A692="","",SUMIFS(po_rcv,po_ref,A692,po_status,"&lt;&gt;Annulé"))</f>
        <v/>
      </c>
      <c r="I692" s="74" t="str">
        <f>IF(A692="","",SUMIFS(po_rest,po_ref,A692,po_key,"&gt;0"))</f>
        <v/>
      </c>
      <c r="J692" s="70" t="str">
        <f>IF(A692="","",IF(COUNTIFS(po_ref,A692,po_status,"&lt;&gt;Annulé")=0,"",INDEX(po_price,SUMPRODUCT(MAX((po_ref=A692)*(po_status&lt;&gt;"Annulé")*(ROW(po_ref)-5))))))</f>
        <v/>
      </c>
      <c r="K692" s="67" t="str">
        <f>IF(A692="","",IF(COUNTIF(art_ref,A692)&gt;1,"Référence en double",IF(B692="","Désignation manquante",IF(NOT(ISNUMBER(D692)),"Prix manquant",IF(E692="","TVA manquante",IF(ISNA(MATCH(E692,p_tva,0)),"Taux de TVA inconnu",IF(AND(F692&lt;&gt;"",ISNA(MATCH(F692,sup_code,0))),"Fournisseur inconnu","OK")))))))</f>
        <v/>
      </c>
    </row>
    <row r="693">
      <c r="A693" s="63" t="n"/>
      <c r="B693" s="63" t="n"/>
      <c r="C693" s="65" t="n"/>
      <c r="D693" s="69" t="n"/>
      <c r="E693" s="71" t="n"/>
      <c r="F693" s="65" t="n"/>
      <c r="G693" s="74" t="str">
        <f>IF(A693="","",SUMIFS(po_qty,po_ref,A693,po_status,"&lt;&gt;Annulé"))</f>
        <v/>
      </c>
      <c r="H693" s="74" t="str">
        <f>IF(A693="","",SUMIFS(po_rcv,po_ref,A693,po_status,"&lt;&gt;Annulé"))</f>
        <v/>
      </c>
      <c r="I693" s="74" t="str">
        <f>IF(A693="","",SUMIFS(po_rest,po_ref,A693,po_key,"&gt;0"))</f>
        <v/>
      </c>
      <c r="J693" s="70" t="str">
        <f>IF(A693="","",IF(COUNTIFS(po_ref,A693,po_status,"&lt;&gt;Annulé")=0,"",INDEX(po_price,SUMPRODUCT(MAX((po_ref=A693)*(po_status&lt;&gt;"Annulé")*(ROW(po_ref)-5))))))</f>
        <v/>
      </c>
      <c r="K693" s="67" t="str">
        <f>IF(A693="","",IF(COUNTIF(art_ref,A693)&gt;1,"Référence en double",IF(B693="","Désignation manquante",IF(NOT(ISNUMBER(D693)),"Prix manquant",IF(E693="","TVA manquante",IF(ISNA(MATCH(E693,p_tva,0)),"Taux de TVA inconnu",IF(AND(F693&lt;&gt;"",ISNA(MATCH(F693,sup_code,0))),"Fournisseur inconnu","OK")))))))</f>
        <v/>
      </c>
    </row>
    <row r="694">
      <c r="A694" s="63" t="n"/>
      <c r="B694" s="63" t="n"/>
      <c r="C694" s="65" t="n"/>
      <c r="D694" s="69" t="n"/>
      <c r="E694" s="71" t="n"/>
      <c r="F694" s="65" t="n"/>
      <c r="G694" s="74" t="str">
        <f>IF(A694="","",SUMIFS(po_qty,po_ref,A694,po_status,"&lt;&gt;Annulé"))</f>
        <v/>
      </c>
      <c r="H694" s="74" t="str">
        <f>IF(A694="","",SUMIFS(po_rcv,po_ref,A694,po_status,"&lt;&gt;Annulé"))</f>
        <v/>
      </c>
      <c r="I694" s="74" t="str">
        <f>IF(A694="","",SUMIFS(po_rest,po_ref,A694,po_key,"&gt;0"))</f>
        <v/>
      </c>
      <c r="J694" s="70" t="str">
        <f>IF(A694="","",IF(COUNTIFS(po_ref,A694,po_status,"&lt;&gt;Annulé")=0,"",INDEX(po_price,SUMPRODUCT(MAX((po_ref=A694)*(po_status&lt;&gt;"Annulé")*(ROW(po_ref)-5))))))</f>
        <v/>
      </c>
      <c r="K694" s="67" t="str">
        <f>IF(A694="","",IF(COUNTIF(art_ref,A694)&gt;1,"Référence en double",IF(B694="","Désignation manquante",IF(NOT(ISNUMBER(D694)),"Prix manquant",IF(E694="","TVA manquante",IF(ISNA(MATCH(E694,p_tva,0)),"Taux de TVA inconnu",IF(AND(F694&lt;&gt;"",ISNA(MATCH(F694,sup_code,0))),"Fournisseur inconnu","OK")))))))</f>
        <v/>
      </c>
    </row>
    <row r="695">
      <c r="A695" s="63" t="n"/>
      <c r="B695" s="63" t="n"/>
      <c r="C695" s="65" t="n"/>
      <c r="D695" s="69" t="n"/>
      <c r="E695" s="71" t="n"/>
      <c r="F695" s="65" t="n"/>
      <c r="G695" s="74" t="str">
        <f>IF(A695="","",SUMIFS(po_qty,po_ref,A695,po_status,"&lt;&gt;Annulé"))</f>
        <v/>
      </c>
      <c r="H695" s="74" t="str">
        <f>IF(A695="","",SUMIFS(po_rcv,po_ref,A695,po_status,"&lt;&gt;Annulé"))</f>
        <v/>
      </c>
      <c r="I695" s="74" t="str">
        <f>IF(A695="","",SUMIFS(po_rest,po_ref,A695,po_key,"&gt;0"))</f>
        <v/>
      </c>
      <c r="J695" s="70" t="str">
        <f>IF(A695="","",IF(COUNTIFS(po_ref,A695,po_status,"&lt;&gt;Annulé")=0,"",INDEX(po_price,SUMPRODUCT(MAX((po_ref=A695)*(po_status&lt;&gt;"Annulé")*(ROW(po_ref)-5))))))</f>
        <v/>
      </c>
      <c r="K695" s="67" t="str">
        <f>IF(A695="","",IF(COUNTIF(art_ref,A695)&gt;1,"Référence en double",IF(B695="","Désignation manquante",IF(NOT(ISNUMBER(D695)),"Prix manquant",IF(E695="","TVA manquante",IF(ISNA(MATCH(E695,p_tva,0)),"Taux de TVA inconnu",IF(AND(F695&lt;&gt;"",ISNA(MATCH(F695,sup_code,0))),"Fournisseur inconnu","OK")))))))</f>
        <v/>
      </c>
    </row>
    <row r="696">
      <c r="A696" s="63" t="n"/>
      <c r="B696" s="63" t="n"/>
      <c r="C696" s="65" t="n"/>
      <c r="D696" s="69" t="n"/>
      <c r="E696" s="71" t="n"/>
      <c r="F696" s="65" t="n"/>
      <c r="G696" s="74" t="str">
        <f>IF(A696="","",SUMIFS(po_qty,po_ref,A696,po_status,"&lt;&gt;Annulé"))</f>
        <v/>
      </c>
      <c r="H696" s="74" t="str">
        <f>IF(A696="","",SUMIFS(po_rcv,po_ref,A696,po_status,"&lt;&gt;Annulé"))</f>
        <v/>
      </c>
      <c r="I696" s="74" t="str">
        <f>IF(A696="","",SUMIFS(po_rest,po_ref,A696,po_key,"&gt;0"))</f>
        <v/>
      </c>
      <c r="J696" s="70" t="str">
        <f>IF(A696="","",IF(COUNTIFS(po_ref,A696,po_status,"&lt;&gt;Annulé")=0,"",INDEX(po_price,SUMPRODUCT(MAX((po_ref=A696)*(po_status&lt;&gt;"Annulé")*(ROW(po_ref)-5))))))</f>
        <v/>
      </c>
      <c r="K696" s="67" t="str">
        <f>IF(A696="","",IF(COUNTIF(art_ref,A696)&gt;1,"Référence en double",IF(B696="","Désignation manquante",IF(NOT(ISNUMBER(D696)),"Prix manquant",IF(E696="","TVA manquante",IF(ISNA(MATCH(E696,p_tva,0)),"Taux de TVA inconnu",IF(AND(F696&lt;&gt;"",ISNA(MATCH(F696,sup_code,0))),"Fournisseur inconnu","OK")))))))</f>
        <v/>
      </c>
    </row>
    <row r="697">
      <c r="A697" s="63" t="n"/>
      <c r="B697" s="63" t="n"/>
      <c r="C697" s="65" t="n"/>
      <c r="D697" s="69" t="n"/>
      <c r="E697" s="71" t="n"/>
      <c r="F697" s="65" t="n"/>
      <c r="G697" s="74" t="str">
        <f>IF(A697="","",SUMIFS(po_qty,po_ref,A697,po_status,"&lt;&gt;Annulé"))</f>
        <v/>
      </c>
      <c r="H697" s="74" t="str">
        <f>IF(A697="","",SUMIFS(po_rcv,po_ref,A697,po_status,"&lt;&gt;Annulé"))</f>
        <v/>
      </c>
      <c r="I697" s="74" t="str">
        <f>IF(A697="","",SUMIFS(po_rest,po_ref,A697,po_key,"&gt;0"))</f>
        <v/>
      </c>
      <c r="J697" s="70" t="str">
        <f>IF(A697="","",IF(COUNTIFS(po_ref,A697,po_status,"&lt;&gt;Annulé")=0,"",INDEX(po_price,SUMPRODUCT(MAX((po_ref=A697)*(po_status&lt;&gt;"Annulé")*(ROW(po_ref)-5))))))</f>
        <v/>
      </c>
      <c r="K697" s="67" t="str">
        <f>IF(A697="","",IF(COUNTIF(art_ref,A697)&gt;1,"Référence en double",IF(B697="","Désignation manquante",IF(NOT(ISNUMBER(D697)),"Prix manquant",IF(E697="","TVA manquante",IF(ISNA(MATCH(E697,p_tva,0)),"Taux de TVA inconnu",IF(AND(F697&lt;&gt;"",ISNA(MATCH(F697,sup_code,0))),"Fournisseur inconnu","OK")))))))</f>
        <v/>
      </c>
    </row>
    <row r="698">
      <c r="A698" s="63" t="n"/>
      <c r="B698" s="63" t="n"/>
      <c r="C698" s="65" t="n"/>
      <c r="D698" s="69" t="n"/>
      <c r="E698" s="71" t="n"/>
      <c r="F698" s="65" t="n"/>
      <c r="G698" s="74" t="str">
        <f>IF(A698="","",SUMIFS(po_qty,po_ref,A698,po_status,"&lt;&gt;Annulé"))</f>
        <v/>
      </c>
      <c r="H698" s="74" t="str">
        <f>IF(A698="","",SUMIFS(po_rcv,po_ref,A698,po_status,"&lt;&gt;Annulé"))</f>
        <v/>
      </c>
      <c r="I698" s="74" t="str">
        <f>IF(A698="","",SUMIFS(po_rest,po_ref,A698,po_key,"&gt;0"))</f>
        <v/>
      </c>
      <c r="J698" s="70" t="str">
        <f>IF(A698="","",IF(COUNTIFS(po_ref,A698,po_status,"&lt;&gt;Annulé")=0,"",INDEX(po_price,SUMPRODUCT(MAX((po_ref=A698)*(po_status&lt;&gt;"Annulé")*(ROW(po_ref)-5))))))</f>
        <v/>
      </c>
      <c r="K698" s="67" t="str">
        <f>IF(A698="","",IF(COUNTIF(art_ref,A698)&gt;1,"Référence en double",IF(B698="","Désignation manquante",IF(NOT(ISNUMBER(D698)),"Prix manquant",IF(E698="","TVA manquante",IF(ISNA(MATCH(E698,p_tva,0)),"Taux de TVA inconnu",IF(AND(F698&lt;&gt;"",ISNA(MATCH(F698,sup_code,0))),"Fournisseur inconnu","OK")))))))</f>
        <v/>
      </c>
    </row>
    <row r="699">
      <c r="A699" s="63" t="n"/>
      <c r="B699" s="63" t="n"/>
      <c r="C699" s="65" t="n"/>
      <c r="D699" s="69" t="n"/>
      <c r="E699" s="71" t="n"/>
      <c r="F699" s="65" t="n"/>
      <c r="G699" s="74" t="str">
        <f>IF(A699="","",SUMIFS(po_qty,po_ref,A699,po_status,"&lt;&gt;Annulé"))</f>
        <v/>
      </c>
      <c r="H699" s="74" t="str">
        <f>IF(A699="","",SUMIFS(po_rcv,po_ref,A699,po_status,"&lt;&gt;Annulé"))</f>
        <v/>
      </c>
      <c r="I699" s="74" t="str">
        <f>IF(A699="","",SUMIFS(po_rest,po_ref,A699,po_key,"&gt;0"))</f>
        <v/>
      </c>
      <c r="J699" s="70" t="str">
        <f>IF(A699="","",IF(COUNTIFS(po_ref,A699,po_status,"&lt;&gt;Annulé")=0,"",INDEX(po_price,SUMPRODUCT(MAX((po_ref=A699)*(po_status&lt;&gt;"Annulé")*(ROW(po_ref)-5))))))</f>
        <v/>
      </c>
      <c r="K699" s="67" t="str">
        <f>IF(A699="","",IF(COUNTIF(art_ref,A699)&gt;1,"Référence en double",IF(B699="","Désignation manquante",IF(NOT(ISNUMBER(D699)),"Prix manquant",IF(E699="","TVA manquante",IF(ISNA(MATCH(E699,p_tva,0)),"Taux de TVA inconnu",IF(AND(F699&lt;&gt;"",ISNA(MATCH(F699,sup_code,0))),"Fournisseur inconnu","OK")))))))</f>
        <v/>
      </c>
    </row>
    <row r="700">
      <c r="A700" s="63" t="n"/>
      <c r="B700" s="63" t="n"/>
      <c r="C700" s="65" t="n"/>
      <c r="D700" s="69" t="n"/>
      <c r="E700" s="71" t="n"/>
      <c r="F700" s="65" t="n"/>
      <c r="G700" s="74" t="str">
        <f>IF(A700="","",SUMIFS(po_qty,po_ref,A700,po_status,"&lt;&gt;Annulé"))</f>
        <v/>
      </c>
      <c r="H700" s="74" t="str">
        <f>IF(A700="","",SUMIFS(po_rcv,po_ref,A700,po_status,"&lt;&gt;Annulé"))</f>
        <v/>
      </c>
      <c r="I700" s="74" t="str">
        <f>IF(A700="","",SUMIFS(po_rest,po_ref,A700,po_key,"&gt;0"))</f>
        <v/>
      </c>
      <c r="J700" s="70" t="str">
        <f>IF(A700="","",IF(COUNTIFS(po_ref,A700,po_status,"&lt;&gt;Annulé")=0,"",INDEX(po_price,SUMPRODUCT(MAX((po_ref=A700)*(po_status&lt;&gt;"Annulé")*(ROW(po_ref)-5))))))</f>
        <v/>
      </c>
      <c r="K700" s="67" t="str">
        <f>IF(A700="","",IF(COUNTIF(art_ref,A700)&gt;1,"Référence en double",IF(B700="","Désignation manquante",IF(NOT(ISNUMBER(D700)),"Prix manquant",IF(E700="","TVA manquante",IF(ISNA(MATCH(E700,p_tva,0)),"Taux de TVA inconnu",IF(AND(F700&lt;&gt;"",ISNA(MATCH(F700,sup_code,0))),"Fournisseur inconnu","OK")))))))</f>
        <v/>
      </c>
    </row>
    <row r="701">
      <c r="A701" s="63" t="n"/>
      <c r="B701" s="63" t="n"/>
      <c r="C701" s="65" t="n"/>
      <c r="D701" s="69" t="n"/>
      <c r="E701" s="71" t="n"/>
      <c r="F701" s="65" t="n"/>
      <c r="G701" s="74" t="str">
        <f>IF(A701="","",SUMIFS(po_qty,po_ref,A701,po_status,"&lt;&gt;Annulé"))</f>
        <v/>
      </c>
      <c r="H701" s="74" t="str">
        <f>IF(A701="","",SUMIFS(po_rcv,po_ref,A701,po_status,"&lt;&gt;Annulé"))</f>
        <v/>
      </c>
      <c r="I701" s="74" t="str">
        <f>IF(A701="","",SUMIFS(po_rest,po_ref,A701,po_key,"&gt;0"))</f>
        <v/>
      </c>
      <c r="J701" s="70" t="str">
        <f>IF(A701="","",IF(COUNTIFS(po_ref,A701,po_status,"&lt;&gt;Annulé")=0,"",INDEX(po_price,SUMPRODUCT(MAX((po_ref=A701)*(po_status&lt;&gt;"Annulé")*(ROW(po_ref)-5))))))</f>
        <v/>
      </c>
      <c r="K701" s="67" t="str">
        <f>IF(A701="","",IF(COUNTIF(art_ref,A701)&gt;1,"Référence en double",IF(B701="","Désignation manquante",IF(NOT(ISNUMBER(D701)),"Prix manquant",IF(E701="","TVA manquante",IF(ISNA(MATCH(E701,p_tva,0)),"Taux de TVA inconnu",IF(AND(F701&lt;&gt;"",ISNA(MATCH(F701,sup_code,0))),"Fournisseur inconnu","OK")))))))</f>
        <v/>
      </c>
    </row>
    <row r="702">
      <c r="A702" s="63" t="n"/>
      <c r="B702" s="63" t="n"/>
      <c r="C702" s="65" t="n"/>
      <c r="D702" s="69" t="n"/>
      <c r="E702" s="71" t="n"/>
      <c r="F702" s="65" t="n"/>
      <c r="G702" s="74" t="str">
        <f>IF(A702="","",SUMIFS(po_qty,po_ref,A702,po_status,"&lt;&gt;Annulé"))</f>
        <v/>
      </c>
      <c r="H702" s="74" t="str">
        <f>IF(A702="","",SUMIFS(po_rcv,po_ref,A702,po_status,"&lt;&gt;Annulé"))</f>
        <v/>
      </c>
      <c r="I702" s="74" t="str">
        <f>IF(A702="","",SUMIFS(po_rest,po_ref,A702,po_key,"&gt;0"))</f>
        <v/>
      </c>
      <c r="J702" s="70" t="str">
        <f>IF(A702="","",IF(COUNTIFS(po_ref,A702,po_status,"&lt;&gt;Annulé")=0,"",INDEX(po_price,SUMPRODUCT(MAX((po_ref=A702)*(po_status&lt;&gt;"Annulé")*(ROW(po_ref)-5))))))</f>
        <v/>
      </c>
      <c r="K702" s="67" t="str">
        <f>IF(A702="","",IF(COUNTIF(art_ref,A702)&gt;1,"Référence en double",IF(B702="","Désignation manquante",IF(NOT(ISNUMBER(D702)),"Prix manquant",IF(E702="","TVA manquante",IF(ISNA(MATCH(E702,p_tva,0)),"Taux de TVA inconnu",IF(AND(F702&lt;&gt;"",ISNA(MATCH(F702,sup_code,0))),"Fournisseur inconnu","OK")))))))</f>
        <v/>
      </c>
    </row>
    <row r="703">
      <c r="A703" s="63" t="n"/>
      <c r="B703" s="63" t="n"/>
      <c r="C703" s="65" t="n"/>
      <c r="D703" s="69" t="n"/>
      <c r="E703" s="71" t="n"/>
      <c r="F703" s="65" t="n"/>
      <c r="G703" s="74" t="str">
        <f>IF(A703="","",SUMIFS(po_qty,po_ref,A703,po_status,"&lt;&gt;Annulé"))</f>
        <v/>
      </c>
      <c r="H703" s="74" t="str">
        <f>IF(A703="","",SUMIFS(po_rcv,po_ref,A703,po_status,"&lt;&gt;Annulé"))</f>
        <v/>
      </c>
      <c r="I703" s="74" t="str">
        <f>IF(A703="","",SUMIFS(po_rest,po_ref,A703,po_key,"&gt;0"))</f>
        <v/>
      </c>
      <c r="J703" s="70" t="str">
        <f>IF(A703="","",IF(COUNTIFS(po_ref,A703,po_status,"&lt;&gt;Annulé")=0,"",INDEX(po_price,SUMPRODUCT(MAX((po_ref=A703)*(po_status&lt;&gt;"Annulé")*(ROW(po_ref)-5))))))</f>
        <v/>
      </c>
      <c r="K703" s="67" t="str">
        <f>IF(A703="","",IF(COUNTIF(art_ref,A703)&gt;1,"Référence en double",IF(B703="","Désignation manquante",IF(NOT(ISNUMBER(D703)),"Prix manquant",IF(E703="","TVA manquante",IF(ISNA(MATCH(E703,p_tva,0)),"Taux de TVA inconnu",IF(AND(F703&lt;&gt;"",ISNA(MATCH(F703,sup_code,0))),"Fournisseur inconnu","OK")))))))</f>
        <v/>
      </c>
    </row>
    <row r="704">
      <c r="A704" s="63" t="n"/>
      <c r="B704" s="63" t="n"/>
      <c r="C704" s="65" t="n"/>
      <c r="D704" s="69" t="n"/>
      <c r="E704" s="71" t="n"/>
      <c r="F704" s="65" t="n"/>
      <c r="G704" s="74" t="str">
        <f>IF(A704="","",SUMIFS(po_qty,po_ref,A704,po_status,"&lt;&gt;Annulé"))</f>
        <v/>
      </c>
      <c r="H704" s="74" t="str">
        <f>IF(A704="","",SUMIFS(po_rcv,po_ref,A704,po_status,"&lt;&gt;Annulé"))</f>
        <v/>
      </c>
      <c r="I704" s="74" t="str">
        <f>IF(A704="","",SUMIFS(po_rest,po_ref,A704,po_key,"&gt;0"))</f>
        <v/>
      </c>
      <c r="J704" s="70" t="str">
        <f>IF(A704="","",IF(COUNTIFS(po_ref,A704,po_status,"&lt;&gt;Annulé")=0,"",INDEX(po_price,SUMPRODUCT(MAX((po_ref=A704)*(po_status&lt;&gt;"Annulé")*(ROW(po_ref)-5))))))</f>
        <v/>
      </c>
      <c r="K704" s="67" t="str">
        <f>IF(A704="","",IF(COUNTIF(art_ref,A704)&gt;1,"Référence en double",IF(B704="","Désignation manquante",IF(NOT(ISNUMBER(D704)),"Prix manquant",IF(E704="","TVA manquante",IF(ISNA(MATCH(E704,p_tva,0)),"Taux de TVA inconnu",IF(AND(F704&lt;&gt;"",ISNA(MATCH(F704,sup_code,0))),"Fournisseur inconnu","OK")))))))</f>
        <v/>
      </c>
    </row>
    <row r="705">
      <c r="A705" s="63" t="n"/>
      <c r="B705" s="63" t="n"/>
      <c r="C705" s="65" t="n"/>
      <c r="D705" s="69" t="n"/>
      <c r="E705" s="71" t="n"/>
      <c r="F705" s="65" t="n"/>
      <c r="G705" s="74" t="str">
        <f>IF(A705="","",SUMIFS(po_qty,po_ref,A705,po_status,"&lt;&gt;Annulé"))</f>
        <v/>
      </c>
      <c r="H705" s="74" t="str">
        <f>IF(A705="","",SUMIFS(po_rcv,po_ref,A705,po_status,"&lt;&gt;Annulé"))</f>
        <v/>
      </c>
      <c r="I705" s="74" t="str">
        <f>IF(A705="","",SUMIFS(po_rest,po_ref,A705,po_key,"&gt;0"))</f>
        <v/>
      </c>
      <c r="J705" s="70" t="str">
        <f>IF(A705="","",IF(COUNTIFS(po_ref,A705,po_status,"&lt;&gt;Annulé")=0,"",INDEX(po_price,SUMPRODUCT(MAX((po_ref=A705)*(po_status&lt;&gt;"Annulé")*(ROW(po_ref)-5))))))</f>
        <v/>
      </c>
      <c r="K705" s="67" t="str">
        <f>IF(A705="","",IF(COUNTIF(art_ref,A705)&gt;1,"Référence en double",IF(B705="","Désignation manquante",IF(NOT(ISNUMBER(D705)),"Prix manquant",IF(E705="","TVA manquante",IF(ISNA(MATCH(E705,p_tva,0)),"Taux de TVA inconnu",IF(AND(F705&lt;&gt;"",ISNA(MATCH(F705,sup_code,0))),"Fournisseur inconnu","OK")))))))</f>
        <v/>
      </c>
    </row>
    <row r="706">
      <c r="A706" s="63" t="n"/>
      <c r="B706" s="63" t="n"/>
      <c r="C706" s="65" t="n"/>
      <c r="D706" s="69" t="n"/>
      <c r="E706" s="71" t="n"/>
      <c r="F706" s="65" t="n"/>
      <c r="G706" s="74" t="str">
        <f>IF(A706="","",SUMIFS(po_qty,po_ref,A706,po_status,"&lt;&gt;Annulé"))</f>
        <v/>
      </c>
      <c r="H706" s="74" t="str">
        <f>IF(A706="","",SUMIFS(po_rcv,po_ref,A706,po_status,"&lt;&gt;Annulé"))</f>
        <v/>
      </c>
      <c r="I706" s="74" t="str">
        <f>IF(A706="","",SUMIFS(po_rest,po_ref,A706,po_key,"&gt;0"))</f>
        <v/>
      </c>
      <c r="J706" s="70" t="str">
        <f>IF(A706="","",IF(COUNTIFS(po_ref,A706,po_status,"&lt;&gt;Annulé")=0,"",INDEX(po_price,SUMPRODUCT(MAX((po_ref=A706)*(po_status&lt;&gt;"Annulé")*(ROW(po_ref)-5))))))</f>
        <v/>
      </c>
      <c r="K706" s="67" t="str">
        <f>IF(A706="","",IF(COUNTIF(art_ref,A706)&gt;1,"Référence en double",IF(B706="","Désignation manquante",IF(NOT(ISNUMBER(D706)),"Prix manquant",IF(E706="","TVA manquante",IF(ISNA(MATCH(E706,p_tva,0)),"Taux de TVA inconnu",IF(AND(F706&lt;&gt;"",ISNA(MATCH(F706,sup_code,0))),"Fournisseur inconnu","OK")))))))</f>
        <v/>
      </c>
    </row>
    <row r="707">
      <c r="A707" s="63" t="n"/>
      <c r="B707" s="63" t="n"/>
      <c r="C707" s="65" t="n"/>
      <c r="D707" s="69" t="n"/>
      <c r="E707" s="71" t="n"/>
      <c r="F707" s="65" t="n"/>
      <c r="G707" s="74" t="str">
        <f>IF(A707="","",SUMIFS(po_qty,po_ref,A707,po_status,"&lt;&gt;Annulé"))</f>
        <v/>
      </c>
      <c r="H707" s="74" t="str">
        <f>IF(A707="","",SUMIFS(po_rcv,po_ref,A707,po_status,"&lt;&gt;Annulé"))</f>
        <v/>
      </c>
      <c r="I707" s="74" t="str">
        <f>IF(A707="","",SUMIFS(po_rest,po_ref,A707,po_key,"&gt;0"))</f>
        <v/>
      </c>
      <c r="J707" s="70" t="str">
        <f>IF(A707="","",IF(COUNTIFS(po_ref,A707,po_status,"&lt;&gt;Annulé")=0,"",INDEX(po_price,SUMPRODUCT(MAX((po_ref=A707)*(po_status&lt;&gt;"Annulé")*(ROW(po_ref)-5))))))</f>
        <v/>
      </c>
      <c r="K707" s="67" t="str">
        <f>IF(A707="","",IF(COUNTIF(art_ref,A707)&gt;1,"Référence en double",IF(B707="","Désignation manquante",IF(NOT(ISNUMBER(D707)),"Prix manquant",IF(E707="","TVA manquante",IF(ISNA(MATCH(E707,p_tva,0)),"Taux de TVA inconnu",IF(AND(F707&lt;&gt;"",ISNA(MATCH(F707,sup_code,0))),"Fournisseur inconnu","OK")))))))</f>
        <v/>
      </c>
    </row>
    <row r="708">
      <c r="A708" s="63" t="n"/>
      <c r="B708" s="63" t="n"/>
      <c r="C708" s="65" t="n"/>
      <c r="D708" s="69" t="n"/>
      <c r="E708" s="71" t="n"/>
      <c r="F708" s="65" t="n"/>
      <c r="G708" s="74" t="str">
        <f>IF(A708="","",SUMIFS(po_qty,po_ref,A708,po_status,"&lt;&gt;Annulé"))</f>
        <v/>
      </c>
      <c r="H708" s="74" t="str">
        <f>IF(A708="","",SUMIFS(po_rcv,po_ref,A708,po_status,"&lt;&gt;Annulé"))</f>
        <v/>
      </c>
      <c r="I708" s="74" t="str">
        <f>IF(A708="","",SUMIFS(po_rest,po_ref,A708,po_key,"&gt;0"))</f>
        <v/>
      </c>
      <c r="J708" s="70" t="str">
        <f>IF(A708="","",IF(COUNTIFS(po_ref,A708,po_status,"&lt;&gt;Annulé")=0,"",INDEX(po_price,SUMPRODUCT(MAX((po_ref=A708)*(po_status&lt;&gt;"Annulé")*(ROW(po_ref)-5))))))</f>
        <v/>
      </c>
      <c r="K708" s="67" t="str">
        <f>IF(A708="","",IF(COUNTIF(art_ref,A708)&gt;1,"Référence en double",IF(B708="","Désignation manquante",IF(NOT(ISNUMBER(D708)),"Prix manquant",IF(E708="","TVA manquante",IF(ISNA(MATCH(E708,p_tva,0)),"Taux de TVA inconnu",IF(AND(F708&lt;&gt;"",ISNA(MATCH(F708,sup_code,0))),"Fournisseur inconnu","OK")))))))</f>
        <v/>
      </c>
    </row>
    <row r="709">
      <c r="A709" s="63" t="n"/>
      <c r="B709" s="63" t="n"/>
      <c r="C709" s="65" t="n"/>
      <c r="D709" s="69" t="n"/>
      <c r="E709" s="71" t="n"/>
      <c r="F709" s="65" t="n"/>
      <c r="G709" s="74" t="str">
        <f>IF(A709="","",SUMIFS(po_qty,po_ref,A709,po_status,"&lt;&gt;Annulé"))</f>
        <v/>
      </c>
      <c r="H709" s="74" t="str">
        <f>IF(A709="","",SUMIFS(po_rcv,po_ref,A709,po_status,"&lt;&gt;Annulé"))</f>
        <v/>
      </c>
      <c r="I709" s="74" t="str">
        <f>IF(A709="","",SUMIFS(po_rest,po_ref,A709,po_key,"&gt;0"))</f>
        <v/>
      </c>
      <c r="J709" s="70" t="str">
        <f>IF(A709="","",IF(COUNTIFS(po_ref,A709,po_status,"&lt;&gt;Annulé")=0,"",INDEX(po_price,SUMPRODUCT(MAX((po_ref=A709)*(po_status&lt;&gt;"Annulé")*(ROW(po_ref)-5))))))</f>
        <v/>
      </c>
      <c r="K709" s="67" t="str">
        <f>IF(A709="","",IF(COUNTIF(art_ref,A709)&gt;1,"Référence en double",IF(B709="","Désignation manquante",IF(NOT(ISNUMBER(D709)),"Prix manquant",IF(E709="","TVA manquante",IF(ISNA(MATCH(E709,p_tva,0)),"Taux de TVA inconnu",IF(AND(F709&lt;&gt;"",ISNA(MATCH(F709,sup_code,0))),"Fournisseur inconnu","OK")))))))</f>
        <v/>
      </c>
    </row>
    <row r="710">
      <c r="A710" s="63" t="n"/>
      <c r="B710" s="63" t="n"/>
      <c r="C710" s="65" t="n"/>
      <c r="D710" s="69" t="n"/>
      <c r="E710" s="71" t="n"/>
      <c r="F710" s="65" t="n"/>
      <c r="G710" s="74" t="str">
        <f>IF(A710="","",SUMIFS(po_qty,po_ref,A710,po_status,"&lt;&gt;Annulé"))</f>
        <v/>
      </c>
      <c r="H710" s="74" t="str">
        <f>IF(A710="","",SUMIFS(po_rcv,po_ref,A710,po_status,"&lt;&gt;Annulé"))</f>
        <v/>
      </c>
      <c r="I710" s="74" t="str">
        <f>IF(A710="","",SUMIFS(po_rest,po_ref,A710,po_key,"&gt;0"))</f>
        <v/>
      </c>
      <c r="J710" s="70" t="str">
        <f>IF(A710="","",IF(COUNTIFS(po_ref,A710,po_status,"&lt;&gt;Annulé")=0,"",INDEX(po_price,SUMPRODUCT(MAX((po_ref=A710)*(po_status&lt;&gt;"Annulé")*(ROW(po_ref)-5))))))</f>
        <v/>
      </c>
      <c r="K710" s="67" t="str">
        <f>IF(A710="","",IF(COUNTIF(art_ref,A710)&gt;1,"Référence en double",IF(B710="","Désignation manquante",IF(NOT(ISNUMBER(D710)),"Prix manquant",IF(E710="","TVA manquante",IF(ISNA(MATCH(E710,p_tva,0)),"Taux de TVA inconnu",IF(AND(F710&lt;&gt;"",ISNA(MATCH(F710,sup_code,0))),"Fournisseur inconnu","OK")))))))</f>
        <v/>
      </c>
    </row>
    <row r="711">
      <c r="A711" s="63" t="n"/>
      <c r="B711" s="63" t="n"/>
      <c r="C711" s="65" t="n"/>
      <c r="D711" s="69" t="n"/>
      <c r="E711" s="71" t="n"/>
      <c r="F711" s="65" t="n"/>
      <c r="G711" s="74" t="str">
        <f>IF(A711="","",SUMIFS(po_qty,po_ref,A711,po_status,"&lt;&gt;Annulé"))</f>
        <v/>
      </c>
      <c r="H711" s="74" t="str">
        <f>IF(A711="","",SUMIFS(po_rcv,po_ref,A711,po_status,"&lt;&gt;Annulé"))</f>
        <v/>
      </c>
      <c r="I711" s="74" t="str">
        <f>IF(A711="","",SUMIFS(po_rest,po_ref,A711,po_key,"&gt;0"))</f>
        <v/>
      </c>
      <c r="J711" s="70" t="str">
        <f>IF(A711="","",IF(COUNTIFS(po_ref,A711,po_status,"&lt;&gt;Annulé")=0,"",INDEX(po_price,SUMPRODUCT(MAX((po_ref=A711)*(po_status&lt;&gt;"Annulé")*(ROW(po_ref)-5))))))</f>
        <v/>
      </c>
      <c r="K711" s="67" t="str">
        <f>IF(A711="","",IF(COUNTIF(art_ref,A711)&gt;1,"Référence en double",IF(B711="","Désignation manquante",IF(NOT(ISNUMBER(D711)),"Prix manquant",IF(E711="","TVA manquante",IF(ISNA(MATCH(E711,p_tva,0)),"Taux de TVA inconnu",IF(AND(F711&lt;&gt;"",ISNA(MATCH(F711,sup_code,0))),"Fournisseur inconnu","OK")))))))</f>
        <v/>
      </c>
    </row>
    <row r="712">
      <c r="A712" s="63" t="n"/>
      <c r="B712" s="63" t="n"/>
      <c r="C712" s="65" t="n"/>
      <c r="D712" s="69" t="n"/>
      <c r="E712" s="71" t="n"/>
      <c r="F712" s="65" t="n"/>
      <c r="G712" s="74" t="str">
        <f>IF(A712="","",SUMIFS(po_qty,po_ref,A712,po_status,"&lt;&gt;Annulé"))</f>
        <v/>
      </c>
      <c r="H712" s="74" t="str">
        <f>IF(A712="","",SUMIFS(po_rcv,po_ref,A712,po_status,"&lt;&gt;Annulé"))</f>
        <v/>
      </c>
      <c r="I712" s="74" t="str">
        <f>IF(A712="","",SUMIFS(po_rest,po_ref,A712,po_key,"&gt;0"))</f>
        <v/>
      </c>
      <c r="J712" s="70" t="str">
        <f>IF(A712="","",IF(COUNTIFS(po_ref,A712,po_status,"&lt;&gt;Annulé")=0,"",INDEX(po_price,SUMPRODUCT(MAX((po_ref=A712)*(po_status&lt;&gt;"Annulé")*(ROW(po_ref)-5))))))</f>
        <v/>
      </c>
      <c r="K712" s="67" t="str">
        <f>IF(A712="","",IF(COUNTIF(art_ref,A712)&gt;1,"Référence en double",IF(B712="","Désignation manquante",IF(NOT(ISNUMBER(D712)),"Prix manquant",IF(E712="","TVA manquante",IF(ISNA(MATCH(E712,p_tva,0)),"Taux de TVA inconnu",IF(AND(F712&lt;&gt;"",ISNA(MATCH(F712,sup_code,0))),"Fournisseur inconnu","OK")))))))</f>
        <v/>
      </c>
    </row>
    <row r="713">
      <c r="A713" s="63" t="n"/>
      <c r="B713" s="63" t="n"/>
      <c r="C713" s="65" t="n"/>
      <c r="D713" s="69" t="n"/>
      <c r="E713" s="71" t="n"/>
      <c r="F713" s="65" t="n"/>
      <c r="G713" s="74" t="str">
        <f>IF(A713="","",SUMIFS(po_qty,po_ref,A713,po_status,"&lt;&gt;Annulé"))</f>
        <v/>
      </c>
      <c r="H713" s="74" t="str">
        <f>IF(A713="","",SUMIFS(po_rcv,po_ref,A713,po_status,"&lt;&gt;Annulé"))</f>
        <v/>
      </c>
      <c r="I713" s="74" t="str">
        <f>IF(A713="","",SUMIFS(po_rest,po_ref,A713,po_key,"&gt;0"))</f>
        <v/>
      </c>
      <c r="J713" s="70" t="str">
        <f>IF(A713="","",IF(COUNTIFS(po_ref,A713,po_status,"&lt;&gt;Annulé")=0,"",INDEX(po_price,SUMPRODUCT(MAX((po_ref=A713)*(po_status&lt;&gt;"Annulé")*(ROW(po_ref)-5))))))</f>
        <v/>
      </c>
      <c r="K713" s="67" t="str">
        <f>IF(A713="","",IF(COUNTIF(art_ref,A713)&gt;1,"Référence en double",IF(B713="","Désignation manquante",IF(NOT(ISNUMBER(D713)),"Prix manquant",IF(E713="","TVA manquante",IF(ISNA(MATCH(E713,p_tva,0)),"Taux de TVA inconnu",IF(AND(F713&lt;&gt;"",ISNA(MATCH(F713,sup_code,0))),"Fournisseur inconnu","OK")))))))</f>
        <v/>
      </c>
    </row>
    <row r="714">
      <c r="A714" s="63" t="n"/>
      <c r="B714" s="63" t="n"/>
      <c r="C714" s="65" t="n"/>
      <c r="D714" s="69" t="n"/>
      <c r="E714" s="71" t="n"/>
      <c r="F714" s="65" t="n"/>
      <c r="G714" s="74" t="str">
        <f>IF(A714="","",SUMIFS(po_qty,po_ref,A714,po_status,"&lt;&gt;Annulé"))</f>
        <v/>
      </c>
      <c r="H714" s="74" t="str">
        <f>IF(A714="","",SUMIFS(po_rcv,po_ref,A714,po_status,"&lt;&gt;Annulé"))</f>
        <v/>
      </c>
      <c r="I714" s="74" t="str">
        <f>IF(A714="","",SUMIFS(po_rest,po_ref,A714,po_key,"&gt;0"))</f>
        <v/>
      </c>
      <c r="J714" s="70" t="str">
        <f>IF(A714="","",IF(COUNTIFS(po_ref,A714,po_status,"&lt;&gt;Annulé")=0,"",INDEX(po_price,SUMPRODUCT(MAX((po_ref=A714)*(po_status&lt;&gt;"Annulé")*(ROW(po_ref)-5))))))</f>
        <v/>
      </c>
      <c r="K714" s="67" t="str">
        <f>IF(A714="","",IF(COUNTIF(art_ref,A714)&gt;1,"Référence en double",IF(B714="","Désignation manquante",IF(NOT(ISNUMBER(D714)),"Prix manquant",IF(E714="","TVA manquante",IF(ISNA(MATCH(E714,p_tva,0)),"Taux de TVA inconnu",IF(AND(F714&lt;&gt;"",ISNA(MATCH(F714,sup_code,0))),"Fournisseur inconnu","OK")))))))</f>
        <v/>
      </c>
    </row>
    <row r="715">
      <c r="A715" s="63" t="n"/>
      <c r="B715" s="63" t="n"/>
      <c r="C715" s="65" t="n"/>
      <c r="D715" s="69" t="n"/>
      <c r="E715" s="71" t="n"/>
      <c r="F715" s="65" t="n"/>
      <c r="G715" s="74" t="str">
        <f>IF(A715="","",SUMIFS(po_qty,po_ref,A715,po_status,"&lt;&gt;Annulé"))</f>
        <v/>
      </c>
      <c r="H715" s="74" t="str">
        <f>IF(A715="","",SUMIFS(po_rcv,po_ref,A715,po_status,"&lt;&gt;Annulé"))</f>
        <v/>
      </c>
      <c r="I715" s="74" t="str">
        <f>IF(A715="","",SUMIFS(po_rest,po_ref,A715,po_key,"&gt;0"))</f>
        <v/>
      </c>
      <c r="J715" s="70" t="str">
        <f>IF(A715="","",IF(COUNTIFS(po_ref,A715,po_status,"&lt;&gt;Annulé")=0,"",INDEX(po_price,SUMPRODUCT(MAX((po_ref=A715)*(po_status&lt;&gt;"Annulé")*(ROW(po_ref)-5))))))</f>
        <v/>
      </c>
      <c r="K715" s="67" t="str">
        <f>IF(A715="","",IF(COUNTIF(art_ref,A715)&gt;1,"Référence en double",IF(B715="","Désignation manquante",IF(NOT(ISNUMBER(D715)),"Prix manquant",IF(E715="","TVA manquante",IF(ISNA(MATCH(E715,p_tva,0)),"Taux de TVA inconnu",IF(AND(F715&lt;&gt;"",ISNA(MATCH(F715,sup_code,0))),"Fournisseur inconnu","OK")))))))</f>
        <v/>
      </c>
    </row>
    <row r="716">
      <c r="A716" s="63" t="n"/>
      <c r="B716" s="63" t="n"/>
      <c r="C716" s="65" t="n"/>
      <c r="D716" s="69" t="n"/>
      <c r="E716" s="71" t="n"/>
      <c r="F716" s="65" t="n"/>
      <c r="G716" s="74" t="str">
        <f>IF(A716="","",SUMIFS(po_qty,po_ref,A716,po_status,"&lt;&gt;Annulé"))</f>
        <v/>
      </c>
      <c r="H716" s="74" t="str">
        <f>IF(A716="","",SUMIFS(po_rcv,po_ref,A716,po_status,"&lt;&gt;Annulé"))</f>
        <v/>
      </c>
      <c r="I716" s="74" t="str">
        <f>IF(A716="","",SUMIFS(po_rest,po_ref,A716,po_key,"&gt;0"))</f>
        <v/>
      </c>
      <c r="J716" s="70" t="str">
        <f>IF(A716="","",IF(COUNTIFS(po_ref,A716,po_status,"&lt;&gt;Annulé")=0,"",INDEX(po_price,SUMPRODUCT(MAX((po_ref=A716)*(po_status&lt;&gt;"Annulé")*(ROW(po_ref)-5))))))</f>
        <v/>
      </c>
      <c r="K716" s="67" t="str">
        <f>IF(A716="","",IF(COUNTIF(art_ref,A716)&gt;1,"Référence en double",IF(B716="","Désignation manquante",IF(NOT(ISNUMBER(D716)),"Prix manquant",IF(E716="","TVA manquante",IF(ISNA(MATCH(E716,p_tva,0)),"Taux de TVA inconnu",IF(AND(F716&lt;&gt;"",ISNA(MATCH(F716,sup_code,0))),"Fournisseur inconnu","OK")))))))</f>
        <v/>
      </c>
    </row>
    <row r="717">
      <c r="A717" s="63" t="n"/>
      <c r="B717" s="63" t="n"/>
      <c r="C717" s="65" t="n"/>
      <c r="D717" s="69" t="n"/>
      <c r="E717" s="71" t="n"/>
      <c r="F717" s="65" t="n"/>
      <c r="G717" s="74" t="str">
        <f>IF(A717="","",SUMIFS(po_qty,po_ref,A717,po_status,"&lt;&gt;Annulé"))</f>
        <v/>
      </c>
      <c r="H717" s="74" t="str">
        <f>IF(A717="","",SUMIFS(po_rcv,po_ref,A717,po_status,"&lt;&gt;Annulé"))</f>
        <v/>
      </c>
      <c r="I717" s="74" t="str">
        <f>IF(A717="","",SUMIFS(po_rest,po_ref,A717,po_key,"&gt;0"))</f>
        <v/>
      </c>
      <c r="J717" s="70" t="str">
        <f>IF(A717="","",IF(COUNTIFS(po_ref,A717,po_status,"&lt;&gt;Annulé")=0,"",INDEX(po_price,SUMPRODUCT(MAX((po_ref=A717)*(po_status&lt;&gt;"Annulé")*(ROW(po_ref)-5))))))</f>
        <v/>
      </c>
      <c r="K717" s="67" t="str">
        <f>IF(A717="","",IF(COUNTIF(art_ref,A717)&gt;1,"Référence en double",IF(B717="","Désignation manquante",IF(NOT(ISNUMBER(D717)),"Prix manquant",IF(E717="","TVA manquante",IF(ISNA(MATCH(E717,p_tva,0)),"Taux de TVA inconnu",IF(AND(F717&lt;&gt;"",ISNA(MATCH(F717,sup_code,0))),"Fournisseur inconnu","OK")))))))</f>
        <v/>
      </c>
    </row>
    <row r="718">
      <c r="A718" s="63" t="n"/>
      <c r="B718" s="63" t="n"/>
      <c r="C718" s="65" t="n"/>
      <c r="D718" s="69" t="n"/>
      <c r="E718" s="71" t="n"/>
      <c r="F718" s="65" t="n"/>
      <c r="G718" s="74" t="str">
        <f>IF(A718="","",SUMIFS(po_qty,po_ref,A718,po_status,"&lt;&gt;Annulé"))</f>
        <v/>
      </c>
      <c r="H718" s="74" t="str">
        <f>IF(A718="","",SUMIFS(po_rcv,po_ref,A718,po_status,"&lt;&gt;Annulé"))</f>
        <v/>
      </c>
      <c r="I718" s="74" t="str">
        <f>IF(A718="","",SUMIFS(po_rest,po_ref,A718,po_key,"&gt;0"))</f>
        <v/>
      </c>
      <c r="J718" s="70" t="str">
        <f>IF(A718="","",IF(COUNTIFS(po_ref,A718,po_status,"&lt;&gt;Annulé")=0,"",INDEX(po_price,SUMPRODUCT(MAX((po_ref=A718)*(po_status&lt;&gt;"Annulé")*(ROW(po_ref)-5))))))</f>
        <v/>
      </c>
      <c r="K718" s="67" t="str">
        <f>IF(A718="","",IF(COUNTIF(art_ref,A718)&gt;1,"Référence en double",IF(B718="","Désignation manquante",IF(NOT(ISNUMBER(D718)),"Prix manquant",IF(E718="","TVA manquante",IF(ISNA(MATCH(E718,p_tva,0)),"Taux de TVA inconnu",IF(AND(F718&lt;&gt;"",ISNA(MATCH(F718,sup_code,0))),"Fournisseur inconnu","OK")))))))</f>
        <v/>
      </c>
    </row>
    <row r="719">
      <c r="A719" s="63" t="n"/>
      <c r="B719" s="63" t="n"/>
      <c r="C719" s="65" t="n"/>
      <c r="D719" s="69" t="n"/>
      <c r="E719" s="71" t="n"/>
      <c r="F719" s="65" t="n"/>
      <c r="G719" s="74" t="str">
        <f>IF(A719="","",SUMIFS(po_qty,po_ref,A719,po_status,"&lt;&gt;Annulé"))</f>
        <v/>
      </c>
      <c r="H719" s="74" t="str">
        <f>IF(A719="","",SUMIFS(po_rcv,po_ref,A719,po_status,"&lt;&gt;Annulé"))</f>
        <v/>
      </c>
      <c r="I719" s="74" t="str">
        <f>IF(A719="","",SUMIFS(po_rest,po_ref,A719,po_key,"&gt;0"))</f>
        <v/>
      </c>
      <c r="J719" s="70" t="str">
        <f>IF(A719="","",IF(COUNTIFS(po_ref,A719,po_status,"&lt;&gt;Annulé")=0,"",INDEX(po_price,SUMPRODUCT(MAX((po_ref=A719)*(po_status&lt;&gt;"Annulé")*(ROW(po_ref)-5))))))</f>
        <v/>
      </c>
      <c r="K719" s="67" t="str">
        <f>IF(A719="","",IF(COUNTIF(art_ref,A719)&gt;1,"Référence en double",IF(B719="","Désignation manquante",IF(NOT(ISNUMBER(D719)),"Prix manquant",IF(E719="","TVA manquante",IF(ISNA(MATCH(E719,p_tva,0)),"Taux de TVA inconnu",IF(AND(F719&lt;&gt;"",ISNA(MATCH(F719,sup_code,0))),"Fournisseur inconnu","OK")))))))</f>
        <v/>
      </c>
    </row>
    <row r="720">
      <c r="A720" s="63" t="n"/>
      <c r="B720" s="63" t="n"/>
      <c r="C720" s="65" t="n"/>
      <c r="D720" s="69" t="n"/>
      <c r="E720" s="71" t="n"/>
      <c r="F720" s="65" t="n"/>
      <c r="G720" s="74" t="str">
        <f>IF(A720="","",SUMIFS(po_qty,po_ref,A720,po_status,"&lt;&gt;Annulé"))</f>
        <v/>
      </c>
      <c r="H720" s="74" t="str">
        <f>IF(A720="","",SUMIFS(po_rcv,po_ref,A720,po_status,"&lt;&gt;Annulé"))</f>
        <v/>
      </c>
      <c r="I720" s="74" t="str">
        <f>IF(A720="","",SUMIFS(po_rest,po_ref,A720,po_key,"&gt;0"))</f>
        <v/>
      </c>
      <c r="J720" s="70" t="str">
        <f>IF(A720="","",IF(COUNTIFS(po_ref,A720,po_status,"&lt;&gt;Annulé")=0,"",INDEX(po_price,SUMPRODUCT(MAX((po_ref=A720)*(po_status&lt;&gt;"Annulé")*(ROW(po_ref)-5))))))</f>
        <v/>
      </c>
      <c r="K720" s="67" t="str">
        <f>IF(A720="","",IF(COUNTIF(art_ref,A720)&gt;1,"Référence en double",IF(B720="","Désignation manquante",IF(NOT(ISNUMBER(D720)),"Prix manquant",IF(E720="","TVA manquante",IF(ISNA(MATCH(E720,p_tva,0)),"Taux de TVA inconnu",IF(AND(F720&lt;&gt;"",ISNA(MATCH(F720,sup_code,0))),"Fournisseur inconnu","OK")))))))</f>
        <v/>
      </c>
    </row>
    <row r="721">
      <c r="A721" s="63" t="n"/>
      <c r="B721" s="63" t="n"/>
      <c r="C721" s="65" t="n"/>
      <c r="D721" s="69" t="n"/>
      <c r="E721" s="71" t="n"/>
      <c r="F721" s="65" t="n"/>
      <c r="G721" s="74" t="str">
        <f>IF(A721="","",SUMIFS(po_qty,po_ref,A721,po_status,"&lt;&gt;Annulé"))</f>
        <v/>
      </c>
      <c r="H721" s="74" t="str">
        <f>IF(A721="","",SUMIFS(po_rcv,po_ref,A721,po_status,"&lt;&gt;Annulé"))</f>
        <v/>
      </c>
      <c r="I721" s="74" t="str">
        <f>IF(A721="","",SUMIFS(po_rest,po_ref,A721,po_key,"&gt;0"))</f>
        <v/>
      </c>
      <c r="J721" s="70" t="str">
        <f>IF(A721="","",IF(COUNTIFS(po_ref,A721,po_status,"&lt;&gt;Annulé")=0,"",INDEX(po_price,SUMPRODUCT(MAX((po_ref=A721)*(po_status&lt;&gt;"Annulé")*(ROW(po_ref)-5))))))</f>
        <v/>
      </c>
      <c r="K721" s="67" t="str">
        <f>IF(A721="","",IF(COUNTIF(art_ref,A721)&gt;1,"Référence en double",IF(B721="","Désignation manquante",IF(NOT(ISNUMBER(D721)),"Prix manquant",IF(E721="","TVA manquante",IF(ISNA(MATCH(E721,p_tva,0)),"Taux de TVA inconnu",IF(AND(F721&lt;&gt;"",ISNA(MATCH(F721,sup_code,0))),"Fournisseur inconnu","OK")))))))</f>
        <v/>
      </c>
    </row>
    <row r="722">
      <c r="A722" s="63" t="n"/>
      <c r="B722" s="63" t="n"/>
      <c r="C722" s="65" t="n"/>
      <c r="D722" s="69" t="n"/>
      <c r="E722" s="71" t="n"/>
      <c r="F722" s="65" t="n"/>
      <c r="G722" s="74" t="str">
        <f>IF(A722="","",SUMIFS(po_qty,po_ref,A722,po_status,"&lt;&gt;Annulé"))</f>
        <v/>
      </c>
      <c r="H722" s="74" t="str">
        <f>IF(A722="","",SUMIFS(po_rcv,po_ref,A722,po_status,"&lt;&gt;Annulé"))</f>
        <v/>
      </c>
      <c r="I722" s="74" t="str">
        <f>IF(A722="","",SUMIFS(po_rest,po_ref,A722,po_key,"&gt;0"))</f>
        <v/>
      </c>
      <c r="J722" s="70" t="str">
        <f>IF(A722="","",IF(COUNTIFS(po_ref,A722,po_status,"&lt;&gt;Annulé")=0,"",INDEX(po_price,SUMPRODUCT(MAX((po_ref=A722)*(po_status&lt;&gt;"Annulé")*(ROW(po_ref)-5))))))</f>
        <v/>
      </c>
      <c r="K722" s="67" t="str">
        <f>IF(A722="","",IF(COUNTIF(art_ref,A722)&gt;1,"Référence en double",IF(B722="","Désignation manquante",IF(NOT(ISNUMBER(D722)),"Prix manquant",IF(E722="","TVA manquante",IF(ISNA(MATCH(E722,p_tva,0)),"Taux de TVA inconnu",IF(AND(F722&lt;&gt;"",ISNA(MATCH(F722,sup_code,0))),"Fournisseur inconnu","OK")))))))</f>
        <v/>
      </c>
    </row>
    <row r="723">
      <c r="A723" s="63" t="n"/>
      <c r="B723" s="63" t="n"/>
      <c r="C723" s="65" t="n"/>
      <c r="D723" s="69" t="n"/>
      <c r="E723" s="71" t="n"/>
      <c r="F723" s="65" t="n"/>
      <c r="G723" s="74" t="str">
        <f>IF(A723="","",SUMIFS(po_qty,po_ref,A723,po_status,"&lt;&gt;Annulé"))</f>
        <v/>
      </c>
      <c r="H723" s="74" t="str">
        <f>IF(A723="","",SUMIFS(po_rcv,po_ref,A723,po_status,"&lt;&gt;Annulé"))</f>
        <v/>
      </c>
      <c r="I723" s="74" t="str">
        <f>IF(A723="","",SUMIFS(po_rest,po_ref,A723,po_key,"&gt;0"))</f>
        <v/>
      </c>
      <c r="J723" s="70" t="str">
        <f>IF(A723="","",IF(COUNTIFS(po_ref,A723,po_status,"&lt;&gt;Annulé")=0,"",INDEX(po_price,SUMPRODUCT(MAX((po_ref=A723)*(po_status&lt;&gt;"Annulé")*(ROW(po_ref)-5))))))</f>
        <v/>
      </c>
      <c r="K723" s="67" t="str">
        <f>IF(A723="","",IF(COUNTIF(art_ref,A723)&gt;1,"Référence en double",IF(B723="","Désignation manquante",IF(NOT(ISNUMBER(D723)),"Prix manquant",IF(E723="","TVA manquante",IF(ISNA(MATCH(E723,p_tva,0)),"Taux de TVA inconnu",IF(AND(F723&lt;&gt;"",ISNA(MATCH(F723,sup_code,0))),"Fournisseur inconnu","OK")))))))</f>
        <v/>
      </c>
    </row>
    <row r="724">
      <c r="A724" s="63" t="n"/>
      <c r="B724" s="63" t="n"/>
      <c r="C724" s="65" t="n"/>
      <c r="D724" s="69" t="n"/>
      <c r="E724" s="71" t="n"/>
      <c r="F724" s="65" t="n"/>
      <c r="G724" s="74" t="str">
        <f>IF(A724="","",SUMIFS(po_qty,po_ref,A724,po_status,"&lt;&gt;Annulé"))</f>
        <v/>
      </c>
      <c r="H724" s="74" t="str">
        <f>IF(A724="","",SUMIFS(po_rcv,po_ref,A724,po_status,"&lt;&gt;Annulé"))</f>
        <v/>
      </c>
      <c r="I724" s="74" t="str">
        <f>IF(A724="","",SUMIFS(po_rest,po_ref,A724,po_key,"&gt;0"))</f>
        <v/>
      </c>
      <c r="J724" s="70" t="str">
        <f>IF(A724="","",IF(COUNTIFS(po_ref,A724,po_status,"&lt;&gt;Annulé")=0,"",INDEX(po_price,SUMPRODUCT(MAX((po_ref=A724)*(po_status&lt;&gt;"Annulé")*(ROW(po_ref)-5))))))</f>
        <v/>
      </c>
      <c r="K724" s="67" t="str">
        <f>IF(A724="","",IF(COUNTIF(art_ref,A724)&gt;1,"Référence en double",IF(B724="","Désignation manquante",IF(NOT(ISNUMBER(D724)),"Prix manquant",IF(E724="","TVA manquante",IF(ISNA(MATCH(E724,p_tva,0)),"Taux de TVA inconnu",IF(AND(F724&lt;&gt;"",ISNA(MATCH(F724,sup_code,0))),"Fournisseur inconnu","OK")))))))</f>
        <v/>
      </c>
    </row>
    <row r="725">
      <c r="A725" s="63" t="n"/>
      <c r="B725" s="63" t="n"/>
      <c r="C725" s="65" t="n"/>
      <c r="D725" s="69" t="n"/>
      <c r="E725" s="71" t="n"/>
      <c r="F725" s="65" t="n"/>
      <c r="G725" s="74" t="str">
        <f>IF(A725="","",SUMIFS(po_qty,po_ref,A725,po_status,"&lt;&gt;Annulé"))</f>
        <v/>
      </c>
      <c r="H725" s="74" t="str">
        <f>IF(A725="","",SUMIFS(po_rcv,po_ref,A725,po_status,"&lt;&gt;Annulé"))</f>
        <v/>
      </c>
      <c r="I725" s="74" t="str">
        <f>IF(A725="","",SUMIFS(po_rest,po_ref,A725,po_key,"&gt;0"))</f>
        <v/>
      </c>
      <c r="J725" s="70" t="str">
        <f>IF(A725="","",IF(COUNTIFS(po_ref,A725,po_status,"&lt;&gt;Annulé")=0,"",INDEX(po_price,SUMPRODUCT(MAX((po_ref=A725)*(po_status&lt;&gt;"Annulé")*(ROW(po_ref)-5))))))</f>
        <v/>
      </c>
      <c r="K725" s="67" t="str">
        <f>IF(A725="","",IF(COUNTIF(art_ref,A725)&gt;1,"Référence en double",IF(B725="","Désignation manquante",IF(NOT(ISNUMBER(D725)),"Prix manquant",IF(E725="","TVA manquante",IF(ISNA(MATCH(E725,p_tva,0)),"Taux de TVA inconnu",IF(AND(F725&lt;&gt;"",ISNA(MATCH(F725,sup_code,0))),"Fournisseur inconnu","OK")))))))</f>
        <v/>
      </c>
    </row>
    <row r="726">
      <c r="A726" s="63" t="n"/>
      <c r="B726" s="63" t="n"/>
      <c r="C726" s="65" t="n"/>
      <c r="D726" s="69" t="n"/>
      <c r="E726" s="71" t="n"/>
      <c r="F726" s="65" t="n"/>
      <c r="G726" s="74" t="str">
        <f>IF(A726="","",SUMIFS(po_qty,po_ref,A726,po_status,"&lt;&gt;Annulé"))</f>
        <v/>
      </c>
      <c r="H726" s="74" t="str">
        <f>IF(A726="","",SUMIFS(po_rcv,po_ref,A726,po_status,"&lt;&gt;Annulé"))</f>
        <v/>
      </c>
      <c r="I726" s="74" t="str">
        <f>IF(A726="","",SUMIFS(po_rest,po_ref,A726,po_key,"&gt;0"))</f>
        <v/>
      </c>
      <c r="J726" s="70" t="str">
        <f>IF(A726="","",IF(COUNTIFS(po_ref,A726,po_status,"&lt;&gt;Annulé")=0,"",INDEX(po_price,SUMPRODUCT(MAX((po_ref=A726)*(po_status&lt;&gt;"Annulé")*(ROW(po_ref)-5))))))</f>
        <v/>
      </c>
      <c r="K726" s="67" t="str">
        <f>IF(A726="","",IF(COUNTIF(art_ref,A726)&gt;1,"Référence en double",IF(B726="","Désignation manquante",IF(NOT(ISNUMBER(D726)),"Prix manquant",IF(E726="","TVA manquante",IF(ISNA(MATCH(E726,p_tva,0)),"Taux de TVA inconnu",IF(AND(F726&lt;&gt;"",ISNA(MATCH(F726,sup_code,0))),"Fournisseur inconnu","OK")))))))</f>
        <v/>
      </c>
    </row>
    <row r="727">
      <c r="A727" s="63" t="n"/>
      <c r="B727" s="63" t="n"/>
      <c r="C727" s="65" t="n"/>
      <c r="D727" s="69" t="n"/>
      <c r="E727" s="71" t="n"/>
      <c r="F727" s="65" t="n"/>
      <c r="G727" s="74" t="str">
        <f>IF(A727="","",SUMIFS(po_qty,po_ref,A727,po_status,"&lt;&gt;Annulé"))</f>
        <v/>
      </c>
      <c r="H727" s="74" t="str">
        <f>IF(A727="","",SUMIFS(po_rcv,po_ref,A727,po_status,"&lt;&gt;Annulé"))</f>
        <v/>
      </c>
      <c r="I727" s="74" t="str">
        <f>IF(A727="","",SUMIFS(po_rest,po_ref,A727,po_key,"&gt;0"))</f>
        <v/>
      </c>
      <c r="J727" s="70" t="str">
        <f>IF(A727="","",IF(COUNTIFS(po_ref,A727,po_status,"&lt;&gt;Annulé")=0,"",INDEX(po_price,SUMPRODUCT(MAX((po_ref=A727)*(po_status&lt;&gt;"Annulé")*(ROW(po_ref)-5))))))</f>
        <v/>
      </c>
      <c r="K727" s="67" t="str">
        <f>IF(A727="","",IF(COUNTIF(art_ref,A727)&gt;1,"Référence en double",IF(B727="","Désignation manquante",IF(NOT(ISNUMBER(D727)),"Prix manquant",IF(E727="","TVA manquante",IF(ISNA(MATCH(E727,p_tva,0)),"Taux de TVA inconnu",IF(AND(F727&lt;&gt;"",ISNA(MATCH(F727,sup_code,0))),"Fournisseur inconnu","OK")))))))</f>
        <v/>
      </c>
    </row>
    <row r="728">
      <c r="A728" s="63" t="n"/>
      <c r="B728" s="63" t="n"/>
      <c r="C728" s="65" t="n"/>
      <c r="D728" s="69" t="n"/>
      <c r="E728" s="71" t="n"/>
      <c r="F728" s="65" t="n"/>
      <c r="G728" s="74" t="str">
        <f>IF(A728="","",SUMIFS(po_qty,po_ref,A728,po_status,"&lt;&gt;Annulé"))</f>
        <v/>
      </c>
      <c r="H728" s="74" t="str">
        <f>IF(A728="","",SUMIFS(po_rcv,po_ref,A728,po_status,"&lt;&gt;Annulé"))</f>
        <v/>
      </c>
      <c r="I728" s="74" t="str">
        <f>IF(A728="","",SUMIFS(po_rest,po_ref,A728,po_key,"&gt;0"))</f>
        <v/>
      </c>
      <c r="J728" s="70" t="str">
        <f>IF(A728="","",IF(COUNTIFS(po_ref,A728,po_status,"&lt;&gt;Annulé")=0,"",INDEX(po_price,SUMPRODUCT(MAX((po_ref=A728)*(po_status&lt;&gt;"Annulé")*(ROW(po_ref)-5))))))</f>
        <v/>
      </c>
      <c r="K728" s="67" t="str">
        <f>IF(A728="","",IF(COUNTIF(art_ref,A728)&gt;1,"Référence en double",IF(B728="","Désignation manquante",IF(NOT(ISNUMBER(D728)),"Prix manquant",IF(E728="","TVA manquante",IF(ISNA(MATCH(E728,p_tva,0)),"Taux de TVA inconnu",IF(AND(F728&lt;&gt;"",ISNA(MATCH(F728,sup_code,0))),"Fournisseur inconnu","OK")))))))</f>
        <v/>
      </c>
    </row>
    <row r="729">
      <c r="A729" s="63" t="n"/>
      <c r="B729" s="63" t="n"/>
      <c r="C729" s="65" t="n"/>
      <c r="D729" s="69" t="n"/>
      <c r="E729" s="71" t="n"/>
      <c r="F729" s="65" t="n"/>
      <c r="G729" s="74" t="str">
        <f>IF(A729="","",SUMIFS(po_qty,po_ref,A729,po_status,"&lt;&gt;Annulé"))</f>
        <v/>
      </c>
      <c r="H729" s="74" t="str">
        <f>IF(A729="","",SUMIFS(po_rcv,po_ref,A729,po_status,"&lt;&gt;Annulé"))</f>
        <v/>
      </c>
      <c r="I729" s="74" t="str">
        <f>IF(A729="","",SUMIFS(po_rest,po_ref,A729,po_key,"&gt;0"))</f>
        <v/>
      </c>
      <c r="J729" s="70" t="str">
        <f>IF(A729="","",IF(COUNTIFS(po_ref,A729,po_status,"&lt;&gt;Annulé")=0,"",INDEX(po_price,SUMPRODUCT(MAX((po_ref=A729)*(po_status&lt;&gt;"Annulé")*(ROW(po_ref)-5))))))</f>
        <v/>
      </c>
      <c r="K729" s="67" t="str">
        <f>IF(A729="","",IF(COUNTIF(art_ref,A729)&gt;1,"Référence en double",IF(B729="","Désignation manquante",IF(NOT(ISNUMBER(D729)),"Prix manquant",IF(E729="","TVA manquante",IF(ISNA(MATCH(E729,p_tva,0)),"Taux de TVA inconnu",IF(AND(F729&lt;&gt;"",ISNA(MATCH(F729,sup_code,0))),"Fournisseur inconnu","OK")))))))</f>
        <v/>
      </c>
    </row>
    <row r="730">
      <c r="A730" s="63" t="n"/>
      <c r="B730" s="63" t="n"/>
      <c r="C730" s="65" t="n"/>
      <c r="D730" s="69" t="n"/>
      <c r="E730" s="71" t="n"/>
      <c r="F730" s="65" t="n"/>
      <c r="G730" s="74" t="str">
        <f>IF(A730="","",SUMIFS(po_qty,po_ref,A730,po_status,"&lt;&gt;Annulé"))</f>
        <v/>
      </c>
      <c r="H730" s="74" t="str">
        <f>IF(A730="","",SUMIFS(po_rcv,po_ref,A730,po_status,"&lt;&gt;Annulé"))</f>
        <v/>
      </c>
      <c r="I730" s="74" t="str">
        <f>IF(A730="","",SUMIFS(po_rest,po_ref,A730,po_key,"&gt;0"))</f>
        <v/>
      </c>
      <c r="J730" s="70" t="str">
        <f>IF(A730="","",IF(COUNTIFS(po_ref,A730,po_status,"&lt;&gt;Annulé")=0,"",INDEX(po_price,SUMPRODUCT(MAX((po_ref=A730)*(po_status&lt;&gt;"Annulé")*(ROW(po_ref)-5))))))</f>
        <v/>
      </c>
      <c r="K730" s="67" t="str">
        <f>IF(A730="","",IF(COUNTIF(art_ref,A730)&gt;1,"Référence en double",IF(B730="","Désignation manquante",IF(NOT(ISNUMBER(D730)),"Prix manquant",IF(E730="","TVA manquante",IF(ISNA(MATCH(E730,p_tva,0)),"Taux de TVA inconnu",IF(AND(F730&lt;&gt;"",ISNA(MATCH(F730,sup_code,0))),"Fournisseur inconnu","OK")))))))</f>
        <v/>
      </c>
    </row>
    <row r="731">
      <c r="A731" s="63" t="n"/>
      <c r="B731" s="63" t="n"/>
      <c r="C731" s="65" t="n"/>
      <c r="D731" s="69" t="n"/>
      <c r="E731" s="71" t="n"/>
      <c r="F731" s="65" t="n"/>
      <c r="G731" s="74" t="str">
        <f>IF(A731="","",SUMIFS(po_qty,po_ref,A731,po_status,"&lt;&gt;Annulé"))</f>
        <v/>
      </c>
      <c r="H731" s="74" t="str">
        <f>IF(A731="","",SUMIFS(po_rcv,po_ref,A731,po_status,"&lt;&gt;Annulé"))</f>
        <v/>
      </c>
      <c r="I731" s="74" t="str">
        <f>IF(A731="","",SUMIFS(po_rest,po_ref,A731,po_key,"&gt;0"))</f>
        <v/>
      </c>
      <c r="J731" s="70" t="str">
        <f>IF(A731="","",IF(COUNTIFS(po_ref,A731,po_status,"&lt;&gt;Annulé")=0,"",INDEX(po_price,SUMPRODUCT(MAX((po_ref=A731)*(po_status&lt;&gt;"Annulé")*(ROW(po_ref)-5))))))</f>
        <v/>
      </c>
      <c r="K731" s="67" t="str">
        <f>IF(A731="","",IF(COUNTIF(art_ref,A731)&gt;1,"Référence en double",IF(B731="","Désignation manquante",IF(NOT(ISNUMBER(D731)),"Prix manquant",IF(E731="","TVA manquante",IF(ISNA(MATCH(E731,p_tva,0)),"Taux de TVA inconnu",IF(AND(F731&lt;&gt;"",ISNA(MATCH(F731,sup_code,0))),"Fournisseur inconnu","OK")))))))</f>
        <v/>
      </c>
    </row>
    <row r="732">
      <c r="A732" s="63" t="n"/>
      <c r="B732" s="63" t="n"/>
      <c r="C732" s="65" t="n"/>
      <c r="D732" s="69" t="n"/>
      <c r="E732" s="71" t="n"/>
      <c r="F732" s="65" t="n"/>
      <c r="G732" s="74" t="str">
        <f>IF(A732="","",SUMIFS(po_qty,po_ref,A732,po_status,"&lt;&gt;Annulé"))</f>
        <v/>
      </c>
      <c r="H732" s="74" t="str">
        <f>IF(A732="","",SUMIFS(po_rcv,po_ref,A732,po_status,"&lt;&gt;Annulé"))</f>
        <v/>
      </c>
      <c r="I732" s="74" t="str">
        <f>IF(A732="","",SUMIFS(po_rest,po_ref,A732,po_key,"&gt;0"))</f>
        <v/>
      </c>
      <c r="J732" s="70" t="str">
        <f>IF(A732="","",IF(COUNTIFS(po_ref,A732,po_status,"&lt;&gt;Annulé")=0,"",INDEX(po_price,SUMPRODUCT(MAX((po_ref=A732)*(po_status&lt;&gt;"Annulé")*(ROW(po_ref)-5))))))</f>
        <v/>
      </c>
      <c r="K732" s="67" t="str">
        <f>IF(A732="","",IF(COUNTIF(art_ref,A732)&gt;1,"Référence en double",IF(B732="","Désignation manquante",IF(NOT(ISNUMBER(D732)),"Prix manquant",IF(E732="","TVA manquante",IF(ISNA(MATCH(E732,p_tva,0)),"Taux de TVA inconnu",IF(AND(F732&lt;&gt;"",ISNA(MATCH(F732,sup_code,0))),"Fournisseur inconnu","OK")))))))</f>
        <v/>
      </c>
    </row>
    <row r="733">
      <c r="A733" s="63" t="n"/>
      <c r="B733" s="63" t="n"/>
      <c r="C733" s="65" t="n"/>
      <c r="D733" s="69" t="n"/>
      <c r="E733" s="71" t="n"/>
      <c r="F733" s="65" t="n"/>
      <c r="G733" s="74" t="str">
        <f>IF(A733="","",SUMIFS(po_qty,po_ref,A733,po_status,"&lt;&gt;Annulé"))</f>
        <v/>
      </c>
      <c r="H733" s="74" t="str">
        <f>IF(A733="","",SUMIFS(po_rcv,po_ref,A733,po_status,"&lt;&gt;Annulé"))</f>
        <v/>
      </c>
      <c r="I733" s="74" t="str">
        <f>IF(A733="","",SUMIFS(po_rest,po_ref,A733,po_key,"&gt;0"))</f>
        <v/>
      </c>
      <c r="J733" s="70" t="str">
        <f>IF(A733="","",IF(COUNTIFS(po_ref,A733,po_status,"&lt;&gt;Annulé")=0,"",INDEX(po_price,SUMPRODUCT(MAX((po_ref=A733)*(po_status&lt;&gt;"Annulé")*(ROW(po_ref)-5))))))</f>
        <v/>
      </c>
      <c r="K733" s="67" t="str">
        <f>IF(A733="","",IF(COUNTIF(art_ref,A733)&gt;1,"Référence en double",IF(B733="","Désignation manquante",IF(NOT(ISNUMBER(D733)),"Prix manquant",IF(E733="","TVA manquante",IF(ISNA(MATCH(E733,p_tva,0)),"Taux de TVA inconnu",IF(AND(F733&lt;&gt;"",ISNA(MATCH(F733,sup_code,0))),"Fournisseur inconnu","OK")))))))</f>
        <v/>
      </c>
    </row>
    <row r="734">
      <c r="A734" s="63" t="n"/>
      <c r="B734" s="63" t="n"/>
      <c r="C734" s="65" t="n"/>
      <c r="D734" s="69" t="n"/>
      <c r="E734" s="71" t="n"/>
      <c r="F734" s="65" t="n"/>
      <c r="G734" s="74" t="str">
        <f>IF(A734="","",SUMIFS(po_qty,po_ref,A734,po_status,"&lt;&gt;Annulé"))</f>
        <v/>
      </c>
      <c r="H734" s="74" t="str">
        <f>IF(A734="","",SUMIFS(po_rcv,po_ref,A734,po_status,"&lt;&gt;Annulé"))</f>
        <v/>
      </c>
      <c r="I734" s="74" t="str">
        <f>IF(A734="","",SUMIFS(po_rest,po_ref,A734,po_key,"&gt;0"))</f>
        <v/>
      </c>
      <c r="J734" s="70" t="str">
        <f>IF(A734="","",IF(COUNTIFS(po_ref,A734,po_status,"&lt;&gt;Annulé")=0,"",INDEX(po_price,SUMPRODUCT(MAX((po_ref=A734)*(po_status&lt;&gt;"Annulé")*(ROW(po_ref)-5))))))</f>
        <v/>
      </c>
      <c r="K734" s="67" t="str">
        <f>IF(A734="","",IF(COUNTIF(art_ref,A734)&gt;1,"Référence en double",IF(B734="","Désignation manquante",IF(NOT(ISNUMBER(D734)),"Prix manquant",IF(E734="","TVA manquante",IF(ISNA(MATCH(E734,p_tva,0)),"Taux de TVA inconnu",IF(AND(F734&lt;&gt;"",ISNA(MATCH(F734,sup_code,0))),"Fournisseur inconnu","OK")))))))</f>
        <v/>
      </c>
    </row>
    <row r="735">
      <c r="A735" s="63" t="n"/>
      <c r="B735" s="63" t="n"/>
      <c r="C735" s="65" t="n"/>
      <c r="D735" s="69" t="n"/>
      <c r="E735" s="71" t="n"/>
      <c r="F735" s="65" t="n"/>
      <c r="G735" s="74" t="str">
        <f>IF(A735="","",SUMIFS(po_qty,po_ref,A735,po_status,"&lt;&gt;Annulé"))</f>
        <v/>
      </c>
      <c r="H735" s="74" t="str">
        <f>IF(A735="","",SUMIFS(po_rcv,po_ref,A735,po_status,"&lt;&gt;Annulé"))</f>
        <v/>
      </c>
      <c r="I735" s="74" t="str">
        <f>IF(A735="","",SUMIFS(po_rest,po_ref,A735,po_key,"&gt;0"))</f>
        <v/>
      </c>
      <c r="J735" s="70" t="str">
        <f>IF(A735="","",IF(COUNTIFS(po_ref,A735,po_status,"&lt;&gt;Annulé")=0,"",INDEX(po_price,SUMPRODUCT(MAX((po_ref=A735)*(po_status&lt;&gt;"Annulé")*(ROW(po_ref)-5))))))</f>
        <v/>
      </c>
      <c r="K735" s="67" t="str">
        <f>IF(A735="","",IF(COUNTIF(art_ref,A735)&gt;1,"Référence en double",IF(B735="","Désignation manquante",IF(NOT(ISNUMBER(D735)),"Prix manquant",IF(E735="","TVA manquante",IF(ISNA(MATCH(E735,p_tva,0)),"Taux de TVA inconnu",IF(AND(F735&lt;&gt;"",ISNA(MATCH(F735,sup_code,0))),"Fournisseur inconnu","OK")))))))</f>
        <v/>
      </c>
    </row>
    <row r="736">
      <c r="A736" s="63" t="n"/>
      <c r="B736" s="63" t="n"/>
      <c r="C736" s="65" t="n"/>
      <c r="D736" s="69" t="n"/>
      <c r="E736" s="71" t="n"/>
      <c r="F736" s="65" t="n"/>
      <c r="G736" s="74" t="str">
        <f>IF(A736="","",SUMIFS(po_qty,po_ref,A736,po_status,"&lt;&gt;Annulé"))</f>
        <v/>
      </c>
      <c r="H736" s="74" t="str">
        <f>IF(A736="","",SUMIFS(po_rcv,po_ref,A736,po_status,"&lt;&gt;Annulé"))</f>
        <v/>
      </c>
      <c r="I736" s="74" t="str">
        <f>IF(A736="","",SUMIFS(po_rest,po_ref,A736,po_key,"&gt;0"))</f>
        <v/>
      </c>
      <c r="J736" s="70" t="str">
        <f>IF(A736="","",IF(COUNTIFS(po_ref,A736,po_status,"&lt;&gt;Annulé")=0,"",INDEX(po_price,SUMPRODUCT(MAX((po_ref=A736)*(po_status&lt;&gt;"Annulé")*(ROW(po_ref)-5))))))</f>
        <v/>
      </c>
      <c r="K736" s="67" t="str">
        <f>IF(A736="","",IF(COUNTIF(art_ref,A736)&gt;1,"Référence en double",IF(B736="","Désignation manquante",IF(NOT(ISNUMBER(D736)),"Prix manquant",IF(E736="","TVA manquante",IF(ISNA(MATCH(E736,p_tva,0)),"Taux de TVA inconnu",IF(AND(F736&lt;&gt;"",ISNA(MATCH(F736,sup_code,0))),"Fournisseur inconnu","OK")))))))</f>
        <v/>
      </c>
    </row>
    <row r="737">
      <c r="A737" s="63" t="n"/>
      <c r="B737" s="63" t="n"/>
      <c r="C737" s="65" t="n"/>
      <c r="D737" s="69" t="n"/>
      <c r="E737" s="71" t="n"/>
      <c r="F737" s="65" t="n"/>
      <c r="G737" s="74" t="str">
        <f>IF(A737="","",SUMIFS(po_qty,po_ref,A737,po_status,"&lt;&gt;Annulé"))</f>
        <v/>
      </c>
      <c r="H737" s="74" t="str">
        <f>IF(A737="","",SUMIFS(po_rcv,po_ref,A737,po_status,"&lt;&gt;Annulé"))</f>
        <v/>
      </c>
      <c r="I737" s="74" t="str">
        <f>IF(A737="","",SUMIFS(po_rest,po_ref,A737,po_key,"&gt;0"))</f>
        <v/>
      </c>
      <c r="J737" s="70" t="str">
        <f>IF(A737="","",IF(COUNTIFS(po_ref,A737,po_status,"&lt;&gt;Annulé")=0,"",INDEX(po_price,SUMPRODUCT(MAX((po_ref=A737)*(po_status&lt;&gt;"Annulé")*(ROW(po_ref)-5))))))</f>
        <v/>
      </c>
      <c r="K737" s="67" t="str">
        <f>IF(A737="","",IF(COUNTIF(art_ref,A737)&gt;1,"Référence en double",IF(B737="","Désignation manquante",IF(NOT(ISNUMBER(D737)),"Prix manquant",IF(E737="","TVA manquante",IF(ISNA(MATCH(E737,p_tva,0)),"Taux de TVA inconnu",IF(AND(F737&lt;&gt;"",ISNA(MATCH(F737,sup_code,0))),"Fournisseur inconnu","OK")))))))</f>
        <v/>
      </c>
    </row>
    <row r="738">
      <c r="A738" s="63" t="n"/>
      <c r="B738" s="63" t="n"/>
      <c r="C738" s="65" t="n"/>
      <c r="D738" s="69" t="n"/>
      <c r="E738" s="71" t="n"/>
      <c r="F738" s="65" t="n"/>
      <c r="G738" s="74" t="str">
        <f>IF(A738="","",SUMIFS(po_qty,po_ref,A738,po_status,"&lt;&gt;Annulé"))</f>
        <v/>
      </c>
      <c r="H738" s="74" t="str">
        <f>IF(A738="","",SUMIFS(po_rcv,po_ref,A738,po_status,"&lt;&gt;Annulé"))</f>
        <v/>
      </c>
      <c r="I738" s="74" t="str">
        <f>IF(A738="","",SUMIFS(po_rest,po_ref,A738,po_key,"&gt;0"))</f>
        <v/>
      </c>
      <c r="J738" s="70" t="str">
        <f>IF(A738="","",IF(COUNTIFS(po_ref,A738,po_status,"&lt;&gt;Annulé")=0,"",INDEX(po_price,SUMPRODUCT(MAX((po_ref=A738)*(po_status&lt;&gt;"Annulé")*(ROW(po_ref)-5))))))</f>
        <v/>
      </c>
      <c r="K738" s="67" t="str">
        <f>IF(A738="","",IF(COUNTIF(art_ref,A738)&gt;1,"Référence en double",IF(B738="","Désignation manquante",IF(NOT(ISNUMBER(D738)),"Prix manquant",IF(E738="","TVA manquante",IF(ISNA(MATCH(E738,p_tva,0)),"Taux de TVA inconnu",IF(AND(F738&lt;&gt;"",ISNA(MATCH(F738,sup_code,0))),"Fournisseur inconnu","OK")))))))</f>
        <v/>
      </c>
    </row>
    <row r="739">
      <c r="A739" s="63" t="n"/>
      <c r="B739" s="63" t="n"/>
      <c r="C739" s="65" t="n"/>
      <c r="D739" s="69" t="n"/>
      <c r="E739" s="71" t="n"/>
      <c r="F739" s="65" t="n"/>
      <c r="G739" s="74" t="str">
        <f>IF(A739="","",SUMIFS(po_qty,po_ref,A739,po_status,"&lt;&gt;Annulé"))</f>
        <v/>
      </c>
      <c r="H739" s="74" t="str">
        <f>IF(A739="","",SUMIFS(po_rcv,po_ref,A739,po_status,"&lt;&gt;Annulé"))</f>
        <v/>
      </c>
      <c r="I739" s="74" t="str">
        <f>IF(A739="","",SUMIFS(po_rest,po_ref,A739,po_key,"&gt;0"))</f>
        <v/>
      </c>
      <c r="J739" s="70" t="str">
        <f>IF(A739="","",IF(COUNTIFS(po_ref,A739,po_status,"&lt;&gt;Annulé")=0,"",INDEX(po_price,SUMPRODUCT(MAX((po_ref=A739)*(po_status&lt;&gt;"Annulé")*(ROW(po_ref)-5))))))</f>
        <v/>
      </c>
      <c r="K739" s="67" t="str">
        <f>IF(A739="","",IF(COUNTIF(art_ref,A739)&gt;1,"Référence en double",IF(B739="","Désignation manquante",IF(NOT(ISNUMBER(D739)),"Prix manquant",IF(E739="","TVA manquante",IF(ISNA(MATCH(E739,p_tva,0)),"Taux de TVA inconnu",IF(AND(F739&lt;&gt;"",ISNA(MATCH(F739,sup_code,0))),"Fournisseur inconnu","OK")))))))</f>
        <v/>
      </c>
    </row>
    <row r="740">
      <c r="A740" s="63" t="n"/>
      <c r="B740" s="63" t="n"/>
      <c r="C740" s="65" t="n"/>
      <c r="D740" s="69" t="n"/>
      <c r="E740" s="71" t="n"/>
      <c r="F740" s="65" t="n"/>
      <c r="G740" s="74" t="str">
        <f>IF(A740="","",SUMIFS(po_qty,po_ref,A740,po_status,"&lt;&gt;Annulé"))</f>
        <v/>
      </c>
      <c r="H740" s="74" t="str">
        <f>IF(A740="","",SUMIFS(po_rcv,po_ref,A740,po_status,"&lt;&gt;Annulé"))</f>
        <v/>
      </c>
      <c r="I740" s="74" t="str">
        <f>IF(A740="","",SUMIFS(po_rest,po_ref,A740,po_key,"&gt;0"))</f>
        <v/>
      </c>
      <c r="J740" s="70" t="str">
        <f>IF(A740="","",IF(COUNTIFS(po_ref,A740,po_status,"&lt;&gt;Annulé")=0,"",INDEX(po_price,SUMPRODUCT(MAX((po_ref=A740)*(po_status&lt;&gt;"Annulé")*(ROW(po_ref)-5))))))</f>
        <v/>
      </c>
      <c r="K740" s="67" t="str">
        <f>IF(A740="","",IF(COUNTIF(art_ref,A740)&gt;1,"Référence en double",IF(B740="","Désignation manquante",IF(NOT(ISNUMBER(D740)),"Prix manquant",IF(E740="","TVA manquante",IF(ISNA(MATCH(E740,p_tva,0)),"Taux de TVA inconnu",IF(AND(F740&lt;&gt;"",ISNA(MATCH(F740,sup_code,0))),"Fournisseur inconnu","OK")))))))</f>
        <v/>
      </c>
    </row>
    <row r="741">
      <c r="A741" s="63" t="n"/>
      <c r="B741" s="63" t="n"/>
      <c r="C741" s="65" t="n"/>
      <c r="D741" s="69" t="n"/>
      <c r="E741" s="71" t="n"/>
      <c r="F741" s="65" t="n"/>
      <c r="G741" s="74" t="str">
        <f>IF(A741="","",SUMIFS(po_qty,po_ref,A741,po_status,"&lt;&gt;Annulé"))</f>
        <v/>
      </c>
      <c r="H741" s="74" t="str">
        <f>IF(A741="","",SUMIFS(po_rcv,po_ref,A741,po_status,"&lt;&gt;Annulé"))</f>
        <v/>
      </c>
      <c r="I741" s="74" t="str">
        <f>IF(A741="","",SUMIFS(po_rest,po_ref,A741,po_key,"&gt;0"))</f>
        <v/>
      </c>
      <c r="J741" s="70" t="str">
        <f>IF(A741="","",IF(COUNTIFS(po_ref,A741,po_status,"&lt;&gt;Annulé")=0,"",INDEX(po_price,SUMPRODUCT(MAX((po_ref=A741)*(po_status&lt;&gt;"Annulé")*(ROW(po_ref)-5))))))</f>
        <v/>
      </c>
      <c r="K741" s="67" t="str">
        <f>IF(A741="","",IF(COUNTIF(art_ref,A741)&gt;1,"Référence en double",IF(B741="","Désignation manquante",IF(NOT(ISNUMBER(D741)),"Prix manquant",IF(E741="","TVA manquante",IF(ISNA(MATCH(E741,p_tva,0)),"Taux de TVA inconnu",IF(AND(F741&lt;&gt;"",ISNA(MATCH(F741,sup_code,0))),"Fournisseur inconnu","OK")))))))</f>
        <v/>
      </c>
    </row>
    <row r="742">
      <c r="A742" s="63" t="n"/>
      <c r="B742" s="63" t="n"/>
      <c r="C742" s="65" t="n"/>
      <c r="D742" s="69" t="n"/>
      <c r="E742" s="71" t="n"/>
      <c r="F742" s="65" t="n"/>
      <c r="G742" s="74" t="str">
        <f>IF(A742="","",SUMIFS(po_qty,po_ref,A742,po_status,"&lt;&gt;Annulé"))</f>
        <v/>
      </c>
      <c r="H742" s="74" t="str">
        <f>IF(A742="","",SUMIFS(po_rcv,po_ref,A742,po_status,"&lt;&gt;Annulé"))</f>
        <v/>
      </c>
      <c r="I742" s="74" t="str">
        <f>IF(A742="","",SUMIFS(po_rest,po_ref,A742,po_key,"&gt;0"))</f>
        <v/>
      </c>
      <c r="J742" s="70" t="str">
        <f>IF(A742="","",IF(COUNTIFS(po_ref,A742,po_status,"&lt;&gt;Annulé")=0,"",INDEX(po_price,SUMPRODUCT(MAX((po_ref=A742)*(po_status&lt;&gt;"Annulé")*(ROW(po_ref)-5))))))</f>
        <v/>
      </c>
      <c r="K742" s="67" t="str">
        <f>IF(A742="","",IF(COUNTIF(art_ref,A742)&gt;1,"Référence en double",IF(B742="","Désignation manquante",IF(NOT(ISNUMBER(D742)),"Prix manquant",IF(E742="","TVA manquante",IF(ISNA(MATCH(E742,p_tva,0)),"Taux de TVA inconnu",IF(AND(F742&lt;&gt;"",ISNA(MATCH(F742,sup_code,0))),"Fournisseur inconnu","OK")))))))</f>
        <v/>
      </c>
    </row>
    <row r="743">
      <c r="A743" s="63" t="n"/>
      <c r="B743" s="63" t="n"/>
      <c r="C743" s="65" t="n"/>
      <c r="D743" s="69" t="n"/>
      <c r="E743" s="71" t="n"/>
      <c r="F743" s="65" t="n"/>
      <c r="G743" s="74" t="str">
        <f>IF(A743="","",SUMIFS(po_qty,po_ref,A743,po_status,"&lt;&gt;Annulé"))</f>
        <v/>
      </c>
      <c r="H743" s="74" t="str">
        <f>IF(A743="","",SUMIFS(po_rcv,po_ref,A743,po_status,"&lt;&gt;Annulé"))</f>
        <v/>
      </c>
      <c r="I743" s="74" t="str">
        <f>IF(A743="","",SUMIFS(po_rest,po_ref,A743,po_key,"&gt;0"))</f>
        <v/>
      </c>
      <c r="J743" s="70" t="str">
        <f>IF(A743="","",IF(COUNTIFS(po_ref,A743,po_status,"&lt;&gt;Annulé")=0,"",INDEX(po_price,SUMPRODUCT(MAX((po_ref=A743)*(po_status&lt;&gt;"Annulé")*(ROW(po_ref)-5))))))</f>
        <v/>
      </c>
      <c r="K743" s="67" t="str">
        <f>IF(A743="","",IF(COUNTIF(art_ref,A743)&gt;1,"Référence en double",IF(B743="","Désignation manquante",IF(NOT(ISNUMBER(D743)),"Prix manquant",IF(E743="","TVA manquante",IF(ISNA(MATCH(E743,p_tva,0)),"Taux de TVA inconnu",IF(AND(F743&lt;&gt;"",ISNA(MATCH(F743,sup_code,0))),"Fournisseur inconnu","OK")))))))</f>
        <v/>
      </c>
    </row>
    <row r="744">
      <c r="A744" s="63" t="n"/>
      <c r="B744" s="63" t="n"/>
      <c r="C744" s="65" t="n"/>
      <c r="D744" s="69" t="n"/>
      <c r="E744" s="71" t="n"/>
      <c r="F744" s="65" t="n"/>
      <c r="G744" s="74" t="str">
        <f>IF(A744="","",SUMIFS(po_qty,po_ref,A744,po_status,"&lt;&gt;Annulé"))</f>
        <v/>
      </c>
      <c r="H744" s="74" t="str">
        <f>IF(A744="","",SUMIFS(po_rcv,po_ref,A744,po_status,"&lt;&gt;Annulé"))</f>
        <v/>
      </c>
      <c r="I744" s="74" t="str">
        <f>IF(A744="","",SUMIFS(po_rest,po_ref,A744,po_key,"&gt;0"))</f>
        <v/>
      </c>
      <c r="J744" s="70" t="str">
        <f>IF(A744="","",IF(COUNTIFS(po_ref,A744,po_status,"&lt;&gt;Annulé")=0,"",INDEX(po_price,SUMPRODUCT(MAX((po_ref=A744)*(po_status&lt;&gt;"Annulé")*(ROW(po_ref)-5))))))</f>
        <v/>
      </c>
      <c r="K744" s="67" t="str">
        <f>IF(A744="","",IF(COUNTIF(art_ref,A744)&gt;1,"Référence en double",IF(B744="","Désignation manquante",IF(NOT(ISNUMBER(D744)),"Prix manquant",IF(E744="","TVA manquante",IF(ISNA(MATCH(E744,p_tva,0)),"Taux de TVA inconnu",IF(AND(F744&lt;&gt;"",ISNA(MATCH(F744,sup_code,0))),"Fournisseur inconnu","OK")))))))</f>
        <v/>
      </c>
    </row>
    <row r="745">
      <c r="A745" s="63" t="n"/>
      <c r="B745" s="63" t="n"/>
      <c r="C745" s="65" t="n"/>
      <c r="D745" s="69" t="n"/>
      <c r="E745" s="71" t="n"/>
      <c r="F745" s="65" t="n"/>
      <c r="G745" s="74" t="str">
        <f>IF(A745="","",SUMIFS(po_qty,po_ref,A745,po_status,"&lt;&gt;Annulé"))</f>
        <v/>
      </c>
      <c r="H745" s="74" t="str">
        <f>IF(A745="","",SUMIFS(po_rcv,po_ref,A745,po_status,"&lt;&gt;Annulé"))</f>
        <v/>
      </c>
      <c r="I745" s="74" t="str">
        <f>IF(A745="","",SUMIFS(po_rest,po_ref,A745,po_key,"&gt;0"))</f>
        <v/>
      </c>
      <c r="J745" s="70" t="str">
        <f>IF(A745="","",IF(COUNTIFS(po_ref,A745,po_status,"&lt;&gt;Annulé")=0,"",INDEX(po_price,SUMPRODUCT(MAX((po_ref=A745)*(po_status&lt;&gt;"Annulé")*(ROW(po_ref)-5))))))</f>
        <v/>
      </c>
      <c r="K745" s="67" t="str">
        <f>IF(A745="","",IF(COUNTIF(art_ref,A745)&gt;1,"Référence en double",IF(B745="","Désignation manquante",IF(NOT(ISNUMBER(D745)),"Prix manquant",IF(E745="","TVA manquante",IF(ISNA(MATCH(E745,p_tva,0)),"Taux de TVA inconnu",IF(AND(F745&lt;&gt;"",ISNA(MATCH(F745,sup_code,0))),"Fournisseur inconnu","OK")))))))</f>
        <v/>
      </c>
    </row>
    <row r="746">
      <c r="A746" s="63" t="n"/>
      <c r="B746" s="63" t="n"/>
      <c r="C746" s="65" t="n"/>
      <c r="D746" s="69" t="n"/>
      <c r="E746" s="71" t="n"/>
      <c r="F746" s="65" t="n"/>
      <c r="G746" s="74" t="str">
        <f>IF(A746="","",SUMIFS(po_qty,po_ref,A746,po_status,"&lt;&gt;Annulé"))</f>
        <v/>
      </c>
      <c r="H746" s="74" t="str">
        <f>IF(A746="","",SUMIFS(po_rcv,po_ref,A746,po_status,"&lt;&gt;Annulé"))</f>
        <v/>
      </c>
      <c r="I746" s="74" t="str">
        <f>IF(A746="","",SUMIFS(po_rest,po_ref,A746,po_key,"&gt;0"))</f>
        <v/>
      </c>
      <c r="J746" s="70" t="str">
        <f>IF(A746="","",IF(COUNTIFS(po_ref,A746,po_status,"&lt;&gt;Annulé")=0,"",INDEX(po_price,SUMPRODUCT(MAX((po_ref=A746)*(po_status&lt;&gt;"Annulé")*(ROW(po_ref)-5))))))</f>
        <v/>
      </c>
      <c r="K746" s="67" t="str">
        <f>IF(A746="","",IF(COUNTIF(art_ref,A746)&gt;1,"Référence en double",IF(B746="","Désignation manquante",IF(NOT(ISNUMBER(D746)),"Prix manquant",IF(E746="","TVA manquante",IF(ISNA(MATCH(E746,p_tva,0)),"Taux de TVA inconnu",IF(AND(F746&lt;&gt;"",ISNA(MATCH(F746,sup_code,0))),"Fournisseur inconnu","OK")))))))</f>
        <v/>
      </c>
    </row>
    <row r="747">
      <c r="A747" s="63" t="n"/>
      <c r="B747" s="63" t="n"/>
      <c r="C747" s="65" t="n"/>
      <c r="D747" s="69" t="n"/>
      <c r="E747" s="71" t="n"/>
      <c r="F747" s="65" t="n"/>
      <c r="G747" s="74" t="str">
        <f>IF(A747="","",SUMIFS(po_qty,po_ref,A747,po_status,"&lt;&gt;Annulé"))</f>
        <v/>
      </c>
      <c r="H747" s="74" t="str">
        <f>IF(A747="","",SUMIFS(po_rcv,po_ref,A747,po_status,"&lt;&gt;Annulé"))</f>
        <v/>
      </c>
      <c r="I747" s="74" t="str">
        <f>IF(A747="","",SUMIFS(po_rest,po_ref,A747,po_key,"&gt;0"))</f>
        <v/>
      </c>
      <c r="J747" s="70" t="str">
        <f>IF(A747="","",IF(COUNTIFS(po_ref,A747,po_status,"&lt;&gt;Annulé")=0,"",INDEX(po_price,SUMPRODUCT(MAX((po_ref=A747)*(po_status&lt;&gt;"Annulé")*(ROW(po_ref)-5))))))</f>
        <v/>
      </c>
      <c r="K747" s="67" t="str">
        <f>IF(A747="","",IF(COUNTIF(art_ref,A747)&gt;1,"Référence en double",IF(B747="","Désignation manquante",IF(NOT(ISNUMBER(D747)),"Prix manquant",IF(E747="","TVA manquante",IF(ISNA(MATCH(E747,p_tva,0)),"Taux de TVA inconnu",IF(AND(F747&lt;&gt;"",ISNA(MATCH(F747,sup_code,0))),"Fournisseur inconnu","OK")))))))</f>
        <v/>
      </c>
    </row>
    <row r="748">
      <c r="A748" s="63" t="n"/>
      <c r="B748" s="63" t="n"/>
      <c r="C748" s="65" t="n"/>
      <c r="D748" s="69" t="n"/>
      <c r="E748" s="71" t="n"/>
      <c r="F748" s="65" t="n"/>
      <c r="G748" s="74" t="str">
        <f>IF(A748="","",SUMIFS(po_qty,po_ref,A748,po_status,"&lt;&gt;Annulé"))</f>
        <v/>
      </c>
      <c r="H748" s="74" t="str">
        <f>IF(A748="","",SUMIFS(po_rcv,po_ref,A748,po_status,"&lt;&gt;Annulé"))</f>
        <v/>
      </c>
      <c r="I748" s="74" t="str">
        <f>IF(A748="","",SUMIFS(po_rest,po_ref,A748,po_key,"&gt;0"))</f>
        <v/>
      </c>
      <c r="J748" s="70" t="str">
        <f>IF(A748="","",IF(COUNTIFS(po_ref,A748,po_status,"&lt;&gt;Annulé")=0,"",INDEX(po_price,SUMPRODUCT(MAX((po_ref=A748)*(po_status&lt;&gt;"Annulé")*(ROW(po_ref)-5))))))</f>
        <v/>
      </c>
      <c r="K748" s="67" t="str">
        <f>IF(A748="","",IF(COUNTIF(art_ref,A748)&gt;1,"Référence en double",IF(B748="","Désignation manquante",IF(NOT(ISNUMBER(D748)),"Prix manquant",IF(E748="","TVA manquante",IF(ISNA(MATCH(E748,p_tva,0)),"Taux de TVA inconnu",IF(AND(F748&lt;&gt;"",ISNA(MATCH(F748,sup_code,0))),"Fournisseur inconnu","OK")))))))</f>
        <v/>
      </c>
    </row>
    <row r="749">
      <c r="A749" s="63" t="n"/>
      <c r="B749" s="63" t="n"/>
      <c r="C749" s="65" t="n"/>
      <c r="D749" s="69" t="n"/>
      <c r="E749" s="71" t="n"/>
      <c r="F749" s="65" t="n"/>
      <c r="G749" s="74" t="str">
        <f>IF(A749="","",SUMIFS(po_qty,po_ref,A749,po_status,"&lt;&gt;Annulé"))</f>
        <v/>
      </c>
      <c r="H749" s="74" t="str">
        <f>IF(A749="","",SUMIFS(po_rcv,po_ref,A749,po_status,"&lt;&gt;Annulé"))</f>
        <v/>
      </c>
      <c r="I749" s="74" t="str">
        <f>IF(A749="","",SUMIFS(po_rest,po_ref,A749,po_key,"&gt;0"))</f>
        <v/>
      </c>
      <c r="J749" s="70" t="str">
        <f>IF(A749="","",IF(COUNTIFS(po_ref,A749,po_status,"&lt;&gt;Annulé")=0,"",INDEX(po_price,SUMPRODUCT(MAX((po_ref=A749)*(po_status&lt;&gt;"Annulé")*(ROW(po_ref)-5))))))</f>
        <v/>
      </c>
      <c r="K749" s="67" t="str">
        <f>IF(A749="","",IF(COUNTIF(art_ref,A749)&gt;1,"Référence en double",IF(B749="","Désignation manquante",IF(NOT(ISNUMBER(D749)),"Prix manquant",IF(E749="","TVA manquante",IF(ISNA(MATCH(E749,p_tva,0)),"Taux de TVA inconnu",IF(AND(F749&lt;&gt;"",ISNA(MATCH(F749,sup_code,0))),"Fournisseur inconnu","OK")))))))</f>
        <v/>
      </c>
    </row>
    <row r="750">
      <c r="A750" s="63" t="n"/>
      <c r="B750" s="63" t="n"/>
      <c r="C750" s="65" t="n"/>
      <c r="D750" s="69" t="n"/>
      <c r="E750" s="71" t="n"/>
      <c r="F750" s="65" t="n"/>
      <c r="G750" s="74" t="str">
        <f>IF(A750="","",SUMIFS(po_qty,po_ref,A750,po_status,"&lt;&gt;Annulé"))</f>
        <v/>
      </c>
      <c r="H750" s="74" t="str">
        <f>IF(A750="","",SUMIFS(po_rcv,po_ref,A750,po_status,"&lt;&gt;Annulé"))</f>
        <v/>
      </c>
      <c r="I750" s="74" t="str">
        <f>IF(A750="","",SUMIFS(po_rest,po_ref,A750,po_key,"&gt;0"))</f>
        <v/>
      </c>
      <c r="J750" s="70" t="str">
        <f>IF(A750="","",IF(COUNTIFS(po_ref,A750,po_status,"&lt;&gt;Annulé")=0,"",INDEX(po_price,SUMPRODUCT(MAX((po_ref=A750)*(po_status&lt;&gt;"Annulé")*(ROW(po_ref)-5))))))</f>
        <v/>
      </c>
      <c r="K750" s="67" t="str">
        <f>IF(A750="","",IF(COUNTIF(art_ref,A750)&gt;1,"Référence en double",IF(B750="","Désignation manquante",IF(NOT(ISNUMBER(D750)),"Prix manquant",IF(E750="","TVA manquante",IF(ISNA(MATCH(E750,p_tva,0)),"Taux de TVA inconnu",IF(AND(F750&lt;&gt;"",ISNA(MATCH(F750,sup_code,0))),"Fournisseur inconnu","OK")))))))</f>
        <v/>
      </c>
    </row>
    <row r="751">
      <c r="A751" s="63" t="n"/>
      <c r="B751" s="63" t="n"/>
      <c r="C751" s="65" t="n"/>
      <c r="D751" s="69" t="n"/>
      <c r="E751" s="71" t="n"/>
      <c r="F751" s="65" t="n"/>
      <c r="G751" s="74" t="str">
        <f>IF(A751="","",SUMIFS(po_qty,po_ref,A751,po_status,"&lt;&gt;Annulé"))</f>
        <v/>
      </c>
      <c r="H751" s="74" t="str">
        <f>IF(A751="","",SUMIFS(po_rcv,po_ref,A751,po_status,"&lt;&gt;Annulé"))</f>
        <v/>
      </c>
      <c r="I751" s="74" t="str">
        <f>IF(A751="","",SUMIFS(po_rest,po_ref,A751,po_key,"&gt;0"))</f>
        <v/>
      </c>
      <c r="J751" s="70" t="str">
        <f>IF(A751="","",IF(COUNTIFS(po_ref,A751,po_status,"&lt;&gt;Annulé")=0,"",INDEX(po_price,SUMPRODUCT(MAX((po_ref=A751)*(po_status&lt;&gt;"Annulé")*(ROW(po_ref)-5))))))</f>
        <v/>
      </c>
      <c r="K751" s="67" t="str">
        <f>IF(A751="","",IF(COUNTIF(art_ref,A751)&gt;1,"Référence en double",IF(B751="","Désignation manquante",IF(NOT(ISNUMBER(D751)),"Prix manquant",IF(E751="","TVA manquante",IF(ISNA(MATCH(E751,p_tva,0)),"Taux de TVA inconnu",IF(AND(F751&lt;&gt;"",ISNA(MATCH(F751,sup_code,0))),"Fournisseur inconnu","OK")))))))</f>
        <v/>
      </c>
    </row>
    <row r="752">
      <c r="A752" s="63" t="n"/>
      <c r="B752" s="63" t="n"/>
      <c r="C752" s="65" t="n"/>
      <c r="D752" s="69" t="n"/>
      <c r="E752" s="71" t="n"/>
      <c r="F752" s="65" t="n"/>
      <c r="G752" s="74" t="str">
        <f>IF(A752="","",SUMIFS(po_qty,po_ref,A752,po_status,"&lt;&gt;Annulé"))</f>
        <v/>
      </c>
      <c r="H752" s="74" t="str">
        <f>IF(A752="","",SUMIFS(po_rcv,po_ref,A752,po_status,"&lt;&gt;Annulé"))</f>
        <v/>
      </c>
      <c r="I752" s="74" t="str">
        <f>IF(A752="","",SUMIFS(po_rest,po_ref,A752,po_key,"&gt;0"))</f>
        <v/>
      </c>
      <c r="J752" s="70" t="str">
        <f>IF(A752="","",IF(COUNTIFS(po_ref,A752,po_status,"&lt;&gt;Annulé")=0,"",INDEX(po_price,SUMPRODUCT(MAX((po_ref=A752)*(po_status&lt;&gt;"Annulé")*(ROW(po_ref)-5))))))</f>
        <v/>
      </c>
      <c r="K752" s="67" t="str">
        <f>IF(A752="","",IF(COUNTIF(art_ref,A752)&gt;1,"Référence en double",IF(B752="","Désignation manquante",IF(NOT(ISNUMBER(D752)),"Prix manquant",IF(E752="","TVA manquante",IF(ISNA(MATCH(E752,p_tva,0)),"Taux de TVA inconnu",IF(AND(F752&lt;&gt;"",ISNA(MATCH(F752,sup_code,0))),"Fournisseur inconnu","OK")))))))</f>
        <v/>
      </c>
    </row>
    <row r="753">
      <c r="A753" s="63" t="n"/>
      <c r="B753" s="63" t="n"/>
      <c r="C753" s="65" t="n"/>
      <c r="D753" s="69" t="n"/>
      <c r="E753" s="71" t="n"/>
      <c r="F753" s="65" t="n"/>
      <c r="G753" s="74" t="str">
        <f>IF(A753="","",SUMIFS(po_qty,po_ref,A753,po_status,"&lt;&gt;Annulé"))</f>
        <v/>
      </c>
      <c r="H753" s="74" t="str">
        <f>IF(A753="","",SUMIFS(po_rcv,po_ref,A753,po_status,"&lt;&gt;Annulé"))</f>
        <v/>
      </c>
      <c r="I753" s="74" t="str">
        <f>IF(A753="","",SUMIFS(po_rest,po_ref,A753,po_key,"&gt;0"))</f>
        <v/>
      </c>
      <c r="J753" s="70" t="str">
        <f>IF(A753="","",IF(COUNTIFS(po_ref,A753,po_status,"&lt;&gt;Annulé")=0,"",INDEX(po_price,SUMPRODUCT(MAX((po_ref=A753)*(po_status&lt;&gt;"Annulé")*(ROW(po_ref)-5))))))</f>
        <v/>
      </c>
      <c r="K753" s="67" t="str">
        <f>IF(A753="","",IF(COUNTIF(art_ref,A753)&gt;1,"Référence en double",IF(B753="","Désignation manquante",IF(NOT(ISNUMBER(D753)),"Prix manquant",IF(E753="","TVA manquante",IF(ISNA(MATCH(E753,p_tva,0)),"Taux de TVA inconnu",IF(AND(F753&lt;&gt;"",ISNA(MATCH(F753,sup_code,0))),"Fournisseur inconnu","OK")))))))</f>
        <v/>
      </c>
    </row>
    <row r="754">
      <c r="A754" s="63" t="n"/>
      <c r="B754" s="63" t="n"/>
      <c r="C754" s="65" t="n"/>
      <c r="D754" s="69" t="n"/>
      <c r="E754" s="71" t="n"/>
      <c r="F754" s="65" t="n"/>
      <c r="G754" s="74" t="str">
        <f>IF(A754="","",SUMIFS(po_qty,po_ref,A754,po_status,"&lt;&gt;Annulé"))</f>
        <v/>
      </c>
      <c r="H754" s="74" t="str">
        <f>IF(A754="","",SUMIFS(po_rcv,po_ref,A754,po_status,"&lt;&gt;Annulé"))</f>
        <v/>
      </c>
      <c r="I754" s="74" t="str">
        <f>IF(A754="","",SUMIFS(po_rest,po_ref,A754,po_key,"&gt;0"))</f>
        <v/>
      </c>
      <c r="J754" s="70" t="str">
        <f>IF(A754="","",IF(COUNTIFS(po_ref,A754,po_status,"&lt;&gt;Annulé")=0,"",INDEX(po_price,SUMPRODUCT(MAX((po_ref=A754)*(po_status&lt;&gt;"Annulé")*(ROW(po_ref)-5))))))</f>
        <v/>
      </c>
      <c r="K754" s="67" t="str">
        <f>IF(A754="","",IF(COUNTIF(art_ref,A754)&gt;1,"Référence en double",IF(B754="","Désignation manquante",IF(NOT(ISNUMBER(D754)),"Prix manquant",IF(E754="","TVA manquante",IF(ISNA(MATCH(E754,p_tva,0)),"Taux de TVA inconnu",IF(AND(F754&lt;&gt;"",ISNA(MATCH(F754,sup_code,0))),"Fournisseur inconnu","OK")))))))</f>
        <v/>
      </c>
    </row>
    <row r="755">
      <c r="A755" s="63" t="n"/>
      <c r="B755" s="63" t="n"/>
      <c r="C755" s="65" t="n"/>
      <c r="D755" s="69" t="n"/>
      <c r="E755" s="71" t="n"/>
      <c r="F755" s="65" t="n"/>
      <c r="G755" s="74" t="str">
        <f>IF(A755="","",SUMIFS(po_qty,po_ref,A755,po_status,"&lt;&gt;Annulé"))</f>
        <v/>
      </c>
      <c r="H755" s="74" t="str">
        <f>IF(A755="","",SUMIFS(po_rcv,po_ref,A755,po_status,"&lt;&gt;Annulé"))</f>
        <v/>
      </c>
      <c r="I755" s="74" t="str">
        <f>IF(A755="","",SUMIFS(po_rest,po_ref,A755,po_key,"&gt;0"))</f>
        <v/>
      </c>
      <c r="J755" s="70" t="str">
        <f>IF(A755="","",IF(COUNTIFS(po_ref,A755,po_status,"&lt;&gt;Annulé")=0,"",INDEX(po_price,SUMPRODUCT(MAX((po_ref=A755)*(po_status&lt;&gt;"Annulé")*(ROW(po_ref)-5))))))</f>
        <v/>
      </c>
      <c r="K755" s="67" t="str">
        <f>IF(A755="","",IF(COUNTIF(art_ref,A755)&gt;1,"Référence en double",IF(B755="","Désignation manquante",IF(NOT(ISNUMBER(D755)),"Prix manquant",IF(E755="","TVA manquante",IF(ISNA(MATCH(E755,p_tva,0)),"Taux de TVA inconnu",IF(AND(F755&lt;&gt;"",ISNA(MATCH(F755,sup_code,0))),"Fournisseur inconnu","OK")))))))</f>
        <v/>
      </c>
    </row>
    <row r="756">
      <c r="A756" s="63" t="n"/>
      <c r="B756" s="63" t="n"/>
      <c r="C756" s="65" t="n"/>
      <c r="D756" s="69" t="n"/>
      <c r="E756" s="71" t="n"/>
      <c r="F756" s="65" t="n"/>
      <c r="G756" s="74" t="str">
        <f>IF(A756="","",SUMIFS(po_qty,po_ref,A756,po_status,"&lt;&gt;Annulé"))</f>
        <v/>
      </c>
      <c r="H756" s="74" t="str">
        <f>IF(A756="","",SUMIFS(po_rcv,po_ref,A756,po_status,"&lt;&gt;Annulé"))</f>
        <v/>
      </c>
      <c r="I756" s="74" t="str">
        <f>IF(A756="","",SUMIFS(po_rest,po_ref,A756,po_key,"&gt;0"))</f>
        <v/>
      </c>
      <c r="J756" s="70" t="str">
        <f>IF(A756="","",IF(COUNTIFS(po_ref,A756,po_status,"&lt;&gt;Annulé")=0,"",INDEX(po_price,SUMPRODUCT(MAX((po_ref=A756)*(po_status&lt;&gt;"Annulé")*(ROW(po_ref)-5))))))</f>
        <v/>
      </c>
      <c r="K756" s="67" t="str">
        <f>IF(A756="","",IF(COUNTIF(art_ref,A756)&gt;1,"Référence en double",IF(B756="","Désignation manquante",IF(NOT(ISNUMBER(D756)),"Prix manquant",IF(E756="","TVA manquante",IF(ISNA(MATCH(E756,p_tva,0)),"Taux de TVA inconnu",IF(AND(F756&lt;&gt;"",ISNA(MATCH(F756,sup_code,0))),"Fournisseur inconnu","OK")))))))</f>
        <v/>
      </c>
    </row>
    <row r="757">
      <c r="A757" s="63" t="n"/>
      <c r="B757" s="63" t="n"/>
      <c r="C757" s="65" t="n"/>
      <c r="D757" s="69" t="n"/>
      <c r="E757" s="71" t="n"/>
      <c r="F757" s="65" t="n"/>
      <c r="G757" s="74" t="str">
        <f>IF(A757="","",SUMIFS(po_qty,po_ref,A757,po_status,"&lt;&gt;Annulé"))</f>
        <v/>
      </c>
      <c r="H757" s="74" t="str">
        <f>IF(A757="","",SUMIFS(po_rcv,po_ref,A757,po_status,"&lt;&gt;Annulé"))</f>
        <v/>
      </c>
      <c r="I757" s="74" t="str">
        <f>IF(A757="","",SUMIFS(po_rest,po_ref,A757,po_key,"&gt;0"))</f>
        <v/>
      </c>
      <c r="J757" s="70" t="str">
        <f>IF(A757="","",IF(COUNTIFS(po_ref,A757,po_status,"&lt;&gt;Annulé")=0,"",INDEX(po_price,SUMPRODUCT(MAX((po_ref=A757)*(po_status&lt;&gt;"Annulé")*(ROW(po_ref)-5))))))</f>
        <v/>
      </c>
      <c r="K757" s="67" t="str">
        <f>IF(A757="","",IF(COUNTIF(art_ref,A757)&gt;1,"Référence en double",IF(B757="","Désignation manquante",IF(NOT(ISNUMBER(D757)),"Prix manquant",IF(E757="","TVA manquante",IF(ISNA(MATCH(E757,p_tva,0)),"Taux de TVA inconnu",IF(AND(F757&lt;&gt;"",ISNA(MATCH(F757,sup_code,0))),"Fournisseur inconnu","OK")))))))</f>
        <v/>
      </c>
    </row>
    <row r="758">
      <c r="A758" s="63" t="n"/>
      <c r="B758" s="63" t="n"/>
      <c r="C758" s="65" t="n"/>
      <c r="D758" s="69" t="n"/>
      <c r="E758" s="71" t="n"/>
      <c r="F758" s="65" t="n"/>
      <c r="G758" s="74" t="str">
        <f>IF(A758="","",SUMIFS(po_qty,po_ref,A758,po_status,"&lt;&gt;Annulé"))</f>
        <v/>
      </c>
      <c r="H758" s="74" t="str">
        <f>IF(A758="","",SUMIFS(po_rcv,po_ref,A758,po_status,"&lt;&gt;Annulé"))</f>
        <v/>
      </c>
      <c r="I758" s="74" t="str">
        <f>IF(A758="","",SUMIFS(po_rest,po_ref,A758,po_key,"&gt;0"))</f>
        <v/>
      </c>
      <c r="J758" s="70" t="str">
        <f>IF(A758="","",IF(COUNTIFS(po_ref,A758,po_status,"&lt;&gt;Annulé")=0,"",INDEX(po_price,SUMPRODUCT(MAX((po_ref=A758)*(po_status&lt;&gt;"Annulé")*(ROW(po_ref)-5))))))</f>
        <v/>
      </c>
      <c r="K758" s="67" t="str">
        <f>IF(A758="","",IF(COUNTIF(art_ref,A758)&gt;1,"Référence en double",IF(B758="","Désignation manquante",IF(NOT(ISNUMBER(D758)),"Prix manquant",IF(E758="","TVA manquante",IF(ISNA(MATCH(E758,p_tva,0)),"Taux de TVA inconnu",IF(AND(F758&lt;&gt;"",ISNA(MATCH(F758,sup_code,0))),"Fournisseur inconnu","OK")))))))</f>
        <v/>
      </c>
    </row>
    <row r="759">
      <c r="A759" s="63" t="n"/>
      <c r="B759" s="63" t="n"/>
      <c r="C759" s="65" t="n"/>
      <c r="D759" s="69" t="n"/>
      <c r="E759" s="71" t="n"/>
      <c r="F759" s="65" t="n"/>
      <c r="G759" s="74" t="str">
        <f>IF(A759="","",SUMIFS(po_qty,po_ref,A759,po_status,"&lt;&gt;Annulé"))</f>
        <v/>
      </c>
      <c r="H759" s="74" t="str">
        <f>IF(A759="","",SUMIFS(po_rcv,po_ref,A759,po_status,"&lt;&gt;Annulé"))</f>
        <v/>
      </c>
      <c r="I759" s="74" t="str">
        <f>IF(A759="","",SUMIFS(po_rest,po_ref,A759,po_key,"&gt;0"))</f>
        <v/>
      </c>
      <c r="J759" s="70" t="str">
        <f>IF(A759="","",IF(COUNTIFS(po_ref,A759,po_status,"&lt;&gt;Annulé")=0,"",INDEX(po_price,SUMPRODUCT(MAX((po_ref=A759)*(po_status&lt;&gt;"Annulé")*(ROW(po_ref)-5))))))</f>
        <v/>
      </c>
      <c r="K759" s="67" t="str">
        <f>IF(A759="","",IF(COUNTIF(art_ref,A759)&gt;1,"Référence en double",IF(B759="","Désignation manquante",IF(NOT(ISNUMBER(D759)),"Prix manquant",IF(E759="","TVA manquante",IF(ISNA(MATCH(E759,p_tva,0)),"Taux de TVA inconnu",IF(AND(F759&lt;&gt;"",ISNA(MATCH(F759,sup_code,0))),"Fournisseur inconnu","OK")))))))</f>
        <v/>
      </c>
    </row>
    <row r="760">
      <c r="A760" s="63" t="n"/>
      <c r="B760" s="63" t="n"/>
      <c r="C760" s="65" t="n"/>
      <c r="D760" s="69" t="n"/>
      <c r="E760" s="71" t="n"/>
      <c r="F760" s="65" t="n"/>
      <c r="G760" s="74" t="str">
        <f>IF(A760="","",SUMIFS(po_qty,po_ref,A760,po_status,"&lt;&gt;Annulé"))</f>
        <v/>
      </c>
      <c r="H760" s="74" t="str">
        <f>IF(A760="","",SUMIFS(po_rcv,po_ref,A760,po_status,"&lt;&gt;Annulé"))</f>
        <v/>
      </c>
      <c r="I760" s="74" t="str">
        <f>IF(A760="","",SUMIFS(po_rest,po_ref,A760,po_key,"&gt;0"))</f>
        <v/>
      </c>
      <c r="J760" s="70" t="str">
        <f>IF(A760="","",IF(COUNTIFS(po_ref,A760,po_status,"&lt;&gt;Annulé")=0,"",INDEX(po_price,SUMPRODUCT(MAX((po_ref=A760)*(po_status&lt;&gt;"Annulé")*(ROW(po_ref)-5))))))</f>
        <v/>
      </c>
      <c r="K760" s="67" t="str">
        <f>IF(A760="","",IF(COUNTIF(art_ref,A760)&gt;1,"Référence en double",IF(B760="","Désignation manquante",IF(NOT(ISNUMBER(D760)),"Prix manquant",IF(E760="","TVA manquante",IF(ISNA(MATCH(E760,p_tva,0)),"Taux de TVA inconnu",IF(AND(F760&lt;&gt;"",ISNA(MATCH(F760,sup_code,0))),"Fournisseur inconnu","OK")))))))</f>
        <v/>
      </c>
    </row>
    <row r="761">
      <c r="A761" s="63" t="n"/>
      <c r="B761" s="63" t="n"/>
      <c r="C761" s="65" t="n"/>
      <c r="D761" s="69" t="n"/>
      <c r="E761" s="71" t="n"/>
      <c r="F761" s="65" t="n"/>
      <c r="G761" s="74" t="str">
        <f>IF(A761="","",SUMIFS(po_qty,po_ref,A761,po_status,"&lt;&gt;Annulé"))</f>
        <v/>
      </c>
      <c r="H761" s="74" t="str">
        <f>IF(A761="","",SUMIFS(po_rcv,po_ref,A761,po_status,"&lt;&gt;Annulé"))</f>
        <v/>
      </c>
      <c r="I761" s="74" t="str">
        <f>IF(A761="","",SUMIFS(po_rest,po_ref,A761,po_key,"&gt;0"))</f>
        <v/>
      </c>
      <c r="J761" s="70" t="str">
        <f>IF(A761="","",IF(COUNTIFS(po_ref,A761,po_status,"&lt;&gt;Annulé")=0,"",INDEX(po_price,SUMPRODUCT(MAX((po_ref=A761)*(po_status&lt;&gt;"Annulé")*(ROW(po_ref)-5))))))</f>
        <v/>
      </c>
      <c r="K761" s="67" t="str">
        <f>IF(A761="","",IF(COUNTIF(art_ref,A761)&gt;1,"Référence en double",IF(B761="","Désignation manquante",IF(NOT(ISNUMBER(D761)),"Prix manquant",IF(E761="","TVA manquante",IF(ISNA(MATCH(E761,p_tva,0)),"Taux de TVA inconnu",IF(AND(F761&lt;&gt;"",ISNA(MATCH(F761,sup_code,0))),"Fournisseur inconnu","OK")))))))</f>
        <v/>
      </c>
    </row>
    <row r="762">
      <c r="A762" s="63" t="n"/>
      <c r="B762" s="63" t="n"/>
      <c r="C762" s="65" t="n"/>
      <c r="D762" s="69" t="n"/>
      <c r="E762" s="71" t="n"/>
      <c r="F762" s="65" t="n"/>
      <c r="G762" s="74" t="str">
        <f>IF(A762="","",SUMIFS(po_qty,po_ref,A762,po_status,"&lt;&gt;Annulé"))</f>
        <v/>
      </c>
      <c r="H762" s="74" t="str">
        <f>IF(A762="","",SUMIFS(po_rcv,po_ref,A762,po_status,"&lt;&gt;Annulé"))</f>
        <v/>
      </c>
      <c r="I762" s="74" t="str">
        <f>IF(A762="","",SUMIFS(po_rest,po_ref,A762,po_key,"&gt;0"))</f>
        <v/>
      </c>
      <c r="J762" s="70" t="str">
        <f>IF(A762="","",IF(COUNTIFS(po_ref,A762,po_status,"&lt;&gt;Annulé")=0,"",INDEX(po_price,SUMPRODUCT(MAX((po_ref=A762)*(po_status&lt;&gt;"Annulé")*(ROW(po_ref)-5))))))</f>
        <v/>
      </c>
      <c r="K762" s="67" t="str">
        <f>IF(A762="","",IF(COUNTIF(art_ref,A762)&gt;1,"Référence en double",IF(B762="","Désignation manquante",IF(NOT(ISNUMBER(D762)),"Prix manquant",IF(E762="","TVA manquante",IF(ISNA(MATCH(E762,p_tva,0)),"Taux de TVA inconnu",IF(AND(F762&lt;&gt;"",ISNA(MATCH(F762,sup_code,0))),"Fournisseur inconnu","OK")))))))</f>
        <v/>
      </c>
    </row>
    <row r="763">
      <c r="A763" s="63" t="n"/>
      <c r="B763" s="63" t="n"/>
      <c r="C763" s="65" t="n"/>
      <c r="D763" s="69" t="n"/>
      <c r="E763" s="71" t="n"/>
      <c r="F763" s="65" t="n"/>
      <c r="G763" s="74" t="str">
        <f>IF(A763="","",SUMIFS(po_qty,po_ref,A763,po_status,"&lt;&gt;Annulé"))</f>
        <v/>
      </c>
      <c r="H763" s="74" t="str">
        <f>IF(A763="","",SUMIFS(po_rcv,po_ref,A763,po_status,"&lt;&gt;Annulé"))</f>
        <v/>
      </c>
      <c r="I763" s="74" t="str">
        <f>IF(A763="","",SUMIFS(po_rest,po_ref,A763,po_key,"&gt;0"))</f>
        <v/>
      </c>
      <c r="J763" s="70" t="str">
        <f>IF(A763="","",IF(COUNTIFS(po_ref,A763,po_status,"&lt;&gt;Annulé")=0,"",INDEX(po_price,SUMPRODUCT(MAX((po_ref=A763)*(po_status&lt;&gt;"Annulé")*(ROW(po_ref)-5))))))</f>
        <v/>
      </c>
      <c r="K763" s="67" t="str">
        <f>IF(A763="","",IF(COUNTIF(art_ref,A763)&gt;1,"Référence en double",IF(B763="","Désignation manquante",IF(NOT(ISNUMBER(D763)),"Prix manquant",IF(E763="","TVA manquante",IF(ISNA(MATCH(E763,p_tva,0)),"Taux de TVA inconnu",IF(AND(F763&lt;&gt;"",ISNA(MATCH(F763,sup_code,0))),"Fournisseur inconnu","OK")))))))</f>
        <v/>
      </c>
    </row>
    <row r="764">
      <c r="A764" s="63" t="n"/>
      <c r="B764" s="63" t="n"/>
      <c r="C764" s="65" t="n"/>
      <c r="D764" s="69" t="n"/>
      <c r="E764" s="71" t="n"/>
      <c r="F764" s="65" t="n"/>
      <c r="G764" s="74" t="str">
        <f>IF(A764="","",SUMIFS(po_qty,po_ref,A764,po_status,"&lt;&gt;Annulé"))</f>
        <v/>
      </c>
      <c r="H764" s="74" t="str">
        <f>IF(A764="","",SUMIFS(po_rcv,po_ref,A764,po_status,"&lt;&gt;Annulé"))</f>
        <v/>
      </c>
      <c r="I764" s="74" t="str">
        <f>IF(A764="","",SUMIFS(po_rest,po_ref,A764,po_key,"&gt;0"))</f>
        <v/>
      </c>
      <c r="J764" s="70" t="str">
        <f>IF(A764="","",IF(COUNTIFS(po_ref,A764,po_status,"&lt;&gt;Annulé")=0,"",INDEX(po_price,SUMPRODUCT(MAX((po_ref=A764)*(po_status&lt;&gt;"Annulé")*(ROW(po_ref)-5))))))</f>
        <v/>
      </c>
      <c r="K764" s="67" t="str">
        <f>IF(A764="","",IF(COUNTIF(art_ref,A764)&gt;1,"Référence en double",IF(B764="","Désignation manquante",IF(NOT(ISNUMBER(D764)),"Prix manquant",IF(E764="","TVA manquante",IF(ISNA(MATCH(E764,p_tva,0)),"Taux de TVA inconnu",IF(AND(F764&lt;&gt;"",ISNA(MATCH(F764,sup_code,0))),"Fournisseur inconnu","OK")))))))</f>
        <v/>
      </c>
    </row>
    <row r="765">
      <c r="A765" s="63" t="n"/>
      <c r="B765" s="63" t="n"/>
      <c r="C765" s="65" t="n"/>
      <c r="D765" s="69" t="n"/>
      <c r="E765" s="71" t="n"/>
      <c r="F765" s="65" t="n"/>
      <c r="G765" s="74" t="str">
        <f>IF(A765="","",SUMIFS(po_qty,po_ref,A765,po_status,"&lt;&gt;Annulé"))</f>
        <v/>
      </c>
      <c r="H765" s="74" t="str">
        <f>IF(A765="","",SUMIFS(po_rcv,po_ref,A765,po_status,"&lt;&gt;Annulé"))</f>
        <v/>
      </c>
      <c r="I765" s="74" t="str">
        <f>IF(A765="","",SUMIFS(po_rest,po_ref,A765,po_key,"&gt;0"))</f>
        <v/>
      </c>
      <c r="J765" s="70" t="str">
        <f>IF(A765="","",IF(COUNTIFS(po_ref,A765,po_status,"&lt;&gt;Annulé")=0,"",INDEX(po_price,SUMPRODUCT(MAX((po_ref=A765)*(po_status&lt;&gt;"Annulé")*(ROW(po_ref)-5))))))</f>
        <v/>
      </c>
      <c r="K765" s="67" t="str">
        <f>IF(A765="","",IF(COUNTIF(art_ref,A765)&gt;1,"Référence en double",IF(B765="","Désignation manquante",IF(NOT(ISNUMBER(D765)),"Prix manquant",IF(E765="","TVA manquante",IF(ISNA(MATCH(E765,p_tva,0)),"Taux de TVA inconnu",IF(AND(F765&lt;&gt;"",ISNA(MATCH(F765,sup_code,0))),"Fournisseur inconnu","OK")))))))</f>
        <v/>
      </c>
    </row>
    <row r="766">
      <c r="A766" s="63" t="n"/>
      <c r="B766" s="63" t="n"/>
      <c r="C766" s="65" t="n"/>
      <c r="D766" s="69" t="n"/>
      <c r="E766" s="71" t="n"/>
      <c r="F766" s="65" t="n"/>
      <c r="G766" s="74" t="str">
        <f>IF(A766="","",SUMIFS(po_qty,po_ref,A766,po_status,"&lt;&gt;Annulé"))</f>
        <v/>
      </c>
      <c r="H766" s="74" t="str">
        <f>IF(A766="","",SUMIFS(po_rcv,po_ref,A766,po_status,"&lt;&gt;Annulé"))</f>
        <v/>
      </c>
      <c r="I766" s="74" t="str">
        <f>IF(A766="","",SUMIFS(po_rest,po_ref,A766,po_key,"&gt;0"))</f>
        <v/>
      </c>
      <c r="J766" s="70" t="str">
        <f>IF(A766="","",IF(COUNTIFS(po_ref,A766,po_status,"&lt;&gt;Annulé")=0,"",INDEX(po_price,SUMPRODUCT(MAX((po_ref=A766)*(po_status&lt;&gt;"Annulé")*(ROW(po_ref)-5))))))</f>
        <v/>
      </c>
      <c r="K766" s="67" t="str">
        <f>IF(A766="","",IF(COUNTIF(art_ref,A766)&gt;1,"Référence en double",IF(B766="","Désignation manquante",IF(NOT(ISNUMBER(D766)),"Prix manquant",IF(E766="","TVA manquante",IF(ISNA(MATCH(E766,p_tva,0)),"Taux de TVA inconnu",IF(AND(F766&lt;&gt;"",ISNA(MATCH(F766,sup_code,0))),"Fournisseur inconnu","OK")))))))</f>
        <v/>
      </c>
    </row>
    <row r="767">
      <c r="A767" s="63" t="n"/>
      <c r="B767" s="63" t="n"/>
      <c r="C767" s="65" t="n"/>
      <c r="D767" s="69" t="n"/>
      <c r="E767" s="71" t="n"/>
      <c r="F767" s="65" t="n"/>
      <c r="G767" s="74" t="str">
        <f>IF(A767="","",SUMIFS(po_qty,po_ref,A767,po_status,"&lt;&gt;Annulé"))</f>
        <v/>
      </c>
      <c r="H767" s="74" t="str">
        <f>IF(A767="","",SUMIFS(po_rcv,po_ref,A767,po_status,"&lt;&gt;Annulé"))</f>
        <v/>
      </c>
      <c r="I767" s="74" t="str">
        <f>IF(A767="","",SUMIFS(po_rest,po_ref,A767,po_key,"&gt;0"))</f>
        <v/>
      </c>
      <c r="J767" s="70" t="str">
        <f>IF(A767="","",IF(COUNTIFS(po_ref,A767,po_status,"&lt;&gt;Annulé")=0,"",INDEX(po_price,SUMPRODUCT(MAX((po_ref=A767)*(po_status&lt;&gt;"Annulé")*(ROW(po_ref)-5))))))</f>
        <v/>
      </c>
      <c r="K767" s="67" t="str">
        <f>IF(A767="","",IF(COUNTIF(art_ref,A767)&gt;1,"Référence en double",IF(B767="","Désignation manquante",IF(NOT(ISNUMBER(D767)),"Prix manquant",IF(E767="","TVA manquante",IF(ISNA(MATCH(E767,p_tva,0)),"Taux de TVA inconnu",IF(AND(F767&lt;&gt;"",ISNA(MATCH(F767,sup_code,0))),"Fournisseur inconnu","OK")))))))</f>
        <v/>
      </c>
    </row>
    <row r="768">
      <c r="A768" s="63" t="n"/>
      <c r="B768" s="63" t="n"/>
      <c r="C768" s="65" t="n"/>
      <c r="D768" s="69" t="n"/>
      <c r="E768" s="71" t="n"/>
      <c r="F768" s="65" t="n"/>
      <c r="G768" s="74" t="str">
        <f>IF(A768="","",SUMIFS(po_qty,po_ref,A768,po_status,"&lt;&gt;Annulé"))</f>
        <v/>
      </c>
      <c r="H768" s="74" t="str">
        <f>IF(A768="","",SUMIFS(po_rcv,po_ref,A768,po_status,"&lt;&gt;Annulé"))</f>
        <v/>
      </c>
      <c r="I768" s="74" t="str">
        <f>IF(A768="","",SUMIFS(po_rest,po_ref,A768,po_key,"&gt;0"))</f>
        <v/>
      </c>
      <c r="J768" s="70" t="str">
        <f>IF(A768="","",IF(COUNTIFS(po_ref,A768,po_status,"&lt;&gt;Annulé")=0,"",INDEX(po_price,SUMPRODUCT(MAX((po_ref=A768)*(po_status&lt;&gt;"Annulé")*(ROW(po_ref)-5))))))</f>
        <v/>
      </c>
      <c r="K768" s="67" t="str">
        <f>IF(A768="","",IF(COUNTIF(art_ref,A768)&gt;1,"Référence en double",IF(B768="","Désignation manquante",IF(NOT(ISNUMBER(D768)),"Prix manquant",IF(E768="","TVA manquante",IF(ISNA(MATCH(E768,p_tva,0)),"Taux de TVA inconnu",IF(AND(F768&lt;&gt;"",ISNA(MATCH(F768,sup_code,0))),"Fournisseur inconnu","OK")))))))</f>
        <v/>
      </c>
    </row>
    <row r="769">
      <c r="A769" s="63" t="n"/>
      <c r="B769" s="63" t="n"/>
      <c r="C769" s="65" t="n"/>
      <c r="D769" s="69" t="n"/>
      <c r="E769" s="71" t="n"/>
      <c r="F769" s="65" t="n"/>
      <c r="G769" s="74" t="str">
        <f>IF(A769="","",SUMIFS(po_qty,po_ref,A769,po_status,"&lt;&gt;Annulé"))</f>
        <v/>
      </c>
      <c r="H769" s="74" t="str">
        <f>IF(A769="","",SUMIFS(po_rcv,po_ref,A769,po_status,"&lt;&gt;Annulé"))</f>
        <v/>
      </c>
      <c r="I769" s="74" t="str">
        <f>IF(A769="","",SUMIFS(po_rest,po_ref,A769,po_key,"&gt;0"))</f>
        <v/>
      </c>
      <c r="J769" s="70" t="str">
        <f>IF(A769="","",IF(COUNTIFS(po_ref,A769,po_status,"&lt;&gt;Annulé")=0,"",INDEX(po_price,SUMPRODUCT(MAX((po_ref=A769)*(po_status&lt;&gt;"Annulé")*(ROW(po_ref)-5))))))</f>
        <v/>
      </c>
      <c r="K769" s="67" t="str">
        <f>IF(A769="","",IF(COUNTIF(art_ref,A769)&gt;1,"Référence en double",IF(B769="","Désignation manquante",IF(NOT(ISNUMBER(D769)),"Prix manquant",IF(E769="","TVA manquante",IF(ISNA(MATCH(E769,p_tva,0)),"Taux de TVA inconnu",IF(AND(F769&lt;&gt;"",ISNA(MATCH(F769,sup_code,0))),"Fournisseur inconnu","OK")))))))</f>
        <v/>
      </c>
    </row>
    <row r="770">
      <c r="A770" s="63" t="n"/>
      <c r="B770" s="63" t="n"/>
      <c r="C770" s="65" t="n"/>
      <c r="D770" s="69" t="n"/>
      <c r="E770" s="71" t="n"/>
      <c r="F770" s="65" t="n"/>
      <c r="G770" s="74" t="str">
        <f>IF(A770="","",SUMIFS(po_qty,po_ref,A770,po_status,"&lt;&gt;Annulé"))</f>
        <v/>
      </c>
      <c r="H770" s="74" t="str">
        <f>IF(A770="","",SUMIFS(po_rcv,po_ref,A770,po_status,"&lt;&gt;Annulé"))</f>
        <v/>
      </c>
      <c r="I770" s="74" t="str">
        <f>IF(A770="","",SUMIFS(po_rest,po_ref,A770,po_key,"&gt;0"))</f>
        <v/>
      </c>
      <c r="J770" s="70" t="str">
        <f>IF(A770="","",IF(COUNTIFS(po_ref,A770,po_status,"&lt;&gt;Annulé")=0,"",INDEX(po_price,SUMPRODUCT(MAX((po_ref=A770)*(po_status&lt;&gt;"Annulé")*(ROW(po_ref)-5))))))</f>
        <v/>
      </c>
      <c r="K770" s="67" t="str">
        <f>IF(A770="","",IF(COUNTIF(art_ref,A770)&gt;1,"Référence en double",IF(B770="","Désignation manquante",IF(NOT(ISNUMBER(D770)),"Prix manquant",IF(E770="","TVA manquante",IF(ISNA(MATCH(E770,p_tva,0)),"Taux de TVA inconnu",IF(AND(F770&lt;&gt;"",ISNA(MATCH(F770,sup_code,0))),"Fournisseur inconnu","OK")))))))</f>
        <v/>
      </c>
    </row>
    <row r="771">
      <c r="A771" s="63" t="n"/>
      <c r="B771" s="63" t="n"/>
      <c r="C771" s="65" t="n"/>
      <c r="D771" s="69" t="n"/>
      <c r="E771" s="71" t="n"/>
      <c r="F771" s="65" t="n"/>
      <c r="G771" s="74" t="str">
        <f>IF(A771="","",SUMIFS(po_qty,po_ref,A771,po_status,"&lt;&gt;Annulé"))</f>
        <v/>
      </c>
      <c r="H771" s="74" t="str">
        <f>IF(A771="","",SUMIFS(po_rcv,po_ref,A771,po_status,"&lt;&gt;Annulé"))</f>
        <v/>
      </c>
      <c r="I771" s="74" t="str">
        <f>IF(A771="","",SUMIFS(po_rest,po_ref,A771,po_key,"&gt;0"))</f>
        <v/>
      </c>
      <c r="J771" s="70" t="str">
        <f>IF(A771="","",IF(COUNTIFS(po_ref,A771,po_status,"&lt;&gt;Annulé")=0,"",INDEX(po_price,SUMPRODUCT(MAX((po_ref=A771)*(po_status&lt;&gt;"Annulé")*(ROW(po_ref)-5))))))</f>
        <v/>
      </c>
      <c r="K771" s="67" t="str">
        <f>IF(A771="","",IF(COUNTIF(art_ref,A771)&gt;1,"Référence en double",IF(B771="","Désignation manquante",IF(NOT(ISNUMBER(D771)),"Prix manquant",IF(E771="","TVA manquante",IF(ISNA(MATCH(E771,p_tva,0)),"Taux de TVA inconnu",IF(AND(F771&lt;&gt;"",ISNA(MATCH(F771,sup_code,0))),"Fournisseur inconnu","OK")))))))</f>
        <v/>
      </c>
    </row>
    <row r="772">
      <c r="A772" s="63" t="n"/>
      <c r="B772" s="63" t="n"/>
      <c r="C772" s="65" t="n"/>
      <c r="D772" s="69" t="n"/>
      <c r="E772" s="71" t="n"/>
      <c r="F772" s="65" t="n"/>
      <c r="G772" s="74" t="str">
        <f>IF(A772="","",SUMIFS(po_qty,po_ref,A772,po_status,"&lt;&gt;Annulé"))</f>
        <v/>
      </c>
      <c r="H772" s="74" t="str">
        <f>IF(A772="","",SUMIFS(po_rcv,po_ref,A772,po_status,"&lt;&gt;Annulé"))</f>
        <v/>
      </c>
      <c r="I772" s="74" t="str">
        <f>IF(A772="","",SUMIFS(po_rest,po_ref,A772,po_key,"&gt;0"))</f>
        <v/>
      </c>
      <c r="J772" s="70" t="str">
        <f>IF(A772="","",IF(COUNTIFS(po_ref,A772,po_status,"&lt;&gt;Annulé")=0,"",INDEX(po_price,SUMPRODUCT(MAX((po_ref=A772)*(po_status&lt;&gt;"Annulé")*(ROW(po_ref)-5))))))</f>
        <v/>
      </c>
      <c r="K772" s="67" t="str">
        <f>IF(A772="","",IF(COUNTIF(art_ref,A772)&gt;1,"Référence en double",IF(B772="","Désignation manquante",IF(NOT(ISNUMBER(D772)),"Prix manquant",IF(E772="","TVA manquante",IF(ISNA(MATCH(E772,p_tva,0)),"Taux de TVA inconnu",IF(AND(F772&lt;&gt;"",ISNA(MATCH(F772,sup_code,0))),"Fournisseur inconnu","OK")))))))</f>
        <v/>
      </c>
    </row>
    <row r="773">
      <c r="A773" s="63" t="n"/>
      <c r="B773" s="63" t="n"/>
      <c r="C773" s="65" t="n"/>
      <c r="D773" s="69" t="n"/>
      <c r="E773" s="71" t="n"/>
      <c r="F773" s="65" t="n"/>
      <c r="G773" s="74" t="str">
        <f>IF(A773="","",SUMIFS(po_qty,po_ref,A773,po_status,"&lt;&gt;Annulé"))</f>
        <v/>
      </c>
      <c r="H773" s="74" t="str">
        <f>IF(A773="","",SUMIFS(po_rcv,po_ref,A773,po_status,"&lt;&gt;Annulé"))</f>
        <v/>
      </c>
      <c r="I773" s="74" t="str">
        <f>IF(A773="","",SUMIFS(po_rest,po_ref,A773,po_key,"&gt;0"))</f>
        <v/>
      </c>
      <c r="J773" s="70" t="str">
        <f>IF(A773="","",IF(COUNTIFS(po_ref,A773,po_status,"&lt;&gt;Annulé")=0,"",INDEX(po_price,SUMPRODUCT(MAX((po_ref=A773)*(po_status&lt;&gt;"Annulé")*(ROW(po_ref)-5))))))</f>
        <v/>
      </c>
      <c r="K773" s="67" t="str">
        <f>IF(A773="","",IF(COUNTIF(art_ref,A773)&gt;1,"Référence en double",IF(B773="","Désignation manquante",IF(NOT(ISNUMBER(D773)),"Prix manquant",IF(E773="","TVA manquante",IF(ISNA(MATCH(E773,p_tva,0)),"Taux de TVA inconnu",IF(AND(F773&lt;&gt;"",ISNA(MATCH(F773,sup_code,0))),"Fournisseur inconnu","OK")))))))</f>
        <v/>
      </c>
    </row>
    <row r="774">
      <c r="A774" s="63" t="n"/>
      <c r="B774" s="63" t="n"/>
      <c r="C774" s="65" t="n"/>
      <c r="D774" s="69" t="n"/>
      <c r="E774" s="71" t="n"/>
      <c r="F774" s="65" t="n"/>
      <c r="G774" s="74" t="str">
        <f>IF(A774="","",SUMIFS(po_qty,po_ref,A774,po_status,"&lt;&gt;Annulé"))</f>
        <v/>
      </c>
      <c r="H774" s="74" t="str">
        <f>IF(A774="","",SUMIFS(po_rcv,po_ref,A774,po_status,"&lt;&gt;Annulé"))</f>
        <v/>
      </c>
      <c r="I774" s="74" t="str">
        <f>IF(A774="","",SUMIFS(po_rest,po_ref,A774,po_key,"&gt;0"))</f>
        <v/>
      </c>
      <c r="J774" s="70" t="str">
        <f>IF(A774="","",IF(COUNTIFS(po_ref,A774,po_status,"&lt;&gt;Annulé")=0,"",INDEX(po_price,SUMPRODUCT(MAX((po_ref=A774)*(po_status&lt;&gt;"Annulé")*(ROW(po_ref)-5))))))</f>
        <v/>
      </c>
      <c r="K774" s="67" t="str">
        <f>IF(A774="","",IF(COUNTIF(art_ref,A774)&gt;1,"Référence en double",IF(B774="","Désignation manquante",IF(NOT(ISNUMBER(D774)),"Prix manquant",IF(E774="","TVA manquante",IF(ISNA(MATCH(E774,p_tva,0)),"Taux de TVA inconnu",IF(AND(F774&lt;&gt;"",ISNA(MATCH(F774,sup_code,0))),"Fournisseur inconnu","OK")))))))</f>
        <v/>
      </c>
    </row>
    <row r="775">
      <c r="A775" s="63" t="n"/>
      <c r="B775" s="63" t="n"/>
      <c r="C775" s="65" t="n"/>
      <c r="D775" s="69" t="n"/>
      <c r="E775" s="71" t="n"/>
      <c r="F775" s="65" t="n"/>
      <c r="G775" s="74" t="str">
        <f>IF(A775="","",SUMIFS(po_qty,po_ref,A775,po_status,"&lt;&gt;Annulé"))</f>
        <v/>
      </c>
      <c r="H775" s="74" t="str">
        <f>IF(A775="","",SUMIFS(po_rcv,po_ref,A775,po_status,"&lt;&gt;Annulé"))</f>
        <v/>
      </c>
      <c r="I775" s="74" t="str">
        <f>IF(A775="","",SUMIFS(po_rest,po_ref,A775,po_key,"&gt;0"))</f>
        <v/>
      </c>
      <c r="J775" s="70" t="str">
        <f>IF(A775="","",IF(COUNTIFS(po_ref,A775,po_status,"&lt;&gt;Annulé")=0,"",INDEX(po_price,SUMPRODUCT(MAX((po_ref=A775)*(po_status&lt;&gt;"Annulé")*(ROW(po_ref)-5))))))</f>
        <v/>
      </c>
      <c r="K775" s="67" t="str">
        <f>IF(A775="","",IF(COUNTIF(art_ref,A775)&gt;1,"Référence en double",IF(B775="","Désignation manquante",IF(NOT(ISNUMBER(D775)),"Prix manquant",IF(E775="","TVA manquante",IF(ISNA(MATCH(E775,p_tva,0)),"Taux de TVA inconnu",IF(AND(F775&lt;&gt;"",ISNA(MATCH(F775,sup_code,0))),"Fournisseur inconnu","OK")))))))</f>
        <v/>
      </c>
    </row>
    <row r="776">
      <c r="A776" s="63" t="n"/>
      <c r="B776" s="63" t="n"/>
      <c r="C776" s="65" t="n"/>
      <c r="D776" s="69" t="n"/>
      <c r="E776" s="71" t="n"/>
      <c r="F776" s="65" t="n"/>
      <c r="G776" s="74" t="str">
        <f>IF(A776="","",SUMIFS(po_qty,po_ref,A776,po_status,"&lt;&gt;Annulé"))</f>
        <v/>
      </c>
      <c r="H776" s="74" t="str">
        <f>IF(A776="","",SUMIFS(po_rcv,po_ref,A776,po_status,"&lt;&gt;Annulé"))</f>
        <v/>
      </c>
      <c r="I776" s="74" t="str">
        <f>IF(A776="","",SUMIFS(po_rest,po_ref,A776,po_key,"&gt;0"))</f>
        <v/>
      </c>
      <c r="J776" s="70" t="str">
        <f>IF(A776="","",IF(COUNTIFS(po_ref,A776,po_status,"&lt;&gt;Annulé")=0,"",INDEX(po_price,SUMPRODUCT(MAX((po_ref=A776)*(po_status&lt;&gt;"Annulé")*(ROW(po_ref)-5))))))</f>
        <v/>
      </c>
      <c r="K776" s="67" t="str">
        <f>IF(A776="","",IF(COUNTIF(art_ref,A776)&gt;1,"Référence en double",IF(B776="","Désignation manquante",IF(NOT(ISNUMBER(D776)),"Prix manquant",IF(E776="","TVA manquante",IF(ISNA(MATCH(E776,p_tva,0)),"Taux de TVA inconnu",IF(AND(F776&lt;&gt;"",ISNA(MATCH(F776,sup_code,0))),"Fournisseur inconnu","OK")))))))</f>
        <v/>
      </c>
    </row>
    <row r="777">
      <c r="A777" s="63" t="n"/>
      <c r="B777" s="63" t="n"/>
      <c r="C777" s="65" t="n"/>
      <c r="D777" s="69" t="n"/>
      <c r="E777" s="71" t="n"/>
      <c r="F777" s="65" t="n"/>
      <c r="G777" s="74" t="str">
        <f>IF(A777="","",SUMIFS(po_qty,po_ref,A777,po_status,"&lt;&gt;Annulé"))</f>
        <v/>
      </c>
      <c r="H777" s="74" t="str">
        <f>IF(A777="","",SUMIFS(po_rcv,po_ref,A777,po_status,"&lt;&gt;Annulé"))</f>
        <v/>
      </c>
      <c r="I777" s="74" t="str">
        <f>IF(A777="","",SUMIFS(po_rest,po_ref,A777,po_key,"&gt;0"))</f>
        <v/>
      </c>
      <c r="J777" s="70" t="str">
        <f>IF(A777="","",IF(COUNTIFS(po_ref,A777,po_status,"&lt;&gt;Annulé")=0,"",INDEX(po_price,SUMPRODUCT(MAX((po_ref=A777)*(po_status&lt;&gt;"Annulé")*(ROW(po_ref)-5))))))</f>
        <v/>
      </c>
      <c r="K777" s="67" t="str">
        <f>IF(A777="","",IF(COUNTIF(art_ref,A777)&gt;1,"Référence en double",IF(B777="","Désignation manquante",IF(NOT(ISNUMBER(D777)),"Prix manquant",IF(E777="","TVA manquante",IF(ISNA(MATCH(E777,p_tva,0)),"Taux de TVA inconnu",IF(AND(F777&lt;&gt;"",ISNA(MATCH(F777,sup_code,0))),"Fournisseur inconnu","OK")))))))</f>
        <v/>
      </c>
    </row>
    <row r="778">
      <c r="A778" s="63" t="n"/>
      <c r="B778" s="63" t="n"/>
      <c r="C778" s="65" t="n"/>
      <c r="D778" s="69" t="n"/>
      <c r="E778" s="71" t="n"/>
      <c r="F778" s="65" t="n"/>
      <c r="G778" s="74" t="str">
        <f>IF(A778="","",SUMIFS(po_qty,po_ref,A778,po_status,"&lt;&gt;Annulé"))</f>
        <v/>
      </c>
      <c r="H778" s="74" t="str">
        <f>IF(A778="","",SUMIFS(po_rcv,po_ref,A778,po_status,"&lt;&gt;Annulé"))</f>
        <v/>
      </c>
      <c r="I778" s="74" t="str">
        <f>IF(A778="","",SUMIFS(po_rest,po_ref,A778,po_key,"&gt;0"))</f>
        <v/>
      </c>
      <c r="J778" s="70" t="str">
        <f>IF(A778="","",IF(COUNTIFS(po_ref,A778,po_status,"&lt;&gt;Annulé")=0,"",INDEX(po_price,SUMPRODUCT(MAX((po_ref=A778)*(po_status&lt;&gt;"Annulé")*(ROW(po_ref)-5))))))</f>
        <v/>
      </c>
      <c r="K778" s="67" t="str">
        <f>IF(A778="","",IF(COUNTIF(art_ref,A778)&gt;1,"Référence en double",IF(B778="","Désignation manquante",IF(NOT(ISNUMBER(D778)),"Prix manquant",IF(E778="","TVA manquante",IF(ISNA(MATCH(E778,p_tva,0)),"Taux de TVA inconnu",IF(AND(F778&lt;&gt;"",ISNA(MATCH(F778,sup_code,0))),"Fournisseur inconnu","OK")))))))</f>
        <v/>
      </c>
    </row>
    <row r="779">
      <c r="A779" s="63" t="n"/>
      <c r="B779" s="63" t="n"/>
      <c r="C779" s="65" t="n"/>
      <c r="D779" s="69" t="n"/>
      <c r="E779" s="71" t="n"/>
      <c r="F779" s="65" t="n"/>
      <c r="G779" s="74" t="str">
        <f>IF(A779="","",SUMIFS(po_qty,po_ref,A779,po_status,"&lt;&gt;Annulé"))</f>
        <v/>
      </c>
      <c r="H779" s="74" t="str">
        <f>IF(A779="","",SUMIFS(po_rcv,po_ref,A779,po_status,"&lt;&gt;Annulé"))</f>
        <v/>
      </c>
      <c r="I779" s="74" t="str">
        <f>IF(A779="","",SUMIFS(po_rest,po_ref,A779,po_key,"&gt;0"))</f>
        <v/>
      </c>
      <c r="J779" s="70" t="str">
        <f>IF(A779="","",IF(COUNTIFS(po_ref,A779,po_status,"&lt;&gt;Annulé")=0,"",INDEX(po_price,SUMPRODUCT(MAX((po_ref=A779)*(po_status&lt;&gt;"Annulé")*(ROW(po_ref)-5))))))</f>
        <v/>
      </c>
      <c r="K779" s="67" t="str">
        <f>IF(A779="","",IF(COUNTIF(art_ref,A779)&gt;1,"Référence en double",IF(B779="","Désignation manquante",IF(NOT(ISNUMBER(D779)),"Prix manquant",IF(E779="","TVA manquante",IF(ISNA(MATCH(E779,p_tva,0)),"Taux de TVA inconnu",IF(AND(F779&lt;&gt;"",ISNA(MATCH(F779,sup_code,0))),"Fournisseur inconnu","OK")))))))</f>
        <v/>
      </c>
    </row>
    <row r="780">
      <c r="A780" s="63" t="n"/>
      <c r="B780" s="63" t="n"/>
      <c r="C780" s="65" t="n"/>
      <c r="D780" s="69" t="n"/>
      <c r="E780" s="71" t="n"/>
      <c r="F780" s="65" t="n"/>
      <c r="G780" s="74" t="str">
        <f>IF(A780="","",SUMIFS(po_qty,po_ref,A780,po_status,"&lt;&gt;Annulé"))</f>
        <v/>
      </c>
      <c r="H780" s="74" t="str">
        <f>IF(A780="","",SUMIFS(po_rcv,po_ref,A780,po_status,"&lt;&gt;Annulé"))</f>
        <v/>
      </c>
      <c r="I780" s="74" t="str">
        <f>IF(A780="","",SUMIFS(po_rest,po_ref,A780,po_key,"&gt;0"))</f>
        <v/>
      </c>
      <c r="J780" s="70" t="str">
        <f>IF(A780="","",IF(COUNTIFS(po_ref,A780,po_status,"&lt;&gt;Annulé")=0,"",INDEX(po_price,SUMPRODUCT(MAX((po_ref=A780)*(po_status&lt;&gt;"Annulé")*(ROW(po_ref)-5))))))</f>
        <v/>
      </c>
      <c r="K780" s="67" t="str">
        <f>IF(A780="","",IF(COUNTIF(art_ref,A780)&gt;1,"Référence en double",IF(B780="","Désignation manquante",IF(NOT(ISNUMBER(D780)),"Prix manquant",IF(E780="","TVA manquante",IF(ISNA(MATCH(E780,p_tva,0)),"Taux de TVA inconnu",IF(AND(F780&lt;&gt;"",ISNA(MATCH(F780,sup_code,0))),"Fournisseur inconnu","OK")))))))</f>
        <v/>
      </c>
    </row>
    <row r="781">
      <c r="A781" s="63" t="n"/>
      <c r="B781" s="63" t="n"/>
      <c r="C781" s="65" t="n"/>
      <c r="D781" s="69" t="n"/>
      <c r="E781" s="71" t="n"/>
      <c r="F781" s="65" t="n"/>
      <c r="G781" s="74" t="str">
        <f>IF(A781="","",SUMIFS(po_qty,po_ref,A781,po_status,"&lt;&gt;Annulé"))</f>
        <v/>
      </c>
      <c r="H781" s="74" t="str">
        <f>IF(A781="","",SUMIFS(po_rcv,po_ref,A781,po_status,"&lt;&gt;Annulé"))</f>
        <v/>
      </c>
      <c r="I781" s="74" t="str">
        <f>IF(A781="","",SUMIFS(po_rest,po_ref,A781,po_key,"&gt;0"))</f>
        <v/>
      </c>
      <c r="J781" s="70" t="str">
        <f>IF(A781="","",IF(COUNTIFS(po_ref,A781,po_status,"&lt;&gt;Annulé")=0,"",INDEX(po_price,SUMPRODUCT(MAX((po_ref=A781)*(po_status&lt;&gt;"Annulé")*(ROW(po_ref)-5))))))</f>
        <v/>
      </c>
      <c r="K781" s="67" t="str">
        <f>IF(A781="","",IF(COUNTIF(art_ref,A781)&gt;1,"Référence en double",IF(B781="","Désignation manquante",IF(NOT(ISNUMBER(D781)),"Prix manquant",IF(E781="","TVA manquante",IF(ISNA(MATCH(E781,p_tva,0)),"Taux de TVA inconnu",IF(AND(F781&lt;&gt;"",ISNA(MATCH(F781,sup_code,0))),"Fournisseur inconnu","OK")))))))</f>
        <v/>
      </c>
    </row>
    <row r="782">
      <c r="A782" s="63" t="n"/>
      <c r="B782" s="63" t="n"/>
      <c r="C782" s="65" t="n"/>
      <c r="D782" s="69" t="n"/>
      <c r="E782" s="71" t="n"/>
      <c r="F782" s="65" t="n"/>
      <c r="G782" s="74" t="str">
        <f>IF(A782="","",SUMIFS(po_qty,po_ref,A782,po_status,"&lt;&gt;Annulé"))</f>
        <v/>
      </c>
      <c r="H782" s="74" t="str">
        <f>IF(A782="","",SUMIFS(po_rcv,po_ref,A782,po_status,"&lt;&gt;Annulé"))</f>
        <v/>
      </c>
      <c r="I782" s="74" t="str">
        <f>IF(A782="","",SUMIFS(po_rest,po_ref,A782,po_key,"&gt;0"))</f>
        <v/>
      </c>
      <c r="J782" s="70" t="str">
        <f>IF(A782="","",IF(COUNTIFS(po_ref,A782,po_status,"&lt;&gt;Annulé")=0,"",INDEX(po_price,SUMPRODUCT(MAX((po_ref=A782)*(po_status&lt;&gt;"Annulé")*(ROW(po_ref)-5))))))</f>
        <v/>
      </c>
      <c r="K782" s="67" t="str">
        <f>IF(A782="","",IF(COUNTIF(art_ref,A782)&gt;1,"Référence en double",IF(B782="","Désignation manquante",IF(NOT(ISNUMBER(D782)),"Prix manquant",IF(E782="","TVA manquante",IF(ISNA(MATCH(E782,p_tva,0)),"Taux de TVA inconnu",IF(AND(F782&lt;&gt;"",ISNA(MATCH(F782,sup_code,0))),"Fournisseur inconnu","OK")))))))</f>
        <v/>
      </c>
    </row>
    <row r="783">
      <c r="A783" s="63" t="n"/>
      <c r="B783" s="63" t="n"/>
      <c r="C783" s="65" t="n"/>
      <c r="D783" s="69" t="n"/>
      <c r="E783" s="71" t="n"/>
      <c r="F783" s="65" t="n"/>
      <c r="G783" s="74" t="str">
        <f>IF(A783="","",SUMIFS(po_qty,po_ref,A783,po_status,"&lt;&gt;Annulé"))</f>
        <v/>
      </c>
      <c r="H783" s="74" t="str">
        <f>IF(A783="","",SUMIFS(po_rcv,po_ref,A783,po_status,"&lt;&gt;Annulé"))</f>
        <v/>
      </c>
      <c r="I783" s="74" t="str">
        <f>IF(A783="","",SUMIFS(po_rest,po_ref,A783,po_key,"&gt;0"))</f>
        <v/>
      </c>
      <c r="J783" s="70" t="str">
        <f>IF(A783="","",IF(COUNTIFS(po_ref,A783,po_status,"&lt;&gt;Annulé")=0,"",INDEX(po_price,SUMPRODUCT(MAX((po_ref=A783)*(po_status&lt;&gt;"Annulé")*(ROW(po_ref)-5))))))</f>
        <v/>
      </c>
      <c r="K783" s="67" t="str">
        <f>IF(A783="","",IF(COUNTIF(art_ref,A783)&gt;1,"Référence en double",IF(B783="","Désignation manquante",IF(NOT(ISNUMBER(D783)),"Prix manquant",IF(E783="","TVA manquante",IF(ISNA(MATCH(E783,p_tva,0)),"Taux de TVA inconnu",IF(AND(F783&lt;&gt;"",ISNA(MATCH(F783,sup_code,0))),"Fournisseur inconnu","OK")))))))</f>
        <v/>
      </c>
    </row>
    <row r="784">
      <c r="A784" s="63" t="n"/>
      <c r="B784" s="63" t="n"/>
      <c r="C784" s="65" t="n"/>
      <c r="D784" s="69" t="n"/>
      <c r="E784" s="71" t="n"/>
      <c r="F784" s="65" t="n"/>
      <c r="G784" s="74" t="str">
        <f>IF(A784="","",SUMIFS(po_qty,po_ref,A784,po_status,"&lt;&gt;Annulé"))</f>
        <v/>
      </c>
      <c r="H784" s="74" t="str">
        <f>IF(A784="","",SUMIFS(po_rcv,po_ref,A784,po_status,"&lt;&gt;Annulé"))</f>
        <v/>
      </c>
      <c r="I784" s="74" t="str">
        <f>IF(A784="","",SUMIFS(po_rest,po_ref,A784,po_key,"&gt;0"))</f>
        <v/>
      </c>
      <c r="J784" s="70" t="str">
        <f>IF(A784="","",IF(COUNTIFS(po_ref,A784,po_status,"&lt;&gt;Annulé")=0,"",INDEX(po_price,SUMPRODUCT(MAX((po_ref=A784)*(po_status&lt;&gt;"Annulé")*(ROW(po_ref)-5))))))</f>
        <v/>
      </c>
      <c r="K784" s="67" t="str">
        <f>IF(A784="","",IF(COUNTIF(art_ref,A784)&gt;1,"Référence en double",IF(B784="","Désignation manquante",IF(NOT(ISNUMBER(D784)),"Prix manquant",IF(E784="","TVA manquante",IF(ISNA(MATCH(E784,p_tva,0)),"Taux de TVA inconnu",IF(AND(F784&lt;&gt;"",ISNA(MATCH(F784,sup_code,0))),"Fournisseur inconnu","OK")))))))</f>
        <v/>
      </c>
    </row>
    <row r="785">
      <c r="A785" s="63" t="n"/>
      <c r="B785" s="63" t="n"/>
      <c r="C785" s="65" t="n"/>
      <c r="D785" s="69" t="n"/>
      <c r="E785" s="71" t="n"/>
      <c r="F785" s="65" t="n"/>
      <c r="G785" s="74" t="str">
        <f>IF(A785="","",SUMIFS(po_qty,po_ref,A785,po_status,"&lt;&gt;Annulé"))</f>
        <v/>
      </c>
      <c r="H785" s="74" t="str">
        <f>IF(A785="","",SUMIFS(po_rcv,po_ref,A785,po_status,"&lt;&gt;Annulé"))</f>
        <v/>
      </c>
      <c r="I785" s="74" t="str">
        <f>IF(A785="","",SUMIFS(po_rest,po_ref,A785,po_key,"&gt;0"))</f>
        <v/>
      </c>
      <c r="J785" s="70" t="str">
        <f>IF(A785="","",IF(COUNTIFS(po_ref,A785,po_status,"&lt;&gt;Annulé")=0,"",INDEX(po_price,SUMPRODUCT(MAX((po_ref=A785)*(po_status&lt;&gt;"Annulé")*(ROW(po_ref)-5))))))</f>
        <v/>
      </c>
      <c r="K785" s="67" t="str">
        <f>IF(A785="","",IF(COUNTIF(art_ref,A785)&gt;1,"Référence en double",IF(B785="","Désignation manquante",IF(NOT(ISNUMBER(D785)),"Prix manquant",IF(E785="","TVA manquante",IF(ISNA(MATCH(E785,p_tva,0)),"Taux de TVA inconnu",IF(AND(F785&lt;&gt;"",ISNA(MATCH(F785,sup_code,0))),"Fournisseur inconnu","OK")))))))</f>
        <v/>
      </c>
    </row>
    <row r="786">
      <c r="A786" s="63" t="n"/>
      <c r="B786" s="63" t="n"/>
      <c r="C786" s="65" t="n"/>
      <c r="D786" s="69" t="n"/>
      <c r="E786" s="71" t="n"/>
      <c r="F786" s="65" t="n"/>
      <c r="G786" s="74" t="str">
        <f>IF(A786="","",SUMIFS(po_qty,po_ref,A786,po_status,"&lt;&gt;Annulé"))</f>
        <v/>
      </c>
      <c r="H786" s="74" t="str">
        <f>IF(A786="","",SUMIFS(po_rcv,po_ref,A786,po_status,"&lt;&gt;Annulé"))</f>
        <v/>
      </c>
      <c r="I786" s="74" t="str">
        <f>IF(A786="","",SUMIFS(po_rest,po_ref,A786,po_key,"&gt;0"))</f>
        <v/>
      </c>
      <c r="J786" s="70" t="str">
        <f>IF(A786="","",IF(COUNTIFS(po_ref,A786,po_status,"&lt;&gt;Annulé")=0,"",INDEX(po_price,SUMPRODUCT(MAX((po_ref=A786)*(po_status&lt;&gt;"Annulé")*(ROW(po_ref)-5))))))</f>
        <v/>
      </c>
      <c r="K786" s="67" t="str">
        <f>IF(A786="","",IF(COUNTIF(art_ref,A786)&gt;1,"Référence en double",IF(B786="","Désignation manquante",IF(NOT(ISNUMBER(D786)),"Prix manquant",IF(E786="","TVA manquante",IF(ISNA(MATCH(E786,p_tva,0)),"Taux de TVA inconnu",IF(AND(F786&lt;&gt;"",ISNA(MATCH(F786,sup_code,0))),"Fournisseur inconnu","OK")))))))</f>
        <v/>
      </c>
    </row>
    <row r="787">
      <c r="A787" s="63" t="n"/>
      <c r="B787" s="63" t="n"/>
      <c r="C787" s="65" t="n"/>
      <c r="D787" s="69" t="n"/>
      <c r="E787" s="71" t="n"/>
      <c r="F787" s="65" t="n"/>
      <c r="G787" s="74" t="str">
        <f>IF(A787="","",SUMIFS(po_qty,po_ref,A787,po_status,"&lt;&gt;Annulé"))</f>
        <v/>
      </c>
      <c r="H787" s="74" t="str">
        <f>IF(A787="","",SUMIFS(po_rcv,po_ref,A787,po_status,"&lt;&gt;Annulé"))</f>
        <v/>
      </c>
      <c r="I787" s="74" t="str">
        <f>IF(A787="","",SUMIFS(po_rest,po_ref,A787,po_key,"&gt;0"))</f>
        <v/>
      </c>
      <c r="J787" s="70" t="str">
        <f>IF(A787="","",IF(COUNTIFS(po_ref,A787,po_status,"&lt;&gt;Annulé")=0,"",INDEX(po_price,SUMPRODUCT(MAX((po_ref=A787)*(po_status&lt;&gt;"Annulé")*(ROW(po_ref)-5))))))</f>
        <v/>
      </c>
      <c r="K787" s="67" t="str">
        <f>IF(A787="","",IF(COUNTIF(art_ref,A787)&gt;1,"Référence en double",IF(B787="","Désignation manquante",IF(NOT(ISNUMBER(D787)),"Prix manquant",IF(E787="","TVA manquante",IF(ISNA(MATCH(E787,p_tva,0)),"Taux de TVA inconnu",IF(AND(F787&lt;&gt;"",ISNA(MATCH(F787,sup_code,0))),"Fournisseur inconnu","OK")))))))</f>
        <v/>
      </c>
    </row>
    <row r="788">
      <c r="A788" s="63" t="n"/>
      <c r="B788" s="63" t="n"/>
      <c r="C788" s="65" t="n"/>
      <c r="D788" s="69" t="n"/>
      <c r="E788" s="71" t="n"/>
      <c r="F788" s="65" t="n"/>
      <c r="G788" s="74" t="str">
        <f>IF(A788="","",SUMIFS(po_qty,po_ref,A788,po_status,"&lt;&gt;Annulé"))</f>
        <v/>
      </c>
      <c r="H788" s="74" t="str">
        <f>IF(A788="","",SUMIFS(po_rcv,po_ref,A788,po_status,"&lt;&gt;Annulé"))</f>
        <v/>
      </c>
      <c r="I788" s="74" t="str">
        <f>IF(A788="","",SUMIFS(po_rest,po_ref,A788,po_key,"&gt;0"))</f>
        <v/>
      </c>
      <c r="J788" s="70" t="str">
        <f>IF(A788="","",IF(COUNTIFS(po_ref,A788,po_status,"&lt;&gt;Annulé")=0,"",INDEX(po_price,SUMPRODUCT(MAX((po_ref=A788)*(po_status&lt;&gt;"Annulé")*(ROW(po_ref)-5))))))</f>
        <v/>
      </c>
      <c r="K788" s="67" t="str">
        <f>IF(A788="","",IF(COUNTIF(art_ref,A788)&gt;1,"Référence en double",IF(B788="","Désignation manquante",IF(NOT(ISNUMBER(D788)),"Prix manquant",IF(E788="","TVA manquante",IF(ISNA(MATCH(E788,p_tva,0)),"Taux de TVA inconnu",IF(AND(F788&lt;&gt;"",ISNA(MATCH(F788,sup_code,0))),"Fournisseur inconnu","OK")))))))</f>
        <v/>
      </c>
    </row>
    <row r="789">
      <c r="A789" s="63" t="n"/>
      <c r="B789" s="63" t="n"/>
      <c r="C789" s="65" t="n"/>
      <c r="D789" s="69" t="n"/>
      <c r="E789" s="71" t="n"/>
      <c r="F789" s="65" t="n"/>
      <c r="G789" s="74" t="str">
        <f>IF(A789="","",SUMIFS(po_qty,po_ref,A789,po_status,"&lt;&gt;Annulé"))</f>
        <v/>
      </c>
      <c r="H789" s="74" t="str">
        <f>IF(A789="","",SUMIFS(po_rcv,po_ref,A789,po_status,"&lt;&gt;Annulé"))</f>
        <v/>
      </c>
      <c r="I789" s="74" t="str">
        <f>IF(A789="","",SUMIFS(po_rest,po_ref,A789,po_key,"&gt;0"))</f>
        <v/>
      </c>
      <c r="J789" s="70" t="str">
        <f>IF(A789="","",IF(COUNTIFS(po_ref,A789,po_status,"&lt;&gt;Annulé")=0,"",INDEX(po_price,SUMPRODUCT(MAX((po_ref=A789)*(po_status&lt;&gt;"Annulé")*(ROW(po_ref)-5))))))</f>
        <v/>
      </c>
      <c r="K789" s="67" t="str">
        <f>IF(A789="","",IF(COUNTIF(art_ref,A789)&gt;1,"Référence en double",IF(B789="","Désignation manquante",IF(NOT(ISNUMBER(D789)),"Prix manquant",IF(E789="","TVA manquante",IF(ISNA(MATCH(E789,p_tva,0)),"Taux de TVA inconnu",IF(AND(F789&lt;&gt;"",ISNA(MATCH(F789,sup_code,0))),"Fournisseur inconnu","OK")))))))</f>
        <v/>
      </c>
    </row>
    <row r="790">
      <c r="A790" s="63" t="n"/>
      <c r="B790" s="63" t="n"/>
      <c r="C790" s="65" t="n"/>
      <c r="D790" s="69" t="n"/>
      <c r="E790" s="71" t="n"/>
      <c r="F790" s="65" t="n"/>
      <c r="G790" s="74" t="str">
        <f>IF(A790="","",SUMIFS(po_qty,po_ref,A790,po_status,"&lt;&gt;Annulé"))</f>
        <v/>
      </c>
      <c r="H790" s="74" t="str">
        <f>IF(A790="","",SUMIFS(po_rcv,po_ref,A790,po_status,"&lt;&gt;Annulé"))</f>
        <v/>
      </c>
      <c r="I790" s="74" t="str">
        <f>IF(A790="","",SUMIFS(po_rest,po_ref,A790,po_key,"&gt;0"))</f>
        <v/>
      </c>
      <c r="J790" s="70" t="str">
        <f>IF(A790="","",IF(COUNTIFS(po_ref,A790,po_status,"&lt;&gt;Annulé")=0,"",INDEX(po_price,SUMPRODUCT(MAX((po_ref=A790)*(po_status&lt;&gt;"Annulé")*(ROW(po_ref)-5))))))</f>
        <v/>
      </c>
      <c r="K790" s="67" t="str">
        <f>IF(A790="","",IF(COUNTIF(art_ref,A790)&gt;1,"Référence en double",IF(B790="","Désignation manquante",IF(NOT(ISNUMBER(D790)),"Prix manquant",IF(E790="","TVA manquante",IF(ISNA(MATCH(E790,p_tva,0)),"Taux de TVA inconnu",IF(AND(F790&lt;&gt;"",ISNA(MATCH(F790,sup_code,0))),"Fournisseur inconnu","OK")))))))</f>
        <v/>
      </c>
    </row>
    <row r="791">
      <c r="A791" s="63" t="n"/>
      <c r="B791" s="63" t="n"/>
      <c r="C791" s="65" t="n"/>
      <c r="D791" s="69" t="n"/>
      <c r="E791" s="71" t="n"/>
      <c r="F791" s="65" t="n"/>
      <c r="G791" s="74" t="str">
        <f>IF(A791="","",SUMIFS(po_qty,po_ref,A791,po_status,"&lt;&gt;Annulé"))</f>
        <v/>
      </c>
      <c r="H791" s="74" t="str">
        <f>IF(A791="","",SUMIFS(po_rcv,po_ref,A791,po_status,"&lt;&gt;Annulé"))</f>
        <v/>
      </c>
      <c r="I791" s="74" t="str">
        <f>IF(A791="","",SUMIFS(po_rest,po_ref,A791,po_key,"&gt;0"))</f>
        <v/>
      </c>
      <c r="J791" s="70" t="str">
        <f>IF(A791="","",IF(COUNTIFS(po_ref,A791,po_status,"&lt;&gt;Annulé")=0,"",INDEX(po_price,SUMPRODUCT(MAX((po_ref=A791)*(po_status&lt;&gt;"Annulé")*(ROW(po_ref)-5))))))</f>
        <v/>
      </c>
      <c r="K791" s="67" t="str">
        <f>IF(A791="","",IF(COUNTIF(art_ref,A791)&gt;1,"Référence en double",IF(B791="","Désignation manquante",IF(NOT(ISNUMBER(D791)),"Prix manquant",IF(E791="","TVA manquante",IF(ISNA(MATCH(E791,p_tva,0)),"Taux de TVA inconnu",IF(AND(F791&lt;&gt;"",ISNA(MATCH(F791,sup_code,0))),"Fournisseur inconnu","OK")))))))</f>
        <v/>
      </c>
    </row>
    <row r="792">
      <c r="A792" s="63" t="n"/>
      <c r="B792" s="63" t="n"/>
      <c r="C792" s="65" t="n"/>
      <c r="D792" s="69" t="n"/>
      <c r="E792" s="71" t="n"/>
      <c r="F792" s="65" t="n"/>
      <c r="G792" s="74" t="str">
        <f>IF(A792="","",SUMIFS(po_qty,po_ref,A792,po_status,"&lt;&gt;Annulé"))</f>
        <v/>
      </c>
      <c r="H792" s="74" t="str">
        <f>IF(A792="","",SUMIFS(po_rcv,po_ref,A792,po_status,"&lt;&gt;Annulé"))</f>
        <v/>
      </c>
      <c r="I792" s="74" t="str">
        <f>IF(A792="","",SUMIFS(po_rest,po_ref,A792,po_key,"&gt;0"))</f>
        <v/>
      </c>
      <c r="J792" s="70" t="str">
        <f>IF(A792="","",IF(COUNTIFS(po_ref,A792,po_status,"&lt;&gt;Annulé")=0,"",INDEX(po_price,SUMPRODUCT(MAX((po_ref=A792)*(po_status&lt;&gt;"Annulé")*(ROW(po_ref)-5))))))</f>
        <v/>
      </c>
      <c r="K792" s="67" t="str">
        <f>IF(A792="","",IF(COUNTIF(art_ref,A792)&gt;1,"Référence en double",IF(B792="","Désignation manquante",IF(NOT(ISNUMBER(D792)),"Prix manquant",IF(E792="","TVA manquante",IF(ISNA(MATCH(E792,p_tva,0)),"Taux de TVA inconnu",IF(AND(F792&lt;&gt;"",ISNA(MATCH(F792,sup_code,0))),"Fournisseur inconnu","OK")))))))</f>
        <v/>
      </c>
    </row>
    <row r="793">
      <c r="A793" s="63" t="n"/>
      <c r="B793" s="63" t="n"/>
      <c r="C793" s="65" t="n"/>
      <c r="D793" s="69" t="n"/>
      <c r="E793" s="71" t="n"/>
      <c r="F793" s="65" t="n"/>
      <c r="G793" s="74" t="str">
        <f>IF(A793="","",SUMIFS(po_qty,po_ref,A793,po_status,"&lt;&gt;Annulé"))</f>
        <v/>
      </c>
      <c r="H793" s="74" t="str">
        <f>IF(A793="","",SUMIFS(po_rcv,po_ref,A793,po_status,"&lt;&gt;Annulé"))</f>
        <v/>
      </c>
      <c r="I793" s="74" t="str">
        <f>IF(A793="","",SUMIFS(po_rest,po_ref,A793,po_key,"&gt;0"))</f>
        <v/>
      </c>
      <c r="J793" s="70" t="str">
        <f>IF(A793="","",IF(COUNTIFS(po_ref,A793,po_status,"&lt;&gt;Annulé")=0,"",INDEX(po_price,SUMPRODUCT(MAX((po_ref=A793)*(po_status&lt;&gt;"Annulé")*(ROW(po_ref)-5))))))</f>
        <v/>
      </c>
      <c r="K793" s="67" t="str">
        <f>IF(A793="","",IF(COUNTIF(art_ref,A793)&gt;1,"Référence en double",IF(B793="","Désignation manquante",IF(NOT(ISNUMBER(D793)),"Prix manquant",IF(E793="","TVA manquante",IF(ISNA(MATCH(E793,p_tva,0)),"Taux de TVA inconnu",IF(AND(F793&lt;&gt;"",ISNA(MATCH(F793,sup_code,0))),"Fournisseur inconnu","OK")))))))</f>
        <v/>
      </c>
    </row>
    <row r="794">
      <c r="A794" s="63" t="n"/>
      <c r="B794" s="63" t="n"/>
      <c r="C794" s="65" t="n"/>
      <c r="D794" s="69" t="n"/>
      <c r="E794" s="71" t="n"/>
      <c r="F794" s="65" t="n"/>
      <c r="G794" s="74" t="str">
        <f>IF(A794="","",SUMIFS(po_qty,po_ref,A794,po_status,"&lt;&gt;Annulé"))</f>
        <v/>
      </c>
      <c r="H794" s="74" t="str">
        <f>IF(A794="","",SUMIFS(po_rcv,po_ref,A794,po_status,"&lt;&gt;Annulé"))</f>
        <v/>
      </c>
      <c r="I794" s="74" t="str">
        <f>IF(A794="","",SUMIFS(po_rest,po_ref,A794,po_key,"&gt;0"))</f>
        <v/>
      </c>
      <c r="J794" s="70" t="str">
        <f>IF(A794="","",IF(COUNTIFS(po_ref,A794,po_status,"&lt;&gt;Annulé")=0,"",INDEX(po_price,SUMPRODUCT(MAX((po_ref=A794)*(po_status&lt;&gt;"Annulé")*(ROW(po_ref)-5))))))</f>
        <v/>
      </c>
      <c r="K794" s="67" t="str">
        <f>IF(A794="","",IF(COUNTIF(art_ref,A794)&gt;1,"Référence en double",IF(B794="","Désignation manquante",IF(NOT(ISNUMBER(D794)),"Prix manquant",IF(E794="","TVA manquante",IF(ISNA(MATCH(E794,p_tva,0)),"Taux de TVA inconnu",IF(AND(F794&lt;&gt;"",ISNA(MATCH(F794,sup_code,0))),"Fournisseur inconnu","OK")))))))</f>
        <v/>
      </c>
    </row>
    <row r="795">
      <c r="A795" s="63" t="n"/>
      <c r="B795" s="63" t="n"/>
      <c r="C795" s="65" t="n"/>
      <c r="D795" s="69" t="n"/>
      <c r="E795" s="71" t="n"/>
      <c r="F795" s="65" t="n"/>
      <c r="G795" s="74" t="str">
        <f>IF(A795="","",SUMIFS(po_qty,po_ref,A795,po_status,"&lt;&gt;Annulé"))</f>
        <v/>
      </c>
      <c r="H795" s="74" t="str">
        <f>IF(A795="","",SUMIFS(po_rcv,po_ref,A795,po_status,"&lt;&gt;Annulé"))</f>
        <v/>
      </c>
      <c r="I795" s="74" t="str">
        <f>IF(A795="","",SUMIFS(po_rest,po_ref,A795,po_key,"&gt;0"))</f>
        <v/>
      </c>
      <c r="J795" s="70" t="str">
        <f>IF(A795="","",IF(COUNTIFS(po_ref,A795,po_status,"&lt;&gt;Annulé")=0,"",INDEX(po_price,SUMPRODUCT(MAX((po_ref=A795)*(po_status&lt;&gt;"Annulé")*(ROW(po_ref)-5))))))</f>
        <v/>
      </c>
      <c r="K795" s="67" t="str">
        <f>IF(A795="","",IF(COUNTIF(art_ref,A795)&gt;1,"Référence en double",IF(B795="","Désignation manquante",IF(NOT(ISNUMBER(D795)),"Prix manquant",IF(E795="","TVA manquante",IF(ISNA(MATCH(E795,p_tva,0)),"Taux de TVA inconnu",IF(AND(F795&lt;&gt;"",ISNA(MATCH(F795,sup_code,0))),"Fournisseur inconnu","OK")))))))</f>
        <v/>
      </c>
    </row>
    <row r="796">
      <c r="A796" s="63" t="n"/>
      <c r="B796" s="63" t="n"/>
      <c r="C796" s="65" t="n"/>
      <c r="D796" s="69" t="n"/>
      <c r="E796" s="71" t="n"/>
      <c r="F796" s="65" t="n"/>
      <c r="G796" s="74" t="str">
        <f>IF(A796="","",SUMIFS(po_qty,po_ref,A796,po_status,"&lt;&gt;Annulé"))</f>
        <v/>
      </c>
      <c r="H796" s="74" t="str">
        <f>IF(A796="","",SUMIFS(po_rcv,po_ref,A796,po_status,"&lt;&gt;Annulé"))</f>
        <v/>
      </c>
      <c r="I796" s="74" t="str">
        <f>IF(A796="","",SUMIFS(po_rest,po_ref,A796,po_key,"&gt;0"))</f>
        <v/>
      </c>
      <c r="J796" s="70" t="str">
        <f>IF(A796="","",IF(COUNTIFS(po_ref,A796,po_status,"&lt;&gt;Annulé")=0,"",INDEX(po_price,SUMPRODUCT(MAX((po_ref=A796)*(po_status&lt;&gt;"Annulé")*(ROW(po_ref)-5))))))</f>
        <v/>
      </c>
      <c r="K796" s="67" t="str">
        <f>IF(A796="","",IF(COUNTIF(art_ref,A796)&gt;1,"Référence en double",IF(B796="","Désignation manquante",IF(NOT(ISNUMBER(D796)),"Prix manquant",IF(E796="","TVA manquante",IF(ISNA(MATCH(E796,p_tva,0)),"Taux de TVA inconnu",IF(AND(F796&lt;&gt;"",ISNA(MATCH(F796,sup_code,0))),"Fournisseur inconnu","OK")))))))</f>
        <v/>
      </c>
    </row>
    <row r="797">
      <c r="A797" s="63" t="n"/>
      <c r="B797" s="63" t="n"/>
      <c r="C797" s="65" t="n"/>
      <c r="D797" s="69" t="n"/>
      <c r="E797" s="71" t="n"/>
      <c r="F797" s="65" t="n"/>
      <c r="G797" s="74" t="str">
        <f>IF(A797="","",SUMIFS(po_qty,po_ref,A797,po_status,"&lt;&gt;Annulé"))</f>
        <v/>
      </c>
      <c r="H797" s="74" t="str">
        <f>IF(A797="","",SUMIFS(po_rcv,po_ref,A797,po_status,"&lt;&gt;Annulé"))</f>
        <v/>
      </c>
      <c r="I797" s="74" t="str">
        <f>IF(A797="","",SUMIFS(po_rest,po_ref,A797,po_key,"&gt;0"))</f>
        <v/>
      </c>
      <c r="J797" s="70" t="str">
        <f>IF(A797="","",IF(COUNTIFS(po_ref,A797,po_status,"&lt;&gt;Annulé")=0,"",INDEX(po_price,SUMPRODUCT(MAX((po_ref=A797)*(po_status&lt;&gt;"Annulé")*(ROW(po_ref)-5))))))</f>
        <v/>
      </c>
      <c r="K797" s="67" t="str">
        <f>IF(A797="","",IF(COUNTIF(art_ref,A797)&gt;1,"Référence en double",IF(B797="","Désignation manquante",IF(NOT(ISNUMBER(D797)),"Prix manquant",IF(E797="","TVA manquante",IF(ISNA(MATCH(E797,p_tva,0)),"Taux de TVA inconnu",IF(AND(F797&lt;&gt;"",ISNA(MATCH(F797,sup_code,0))),"Fournisseur inconnu","OK")))))))</f>
        <v/>
      </c>
    </row>
    <row r="798">
      <c r="A798" s="63" t="n"/>
      <c r="B798" s="63" t="n"/>
      <c r="C798" s="65" t="n"/>
      <c r="D798" s="69" t="n"/>
      <c r="E798" s="71" t="n"/>
      <c r="F798" s="65" t="n"/>
      <c r="G798" s="74" t="str">
        <f>IF(A798="","",SUMIFS(po_qty,po_ref,A798,po_status,"&lt;&gt;Annulé"))</f>
        <v/>
      </c>
      <c r="H798" s="74" t="str">
        <f>IF(A798="","",SUMIFS(po_rcv,po_ref,A798,po_status,"&lt;&gt;Annulé"))</f>
        <v/>
      </c>
      <c r="I798" s="74" t="str">
        <f>IF(A798="","",SUMIFS(po_rest,po_ref,A798,po_key,"&gt;0"))</f>
        <v/>
      </c>
      <c r="J798" s="70" t="str">
        <f>IF(A798="","",IF(COUNTIFS(po_ref,A798,po_status,"&lt;&gt;Annulé")=0,"",INDEX(po_price,SUMPRODUCT(MAX((po_ref=A798)*(po_status&lt;&gt;"Annulé")*(ROW(po_ref)-5))))))</f>
        <v/>
      </c>
      <c r="K798" s="67" t="str">
        <f>IF(A798="","",IF(COUNTIF(art_ref,A798)&gt;1,"Référence en double",IF(B798="","Désignation manquante",IF(NOT(ISNUMBER(D798)),"Prix manquant",IF(E798="","TVA manquante",IF(ISNA(MATCH(E798,p_tva,0)),"Taux de TVA inconnu",IF(AND(F798&lt;&gt;"",ISNA(MATCH(F798,sup_code,0))),"Fournisseur inconnu","OK")))))))</f>
        <v/>
      </c>
    </row>
    <row r="799">
      <c r="A799" s="63" t="n"/>
      <c r="B799" s="63" t="n"/>
      <c r="C799" s="65" t="n"/>
      <c r="D799" s="69" t="n"/>
      <c r="E799" s="71" t="n"/>
      <c r="F799" s="65" t="n"/>
      <c r="G799" s="74" t="str">
        <f>IF(A799="","",SUMIFS(po_qty,po_ref,A799,po_status,"&lt;&gt;Annulé"))</f>
        <v/>
      </c>
      <c r="H799" s="74" t="str">
        <f>IF(A799="","",SUMIFS(po_rcv,po_ref,A799,po_status,"&lt;&gt;Annulé"))</f>
        <v/>
      </c>
      <c r="I799" s="74" t="str">
        <f>IF(A799="","",SUMIFS(po_rest,po_ref,A799,po_key,"&gt;0"))</f>
        <v/>
      </c>
      <c r="J799" s="70" t="str">
        <f>IF(A799="","",IF(COUNTIFS(po_ref,A799,po_status,"&lt;&gt;Annulé")=0,"",INDEX(po_price,SUMPRODUCT(MAX((po_ref=A799)*(po_status&lt;&gt;"Annulé")*(ROW(po_ref)-5))))))</f>
        <v/>
      </c>
      <c r="K799" s="67" t="str">
        <f>IF(A799="","",IF(COUNTIF(art_ref,A799)&gt;1,"Référence en double",IF(B799="","Désignation manquante",IF(NOT(ISNUMBER(D799)),"Prix manquant",IF(E799="","TVA manquante",IF(ISNA(MATCH(E799,p_tva,0)),"Taux de TVA inconnu",IF(AND(F799&lt;&gt;"",ISNA(MATCH(F799,sup_code,0))),"Fournisseur inconnu","OK")))))))</f>
        <v/>
      </c>
    </row>
    <row r="800">
      <c r="A800" s="63" t="n"/>
      <c r="B800" s="63" t="n"/>
      <c r="C800" s="65" t="n"/>
      <c r="D800" s="69" t="n"/>
      <c r="E800" s="71" t="n"/>
      <c r="F800" s="65" t="n"/>
      <c r="G800" s="74" t="str">
        <f>IF(A800="","",SUMIFS(po_qty,po_ref,A800,po_status,"&lt;&gt;Annulé"))</f>
        <v/>
      </c>
      <c r="H800" s="74" t="str">
        <f>IF(A800="","",SUMIFS(po_rcv,po_ref,A800,po_status,"&lt;&gt;Annulé"))</f>
        <v/>
      </c>
      <c r="I800" s="74" t="str">
        <f>IF(A800="","",SUMIFS(po_rest,po_ref,A800,po_key,"&gt;0"))</f>
        <v/>
      </c>
      <c r="J800" s="70" t="str">
        <f>IF(A800="","",IF(COUNTIFS(po_ref,A800,po_status,"&lt;&gt;Annulé")=0,"",INDEX(po_price,SUMPRODUCT(MAX((po_ref=A800)*(po_status&lt;&gt;"Annulé")*(ROW(po_ref)-5))))))</f>
        <v/>
      </c>
      <c r="K800" s="67" t="str">
        <f>IF(A800="","",IF(COUNTIF(art_ref,A800)&gt;1,"Référence en double",IF(B800="","Désignation manquante",IF(NOT(ISNUMBER(D800)),"Prix manquant",IF(E800="","TVA manquante",IF(ISNA(MATCH(E800,p_tva,0)),"Taux de TVA inconnu",IF(AND(F800&lt;&gt;"",ISNA(MATCH(F800,sup_code,0))),"Fournisseur inconnu","OK")))))))</f>
        <v/>
      </c>
    </row>
    <row r="801">
      <c r="A801" s="63" t="n"/>
      <c r="B801" s="63" t="n"/>
      <c r="C801" s="65" t="n"/>
      <c r="D801" s="69" t="n"/>
      <c r="E801" s="71" t="n"/>
      <c r="F801" s="65" t="n"/>
      <c r="G801" s="74" t="str">
        <f>IF(A801="","",SUMIFS(po_qty,po_ref,A801,po_status,"&lt;&gt;Annulé"))</f>
        <v/>
      </c>
      <c r="H801" s="74" t="str">
        <f>IF(A801="","",SUMIFS(po_rcv,po_ref,A801,po_status,"&lt;&gt;Annulé"))</f>
        <v/>
      </c>
      <c r="I801" s="74" t="str">
        <f>IF(A801="","",SUMIFS(po_rest,po_ref,A801,po_key,"&gt;0"))</f>
        <v/>
      </c>
      <c r="J801" s="70" t="str">
        <f>IF(A801="","",IF(COUNTIFS(po_ref,A801,po_status,"&lt;&gt;Annulé")=0,"",INDEX(po_price,SUMPRODUCT(MAX((po_ref=A801)*(po_status&lt;&gt;"Annulé")*(ROW(po_ref)-5))))))</f>
        <v/>
      </c>
      <c r="K801" s="67" t="str">
        <f>IF(A801="","",IF(COUNTIF(art_ref,A801)&gt;1,"Référence en double",IF(B801="","Désignation manquante",IF(NOT(ISNUMBER(D801)),"Prix manquant",IF(E801="","TVA manquante",IF(ISNA(MATCH(E801,p_tva,0)),"Taux de TVA inconnu",IF(AND(F801&lt;&gt;"",ISNA(MATCH(F801,sup_code,0))),"Fournisseur inconnu","OK")))))))</f>
        <v/>
      </c>
    </row>
    <row r="802">
      <c r="A802" s="63" t="n"/>
      <c r="B802" s="63" t="n"/>
      <c r="C802" s="65" t="n"/>
      <c r="D802" s="69" t="n"/>
      <c r="E802" s="71" t="n"/>
      <c r="F802" s="65" t="n"/>
      <c r="G802" s="74" t="str">
        <f>IF(A802="","",SUMIFS(po_qty,po_ref,A802,po_status,"&lt;&gt;Annulé"))</f>
        <v/>
      </c>
      <c r="H802" s="74" t="str">
        <f>IF(A802="","",SUMIFS(po_rcv,po_ref,A802,po_status,"&lt;&gt;Annulé"))</f>
        <v/>
      </c>
      <c r="I802" s="74" t="str">
        <f>IF(A802="","",SUMIFS(po_rest,po_ref,A802,po_key,"&gt;0"))</f>
        <v/>
      </c>
      <c r="J802" s="70" t="str">
        <f>IF(A802="","",IF(COUNTIFS(po_ref,A802,po_status,"&lt;&gt;Annulé")=0,"",INDEX(po_price,SUMPRODUCT(MAX((po_ref=A802)*(po_status&lt;&gt;"Annulé")*(ROW(po_ref)-5))))))</f>
        <v/>
      </c>
      <c r="K802" s="67" t="str">
        <f>IF(A802="","",IF(COUNTIF(art_ref,A802)&gt;1,"Référence en double",IF(B802="","Désignation manquante",IF(NOT(ISNUMBER(D802)),"Prix manquant",IF(E802="","TVA manquante",IF(ISNA(MATCH(E802,p_tva,0)),"Taux de TVA inconnu",IF(AND(F802&lt;&gt;"",ISNA(MATCH(F802,sup_code,0))),"Fournisseur inconnu","OK")))))))</f>
        <v/>
      </c>
    </row>
    <row r="803">
      <c r="A803" s="63" t="n"/>
      <c r="B803" s="63" t="n"/>
      <c r="C803" s="65" t="n"/>
      <c r="D803" s="69" t="n"/>
      <c r="E803" s="71" t="n"/>
      <c r="F803" s="65" t="n"/>
      <c r="G803" s="74" t="str">
        <f>IF(A803="","",SUMIFS(po_qty,po_ref,A803,po_status,"&lt;&gt;Annulé"))</f>
        <v/>
      </c>
      <c r="H803" s="74" t="str">
        <f>IF(A803="","",SUMIFS(po_rcv,po_ref,A803,po_status,"&lt;&gt;Annulé"))</f>
        <v/>
      </c>
      <c r="I803" s="74" t="str">
        <f>IF(A803="","",SUMIFS(po_rest,po_ref,A803,po_key,"&gt;0"))</f>
        <v/>
      </c>
      <c r="J803" s="70" t="str">
        <f>IF(A803="","",IF(COUNTIFS(po_ref,A803,po_status,"&lt;&gt;Annulé")=0,"",INDEX(po_price,SUMPRODUCT(MAX((po_ref=A803)*(po_status&lt;&gt;"Annulé")*(ROW(po_ref)-5))))))</f>
        <v/>
      </c>
      <c r="K803" s="67" t="str">
        <f>IF(A803="","",IF(COUNTIF(art_ref,A803)&gt;1,"Référence en double",IF(B803="","Désignation manquante",IF(NOT(ISNUMBER(D803)),"Prix manquant",IF(E803="","TVA manquante",IF(ISNA(MATCH(E803,p_tva,0)),"Taux de TVA inconnu",IF(AND(F803&lt;&gt;"",ISNA(MATCH(F803,sup_code,0))),"Fournisseur inconnu","OK")))))))</f>
        <v/>
      </c>
    </row>
    <row r="804">
      <c r="A804" s="63" t="n"/>
      <c r="B804" s="63" t="n"/>
      <c r="C804" s="65" t="n"/>
      <c r="D804" s="69" t="n"/>
      <c r="E804" s="71" t="n"/>
      <c r="F804" s="65" t="n"/>
      <c r="G804" s="74" t="str">
        <f>IF(A804="","",SUMIFS(po_qty,po_ref,A804,po_status,"&lt;&gt;Annulé"))</f>
        <v/>
      </c>
      <c r="H804" s="74" t="str">
        <f>IF(A804="","",SUMIFS(po_rcv,po_ref,A804,po_status,"&lt;&gt;Annulé"))</f>
        <v/>
      </c>
      <c r="I804" s="74" t="str">
        <f>IF(A804="","",SUMIFS(po_rest,po_ref,A804,po_key,"&gt;0"))</f>
        <v/>
      </c>
      <c r="J804" s="70" t="str">
        <f>IF(A804="","",IF(COUNTIFS(po_ref,A804,po_status,"&lt;&gt;Annulé")=0,"",INDEX(po_price,SUMPRODUCT(MAX((po_ref=A804)*(po_status&lt;&gt;"Annulé")*(ROW(po_ref)-5))))))</f>
        <v/>
      </c>
      <c r="K804" s="67" t="str">
        <f>IF(A804="","",IF(COUNTIF(art_ref,A804)&gt;1,"Référence en double",IF(B804="","Désignation manquante",IF(NOT(ISNUMBER(D804)),"Prix manquant",IF(E804="","TVA manquante",IF(ISNA(MATCH(E804,p_tva,0)),"Taux de TVA inconnu",IF(AND(F804&lt;&gt;"",ISNA(MATCH(F804,sup_code,0))),"Fournisseur inconnu","OK")))))))</f>
        <v/>
      </c>
    </row>
    <row r="805">
      <c r="A805" s="63" t="n"/>
      <c r="B805" s="63" t="n"/>
      <c r="C805" s="65" t="n"/>
      <c r="D805" s="69" t="n"/>
      <c r="E805" s="71" t="n"/>
      <c r="F805" s="65" t="n"/>
      <c r="G805" s="74" t="str">
        <f>IF(A805="","",SUMIFS(po_qty,po_ref,A805,po_status,"&lt;&gt;Annulé"))</f>
        <v/>
      </c>
      <c r="H805" s="74" t="str">
        <f>IF(A805="","",SUMIFS(po_rcv,po_ref,A805,po_status,"&lt;&gt;Annulé"))</f>
        <v/>
      </c>
      <c r="I805" s="74" t="str">
        <f>IF(A805="","",SUMIFS(po_rest,po_ref,A805,po_key,"&gt;0"))</f>
        <v/>
      </c>
      <c r="J805" s="70" t="str">
        <f>IF(A805="","",IF(COUNTIFS(po_ref,A805,po_status,"&lt;&gt;Annulé")=0,"",INDEX(po_price,SUMPRODUCT(MAX((po_ref=A805)*(po_status&lt;&gt;"Annulé")*(ROW(po_ref)-5))))))</f>
        <v/>
      </c>
      <c r="K805" s="67" t="str">
        <f>IF(A805="","",IF(COUNTIF(art_ref,A805)&gt;1,"Référence en double",IF(B805="","Désignation manquante",IF(NOT(ISNUMBER(D805)),"Prix manquant",IF(E805="","TVA manquante",IF(ISNA(MATCH(E805,p_tva,0)),"Taux de TVA inconnu",IF(AND(F805&lt;&gt;"",ISNA(MATCH(F805,sup_code,0))),"Fournisseur inconnu","OK")))))))</f>
        <v/>
      </c>
    </row>
    <row r="806">
      <c r="A806" s="63" t="n"/>
      <c r="B806" s="63" t="n"/>
      <c r="C806" s="65" t="n"/>
      <c r="D806" s="69" t="n"/>
      <c r="E806" s="71" t="n"/>
      <c r="F806" s="65" t="n"/>
      <c r="G806" s="74" t="str">
        <f>IF(A806="","",SUMIFS(po_qty,po_ref,A806,po_status,"&lt;&gt;Annulé"))</f>
        <v/>
      </c>
      <c r="H806" s="74" t="str">
        <f>IF(A806="","",SUMIFS(po_rcv,po_ref,A806,po_status,"&lt;&gt;Annulé"))</f>
        <v/>
      </c>
      <c r="I806" s="74" t="str">
        <f>IF(A806="","",SUMIFS(po_rest,po_ref,A806,po_key,"&gt;0"))</f>
        <v/>
      </c>
      <c r="J806" s="70" t="str">
        <f>IF(A806="","",IF(COUNTIFS(po_ref,A806,po_status,"&lt;&gt;Annulé")=0,"",INDEX(po_price,SUMPRODUCT(MAX((po_ref=A806)*(po_status&lt;&gt;"Annulé")*(ROW(po_ref)-5))))))</f>
        <v/>
      </c>
      <c r="K806" s="67" t="str">
        <f>IF(A806="","",IF(COUNTIF(art_ref,A806)&gt;1,"Référence en double",IF(B806="","Désignation manquante",IF(NOT(ISNUMBER(D806)),"Prix manquant",IF(E806="","TVA manquante",IF(ISNA(MATCH(E806,p_tva,0)),"Taux de TVA inconnu",IF(AND(F806&lt;&gt;"",ISNA(MATCH(F806,sup_code,0))),"Fournisseur inconnu","OK")))))))</f>
        <v/>
      </c>
    </row>
    <row r="807">
      <c r="A807" s="63" t="n"/>
      <c r="B807" s="63" t="n"/>
      <c r="C807" s="65" t="n"/>
      <c r="D807" s="69" t="n"/>
      <c r="E807" s="71" t="n"/>
      <c r="F807" s="65" t="n"/>
      <c r="G807" s="74" t="str">
        <f>IF(A807="","",SUMIFS(po_qty,po_ref,A807,po_status,"&lt;&gt;Annulé"))</f>
        <v/>
      </c>
      <c r="H807" s="74" t="str">
        <f>IF(A807="","",SUMIFS(po_rcv,po_ref,A807,po_status,"&lt;&gt;Annulé"))</f>
        <v/>
      </c>
      <c r="I807" s="74" t="str">
        <f>IF(A807="","",SUMIFS(po_rest,po_ref,A807,po_key,"&gt;0"))</f>
        <v/>
      </c>
      <c r="J807" s="70" t="str">
        <f>IF(A807="","",IF(COUNTIFS(po_ref,A807,po_status,"&lt;&gt;Annulé")=0,"",INDEX(po_price,SUMPRODUCT(MAX((po_ref=A807)*(po_status&lt;&gt;"Annulé")*(ROW(po_ref)-5))))))</f>
        <v/>
      </c>
      <c r="K807" s="67" t="str">
        <f>IF(A807="","",IF(COUNTIF(art_ref,A807)&gt;1,"Référence en double",IF(B807="","Désignation manquante",IF(NOT(ISNUMBER(D807)),"Prix manquant",IF(E807="","TVA manquante",IF(ISNA(MATCH(E807,p_tva,0)),"Taux de TVA inconnu",IF(AND(F807&lt;&gt;"",ISNA(MATCH(F807,sup_code,0))),"Fournisseur inconnu","OK")))))))</f>
        <v/>
      </c>
    </row>
    <row r="808">
      <c r="A808" s="63" t="n"/>
      <c r="B808" s="63" t="n"/>
      <c r="C808" s="65" t="n"/>
      <c r="D808" s="69" t="n"/>
      <c r="E808" s="71" t="n"/>
      <c r="F808" s="65" t="n"/>
      <c r="G808" s="74" t="str">
        <f>IF(A808="","",SUMIFS(po_qty,po_ref,A808,po_status,"&lt;&gt;Annulé"))</f>
        <v/>
      </c>
      <c r="H808" s="74" t="str">
        <f>IF(A808="","",SUMIFS(po_rcv,po_ref,A808,po_status,"&lt;&gt;Annulé"))</f>
        <v/>
      </c>
      <c r="I808" s="74" t="str">
        <f>IF(A808="","",SUMIFS(po_rest,po_ref,A808,po_key,"&gt;0"))</f>
        <v/>
      </c>
      <c r="J808" s="70" t="str">
        <f>IF(A808="","",IF(COUNTIFS(po_ref,A808,po_status,"&lt;&gt;Annulé")=0,"",INDEX(po_price,SUMPRODUCT(MAX((po_ref=A808)*(po_status&lt;&gt;"Annulé")*(ROW(po_ref)-5))))))</f>
        <v/>
      </c>
      <c r="K808" s="67" t="str">
        <f>IF(A808="","",IF(COUNTIF(art_ref,A808)&gt;1,"Référence en double",IF(B808="","Désignation manquante",IF(NOT(ISNUMBER(D808)),"Prix manquant",IF(E808="","TVA manquante",IF(ISNA(MATCH(E808,p_tva,0)),"Taux de TVA inconnu",IF(AND(F808&lt;&gt;"",ISNA(MATCH(F808,sup_code,0))),"Fournisseur inconnu","OK")))))))</f>
        <v/>
      </c>
    </row>
    <row r="809">
      <c r="A809" s="63" t="n"/>
      <c r="B809" s="63" t="n"/>
      <c r="C809" s="65" t="n"/>
      <c r="D809" s="69" t="n"/>
      <c r="E809" s="71" t="n"/>
      <c r="F809" s="65" t="n"/>
      <c r="G809" s="74" t="str">
        <f>IF(A809="","",SUMIFS(po_qty,po_ref,A809,po_status,"&lt;&gt;Annulé"))</f>
        <v/>
      </c>
      <c r="H809" s="74" t="str">
        <f>IF(A809="","",SUMIFS(po_rcv,po_ref,A809,po_status,"&lt;&gt;Annulé"))</f>
        <v/>
      </c>
      <c r="I809" s="74" t="str">
        <f>IF(A809="","",SUMIFS(po_rest,po_ref,A809,po_key,"&gt;0"))</f>
        <v/>
      </c>
      <c r="J809" s="70" t="str">
        <f>IF(A809="","",IF(COUNTIFS(po_ref,A809,po_status,"&lt;&gt;Annulé")=0,"",INDEX(po_price,SUMPRODUCT(MAX((po_ref=A809)*(po_status&lt;&gt;"Annulé")*(ROW(po_ref)-5))))))</f>
        <v/>
      </c>
      <c r="K809" s="67" t="str">
        <f>IF(A809="","",IF(COUNTIF(art_ref,A809)&gt;1,"Référence en double",IF(B809="","Désignation manquante",IF(NOT(ISNUMBER(D809)),"Prix manquant",IF(E809="","TVA manquante",IF(ISNA(MATCH(E809,p_tva,0)),"Taux de TVA inconnu",IF(AND(F809&lt;&gt;"",ISNA(MATCH(F809,sup_code,0))),"Fournisseur inconnu","OK")))))))</f>
        <v/>
      </c>
    </row>
    <row r="810">
      <c r="A810" s="63" t="n"/>
      <c r="B810" s="63" t="n"/>
      <c r="C810" s="65" t="n"/>
      <c r="D810" s="69" t="n"/>
      <c r="E810" s="71" t="n"/>
      <c r="F810" s="65" t="n"/>
      <c r="G810" s="74" t="str">
        <f>IF(A810="","",SUMIFS(po_qty,po_ref,A810,po_status,"&lt;&gt;Annulé"))</f>
        <v/>
      </c>
      <c r="H810" s="74" t="str">
        <f>IF(A810="","",SUMIFS(po_rcv,po_ref,A810,po_status,"&lt;&gt;Annulé"))</f>
        <v/>
      </c>
      <c r="I810" s="74" t="str">
        <f>IF(A810="","",SUMIFS(po_rest,po_ref,A810,po_key,"&gt;0"))</f>
        <v/>
      </c>
      <c r="J810" s="70" t="str">
        <f>IF(A810="","",IF(COUNTIFS(po_ref,A810,po_status,"&lt;&gt;Annulé")=0,"",INDEX(po_price,SUMPRODUCT(MAX((po_ref=A810)*(po_status&lt;&gt;"Annulé")*(ROW(po_ref)-5))))))</f>
        <v/>
      </c>
      <c r="K810" s="67" t="str">
        <f>IF(A810="","",IF(COUNTIF(art_ref,A810)&gt;1,"Référence en double",IF(B810="","Désignation manquante",IF(NOT(ISNUMBER(D810)),"Prix manquant",IF(E810="","TVA manquante",IF(ISNA(MATCH(E810,p_tva,0)),"Taux de TVA inconnu",IF(AND(F810&lt;&gt;"",ISNA(MATCH(F810,sup_code,0))),"Fournisseur inconnu","OK")))))))</f>
        <v/>
      </c>
    </row>
    <row r="811">
      <c r="A811" s="63" t="n"/>
      <c r="B811" s="63" t="n"/>
      <c r="C811" s="65" t="n"/>
      <c r="D811" s="69" t="n"/>
      <c r="E811" s="71" t="n"/>
      <c r="F811" s="65" t="n"/>
      <c r="G811" s="74" t="str">
        <f>IF(A811="","",SUMIFS(po_qty,po_ref,A811,po_status,"&lt;&gt;Annulé"))</f>
        <v/>
      </c>
      <c r="H811" s="74" t="str">
        <f>IF(A811="","",SUMIFS(po_rcv,po_ref,A811,po_status,"&lt;&gt;Annulé"))</f>
        <v/>
      </c>
      <c r="I811" s="74" t="str">
        <f>IF(A811="","",SUMIFS(po_rest,po_ref,A811,po_key,"&gt;0"))</f>
        <v/>
      </c>
      <c r="J811" s="70" t="str">
        <f>IF(A811="","",IF(COUNTIFS(po_ref,A811,po_status,"&lt;&gt;Annulé")=0,"",INDEX(po_price,SUMPRODUCT(MAX((po_ref=A811)*(po_status&lt;&gt;"Annulé")*(ROW(po_ref)-5))))))</f>
        <v/>
      </c>
      <c r="K811" s="67" t="str">
        <f>IF(A811="","",IF(COUNTIF(art_ref,A811)&gt;1,"Référence en double",IF(B811="","Désignation manquante",IF(NOT(ISNUMBER(D811)),"Prix manquant",IF(E811="","TVA manquante",IF(ISNA(MATCH(E811,p_tva,0)),"Taux de TVA inconnu",IF(AND(F811&lt;&gt;"",ISNA(MATCH(F811,sup_code,0))),"Fournisseur inconnu","OK")))))))</f>
        <v/>
      </c>
    </row>
    <row r="812">
      <c r="A812" s="63" t="n"/>
      <c r="B812" s="63" t="n"/>
      <c r="C812" s="65" t="n"/>
      <c r="D812" s="69" t="n"/>
      <c r="E812" s="71" t="n"/>
      <c r="F812" s="65" t="n"/>
      <c r="G812" s="74" t="str">
        <f>IF(A812="","",SUMIFS(po_qty,po_ref,A812,po_status,"&lt;&gt;Annulé"))</f>
        <v/>
      </c>
      <c r="H812" s="74" t="str">
        <f>IF(A812="","",SUMIFS(po_rcv,po_ref,A812,po_status,"&lt;&gt;Annulé"))</f>
        <v/>
      </c>
      <c r="I812" s="74" t="str">
        <f>IF(A812="","",SUMIFS(po_rest,po_ref,A812,po_key,"&gt;0"))</f>
        <v/>
      </c>
      <c r="J812" s="70" t="str">
        <f>IF(A812="","",IF(COUNTIFS(po_ref,A812,po_status,"&lt;&gt;Annulé")=0,"",INDEX(po_price,SUMPRODUCT(MAX((po_ref=A812)*(po_status&lt;&gt;"Annulé")*(ROW(po_ref)-5))))))</f>
        <v/>
      </c>
      <c r="K812" s="67" t="str">
        <f>IF(A812="","",IF(COUNTIF(art_ref,A812)&gt;1,"Référence en double",IF(B812="","Désignation manquante",IF(NOT(ISNUMBER(D812)),"Prix manquant",IF(E812="","TVA manquante",IF(ISNA(MATCH(E812,p_tva,0)),"Taux de TVA inconnu",IF(AND(F812&lt;&gt;"",ISNA(MATCH(F812,sup_code,0))),"Fournisseur inconnu","OK")))))))</f>
        <v/>
      </c>
    </row>
    <row r="813">
      <c r="A813" s="63" t="n"/>
      <c r="B813" s="63" t="n"/>
      <c r="C813" s="65" t="n"/>
      <c r="D813" s="69" t="n"/>
      <c r="E813" s="71" t="n"/>
      <c r="F813" s="65" t="n"/>
      <c r="G813" s="74" t="str">
        <f>IF(A813="","",SUMIFS(po_qty,po_ref,A813,po_status,"&lt;&gt;Annulé"))</f>
        <v/>
      </c>
      <c r="H813" s="74" t="str">
        <f>IF(A813="","",SUMIFS(po_rcv,po_ref,A813,po_status,"&lt;&gt;Annulé"))</f>
        <v/>
      </c>
      <c r="I813" s="74" t="str">
        <f>IF(A813="","",SUMIFS(po_rest,po_ref,A813,po_key,"&gt;0"))</f>
        <v/>
      </c>
      <c r="J813" s="70" t="str">
        <f>IF(A813="","",IF(COUNTIFS(po_ref,A813,po_status,"&lt;&gt;Annulé")=0,"",INDEX(po_price,SUMPRODUCT(MAX((po_ref=A813)*(po_status&lt;&gt;"Annulé")*(ROW(po_ref)-5))))))</f>
        <v/>
      </c>
      <c r="K813" s="67" t="str">
        <f>IF(A813="","",IF(COUNTIF(art_ref,A813)&gt;1,"Référence en double",IF(B813="","Désignation manquante",IF(NOT(ISNUMBER(D813)),"Prix manquant",IF(E813="","TVA manquante",IF(ISNA(MATCH(E813,p_tva,0)),"Taux de TVA inconnu",IF(AND(F813&lt;&gt;"",ISNA(MATCH(F813,sup_code,0))),"Fournisseur inconnu","OK")))))))</f>
        <v/>
      </c>
    </row>
    <row r="814">
      <c r="A814" s="63" t="n"/>
      <c r="B814" s="63" t="n"/>
      <c r="C814" s="65" t="n"/>
      <c r="D814" s="69" t="n"/>
      <c r="E814" s="71" t="n"/>
      <c r="F814" s="65" t="n"/>
      <c r="G814" s="74" t="str">
        <f>IF(A814="","",SUMIFS(po_qty,po_ref,A814,po_status,"&lt;&gt;Annulé"))</f>
        <v/>
      </c>
      <c r="H814" s="74" t="str">
        <f>IF(A814="","",SUMIFS(po_rcv,po_ref,A814,po_status,"&lt;&gt;Annulé"))</f>
        <v/>
      </c>
      <c r="I814" s="74" t="str">
        <f>IF(A814="","",SUMIFS(po_rest,po_ref,A814,po_key,"&gt;0"))</f>
        <v/>
      </c>
      <c r="J814" s="70" t="str">
        <f>IF(A814="","",IF(COUNTIFS(po_ref,A814,po_status,"&lt;&gt;Annulé")=0,"",INDEX(po_price,SUMPRODUCT(MAX((po_ref=A814)*(po_status&lt;&gt;"Annulé")*(ROW(po_ref)-5))))))</f>
        <v/>
      </c>
      <c r="K814" s="67" t="str">
        <f>IF(A814="","",IF(COUNTIF(art_ref,A814)&gt;1,"Référence en double",IF(B814="","Désignation manquante",IF(NOT(ISNUMBER(D814)),"Prix manquant",IF(E814="","TVA manquante",IF(ISNA(MATCH(E814,p_tva,0)),"Taux de TVA inconnu",IF(AND(F814&lt;&gt;"",ISNA(MATCH(F814,sup_code,0))),"Fournisseur inconnu","OK")))))))</f>
        <v/>
      </c>
    </row>
    <row r="815">
      <c r="A815" s="63" t="n"/>
      <c r="B815" s="63" t="n"/>
      <c r="C815" s="65" t="n"/>
      <c r="D815" s="69" t="n"/>
      <c r="E815" s="71" t="n"/>
      <c r="F815" s="65" t="n"/>
      <c r="G815" s="74" t="str">
        <f>IF(A815="","",SUMIFS(po_qty,po_ref,A815,po_status,"&lt;&gt;Annulé"))</f>
        <v/>
      </c>
      <c r="H815" s="74" t="str">
        <f>IF(A815="","",SUMIFS(po_rcv,po_ref,A815,po_status,"&lt;&gt;Annulé"))</f>
        <v/>
      </c>
      <c r="I815" s="74" t="str">
        <f>IF(A815="","",SUMIFS(po_rest,po_ref,A815,po_key,"&gt;0"))</f>
        <v/>
      </c>
      <c r="J815" s="70" t="str">
        <f>IF(A815="","",IF(COUNTIFS(po_ref,A815,po_status,"&lt;&gt;Annulé")=0,"",INDEX(po_price,SUMPRODUCT(MAX((po_ref=A815)*(po_status&lt;&gt;"Annulé")*(ROW(po_ref)-5))))))</f>
        <v/>
      </c>
      <c r="K815" s="67" t="str">
        <f>IF(A815="","",IF(COUNTIF(art_ref,A815)&gt;1,"Référence en double",IF(B815="","Désignation manquante",IF(NOT(ISNUMBER(D815)),"Prix manquant",IF(E815="","TVA manquante",IF(ISNA(MATCH(E815,p_tva,0)),"Taux de TVA inconnu",IF(AND(F815&lt;&gt;"",ISNA(MATCH(F815,sup_code,0))),"Fournisseur inconnu","OK")))))))</f>
        <v/>
      </c>
    </row>
    <row r="816">
      <c r="A816" s="63" t="n"/>
      <c r="B816" s="63" t="n"/>
      <c r="C816" s="65" t="n"/>
      <c r="D816" s="69" t="n"/>
      <c r="E816" s="71" t="n"/>
      <c r="F816" s="65" t="n"/>
      <c r="G816" s="74" t="str">
        <f>IF(A816="","",SUMIFS(po_qty,po_ref,A816,po_status,"&lt;&gt;Annulé"))</f>
        <v/>
      </c>
      <c r="H816" s="74" t="str">
        <f>IF(A816="","",SUMIFS(po_rcv,po_ref,A816,po_status,"&lt;&gt;Annulé"))</f>
        <v/>
      </c>
      <c r="I816" s="74" t="str">
        <f>IF(A816="","",SUMIFS(po_rest,po_ref,A816,po_key,"&gt;0"))</f>
        <v/>
      </c>
      <c r="J816" s="70" t="str">
        <f>IF(A816="","",IF(COUNTIFS(po_ref,A816,po_status,"&lt;&gt;Annulé")=0,"",INDEX(po_price,SUMPRODUCT(MAX((po_ref=A816)*(po_status&lt;&gt;"Annulé")*(ROW(po_ref)-5))))))</f>
        <v/>
      </c>
      <c r="K816" s="67" t="str">
        <f>IF(A816="","",IF(COUNTIF(art_ref,A816)&gt;1,"Référence en double",IF(B816="","Désignation manquante",IF(NOT(ISNUMBER(D816)),"Prix manquant",IF(E816="","TVA manquante",IF(ISNA(MATCH(E816,p_tva,0)),"Taux de TVA inconnu",IF(AND(F816&lt;&gt;"",ISNA(MATCH(F816,sup_code,0))),"Fournisseur inconnu","OK")))))))</f>
        <v/>
      </c>
    </row>
    <row r="817">
      <c r="A817" s="63" t="n"/>
      <c r="B817" s="63" t="n"/>
      <c r="C817" s="65" t="n"/>
      <c r="D817" s="69" t="n"/>
      <c r="E817" s="71" t="n"/>
      <c r="F817" s="65" t="n"/>
      <c r="G817" s="74" t="str">
        <f>IF(A817="","",SUMIFS(po_qty,po_ref,A817,po_status,"&lt;&gt;Annulé"))</f>
        <v/>
      </c>
      <c r="H817" s="74" t="str">
        <f>IF(A817="","",SUMIFS(po_rcv,po_ref,A817,po_status,"&lt;&gt;Annulé"))</f>
        <v/>
      </c>
      <c r="I817" s="74" t="str">
        <f>IF(A817="","",SUMIFS(po_rest,po_ref,A817,po_key,"&gt;0"))</f>
        <v/>
      </c>
      <c r="J817" s="70" t="str">
        <f>IF(A817="","",IF(COUNTIFS(po_ref,A817,po_status,"&lt;&gt;Annulé")=0,"",INDEX(po_price,SUMPRODUCT(MAX((po_ref=A817)*(po_status&lt;&gt;"Annulé")*(ROW(po_ref)-5))))))</f>
        <v/>
      </c>
      <c r="K817" s="67" t="str">
        <f>IF(A817="","",IF(COUNTIF(art_ref,A817)&gt;1,"Référence en double",IF(B817="","Désignation manquante",IF(NOT(ISNUMBER(D817)),"Prix manquant",IF(E817="","TVA manquante",IF(ISNA(MATCH(E817,p_tva,0)),"Taux de TVA inconnu",IF(AND(F817&lt;&gt;"",ISNA(MATCH(F817,sup_code,0))),"Fournisseur inconnu","OK")))))))</f>
        <v/>
      </c>
    </row>
    <row r="818">
      <c r="A818" s="63" t="n"/>
      <c r="B818" s="63" t="n"/>
      <c r="C818" s="65" t="n"/>
      <c r="D818" s="69" t="n"/>
      <c r="E818" s="71" t="n"/>
      <c r="F818" s="65" t="n"/>
      <c r="G818" s="74" t="str">
        <f>IF(A818="","",SUMIFS(po_qty,po_ref,A818,po_status,"&lt;&gt;Annulé"))</f>
        <v/>
      </c>
      <c r="H818" s="74" t="str">
        <f>IF(A818="","",SUMIFS(po_rcv,po_ref,A818,po_status,"&lt;&gt;Annulé"))</f>
        <v/>
      </c>
      <c r="I818" s="74" t="str">
        <f>IF(A818="","",SUMIFS(po_rest,po_ref,A818,po_key,"&gt;0"))</f>
        <v/>
      </c>
      <c r="J818" s="70" t="str">
        <f>IF(A818="","",IF(COUNTIFS(po_ref,A818,po_status,"&lt;&gt;Annulé")=0,"",INDEX(po_price,SUMPRODUCT(MAX((po_ref=A818)*(po_status&lt;&gt;"Annulé")*(ROW(po_ref)-5))))))</f>
        <v/>
      </c>
      <c r="K818" s="67" t="str">
        <f>IF(A818="","",IF(COUNTIF(art_ref,A818)&gt;1,"Référence en double",IF(B818="","Désignation manquante",IF(NOT(ISNUMBER(D818)),"Prix manquant",IF(E818="","TVA manquante",IF(ISNA(MATCH(E818,p_tva,0)),"Taux de TVA inconnu",IF(AND(F818&lt;&gt;"",ISNA(MATCH(F818,sup_code,0))),"Fournisseur inconnu","OK")))))))</f>
        <v/>
      </c>
    </row>
    <row r="819">
      <c r="A819" s="63" t="n"/>
      <c r="B819" s="63" t="n"/>
      <c r="C819" s="65" t="n"/>
      <c r="D819" s="69" t="n"/>
      <c r="E819" s="71" t="n"/>
      <c r="F819" s="65" t="n"/>
      <c r="G819" s="74" t="str">
        <f>IF(A819="","",SUMIFS(po_qty,po_ref,A819,po_status,"&lt;&gt;Annulé"))</f>
        <v/>
      </c>
      <c r="H819" s="74" t="str">
        <f>IF(A819="","",SUMIFS(po_rcv,po_ref,A819,po_status,"&lt;&gt;Annulé"))</f>
        <v/>
      </c>
      <c r="I819" s="74" t="str">
        <f>IF(A819="","",SUMIFS(po_rest,po_ref,A819,po_key,"&gt;0"))</f>
        <v/>
      </c>
      <c r="J819" s="70" t="str">
        <f>IF(A819="","",IF(COUNTIFS(po_ref,A819,po_status,"&lt;&gt;Annulé")=0,"",INDEX(po_price,SUMPRODUCT(MAX((po_ref=A819)*(po_status&lt;&gt;"Annulé")*(ROW(po_ref)-5))))))</f>
        <v/>
      </c>
      <c r="K819" s="67" t="str">
        <f>IF(A819="","",IF(COUNTIF(art_ref,A819)&gt;1,"Référence en double",IF(B819="","Désignation manquante",IF(NOT(ISNUMBER(D819)),"Prix manquant",IF(E819="","TVA manquante",IF(ISNA(MATCH(E819,p_tva,0)),"Taux de TVA inconnu",IF(AND(F819&lt;&gt;"",ISNA(MATCH(F819,sup_code,0))),"Fournisseur inconnu","OK")))))))</f>
        <v/>
      </c>
    </row>
    <row r="820">
      <c r="A820" s="63" t="n"/>
      <c r="B820" s="63" t="n"/>
      <c r="C820" s="65" t="n"/>
      <c r="D820" s="69" t="n"/>
      <c r="E820" s="71" t="n"/>
      <c r="F820" s="65" t="n"/>
      <c r="G820" s="74" t="str">
        <f>IF(A820="","",SUMIFS(po_qty,po_ref,A820,po_status,"&lt;&gt;Annulé"))</f>
        <v/>
      </c>
      <c r="H820" s="74" t="str">
        <f>IF(A820="","",SUMIFS(po_rcv,po_ref,A820,po_status,"&lt;&gt;Annulé"))</f>
        <v/>
      </c>
      <c r="I820" s="74" t="str">
        <f>IF(A820="","",SUMIFS(po_rest,po_ref,A820,po_key,"&gt;0"))</f>
        <v/>
      </c>
      <c r="J820" s="70" t="str">
        <f>IF(A820="","",IF(COUNTIFS(po_ref,A820,po_status,"&lt;&gt;Annulé")=0,"",INDEX(po_price,SUMPRODUCT(MAX((po_ref=A820)*(po_status&lt;&gt;"Annulé")*(ROW(po_ref)-5))))))</f>
        <v/>
      </c>
      <c r="K820" s="67" t="str">
        <f>IF(A820="","",IF(COUNTIF(art_ref,A820)&gt;1,"Référence en double",IF(B820="","Désignation manquante",IF(NOT(ISNUMBER(D820)),"Prix manquant",IF(E820="","TVA manquante",IF(ISNA(MATCH(E820,p_tva,0)),"Taux de TVA inconnu",IF(AND(F820&lt;&gt;"",ISNA(MATCH(F820,sup_code,0))),"Fournisseur inconnu","OK")))))))</f>
        <v/>
      </c>
    </row>
    <row r="821">
      <c r="A821" s="63" t="n"/>
      <c r="B821" s="63" t="n"/>
      <c r="C821" s="65" t="n"/>
      <c r="D821" s="69" t="n"/>
      <c r="E821" s="71" t="n"/>
      <c r="F821" s="65" t="n"/>
      <c r="G821" s="74" t="str">
        <f>IF(A821="","",SUMIFS(po_qty,po_ref,A821,po_status,"&lt;&gt;Annulé"))</f>
        <v/>
      </c>
      <c r="H821" s="74" t="str">
        <f>IF(A821="","",SUMIFS(po_rcv,po_ref,A821,po_status,"&lt;&gt;Annulé"))</f>
        <v/>
      </c>
      <c r="I821" s="74" t="str">
        <f>IF(A821="","",SUMIFS(po_rest,po_ref,A821,po_key,"&gt;0"))</f>
        <v/>
      </c>
      <c r="J821" s="70" t="str">
        <f>IF(A821="","",IF(COUNTIFS(po_ref,A821,po_status,"&lt;&gt;Annulé")=0,"",INDEX(po_price,SUMPRODUCT(MAX((po_ref=A821)*(po_status&lt;&gt;"Annulé")*(ROW(po_ref)-5))))))</f>
        <v/>
      </c>
      <c r="K821" s="67" t="str">
        <f>IF(A821="","",IF(COUNTIF(art_ref,A821)&gt;1,"Référence en double",IF(B821="","Désignation manquante",IF(NOT(ISNUMBER(D821)),"Prix manquant",IF(E821="","TVA manquante",IF(ISNA(MATCH(E821,p_tva,0)),"Taux de TVA inconnu",IF(AND(F821&lt;&gt;"",ISNA(MATCH(F821,sup_code,0))),"Fournisseur inconnu","OK")))))))</f>
        <v/>
      </c>
    </row>
    <row r="822">
      <c r="A822" s="63" t="n"/>
      <c r="B822" s="63" t="n"/>
      <c r="C822" s="65" t="n"/>
      <c r="D822" s="69" t="n"/>
      <c r="E822" s="71" t="n"/>
      <c r="F822" s="65" t="n"/>
      <c r="G822" s="74" t="str">
        <f>IF(A822="","",SUMIFS(po_qty,po_ref,A822,po_status,"&lt;&gt;Annulé"))</f>
        <v/>
      </c>
      <c r="H822" s="74" t="str">
        <f>IF(A822="","",SUMIFS(po_rcv,po_ref,A822,po_status,"&lt;&gt;Annulé"))</f>
        <v/>
      </c>
      <c r="I822" s="74" t="str">
        <f>IF(A822="","",SUMIFS(po_rest,po_ref,A822,po_key,"&gt;0"))</f>
        <v/>
      </c>
      <c r="J822" s="70" t="str">
        <f>IF(A822="","",IF(COUNTIFS(po_ref,A822,po_status,"&lt;&gt;Annulé")=0,"",INDEX(po_price,SUMPRODUCT(MAX((po_ref=A822)*(po_status&lt;&gt;"Annulé")*(ROW(po_ref)-5))))))</f>
        <v/>
      </c>
      <c r="K822" s="67" t="str">
        <f>IF(A822="","",IF(COUNTIF(art_ref,A822)&gt;1,"Référence en double",IF(B822="","Désignation manquante",IF(NOT(ISNUMBER(D822)),"Prix manquant",IF(E822="","TVA manquante",IF(ISNA(MATCH(E822,p_tva,0)),"Taux de TVA inconnu",IF(AND(F822&lt;&gt;"",ISNA(MATCH(F822,sup_code,0))),"Fournisseur inconnu","OK")))))))</f>
        <v/>
      </c>
    </row>
    <row r="823">
      <c r="A823" s="63" t="n"/>
      <c r="B823" s="63" t="n"/>
      <c r="C823" s="65" t="n"/>
      <c r="D823" s="69" t="n"/>
      <c r="E823" s="71" t="n"/>
      <c r="F823" s="65" t="n"/>
      <c r="G823" s="74" t="str">
        <f>IF(A823="","",SUMIFS(po_qty,po_ref,A823,po_status,"&lt;&gt;Annulé"))</f>
        <v/>
      </c>
      <c r="H823" s="74" t="str">
        <f>IF(A823="","",SUMIFS(po_rcv,po_ref,A823,po_status,"&lt;&gt;Annulé"))</f>
        <v/>
      </c>
      <c r="I823" s="74" t="str">
        <f>IF(A823="","",SUMIFS(po_rest,po_ref,A823,po_key,"&gt;0"))</f>
        <v/>
      </c>
      <c r="J823" s="70" t="str">
        <f>IF(A823="","",IF(COUNTIFS(po_ref,A823,po_status,"&lt;&gt;Annulé")=0,"",INDEX(po_price,SUMPRODUCT(MAX((po_ref=A823)*(po_status&lt;&gt;"Annulé")*(ROW(po_ref)-5))))))</f>
        <v/>
      </c>
      <c r="K823" s="67" t="str">
        <f>IF(A823="","",IF(COUNTIF(art_ref,A823)&gt;1,"Référence en double",IF(B823="","Désignation manquante",IF(NOT(ISNUMBER(D823)),"Prix manquant",IF(E823="","TVA manquante",IF(ISNA(MATCH(E823,p_tva,0)),"Taux de TVA inconnu",IF(AND(F823&lt;&gt;"",ISNA(MATCH(F823,sup_code,0))),"Fournisseur inconnu","OK")))))))</f>
        <v/>
      </c>
    </row>
    <row r="824">
      <c r="A824" s="63" t="n"/>
      <c r="B824" s="63" t="n"/>
      <c r="C824" s="65" t="n"/>
      <c r="D824" s="69" t="n"/>
      <c r="E824" s="71" t="n"/>
      <c r="F824" s="65" t="n"/>
      <c r="G824" s="74" t="str">
        <f>IF(A824="","",SUMIFS(po_qty,po_ref,A824,po_status,"&lt;&gt;Annulé"))</f>
        <v/>
      </c>
      <c r="H824" s="74" t="str">
        <f>IF(A824="","",SUMIFS(po_rcv,po_ref,A824,po_status,"&lt;&gt;Annulé"))</f>
        <v/>
      </c>
      <c r="I824" s="74" t="str">
        <f>IF(A824="","",SUMIFS(po_rest,po_ref,A824,po_key,"&gt;0"))</f>
        <v/>
      </c>
      <c r="J824" s="70" t="str">
        <f>IF(A824="","",IF(COUNTIFS(po_ref,A824,po_status,"&lt;&gt;Annulé")=0,"",INDEX(po_price,SUMPRODUCT(MAX((po_ref=A824)*(po_status&lt;&gt;"Annulé")*(ROW(po_ref)-5))))))</f>
        <v/>
      </c>
      <c r="K824" s="67" t="str">
        <f>IF(A824="","",IF(COUNTIF(art_ref,A824)&gt;1,"Référence en double",IF(B824="","Désignation manquante",IF(NOT(ISNUMBER(D824)),"Prix manquant",IF(E824="","TVA manquante",IF(ISNA(MATCH(E824,p_tva,0)),"Taux de TVA inconnu",IF(AND(F824&lt;&gt;"",ISNA(MATCH(F824,sup_code,0))),"Fournisseur inconnu","OK")))))))</f>
        <v/>
      </c>
    </row>
    <row r="825">
      <c r="A825" s="63" t="n"/>
      <c r="B825" s="63" t="n"/>
      <c r="C825" s="65" t="n"/>
      <c r="D825" s="69" t="n"/>
      <c r="E825" s="71" t="n"/>
      <c r="F825" s="65" t="n"/>
      <c r="G825" s="74" t="str">
        <f>IF(A825="","",SUMIFS(po_qty,po_ref,A825,po_status,"&lt;&gt;Annulé"))</f>
        <v/>
      </c>
      <c r="H825" s="74" t="str">
        <f>IF(A825="","",SUMIFS(po_rcv,po_ref,A825,po_status,"&lt;&gt;Annulé"))</f>
        <v/>
      </c>
      <c r="I825" s="74" t="str">
        <f>IF(A825="","",SUMIFS(po_rest,po_ref,A825,po_key,"&gt;0"))</f>
        <v/>
      </c>
      <c r="J825" s="70" t="str">
        <f>IF(A825="","",IF(COUNTIFS(po_ref,A825,po_status,"&lt;&gt;Annulé")=0,"",INDEX(po_price,SUMPRODUCT(MAX((po_ref=A825)*(po_status&lt;&gt;"Annulé")*(ROW(po_ref)-5))))))</f>
        <v/>
      </c>
      <c r="K825" s="67" t="str">
        <f>IF(A825="","",IF(COUNTIF(art_ref,A825)&gt;1,"Référence en double",IF(B825="","Désignation manquante",IF(NOT(ISNUMBER(D825)),"Prix manquant",IF(E825="","TVA manquante",IF(ISNA(MATCH(E825,p_tva,0)),"Taux de TVA inconnu",IF(AND(F825&lt;&gt;"",ISNA(MATCH(F825,sup_code,0))),"Fournisseur inconnu","OK")))))))</f>
        <v/>
      </c>
    </row>
    <row r="826">
      <c r="A826" s="63" t="n"/>
      <c r="B826" s="63" t="n"/>
      <c r="C826" s="65" t="n"/>
      <c r="D826" s="69" t="n"/>
      <c r="E826" s="71" t="n"/>
      <c r="F826" s="65" t="n"/>
      <c r="G826" s="74" t="str">
        <f>IF(A826="","",SUMIFS(po_qty,po_ref,A826,po_status,"&lt;&gt;Annulé"))</f>
        <v/>
      </c>
      <c r="H826" s="74" t="str">
        <f>IF(A826="","",SUMIFS(po_rcv,po_ref,A826,po_status,"&lt;&gt;Annulé"))</f>
        <v/>
      </c>
      <c r="I826" s="74" t="str">
        <f>IF(A826="","",SUMIFS(po_rest,po_ref,A826,po_key,"&gt;0"))</f>
        <v/>
      </c>
      <c r="J826" s="70" t="str">
        <f>IF(A826="","",IF(COUNTIFS(po_ref,A826,po_status,"&lt;&gt;Annulé")=0,"",INDEX(po_price,SUMPRODUCT(MAX((po_ref=A826)*(po_status&lt;&gt;"Annulé")*(ROW(po_ref)-5))))))</f>
        <v/>
      </c>
      <c r="K826" s="67" t="str">
        <f>IF(A826="","",IF(COUNTIF(art_ref,A826)&gt;1,"Référence en double",IF(B826="","Désignation manquante",IF(NOT(ISNUMBER(D826)),"Prix manquant",IF(E826="","TVA manquante",IF(ISNA(MATCH(E826,p_tva,0)),"Taux de TVA inconnu",IF(AND(F826&lt;&gt;"",ISNA(MATCH(F826,sup_code,0))),"Fournisseur inconnu","OK")))))))</f>
        <v/>
      </c>
    </row>
    <row r="827">
      <c r="A827" s="63" t="n"/>
      <c r="B827" s="63" t="n"/>
      <c r="C827" s="65" t="n"/>
      <c r="D827" s="69" t="n"/>
      <c r="E827" s="71" t="n"/>
      <c r="F827" s="65" t="n"/>
      <c r="G827" s="74" t="str">
        <f>IF(A827="","",SUMIFS(po_qty,po_ref,A827,po_status,"&lt;&gt;Annulé"))</f>
        <v/>
      </c>
      <c r="H827" s="74" t="str">
        <f>IF(A827="","",SUMIFS(po_rcv,po_ref,A827,po_status,"&lt;&gt;Annulé"))</f>
        <v/>
      </c>
      <c r="I827" s="74" t="str">
        <f>IF(A827="","",SUMIFS(po_rest,po_ref,A827,po_key,"&gt;0"))</f>
        <v/>
      </c>
      <c r="J827" s="70" t="str">
        <f>IF(A827="","",IF(COUNTIFS(po_ref,A827,po_status,"&lt;&gt;Annulé")=0,"",INDEX(po_price,SUMPRODUCT(MAX((po_ref=A827)*(po_status&lt;&gt;"Annulé")*(ROW(po_ref)-5))))))</f>
        <v/>
      </c>
      <c r="K827" s="67" t="str">
        <f>IF(A827="","",IF(COUNTIF(art_ref,A827)&gt;1,"Référence en double",IF(B827="","Désignation manquante",IF(NOT(ISNUMBER(D827)),"Prix manquant",IF(E827="","TVA manquante",IF(ISNA(MATCH(E827,p_tva,0)),"Taux de TVA inconnu",IF(AND(F827&lt;&gt;"",ISNA(MATCH(F827,sup_code,0))),"Fournisseur inconnu","OK")))))))</f>
        <v/>
      </c>
    </row>
    <row r="828">
      <c r="A828" s="63" t="n"/>
      <c r="B828" s="63" t="n"/>
      <c r="C828" s="65" t="n"/>
      <c r="D828" s="69" t="n"/>
      <c r="E828" s="71" t="n"/>
      <c r="F828" s="65" t="n"/>
      <c r="G828" s="74" t="str">
        <f>IF(A828="","",SUMIFS(po_qty,po_ref,A828,po_status,"&lt;&gt;Annulé"))</f>
        <v/>
      </c>
      <c r="H828" s="74" t="str">
        <f>IF(A828="","",SUMIFS(po_rcv,po_ref,A828,po_status,"&lt;&gt;Annulé"))</f>
        <v/>
      </c>
      <c r="I828" s="74" t="str">
        <f>IF(A828="","",SUMIFS(po_rest,po_ref,A828,po_key,"&gt;0"))</f>
        <v/>
      </c>
      <c r="J828" s="70" t="str">
        <f>IF(A828="","",IF(COUNTIFS(po_ref,A828,po_status,"&lt;&gt;Annulé")=0,"",INDEX(po_price,SUMPRODUCT(MAX((po_ref=A828)*(po_status&lt;&gt;"Annulé")*(ROW(po_ref)-5))))))</f>
        <v/>
      </c>
      <c r="K828" s="67" t="str">
        <f>IF(A828="","",IF(COUNTIF(art_ref,A828)&gt;1,"Référence en double",IF(B828="","Désignation manquante",IF(NOT(ISNUMBER(D828)),"Prix manquant",IF(E828="","TVA manquante",IF(ISNA(MATCH(E828,p_tva,0)),"Taux de TVA inconnu",IF(AND(F828&lt;&gt;"",ISNA(MATCH(F828,sup_code,0))),"Fournisseur inconnu","OK")))))))</f>
        <v/>
      </c>
    </row>
    <row r="829">
      <c r="A829" s="63" t="n"/>
      <c r="B829" s="63" t="n"/>
      <c r="C829" s="65" t="n"/>
      <c r="D829" s="69" t="n"/>
      <c r="E829" s="71" t="n"/>
      <c r="F829" s="65" t="n"/>
      <c r="G829" s="74" t="str">
        <f>IF(A829="","",SUMIFS(po_qty,po_ref,A829,po_status,"&lt;&gt;Annulé"))</f>
        <v/>
      </c>
      <c r="H829" s="74" t="str">
        <f>IF(A829="","",SUMIFS(po_rcv,po_ref,A829,po_status,"&lt;&gt;Annulé"))</f>
        <v/>
      </c>
      <c r="I829" s="74" t="str">
        <f>IF(A829="","",SUMIFS(po_rest,po_ref,A829,po_key,"&gt;0"))</f>
        <v/>
      </c>
      <c r="J829" s="70" t="str">
        <f>IF(A829="","",IF(COUNTIFS(po_ref,A829,po_status,"&lt;&gt;Annulé")=0,"",INDEX(po_price,SUMPRODUCT(MAX((po_ref=A829)*(po_status&lt;&gt;"Annulé")*(ROW(po_ref)-5))))))</f>
        <v/>
      </c>
      <c r="K829" s="67" t="str">
        <f>IF(A829="","",IF(COUNTIF(art_ref,A829)&gt;1,"Référence en double",IF(B829="","Désignation manquante",IF(NOT(ISNUMBER(D829)),"Prix manquant",IF(E829="","TVA manquante",IF(ISNA(MATCH(E829,p_tva,0)),"Taux de TVA inconnu",IF(AND(F829&lt;&gt;"",ISNA(MATCH(F829,sup_code,0))),"Fournisseur inconnu","OK")))))))</f>
        <v/>
      </c>
    </row>
    <row r="830">
      <c r="A830" s="63" t="n"/>
      <c r="B830" s="63" t="n"/>
      <c r="C830" s="65" t="n"/>
      <c r="D830" s="69" t="n"/>
      <c r="E830" s="71" t="n"/>
      <c r="F830" s="65" t="n"/>
      <c r="G830" s="74" t="str">
        <f>IF(A830="","",SUMIFS(po_qty,po_ref,A830,po_status,"&lt;&gt;Annulé"))</f>
        <v/>
      </c>
      <c r="H830" s="74" t="str">
        <f>IF(A830="","",SUMIFS(po_rcv,po_ref,A830,po_status,"&lt;&gt;Annulé"))</f>
        <v/>
      </c>
      <c r="I830" s="74" t="str">
        <f>IF(A830="","",SUMIFS(po_rest,po_ref,A830,po_key,"&gt;0"))</f>
        <v/>
      </c>
      <c r="J830" s="70" t="str">
        <f>IF(A830="","",IF(COUNTIFS(po_ref,A830,po_status,"&lt;&gt;Annulé")=0,"",INDEX(po_price,SUMPRODUCT(MAX((po_ref=A830)*(po_status&lt;&gt;"Annulé")*(ROW(po_ref)-5))))))</f>
        <v/>
      </c>
      <c r="K830" s="67" t="str">
        <f>IF(A830="","",IF(COUNTIF(art_ref,A830)&gt;1,"Référence en double",IF(B830="","Désignation manquante",IF(NOT(ISNUMBER(D830)),"Prix manquant",IF(E830="","TVA manquante",IF(ISNA(MATCH(E830,p_tva,0)),"Taux de TVA inconnu",IF(AND(F830&lt;&gt;"",ISNA(MATCH(F830,sup_code,0))),"Fournisseur inconnu","OK")))))))</f>
        <v/>
      </c>
    </row>
    <row r="831">
      <c r="A831" s="63" t="n"/>
      <c r="B831" s="63" t="n"/>
      <c r="C831" s="65" t="n"/>
      <c r="D831" s="69" t="n"/>
      <c r="E831" s="71" t="n"/>
      <c r="F831" s="65" t="n"/>
      <c r="G831" s="74" t="str">
        <f>IF(A831="","",SUMIFS(po_qty,po_ref,A831,po_status,"&lt;&gt;Annulé"))</f>
        <v/>
      </c>
      <c r="H831" s="74" t="str">
        <f>IF(A831="","",SUMIFS(po_rcv,po_ref,A831,po_status,"&lt;&gt;Annulé"))</f>
        <v/>
      </c>
      <c r="I831" s="74" t="str">
        <f>IF(A831="","",SUMIFS(po_rest,po_ref,A831,po_key,"&gt;0"))</f>
        <v/>
      </c>
      <c r="J831" s="70" t="str">
        <f>IF(A831="","",IF(COUNTIFS(po_ref,A831,po_status,"&lt;&gt;Annulé")=0,"",INDEX(po_price,SUMPRODUCT(MAX((po_ref=A831)*(po_status&lt;&gt;"Annulé")*(ROW(po_ref)-5))))))</f>
        <v/>
      </c>
      <c r="K831" s="67" t="str">
        <f>IF(A831="","",IF(COUNTIF(art_ref,A831)&gt;1,"Référence en double",IF(B831="","Désignation manquante",IF(NOT(ISNUMBER(D831)),"Prix manquant",IF(E831="","TVA manquante",IF(ISNA(MATCH(E831,p_tva,0)),"Taux de TVA inconnu",IF(AND(F831&lt;&gt;"",ISNA(MATCH(F831,sup_code,0))),"Fournisseur inconnu","OK")))))))</f>
        <v/>
      </c>
    </row>
    <row r="832">
      <c r="A832" s="63" t="n"/>
      <c r="B832" s="63" t="n"/>
      <c r="C832" s="65" t="n"/>
      <c r="D832" s="69" t="n"/>
      <c r="E832" s="71" t="n"/>
      <c r="F832" s="65" t="n"/>
      <c r="G832" s="74" t="str">
        <f>IF(A832="","",SUMIFS(po_qty,po_ref,A832,po_status,"&lt;&gt;Annulé"))</f>
        <v/>
      </c>
      <c r="H832" s="74" t="str">
        <f>IF(A832="","",SUMIFS(po_rcv,po_ref,A832,po_status,"&lt;&gt;Annulé"))</f>
        <v/>
      </c>
      <c r="I832" s="74" t="str">
        <f>IF(A832="","",SUMIFS(po_rest,po_ref,A832,po_key,"&gt;0"))</f>
        <v/>
      </c>
      <c r="J832" s="70" t="str">
        <f>IF(A832="","",IF(COUNTIFS(po_ref,A832,po_status,"&lt;&gt;Annulé")=0,"",INDEX(po_price,SUMPRODUCT(MAX((po_ref=A832)*(po_status&lt;&gt;"Annulé")*(ROW(po_ref)-5))))))</f>
        <v/>
      </c>
      <c r="K832" s="67" t="str">
        <f>IF(A832="","",IF(COUNTIF(art_ref,A832)&gt;1,"Référence en double",IF(B832="","Désignation manquante",IF(NOT(ISNUMBER(D832)),"Prix manquant",IF(E832="","TVA manquante",IF(ISNA(MATCH(E832,p_tva,0)),"Taux de TVA inconnu",IF(AND(F832&lt;&gt;"",ISNA(MATCH(F832,sup_code,0))),"Fournisseur inconnu","OK")))))))</f>
        <v/>
      </c>
    </row>
    <row r="833">
      <c r="A833" s="63" t="n"/>
      <c r="B833" s="63" t="n"/>
      <c r="C833" s="65" t="n"/>
      <c r="D833" s="69" t="n"/>
      <c r="E833" s="71" t="n"/>
      <c r="F833" s="65" t="n"/>
      <c r="G833" s="74" t="str">
        <f>IF(A833="","",SUMIFS(po_qty,po_ref,A833,po_status,"&lt;&gt;Annulé"))</f>
        <v/>
      </c>
      <c r="H833" s="74" t="str">
        <f>IF(A833="","",SUMIFS(po_rcv,po_ref,A833,po_status,"&lt;&gt;Annulé"))</f>
        <v/>
      </c>
      <c r="I833" s="74" t="str">
        <f>IF(A833="","",SUMIFS(po_rest,po_ref,A833,po_key,"&gt;0"))</f>
        <v/>
      </c>
      <c r="J833" s="70" t="str">
        <f>IF(A833="","",IF(COUNTIFS(po_ref,A833,po_status,"&lt;&gt;Annulé")=0,"",INDEX(po_price,SUMPRODUCT(MAX((po_ref=A833)*(po_status&lt;&gt;"Annulé")*(ROW(po_ref)-5))))))</f>
        <v/>
      </c>
      <c r="K833" s="67" t="str">
        <f>IF(A833="","",IF(COUNTIF(art_ref,A833)&gt;1,"Référence en double",IF(B833="","Désignation manquante",IF(NOT(ISNUMBER(D833)),"Prix manquant",IF(E833="","TVA manquante",IF(ISNA(MATCH(E833,p_tva,0)),"Taux de TVA inconnu",IF(AND(F833&lt;&gt;"",ISNA(MATCH(F833,sup_code,0))),"Fournisseur inconnu","OK")))))))</f>
        <v/>
      </c>
    </row>
    <row r="834">
      <c r="A834" s="63" t="n"/>
      <c r="B834" s="63" t="n"/>
      <c r="C834" s="65" t="n"/>
      <c r="D834" s="69" t="n"/>
      <c r="E834" s="71" t="n"/>
      <c r="F834" s="65" t="n"/>
      <c r="G834" s="74" t="str">
        <f>IF(A834="","",SUMIFS(po_qty,po_ref,A834,po_status,"&lt;&gt;Annulé"))</f>
        <v/>
      </c>
      <c r="H834" s="74" t="str">
        <f>IF(A834="","",SUMIFS(po_rcv,po_ref,A834,po_status,"&lt;&gt;Annulé"))</f>
        <v/>
      </c>
      <c r="I834" s="74" t="str">
        <f>IF(A834="","",SUMIFS(po_rest,po_ref,A834,po_key,"&gt;0"))</f>
        <v/>
      </c>
      <c r="J834" s="70" t="str">
        <f>IF(A834="","",IF(COUNTIFS(po_ref,A834,po_status,"&lt;&gt;Annulé")=0,"",INDEX(po_price,SUMPRODUCT(MAX((po_ref=A834)*(po_status&lt;&gt;"Annulé")*(ROW(po_ref)-5))))))</f>
        <v/>
      </c>
      <c r="K834" s="67" t="str">
        <f>IF(A834="","",IF(COUNTIF(art_ref,A834)&gt;1,"Référence en double",IF(B834="","Désignation manquante",IF(NOT(ISNUMBER(D834)),"Prix manquant",IF(E834="","TVA manquante",IF(ISNA(MATCH(E834,p_tva,0)),"Taux de TVA inconnu",IF(AND(F834&lt;&gt;"",ISNA(MATCH(F834,sup_code,0))),"Fournisseur inconnu","OK")))))))</f>
        <v/>
      </c>
    </row>
    <row r="835">
      <c r="A835" s="63" t="n"/>
      <c r="B835" s="63" t="n"/>
      <c r="C835" s="65" t="n"/>
      <c r="D835" s="69" t="n"/>
      <c r="E835" s="71" t="n"/>
      <c r="F835" s="65" t="n"/>
      <c r="G835" s="74" t="str">
        <f>IF(A835="","",SUMIFS(po_qty,po_ref,A835,po_status,"&lt;&gt;Annulé"))</f>
        <v/>
      </c>
      <c r="H835" s="74" t="str">
        <f>IF(A835="","",SUMIFS(po_rcv,po_ref,A835,po_status,"&lt;&gt;Annulé"))</f>
        <v/>
      </c>
      <c r="I835" s="74" t="str">
        <f>IF(A835="","",SUMIFS(po_rest,po_ref,A835,po_key,"&gt;0"))</f>
        <v/>
      </c>
      <c r="J835" s="70" t="str">
        <f>IF(A835="","",IF(COUNTIFS(po_ref,A835,po_status,"&lt;&gt;Annulé")=0,"",INDEX(po_price,SUMPRODUCT(MAX((po_ref=A835)*(po_status&lt;&gt;"Annulé")*(ROW(po_ref)-5))))))</f>
        <v/>
      </c>
      <c r="K835" s="67" t="str">
        <f>IF(A835="","",IF(COUNTIF(art_ref,A835)&gt;1,"Référence en double",IF(B835="","Désignation manquante",IF(NOT(ISNUMBER(D835)),"Prix manquant",IF(E835="","TVA manquante",IF(ISNA(MATCH(E835,p_tva,0)),"Taux de TVA inconnu",IF(AND(F835&lt;&gt;"",ISNA(MATCH(F835,sup_code,0))),"Fournisseur inconnu","OK")))))))</f>
        <v/>
      </c>
    </row>
    <row r="836">
      <c r="A836" s="63" t="n"/>
      <c r="B836" s="63" t="n"/>
      <c r="C836" s="65" t="n"/>
      <c r="D836" s="69" t="n"/>
      <c r="E836" s="71" t="n"/>
      <c r="F836" s="65" t="n"/>
      <c r="G836" s="74" t="str">
        <f>IF(A836="","",SUMIFS(po_qty,po_ref,A836,po_status,"&lt;&gt;Annulé"))</f>
        <v/>
      </c>
      <c r="H836" s="74" t="str">
        <f>IF(A836="","",SUMIFS(po_rcv,po_ref,A836,po_status,"&lt;&gt;Annulé"))</f>
        <v/>
      </c>
      <c r="I836" s="74" t="str">
        <f>IF(A836="","",SUMIFS(po_rest,po_ref,A836,po_key,"&gt;0"))</f>
        <v/>
      </c>
      <c r="J836" s="70" t="str">
        <f>IF(A836="","",IF(COUNTIFS(po_ref,A836,po_status,"&lt;&gt;Annulé")=0,"",INDEX(po_price,SUMPRODUCT(MAX((po_ref=A836)*(po_status&lt;&gt;"Annulé")*(ROW(po_ref)-5))))))</f>
        <v/>
      </c>
      <c r="K836" s="67" t="str">
        <f>IF(A836="","",IF(COUNTIF(art_ref,A836)&gt;1,"Référence en double",IF(B836="","Désignation manquante",IF(NOT(ISNUMBER(D836)),"Prix manquant",IF(E836="","TVA manquante",IF(ISNA(MATCH(E836,p_tva,0)),"Taux de TVA inconnu",IF(AND(F836&lt;&gt;"",ISNA(MATCH(F836,sup_code,0))),"Fournisseur inconnu","OK")))))))</f>
        <v/>
      </c>
    </row>
    <row r="837">
      <c r="A837" s="63" t="n"/>
      <c r="B837" s="63" t="n"/>
      <c r="C837" s="65" t="n"/>
      <c r="D837" s="69" t="n"/>
      <c r="E837" s="71" t="n"/>
      <c r="F837" s="65" t="n"/>
      <c r="G837" s="74" t="str">
        <f>IF(A837="","",SUMIFS(po_qty,po_ref,A837,po_status,"&lt;&gt;Annulé"))</f>
        <v/>
      </c>
      <c r="H837" s="74" t="str">
        <f>IF(A837="","",SUMIFS(po_rcv,po_ref,A837,po_status,"&lt;&gt;Annulé"))</f>
        <v/>
      </c>
      <c r="I837" s="74" t="str">
        <f>IF(A837="","",SUMIFS(po_rest,po_ref,A837,po_key,"&gt;0"))</f>
        <v/>
      </c>
      <c r="J837" s="70" t="str">
        <f>IF(A837="","",IF(COUNTIFS(po_ref,A837,po_status,"&lt;&gt;Annulé")=0,"",INDEX(po_price,SUMPRODUCT(MAX((po_ref=A837)*(po_status&lt;&gt;"Annulé")*(ROW(po_ref)-5))))))</f>
        <v/>
      </c>
      <c r="K837" s="67" t="str">
        <f>IF(A837="","",IF(COUNTIF(art_ref,A837)&gt;1,"Référence en double",IF(B837="","Désignation manquante",IF(NOT(ISNUMBER(D837)),"Prix manquant",IF(E837="","TVA manquante",IF(ISNA(MATCH(E837,p_tva,0)),"Taux de TVA inconnu",IF(AND(F837&lt;&gt;"",ISNA(MATCH(F837,sup_code,0))),"Fournisseur inconnu","OK")))))))</f>
        <v/>
      </c>
    </row>
    <row r="838">
      <c r="A838" s="63" t="n"/>
      <c r="B838" s="63" t="n"/>
      <c r="C838" s="65" t="n"/>
      <c r="D838" s="69" t="n"/>
      <c r="E838" s="71" t="n"/>
      <c r="F838" s="65" t="n"/>
      <c r="G838" s="74" t="str">
        <f>IF(A838="","",SUMIFS(po_qty,po_ref,A838,po_status,"&lt;&gt;Annulé"))</f>
        <v/>
      </c>
      <c r="H838" s="74" t="str">
        <f>IF(A838="","",SUMIFS(po_rcv,po_ref,A838,po_status,"&lt;&gt;Annulé"))</f>
        <v/>
      </c>
      <c r="I838" s="74" t="str">
        <f>IF(A838="","",SUMIFS(po_rest,po_ref,A838,po_key,"&gt;0"))</f>
        <v/>
      </c>
      <c r="J838" s="70" t="str">
        <f>IF(A838="","",IF(COUNTIFS(po_ref,A838,po_status,"&lt;&gt;Annulé")=0,"",INDEX(po_price,SUMPRODUCT(MAX((po_ref=A838)*(po_status&lt;&gt;"Annulé")*(ROW(po_ref)-5))))))</f>
        <v/>
      </c>
      <c r="K838" s="67" t="str">
        <f>IF(A838="","",IF(COUNTIF(art_ref,A838)&gt;1,"Référence en double",IF(B838="","Désignation manquante",IF(NOT(ISNUMBER(D838)),"Prix manquant",IF(E838="","TVA manquante",IF(ISNA(MATCH(E838,p_tva,0)),"Taux de TVA inconnu",IF(AND(F838&lt;&gt;"",ISNA(MATCH(F838,sup_code,0))),"Fournisseur inconnu","OK")))))))</f>
        <v/>
      </c>
    </row>
    <row r="839">
      <c r="A839" s="63" t="n"/>
      <c r="B839" s="63" t="n"/>
      <c r="C839" s="65" t="n"/>
      <c r="D839" s="69" t="n"/>
      <c r="E839" s="71" t="n"/>
      <c r="F839" s="65" t="n"/>
      <c r="G839" s="74" t="str">
        <f>IF(A839="","",SUMIFS(po_qty,po_ref,A839,po_status,"&lt;&gt;Annulé"))</f>
        <v/>
      </c>
      <c r="H839" s="74" t="str">
        <f>IF(A839="","",SUMIFS(po_rcv,po_ref,A839,po_status,"&lt;&gt;Annulé"))</f>
        <v/>
      </c>
      <c r="I839" s="74" t="str">
        <f>IF(A839="","",SUMIFS(po_rest,po_ref,A839,po_key,"&gt;0"))</f>
        <v/>
      </c>
      <c r="J839" s="70" t="str">
        <f>IF(A839="","",IF(COUNTIFS(po_ref,A839,po_status,"&lt;&gt;Annulé")=0,"",INDEX(po_price,SUMPRODUCT(MAX((po_ref=A839)*(po_status&lt;&gt;"Annulé")*(ROW(po_ref)-5))))))</f>
        <v/>
      </c>
      <c r="K839" s="67" t="str">
        <f>IF(A839="","",IF(COUNTIF(art_ref,A839)&gt;1,"Référence en double",IF(B839="","Désignation manquante",IF(NOT(ISNUMBER(D839)),"Prix manquant",IF(E839="","TVA manquante",IF(ISNA(MATCH(E839,p_tva,0)),"Taux de TVA inconnu",IF(AND(F839&lt;&gt;"",ISNA(MATCH(F839,sup_code,0))),"Fournisseur inconnu","OK")))))))</f>
        <v/>
      </c>
    </row>
    <row r="840">
      <c r="A840" s="63" t="n"/>
      <c r="B840" s="63" t="n"/>
      <c r="C840" s="65" t="n"/>
      <c r="D840" s="69" t="n"/>
      <c r="E840" s="71" t="n"/>
      <c r="F840" s="65" t="n"/>
      <c r="G840" s="74" t="str">
        <f>IF(A840="","",SUMIFS(po_qty,po_ref,A840,po_status,"&lt;&gt;Annulé"))</f>
        <v/>
      </c>
      <c r="H840" s="74" t="str">
        <f>IF(A840="","",SUMIFS(po_rcv,po_ref,A840,po_status,"&lt;&gt;Annulé"))</f>
        <v/>
      </c>
      <c r="I840" s="74" t="str">
        <f>IF(A840="","",SUMIFS(po_rest,po_ref,A840,po_key,"&gt;0"))</f>
        <v/>
      </c>
      <c r="J840" s="70" t="str">
        <f>IF(A840="","",IF(COUNTIFS(po_ref,A840,po_status,"&lt;&gt;Annulé")=0,"",INDEX(po_price,SUMPRODUCT(MAX((po_ref=A840)*(po_status&lt;&gt;"Annulé")*(ROW(po_ref)-5))))))</f>
        <v/>
      </c>
      <c r="K840" s="67" t="str">
        <f>IF(A840="","",IF(COUNTIF(art_ref,A840)&gt;1,"Référence en double",IF(B840="","Désignation manquante",IF(NOT(ISNUMBER(D840)),"Prix manquant",IF(E840="","TVA manquante",IF(ISNA(MATCH(E840,p_tva,0)),"Taux de TVA inconnu",IF(AND(F840&lt;&gt;"",ISNA(MATCH(F840,sup_code,0))),"Fournisseur inconnu","OK")))))))</f>
        <v/>
      </c>
    </row>
    <row r="841">
      <c r="A841" s="63" t="n"/>
      <c r="B841" s="63" t="n"/>
      <c r="C841" s="65" t="n"/>
      <c r="D841" s="69" t="n"/>
      <c r="E841" s="71" t="n"/>
      <c r="F841" s="65" t="n"/>
      <c r="G841" s="74" t="str">
        <f>IF(A841="","",SUMIFS(po_qty,po_ref,A841,po_status,"&lt;&gt;Annulé"))</f>
        <v/>
      </c>
      <c r="H841" s="74" t="str">
        <f>IF(A841="","",SUMIFS(po_rcv,po_ref,A841,po_status,"&lt;&gt;Annulé"))</f>
        <v/>
      </c>
      <c r="I841" s="74" t="str">
        <f>IF(A841="","",SUMIFS(po_rest,po_ref,A841,po_key,"&gt;0"))</f>
        <v/>
      </c>
      <c r="J841" s="70" t="str">
        <f>IF(A841="","",IF(COUNTIFS(po_ref,A841,po_status,"&lt;&gt;Annulé")=0,"",INDEX(po_price,SUMPRODUCT(MAX((po_ref=A841)*(po_status&lt;&gt;"Annulé")*(ROW(po_ref)-5))))))</f>
        <v/>
      </c>
      <c r="K841" s="67" t="str">
        <f>IF(A841="","",IF(COUNTIF(art_ref,A841)&gt;1,"Référence en double",IF(B841="","Désignation manquante",IF(NOT(ISNUMBER(D841)),"Prix manquant",IF(E841="","TVA manquante",IF(ISNA(MATCH(E841,p_tva,0)),"Taux de TVA inconnu",IF(AND(F841&lt;&gt;"",ISNA(MATCH(F841,sup_code,0))),"Fournisseur inconnu","OK")))))))</f>
        <v/>
      </c>
    </row>
    <row r="842">
      <c r="A842" s="63" t="n"/>
      <c r="B842" s="63" t="n"/>
      <c r="C842" s="65" t="n"/>
      <c r="D842" s="69" t="n"/>
      <c r="E842" s="71" t="n"/>
      <c r="F842" s="65" t="n"/>
      <c r="G842" s="74" t="str">
        <f>IF(A842="","",SUMIFS(po_qty,po_ref,A842,po_status,"&lt;&gt;Annulé"))</f>
        <v/>
      </c>
      <c r="H842" s="74" t="str">
        <f>IF(A842="","",SUMIFS(po_rcv,po_ref,A842,po_status,"&lt;&gt;Annulé"))</f>
        <v/>
      </c>
      <c r="I842" s="74" t="str">
        <f>IF(A842="","",SUMIFS(po_rest,po_ref,A842,po_key,"&gt;0"))</f>
        <v/>
      </c>
      <c r="J842" s="70" t="str">
        <f>IF(A842="","",IF(COUNTIFS(po_ref,A842,po_status,"&lt;&gt;Annulé")=0,"",INDEX(po_price,SUMPRODUCT(MAX((po_ref=A842)*(po_status&lt;&gt;"Annulé")*(ROW(po_ref)-5))))))</f>
        <v/>
      </c>
      <c r="K842" s="67" t="str">
        <f>IF(A842="","",IF(COUNTIF(art_ref,A842)&gt;1,"Référence en double",IF(B842="","Désignation manquante",IF(NOT(ISNUMBER(D842)),"Prix manquant",IF(E842="","TVA manquante",IF(ISNA(MATCH(E842,p_tva,0)),"Taux de TVA inconnu",IF(AND(F842&lt;&gt;"",ISNA(MATCH(F842,sup_code,0))),"Fournisseur inconnu","OK")))))))</f>
        <v/>
      </c>
    </row>
    <row r="843">
      <c r="A843" s="63" t="n"/>
      <c r="B843" s="63" t="n"/>
      <c r="C843" s="65" t="n"/>
      <c r="D843" s="69" t="n"/>
      <c r="E843" s="71" t="n"/>
      <c r="F843" s="65" t="n"/>
      <c r="G843" s="74" t="str">
        <f>IF(A843="","",SUMIFS(po_qty,po_ref,A843,po_status,"&lt;&gt;Annulé"))</f>
        <v/>
      </c>
      <c r="H843" s="74" t="str">
        <f>IF(A843="","",SUMIFS(po_rcv,po_ref,A843,po_status,"&lt;&gt;Annulé"))</f>
        <v/>
      </c>
      <c r="I843" s="74" t="str">
        <f>IF(A843="","",SUMIFS(po_rest,po_ref,A843,po_key,"&gt;0"))</f>
        <v/>
      </c>
      <c r="J843" s="70" t="str">
        <f>IF(A843="","",IF(COUNTIFS(po_ref,A843,po_status,"&lt;&gt;Annulé")=0,"",INDEX(po_price,SUMPRODUCT(MAX((po_ref=A843)*(po_status&lt;&gt;"Annulé")*(ROW(po_ref)-5))))))</f>
        <v/>
      </c>
      <c r="K843" s="67" t="str">
        <f>IF(A843="","",IF(COUNTIF(art_ref,A843)&gt;1,"Référence en double",IF(B843="","Désignation manquante",IF(NOT(ISNUMBER(D843)),"Prix manquant",IF(E843="","TVA manquante",IF(ISNA(MATCH(E843,p_tva,0)),"Taux de TVA inconnu",IF(AND(F843&lt;&gt;"",ISNA(MATCH(F843,sup_code,0))),"Fournisseur inconnu","OK")))))))</f>
        <v/>
      </c>
    </row>
    <row r="844">
      <c r="A844" s="63" t="n"/>
      <c r="B844" s="63" t="n"/>
      <c r="C844" s="65" t="n"/>
      <c r="D844" s="69" t="n"/>
      <c r="E844" s="71" t="n"/>
      <c r="F844" s="65" t="n"/>
      <c r="G844" s="74" t="str">
        <f>IF(A844="","",SUMIFS(po_qty,po_ref,A844,po_status,"&lt;&gt;Annulé"))</f>
        <v/>
      </c>
      <c r="H844" s="74" t="str">
        <f>IF(A844="","",SUMIFS(po_rcv,po_ref,A844,po_status,"&lt;&gt;Annulé"))</f>
        <v/>
      </c>
      <c r="I844" s="74" t="str">
        <f>IF(A844="","",SUMIFS(po_rest,po_ref,A844,po_key,"&gt;0"))</f>
        <v/>
      </c>
      <c r="J844" s="70" t="str">
        <f>IF(A844="","",IF(COUNTIFS(po_ref,A844,po_status,"&lt;&gt;Annulé")=0,"",INDEX(po_price,SUMPRODUCT(MAX((po_ref=A844)*(po_status&lt;&gt;"Annulé")*(ROW(po_ref)-5))))))</f>
        <v/>
      </c>
      <c r="K844" s="67" t="str">
        <f>IF(A844="","",IF(COUNTIF(art_ref,A844)&gt;1,"Référence en double",IF(B844="","Désignation manquante",IF(NOT(ISNUMBER(D844)),"Prix manquant",IF(E844="","TVA manquante",IF(ISNA(MATCH(E844,p_tva,0)),"Taux de TVA inconnu",IF(AND(F844&lt;&gt;"",ISNA(MATCH(F844,sup_code,0))),"Fournisseur inconnu","OK")))))))</f>
        <v/>
      </c>
    </row>
    <row r="845">
      <c r="A845" s="63" t="n"/>
      <c r="B845" s="63" t="n"/>
      <c r="C845" s="65" t="n"/>
      <c r="D845" s="69" t="n"/>
      <c r="E845" s="71" t="n"/>
      <c r="F845" s="65" t="n"/>
      <c r="G845" s="74" t="str">
        <f>IF(A845="","",SUMIFS(po_qty,po_ref,A845,po_status,"&lt;&gt;Annulé"))</f>
        <v/>
      </c>
      <c r="H845" s="74" t="str">
        <f>IF(A845="","",SUMIFS(po_rcv,po_ref,A845,po_status,"&lt;&gt;Annulé"))</f>
        <v/>
      </c>
      <c r="I845" s="74" t="str">
        <f>IF(A845="","",SUMIFS(po_rest,po_ref,A845,po_key,"&gt;0"))</f>
        <v/>
      </c>
      <c r="J845" s="70" t="str">
        <f>IF(A845="","",IF(COUNTIFS(po_ref,A845,po_status,"&lt;&gt;Annulé")=0,"",INDEX(po_price,SUMPRODUCT(MAX((po_ref=A845)*(po_status&lt;&gt;"Annulé")*(ROW(po_ref)-5))))))</f>
        <v/>
      </c>
      <c r="K845" s="67" t="str">
        <f>IF(A845="","",IF(COUNTIF(art_ref,A845)&gt;1,"Référence en double",IF(B845="","Désignation manquante",IF(NOT(ISNUMBER(D845)),"Prix manquant",IF(E845="","TVA manquante",IF(ISNA(MATCH(E845,p_tva,0)),"Taux de TVA inconnu",IF(AND(F845&lt;&gt;"",ISNA(MATCH(F845,sup_code,0))),"Fournisseur inconnu","OK")))))))</f>
        <v/>
      </c>
    </row>
    <row r="846">
      <c r="A846" s="63" t="n"/>
      <c r="B846" s="63" t="n"/>
      <c r="C846" s="65" t="n"/>
      <c r="D846" s="69" t="n"/>
      <c r="E846" s="71" t="n"/>
      <c r="F846" s="65" t="n"/>
      <c r="G846" s="74" t="str">
        <f>IF(A846="","",SUMIFS(po_qty,po_ref,A846,po_status,"&lt;&gt;Annulé"))</f>
        <v/>
      </c>
      <c r="H846" s="74" t="str">
        <f>IF(A846="","",SUMIFS(po_rcv,po_ref,A846,po_status,"&lt;&gt;Annulé"))</f>
        <v/>
      </c>
      <c r="I846" s="74" t="str">
        <f>IF(A846="","",SUMIFS(po_rest,po_ref,A846,po_key,"&gt;0"))</f>
        <v/>
      </c>
      <c r="J846" s="70" t="str">
        <f>IF(A846="","",IF(COUNTIFS(po_ref,A846,po_status,"&lt;&gt;Annulé")=0,"",INDEX(po_price,SUMPRODUCT(MAX((po_ref=A846)*(po_status&lt;&gt;"Annulé")*(ROW(po_ref)-5))))))</f>
        <v/>
      </c>
      <c r="K846" s="67" t="str">
        <f>IF(A846="","",IF(COUNTIF(art_ref,A846)&gt;1,"Référence en double",IF(B846="","Désignation manquante",IF(NOT(ISNUMBER(D846)),"Prix manquant",IF(E846="","TVA manquante",IF(ISNA(MATCH(E846,p_tva,0)),"Taux de TVA inconnu",IF(AND(F846&lt;&gt;"",ISNA(MATCH(F846,sup_code,0))),"Fournisseur inconnu","OK")))))))</f>
        <v/>
      </c>
    </row>
    <row r="847">
      <c r="A847" s="63" t="n"/>
      <c r="B847" s="63" t="n"/>
      <c r="C847" s="65" t="n"/>
      <c r="D847" s="69" t="n"/>
      <c r="E847" s="71" t="n"/>
      <c r="F847" s="65" t="n"/>
      <c r="G847" s="74" t="str">
        <f>IF(A847="","",SUMIFS(po_qty,po_ref,A847,po_status,"&lt;&gt;Annulé"))</f>
        <v/>
      </c>
      <c r="H847" s="74" t="str">
        <f>IF(A847="","",SUMIFS(po_rcv,po_ref,A847,po_status,"&lt;&gt;Annulé"))</f>
        <v/>
      </c>
      <c r="I847" s="74" t="str">
        <f>IF(A847="","",SUMIFS(po_rest,po_ref,A847,po_key,"&gt;0"))</f>
        <v/>
      </c>
      <c r="J847" s="70" t="str">
        <f>IF(A847="","",IF(COUNTIFS(po_ref,A847,po_status,"&lt;&gt;Annulé")=0,"",INDEX(po_price,SUMPRODUCT(MAX((po_ref=A847)*(po_status&lt;&gt;"Annulé")*(ROW(po_ref)-5))))))</f>
        <v/>
      </c>
      <c r="K847" s="67" t="str">
        <f>IF(A847="","",IF(COUNTIF(art_ref,A847)&gt;1,"Référence en double",IF(B847="","Désignation manquante",IF(NOT(ISNUMBER(D847)),"Prix manquant",IF(E847="","TVA manquante",IF(ISNA(MATCH(E847,p_tva,0)),"Taux de TVA inconnu",IF(AND(F847&lt;&gt;"",ISNA(MATCH(F847,sup_code,0))),"Fournisseur inconnu","OK")))))))</f>
        <v/>
      </c>
    </row>
    <row r="848">
      <c r="A848" s="63" t="n"/>
      <c r="B848" s="63" t="n"/>
      <c r="C848" s="65" t="n"/>
      <c r="D848" s="69" t="n"/>
      <c r="E848" s="71" t="n"/>
      <c r="F848" s="65" t="n"/>
      <c r="G848" s="74" t="str">
        <f>IF(A848="","",SUMIFS(po_qty,po_ref,A848,po_status,"&lt;&gt;Annulé"))</f>
        <v/>
      </c>
      <c r="H848" s="74" t="str">
        <f>IF(A848="","",SUMIFS(po_rcv,po_ref,A848,po_status,"&lt;&gt;Annulé"))</f>
        <v/>
      </c>
      <c r="I848" s="74" t="str">
        <f>IF(A848="","",SUMIFS(po_rest,po_ref,A848,po_key,"&gt;0"))</f>
        <v/>
      </c>
      <c r="J848" s="70" t="str">
        <f>IF(A848="","",IF(COUNTIFS(po_ref,A848,po_status,"&lt;&gt;Annulé")=0,"",INDEX(po_price,SUMPRODUCT(MAX((po_ref=A848)*(po_status&lt;&gt;"Annulé")*(ROW(po_ref)-5))))))</f>
        <v/>
      </c>
      <c r="K848" s="67" t="str">
        <f>IF(A848="","",IF(COUNTIF(art_ref,A848)&gt;1,"Référence en double",IF(B848="","Désignation manquante",IF(NOT(ISNUMBER(D848)),"Prix manquant",IF(E848="","TVA manquante",IF(ISNA(MATCH(E848,p_tva,0)),"Taux de TVA inconnu",IF(AND(F848&lt;&gt;"",ISNA(MATCH(F848,sup_code,0))),"Fournisseur inconnu","OK")))))))</f>
        <v/>
      </c>
    </row>
    <row r="849">
      <c r="A849" s="63" t="n"/>
      <c r="B849" s="63" t="n"/>
      <c r="C849" s="65" t="n"/>
      <c r="D849" s="69" t="n"/>
      <c r="E849" s="71" t="n"/>
      <c r="F849" s="65" t="n"/>
      <c r="G849" s="74" t="str">
        <f>IF(A849="","",SUMIFS(po_qty,po_ref,A849,po_status,"&lt;&gt;Annulé"))</f>
        <v/>
      </c>
      <c r="H849" s="74" t="str">
        <f>IF(A849="","",SUMIFS(po_rcv,po_ref,A849,po_status,"&lt;&gt;Annulé"))</f>
        <v/>
      </c>
      <c r="I849" s="74" t="str">
        <f>IF(A849="","",SUMIFS(po_rest,po_ref,A849,po_key,"&gt;0"))</f>
        <v/>
      </c>
      <c r="J849" s="70" t="str">
        <f>IF(A849="","",IF(COUNTIFS(po_ref,A849,po_status,"&lt;&gt;Annulé")=0,"",INDEX(po_price,SUMPRODUCT(MAX((po_ref=A849)*(po_status&lt;&gt;"Annulé")*(ROW(po_ref)-5))))))</f>
        <v/>
      </c>
      <c r="K849" s="67" t="str">
        <f>IF(A849="","",IF(COUNTIF(art_ref,A849)&gt;1,"Référence en double",IF(B849="","Désignation manquante",IF(NOT(ISNUMBER(D849)),"Prix manquant",IF(E849="","TVA manquante",IF(ISNA(MATCH(E849,p_tva,0)),"Taux de TVA inconnu",IF(AND(F849&lt;&gt;"",ISNA(MATCH(F849,sup_code,0))),"Fournisseur inconnu","OK")))))))</f>
        <v/>
      </c>
    </row>
    <row r="850">
      <c r="A850" s="63" t="n"/>
      <c r="B850" s="63" t="n"/>
      <c r="C850" s="65" t="n"/>
      <c r="D850" s="69" t="n"/>
      <c r="E850" s="71" t="n"/>
      <c r="F850" s="65" t="n"/>
      <c r="G850" s="74" t="str">
        <f>IF(A850="","",SUMIFS(po_qty,po_ref,A850,po_status,"&lt;&gt;Annulé"))</f>
        <v/>
      </c>
      <c r="H850" s="74" t="str">
        <f>IF(A850="","",SUMIFS(po_rcv,po_ref,A850,po_status,"&lt;&gt;Annulé"))</f>
        <v/>
      </c>
      <c r="I850" s="74" t="str">
        <f>IF(A850="","",SUMIFS(po_rest,po_ref,A850,po_key,"&gt;0"))</f>
        <v/>
      </c>
      <c r="J850" s="70" t="str">
        <f>IF(A850="","",IF(COUNTIFS(po_ref,A850,po_status,"&lt;&gt;Annulé")=0,"",INDEX(po_price,SUMPRODUCT(MAX((po_ref=A850)*(po_status&lt;&gt;"Annulé")*(ROW(po_ref)-5))))))</f>
        <v/>
      </c>
      <c r="K850" s="67" t="str">
        <f>IF(A850="","",IF(COUNTIF(art_ref,A850)&gt;1,"Référence en double",IF(B850="","Désignation manquante",IF(NOT(ISNUMBER(D850)),"Prix manquant",IF(E850="","TVA manquante",IF(ISNA(MATCH(E850,p_tva,0)),"Taux de TVA inconnu",IF(AND(F850&lt;&gt;"",ISNA(MATCH(F850,sup_code,0))),"Fournisseur inconnu","OK")))))))</f>
        <v/>
      </c>
    </row>
    <row r="851">
      <c r="A851" s="63" t="n"/>
      <c r="B851" s="63" t="n"/>
      <c r="C851" s="65" t="n"/>
      <c r="D851" s="69" t="n"/>
      <c r="E851" s="71" t="n"/>
      <c r="F851" s="65" t="n"/>
      <c r="G851" s="74" t="str">
        <f>IF(A851="","",SUMIFS(po_qty,po_ref,A851,po_status,"&lt;&gt;Annulé"))</f>
        <v/>
      </c>
      <c r="H851" s="74" t="str">
        <f>IF(A851="","",SUMIFS(po_rcv,po_ref,A851,po_status,"&lt;&gt;Annulé"))</f>
        <v/>
      </c>
      <c r="I851" s="74" t="str">
        <f>IF(A851="","",SUMIFS(po_rest,po_ref,A851,po_key,"&gt;0"))</f>
        <v/>
      </c>
      <c r="J851" s="70" t="str">
        <f>IF(A851="","",IF(COUNTIFS(po_ref,A851,po_status,"&lt;&gt;Annulé")=0,"",INDEX(po_price,SUMPRODUCT(MAX((po_ref=A851)*(po_status&lt;&gt;"Annulé")*(ROW(po_ref)-5))))))</f>
        <v/>
      </c>
      <c r="K851" s="67" t="str">
        <f>IF(A851="","",IF(COUNTIF(art_ref,A851)&gt;1,"Référence en double",IF(B851="","Désignation manquante",IF(NOT(ISNUMBER(D851)),"Prix manquant",IF(E851="","TVA manquante",IF(ISNA(MATCH(E851,p_tva,0)),"Taux de TVA inconnu",IF(AND(F851&lt;&gt;"",ISNA(MATCH(F851,sup_code,0))),"Fournisseur inconnu","OK")))))))</f>
        <v/>
      </c>
    </row>
    <row r="852">
      <c r="A852" s="63" t="n"/>
      <c r="B852" s="63" t="n"/>
      <c r="C852" s="65" t="n"/>
      <c r="D852" s="69" t="n"/>
      <c r="E852" s="71" t="n"/>
      <c r="F852" s="65" t="n"/>
      <c r="G852" s="74" t="str">
        <f>IF(A852="","",SUMIFS(po_qty,po_ref,A852,po_status,"&lt;&gt;Annulé"))</f>
        <v/>
      </c>
      <c r="H852" s="74" t="str">
        <f>IF(A852="","",SUMIFS(po_rcv,po_ref,A852,po_status,"&lt;&gt;Annulé"))</f>
        <v/>
      </c>
      <c r="I852" s="74" t="str">
        <f>IF(A852="","",SUMIFS(po_rest,po_ref,A852,po_key,"&gt;0"))</f>
        <v/>
      </c>
      <c r="J852" s="70" t="str">
        <f>IF(A852="","",IF(COUNTIFS(po_ref,A852,po_status,"&lt;&gt;Annulé")=0,"",INDEX(po_price,SUMPRODUCT(MAX((po_ref=A852)*(po_status&lt;&gt;"Annulé")*(ROW(po_ref)-5))))))</f>
        <v/>
      </c>
      <c r="K852" s="67" t="str">
        <f>IF(A852="","",IF(COUNTIF(art_ref,A852)&gt;1,"Référence en double",IF(B852="","Désignation manquante",IF(NOT(ISNUMBER(D852)),"Prix manquant",IF(E852="","TVA manquante",IF(ISNA(MATCH(E852,p_tva,0)),"Taux de TVA inconnu",IF(AND(F852&lt;&gt;"",ISNA(MATCH(F852,sup_code,0))),"Fournisseur inconnu","OK")))))))</f>
        <v/>
      </c>
    </row>
    <row r="853">
      <c r="A853" s="63" t="n"/>
      <c r="B853" s="63" t="n"/>
      <c r="C853" s="65" t="n"/>
      <c r="D853" s="69" t="n"/>
      <c r="E853" s="71" t="n"/>
      <c r="F853" s="65" t="n"/>
      <c r="G853" s="74" t="str">
        <f>IF(A853="","",SUMIFS(po_qty,po_ref,A853,po_status,"&lt;&gt;Annulé"))</f>
        <v/>
      </c>
      <c r="H853" s="74" t="str">
        <f>IF(A853="","",SUMIFS(po_rcv,po_ref,A853,po_status,"&lt;&gt;Annulé"))</f>
        <v/>
      </c>
      <c r="I853" s="74" t="str">
        <f>IF(A853="","",SUMIFS(po_rest,po_ref,A853,po_key,"&gt;0"))</f>
        <v/>
      </c>
      <c r="J853" s="70" t="str">
        <f>IF(A853="","",IF(COUNTIFS(po_ref,A853,po_status,"&lt;&gt;Annulé")=0,"",INDEX(po_price,SUMPRODUCT(MAX((po_ref=A853)*(po_status&lt;&gt;"Annulé")*(ROW(po_ref)-5))))))</f>
        <v/>
      </c>
      <c r="K853" s="67" t="str">
        <f>IF(A853="","",IF(COUNTIF(art_ref,A853)&gt;1,"Référence en double",IF(B853="","Désignation manquante",IF(NOT(ISNUMBER(D853)),"Prix manquant",IF(E853="","TVA manquante",IF(ISNA(MATCH(E853,p_tva,0)),"Taux de TVA inconnu",IF(AND(F853&lt;&gt;"",ISNA(MATCH(F853,sup_code,0))),"Fournisseur inconnu","OK")))))))</f>
        <v/>
      </c>
    </row>
    <row r="854">
      <c r="A854" s="63" t="n"/>
      <c r="B854" s="63" t="n"/>
      <c r="C854" s="65" t="n"/>
      <c r="D854" s="69" t="n"/>
      <c r="E854" s="71" t="n"/>
      <c r="F854" s="65" t="n"/>
      <c r="G854" s="74" t="str">
        <f>IF(A854="","",SUMIFS(po_qty,po_ref,A854,po_status,"&lt;&gt;Annulé"))</f>
        <v/>
      </c>
      <c r="H854" s="74" t="str">
        <f>IF(A854="","",SUMIFS(po_rcv,po_ref,A854,po_status,"&lt;&gt;Annulé"))</f>
        <v/>
      </c>
      <c r="I854" s="74" t="str">
        <f>IF(A854="","",SUMIFS(po_rest,po_ref,A854,po_key,"&gt;0"))</f>
        <v/>
      </c>
      <c r="J854" s="70" t="str">
        <f>IF(A854="","",IF(COUNTIFS(po_ref,A854,po_status,"&lt;&gt;Annulé")=0,"",INDEX(po_price,SUMPRODUCT(MAX((po_ref=A854)*(po_status&lt;&gt;"Annulé")*(ROW(po_ref)-5))))))</f>
        <v/>
      </c>
      <c r="K854" s="67" t="str">
        <f>IF(A854="","",IF(COUNTIF(art_ref,A854)&gt;1,"Référence en double",IF(B854="","Désignation manquante",IF(NOT(ISNUMBER(D854)),"Prix manquant",IF(E854="","TVA manquante",IF(ISNA(MATCH(E854,p_tva,0)),"Taux de TVA inconnu",IF(AND(F854&lt;&gt;"",ISNA(MATCH(F854,sup_code,0))),"Fournisseur inconnu","OK")))))))</f>
        <v/>
      </c>
    </row>
    <row r="855">
      <c r="A855" s="63" t="n"/>
      <c r="B855" s="63" t="n"/>
      <c r="C855" s="65" t="n"/>
      <c r="D855" s="69" t="n"/>
      <c r="E855" s="71" t="n"/>
      <c r="F855" s="65" t="n"/>
      <c r="G855" s="74" t="str">
        <f>IF(A855="","",SUMIFS(po_qty,po_ref,A855,po_status,"&lt;&gt;Annulé"))</f>
        <v/>
      </c>
      <c r="H855" s="74" t="str">
        <f>IF(A855="","",SUMIFS(po_rcv,po_ref,A855,po_status,"&lt;&gt;Annulé"))</f>
        <v/>
      </c>
      <c r="I855" s="74" t="str">
        <f>IF(A855="","",SUMIFS(po_rest,po_ref,A855,po_key,"&gt;0"))</f>
        <v/>
      </c>
      <c r="J855" s="70" t="str">
        <f>IF(A855="","",IF(COUNTIFS(po_ref,A855,po_status,"&lt;&gt;Annulé")=0,"",INDEX(po_price,SUMPRODUCT(MAX((po_ref=A855)*(po_status&lt;&gt;"Annulé")*(ROW(po_ref)-5))))))</f>
        <v/>
      </c>
      <c r="K855" s="67" t="str">
        <f>IF(A855="","",IF(COUNTIF(art_ref,A855)&gt;1,"Référence en double",IF(B855="","Désignation manquante",IF(NOT(ISNUMBER(D855)),"Prix manquant",IF(E855="","TVA manquante",IF(ISNA(MATCH(E855,p_tva,0)),"Taux de TVA inconnu",IF(AND(F855&lt;&gt;"",ISNA(MATCH(F855,sup_code,0))),"Fournisseur inconnu","OK")))))))</f>
        <v/>
      </c>
    </row>
    <row r="856">
      <c r="A856" s="63" t="n"/>
      <c r="B856" s="63" t="n"/>
      <c r="C856" s="65" t="n"/>
      <c r="D856" s="69" t="n"/>
      <c r="E856" s="71" t="n"/>
      <c r="F856" s="65" t="n"/>
      <c r="G856" s="74" t="str">
        <f>IF(A856="","",SUMIFS(po_qty,po_ref,A856,po_status,"&lt;&gt;Annulé"))</f>
        <v/>
      </c>
      <c r="H856" s="74" t="str">
        <f>IF(A856="","",SUMIFS(po_rcv,po_ref,A856,po_status,"&lt;&gt;Annulé"))</f>
        <v/>
      </c>
      <c r="I856" s="74" t="str">
        <f>IF(A856="","",SUMIFS(po_rest,po_ref,A856,po_key,"&gt;0"))</f>
        <v/>
      </c>
      <c r="J856" s="70" t="str">
        <f>IF(A856="","",IF(COUNTIFS(po_ref,A856,po_status,"&lt;&gt;Annulé")=0,"",INDEX(po_price,SUMPRODUCT(MAX((po_ref=A856)*(po_status&lt;&gt;"Annulé")*(ROW(po_ref)-5))))))</f>
        <v/>
      </c>
      <c r="K856" s="67" t="str">
        <f>IF(A856="","",IF(COUNTIF(art_ref,A856)&gt;1,"Référence en double",IF(B856="","Désignation manquante",IF(NOT(ISNUMBER(D856)),"Prix manquant",IF(E856="","TVA manquante",IF(ISNA(MATCH(E856,p_tva,0)),"Taux de TVA inconnu",IF(AND(F856&lt;&gt;"",ISNA(MATCH(F856,sup_code,0))),"Fournisseur inconnu","OK")))))))</f>
        <v/>
      </c>
    </row>
    <row r="857">
      <c r="A857" s="63" t="n"/>
      <c r="B857" s="63" t="n"/>
      <c r="C857" s="65" t="n"/>
      <c r="D857" s="69" t="n"/>
      <c r="E857" s="71" t="n"/>
      <c r="F857" s="65" t="n"/>
      <c r="G857" s="74" t="str">
        <f>IF(A857="","",SUMIFS(po_qty,po_ref,A857,po_status,"&lt;&gt;Annulé"))</f>
        <v/>
      </c>
      <c r="H857" s="74" t="str">
        <f>IF(A857="","",SUMIFS(po_rcv,po_ref,A857,po_status,"&lt;&gt;Annulé"))</f>
        <v/>
      </c>
      <c r="I857" s="74" t="str">
        <f>IF(A857="","",SUMIFS(po_rest,po_ref,A857,po_key,"&gt;0"))</f>
        <v/>
      </c>
      <c r="J857" s="70" t="str">
        <f>IF(A857="","",IF(COUNTIFS(po_ref,A857,po_status,"&lt;&gt;Annulé")=0,"",INDEX(po_price,SUMPRODUCT(MAX((po_ref=A857)*(po_status&lt;&gt;"Annulé")*(ROW(po_ref)-5))))))</f>
        <v/>
      </c>
      <c r="K857" s="67" t="str">
        <f>IF(A857="","",IF(COUNTIF(art_ref,A857)&gt;1,"Référence en double",IF(B857="","Désignation manquante",IF(NOT(ISNUMBER(D857)),"Prix manquant",IF(E857="","TVA manquante",IF(ISNA(MATCH(E857,p_tva,0)),"Taux de TVA inconnu",IF(AND(F857&lt;&gt;"",ISNA(MATCH(F857,sup_code,0))),"Fournisseur inconnu","OK")))))))</f>
        <v/>
      </c>
    </row>
    <row r="858">
      <c r="A858" s="63" t="n"/>
      <c r="B858" s="63" t="n"/>
      <c r="C858" s="65" t="n"/>
      <c r="D858" s="69" t="n"/>
      <c r="E858" s="71" t="n"/>
      <c r="F858" s="65" t="n"/>
      <c r="G858" s="74" t="str">
        <f>IF(A858="","",SUMIFS(po_qty,po_ref,A858,po_status,"&lt;&gt;Annulé"))</f>
        <v/>
      </c>
      <c r="H858" s="74" t="str">
        <f>IF(A858="","",SUMIFS(po_rcv,po_ref,A858,po_status,"&lt;&gt;Annulé"))</f>
        <v/>
      </c>
      <c r="I858" s="74" t="str">
        <f>IF(A858="","",SUMIFS(po_rest,po_ref,A858,po_key,"&gt;0"))</f>
        <v/>
      </c>
      <c r="J858" s="70" t="str">
        <f>IF(A858="","",IF(COUNTIFS(po_ref,A858,po_status,"&lt;&gt;Annulé")=0,"",INDEX(po_price,SUMPRODUCT(MAX((po_ref=A858)*(po_status&lt;&gt;"Annulé")*(ROW(po_ref)-5))))))</f>
        <v/>
      </c>
      <c r="K858" s="67" t="str">
        <f>IF(A858="","",IF(COUNTIF(art_ref,A858)&gt;1,"Référence en double",IF(B858="","Désignation manquante",IF(NOT(ISNUMBER(D858)),"Prix manquant",IF(E858="","TVA manquante",IF(ISNA(MATCH(E858,p_tva,0)),"Taux de TVA inconnu",IF(AND(F858&lt;&gt;"",ISNA(MATCH(F858,sup_code,0))),"Fournisseur inconnu","OK")))))))</f>
        <v/>
      </c>
    </row>
    <row r="859">
      <c r="A859" s="63" t="n"/>
      <c r="B859" s="63" t="n"/>
      <c r="C859" s="65" t="n"/>
      <c r="D859" s="69" t="n"/>
      <c r="E859" s="71" t="n"/>
      <c r="F859" s="65" t="n"/>
      <c r="G859" s="74" t="str">
        <f>IF(A859="","",SUMIFS(po_qty,po_ref,A859,po_status,"&lt;&gt;Annulé"))</f>
        <v/>
      </c>
      <c r="H859" s="74" t="str">
        <f>IF(A859="","",SUMIFS(po_rcv,po_ref,A859,po_status,"&lt;&gt;Annulé"))</f>
        <v/>
      </c>
      <c r="I859" s="74" t="str">
        <f>IF(A859="","",SUMIFS(po_rest,po_ref,A859,po_key,"&gt;0"))</f>
        <v/>
      </c>
      <c r="J859" s="70" t="str">
        <f>IF(A859="","",IF(COUNTIFS(po_ref,A859,po_status,"&lt;&gt;Annulé")=0,"",INDEX(po_price,SUMPRODUCT(MAX((po_ref=A859)*(po_status&lt;&gt;"Annulé")*(ROW(po_ref)-5))))))</f>
        <v/>
      </c>
      <c r="K859" s="67" t="str">
        <f>IF(A859="","",IF(COUNTIF(art_ref,A859)&gt;1,"Référence en double",IF(B859="","Désignation manquante",IF(NOT(ISNUMBER(D859)),"Prix manquant",IF(E859="","TVA manquante",IF(ISNA(MATCH(E859,p_tva,0)),"Taux de TVA inconnu",IF(AND(F859&lt;&gt;"",ISNA(MATCH(F859,sup_code,0))),"Fournisseur inconnu","OK")))))))</f>
        <v/>
      </c>
    </row>
    <row r="860">
      <c r="A860" s="63" t="n"/>
      <c r="B860" s="63" t="n"/>
      <c r="C860" s="65" t="n"/>
      <c r="D860" s="69" t="n"/>
      <c r="E860" s="71" t="n"/>
      <c r="F860" s="65" t="n"/>
      <c r="G860" s="74" t="str">
        <f>IF(A860="","",SUMIFS(po_qty,po_ref,A860,po_status,"&lt;&gt;Annulé"))</f>
        <v/>
      </c>
      <c r="H860" s="74" t="str">
        <f>IF(A860="","",SUMIFS(po_rcv,po_ref,A860,po_status,"&lt;&gt;Annulé"))</f>
        <v/>
      </c>
      <c r="I860" s="74" t="str">
        <f>IF(A860="","",SUMIFS(po_rest,po_ref,A860,po_key,"&gt;0"))</f>
        <v/>
      </c>
      <c r="J860" s="70" t="str">
        <f>IF(A860="","",IF(COUNTIFS(po_ref,A860,po_status,"&lt;&gt;Annulé")=0,"",INDEX(po_price,SUMPRODUCT(MAX((po_ref=A860)*(po_status&lt;&gt;"Annulé")*(ROW(po_ref)-5))))))</f>
        <v/>
      </c>
      <c r="K860" s="67" t="str">
        <f>IF(A860="","",IF(COUNTIF(art_ref,A860)&gt;1,"Référence en double",IF(B860="","Désignation manquante",IF(NOT(ISNUMBER(D860)),"Prix manquant",IF(E860="","TVA manquante",IF(ISNA(MATCH(E860,p_tva,0)),"Taux de TVA inconnu",IF(AND(F860&lt;&gt;"",ISNA(MATCH(F860,sup_code,0))),"Fournisseur inconnu","OK")))))))</f>
        <v/>
      </c>
    </row>
    <row r="861">
      <c r="A861" s="63" t="n"/>
      <c r="B861" s="63" t="n"/>
      <c r="C861" s="65" t="n"/>
      <c r="D861" s="69" t="n"/>
      <c r="E861" s="71" t="n"/>
      <c r="F861" s="65" t="n"/>
      <c r="G861" s="74" t="str">
        <f>IF(A861="","",SUMIFS(po_qty,po_ref,A861,po_status,"&lt;&gt;Annulé"))</f>
        <v/>
      </c>
      <c r="H861" s="74" t="str">
        <f>IF(A861="","",SUMIFS(po_rcv,po_ref,A861,po_status,"&lt;&gt;Annulé"))</f>
        <v/>
      </c>
      <c r="I861" s="74" t="str">
        <f>IF(A861="","",SUMIFS(po_rest,po_ref,A861,po_key,"&gt;0"))</f>
        <v/>
      </c>
      <c r="J861" s="70" t="str">
        <f>IF(A861="","",IF(COUNTIFS(po_ref,A861,po_status,"&lt;&gt;Annulé")=0,"",INDEX(po_price,SUMPRODUCT(MAX((po_ref=A861)*(po_status&lt;&gt;"Annulé")*(ROW(po_ref)-5))))))</f>
        <v/>
      </c>
      <c r="K861" s="67" t="str">
        <f>IF(A861="","",IF(COUNTIF(art_ref,A861)&gt;1,"Référence en double",IF(B861="","Désignation manquante",IF(NOT(ISNUMBER(D861)),"Prix manquant",IF(E861="","TVA manquante",IF(ISNA(MATCH(E861,p_tva,0)),"Taux de TVA inconnu",IF(AND(F861&lt;&gt;"",ISNA(MATCH(F861,sup_code,0))),"Fournisseur inconnu","OK")))))))</f>
        <v/>
      </c>
    </row>
    <row r="862">
      <c r="A862" s="63" t="n"/>
      <c r="B862" s="63" t="n"/>
      <c r="C862" s="65" t="n"/>
      <c r="D862" s="69" t="n"/>
      <c r="E862" s="71" t="n"/>
      <c r="F862" s="65" t="n"/>
      <c r="G862" s="74" t="str">
        <f>IF(A862="","",SUMIFS(po_qty,po_ref,A862,po_status,"&lt;&gt;Annulé"))</f>
        <v/>
      </c>
      <c r="H862" s="74" t="str">
        <f>IF(A862="","",SUMIFS(po_rcv,po_ref,A862,po_status,"&lt;&gt;Annulé"))</f>
        <v/>
      </c>
      <c r="I862" s="74" t="str">
        <f>IF(A862="","",SUMIFS(po_rest,po_ref,A862,po_key,"&gt;0"))</f>
        <v/>
      </c>
      <c r="J862" s="70" t="str">
        <f>IF(A862="","",IF(COUNTIFS(po_ref,A862,po_status,"&lt;&gt;Annulé")=0,"",INDEX(po_price,SUMPRODUCT(MAX((po_ref=A862)*(po_status&lt;&gt;"Annulé")*(ROW(po_ref)-5))))))</f>
        <v/>
      </c>
      <c r="K862" s="67" t="str">
        <f>IF(A862="","",IF(COUNTIF(art_ref,A862)&gt;1,"Référence en double",IF(B862="","Désignation manquante",IF(NOT(ISNUMBER(D862)),"Prix manquant",IF(E862="","TVA manquante",IF(ISNA(MATCH(E862,p_tva,0)),"Taux de TVA inconnu",IF(AND(F862&lt;&gt;"",ISNA(MATCH(F862,sup_code,0))),"Fournisseur inconnu","OK")))))))</f>
        <v/>
      </c>
    </row>
    <row r="863">
      <c r="A863" s="63" t="n"/>
      <c r="B863" s="63" t="n"/>
      <c r="C863" s="65" t="n"/>
      <c r="D863" s="69" t="n"/>
      <c r="E863" s="71" t="n"/>
      <c r="F863" s="65" t="n"/>
      <c r="G863" s="74" t="str">
        <f>IF(A863="","",SUMIFS(po_qty,po_ref,A863,po_status,"&lt;&gt;Annulé"))</f>
        <v/>
      </c>
      <c r="H863" s="74" t="str">
        <f>IF(A863="","",SUMIFS(po_rcv,po_ref,A863,po_status,"&lt;&gt;Annulé"))</f>
        <v/>
      </c>
      <c r="I863" s="74" t="str">
        <f>IF(A863="","",SUMIFS(po_rest,po_ref,A863,po_key,"&gt;0"))</f>
        <v/>
      </c>
      <c r="J863" s="70" t="str">
        <f>IF(A863="","",IF(COUNTIFS(po_ref,A863,po_status,"&lt;&gt;Annulé")=0,"",INDEX(po_price,SUMPRODUCT(MAX((po_ref=A863)*(po_status&lt;&gt;"Annulé")*(ROW(po_ref)-5))))))</f>
        <v/>
      </c>
      <c r="K863" s="67" t="str">
        <f>IF(A863="","",IF(COUNTIF(art_ref,A863)&gt;1,"Référence en double",IF(B863="","Désignation manquante",IF(NOT(ISNUMBER(D863)),"Prix manquant",IF(E863="","TVA manquante",IF(ISNA(MATCH(E863,p_tva,0)),"Taux de TVA inconnu",IF(AND(F863&lt;&gt;"",ISNA(MATCH(F863,sup_code,0))),"Fournisseur inconnu","OK")))))))</f>
        <v/>
      </c>
    </row>
    <row r="864">
      <c r="A864" s="63" t="n"/>
      <c r="B864" s="63" t="n"/>
      <c r="C864" s="65" t="n"/>
      <c r="D864" s="69" t="n"/>
      <c r="E864" s="71" t="n"/>
      <c r="F864" s="65" t="n"/>
      <c r="G864" s="74" t="str">
        <f>IF(A864="","",SUMIFS(po_qty,po_ref,A864,po_status,"&lt;&gt;Annulé"))</f>
        <v/>
      </c>
      <c r="H864" s="74" t="str">
        <f>IF(A864="","",SUMIFS(po_rcv,po_ref,A864,po_status,"&lt;&gt;Annulé"))</f>
        <v/>
      </c>
      <c r="I864" s="74" t="str">
        <f>IF(A864="","",SUMIFS(po_rest,po_ref,A864,po_key,"&gt;0"))</f>
        <v/>
      </c>
      <c r="J864" s="70" t="str">
        <f>IF(A864="","",IF(COUNTIFS(po_ref,A864,po_status,"&lt;&gt;Annulé")=0,"",INDEX(po_price,SUMPRODUCT(MAX((po_ref=A864)*(po_status&lt;&gt;"Annulé")*(ROW(po_ref)-5))))))</f>
        <v/>
      </c>
      <c r="K864" s="67" t="str">
        <f>IF(A864="","",IF(COUNTIF(art_ref,A864)&gt;1,"Référence en double",IF(B864="","Désignation manquante",IF(NOT(ISNUMBER(D864)),"Prix manquant",IF(E864="","TVA manquante",IF(ISNA(MATCH(E864,p_tva,0)),"Taux de TVA inconnu",IF(AND(F864&lt;&gt;"",ISNA(MATCH(F864,sup_code,0))),"Fournisseur inconnu","OK")))))))</f>
        <v/>
      </c>
    </row>
    <row r="865">
      <c r="A865" s="63" t="n"/>
      <c r="B865" s="63" t="n"/>
      <c r="C865" s="65" t="n"/>
      <c r="D865" s="69" t="n"/>
      <c r="E865" s="71" t="n"/>
      <c r="F865" s="65" t="n"/>
      <c r="G865" s="74" t="str">
        <f>IF(A865="","",SUMIFS(po_qty,po_ref,A865,po_status,"&lt;&gt;Annulé"))</f>
        <v/>
      </c>
      <c r="H865" s="74" t="str">
        <f>IF(A865="","",SUMIFS(po_rcv,po_ref,A865,po_status,"&lt;&gt;Annulé"))</f>
        <v/>
      </c>
      <c r="I865" s="74" t="str">
        <f>IF(A865="","",SUMIFS(po_rest,po_ref,A865,po_key,"&gt;0"))</f>
        <v/>
      </c>
      <c r="J865" s="70" t="str">
        <f>IF(A865="","",IF(COUNTIFS(po_ref,A865,po_status,"&lt;&gt;Annulé")=0,"",INDEX(po_price,SUMPRODUCT(MAX((po_ref=A865)*(po_status&lt;&gt;"Annulé")*(ROW(po_ref)-5))))))</f>
        <v/>
      </c>
      <c r="K865" s="67" t="str">
        <f>IF(A865="","",IF(COUNTIF(art_ref,A865)&gt;1,"Référence en double",IF(B865="","Désignation manquante",IF(NOT(ISNUMBER(D865)),"Prix manquant",IF(E865="","TVA manquante",IF(ISNA(MATCH(E865,p_tva,0)),"Taux de TVA inconnu",IF(AND(F865&lt;&gt;"",ISNA(MATCH(F865,sup_code,0))),"Fournisseur inconnu","OK")))))))</f>
        <v/>
      </c>
    </row>
    <row r="866">
      <c r="A866" s="63" t="n"/>
      <c r="B866" s="63" t="n"/>
      <c r="C866" s="65" t="n"/>
      <c r="D866" s="69" t="n"/>
      <c r="E866" s="71" t="n"/>
      <c r="F866" s="65" t="n"/>
      <c r="G866" s="74" t="str">
        <f>IF(A866="","",SUMIFS(po_qty,po_ref,A866,po_status,"&lt;&gt;Annulé"))</f>
        <v/>
      </c>
      <c r="H866" s="74" t="str">
        <f>IF(A866="","",SUMIFS(po_rcv,po_ref,A866,po_status,"&lt;&gt;Annulé"))</f>
        <v/>
      </c>
      <c r="I866" s="74" t="str">
        <f>IF(A866="","",SUMIFS(po_rest,po_ref,A866,po_key,"&gt;0"))</f>
        <v/>
      </c>
      <c r="J866" s="70" t="str">
        <f>IF(A866="","",IF(COUNTIFS(po_ref,A866,po_status,"&lt;&gt;Annulé")=0,"",INDEX(po_price,SUMPRODUCT(MAX((po_ref=A866)*(po_status&lt;&gt;"Annulé")*(ROW(po_ref)-5))))))</f>
        <v/>
      </c>
      <c r="K866" s="67" t="str">
        <f>IF(A866="","",IF(COUNTIF(art_ref,A866)&gt;1,"Référence en double",IF(B866="","Désignation manquante",IF(NOT(ISNUMBER(D866)),"Prix manquant",IF(E866="","TVA manquante",IF(ISNA(MATCH(E866,p_tva,0)),"Taux de TVA inconnu",IF(AND(F866&lt;&gt;"",ISNA(MATCH(F866,sup_code,0))),"Fournisseur inconnu","OK")))))))</f>
        <v/>
      </c>
    </row>
    <row r="867">
      <c r="A867" s="63" t="n"/>
      <c r="B867" s="63" t="n"/>
      <c r="C867" s="65" t="n"/>
      <c r="D867" s="69" t="n"/>
      <c r="E867" s="71" t="n"/>
      <c r="F867" s="65" t="n"/>
      <c r="G867" s="74" t="str">
        <f>IF(A867="","",SUMIFS(po_qty,po_ref,A867,po_status,"&lt;&gt;Annulé"))</f>
        <v/>
      </c>
      <c r="H867" s="74" t="str">
        <f>IF(A867="","",SUMIFS(po_rcv,po_ref,A867,po_status,"&lt;&gt;Annulé"))</f>
        <v/>
      </c>
      <c r="I867" s="74" t="str">
        <f>IF(A867="","",SUMIFS(po_rest,po_ref,A867,po_key,"&gt;0"))</f>
        <v/>
      </c>
      <c r="J867" s="70" t="str">
        <f>IF(A867="","",IF(COUNTIFS(po_ref,A867,po_status,"&lt;&gt;Annulé")=0,"",INDEX(po_price,SUMPRODUCT(MAX((po_ref=A867)*(po_status&lt;&gt;"Annulé")*(ROW(po_ref)-5))))))</f>
        <v/>
      </c>
      <c r="K867" s="67" t="str">
        <f>IF(A867="","",IF(COUNTIF(art_ref,A867)&gt;1,"Référence en double",IF(B867="","Désignation manquante",IF(NOT(ISNUMBER(D867)),"Prix manquant",IF(E867="","TVA manquante",IF(ISNA(MATCH(E867,p_tva,0)),"Taux de TVA inconnu",IF(AND(F867&lt;&gt;"",ISNA(MATCH(F867,sup_code,0))),"Fournisseur inconnu","OK")))))))</f>
        <v/>
      </c>
    </row>
    <row r="868">
      <c r="A868" s="63" t="n"/>
      <c r="B868" s="63" t="n"/>
      <c r="C868" s="65" t="n"/>
      <c r="D868" s="69" t="n"/>
      <c r="E868" s="71" t="n"/>
      <c r="F868" s="65" t="n"/>
      <c r="G868" s="74" t="str">
        <f>IF(A868="","",SUMIFS(po_qty,po_ref,A868,po_status,"&lt;&gt;Annulé"))</f>
        <v/>
      </c>
      <c r="H868" s="74" t="str">
        <f>IF(A868="","",SUMIFS(po_rcv,po_ref,A868,po_status,"&lt;&gt;Annulé"))</f>
        <v/>
      </c>
      <c r="I868" s="74" t="str">
        <f>IF(A868="","",SUMIFS(po_rest,po_ref,A868,po_key,"&gt;0"))</f>
        <v/>
      </c>
      <c r="J868" s="70" t="str">
        <f>IF(A868="","",IF(COUNTIFS(po_ref,A868,po_status,"&lt;&gt;Annulé")=0,"",INDEX(po_price,SUMPRODUCT(MAX((po_ref=A868)*(po_status&lt;&gt;"Annulé")*(ROW(po_ref)-5))))))</f>
        <v/>
      </c>
      <c r="K868" s="67" t="str">
        <f>IF(A868="","",IF(COUNTIF(art_ref,A868)&gt;1,"Référence en double",IF(B868="","Désignation manquante",IF(NOT(ISNUMBER(D868)),"Prix manquant",IF(E868="","TVA manquante",IF(ISNA(MATCH(E868,p_tva,0)),"Taux de TVA inconnu",IF(AND(F868&lt;&gt;"",ISNA(MATCH(F868,sup_code,0))),"Fournisseur inconnu","OK")))))))</f>
        <v/>
      </c>
    </row>
    <row r="869">
      <c r="A869" s="63" t="n"/>
      <c r="B869" s="63" t="n"/>
      <c r="C869" s="65" t="n"/>
      <c r="D869" s="69" t="n"/>
      <c r="E869" s="71" t="n"/>
      <c r="F869" s="65" t="n"/>
      <c r="G869" s="74" t="str">
        <f>IF(A869="","",SUMIFS(po_qty,po_ref,A869,po_status,"&lt;&gt;Annulé"))</f>
        <v/>
      </c>
      <c r="H869" s="74" t="str">
        <f>IF(A869="","",SUMIFS(po_rcv,po_ref,A869,po_status,"&lt;&gt;Annulé"))</f>
        <v/>
      </c>
      <c r="I869" s="74" t="str">
        <f>IF(A869="","",SUMIFS(po_rest,po_ref,A869,po_key,"&gt;0"))</f>
        <v/>
      </c>
      <c r="J869" s="70" t="str">
        <f>IF(A869="","",IF(COUNTIFS(po_ref,A869,po_status,"&lt;&gt;Annulé")=0,"",INDEX(po_price,SUMPRODUCT(MAX((po_ref=A869)*(po_status&lt;&gt;"Annulé")*(ROW(po_ref)-5))))))</f>
        <v/>
      </c>
      <c r="K869" s="67" t="str">
        <f>IF(A869="","",IF(COUNTIF(art_ref,A869)&gt;1,"Référence en double",IF(B869="","Désignation manquante",IF(NOT(ISNUMBER(D869)),"Prix manquant",IF(E869="","TVA manquante",IF(ISNA(MATCH(E869,p_tva,0)),"Taux de TVA inconnu",IF(AND(F869&lt;&gt;"",ISNA(MATCH(F869,sup_code,0))),"Fournisseur inconnu","OK")))))))</f>
        <v/>
      </c>
    </row>
    <row r="870">
      <c r="A870" s="63" t="n"/>
      <c r="B870" s="63" t="n"/>
      <c r="C870" s="65" t="n"/>
      <c r="D870" s="69" t="n"/>
      <c r="E870" s="71" t="n"/>
      <c r="F870" s="65" t="n"/>
      <c r="G870" s="74" t="str">
        <f>IF(A870="","",SUMIFS(po_qty,po_ref,A870,po_status,"&lt;&gt;Annulé"))</f>
        <v/>
      </c>
      <c r="H870" s="74" t="str">
        <f>IF(A870="","",SUMIFS(po_rcv,po_ref,A870,po_status,"&lt;&gt;Annulé"))</f>
        <v/>
      </c>
      <c r="I870" s="74" t="str">
        <f>IF(A870="","",SUMIFS(po_rest,po_ref,A870,po_key,"&gt;0"))</f>
        <v/>
      </c>
      <c r="J870" s="70" t="str">
        <f>IF(A870="","",IF(COUNTIFS(po_ref,A870,po_status,"&lt;&gt;Annulé")=0,"",INDEX(po_price,SUMPRODUCT(MAX((po_ref=A870)*(po_status&lt;&gt;"Annulé")*(ROW(po_ref)-5))))))</f>
        <v/>
      </c>
      <c r="K870" s="67" t="str">
        <f>IF(A870="","",IF(COUNTIF(art_ref,A870)&gt;1,"Référence en double",IF(B870="","Désignation manquante",IF(NOT(ISNUMBER(D870)),"Prix manquant",IF(E870="","TVA manquante",IF(ISNA(MATCH(E870,p_tva,0)),"Taux de TVA inconnu",IF(AND(F870&lt;&gt;"",ISNA(MATCH(F870,sup_code,0))),"Fournisseur inconnu","OK")))))))</f>
        <v/>
      </c>
    </row>
    <row r="871">
      <c r="A871" s="63" t="n"/>
      <c r="B871" s="63" t="n"/>
      <c r="C871" s="65" t="n"/>
      <c r="D871" s="69" t="n"/>
      <c r="E871" s="71" t="n"/>
      <c r="F871" s="65" t="n"/>
      <c r="G871" s="74" t="str">
        <f>IF(A871="","",SUMIFS(po_qty,po_ref,A871,po_status,"&lt;&gt;Annulé"))</f>
        <v/>
      </c>
      <c r="H871" s="74" t="str">
        <f>IF(A871="","",SUMIFS(po_rcv,po_ref,A871,po_status,"&lt;&gt;Annulé"))</f>
        <v/>
      </c>
      <c r="I871" s="74" t="str">
        <f>IF(A871="","",SUMIFS(po_rest,po_ref,A871,po_key,"&gt;0"))</f>
        <v/>
      </c>
      <c r="J871" s="70" t="str">
        <f>IF(A871="","",IF(COUNTIFS(po_ref,A871,po_status,"&lt;&gt;Annulé")=0,"",INDEX(po_price,SUMPRODUCT(MAX((po_ref=A871)*(po_status&lt;&gt;"Annulé")*(ROW(po_ref)-5))))))</f>
        <v/>
      </c>
      <c r="K871" s="67" t="str">
        <f>IF(A871="","",IF(COUNTIF(art_ref,A871)&gt;1,"Référence en double",IF(B871="","Désignation manquante",IF(NOT(ISNUMBER(D871)),"Prix manquant",IF(E871="","TVA manquante",IF(ISNA(MATCH(E871,p_tva,0)),"Taux de TVA inconnu",IF(AND(F871&lt;&gt;"",ISNA(MATCH(F871,sup_code,0))),"Fournisseur inconnu","OK")))))))</f>
        <v/>
      </c>
    </row>
    <row r="872">
      <c r="A872" s="63" t="n"/>
      <c r="B872" s="63" t="n"/>
      <c r="C872" s="65" t="n"/>
      <c r="D872" s="69" t="n"/>
      <c r="E872" s="71" t="n"/>
      <c r="F872" s="65" t="n"/>
      <c r="G872" s="74" t="str">
        <f>IF(A872="","",SUMIFS(po_qty,po_ref,A872,po_status,"&lt;&gt;Annulé"))</f>
        <v/>
      </c>
      <c r="H872" s="74" t="str">
        <f>IF(A872="","",SUMIFS(po_rcv,po_ref,A872,po_status,"&lt;&gt;Annulé"))</f>
        <v/>
      </c>
      <c r="I872" s="74" t="str">
        <f>IF(A872="","",SUMIFS(po_rest,po_ref,A872,po_key,"&gt;0"))</f>
        <v/>
      </c>
      <c r="J872" s="70" t="str">
        <f>IF(A872="","",IF(COUNTIFS(po_ref,A872,po_status,"&lt;&gt;Annulé")=0,"",INDEX(po_price,SUMPRODUCT(MAX((po_ref=A872)*(po_status&lt;&gt;"Annulé")*(ROW(po_ref)-5))))))</f>
        <v/>
      </c>
      <c r="K872" s="67" t="str">
        <f>IF(A872="","",IF(COUNTIF(art_ref,A872)&gt;1,"Référence en double",IF(B872="","Désignation manquante",IF(NOT(ISNUMBER(D872)),"Prix manquant",IF(E872="","TVA manquante",IF(ISNA(MATCH(E872,p_tva,0)),"Taux de TVA inconnu",IF(AND(F872&lt;&gt;"",ISNA(MATCH(F872,sup_code,0))),"Fournisseur inconnu","OK")))))))</f>
        <v/>
      </c>
    </row>
    <row r="873">
      <c r="A873" s="63" t="n"/>
      <c r="B873" s="63" t="n"/>
      <c r="C873" s="65" t="n"/>
      <c r="D873" s="69" t="n"/>
      <c r="E873" s="71" t="n"/>
      <c r="F873" s="65" t="n"/>
      <c r="G873" s="74" t="str">
        <f>IF(A873="","",SUMIFS(po_qty,po_ref,A873,po_status,"&lt;&gt;Annulé"))</f>
        <v/>
      </c>
      <c r="H873" s="74" t="str">
        <f>IF(A873="","",SUMIFS(po_rcv,po_ref,A873,po_status,"&lt;&gt;Annulé"))</f>
        <v/>
      </c>
      <c r="I873" s="74" t="str">
        <f>IF(A873="","",SUMIFS(po_rest,po_ref,A873,po_key,"&gt;0"))</f>
        <v/>
      </c>
      <c r="J873" s="70" t="str">
        <f>IF(A873="","",IF(COUNTIFS(po_ref,A873,po_status,"&lt;&gt;Annulé")=0,"",INDEX(po_price,SUMPRODUCT(MAX((po_ref=A873)*(po_status&lt;&gt;"Annulé")*(ROW(po_ref)-5))))))</f>
        <v/>
      </c>
      <c r="K873" s="67" t="str">
        <f>IF(A873="","",IF(COUNTIF(art_ref,A873)&gt;1,"Référence en double",IF(B873="","Désignation manquante",IF(NOT(ISNUMBER(D873)),"Prix manquant",IF(E873="","TVA manquante",IF(ISNA(MATCH(E873,p_tva,0)),"Taux de TVA inconnu",IF(AND(F873&lt;&gt;"",ISNA(MATCH(F873,sup_code,0))),"Fournisseur inconnu","OK")))))))</f>
        <v/>
      </c>
    </row>
    <row r="874">
      <c r="A874" s="63" t="n"/>
      <c r="B874" s="63" t="n"/>
      <c r="C874" s="65" t="n"/>
      <c r="D874" s="69" t="n"/>
      <c r="E874" s="71" t="n"/>
      <c r="F874" s="65" t="n"/>
      <c r="G874" s="74" t="str">
        <f>IF(A874="","",SUMIFS(po_qty,po_ref,A874,po_status,"&lt;&gt;Annulé"))</f>
        <v/>
      </c>
      <c r="H874" s="74" t="str">
        <f>IF(A874="","",SUMIFS(po_rcv,po_ref,A874,po_status,"&lt;&gt;Annulé"))</f>
        <v/>
      </c>
      <c r="I874" s="74" t="str">
        <f>IF(A874="","",SUMIFS(po_rest,po_ref,A874,po_key,"&gt;0"))</f>
        <v/>
      </c>
      <c r="J874" s="70" t="str">
        <f>IF(A874="","",IF(COUNTIFS(po_ref,A874,po_status,"&lt;&gt;Annulé")=0,"",INDEX(po_price,SUMPRODUCT(MAX((po_ref=A874)*(po_status&lt;&gt;"Annulé")*(ROW(po_ref)-5))))))</f>
        <v/>
      </c>
      <c r="K874" s="67" t="str">
        <f>IF(A874="","",IF(COUNTIF(art_ref,A874)&gt;1,"Référence en double",IF(B874="","Désignation manquante",IF(NOT(ISNUMBER(D874)),"Prix manquant",IF(E874="","TVA manquante",IF(ISNA(MATCH(E874,p_tva,0)),"Taux de TVA inconnu",IF(AND(F874&lt;&gt;"",ISNA(MATCH(F874,sup_code,0))),"Fournisseur inconnu","OK")))))))</f>
        <v/>
      </c>
    </row>
    <row r="875">
      <c r="A875" s="63" t="n"/>
      <c r="B875" s="63" t="n"/>
      <c r="C875" s="65" t="n"/>
      <c r="D875" s="69" t="n"/>
      <c r="E875" s="71" t="n"/>
      <c r="F875" s="65" t="n"/>
      <c r="G875" s="74" t="str">
        <f>IF(A875="","",SUMIFS(po_qty,po_ref,A875,po_status,"&lt;&gt;Annulé"))</f>
        <v/>
      </c>
      <c r="H875" s="74" t="str">
        <f>IF(A875="","",SUMIFS(po_rcv,po_ref,A875,po_status,"&lt;&gt;Annulé"))</f>
        <v/>
      </c>
      <c r="I875" s="74" t="str">
        <f>IF(A875="","",SUMIFS(po_rest,po_ref,A875,po_key,"&gt;0"))</f>
        <v/>
      </c>
      <c r="J875" s="70" t="str">
        <f>IF(A875="","",IF(COUNTIFS(po_ref,A875,po_status,"&lt;&gt;Annulé")=0,"",INDEX(po_price,SUMPRODUCT(MAX((po_ref=A875)*(po_status&lt;&gt;"Annulé")*(ROW(po_ref)-5))))))</f>
        <v/>
      </c>
      <c r="K875" s="67" t="str">
        <f>IF(A875="","",IF(COUNTIF(art_ref,A875)&gt;1,"Référence en double",IF(B875="","Désignation manquante",IF(NOT(ISNUMBER(D875)),"Prix manquant",IF(E875="","TVA manquante",IF(ISNA(MATCH(E875,p_tva,0)),"Taux de TVA inconnu",IF(AND(F875&lt;&gt;"",ISNA(MATCH(F875,sup_code,0))),"Fournisseur inconnu","OK")))))))</f>
        <v/>
      </c>
    </row>
    <row r="876">
      <c r="A876" s="63" t="n"/>
      <c r="B876" s="63" t="n"/>
      <c r="C876" s="65" t="n"/>
      <c r="D876" s="69" t="n"/>
      <c r="E876" s="71" t="n"/>
      <c r="F876" s="65" t="n"/>
      <c r="G876" s="74" t="str">
        <f>IF(A876="","",SUMIFS(po_qty,po_ref,A876,po_status,"&lt;&gt;Annulé"))</f>
        <v/>
      </c>
      <c r="H876" s="74" t="str">
        <f>IF(A876="","",SUMIFS(po_rcv,po_ref,A876,po_status,"&lt;&gt;Annulé"))</f>
        <v/>
      </c>
      <c r="I876" s="74" t="str">
        <f>IF(A876="","",SUMIFS(po_rest,po_ref,A876,po_key,"&gt;0"))</f>
        <v/>
      </c>
      <c r="J876" s="70" t="str">
        <f>IF(A876="","",IF(COUNTIFS(po_ref,A876,po_status,"&lt;&gt;Annulé")=0,"",INDEX(po_price,SUMPRODUCT(MAX((po_ref=A876)*(po_status&lt;&gt;"Annulé")*(ROW(po_ref)-5))))))</f>
        <v/>
      </c>
      <c r="K876" s="67" t="str">
        <f>IF(A876="","",IF(COUNTIF(art_ref,A876)&gt;1,"Référence en double",IF(B876="","Désignation manquante",IF(NOT(ISNUMBER(D876)),"Prix manquant",IF(E876="","TVA manquante",IF(ISNA(MATCH(E876,p_tva,0)),"Taux de TVA inconnu",IF(AND(F876&lt;&gt;"",ISNA(MATCH(F876,sup_code,0))),"Fournisseur inconnu","OK")))))))</f>
        <v/>
      </c>
    </row>
    <row r="877">
      <c r="A877" s="63" t="n"/>
      <c r="B877" s="63" t="n"/>
      <c r="C877" s="65" t="n"/>
      <c r="D877" s="69" t="n"/>
      <c r="E877" s="71" t="n"/>
      <c r="F877" s="65" t="n"/>
      <c r="G877" s="74" t="str">
        <f>IF(A877="","",SUMIFS(po_qty,po_ref,A877,po_status,"&lt;&gt;Annulé"))</f>
        <v/>
      </c>
      <c r="H877" s="74" t="str">
        <f>IF(A877="","",SUMIFS(po_rcv,po_ref,A877,po_status,"&lt;&gt;Annulé"))</f>
        <v/>
      </c>
      <c r="I877" s="74" t="str">
        <f>IF(A877="","",SUMIFS(po_rest,po_ref,A877,po_key,"&gt;0"))</f>
        <v/>
      </c>
      <c r="J877" s="70" t="str">
        <f>IF(A877="","",IF(COUNTIFS(po_ref,A877,po_status,"&lt;&gt;Annulé")=0,"",INDEX(po_price,SUMPRODUCT(MAX((po_ref=A877)*(po_status&lt;&gt;"Annulé")*(ROW(po_ref)-5))))))</f>
        <v/>
      </c>
      <c r="K877" s="67" t="str">
        <f>IF(A877="","",IF(COUNTIF(art_ref,A877)&gt;1,"Référence en double",IF(B877="","Désignation manquante",IF(NOT(ISNUMBER(D877)),"Prix manquant",IF(E877="","TVA manquante",IF(ISNA(MATCH(E877,p_tva,0)),"Taux de TVA inconnu",IF(AND(F877&lt;&gt;"",ISNA(MATCH(F877,sup_code,0))),"Fournisseur inconnu","OK")))))))</f>
        <v/>
      </c>
    </row>
    <row r="878">
      <c r="A878" s="63" t="n"/>
      <c r="B878" s="63" t="n"/>
      <c r="C878" s="65" t="n"/>
      <c r="D878" s="69" t="n"/>
      <c r="E878" s="71" t="n"/>
      <c r="F878" s="65" t="n"/>
      <c r="G878" s="74" t="str">
        <f>IF(A878="","",SUMIFS(po_qty,po_ref,A878,po_status,"&lt;&gt;Annulé"))</f>
        <v/>
      </c>
      <c r="H878" s="74" t="str">
        <f>IF(A878="","",SUMIFS(po_rcv,po_ref,A878,po_status,"&lt;&gt;Annulé"))</f>
        <v/>
      </c>
      <c r="I878" s="74" t="str">
        <f>IF(A878="","",SUMIFS(po_rest,po_ref,A878,po_key,"&gt;0"))</f>
        <v/>
      </c>
      <c r="J878" s="70" t="str">
        <f>IF(A878="","",IF(COUNTIFS(po_ref,A878,po_status,"&lt;&gt;Annulé")=0,"",INDEX(po_price,SUMPRODUCT(MAX((po_ref=A878)*(po_status&lt;&gt;"Annulé")*(ROW(po_ref)-5))))))</f>
        <v/>
      </c>
      <c r="K878" s="67" t="str">
        <f>IF(A878="","",IF(COUNTIF(art_ref,A878)&gt;1,"Référence en double",IF(B878="","Désignation manquante",IF(NOT(ISNUMBER(D878)),"Prix manquant",IF(E878="","TVA manquante",IF(ISNA(MATCH(E878,p_tva,0)),"Taux de TVA inconnu",IF(AND(F878&lt;&gt;"",ISNA(MATCH(F878,sup_code,0))),"Fournisseur inconnu","OK")))))))</f>
        <v/>
      </c>
    </row>
    <row r="879">
      <c r="A879" s="63" t="n"/>
      <c r="B879" s="63" t="n"/>
      <c r="C879" s="65" t="n"/>
      <c r="D879" s="69" t="n"/>
      <c r="E879" s="71" t="n"/>
      <c r="F879" s="65" t="n"/>
      <c r="G879" s="74" t="str">
        <f>IF(A879="","",SUMIFS(po_qty,po_ref,A879,po_status,"&lt;&gt;Annulé"))</f>
        <v/>
      </c>
      <c r="H879" s="74" t="str">
        <f>IF(A879="","",SUMIFS(po_rcv,po_ref,A879,po_status,"&lt;&gt;Annulé"))</f>
        <v/>
      </c>
      <c r="I879" s="74" t="str">
        <f>IF(A879="","",SUMIFS(po_rest,po_ref,A879,po_key,"&gt;0"))</f>
        <v/>
      </c>
      <c r="J879" s="70" t="str">
        <f>IF(A879="","",IF(COUNTIFS(po_ref,A879,po_status,"&lt;&gt;Annulé")=0,"",INDEX(po_price,SUMPRODUCT(MAX((po_ref=A879)*(po_status&lt;&gt;"Annulé")*(ROW(po_ref)-5))))))</f>
        <v/>
      </c>
      <c r="K879" s="67" t="str">
        <f>IF(A879="","",IF(COUNTIF(art_ref,A879)&gt;1,"Référence en double",IF(B879="","Désignation manquante",IF(NOT(ISNUMBER(D879)),"Prix manquant",IF(E879="","TVA manquante",IF(ISNA(MATCH(E879,p_tva,0)),"Taux de TVA inconnu",IF(AND(F879&lt;&gt;"",ISNA(MATCH(F879,sup_code,0))),"Fournisseur inconnu","OK")))))))</f>
        <v/>
      </c>
    </row>
    <row r="880">
      <c r="A880" s="63" t="n"/>
      <c r="B880" s="63" t="n"/>
      <c r="C880" s="65" t="n"/>
      <c r="D880" s="69" t="n"/>
      <c r="E880" s="71" t="n"/>
      <c r="F880" s="65" t="n"/>
      <c r="G880" s="74" t="str">
        <f>IF(A880="","",SUMIFS(po_qty,po_ref,A880,po_status,"&lt;&gt;Annulé"))</f>
        <v/>
      </c>
      <c r="H880" s="74" t="str">
        <f>IF(A880="","",SUMIFS(po_rcv,po_ref,A880,po_status,"&lt;&gt;Annulé"))</f>
        <v/>
      </c>
      <c r="I880" s="74" t="str">
        <f>IF(A880="","",SUMIFS(po_rest,po_ref,A880,po_key,"&gt;0"))</f>
        <v/>
      </c>
      <c r="J880" s="70" t="str">
        <f>IF(A880="","",IF(COUNTIFS(po_ref,A880,po_status,"&lt;&gt;Annulé")=0,"",INDEX(po_price,SUMPRODUCT(MAX((po_ref=A880)*(po_status&lt;&gt;"Annulé")*(ROW(po_ref)-5))))))</f>
        <v/>
      </c>
      <c r="K880" s="67" t="str">
        <f>IF(A880="","",IF(COUNTIF(art_ref,A880)&gt;1,"Référence en double",IF(B880="","Désignation manquante",IF(NOT(ISNUMBER(D880)),"Prix manquant",IF(E880="","TVA manquante",IF(ISNA(MATCH(E880,p_tva,0)),"Taux de TVA inconnu",IF(AND(F880&lt;&gt;"",ISNA(MATCH(F880,sup_code,0))),"Fournisseur inconnu","OK")))))))</f>
        <v/>
      </c>
    </row>
    <row r="881">
      <c r="A881" s="63" t="n"/>
      <c r="B881" s="63" t="n"/>
      <c r="C881" s="65" t="n"/>
      <c r="D881" s="69" t="n"/>
      <c r="E881" s="71" t="n"/>
      <c r="F881" s="65" t="n"/>
      <c r="G881" s="74" t="str">
        <f>IF(A881="","",SUMIFS(po_qty,po_ref,A881,po_status,"&lt;&gt;Annulé"))</f>
        <v/>
      </c>
      <c r="H881" s="74" t="str">
        <f>IF(A881="","",SUMIFS(po_rcv,po_ref,A881,po_status,"&lt;&gt;Annulé"))</f>
        <v/>
      </c>
      <c r="I881" s="74" t="str">
        <f>IF(A881="","",SUMIFS(po_rest,po_ref,A881,po_key,"&gt;0"))</f>
        <v/>
      </c>
      <c r="J881" s="70" t="str">
        <f>IF(A881="","",IF(COUNTIFS(po_ref,A881,po_status,"&lt;&gt;Annulé")=0,"",INDEX(po_price,SUMPRODUCT(MAX((po_ref=A881)*(po_status&lt;&gt;"Annulé")*(ROW(po_ref)-5))))))</f>
        <v/>
      </c>
      <c r="K881" s="67" t="str">
        <f>IF(A881="","",IF(COUNTIF(art_ref,A881)&gt;1,"Référence en double",IF(B881="","Désignation manquante",IF(NOT(ISNUMBER(D881)),"Prix manquant",IF(E881="","TVA manquante",IF(ISNA(MATCH(E881,p_tva,0)),"Taux de TVA inconnu",IF(AND(F881&lt;&gt;"",ISNA(MATCH(F881,sup_code,0))),"Fournisseur inconnu","OK")))))))</f>
        <v/>
      </c>
    </row>
    <row r="882">
      <c r="A882" s="63" t="n"/>
      <c r="B882" s="63" t="n"/>
      <c r="C882" s="65" t="n"/>
      <c r="D882" s="69" t="n"/>
      <c r="E882" s="71" t="n"/>
      <c r="F882" s="65" t="n"/>
      <c r="G882" s="74" t="str">
        <f>IF(A882="","",SUMIFS(po_qty,po_ref,A882,po_status,"&lt;&gt;Annulé"))</f>
        <v/>
      </c>
      <c r="H882" s="74" t="str">
        <f>IF(A882="","",SUMIFS(po_rcv,po_ref,A882,po_status,"&lt;&gt;Annulé"))</f>
        <v/>
      </c>
      <c r="I882" s="74" t="str">
        <f>IF(A882="","",SUMIFS(po_rest,po_ref,A882,po_key,"&gt;0"))</f>
        <v/>
      </c>
      <c r="J882" s="70" t="str">
        <f>IF(A882="","",IF(COUNTIFS(po_ref,A882,po_status,"&lt;&gt;Annulé")=0,"",INDEX(po_price,SUMPRODUCT(MAX((po_ref=A882)*(po_status&lt;&gt;"Annulé")*(ROW(po_ref)-5))))))</f>
        <v/>
      </c>
      <c r="K882" s="67" t="str">
        <f>IF(A882="","",IF(COUNTIF(art_ref,A882)&gt;1,"Référence en double",IF(B882="","Désignation manquante",IF(NOT(ISNUMBER(D882)),"Prix manquant",IF(E882="","TVA manquante",IF(ISNA(MATCH(E882,p_tva,0)),"Taux de TVA inconnu",IF(AND(F882&lt;&gt;"",ISNA(MATCH(F882,sup_code,0))),"Fournisseur inconnu","OK")))))))</f>
        <v/>
      </c>
    </row>
    <row r="883">
      <c r="A883" s="63" t="n"/>
      <c r="B883" s="63" t="n"/>
      <c r="C883" s="65" t="n"/>
      <c r="D883" s="69" t="n"/>
      <c r="E883" s="71" t="n"/>
      <c r="F883" s="65" t="n"/>
      <c r="G883" s="74" t="str">
        <f>IF(A883="","",SUMIFS(po_qty,po_ref,A883,po_status,"&lt;&gt;Annulé"))</f>
        <v/>
      </c>
      <c r="H883" s="74" t="str">
        <f>IF(A883="","",SUMIFS(po_rcv,po_ref,A883,po_status,"&lt;&gt;Annulé"))</f>
        <v/>
      </c>
      <c r="I883" s="74" t="str">
        <f>IF(A883="","",SUMIFS(po_rest,po_ref,A883,po_key,"&gt;0"))</f>
        <v/>
      </c>
      <c r="J883" s="70" t="str">
        <f>IF(A883="","",IF(COUNTIFS(po_ref,A883,po_status,"&lt;&gt;Annulé")=0,"",INDEX(po_price,SUMPRODUCT(MAX((po_ref=A883)*(po_status&lt;&gt;"Annulé")*(ROW(po_ref)-5))))))</f>
        <v/>
      </c>
      <c r="K883" s="67" t="str">
        <f>IF(A883="","",IF(COUNTIF(art_ref,A883)&gt;1,"Référence en double",IF(B883="","Désignation manquante",IF(NOT(ISNUMBER(D883)),"Prix manquant",IF(E883="","TVA manquante",IF(ISNA(MATCH(E883,p_tva,0)),"Taux de TVA inconnu",IF(AND(F883&lt;&gt;"",ISNA(MATCH(F883,sup_code,0))),"Fournisseur inconnu","OK")))))))</f>
        <v/>
      </c>
    </row>
    <row r="884">
      <c r="A884" s="63" t="n"/>
      <c r="B884" s="63" t="n"/>
      <c r="C884" s="65" t="n"/>
      <c r="D884" s="69" t="n"/>
      <c r="E884" s="71" t="n"/>
      <c r="F884" s="65" t="n"/>
      <c r="G884" s="74" t="str">
        <f>IF(A884="","",SUMIFS(po_qty,po_ref,A884,po_status,"&lt;&gt;Annulé"))</f>
        <v/>
      </c>
      <c r="H884" s="74" t="str">
        <f>IF(A884="","",SUMIFS(po_rcv,po_ref,A884,po_status,"&lt;&gt;Annulé"))</f>
        <v/>
      </c>
      <c r="I884" s="74" t="str">
        <f>IF(A884="","",SUMIFS(po_rest,po_ref,A884,po_key,"&gt;0"))</f>
        <v/>
      </c>
      <c r="J884" s="70" t="str">
        <f>IF(A884="","",IF(COUNTIFS(po_ref,A884,po_status,"&lt;&gt;Annulé")=0,"",INDEX(po_price,SUMPRODUCT(MAX((po_ref=A884)*(po_status&lt;&gt;"Annulé")*(ROW(po_ref)-5))))))</f>
        <v/>
      </c>
      <c r="K884" s="67" t="str">
        <f>IF(A884="","",IF(COUNTIF(art_ref,A884)&gt;1,"Référence en double",IF(B884="","Désignation manquante",IF(NOT(ISNUMBER(D884)),"Prix manquant",IF(E884="","TVA manquante",IF(ISNA(MATCH(E884,p_tva,0)),"Taux de TVA inconnu",IF(AND(F884&lt;&gt;"",ISNA(MATCH(F884,sup_code,0))),"Fournisseur inconnu","OK")))))))</f>
        <v/>
      </c>
    </row>
    <row r="885">
      <c r="A885" s="63" t="n"/>
      <c r="B885" s="63" t="n"/>
      <c r="C885" s="65" t="n"/>
      <c r="D885" s="69" t="n"/>
      <c r="E885" s="71" t="n"/>
      <c r="F885" s="65" t="n"/>
      <c r="G885" s="74" t="str">
        <f>IF(A885="","",SUMIFS(po_qty,po_ref,A885,po_status,"&lt;&gt;Annulé"))</f>
        <v/>
      </c>
      <c r="H885" s="74" t="str">
        <f>IF(A885="","",SUMIFS(po_rcv,po_ref,A885,po_status,"&lt;&gt;Annulé"))</f>
        <v/>
      </c>
      <c r="I885" s="74" t="str">
        <f>IF(A885="","",SUMIFS(po_rest,po_ref,A885,po_key,"&gt;0"))</f>
        <v/>
      </c>
      <c r="J885" s="70" t="str">
        <f>IF(A885="","",IF(COUNTIFS(po_ref,A885,po_status,"&lt;&gt;Annulé")=0,"",INDEX(po_price,SUMPRODUCT(MAX((po_ref=A885)*(po_status&lt;&gt;"Annulé")*(ROW(po_ref)-5))))))</f>
        <v/>
      </c>
      <c r="K885" s="67" t="str">
        <f>IF(A885="","",IF(COUNTIF(art_ref,A885)&gt;1,"Référence en double",IF(B885="","Désignation manquante",IF(NOT(ISNUMBER(D885)),"Prix manquant",IF(E885="","TVA manquante",IF(ISNA(MATCH(E885,p_tva,0)),"Taux de TVA inconnu",IF(AND(F885&lt;&gt;"",ISNA(MATCH(F885,sup_code,0))),"Fournisseur inconnu","OK")))))))</f>
        <v/>
      </c>
    </row>
    <row r="886">
      <c r="A886" s="63" t="n"/>
      <c r="B886" s="63" t="n"/>
      <c r="C886" s="65" t="n"/>
      <c r="D886" s="69" t="n"/>
      <c r="E886" s="71" t="n"/>
      <c r="F886" s="65" t="n"/>
      <c r="G886" s="74" t="str">
        <f>IF(A886="","",SUMIFS(po_qty,po_ref,A886,po_status,"&lt;&gt;Annulé"))</f>
        <v/>
      </c>
      <c r="H886" s="74" t="str">
        <f>IF(A886="","",SUMIFS(po_rcv,po_ref,A886,po_status,"&lt;&gt;Annulé"))</f>
        <v/>
      </c>
      <c r="I886" s="74" t="str">
        <f>IF(A886="","",SUMIFS(po_rest,po_ref,A886,po_key,"&gt;0"))</f>
        <v/>
      </c>
      <c r="J886" s="70" t="str">
        <f>IF(A886="","",IF(COUNTIFS(po_ref,A886,po_status,"&lt;&gt;Annulé")=0,"",INDEX(po_price,SUMPRODUCT(MAX((po_ref=A886)*(po_status&lt;&gt;"Annulé")*(ROW(po_ref)-5))))))</f>
        <v/>
      </c>
      <c r="K886" s="67" t="str">
        <f>IF(A886="","",IF(COUNTIF(art_ref,A886)&gt;1,"Référence en double",IF(B886="","Désignation manquante",IF(NOT(ISNUMBER(D886)),"Prix manquant",IF(E886="","TVA manquante",IF(ISNA(MATCH(E886,p_tva,0)),"Taux de TVA inconnu",IF(AND(F886&lt;&gt;"",ISNA(MATCH(F886,sup_code,0))),"Fournisseur inconnu","OK")))))))</f>
        <v/>
      </c>
    </row>
    <row r="887">
      <c r="A887" s="63" t="n"/>
      <c r="B887" s="63" t="n"/>
      <c r="C887" s="65" t="n"/>
      <c r="D887" s="69" t="n"/>
      <c r="E887" s="71" t="n"/>
      <c r="F887" s="65" t="n"/>
      <c r="G887" s="74" t="str">
        <f>IF(A887="","",SUMIFS(po_qty,po_ref,A887,po_status,"&lt;&gt;Annulé"))</f>
        <v/>
      </c>
      <c r="H887" s="74" t="str">
        <f>IF(A887="","",SUMIFS(po_rcv,po_ref,A887,po_status,"&lt;&gt;Annulé"))</f>
        <v/>
      </c>
      <c r="I887" s="74" t="str">
        <f>IF(A887="","",SUMIFS(po_rest,po_ref,A887,po_key,"&gt;0"))</f>
        <v/>
      </c>
      <c r="J887" s="70" t="str">
        <f>IF(A887="","",IF(COUNTIFS(po_ref,A887,po_status,"&lt;&gt;Annulé")=0,"",INDEX(po_price,SUMPRODUCT(MAX((po_ref=A887)*(po_status&lt;&gt;"Annulé")*(ROW(po_ref)-5))))))</f>
        <v/>
      </c>
      <c r="K887" s="67" t="str">
        <f>IF(A887="","",IF(COUNTIF(art_ref,A887)&gt;1,"Référence en double",IF(B887="","Désignation manquante",IF(NOT(ISNUMBER(D887)),"Prix manquant",IF(E887="","TVA manquante",IF(ISNA(MATCH(E887,p_tva,0)),"Taux de TVA inconnu",IF(AND(F887&lt;&gt;"",ISNA(MATCH(F887,sup_code,0))),"Fournisseur inconnu","OK")))))))</f>
        <v/>
      </c>
    </row>
    <row r="888">
      <c r="A888" s="63" t="n"/>
      <c r="B888" s="63" t="n"/>
      <c r="C888" s="65" t="n"/>
      <c r="D888" s="69" t="n"/>
      <c r="E888" s="71" t="n"/>
      <c r="F888" s="65" t="n"/>
      <c r="G888" s="74" t="str">
        <f>IF(A888="","",SUMIFS(po_qty,po_ref,A888,po_status,"&lt;&gt;Annulé"))</f>
        <v/>
      </c>
      <c r="H888" s="74" t="str">
        <f>IF(A888="","",SUMIFS(po_rcv,po_ref,A888,po_status,"&lt;&gt;Annulé"))</f>
        <v/>
      </c>
      <c r="I888" s="74" t="str">
        <f>IF(A888="","",SUMIFS(po_rest,po_ref,A888,po_key,"&gt;0"))</f>
        <v/>
      </c>
      <c r="J888" s="70" t="str">
        <f>IF(A888="","",IF(COUNTIFS(po_ref,A888,po_status,"&lt;&gt;Annulé")=0,"",INDEX(po_price,SUMPRODUCT(MAX((po_ref=A888)*(po_status&lt;&gt;"Annulé")*(ROW(po_ref)-5))))))</f>
        <v/>
      </c>
      <c r="K888" s="67" t="str">
        <f>IF(A888="","",IF(COUNTIF(art_ref,A888)&gt;1,"Référence en double",IF(B888="","Désignation manquante",IF(NOT(ISNUMBER(D888)),"Prix manquant",IF(E888="","TVA manquante",IF(ISNA(MATCH(E888,p_tva,0)),"Taux de TVA inconnu",IF(AND(F888&lt;&gt;"",ISNA(MATCH(F888,sup_code,0))),"Fournisseur inconnu","OK")))))))</f>
        <v/>
      </c>
    </row>
    <row r="889">
      <c r="A889" s="63" t="n"/>
      <c r="B889" s="63" t="n"/>
      <c r="C889" s="65" t="n"/>
      <c r="D889" s="69" t="n"/>
      <c r="E889" s="71" t="n"/>
      <c r="F889" s="65" t="n"/>
      <c r="G889" s="74" t="str">
        <f>IF(A889="","",SUMIFS(po_qty,po_ref,A889,po_status,"&lt;&gt;Annulé"))</f>
        <v/>
      </c>
      <c r="H889" s="74" t="str">
        <f>IF(A889="","",SUMIFS(po_rcv,po_ref,A889,po_status,"&lt;&gt;Annulé"))</f>
        <v/>
      </c>
      <c r="I889" s="74" t="str">
        <f>IF(A889="","",SUMIFS(po_rest,po_ref,A889,po_key,"&gt;0"))</f>
        <v/>
      </c>
      <c r="J889" s="70" t="str">
        <f>IF(A889="","",IF(COUNTIFS(po_ref,A889,po_status,"&lt;&gt;Annulé")=0,"",INDEX(po_price,SUMPRODUCT(MAX((po_ref=A889)*(po_status&lt;&gt;"Annulé")*(ROW(po_ref)-5))))))</f>
        <v/>
      </c>
      <c r="K889" s="67" t="str">
        <f>IF(A889="","",IF(COUNTIF(art_ref,A889)&gt;1,"Référence en double",IF(B889="","Désignation manquante",IF(NOT(ISNUMBER(D889)),"Prix manquant",IF(E889="","TVA manquante",IF(ISNA(MATCH(E889,p_tva,0)),"Taux de TVA inconnu",IF(AND(F889&lt;&gt;"",ISNA(MATCH(F889,sup_code,0))),"Fournisseur inconnu","OK")))))))</f>
        <v/>
      </c>
    </row>
    <row r="890">
      <c r="A890" s="63" t="n"/>
      <c r="B890" s="63" t="n"/>
      <c r="C890" s="65" t="n"/>
      <c r="D890" s="69" t="n"/>
      <c r="E890" s="71" t="n"/>
      <c r="F890" s="65" t="n"/>
      <c r="G890" s="74" t="str">
        <f>IF(A890="","",SUMIFS(po_qty,po_ref,A890,po_status,"&lt;&gt;Annulé"))</f>
        <v/>
      </c>
      <c r="H890" s="74" t="str">
        <f>IF(A890="","",SUMIFS(po_rcv,po_ref,A890,po_status,"&lt;&gt;Annulé"))</f>
        <v/>
      </c>
      <c r="I890" s="74" t="str">
        <f>IF(A890="","",SUMIFS(po_rest,po_ref,A890,po_key,"&gt;0"))</f>
        <v/>
      </c>
      <c r="J890" s="70" t="str">
        <f>IF(A890="","",IF(COUNTIFS(po_ref,A890,po_status,"&lt;&gt;Annulé")=0,"",INDEX(po_price,SUMPRODUCT(MAX((po_ref=A890)*(po_status&lt;&gt;"Annulé")*(ROW(po_ref)-5))))))</f>
        <v/>
      </c>
      <c r="K890" s="67" t="str">
        <f>IF(A890="","",IF(COUNTIF(art_ref,A890)&gt;1,"Référence en double",IF(B890="","Désignation manquante",IF(NOT(ISNUMBER(D890)),"Prix manquant",IF(E890="","TVA manquante",IF(ISNA(MATCH(E890,p_tva,0)),"Taux de TVA inconnu",IF(AND(F890&lt;&gt;"",ISNA(MATCH(F890,sup_code,0))),"Fournisseur inconnu","OK")))))))</f>
        <v/>
      </c>
    </row>
    <row r="891">
      <c r="A891" s="63" t="n"/>
      <c r="B891" s="63" t="n"/>
      <c r="C891" s="65" t="n"/>
      <c r="D891" s="69" t="n"/>
      <c r="E891" s="71" t="n"/>
      <c r="F891" s="65" t="n"/>
      <c r="G891" s="74" t="str">
        <f>IF(A891="","",SUMIFS(po_qty,po_ref,A891,po_status,"&lt;&gt;Annulé"))</f>
        <v/>
      </c>
      <c r="H891" s="74" t="str">
        <f>IF(A891="","",SUMIFS(po_rcv,po_ref,A891,po_status,"&lt;&gt;Annulé"))</f>
        <v/>
      </c>
      <c r="I891" s="74" t="str">
        <f>IF(A891="","",SUMIFS(po_rest,po_ref,A891,po_key,"&gt;0"))</f>
        <v/>
      </c>
      <c r="J891" s="70" t="str">
        <f>IF(A891="","",IF(COUNTIFS(po_ref,A891,po_status,"&lt;&gt;Annulé")=0,"",INDEX(po_price,SUMPRODUCT(MAX((po_ref=A891)*(po_status&lt;&gt;"Annulé")*(ROW(po_ref)-5))))))</f>
        <v/>
      </c>
      <c r="K891" s="67" t="str">
        <f>IF(A891="","",IF(COUNTIF(art_ref,A891)&gt;1,"Référence en double",IF(B891="","Désignation manquante",IF(NOT(ISNUMBER(D891)),"Prix manquant",IF(E891="","TVA manquante",IF(ISNA(MATCH(E891,p_tva,0)),"Taux de TVA inconnu",IF(AND(F891&lt;&gt;"",ISNA(MATCH(F891,sup_code,0))),"Fournisseur inconnu","OK")))))))</f>
        <v/>
      </c>
    </row>
    <row r="892">
      <c r="A892" s="63" t="n"/>
      <c r="B892" s="63" t="n"/>
      <c r="C892" s="65" t="n"/>
      <c r="D892" s="69" t="n"/>
      <c r="E892" s="71" t="n"/>
      <c r="F892" s="65" t="n"/>
      <c r="G892" s="74" t="str">
        <f>IF(A892="","",SUMIFS(po_qty,po_ref,A892,po_status,"&lt;&gt;Annulé"))</f>
        <v/>
      </c>
      <c r="H892" s="74" t="str">
        <f>IF(A892="","",SUMIFS(po_rcv,po_ref,A892,po_status,"&lt;&gt;Annulé"))</f>
        <v/>
      </c>
      <c r="I892" s="74" t="str">
        <f>IF(A892="","",SUMIFS(po_rest,po_ref,A892,po_key,"&gt;0"))</f>
        <v/>
      </c>
      <c r="J892" s="70" t="str">
        <f>IF(A892="","",IF(COUNTIFS(po_ref,A892,po_status,"&lt;&gt;Annulé")=0,"",INDEX(po_price,SUMPRODUCT(MAX((po_ref=A892)*(po_status&lt;&gt;"Annulé")*(ROW(po_ref)-5))))))</f>
        <v/>
      </c>
      <c r="K892" s="67" t="str">
        <f>IF(A892="","",IF(COUNTIF(art_ref,A892)&gt;1,"Référence en double",IF(B892="","Désignation manquante",IF(NOT(ISNUMBER(D892)),"Prix manquant",IF(E892="","TVA manquante",IF(ISNA(MATCH(E892,p_tva,0)),"Taux de TVA inconnu",IF(AND(F892&lt;&gt;"",ISNA(MATCH(F892,sup_code,0))),"Fournisseur inconnu","OK")))))))</f>
        <v/>
      </c>
    </row>
    <row r="893">
      <c r="A893" s="63" t="n"/>
      <c r="B893" s="63" t="n"/>
      <c r="C893" s="65" t="n"/>
      <c r="D893" s="69" t="n"/>
      <c r="E893" s="71" t="n"/>
      <c r="F893" s="65" t="n"/>
      <c r="G893" s="74" t="str">
        <f>IF(A893="","",SUMIFS(po_qty,po_ref,A893,po_status,"&lt;&gt;Annulé"))</f>
        <v/>
      </c>
      <c r="H893" s="74" t="str">
        <f>IF(A893="","",SUMIFS(po_rcv,po_ref,A893,po_status,"&lt;&gt;Annulé"))</f>
        <v/>
      </c>
      <c r="I893" s="74" t="str">
        <f>IF(A893="","",SUMIFS(po_rest,po_ref,A893,po_key,"&gt;0"))</f>
        <v/>
      </c>
      <c r="J893" s="70" t="str">
        <f>IF(A893="","",IF(COUNTIFS(po_ref,A893,po_status,"&lt;&gt;Annulé")=0,"",INDEX(po_price,SUMPRODUCT(MAX((po_ref=A893)*(po_status&lt;&gt;"Annulé")*(ROW(po_ref)-5))))))</f>
        <v/>
      </c>
      <c r="K893" s="67" t="str">
        <f>IF(A893="","",IF(COUNTIF(art_ref,A893)&gt;1,"Référence en double",IF(B893="","Désignation manquante",IF(NOT(ISNUMBER(D893)),"Prix manquant",IF(E893="","TVA manquante",IF(ISNA(MATCH(E893,p_tva,0)),"Taux de TVA inconnu",IF(AND(F893&lt;&gt;"",ISNA(MATCH(F893,sup_code,0))),"Fournisseur inconnu","OK")))))))</f>
        <v/>
      </c>
    </row>
    <row r="894">
      <c r="A894" s="63" t="n"/>
      <c r="B894" s="63" t="n"/>
      <c r="C894" s="65" t="n"/>
      <c r="D894" s="69" t="n"/>
      <c r="E894" s="71" t="n"/>
      <c r="F894" s="65" t="n"/>
      <c r="G894" s="74" t="str">
        <f>IF(A894="","",SUMIFS(po_qty,po_ref,A894,po_status,"&lt;&gt;Annulé"))</f>
        <v/>
      </c>
      <c r="H894" s="74" t="str">
        <f>IF(A894="","",SUMIFS(po_rcv,po_ref,A894,po_status,"&lt;&gt;Annulé"))</f>
        <v/>
      </c>
      <c r="I894" s="74" t="str">
        <f>IF(A894="","",SUMIFS(po_rest,po_ref,A894,po_key,"&gt;0"))</f>
        <v/>
      </c>
      <c r="J894" s="70" t="str">
        <f>IF(A894="","",IF(COUNTIFS(po_ref,A894,po_status,"&lt;&gt;Annulé")=0,"",INDEX(po_price,SUMPRODUCT(MAX((po_ref=A894)*(po_status&lt;&gt;"Annulé")*(ROW(po_ref)-5))))))</f>
        <v/>
      </c>
      <c r="K894" s="67" t="str">
        <f>IF(A894="","",IF(COUNTIF(art_ref,A894)&gt;1,"Référence en double",IF(B894="","Désignation manquante",IF(NOT(ISNUMBER(D894)),"Prix manquant",IF(E894="","TVA manquante",IF(ISNA(MATCH(E894,p_tva,0)),"Taux de TVA inconnu",IF(AND(F894&lt;&gt;"",ISNA(MATCH(F894,sup_code,0))),"Fournisseur inconnu","OK")))))))</f>
        <v/>
      </c>
    </row>
    <row r="895">
      <c r="A895" s="63" t="n"/>
      <c r="B895" s="63" t="n"/>
      <c r="C895" s="65" t="n"/>
      <c r="D895" s="69" t="n"/>
      <c r="E895" s="71" t="n"/>
      <c r="F895" s="65" t="n"/>
      <c r="G895" s="74" t="str">
        <f>IF(A895="","",SUMIFS(po_qty,po_ref,A895,po_status,"&lt;&gt;Annulé"))</f>
        <v/>
      </c>
      <c r="H895" s="74" t="str">
        <f>IF(A895="","",SUMIFS(po_rcv,po_ref,A895,po_status,"&lt;&gt;Annulé"))</f>
        <v/>
      </c>
      <c r="I895" s="74" t="str">
        <f>IF(A895="","",SUMIFS(po_rest,po_ref,A895,po_key,"&gt;0"))</f>
        <v/>
      </c>
      <c r="J895" s="70" t="str">
        <f>IF(A895="","",IF(COUNTIFS(po_ref,A895,po_status,"&lt;&gt;Annulé")=0,"",INDEX(po_price,SUMPRODUCT(MAX((po_ref=A895)*(po_status&lt;&gt;"Annulé")*(ROW(po_ref)-5))))))</f>
        <v/>
      </c>
      <c r="K895" s="67" t="str">
        <f>IF(A895="","",IF(COUNTIF(art_ref,A895)&gt;1,"Référence en double",IF(B895="","Désignation manquante",IF(NOT(ISNUMBER(D895)),"Prix manquant",IF(E895="","TVA manquante",IF(ISNA(MATCH(E895,p_tva,0)),"Taux de TVA inconnu",IF(AND(F895&lt;&gt;"",ISNA(MATCH(F895,sup_code,0))),"Fournisseur inconnu","OK")))))))</f>
        <v/>
      </c>
    </row>
    <row r="896">
      <c r="A896" s="63" t="n"/>
      <c r="B896" s="63" t="n"/>
      <c r="C896" s="65" t="n"/>
      <c r="D896" s="69" t="n"/>
      <c r="E896" s="71" t="n"/>
      <c r="F896" s="65" t="n"/>
      <c r="G896" s="74" t="str">
        <f>IF(A896="","",SUMIFS(po_qty,po_ref,A896,po_status,"&lt;&gt;Annulé"))</f>
        <v/>
      </c>
      <c r="H896" s="74" t="str">
        <f>IF(A896="","",SUMIFS(po_rcv,po_ref,A896,po_status,"&lt;&gt;Annulé"))</f>
        <v/>
      </c>
      <c r="I896" s="74" t="str">
        <f>IF(A896="","",SUMIFS(po_rest,po_ref,A896,po_key,"&gt;0"))</f>
        <v/>
      </c>
      <c r="J896" s="70" t="str">
        <f>IF(A896="","",IF(COUNTIFS(po_ref,A896,po_status,"&lt;&gt;Annulé")=0,"",INDEX(po_price,SUMPRODUCT(MAX((po_ref=A896)*(po_status&lt;&gt;"Annulé")*(ROW(po_ref)-5))))))</f>
        <v/>
      </c>
      <c r="K896" s="67" t="str">
        <f>IF(A896="","",IF(COUNTIF(art_ref,A896)&gt;1,"Référence en double",IF(B896="","Désignation manquante",IF(NOT(ISNUMBER(D896)),"Prix manquant",IF(E896="","TVA manquante",IF(ISNA(MATCH(E896,p_tva,0)),"Taux de TVA inconnu",IF(AND(F896&lt;&gt;"",ISNA(MATCH(F896,sup_code,0))),"Fournisseur inconnu","OK")))))))</f>
        <v/>
      </c>
    </row>
    <row r="897">
      <c r="A897" s="63" t="n"/>
      <c r="B897" s="63" t="n"/>
      <c r="C897" s="65" t="n"/>
      <c r="D897" s="69" t="n"/>
      <c r="E897" s="71" t="n"/>
      <c r="F897" s="65" t="n"/>
      <c r="G897" s="74" t="str">
        <f>IF(A897="","",SUMIFS(po_qty,po_ref,A897,po_status,"&lt;&gt;Annulé"))</f>
        <v/>
      </c>
      <c r="H897" s="74" t="str">
        <f>IF(A897="","",SUMIFS(po_rcv,po_ref,A897,po_status,"&lt;&gt;Annulé"))</f>
        <v/>
      </c>
      <c r="I897" s="74" t="str">
        <f>IF(A897="","",SUMIFS(po_rest,po_ref,A897,po_key,"&gt;0"))</f>
        <v/>
      </c>
      <c r="J897" s="70" t="str">
        <f>IF(A897="","",IF(COUNTIFS(po_ref,A897,po_status,"&lt;&gt;Annulé")=0,"",INDEX(po_price,SUMPRODUCT(MAX((po_ref=A897)*(po_status&lt;&gt;"Annulé")*(ROW(po_ref)-5))))))</f>
        <v/>
      </c>
      <c r="K897" s="67" t="str">
        <f>IF(A897="","",IF(COUNTIF(art_ref,A897)&gt;1,"Référence en double",IF(B897="","Désignation manquante",IF(NOT(ISNUMBER(D897)),"Prix manquant",IF(E897="","TVA manquante",IF(ISNA(MATCH(E897,p_tva,0)),"Taux de TVA inconnu",IF(AND(F897&lt;&gt;"",ISNA(MATCH(F897,sup_code,0))),"Fournisseur inconnu","OK")))))))</f>
        <v/>
      </c>
    </row>
    <row r="898">
      <c r="A898" s="63" t="n"/>
      <c r="B898" s="63" t="n"/>
      <c r="C898" s="65" t="n"/>
      <c r="D898" s="69" t="n"/>
      <c r="E898" s="71" t="n"/>
      <c r="F898" s="65" t="n"/>
      <c r="G898" s="74" t="str">
        <f>IF(A898="","",SUMIFS(po_qty,po_ref,A898,po_status,"&lt;&gt;Annulé"))</f>
        <v/>
      </c>
      <c r="H898" s="74" t="str">
        <f>IF(A898="","",SUMIFS(po_rcv,po_ref,A898,po_status,"&lt;&gt;Annulé"))</f>
        <v/>
      </c>
      <c r="I898" s="74" t="str">
        <f>IF(A898="","",SUMIFS(po_rest,po_ref,A898,po_key,"&gt;0"))</f>
        <v/>
      </c>
      <c r="J898" s="70" t="str">
        <f>IF(A898="","",IF(COUNTIFS(po_ref,A898,po_status,"&lt;&gt;Annulé")=0,"",INDEX(po_price,SUMPRODUCT(MAX((po_ref=A898)*(po_status&lt;&gt;"Annulé")*(ROW(po_ref)-5))))))</f>
        <v/>
      </c>
      <c r="K898" s="67" t="str">
        <f>IF(A898="","",IF(COUNTIF(art_ref,A898)&gt;1,"Référence en double",IF(B898="","Désignation manquante",IF(NOT(ISNUMBER(D898)),"Prix manquant",IF(E898="","TVA manquante",IF(ISNA(MATCH(E898,p_tva,0)),"Taux de TVA inconnu",IF(AND(F898&lt;&gt;"",ISNA(MATCH(F898,sup_code,0))),"Fournisseur inconnu","OK")))))))</f>
        <v/>
      </c>
    </row>
    <row r="899">
      <c r="A899" s="63" t="n"/>
      <c r="B899" s="63" t="n"/>
      <c r="C899" s="65" t="n"/>
      <c r="D899" s="69" t="n"/>
      <c r="E899" s="71" t="n"/>
      <c r="F899" s="65" t="n"/>
      <c r="G899" s="74" t="str">
        <f>IF(A899="","",SUMIFS(po_qty,po_ref,A899,po_status,"&lt;&gt;Annulé"))</f>
        <v/>
      </c>
      <c r="H899" s="74" t="str">
        <f>IF(A899="","",SUMIFS(po_rcv,po_ref,A899,po_status,"&lt;&gt;Annulé"))</f>
        <v/>
      </c>
      <c r="I899" s="74" t="str">
        <f>IF(A899="","",SUMIFS(po_rest,po_ref,A899,po_key,"&gt;0"))</f>
        <v/>
      </c>
      <c r="J899" s="70" t="str">
        <f>IF(A899="","",IF(COUNTIFS(po_ref,A899,po_status,"&lt;&gt;Annulé")=0,"",INDEX(po_price,SUMPRODUCT(MAX((po_ref=A899)*(po_status&lt;&gt;"Annulé")*(ROW(po_ref)-5))))))</f>
        <v/>
      </c>
      <c r="K899" s="67" t="str">
        <f>IF(A899="","",IF(COUNTIF(art_ref,A899)&gt;1,"Référence en double",IF(B899="","Désignation manquante",IF(NOT(ISNUMBER(D899)),"Prix manquant",IF(E899="","TVA manquante",IF(ISNA(MATCH(E899,p_tva,0)),"Taux de TVA inconnu",IF(AND(F899&lt;&gt;"",ISNA(MATCH(F899,sup_code,0))),"Fournisseur inconnu","OK")))))))</f>
        <v/>
      </c>
    </row>
    <row r="900">
      <c r="A900" s="63" t="n"/>
      <c r="B900" s="63" t="n"/>
      <c r="C900" s="65" t="n"/>
      <c r="D900" s="69" t="n"/>
      <c r="E900" s="71" t="n"/>
      <c r="F900" s="65" t="n"/>
      <c r="G900" s="74" t="str">
        <f>IF(A900="","",SUMIFS(po_qty,po_ref,A900,po_status,"&lt;&gt;Annulé"))</f>
        <v/>
      </c>
      <c r="H900" s="74" t="str">
        <f>IF(A900="","",SUMIFS(po_rcv,po_ref,A900,po_status,"&lt;&gt;Annulé"))</f>
        <v/>
      </c>
      <c r="I900" s="74" t="str">
        <f>IF(A900="","",SUMIFS(po_rest,po_ref,A900,po_key,"&gt;0"))</f>
        <v/>
      </c>
      <c r="J900" s="70" t="str">
        <f>IF(A900="","",IF(COUNTIFS(po_ref,A900,po_status,"&lt;&gt;Annulé")=0,"",INDEX(po_price,SUMPRODUCT(MAX((po_ref=A900)*(po_status&lt;&gt;"Annulé")*(ROW(po_ref)-5))))))</f>
        <v/>
      </c>
      <c r="K900" s="67" t="str">
        <f>IF(A900="","",IF(COUNTIF(art_ref,A900)&gt;1,"Référence en double",IF(B900="","Désignation manquante",IF(NOT(ISNUMBER(D900)),"Prix manquant",IF(E900="","TVA manquante",IF(ISNA(MATCH(E900,p_tva,0)),"Taux de TVA inconnu",IF(AND(F900&lt;&gt;"",ISNA(MATCH(F900,sup_code,0))),"Fournisseur inconnu","OK")))))))</f>
        <v/>
      </c>
    </row>
    <row r="901">
      <c r="A901" s="63" t="n"/>
      <c r="B901" s="63" t="n"/>
      <c r="C901" s="65" t="n"/>
      <c r="D901" s="69" t="n"/>
      <c r="E901" s="71" t="n"/>
      <c r="F901" s="65" t="n"/>
      <c r="G901" s="74" t="str">
        <f>IF(A901="","",SUMIFS(po_qty,po_ref,A901,po_status,"&lt;&gt;Annulé"))</f>
        <v/>
      </c>
      <c r="H901" s="74" t="str">
        <f>IF(A901="","",SUMIFS(po_rcv,po_ref,A901,po_status,"&lt;&gt;Annulé"))</f>
        <v/>
      </c>
      <c r="I901" s="74" t="str">
        <f>IF(A901="","",SUMIFS(po_rest,po_ref,A901,po_key,"&gt;0"))</f>
        <v/>
      </c>
      <c r="J901" s="70" t="str">
        <f>IF(A901="","",IF(COUNTIFS(po_ref,A901,po_status,"&lt;&gt;Annulé")=0,"",INDEX(po_price,SUMPRODUCT(MAX((po_ref=A901)*(po_status&lt;&gt;"Annulé")*(ROW(po_ref)-5))))))</f>
        <v/>
      </c>
      <c r="K901" s="67" t="str">
        <f>IF(A901="","",IF(COUNTIF(art_ref,A901)&gt;1,"Référence en double",IF(B901="","Désignation manquante",IF(NOT(ISNUMBER(D901)),"Prix manquant",IF(E901="","TVA manquante",IF(ISNA(MATCH(E901,p_tva,0)),"Taux de TVA inconnu",IF(AND(F901&lt;&gt;"",ISNA(MATCH(F901,sup_code,0))),"Fournisseur inconnu","OK")))))))</f>
        <v/>
      </c>
    </row>
    <row r="902">
      <c r="A902" s="63" t="n"/>
      <c r="B902" s="63" t="n"/>
      <c r="C902" s="65" t="n"/>
      <c r="D902" s="69" t="n"/>
      <c r="E902" s="71" t="n"/>
      <c r="F902" s="65" t="n"/>
      <c r="G902" s="74" t="str">
        <f>IF(A902="","",SUMIFS(po_qty,po_ref,A902,po_status,"&lt;&gt;Annulé"))</f>
        <v/>
      </c>
      <c r="H902" s="74" t="str">
        <f>IF(A902="","",SUMIFS(po_rcv,po_ref,A902,po_status,"&lt;&gt;Annulé"))</f>
        <v/>
      </c>
      <c r="I902" s="74" t="str">
        <f>IF(A902="","",SUMIFS(po_rest,po_ref,A902,po_key,"&gt;0"))</f>
        <v/>
      </c>
      <c r="J902" s="70" t="str">
        <f>IF(A902="","",IF(COUNTIFS(po_ref,A902,po_status,"&lt;&gt;Annulé")=0,"",INDEX(po_price,SUMPRODUCT(MAX((po_ref=A902)*(po_status&lt;&gt;"Annulé")*(ROW(po_ref)-5))))))</f>
        <v/>
      </c>
      <c r="K902" s="67" t="str">
        <f>IF(A902="","",IF(COUNTIF(art_ref,A902)&gt;1,"Référence en double",IF(B902="","Désignation manquante",IF(NOT(ISNUMBER(D902)),"Prix manquant",IF(E902="","TVA manquante",IF(ISNA(MATCH(E902,p_tva,0)),"Taux de TVA inconnu",IF(AND(F902&lt;&gt;"",ISNA(MATCH(F902,sup_code,0))),"Fournisseur inconnu","OK")))))))</f>
        <v/>
      </c>
    </row>
    <row r="903">
      <c r="A903" s="63" t="n"/>
      <c r="B903" s="63" t="n"/>
      <c r="C903" s="65" t="n"/>
      <c r="D903" s="69" t="n"/>
      <c r="E903" s="71" t="n"/>
      <c r="F903" s="65" t="n"/>
      <c r="G903" s="74" t="str">
        <f>IF(A903="","",SUMIFS(po_qty,po_ref,A903,po_status,"&lt;&gt;Annulé"))</f>
        <v/>
      </c>
      <c r="H903" s="74" t="str">
        <f>IF(A903="","",SUMIFS(po_rcv,po_ref,A903,po_status,"&lt;&gt;Annulé"))</f>
        <v/>
      </c>
      <c r="I903" s="74" t="str">
        <f>IF(A903="","",SUMIFS(po_rest,po_ref,A903,po_key,"&gt;0"))</f>
        <v/>
      </c>
      <c r="J903" s="70" t="str">
        <f>IF(A903="","",IF(COUNTIFS(po_ref,A903,po_status,"&lt;&gt;Annulé")=0,"",INDEX(po_price,SUMPRODUCT(MAX((po_ref=A903)*(po_status&lt;&gt;"Annulé")*(ROW(po_ref)-5))))))</f>
        <v/>
      </c>
      <c r="K903" s="67" t="str">
        <f>IF(A903="","",IF(COUNTIF(art_ref,A903)&gt;1,"Référence en double",IF(B903="","Désignation manquante",IF(NOT(ISNUMBER(D903)),"Prix manquant",IF(E903="","TVA manquante",IF(ISNA(MATCH(E903,p_tva,0)),"Taux de TVA inconnu",IF(AND(F903&lt;&gt;"",ISNA(MATCH(F903,sup_code,0))),"Fournisseur inconnu","OK")))))))</f>
        <v/>
      </c>
    </row>
    <row r="904">
      <c r="A904" s="63" t="n"/>
      <c r="B904" s="63" t="n"/>
      <c r="C904" s="65" t="n"/>
      <c r="D904" s="69" t="n"/>
      <c r="E904" s="71" t="n"/>
      <c r="F904" s="65" t="n"/>
      <c r="G904" s="74" t="str">
        <f>IF(A904="","",SUMIFS(po_qty,po_ref,A904,po_status,"&lt;&gt;Annulé"))</f>
        <v/>
      </c>
      <c r="H904" s="74" t="str">
        <f>IF(A904="","",SUMIFS(po_rcv,po_ref,A904,po_status,"&lt;&gt;Annulé"))</f>
        <v/>
      </c>
      <c r="I904" s="74" t="str">
        <f>IF(A904="","",SUMIFS(po_rest,po_ref,A904,po_key,"&gt;0"))</f>
        <v/>
      </c>
      <c r="J904" s="70" t="str">
        <f>IF(A904="","",IF(COUNTIFS(po_ref,A904,po_status,"&lt;&gt;Annulé")=0,"",INDEX(po_price,SUMPRODUCT(MAX((po_ref=A904)*(po_status&lt;&gt;"Annulé")*(ROW(po_ref)-5))))))</f>
        <v/>
      </c>
      <c r="K904" s="67" t="str">
        <f>IF(A904="","",IF(COUNTIF(art_ref,A904)&gt;1,"Référence en double",IF(B904="","Désignation manquante",IF(NOT(ISNUMBER(D904)),"Prix manquant",IF(E904="","TVA manquante",IF(ISNA(MATCH(E904,p_tva,0)),"Taux de TVA inconnu",IF(AND(F904&lt;&gt;"",ISNA(MATCH(F904,sup_code,0))),"Fournisseur inconnu","OK")))))))</f>
        <v/>
      </c>
    </row>
    <row r="905">
      <c r="A905" s="63" t="n"/>
      <c r="B905" s="63" t="n"/>
      <c r="C905" s="65" t="n"/>
      <c r="D905" s="69" t="n"/>
      <c r="E905" s="71" t="n"/>
      <c r="F905" s="65" t="n"/>
      <c r="G905" s="74" t="str">
        <f>IF(A905="","",SUMIFS(po_qty,po_ref,A905,po_status,"&lt;&gt;Annulé"))</f>
        <v/>
      </c>
      <c r="H905" s="74" t="str">
        <f>IF(A905="","",SUMIFS(po_rcv,po_ref,A905,po_status,"&lt;&gt;Annulé"))</f>
        <v/>
      </c>
      <c r="I905" s="74" t="str">
        <f>IF(A905="","",SUMIFS(po_rest,po_ref,A905,po_key,"&gt;0"))</f>
        <v/>
      </c>
      <c r="J905" s="70" t="str">
        <f>IF(A905="","",IF(COUNTIFS(po_ref,A905,po_status,"&lt;&gt;Annulé")=0,"",INDEX(po_price,SUMPRODUCT(MAX((po_ref=A905)*(po_status&lt;&gt;"Annulé")*(ROW(po_ref)-5))))))</f>
        <v/>
      </c>
      <c r="K905" s="67" t="str">
        <f>IF(A905="","",IF(COUNTIF(art_ref,A905)&gt;1,"Référence en double",IF(B905="","Désignation manquante",IF(NOT(ISNUMBER(D905)),"Prix manquant",IF(E905="","TVA manquante",IF(ISNA(MATCH(E905,p_tva,0)),"Taux de TVA inconnu",IF(AND(F905&lt;&gt;"",ISNA(MATCH(F905,sup_code,0))),"Fournisseur inconnu","OK")))))))</f>
        <v/>
      </c>
    </row>
    <row r="906">
      <c r="A906" s="63" t="n"/>
      <c r="B906" s="63" t="n"/>
      <c r="C906" s="65" t="n"/>
      <c r="D906" s="69" t="n"/>
      <c r="E906" s="71" t="n"/>
      <c r="F906" s="65" t="n"/>
      <c r="G906" s="74" t="str">
        <f>IF(A906="","",SUMIFS(po_qty,po_ref,A906,po_status,"&lt;&gt;Annulé"))</f>
        <v/>
      </c>
      <c r="H906" s="74" t="str">
        <f>IF(A906="","",SUMIFS(po_rcv,po_ref,A906,po_status,"&lt;&gt;Annulé"))</f>
        <v/>
      </c>
      <c r="I906" s="74" t="str">
        <f>IF(A906="","",SUMIFS(po_rest,po_ref,A906,po_key,"&gt;0"))</f>
        <v/>
      </c>
      <c r="J906" s="70" t="str">
        <f>IF(A906="","",IF(COUNTIFS(po_ref,A906,po_status,"&lt;&gt;Annulé")=0,"",INDEX(po_price,SUMPRODUCT(MAX((po_ref=A906)*(po_status&lt;&gt;"Annulé")*(ROW(po_ref)-5))))))</f>
        <v/>
      </c>
      <c r="K906" s="67" t="str">
        <f>IF(A906="","",IF(COUNTIF(art_ref,A906)&gt;1,"Référence en double",IF(B906="","Désignation manquante",IF(NOT(ISNUMBER(D906)),"Prix manquant",IF(E906="","TVA manquante",IF(ISNA(MATCH(E906,p_tva,0)),"Taux de TVA inconnu",IF(AND(F906&lt;&gt;"",ISNA(MATCH(F906,sup_code,0))),"Fournisseur inconnu","OK")))))))</f>
        <v/>
      </c>
    </row>
    <row r="907">
      <c r="A907" s="63" t="n"/>
      <c r="B907" s="63" t="n"/>
      <c r="C907" s="65" t="n"/>
      <c r="D907" s="69" t="n"/>
      <c r="E907" s="71" t="n"/>
      <c r="F907" s="65" t="n"/>
      <c r="G907" s="74" t="str">
        <f>IF(A907="","",SUMIFS(po_qty,po_ref,A907,po_status,"&lt;&gt;Annulé"))</f>
        <v/>
      </c>
      <c r="H907" s="74" t="str">
        <f>IF(A907="","",SUMIFS(po_rcv,po_ref,A907,po_status,"&lt;&gt;Annulé"))</f>
        <v/>
      </c>
      <c r="I907" s="74" t="str">
        <f>IF(A907="","",SUMIFS(po_rest,po_ref,A907,po_key,"&gt;0"))</f>
        <v/>
      </c>
      <c r="J907" s="70" t="str">
        <f>IF(A907="","",IF(COUNTIFS(po_ref,A907,po_status,"&lt;&gt;Annulé")=0,"",INDEX(po_price,SUMPRODUCT(MAX((po_ref=A907)*(po_status&lt;&gt;"Annulé")*(ROW(po_ref)-5))))))</f>
        <v/>
      </c>
      <c r="K907" s="67" t="str">
        <f>IF(A907="","",IF(COUNTIF(art_ref,A907)&gt;1,"Référence en double",IF(B907="","Désignation manquante",IF(NOT(ISNUMBER(D907)),"Prix manquant",IF(E907="","TVA manquante",IF(ISNA(MATCH(E907,p_tva,0)),"Taux de TVA inconnu",IF(AND(F907&lt;&gt;"",ISNA(MATCH(F907,sup_code,0))),"Fournisseur inconnu","OK")))))))</f>
        <v/>
      </c>
    </row>
    <row r="908">
      <c r="A908" s="63" t="n"/>
      <c r="B908" s="63" t="n"/>
      <c r="C908" s="65" t="n"/>
      <c r="D908" s="69" t="n"/>
      <c r="E908" s="71" t="n"/>
      <c r="F908" s="65" t="n"/>
      <c r="G908" s="74" t="str">
        <f>IF(A908="","",SUMIFS(po_qty,po_ref,A908,po_status,"&lt;&gt;Annulé"))</f>
        <v/>
      </c>
      <c r="H908" s="74" t="str">
        <f>IF(A908="","",SUMIFS(po_rcv,po_ref,A908,po_status,"&lt;&gt;Annulé"))</f>
        <v/>
      </c>
      <c r="I908" s="74" t="str">
        <f>IF(A908="","",SUMIFS(po_rest,po_ref,A908,po_key,"&gt;0"))</f>
        <v/>
      </c>
      <c r="J908" s="70" t="str">
        <f>IF(A908="","",IF(COUNTIFS(po_ref,A908,po_status,"&lt;&gt;Annulé")=0,"",INDEX(po_price,SUMPRODUCT(MAX((po_ref=A908)*(po_status&lt;&gt;"Annulé")*(ROW(po_ref)-5))))))</f>
        <v/>
      </c>
      <c r="K908" s="67" t="str">
        <f>IF(A908="","",IF(COUNTIF(art_ref,A908)&gt;1,"Référence en double",IF(B908="","Désignation manquante",IF(NOT(ISNUMBER(D908)),"Prix manquant",IF(E908="","TVA manquante",IF(ISNA(MATCH(E908,p_tva,0)),"Taux de TVA inconnu",IF(AND(F908&lt;&gt;"",ISNA(MATCH(F908,sup_code,0))),"Fournisseur inconnu","OK")))))))</f>
        <v/>
      </c>
    </row>
    <row r="909">
      <c r="A909" s="63" t="n"/>
      <c r="B909" s="63" t="n"/>
      <c r="C909" s="65" t="n"/>
      <c r="D909" s="69" t="n"/>
      <c r="E909" s="71" t="n"/>
      <c r="F909" s="65" t="n"/>
      <c r="G909" s="74" t="str">
        <f>IF(A909="","",SUMIFS(po_qty,po_ref,A909,po_status,"&lt;&gt;Annulé"))</f>
        <v/>
      </c>
      <c r="H909" s="74" t="str">
        <f>IF(A909="","",SUMIFS(po_rcv,po_ref,A909,po_status,"&lt;&gt;Annulé"))</f>
        <v/>
      </c>
      <c r="I909" s="74" t="str">
        <f>IF(A909="","",SUMIFS(po_rest,po_ref,A909,po_key,"&gt;0"))</f>
        <v/>
      </c>
      <c r="J909" s="70" t="str">
        <f>IF(A909="","",IF(COUNTIFS(po_ref,A909,po_status,"&lt;&gt;Annulé")=0,"",INDEX(po_price,SUMPRODUCT(MAX((po_ref=A909)*(po_status&lt;&gt;"Annulé")*(ROW(po_ref)-5))))))</f>
        <v/>
      </c>
      <c r="K909" s="67" t="str">
        <f>IF(A909="","",IF(COUNTIF(art_ref,A909)&gt;1,"Référence en double",IF(B909="","Désignation manquante",IF(NOT(ISNUMBER(D909)),"Prix manquant",IF(E909="","TVA manquante",IF(ISNA(MATCH(E909,p_tva,0)),"Taux de TVA inconnu",IF(AND(F909&lt;&gt;"",ISNA(MATCH(F909,sup_code,0))),"Fournisseur inconnu","OK")))))))</f>
        <v/>
      </c>
    </row>
    <row r="910">
      <c r="A910" s="63" t="n"/>
      <c r="B910" s="63" t="n"/>
      <c r="C910" s="65" t="n"/>
      <c r="D910" s="69" t="n"/>
      <c r="E910" s="71" t="n"/>
      <c r="F910" s="65" t="n"/>
      <c r="G910" s="74" t="str">
        <f>IF(A910="","",SUMIFS(po_qty,po_ref,A910,po_status,"&lt;&gt;Annulé"))</f>
        <v/>
      </c>
      <c r="H910" s="74" t="str">
        <f>IF(A910="","",SUMIFS(po_rcv,po_ref,A910,po_status,"&lt;&gt;Annulé"))</f>
        <v/>
      </c>
      <c r="I910" s="74" t="str">
        <f>IF(A910="","",SUMIFS(po_rest,po_ref,A910,po_key,"&gt;0"))</f>
        <v/>
      </c>
      <c r="J910" s="70" t="str">
        <f>IF(A910="","",IF(COUNTIFS(po_ref,A910,po_status,"&lt;&gt;Annulé")=0,"",INDEX(po_price,SUMPRODUCT(MAX((po_ref=A910)*(po_status&lt;&gt;"Annulé")*(ROW(po_ref)-5))))))</f>
        <v/>
      </c>
      <c r="K910" s="67" t="str">
        <f>IF(A910="","",IF(COUNTIF(art_ref,A910)&gt;1,"Référence en double",IF(B910="","Désignation manquante",IF(NOT(ISNUMBER(D910)),"Prix manquant",IF(E910="","TVA manquante",IF(ISNA(MATCH(E910,p_tva,0)),"Taux de TVA inconnu",IF(AND(F910&lt;&gt;"",ISNA(MATCH(F910,sup_code,0))),"Fournisseur inconnu","OK")))))))</f>
        <v/>
      </c>
    </row>
    <row r="911">
      <c r="A911" s="63" t="n"/>
      <c r="B911" s="63" t="n"/>
      <c r="C911" s="65" t="n"/>
      <c r="D911" s="69" t="n"/>
      <c r="E911" s="71" t="n"/>
      <c r="F911" s="65" t="n"/>
      <c r="G911" s="74" t="str">
        <f>IF(A911="","",SUMIFS(po_qty,po_ref,A911,po_status,"&lt;&gt;Annulé"))</f>
        <v/>
      </c>
      <c r="H911" s="74" t="str">
        <f>IF(A911="","",SUMIFS(po_rcv,po_ref,A911,po_status,"&lt;&gt;Annulé"))</f>
        <v/>
      </c>
      <c r="I911" s="74" t="str">
        <f>IF(A911="","",SUMIFS(po_rest,po_ref,A911,po_key,"&gt;0"))</f>
        <v/>
      </c>
      <c r="J911" s="70" t="str">
        <f>IF(A911="","",IF(COUNTIFS(po_ref,A911,po_status,"&lt;&gt;Annulé")=0,"",INDEX(po_price,SUMPRODUCT(MAX((po_ref=A911)*(po_status&lt;&gt;"Annulé")*(ROW(po_ref)-5))))))</f>
        <v/>
      </c>
      <c r="K911" s="67" t="str">
        <f>IF(A911="","",IF(COUNTIF(art_ref,A911)&gt;1,"Référence en double",IF(B911="","Désignation manquante",IF(NOT(ISNUMBER(D911)),"Prix manquant",IF(E911="","TVA manquante",IF(ISNA(MATCH(E911,p_tva,0)),"Taux de TVA inconnu",IF(AND(F911&lt;&gt;"",ISNA(MATCH(F911,sup_code,0))),"Fournisseur inconnu","OK")))))))</f>
        <v/>
      </c>
    </row>
    <row r="912">
      <c r="A912" s="63" t="n"/>
      <c r="B912" s="63" t="n"/>
      <c r="C912" s="65" t="n"/>
      <c r="D912" s="69" t="n"/>
      <c r="E912" s="71" t="n"/>
      <c r="F912" s="65" t="n"/>
      <c r="G912" s="74" t="str">
        <f>IF(A912="","",SUMIFS(po_qty,po_ref,A912,po_status,"&lt;&gt;Annulé"))</f>
        <v/>
      </c>
      <c r="H912" s="74" t="str">
        <f>IF(A912="","",SUMIFS(po_rcv,po_ref,A912,po_status,"&lt;&gt;Annulé"))</f>
        <v/>
      </c>
      <c r="I912" s="74" t="str">
        <f>IF(A912="","",SUMIFS(po_rest,po_ref,A912,po_key,"&gt;0"))</f>
        <v/>
      </c>
      <c r="J912" s="70" t="str">
        <f>IF(A912="","",IF(COUNTIFS(po_ref,A912,po_status,"&lt;&gt;Annulé")=0,"",INDEX(po_price,SUMPRODUCT(MAX((po_ref=A912)*(po_status&lt;&gt;"Annulé")*(ROW(po_ref)-5))))))</f>
        <v/>
      </c>
      <c r="K912" s="67" t="str">
        <f>IF(A912="","",IF(COUNTIF(art_ref,A912)&gt;1,"Référence en double",IF(B912="","Désignation manquante",IF(NOT(ISNUMBER(D912)),"Prix manquant",IF(E912="","TVA manquante",IF(ISNA(MATCH(E912,p_tva,0)),"Taux de TVA inconnu",IF(AND(F912&lt;&gt;"",ISNA(MATCH(F912,sup_code,0))),"Fournisseur inconnu","OK")))))))</f>
        <v/>
      </c>
    </row>
    <row r="913">
      <c r="A913" s="63" t="n"/>
      <c r="B913" s="63" t="n"/>
      <c r="C913" s="65" t="n"/>
      <c r="D913" s="69" t="n"/>
      <c r="E913" s="71" t="n"/>
      <c r="F913" s="65" t="n"/>
      <c r="G913" s="74" t="str">
        <f>IF(A913="","",SUMIFS(po_qty,po_ref,A913,po_status,"&lt;&gt;Annulé"))</f>
        <v/>
      </c>
      <c r="H913" s="74" t="str">
        <f>IF(A913="","",SUMIFS(po_rcv,po_ref,A913,po_status,"&lt;&gt;Annulé"))</f>
        <v/>
      </c>
      <c r="I913" s="74" t="str">
        <f>IF(A913="","",SUMIFS(po_rest,po_ref,A913,po_key,"&gt;0"))</f>
        <v/>
      </c>
      <c r="J913" s="70" t="str">
        <f>IF(A913="","",IF(COUNTIFS(po_ref,A913,po_status,"&lt;&gt;Annulé")=0,"",INDEX(po_price,SUMPRODUCT(MAX((po_ref=A913)*(po_status&lt;&gt;"Annulé")*(ROW(po_ref)-5))))))</f>
        <v/>
      </c>
      <c r="K913" s="67" t="str">
        <f>IF(A913="","",IF(COUNTIF(art_ref,A913)&gt;1,"Référence en double",IF(B913="","Désignation manquante",IF(NOT(ISNUMBER(D913)),"Prix manquant",IF(E913="","TVA manquante",IF(ISNA(MATCH(E913,p_tva,0)),"Taux de TVA inconnu",IF(AND(F913&lt;&gt;"",ISNA(MATCH(F913,sup_code,0))),"Fournisseur inconnu","OK")))))))</f>
        <v/>
      </c>
    </row>
    <row r="914">
      <c r="A914" s="63" t="n"/>
      <c r="B914" s="63" t="n"/>
      <c r="C914" s="65" t="n"/>
      <c r="D914" s="69" t="n"/>
      <c r="E914" s="71" t="n"/>
      <c r="F914" s="65" t="n"/>
      <c r="G914" s="74" t="str">
        <f>IF(A914="","",SUMIFS(po_qty,po_ref,A914,po_status,"&lt;&gt;Annulé"))</f>
        <v/>
      </c>
      <c r="H914" s="74" t="str">
        <f>IF(A914="","",SUMIFS(po_rcv,po_ref,A914,po_status,"&lt;&gt;Annulé"))</f>
        <v/>
      </c>
      <c r="I914" s="74" t="str">
        <f>IF(A914="","",SUMIFS(po_rest,po_ref,A914,po_key,"&gt;0"))</f>
        <v/>
      </c>
      <c r="J914" s="70" t="str">
        <f>IF(A914="","",IF(COUNTIFS(po_ref,A914,po_status,"&lt;&gt;Annulé")=0,"",INDEX(po_price,SUMPRODUCT(MAX((po_ref=A914)*(po_status&lt;&gt;"Annulé")*(ROW(po_ref)-5))))))</f>
        <v/>
      </c>
      <c r="K914" s="67" t="str">
        <f>IF(A914="","",IF(COUNTIF(art_ref,A914)&gt;1,"Référence en double",IF(B914="","Désignation manquante",IF(NOT(ISNUMBER(D914)),"Prix manquant",IF(E914="","TVA manquante",IF(ISNA(MATCH(E914,p_tva,0)),"Taux de TVA inconnu",IF(AND(F914&lt;&gt;"",ISNA(MATCH(F914,sup_code,0))),"Fournisseur inconnu","OK")))))))</f>
        <v/>
      </c>
    </row>
    <row r="915">
      <c r="A915" s="63" t="n"/>
      <c r="B915" s="63" t="n"/>
      <c r="C915" s="65" t="n"/>
      <c r="D915" s="69" t="n"/>
      <c r="E915" s="71" t="n"/>
      <c r="F915" s="65" t="n"/>
      <c r="G915" s="74" t="str">
        <f>IF(A915="","",SUMIFS(po_qty,po_ref,A915,po_status,"&lt;&gt;Annulé"))</f>
        <v/>
      </c>
      <c r="H915" s="74" t="str">
        <f>IF(A915="","",SUMIFS(po_rcv,po_ref,A915,po_status,"&lt;&gt;Annulé"))</f>
        <v/>
      </c>
      <c r="I915" s="74" t="str">
        <f>IF(A915="","",SUMIFS(po_rest,po_ref,A915,po_key,"&gt;0"))</f>
        <v/>
      </c>
      <c r="J915" s="70" t="str">
        <f>IF(A915="","",IF(COUNTIFS(po_ref,A915,po_status,"&lt;&gt;Annulé")=0,"",INDEX(po_price,SUMPRODUCT(MAX((po_ref=A915)*(po_status&lt;&gt;"Annulé")*(ROW(po_ref)-5))))))</f>
        <v/>
      </c>
      <c r="K915" s="67" t="str">
        <f>IF(A915="","",IF(COUNTIF(art_ref,A915)&gt;1,"Référence en double",IF(B915="","Désignation manquante",IF(NOT(ISNUMBER(D915)),"Prix manquant",IF(E915="","TVA manquante",IF(ISNA(MATCH(E915,p_tva,0)),"Taux de TVA inconnu",IF(AND(F915&lt;&gt;"",ISNA(MATCH(F915,sup_code,0))),"Fournisseur inconnu","OK")))))))</f>
        <v/>
      </c>
    </row>
    <row r="916">
      <c r="A916" s="63" t="n"/>
      <c r="B916" s="63" t="n"/>
      <c r="C916" s="65" t="n"/>
      <c r="D916" s="69" t="n"/>
      <c r="E916" s="71" t="n"/>
      <c r="F916" s="65" t="n"/>
      <c r="G916" s="74" t="str">
        <f>IF(A916="","",SUMIFS(po_qty,po_ref,A916,po_status,"&lt;&gt;Annulé"))</f>
        <v/>
      </c>
      <c r="H916" s="74" t="str">
        <f>IF(A916="","",SUMIFS(po_rcv,po_ref,A916,po_status,"&lt;&gt;Annulé"))</f>
        <v/>
      </c>
      <c r="I916" s="74" t="str">
        <f>IF(A916="","",SUMIFS(po_rest,po_ref,A916,po_key,"&gt;0"))</f>
        <v/>
      </c>
      <c r="J916" s="70" t="str">
        <f>IF(A916="","",IF(COUNTIFS(po_ref,A916,po_status,"&lt;&gt;Annulé")=0,"",INDEX(po_price,SUMPRODUCT(MAX((po_ref=A916)*(po_status&lt;&gt;"Annulé")*(ROW(po_ref)-5))))))</f>
        <v/>
      </c>
      <c r="K916" s="67" t="str">
        <f>IF(A916="","",IF(COUNTIF(art_ref,A916)&gt;1,"Référence en double",IF(B916="","Désignation manquante",IF(NOT(ISNUMBER(D916)),"Prix manquant",IF(E916="","TVA manquante",IF(ISNA(MATCH(E916,p_tva,0)),"Taux de TVA inconnu",IF(AND(F916&lt;&gt;"",ISNA(MATCH(F916,sup_code,0))),"Fournisseur inconnu","OK")))))))</f>
        <v/>
      </c>
    </row>
    <row r="917">
      <c r="A917" s="63" t="n"/>
      <c r="B917" s="63" t="n"/>
      <c r="C917" s="65" t="n"/>
      <c r="D917" s="69" t="n"/>
      <c r="E917" s="71" t="n"/>
      <c r="F917" s="65" t="n"/>
      <c r="G917" s="74" t="str">
        <f>IF(A917="","",SUMIFS(po_qty,po_ref,A917,po_status,"&lt;&gt;Annulé"))</f>
        <v/>
      </c>
      <c r="H917" s="74" t="str">
        <f>IF(A917="","",SUMIFS(po_rcv,po_ref,A917,po_status,"&lt;&gt;Annulé"))</f>
        <v/>
      </c>
      <c r="I917" s="74" t="str">
        <f>IF(A917="","",SUMIFS(po_rest,po_ref,A917,po_key,"&gt;0"))</f>
        <v/>
      </c>
      <c r="J917" s="70" t="str">
        <f>IF(A917="","",IF(COUNTIFS(po_ref,A917,po_status,"&lt;&gt;Annulé")=0,"",INDEX(po_price,SUMPRODUCT(MAX((po_ref=A917)*(po_status&lt;&gt;"Annulé")*(ROW(po_ref)-5))))))</f>
        <v/>
      </c>
      <c r="K917" s="67" t="str">
        <f>IF(A917="","",IF(COUNTIF(art_ref,A917)&gt;1,"Référence en double",IF(B917="","Désignation manquante",IF(NOT(ISNUMBER(D917)),"Prix manquant",IF(E917="","TVA manquante",IF(ISNA(MATCH(E917,p_tva,0)),"Taux de TVA inconnu",IF(AND(F917&lt;&gt;"",ISNA(MATCH(F917,sup_code,0))),"Fournisseur inconnu","OK")))))))</f>
        <v/>
      </c>
    </row>
    <row r="918">
      <c r="A918" s="63" t="n"/>
      <c r="B918" s="63" t="n"/>
      <c r="C918" s="65" t="n"/>
      <c r="D918" s="69" t="n"/>
      <c r="E918" s="71" t="n"/>
      <c r="F918" s="65" t="n"/>
      <c r="G918" s="74" t="str">
        <f>IF(A918="","",SUMIFS(po_qty,po_ref,A918,po_status,"&lt;&gt;Annulé"))</f>
        <v/>
      </c>
      <c r="H918" s="74" t="str">
        <f>IF(A918="","",SUMIFS(po_rcv,po_ref,A918,po_status,"&lt;&gt;Annulé"))</f>
        <v/>
      </c>
      <c r="I918" s="74" t="str">
        <f>IF(A918="","",SUMIFS(po_rest,po_ref,A918,po_key,"&gt;0"))</f>
        <v/>
      </c>
      <c r="J918" s="70" t="str">
        <f>IF(A918="","",IF(COUNTIFS(po_ref,A918,po_status,"&lt;&gt;Annulé")=0,"",INDEX(po_price,SUMPRODUCT(MAX((po_ref=A918)*(po_status&lt;&gt;"Annulé")*(ROW(po_ref)-5))))))</f>
        <v/>
      </c>
      <c r="K918" s="67" t="str">
        <f>IF(A918="","",IF(COUNTIF(art_ref,A918)&gt;1,"Référence en double",IF(B918="","Désignation manquante",IF(NOT(ISNUMBER(D918)),"Prix manquant",IF(E918="","TVA manquante",IF(ISNA(MATCH(E918,p_tva,0)),"Taux de TVA inconnu",IF(AND(F918&lt;&gt;"",ISNA(MATCH(F918,sup_code,0))),"Fournisseur inconnu","OK")))))))</f>
        <v/>
      </c>
    </row>
    <row r="919">
      <c r="A919" s="63" t="n"/>
      <c r="B919" s="63" t="n"/>
      <c r="C919" s="65" t="n"/>
      <c r="D919" s="69" t="n"/>
      <c r="E919" s="71" t="n"/>
      <c r="F919" s="65" t="n"/>
      <c r="G919" s="74" t="str">
        <f>IF(A919="","",SUMIFS(po_qty,po_ref,A919,po_status,"&lt;&gt;Annulé"))</f>
        <v/>
      </c>
      <c r="H919" s="74" t="str">
        <f>IF(A919="","",SUMIFS(po_rcv,po_ref,A919,po_status,"&lt;&gt;Annulé"))</f>
        <v/>
      </c>
      <c r="I919" s="74" t="str">
        <f>IF(A919="","",SUMIFS(po_rest,po_ref,A919,po_key,"&gt;0"))</f>
        <v/>
      </c>
      <c r="J919" s="70" t="str">
        <f>IF(A919="","",IF(COUNTIFS(po_ref,A919,po_status,"&lt;&gt;Annulé")=0,"",INDEX(po_price,SUMPRODUCT(MAX((po_ref=A919)*(po_status&lt;&gt;"Annulé")*(ROW(po_ref)-5))))))</f>
        <v/>
      </c>
      <c r="K919" s="67" t="str">
        <f>IF(A919="","",IF(COUNTIF(art_ref,A919)&gt;1,"Référence en double",IF(B919="","Désignation manquante",IF(NOT(ISNUMBER(D919)),"Prix manquant",IF(E919="","TVA manquante",IF(ISNA(MATCH(E919,p_tva,0)),"Taux de TVA inconnu",IF(AND(F919&lt;&gt;"",ISNA(MATCH(F919,sup_code,0))),"Fournisseur inconnu","OK")))))))</f>
        <v/>
      </c>
    </row>
    <row r="920">
      <c r="A920" s="63" t="n"/>
      <c r="B920" s="63" t="n"/>
      <c r="C920" s="65" t="n"/>
      <c r="D920" s="69" t="n"/>
      <c r="E920" s="71" t="n"/>
      <c r="F920" s="65" t="n"/>
      <c r="G920" s="74" t="str">
        <f>IF(A920="","",SUMIFS(po_qty,po_ref,A920,po_status,"&lt;&gt;Annulé"))</f>
        <v/>
      </c>
      <c r="H920" s="74" t="str">
        <f>IF(A920="","",SUMIFS(po_rcv,po_ref,A920,po_status,"&lt;&gt;Annulé"))</f>
        <v/>
      </c>
      <c r="I920" s="74" t="str">
        <f>IF(A920="","",SUMIFS(po_rest,po_ref,A920,po_key,"&gt;0"))</f>
        <v/>
      </c>
      <c r="J920" s="70" t="str">
        <f>IF(A920="","",IF(COUNTIFS(po_ref,A920,po_status,"&lt;&gt;Annulé")=0,"",INDEX(po_price,SUMPRODUCT(MAX((po_ref=A920)*(po_status&lt;&gt;"Annulé")*(ROW(po_ref)-5))))))</f>
        <v/>
      </c>
      <c r="K920" s="67" t="str">
        <f>IF(A920="","",IF(COUNTIF(art_ref,A920)&gt;1,"Référence en double",IF(B920="","Désignation manquante",IF(NOT(ISNUMBER(D920)),"Prix manquant",IF(E920="","TVA manquante",IF(ISNA(MATCH(E920,p_tva,0)),"Taux de TVA inconnu",IF(AND(F920&lt;&gt;"",ISNA(MATCH(F920,sup_code,0))),"Fournisseur inconnu","OK")))))))</f>
        <v/>
      </c>
    </row>
    <row r="921">
      <c r="A921" s="63" t="n"/>
      <c r="B921" s="63" t="n"/>
      <c r="C921" s="65" t="n"/>
      <c r="D921" s="69" t="n"/>
      <c r="E921" s="71" t="n"/>
      <c r="F921" s="65" t="n"/>
      <c r="G921" s="74" t="str">
        <f>IF(A921="","",SUMIFS(po_qty,po_ref,A921,po_status,"&lt;&gt;Annulé"))</f>
        <v/>
      </c>
      <c r="H921" s="74" t="str">
        <f>IF(A921="","",SUMIFS(po_rcv,po_ref,A921,po_status,"&lt;&gt;Annulé"))</f>
        <v/>
      </c>
      <c r="I921" s="74" t="str">
        <f>IF(A921="","",SUMIFS(po_rest,po_ref,A921,po_key,"&gt;0"))</f>
        <v/>
      </c>
      <c r="J921" s="70" t="str">
        <f>IF(A921="","",IF(COUNTIFS(po_ref,A921,po_status,"&lt;&gt;Annulé")=0,"",INDEX(po_price,SUMPRODUCT(MAX((po_ref=A921)*(po_status&lt;&gt;"Annulé")*(ROW(po_ref)-5))))))</f>
        <v/>
      </c>
      <c r="K921" s="67" t="str">
        <f>IF(A921="","",IF(COUNTIF(art_ref,A921)&gt;1,"Référence en double",IF(B921="","Désignation manquante",IF(NOT(ISNUMBER(D921)),"Prix manquant",IF(E921="","TVA manquante",IF(ISNA(MATCH(E921,p_tva,0)),"Taux de TVA inconnu",IF(AND(F921&lt;&gt;"",ISNA(MATCH(F921,sup_code,0))),"Fournisseur inconnu","OK")))))))</f>
        <v/>
      </c>
    </row>
    <row r="922">
      <c r="A922" s="63" t="n"/>
      <c r="B922" s="63" t="n"/>
      <c r="C922" s="65" t="n"/>
      <c r="D922" s="69" t="n"/>
      <c r="E922" s="71" t="n"/>
      <c r="F922" s="65" t="n"/>
      <c r="G922" s="74" t="str">
        <f>IF(A922="","",SUMIFS(po_qty,po_ref,A922,po_status,"&lt;&gt;Annulé"))</f>
        <v/>
      </c>
      <c r="H922" s="74" t="str">
        <f>IF(A922="","",SUMIFS(po_rcv,po_ref,A922,po_status,"&lt;&gt;Annulé"))</f>
        <v/>
      </c>
      <c r="I922" s="74" t="str">
        <f>IF(A922="","",SUMIFS(po_rest,po_ref,A922,po_key,"&gt;0"))</f>
        <v/>
      </c>
      <c r="J922" s="70" t="str">
        <f>IF(A922="","",IF(COUNTIFS(po_ref,A922,po_status,"&lt;&gt;Annulé")=0,"",INDEX(po_price,SUMPRODUCT(MAX((po_ref=A922)*(po_status&lt;&gt;"Annulé")*(ROW(po_ref)-5))))))</f>
        <v/>
      </c>
      <c r="K922" s="67" t="str">
        <f>IF(A922="","",IF(COUNTIF(art_ref,A922)&gt;1,"Référence en double",IF(B922="","Désignation manquante",IF(NOT(ISNUMBER(D922)),"Prix manquant",IF(E922="","TVA manquante",IF(ISNA(MATCH(E922,p_tva,0)),"Taux de TVA inconnu",IF(AND(F922&lt;&gt;"",ISNA(MATCH(F922,sup_code,0))),"Fournisseur inconnu","OK")))))))</f>
        <v/>
      </c>
    </row>
    <row r="923">
      <c r="A923" s="63" t="n"/>
      <c r="B923" s="63" t="n"/>
      <c r="C923" s="65" t="n"/>
      <c r="D923" s="69" t="n"/>
      <c r="E923" s="71" t="n"/>
      <c r="F923" s="65" t="n"/>
      <c r="G923" s="74" t="str">
        <f>IF(A923="","",SUMIFS(po_qty,po_ref,A923,po_status,"&lt;&gt;Annulé"))</f>
        <v/>
      </c>
      <c r="H923" s="74" t="str">
        <f>IF(A923="","",SUMIFS(po_rcv,po_ref,A923,po_status,"&lt;&gt;Annulé"))</f>
        <v/>
      </c>
      <c r="I923" s="74" t="str">
        <f>IF(A923="","",SUMIFS(po_rest,po_ref,A923,po_key,"&gt;0"))</f>
        <v/>
      </c>
      <c r="J923" s="70" t="str">
        <f>IF(A923="","",IF(COUNTIFS(po_ref,A923,po_status,"&lt;&gt;Annulé")=0,"",INDEX(po_price,SUMPRODUCT(MAX((po_ref=A923)*(po_status&lt;&gt;"Annulé")*(ROW(po_ref)-5))))))</f>
        <v/>
      </c>
      <c r="K923" s="67" t="str">
        <f>IF(A923="","",IF(COUNTIF(art_ref,A923)&gt;1,"Référence en double",IF(B923="","Désignation manquante",IF(NOT(ISNUMBER(D923)),"Prix manquant",IF(E923="","TVA manquante",IF(ISNA(MATCH(E923,p_tva,0)),"Taux de TVA inconnu",IF(AND(F923&lt;&gt;"",ISNA(MATCH(F923,sup_code,0))),"Fournisseur inconnu","OK")))))))</f>
        <v/>
      </c>
    </row>
    <row r="924">
      <c r="A924" s="63" t="n"/>
      <c r="B924" s="63" t="n"/>
      <c r="C924" s="65" t="n"/>
      <c r="D924" s="69" t="n"/>
      <c r="E924" s="71" t="n"/>
      <c r="F924" s="65" t="n"/>
      <c r="G924" s="74" t="str">
        <f>IF(A924="","",SUMIFS(po_qty,po_ref,A924,po_status,"&lt;&gt;Annulé"))</f>
        <v/>
      </c>
      <c r="H924" s="74" t="str">
        <f>IF(A924="","",SUMIFS(po_rcv,po_ref,A924,po_status,"&lt;&gt;Annulé"))</f>
        <v/>
      </c>
      <c r="I924" s="74" t="str">
        <f>IF(A924="","",SUMIFS(po_rest,po_ref,A924,po_key,"&gt;0"))</f>
        <v/>
      </c>
      <c r="J924" s="70" t="str">
        <f>IF(A924="","",IF(COUNTIFS(po_ref,A924,po_status,"&lt;&gt;Annulé")=0,"",INDEX(po_price,SUMPRODUCT(MAX((po_ref=A924)*(po_status&lt;&gt;"Annulé")*(ROW(po_ref)-5))))))</f>
        <v/>
      </c>
      <c r="K924" s="67" t="str">
        <f>IF(A924="","",IF(COUNTIF(art_ref,A924)&gt;1,"Référence en double",IF(B924="","Désignation manquante",IF(NOT(ISNUMBER(D924)),"Prix manquant",IF(E924="","TVA manquante",IF(ISNA(MATCH(E924,p_tva,0)),"Taux de TVA inconnu",IF(AND(F924&lt;&gt;"",ISNA(MATCH(F924,sup_code,0))),"Fournisseur inconnu","OK")))))))</f>
        <v/>
      </c>
    </row>
    <row r="925">
      <c r="A925" s="63" t="n"/>
      <c r="B925" s="63" t="n"/>
      <c r="C925" s="65" t="n"/>
      <c r="D925" s="69" t="n"/>
      <c r="E925" s="71" t="n"/>
      <c r="F925" s="65" t="n"/>
      <c r="G925" s="74" t="str">
        <f>IF(A925="","",SUMIFS(po_qty,po_ref,A925,po_status,"&lt;&gt;Annulé"))</f>
        <v/>
      </c>
      <c r="H925" s="74" t="str">
        <f>IF(A925="","",SUMIFS(po_rcv,po_ref,A925,po_status,"&lt;&gt;Annulé"))</f>
        <v/>
      </c>
      <c r="I925" s="74" t="str">
        <f>IF(A925="","",SUMIFS(po_rest,po_ref,A925,po_key,"&gt;0"))</f>
        <v/>
      </c>
      <c r="J925" s="70" t="str">
        <f>IF(A925="","",IF(COUNTIFS(po_ref,A925,po_status,"&lt;&gt;Annulé")=0,"",INDEX(po_price,SUMPRODUCT(MAX((po_ref=A925)*(po_status&lt;&gt;"Annulé")*(ROW(po_ref)-5))))))</f>
        <v/>
      </c>
      <c r="K925" s="67" t="str">
        <f>IF(A925="","",IF(COUNTIF(art_ref,A925)&gt;1,"Référence en double",IF(B925="","Désignation manquante",IF(NOT(ISNUMBER(D925)),"Prix manquant",IF(E925="","TVA manquante",IF(ISNA(MATCH(E925,p_tva,0)),"Taux de TVA inconnu",IF(AND(F925&lt;&gt;"",ISNA(MATCH(F925,sup_code,0))),"Fournisseur inconnu","OK")))))))</f>
        <v/>
      </c>
    </row>
    <row r="926">
      <c r="A926" s="63" t="n"/>
      <c r="B926" s="63" t="n"/>
      <c r="C926" s="65" t="n"/>
      <c r="D926" s="69" t="n"/>
      <c r="E926" s="71" t="n"/>
      <c r="F926" s="65" t="n"/>
      <c r="G926" s="74" t="str">
        <f>IF(A926="","",SUMIFS(po_qty,po_ref,A926,po_status,"&lt;&gt;Annulé"))</f>
        <v/>
      </c>
      <c r="H926" s="74" t="str">
        <f>IF(A926="","",SUMIFS(po_rcv,po_ref,A926,po_status,"&lt;&gt;Annulé"))</f>
        <v/>
      </c>
      <c r="I926" s="74" t="str">
        <f>IF(A926="","",SUMIFS(po_rest,po_ref,A926,po_key,"&gt;0"))</f>
        <v/>
      </c>
      <c r="J926" s="70" t="str">
        <f>IF(A926="","",IF(COUNTIFS(po_ref,A926,po_status,"&lt;&gt;Annulé")=0,"",INDEX(po_price,SUMPRODUCT(MAX((po_ref=A926)*(po_status&lt;&gt;"Annulé")*(ROW(po_ref)-5))))))</f>
        <v/>
      </c>
      <c r="K926" s="67" t="str">
        <f>IF(A926="","",IF(COUNTIF(art_ref,A926)&gt;1,"Référence en double",IF(B926="","Désignation manquante",IF(NOT(ISNUMBER(D926)),"Prix manquant",IF(E926="","TVA manquante",IF(ISNA(MATCH(E926,p_tva,0)),"Taux de TVA inconnu",IF(AND(F926&lt;&gt;"",ISNA(MATCH(F926,sup_code,0))),"Fournisseur inconnu","OK")))))))</f>
        <v/>
      </c>
    </row>
    <row r="927">
      <c r="A927" s="63" t="n"/>
      <c r="B927" s="63" t="n"/>
      <c r="C927" s="65" t="n"/>
      <c r="D927" s="69" t="n"/>
      <c r="E927" s="71" t="n"/>
      <c r="F927" s="65" t="n"/>
      <c r="G927" s="74" t="str">
        <f>IF(A927="","",SUMIFS(po_qty,po_ref,A927,po_status,"&lt;&gt;Annulé"))</f>
        <v/>
      </c>
      <c r="H927" s="74" t="str">
        <f>IF(A927="","",SUMIFS(po_rcv,po_ref,A927,po_status,"&lt;&gt;Annulé"))</f>
        <v/>
      </c>
      <c r="I927" s="74" t="str">
        <f>IF(A927="","",SUMIFS(po_rest,po_ref,A927,po_key,"&gt;0"))</f>
        <v/>
      </c>
      <c r="J927" s="70" t="str">
        <f>IF(A927="","",IF(COUNTIFS(po_ref,A927,po_status,"&lt;&gt;Annulé")=0,"",INDEX(po_price,SUMPRODUCT(MAX((po_ref=A927)*(po_status&lt;&gt;"Annulé")*(ROW(po_ref)-5))))))</f>
        <v/>
      </c>
      <c r="K927" s="67" t="str">
        <f>IF(A927="","",IF(COUNTIF(art_ref,A927)&gt;1,"Référence en double",IF(B927="","Désignation manquante",IF(NOT(ISNUMBER(D927)),"Prix manquant",IF(E927="","TVA manquante",IF(ISNA(MATCH(E927,p_tva,0)),"Taux de TVA inconnu",IF(AND(F927&lt;&gt;"",ISNA(MATCH(F927,sup_code,0))),"Fournisseur inconnu","OK")))))))</f>
        <v/>
      </c>
    </row>
    <row r="928">
      <c r="A928" s="63" t="n"/>
      <c r="B928" s="63" t="n"/>
      <c r="C928" s="65" t="n"/>
      <c r="D928" s="69" t="n"/>
      <c r="E928" s="71" t="n"/>
      <c r="F928" s="65" t="n"/>
      <c r="G928" s="74" t="str">
        <f>IF(A928="","",SUMIFS(po_qty,po_ref,A928,po_status,"&lt;&gt;Annulé"))</f>
        <v/>
      </c>
      <c r="H928" s="74" t="str">
        <f>IF(A928="","",SUMIFS(po_rcv,po_ref,A928,po_status,"&lt;&gt;Annulé"))</f>
        <v/>
      </c>
      <c r="I928" s="74" t="str">
        <f>IF(A928="","",SUMIFS(po_rest,po_ref,A928,po_key,"&gt;0"))</f>
        <v/>
      </c>
      <c r="J928" s="70" t="str">
        <f>IF(A928="","",IF(COUNTIFS(po_ref,A928,po_status,"&lt;&gt;Annulé")=0,"",INDEX(po_price,SUMPRODUCT(MAX((po_ref=A928)*(po_status&lt;&gt;"Annulé")*(ROW(po_ref)-5))))))</f>
        <v/>
      </c>
      <c r="K928" s="67" t="str">
        <f>IF(A928="","",IF(COUNTIF(art_ref,A928)&gt;1,"Référence en double",IF(B928="","Désignation manquante",IF(NOT(ISNUMBER(D928)),"Prix manquant",IF(E928="","TVA manquante",IF(ISNA(MATCH(E928,p_tva,0)),"Taux de TVA inconnu",IF(AND(F928&lt;&gt;"",ISNA(MATCH(F928,sup_code,0))),"Fournisseur inconnu","OK")))))))</f>
        <v/>
      </c>
    </row>
    <row r="929">
      <c r="A929" s="63" t="n"/>
      <c r="B929" s="63" t="n"/>
      <c r="C929" s="65" t="n"/>
      <c r="D929" s="69" t="n"/>
      <c r="E929" s="71" t="n"/>
      <c r="F929" s="65" t="n"/>
      <c r="G929" s="74" t="str">
        <f>IF(A929="","",SUMIFS(po_qty,po_ref,A929,po_status,"&lt;&gt;Annulé"))</f>
        <v/>
      </c>
      <c r="H929" s="74" t="str">
        <f>IF(A929="","",SUMIFS(po_rcv,po_ref,A929,po_status,"&lt;&gt;Annulé"))</f>
        <v/>
      </c>
      <c r="I929" s="74" t="str">
        <f>IF(A929="","",SUMIFS(po_rest,po_ref,A929,po_key,"&gt;0"))</f>
        <v/>
      </c>
      <c r="J929" s="70" t="str">
        <f>IF(A929="","",IF(COUNTIFS(po_ref,A929,po_status,"&lt;&gt;Annulé")=0,"",INDEX(po_price,SUMPRODUCT(MAX((po_ref=A929)*(po_status&lt;&gt;"Annulé")*(ROW(po_ref)-5))))))</f>
        <v/>
      </c>
      <c r="K929" s="67" t="str">
        <f>IF(A929="","",IF(COUNTIF(art_ref,A929)&gt;1,"Référence en double",IF(B929="","Désignation manquante",IF(NOT(ISNUMBER(D929)),"Prix manquant",IF(E929="","TVA manquante",IF(ISNA(MATCH(E929,p_tva,0)),"Taux de TVA inconnu",IF(AND(F929&lt;&gt;"",ISNA(MATCH(F929,sup_code,0))),"Fournisseur inconnu","OK")))))))</f>
        <v/>
      </c>
    </row>
    <row r="930">
      <c r="A930" s="63" t="n"/>
      <c r="B930" s="63" t="n"/>
      <c r="C930" s="65" t="n"/>
      <c r="D930" s="69" t="n"/>
      <c r="E930" s="71" t="n"/>
      <c r="F930" s="65" t="n"/>
      <c r="G930" s="74" t="str">
        <f>IF(A930="","",SUMIFS(po_qty,po_ref,A930,po_status,"&lt;&gt;Annulé"))</f>
        <v/>
      </c>
      <c r="H930" s="74" t="str">
        <f>IF(A930="","",SUMIFS(po_rcv,po_ref,A930,po_status,"&lt;&gt;Annulé"))</f>
        <v/>
      </c>
      <c r="I930" s="74" t="str">
        <f>IF(A930="","",SUMIFS(po_rest,po_ref,A930,po_key,"&gt;0"))</f>
        <v/>
      </c>
      <c r="J930" s="70" t="str">
        <f>IF(A930="","",IF(COUNTIFS(po_ref,A930,po_status,"&lt;&gt;Annulé")=0,"",INDEX(po_price,SUMPRODUCT(MAX((po_ref=A930)*(po_status&lt;&gt;"Annulé")*(ROW(po_ref)-5))))))</f>
        <v/>
      </c>
      <c r="K930" s="67" t="str">
        <f>IF(A930="","",IF(COUNTIF(art_ref,A930)&gt;1,"Référence en double",IF(B930="","Désignation manquante",IF(NOT(ISNUMBER(D930)),"Prix manquant",IF(E930="","TVA manquante",IF(ISNA(MATCH(E930,p_tva,0)),"Taux de TVA inconnu",IF(AND(F930&lt;&gt;"",ISNA(MATCH(F930,sup_code,0))),"Fournisseur inconnu","OK")))))))</f>
        <v/>
      </c>
    </row>
    <row r="931">
      <c r="A931" s="63" t="n"/>
      <c r="B931" s="63" t="n"/>
      <c r="C931" s="65" t="n"/>
      <c r="D931" s="69" t="n"/>
      <c r="E931" s="71" t="n"/>
      <c r="F931" s="65" t="n"/>
      <c r="G931" s="74" t="str">
        <f>IF(A931="","",SUMIFS(po_qty,po_ref,A931,po_status,"&lt;&gt;Annulé"))</f>
        <v/>
      </c>
      <c r="H931" s="74" t="str">
        <f>IF(A931="","",SUMIFS(po_rcv,po_ref,A931,po_status,"&lt;&gt;Annulé"))</f>
        <v/>
      </c>
      <c r="I931" s="74" t="str">
        <f>IF(A931="","",SUMIFS(po_rest,po_ref,A931,po_key,"&gt;0"))</f>
        <v/>
      </c>
      <c r="J931" s="70" t="str">
        <f>IF(A931="","",IF(COUNTIFS(po_ref,A931,po_status,"&lt;&gt;Annulé")=0,"",INDEX(po_price,SUMPRODUCT(MAX((po_ref=A931)*(po_status&lt;&gt;"Annulé")*(ROW(po_ref)-5))))))</f>
        <v/>
      </c>
      <c r="K931" s="67" t="str">
        <f>IF(A931="","",IF(COUNTIF(art_ref,A931)&gt;1,"Référence en double",IF(B931="","Désignation manquante",IF(NOT(ISNUMBER(D931)),"Prix manquant",IF(E931="","TVA manquante",IF(ISNA(MATCH(E931,p_tva,0)),"Taux de TVA inconnu",IF(AND(F931&lt;&gt;"",ISNA(MATCH(F931,sup_code,0))),"Fournisseur inconnu","OK")))))))</f>
        <v/>
      </c>
    </row>
    <row r="932">
      <c r="A932" s="63" t="n"/>
      <c r="B932" s="63" t="n"/>
      <c r="C932" s="65" t="n"/>
      <c r="D932" s="69" t="n"/>
      <c r="E932" s="71" t="n"/>
      <c r="F932" s="65" t="n"/>
      <c r="G932" s="74" t="str">
        <f>IF(A932="","",SUMIFS(po_qty,po_ref,A932,po_status,"&lt;&gt;Annulé"))</f>
        <v/>
      </c>
      <c r="H932" s="74" t="str">
        <f>IF(A932="","",SUMIFS(po_rcv,po_ref,A932,po_status,"&lt;&gt;Annulé"))</f>
        <v/>
      </c>
      <c r="I932" s="74" t="str">
        <f>IF(A932="","",SUMIFS(po_rest,po_ref,A932,po_key,"&gt;0"))</f>
        <v/>
      </c>
      <c r="J932" s="70" t="str">
        <f>IF(A932="","",IF(COUNTIFS(po_ref,A932,po_status,"&lt;&gt;Annulé")=0,"",INDEX(po_price,SUMPRODUCT(MAX((po_ref=A932)*(po_status&lt;&gt;"Annulé")*(ROW(po_ref)-5))))))</f>
        <v/>
      </c>
      <c r="K932" s="67" t="str">
        <f>IF(A932="","",IF(COUNTIF(art_ref,A932)&gt;1,"Référence en double",IF(B932="","Désignation manquante",IF(NOT(ISNUMBER(D932)),"Prix manquant",IF(E932="","TVA manquante",IF(ISNA(MATCH(E932,p_tva,0)),"Taux de TVA inconnu",IF(AND(F932&lt;&gt;"",ISNA(MATCH(F932,sup_code,0))),"Fournisseur inconnu","OK")))))))</f>
        <v/>
      </c>
    </row>
    <row r="933">
      <c r="A933" s="63" t="n"/>
      <c r="B933" s="63" t="n"/>
      <c r="C933" s="65" t="n"/>
      <c r="D933" s="69" t="n"/>
      <c r="E933" s="71" t="n"/>
      <c r="F933" s="65" t="n"/>
      <c r="G933" s="74" t="str">
        <f>IF(A933="","",SUMIFS(po_qty,po_ref,A933,po_status,"&lt;&gt;Annulé"))</f>
        <v/>
      </c>
      <c r="H933" s="74" t="str">
        <f>IF(A933="","",SUMIFS(po_rcv,po_ref,A933,po_status,"&lt;&gt;Annulé"))</f>
        <v/>
      </c>
      <c r="I933" s="74" t="str">
        <f>IF(A933="","",SUMIFS(po_rest,po_ref,A933,po_key,"&gt;0"))</f>
        <v/>
      </c>
      <c r="J933" s="70" t="str">
        <f>IF(A933="","",IF(COUNTIFS(po_ref,A933,po_status,"&lt;&gt;Annulé")=0,"",INDEX(po_price,SUMPRODUCT(MAX((po_ref=A933)*(po_status&lt;&gt;"Annulé")*(ROW(po_ref)-5))))))</f>
        <v/>
      </c>
      <c r="K933" s="67" t="str">
        <f>IF(A933="","",IF(COUNTIF(art_ref,A933)&gt;1,"Référence en double",IF(B933="","Désignation manquante",IF(NOT(ISNUMBER(D933)),"Prix manquant",IF(E933="","TVA manquante",IF(ISNA(MATCH(E933,p_tva,0)),"Taux de TVA inconnu",IF(AND(F933&lt;&gt;"",ISNA(MATCH(F933,sup_code,0))),"Fournisseur inconnu","OK")))))))</f>
        <v/>
      </c>
    </row>
    <row r="934">
      <c r="A934" s="63" t="n"/>
      <c r="B934" s="63" t="n"/>
      <c r="C934" s="65" t="n"/>
      <c r="D934" s="69" t="n"/>
      <c r="E934" s="71" t="n"/>
      <c r="F934" s="65" t="n"/>
      <c r="G934" s="74" t="str">
        <f>IF(A934="","",SUMIFS(po_qty,po_ref,A934,po_status,"&lt;&gt;Annulé"))</f>
        <v/>
      </c>
      <c r="H934" s="74" t="str">
        <f>IF(A934="","",SUMIFS(po_rcv,po_ref,A934,po_status,"&lt;&gt;Annulé"))</f>
        <v/>
      </c>
      <c r="I934" s="74" t="str">
        <f>IF(A934="","",SUMIFS(po_rest,po_ref,A934,po_key,"&gt;0"))</f>
        <v/>
      </c>
      <c r="J934" s="70" t="str">
        <f>IF(A934="","",IF(COUNTIFS(po_ref,A934,po_status,"&lt;&gt;Annulé")=0,"",INDEX(po_price,SUMPRODUCT(MAX((po_ref=A934)*(po_status&lt;&gt;"Annulé")*(ROW(po_ref)-5))))))</f>
        <v/>
      </c>
      <c r="K934" s="67" t="str">
        <f>IF(A934="","",IF(COUNTIF(art_ref,A934)&gt;1,"Référence en double",IF(B934="","Désignation manquante",IF(NOT(ISNUMBER(D934)),"Prix manquant",IF(E934="","TVA manquante",IF(ISNA(MATCH(E934,p_tva,0)),"Taux de TVA inconnu",IF(AND(F934&lt;&gt;"",ISNA(MATCH(F934,sup_code,0))),"Fournisseur inconnu","OK")))))))</f>
        <v/>
      </c>
    </row>
    <row r="935">
      <c r="A935" s="63" t="n"/>
      <c r="B935" s="63" t="n"/>
      <c r="C935" s="65" t="n"/>
      <c r="D935" s="69" t="n"/>
      <c r="E935" s="71" t="n"/>
      <c r="F935" s="65" t="n"/>
      <c r="G935" s="74" t="str">
        <f>IF(A935="","",SUMIFS(po_qty,po_ref,A935,po_status,"&lt;&gt;Annulé"))</f>
        <v/>
      </c>
      <c r="H935" s="74" t="str">
        <f>IF(A935="","",SUMIFS(po_rcv,po_ref,A935,po_status,"&lt;&gt;Annulé"))</f>
        <v/>
      </c>
      <c r="I935" s="74" t="str">
        <f>IF(A935="","",SUMIFS(po_rest,po_ref,A935,po_key,"&gt;0"))</f>
        <v/>
      </c>
      <c r="J935" s="70" t="str">
        <f>IF(A935="","",IF(COUNTIFS(po_ref,A935,po_status,"&lt;&gt;Annulé")=0,"",INDEX(po_price,SUMPRODUCT(MAX((po_ref=A935)*(po_status&lt;&gt;"Annulé")*(ROW(po_ref)-5))))))</f>
        <v/>
      </c>
      <c r="K935" s="67" t="str">
        <f>IF(A935="","",IF(COUNTIF(art_ref,A935)&gt;1,"Référence en double",IF(B935="","Désignation manquante",IF(NOT(ISNUMBER(D935)),"Prix manquant",IF(E935="","TVA manquante",IF(ISNA(MATCH(E935,p_tva,0)),"Taux de TVA inconnu",IF(AND(F935&lt;&gt;"",ISNA(MATCH(F935,sup_code,0))),"Fournisseur inconnu","OK")))))))</f>
        <v/>
      </c>
    </row>
    <row r="936">
      <c r="A936" s="63" t="n"/>
      <c r="B936" s="63" t="n"/>
      <c r="C936" s="65" t="n"/>
      <c r="D936" s="69" t="n"/>
      <c r="E936" s="71" t="n"/>
      <c r="F936" s="65" t="n"/>
      <c r="G936" s="74" t="str">
        <f>IF(A936="","",SUMIFS(po_qty,po_ref,A936,po_status,"&lt;&gt;Annulé"))</f>
        <v/>
      </c>
      <c r="H936" s="74" t="str">
        <f>IF(A936="","",SUMIFS(po_rcv,po_ref,A936,po_status,"&lt;&gt;Annulé"))</f>
        <v/>
      </c>
      <c r="I936" s="74" t="str">
        <f>IF(A936="","",SUMIFS(po_rest,po_ref,A936,po_key,"&gt;0"))</f>
        <v/>
      </c>
      <c r="J936" s="70" t="str">
        <f>IF(A936="","",IF(COUNTIFS(po_ref,A936,po_status,"&lt;&gt;Annulé")=0,"",INDEX(po_price,SUMPRODUCT(MAX((po_ref=A936)*(po_status&lt;&gt;"Annulé")*(ROW(po_ref)-5))))))</f>
        <v/>
      </c>
      <c r="K936" s="67" t="str">
        <f>IF(A936="","",IF(COUNTIF(art_ref,A936)&gt;1,"Référence en double",IF(B936="","Désignation manquante",IF(NOT(ISNUMBER(D936)),"Prix manquant",IF(E936="","TVA manquante",IF(ISNA(MATCH(E936,p_tva,0)),"Taux de TVA inconnu",IF(AND(F936&lt;&gt;"",ISNA(MATCH(F936,sup_code,0))),"Fournisseur inconnu","OK")))))))</f>
        <v/>
      </c>
    </row>
    <row r="937">
      <c r="A937" s="63" t="n"/>
      <c r="B937" s="63" t="n"/>
      <c r="C937" s="65" t="n"/>
      <c r="D937" s="69" t="n"/>
      <c r="E937" s="71" t="n"/>
      <c r="F937" s="65" t="n"/>
      <c r="G937" s="74" t="str">
        <f>IF(A937="","",SUMIFS(po_qty,po_ref,A937,po_status,"&lt;&gt;Annulé"))</f>
        <v/>
      </c>
      <c r="H937" s="74" t="str">
        <f>IF(A937="","",SUMIFS(po_rcv,po_ref,A937,po_status,"&lt;&gt;Annulé"))</f>
        <v/>
      </c>
      <c r="I937" s="74" t="str">
        <f>IF(A937="","",SUMIFS(po_rest,po_ref,A937,po_key,"&gt;0"))</f>
        <v/>
      </c>
      <c r="J937" s="70" t="str">
        <f>IF(A937="","",IF(COUNTIFS(po_ref,A937,po_status,"&lt;&gt;Annulé")=0,"",INDEX(po_price,SUMPRODUCT(MAX((po_ref=A937)*(po_status&lt;&gt;"Annulé")*(ROW(po_ref)-5))))))</f>
        <v/>
      </c>
      <c r="K937" s="67" t="str">
        <f>IF(A937="","",IF(COUNTIF(art_ref,A937)&gt;1,"Référence en double",IF(B937="","Désignation manquante",IF(NOT(ISNUMBER(D937)),"Prix manquant",IF(E937="","TVA manquante",IF(ISNA(MATCH(E937,p_tva,0)),"Taux de TVA inconnu",IF(AND(F937&lt;&gt;"",ISNA(MATCH(F937,sup_code,0))),"Fournisseur inconnu","OK")))))))</f>
        <v/>
      </c>
    </row>
    <row r="938">
      <c r="A938" s="63" t="n"/>
      <c r="B938" s="63" t="n"/>
      <c r="C938" s="65" t="n"/>
      <c r="D938" s="69" t="n"/>
      <c r="E938" s="71" t="n"/>
      <c r="F938" s="65" t="n"/>
      <c r="G938" s="74" t="str">
        <f>IF(A938="","",SUMIFS(po_qty,po_ref,A938,po_status,"&lt;&gt;Annulé"))</f>
        <v/>
      </c>
      <c r="H938" s="74" t="str">
        <f>IF(A938="","",SUMIFS(po_rcv,po_ref,A938,po_status,"&lt;&gt;Annulé"))</f>
        <v/>
      </c>
      <c r="I938" s="74" t="str">
        <f>IF(A938="","",SUMIFS(po_rest,po_ref,A938,po_key,"&gt;0"))</f>
        <v/>
      </c>
      <c r="J938" s="70" t="str">
        <f>IF(A938="","",IF(COUNTIFS(po_ref,A938,po_status,"&lt;&gt;Annulé")=0,"",INDEX(po_price,SUMPRODUCT(MAX((po_ref=A938)*(po_status&lt;&gt;"Annulé")*(ROW(po_ref)-5))))))</f>
        <v/>
      </c>
      <c r="K938" s="67" t="str">
        <f>IF(A938="","",IF(COUNTIF(art_ref,A938)&gt;1,"Référence en double",IF(B938="","Désignation manquante",IF(NOT(ISNUMBER(D938)),"Prix manquant",IF(E938="","TVA manquante",IF(ISNA(MATCH(E938,p_tva,0)),"Taux de TVA inconnu",IF(AND(F938&lt;&gt;"",ISNA(MATCH(F938,sup_code,0))),"Fournisseur inconnu","OK")))))))</f>
        <v/>
      </c>
    </row>
    <row r="939">
      <c r="A939" s="63" t="n"/>
      <c r="B939" s="63" t="n"/>
      <c r="C939" s="65" t="n"/>
      <c r="D939" s="69" t="n"/>
      <c r="E939" s="71" t="n"/>
      <c r="F939" s="65" t="n"/>
      <c r="G939" s="74" t="str">
        <f>IF(A939="","",SUMIFS(po_qty,po_ref,A939,po_status,"&lt;&gt;Annulé"))</f>
        <v/>
      </c>
      <c r="H939" s="74" t="str">
        <f>IF(A939="","",SUMIFS(po_rcv,po_ref,A939,po_status,"&lt;&gt;Annulé"))</f>
        <v/>
      </c>
      <c r="I939" s="74" t="str">
        <f>IF(A939="","",SUMIFS(po_rest,po_ref,A939,po_key,"&gt;0"))</f>
        <v/>
      </c>
      <c r="J939" s="70" t="str">
        <f>IF(A939="","",IF(COUNTIFS(po_ref,A939,po_status,"&lt;&gt;Annulé")=0,"",INDEX(po_price,SUMPRODUCT(MAX((po_ref=A939)*(po_status&lt;&gt;"Annulé")*(ROW(po_ref)-5))))))</f>
        <v/>
      </c>
      <c r="K939" s="67" t="str">
        <f>IF(A939="","",IF(COUNTIF(art_ref,A939)&gt;1,"Référence en double",IF(B939="","Désignation manquante",IF(NOT(ISNUMBER(D939)),"Prix manquant",IF(E939="","TVA manquante",IF(ISNA(MATCH(E939,p_tva,0)),"Taux de TVA inconnu",IF(AND(F939&lt;&gt;"",ISNA(MATCH(F939,sup_code,0))),"Fournisseur inconnu","OK")))))))</f>
        <v/>
      </c>
    </row>
    <row r="940">
      <c r="A940" s="63" t="n"/>
      <c r="B940" s="63" t="n"/>
      <c r="C940" s="65" t="n"/>
      <c r="D940" s="69" t="n"/>
      <c r="E940" s="71" t="n"/>
      <c r="F940" s="65" t="n"/>
      <c r="G940" s="74" t="str">
        <f>IF(A940="","",SUMIFS(po_qty,po_ref,A940,po_status,"&lt;&gt;Annulé"))</f>
        <v/>
      </c>
      <c r="H940" s="74" t="str">
        <f>IF(A940="","",SUMIFS(po_rcv,po_ref,A940,po_status,"&lt;&gt;Annulé"))</f>
        <v/>
      </c>
      <c r="I940" s="74" t="str">
        <f>IF(A940="","",SUMIFS(po_rest,po_ref,A940,po_key,"&gt;0"))</f>
        <v/>
      </c>
      <c r="J940" s="70" t="str">
        <f>IF(A940="","",IF(COUNTIFS(po_ref,A940,po_status,"&lt;&gt;Annulé")=0,"",INDEX(po_price,SUMPRODUCT(MAX((po_ref=A940)*(po_status&lt;&gt;"Annulé")*(ROW(po_ref)-5))))))</f>
        <v/>
      </c>
      <c r="K940" s="67" t="str">
        <f>IF(A940="","",IF(COUNTIF(art_ref,A940)&gt;1,"Référence en double",IF(B940="","Désignation manquante",IF(NOT(ISNUMBER(D940)),"Prix manquant",IF(E940="","TVA manquante",IF(ISNA(MATCH(E940,p_tva,0)),"Taux de TVA inconnu",IF(AND(F940&lt;&gt;"",ISNA(MATCH(F940,sup_code,0))),"Fournisseur inconnu","OK")))))))</f>
        <v/>
      </c>
    </row>
    <row r="941">
      <c r="A941" s="63" t="n"/>
      <c r="B941" s="63" t="n"/>
      <c r="C941" s="65" t="n"/>
      <c r="D941" s="69" t="n"/>
      <c r="E941" s="71" t="n"/>
      <c r="F941" s="65" t="n"/>
      <c r="G941" s="74" t="str">
        <f>IF(A941="","",SUMIFS(po_qty,po_ref,A941,po_status,"&lt;&gt;Annulé"))</f>
        <v/>
      </c>
      <c r="H941" s="74" t="str">
        <f>IF(A941="","",SUMIFS(po_rcv,po_ref,A941,po_status,"&lt;&gt;Annulé"))</f>
        <v/>
      </c>
      <c r="I941" s="74" t="str">
        <f>IF(A941="","",SUMIFS(po_rest,po_ref,A941,po_key,"&gt;0"))</f>
        <v/>
      </c>
      <c r="J941" s="70" t="str">
        <f>IF(A941="","",IF(COUNTIFS(po_ref,A941,po_status,"&lt;&gt;Annulé")=0,"",INDEX(po_price,SUMPRODUCT(MAX((po_ref=A941)*(po_status&lt;&gt;"Annulé")*(ROW(po_ref)-5))))))</f>
        <v/>
      </c>
      <c r="K941" s="67" t="str">
        <f>IF(A941="","",IF(COUNTIF(art_ref,A941)&gt;1,"Référence en double",IF(B941="","Désignation manquante",IF(NOT(ISNUMBER(D941)),"Prix manquant",IF(E941="","TVA manquante",IF(ISNA(MATCH(E941,p_tva,0)),"Taux de TVA inconnu",IF(AND(F941&lt;&gt;"",ISNA(MATCH(F941,sup_code,0))),"Fournisseur inconnu","OK")))))))</f>
        <v/>
      </c>
    </row>
    <row r="942">
      <c r="A942" s="63" t="n"/>
      <c r="B942" s="63" t="n"/>
      <c r="C942" s="65" t="n"/>
      <c r="D942" s="69" t="n"/>
      <c r="E942" s="71" t="n"/>
      <c r="F942" s="65" t="n"/>
      <c r="G942" s="74" t="str">
        <f>IF(A942="","",SUMIFS(po_qty,po_ref,A942,po_status,"&lt;&gt;Annulé"))</f>
        <v/>
      </c>
      <c r="H942" s="74" t="str">
        <f>IF(A942="","",SUMIFS(po_rcv,po_ref,A942,po_status,"&lt;&gt;Annulé"))</f>
        <v/>
      </c>
      <c r="I942" s="74" t="str">
        <f>IF(A942="","",SUMIFS(po_rest,po_ref,A942,po_key,"&gt;0"))</f>
        <v/>
      </c>
      <c r="J942" s="70" t="str">
        <f>IF(A942="","",IF(COUNTIFS(po_ref,A942,po_status,"&lt;&gt;Annulé")=0,"",INDEX(po_price,SUMPRODUCT(MAX((po_ref=A942)*(po_status&lt;&gt;"Annulé")*(ROW(po_ref)-5))))))</f>
        <v/>
      </c>
      <c r="K942" s="67" t="str">
        <f>IF(A942="","",IF(COUNTIF(art_ref,A942)&gt;1,"Référence en double",IF(B942="","Désignation manquante",IF(NOT(ISNUMBER(D942)),"Prix manquant",IF(E942="","TVA manquante",IF(ISNA(MATCH(E942,p_tva,0)),"Taux de TVA inconnu",IF(AND(F942&lt;&gt;"",ISNA(MATCH(F942,sup_code,0))),"Fournisseur inconnu","OK")))))))</f>
        <v/>
      </c>
    </row>
    <row r="943">
      <c r="A943" s="63" t="n"/>
      <c r="B943" s="63" t="n"/>
      <c r="C943" s="65" t="n"/>
      <c r="D943" s="69" t="n"/>
      <c r="E943" s="71" t="n"/>
      <c r="F943" s="65" t="n"/>
      <c r="G943" s="74" t="str">
        <f>IF(A943="","",SUMIFS(po_qty,po_ref,A943,po_status,"&lt;&gt;Annulé"))</f>
        <v/>
      </c>
      <c r="H943" s="74" t="str">
        <f>IF(A943="","",SUMIFS(po_rcv,po_ref,A943,po_status,"&lt;&gt;Annulé"))</f>
        <v/>
      </c>
      <c r="I943" s="74" t="str">
        <f>IF(A943="","",SUMIFS(po_rest,po_ref,A943,po_key,"&gt;0"))</f>
        <v/>
      </c>
      <c r="J943" s="70" t="str">
        <f>IF(A943="","",IF(COUNTIFS(po_ref,A943,po_status,"&lt;&gt;Annulé")=0,"",INDEX(po_price,SUMPRODUCT(MAX((po_ref=A943)*(po_status&lt;&gt;"Annulé")*(ROW(po_ref)-5))))))</f>
        <v/>
      </c>
      <c r="K943" s="67" t="str">
        <f>IF(A943="","",IF(COUNTIF(art_ref,A943)&gt;1,"Référence en double",IF(B943="","Désignation manquante",IF(NOT(ISNUMBER(D943)),"Prix manquant",IF(E943="","TVA manquante",IF(ISNA(MATCH(E943,p_tva,0)),"Taux de TVA inconnu",IF(AND(F943&lt;&gt;"",ISNA(MATCH(F943,sup_code,0))),"Fournisseur inconnu","OK")))))))</f>
        <v/>
      </c>
    </row>
    <row r="944">
      <c r="A944" s="63" t="n"/>
      <c r="B944" s="63" t="n"/>
      <c r="C944" s="65" t="n"/>
      <c r="D944" s="69" t="n"/>
      <c r="E944" s="71" t="n"/>
      <c r="F944" s="65" t="n"/>
      <c r="G944" s="74" t="str">
        <f>IF(A944="","",SUMIFS(po_qty,po_ref,A944,po_status,"&lt;&gt;Annulé"))</f>
        <v/>
      </c>
      <c r="H944" s="74" t="str">
        <f>IF(A944="","",SUMIFS(po_rcv,po_ref,A944,po_status,"&lt;&gt;Annulé"))</f>
        <v/>
      </c>
      <c r="I944" s="74" t="str">
        <f>IF(A944="","",SUMIFS(po_rest,po_ref,A944,po_key,"&gt;0"))</f>
        <v/>
      </c>
      <c r="J944" s="70" t="str">
        <f>IF(A944="","",IF(COUNTIFS(po_ref,A944,po_status,"&lt;&gt;Annulé")=0,"",INDEX(po_price,SUMPRODUCT(MAX((po_ref=A944)*(po_status&lt;&gt;"Annulé")*(ROW(po_ref)-5))))))</f>
        <v/>
      </c>
      <c r="K944" s="67" t="str">
        <f>IF(A944="","",IF(COUNTIF(art_ref,A944)&gt;1,"Référence en double",IF(B944="","Désignation manquante",IF(NOT(ISNUMBER(D944)),"Prix manquant",IF(E944="","TVA manquante",IF(ISNA(MATCH(E944,p_tva,0)),"Taux de TVA inconnu",IF(AND(F944&lt;&gt;"",ISNA(MATCH(F944,sup_code,0))),"Fournisseur inconnu","OK")))))))</f>
        <v/>
      </c>
    </row>
    <row r="945">
      <c r="A945" s="63" t="n"/>
      <c r="B945" s="63" t="n"/>
      <c r="C945" s="65" t="n"/>
      <c r="D945" s="69" t="n"/>
      <c r="E945" s="71" t="n"/>
      <c r="F945" s="65" t="n"/>
      <c r="G945" s="74" t="str">
        <f>IF(A945="","",SUMIFS(po_qty,po_ref,A945,po_status,"&lt;&gt;Annulé"))</f>
        <v/>
      </c>
      <c r="H945" s="74" t="str">
        <f>IF(A945="","",SUMIFS(po_rcv,po_ref,A945,po_status,"&lt;&gt;Annulé"))</f>
        <v/>
      </c>
      <c r="I945" s="74" t="str">
        <f>IF(A945="","",SUMIFS(po_rest,po_ref,A945,po_key,"&gt;0"))</f>
        <v/>
      </c>
      <c r="J945" s="70" t="str">
        <f>IF(A945="","",IF(COUNTIFS(po_ref,A945,po_status,"&lt;&gt;Annulé")=0,"",INDEX(po_price,SUMPRODUCT(MAX((po_ref=A945)*(po_status&lt;&gt;"Annulé")*(ROW(po_ref)-5))))))</f>
        <v/>
      </c>
      <c r="K945" s="67" t="str">
        <f>IF(A945="","",IF(COUNTIF(art_ref,A945)&gt;1,"Référence en double",IF(B945="","Désignation manquante",IF(NOT(ISNUMBER(D945)),"Prix manquant",IF(E945="","TVA manquante",IF(ISNA(MATCH(E945,p_tva,0)),"Taux de TVA inconnu",IF(AND(F945&lt;&gt;"",ISNA(MATCH(F945,sup_code,0))),"Fournisseur inconnu","OK")))))))</f>
        <v/>
      </c>
    </row>
    <row r="946">
      <c r="A946" s="63" t="n"/>
      <c r="B946" s="63" t="n"/>
      <c r="C946" s="65" t="n"/>
      <c r="D946" s="69" t="n"/>
      <c r="E946" s="71" t="n"/>
      <c r="F946" s="65" t="n"/>
      <c r="G946" s="74" t="str">
        <f>IF(A946="","",SUMIFS(po_qty,po_ref,A946,po_status,"&lt;&gt;Annulé"))</f>
        <v/>
      </c>
      <c r="H946" s="74" t="str">
        <f>IF(A946="","",SUMIFS(po_rcv,po_ref,A946,po_status,"&lt;&gt;Annulé"))</f>
        <v/>
      </c>
      <c r="I946" s="74" t="str">
        <f>IF(A946="","",SUMIFS(po_rest,po_ref,A946,po_key,"&gt;0"))</f>
        <v/>
      </c>
      <c r="J946" s="70" t="str">
        <f>IF(A946="","",IF(COUNTIFS(po_ref,A946,po_status,"&lt;&gt;Annulé")=0,"",INDEX(po_price,SUMPRODUCT(MAX((po_ref=A946)*(po_status&lt;&gt;"Annulé")*(ROW(po_ref)-5))))))</f>
        <v/>
      </c>
      <c r="K946" s="67" t="str">
        <f>IF(A946="","",IF(COUNTIF(art_ref,A946)&gt;1,"Référence en double",IF(B946="","Désignation manquante",IF(NOT(ISNUMBER(D946)),"Prix manquant",IF(E946="","TVA manquante",IF(ISNA(MATCH(E946,p_tva,0)),"Taux de TVA inconnu",IF(AND(F946&lt;&gt;"",ISNA(MATCH(F946,sup_code,0))),"Fournisseur inconnu","OK")))))))</f>
        <v/>
      </c>
    </row>
    <row r="947">
      <c r="A947" s="63" t="n"/>
      <c r="B947" s="63" t="n"/>
      <c r="C947" s="65" t="n"/>
      <c r="D947" s="69" t="n"/>
      <c r="E947" s="71" t="n"/>
      <c r="F947" s="65" t="n"/>
      <c r="G947" s="74" t="str">
        <f>IF(A947="","",SUMIFS(po_qty,po_ref,A947,po_status,"&lt;&gt;Annulé"))</f>
        <v/>
      </c>
      <c r="H947" s="74" t="str">
        <f>IF(A947="","",SUMIFS(po_rcv,po_ref,A947,po_status,"&lt;&gt;Annulé"))</f>
        <v/>
      </c>
      <c r="I947" s="74" t="str">
        <f>IF(A947="","",SUMIFS(po_rest,po_ref,A947,po_key,"&gt;0"))</f>
        <v/>
      </c>
      <c r="J947" s="70" t="str">
        <f>IF(A947="","",IF(COUNTIFS(po_ref,A947,po_status,"&lt;&gt;Annulé")=0,"",INDEX(po_price,SUMPRODUCT(MAX((po_ref=A947)*(po_status&lt;&gt;"Annulé")*(ROW(po_ref)-5))))))</f>
        <v/>
      </c>
      <c r="K947" s="67" t="str">
        <f>IF(A947="","",IF(COUNTIF(art_ref,A947)&gt;1,"Référence en double",IF(B947="","Désignation manquante",IF(NOT(ISNUMBER(D947)),"Prix manquant",IF(E947="","TVA manquante",IF(ISNA(MATCH(E947,p_tva,0)),"Taux de TVA inconnu",IF(AND(F947&lt;&gt;"",ISNA(MATCH(F947,sup_code,0))),"Fournisseur inconnu","OK")))))))</f>
        <v/>
      </c>
    </row>
    <row r="948">
      <c r="A948" s="63" t="n"/>
      <c r="B948" s="63" t="n"/>
      <c r="C948" s="65" t="n"/>
      <c r="D948" s="69" t="n"/>
      <c r="E948" s="71" t="n"/>
      <c r="F948" s="65" t="n"/>
      <c r="G948" s="74" t="str">
        <f>IF(A948="","",SUMIFS(po_qty,po_ref,A948,po_status,"&lt;&gt;Annulé"))</f>
        <v/>
      </c>
      <c r="H948" s="74" t="str">
        <f>IF(A948="","",SUMIFS(po_rcv,po_ref,A948,po_status,"&lt;&gt;Annulé"))</f>
        <v/>
      </c>
      <c r="I948" s="74" t="str">
        <f>IF(A948="","",SUMIFS(po_rest,po_ref,A948,po_key,"&gt;0"))</f>
        <v/>
      </c>
      <c r="J948" s="70" t="str">
        <f>IF(A948="","",IF(COUNTIFS(po_ref,A948,po_status,"&lt;&gt;Annulé")=0,"",INDEX(po_price,SUMPRODUCT(MAX((po_ref=A948)*(po_status&lt;&gt;"Annulé")*(ROW(po_ref)-5))))))</f>
        <v/>
      </c>
      <c r="K948" s="67" t="str">
        <f>IF(A948="","",IF(COUNTIF(art_ref,A948)&gt;1,"Référence en double",IF(B948="","Désignation manquante",IF(NOT(ISNUMBER(D948)),"Prix manquant",IF(E948="","TVA manquante",IF(ISNA(MATCH(E948,p_tva,0)),"Taux de TVA inconnu",IF(AND(F948&lt;&gt;"",ISNA(MATCH(F948,sup_code,0))),"Fournisseur inconnu","OK")))))))</f>
        <v/>
      </c>
    </row>
    <row r="949">
      <c r="A949" s="63" t="n"/>
      <c r="B949" s="63" t="n"/>
      <c r="C949" s="65" t="n"/>
      <c r="D949" s="69" t="n"/>
      <c r="E949" s="71" t="n"/>
      <c r="F949" s="65" t="n"/>
      <c r="G949" s="74" t="str">
        <f>IF(A949="","",SUMIFS(po_qty,po_ref,A949,po_status,"&lt;&gt;Annulé"))</f>
        <v/>
      </c>
      <c r="H949" s="74" t="str">
        <f>IF(A949="","",SUMIFS(po_rcv,po_ref,A949,po_status,"&lt;&gt;Annulé"))</f>
        <v/>
      </c>
      <c r="I949" s="74" t="str">
        <f>IF(A949="","",SUMIFS(po_rest,po_ref,A949,po_key,"&gt;0"))</f>
        <v/>
      </c>
      <c r="J949" s="70" t="str">
        <f>IF(A949="","",IF(COUNTIFS(po_ref,A949,po_status,"&lt;&gt;Annulé")=0,"",INDEX(po_price,SUMPRODUCT(MAX((po_ref=A949)*(po_status&lt;&gt;"Annulé")*(ROW(po_ref)-5))))))</f>
        <v/>
      </c>
      <c r="K949" s="67" t="str">
        <f>IF(A949="","",IF(COUNTIF(art_ref,A949)&gt;1,"Référence en double",IF(B949="","Désignation manquante",IF(NOT(ISNUMBER(D949)),"Prix manquant",IF(E949="","TVA manquante",IF(ISNA(MATCH(E949,p_tva,0)),"Taux de TVA inconnu",IF(AND(F949&lt;&gt;"",ISNA(MATCH(F949,sup_code,0))),"Fournisseur inconnu","OK")))))))</f>
        <v/>
      </c>
    </row>
    <row r="950">
      <c r="A950" s="63" t="n"/>
      <c r="B950" s="63" t="n"/>
      <c r="C950" s="65" t="n"/>
      <c r="D950" s="69" t="n"/>
      <c r="E950" s="71" t="n"/>
      <c r="F950" s="65" t="n"/>
      <c r="G950" s="74" t="str">
        <f>IF(A950="","",SUMIFS(po_qty,po_ref,A950,po_status,"&lt;&gt;Annulé"))</f>
        <v/>
      </c>
      <c r="H950" s="74" t="str">
        <f>IF(A950="","",SUMIFS(po_rcv,po_ref,A950,po_status,"&lt;&gt;Annulé"))</f>
        <v/>
      </c>
      <c r="I950" s="74" t="str">
        <f>IF(A950="","",SUMIFS(po_rest,po_ref,A950,po_key,"&gt;0"))</f>
        <v/>
      </c>
      <c r="J950" s="70" t="str">
        <f>IF(A950="","",IF(COUNTIFS(po_ref,A950,po_status,"&lt;&gt;Annulé")=0,"",INDEX(po_price,SUMPRODUCT(MAX((po_ref=A950)*(po_status&lt;&gt;"Annulé")*(ROW(po_ref)-5))))))</f>
        <v/>
      </c>
      <c r="K950" s="67" t="str">
        <f>IF(A950="","",IF(COUNTIF(art_ref,A950)&gt;1,"Référence en double",IF(B950="","Désignation manquante",IF(NOT(ISNUMBER(D950)),"Prix manquant",IF(E950="","TVA manquante",IF(ISNA(MATCH(E950,p_tva,0)),"Taux de TVA inconnu",IF(AND(F950&lt;&gt;"",ISNA(MATCH(F950,sup_code,0))),"Fournisseur inconnu","OK")))))))</f>
        <v/>
      </c>
    </row>
    <row r="951">
      <c r="A951" s="63" t="n"/>
      <c r="B951" s="63" t="n"/>
      <c r="C951" s="65" t="n"/>
      <c r="D951" s="69" t="n"/>
      <c r="E951" s="71" t="n"/>
      <c r="F951" s="65" t="n"/>
      <c r="G951" s="74" t="str">
        <f>IF(A951="","",SUMIFS(po_qty,po_ref,A951,po_status,"&lt;&gt;Annulé"))</f>
        <v/>
      </c>
      <c r="H951" s="74" t="str">
        <f>IF(A951="","",SUMIFS(po_rcv,po_ref,A951,po_status,"&lt;&gt;Annulé"))</f>
        <v/>
      </c>
      <c r="I951" s="74" t="str">
        <f>IF(A951="","",SUMIFS(po_rest,po_ref,A951,po_key,"&gt;0"))</f>
        <v/>
      </c>
      <c r="J951" s="70" t="str">
        <f>IF(A951="","",IF(COUNTIFS(po_ref,A951,po_status,"&lt;&gt;Annulé")=0,"",INDEX(po_price,SUMPRODUCT(MAX((po_ref=A951)*(po_status&lt;&gt;"Annulé")*(ROW(po_ref)-5))))))</f>
        <v/>
      </c>
      <c r="K951" s="67" t="str">
        <f>IF(A951="","",IF(COUNTIF(art_ref,A951)&gt;1,"Référence en double",IF(B951="","Désignation manquante",IF(NOT(ISNUMBER(D951)),"Prix manquant",IF(E951="","TVA manquante",IF(ISNA(MATCH(E951,p_tva,0)),"Taux de TVA inconnu",IF(AND(F951&lt;&gt;"",ISNA(MATCH(F951,sup_code,0))),"Fournisseur inconnu","OK")))))))</f>
        <v/>
      </c>
    </row>
    <row r="952">
      <c r="A952" s="63" t="n"/>
      <c r="B952" s="63" t="n"/>
      <c r="C952" s="65" t="n"/>
      <c r="D952" s="69" t="n"/>
      <c r="E952" s="71" t="n"/>
      <c r="F952" s="65" t="n"/>
      <c r="G952" s="74" t="str">
        <f>IF(A952="","",SUMIFS(po_qty,po_ref,A952,po_status,"&lt;&gt;Annulé"))</f>
        <v/>
      </c>
      <c r="H952" s="74" t="str">
        <f>IF(A952="","",SUMIFS(po_rcv,po_ref,A952,po_status,"&lt;&gt;Annulé"))</f>
        <v/>
      </c>
      <c r="I952" s="74" t="str">
        <f>IF(A952="","",SUMIFS(po_rest,po_ref,A952,po_key,"&gt;0"))</f>
        <v/>
      </c>
      <c r="J952" s="70" t="str">
        <f>IF(A952="","",IF(COUNTIFS(po_ref,A952,po_status,"&lt;&gt;Annulé")=0,"",INDEX(po_price,SUMPRODUCT(MAX((po_ref=A952)*(po_status&lt;&gt;"Annulé")*(ROW(po_ref)-5))))))</f>
        <v/>
      </c>
      <c r="K952" s="67" t="str">
        <f>IF(A952="","",IF(COUNTIF(art_ref,A952)&gt;1,"Référence en double",IF(B952="","Désignation manquante",IF(NOT(ISNUMBER(D952)),"Prix manquant",IF(E952="","TVA manquante",IF(ISNA(MATCH(E952,p_tva,0)),"Taux de TVA inconnu",IF(AND(F952&lt;&gt;"",ISNA(MATCH(F952,sup_code,0))),"Fournisseur inconnu","OK")))))))</f>
        <v/>
      </c>
    </row>
    <row r="953">
      <c r="A953" s="63" t="n"/>
      <c r="B953" s="63" t="n"/>
      <c r="C953" s="65" t="n"/>
      <c r="D953" s="69" t="n"/>
      <c r="E953" s="71" t="n"/>
      <c r="F953" s="65" t="n"/>
      <c r="G953" s="74" t="str">
        <f>IF(A953="","",SUMIFS(po_qty,po_ref,A953,po_status,"&lt;&gt;Annulé"))</f>
        <v/>
      </c>
      <c r="H953" s="74" t="str">
        <f>IF(A953="","",SUMIFS(po_rcv,po_ref,A953,po_status,"&lt;&gt;Annulé"))</f>
        <v/>
      </c>
      <c r="I953" s="74" t="str">
        <f>IF(A953="","",SUMIFS(po_rest,po_ref,A953,po_key,"&gt;0"))</f>
        <v/>
      </c>
      <c r="J953" s="70" t="str">
        <f>IF(A953="","",IF(COUNTIFS(po_ref,A953,po_status,"&lt;&gt;Annulé")=0,"",INDEX(po_price,SUMPRODUCT(MAX((po_ref=A953)*(po_status&lt;&gt;"Annulé")*(ROW(po_ref)-5))))))</f>
        <v/>
      </c>
      <c r="K953" s="67" t="str">
        <f>IF(A953="","",IF(COUNTIF(art_ref,A953)&gt;1,"Référence en double",IF(B953="","Désignation manquante",IF(NOT(ISNUMBER(D953)),"Prix manquant",IF(E953="","TVA manquante",IF(ISNA(MATCH(E953,p_tva,0)),"Taux de TVA inconnu",IF(AND(F953&lt;&gt;"",ISNA(MATCH(F953,sup_code,0))),"Fournisseur inconnu","OK")))))))</f>
        <v/>
      </c>
    </row>
    <row r="954">
      <c r="A954" s="63" t="n"/>
      <c r="B954" s="63" t="n"/>
      <c r="C954" s="65" t="n"/>
      <c r="D954" s="69" t="n"/>
      <c r="E954" s="71" t="n"/>
      <c r="F954" s="65" t="n"/>
      <c r="G954" s="74" t="str">
        <f>IF(A954="","",SUMIFS(po_qty,po_ref,A954,po_status,"&lt;&gt;Annulé"))</f>
        <v/>
      </c>
      <c r="H954" s="74" t="str">
        <f>IF(A954="","",SUMIFS(po_rcv,po_ref,A954,po_status,"&lt;&gt;Annulé"))</f>
        <v/>
      </c>
      <c r="I954" s="74" t="str">
        <f>IF(A954="","",SUMIFS(po_rest,po_ref,A954,po_key,"&gt;0"))</f>
        <v/>
      </c>
      <c r="J954" s="70" t="str">
        <f>IF(A954="","",IF(COUNTIFS(po_ref,A954,po_status,"&lt;&gt;Annulé")=0,"",INDEX(po_price,SUMPRODUCT(MAX((po_ref=A954)*(po_status&lt;&gt;"Annulé")*(ROW(po_ref)-5))))))</f>
        <v/>
      </c>
      <c r="K954" s="67" t="str">
        <f>IF(A954="","",IF(COUNTIF(art_ref,A954)&gt;1,"Référence en double",IF(B954="","Désignation manquante",IF(NOT(ISNUMBER(D954)),"Prix manquant",IF(E954="","TVA manquante",IF(ISNA(MATCH(E954,p_tva,0)),"Taux de TVA inconnu",IF(AND(F954&lt;&gt;"",ISNA(MATCH(F954,sup_code,0))),"Fournisseur inconnu","OK")))))))</f>
        <v/>
      </c>
    </row>
    <row r="955">
      <c r="A955" s="63" t="n"/>
      <c r="B955" s="63" t="n"/>
      <c r="C955" s="65" t="n"/>
      <c r="D955" s="69" t="n"/>
      <c r="E955" s="71" t="n"/>
      <c r="F955" s="65" t="n"/>
      <c r="G955" s="74" t="str">
        <f>IF(A955="","",SUMIFS(po_qty,po_ref,A955,po_status,"&lt;&gt;Annulé"))</f>
        <v/>
      </c>
      <c r="H955" s="74" t="str">
        <f>IF(A955="","",SUMIFS(po_rcv,po_ref,A955,po_status,"&lt;&gt;Annulé"))</f>
        <v/>
      </c>
      <c r="I955" s="74" t="str">
        <f>IF(A955="","",SUMIFS(po_rest,po_ref,A955,po_key,"&gt;0"))</f>
        <v/>
      </c>
      <c r="J955" s="70" t="str">
        <f>IF(A955="","",IF(COUNTIFS(po_ref,A955,po_status,"&lt;&gt;Annulé")=0,"",INDEX(po_price,SUMPRODUCT(MAX((po_ref=A955)*(po_status&lt;&gt;"Annulé")*(ROW(po_ref)-5))))))</f>
        <v/>
      </c>
      <c r="K955" s="67" t="str">
        <f>IF(A955="","",IF(COUNTIF(art_ref,A955)&gt;1,"Référence en double",IF(B955="","Désignation manquante",IF(NOT(ISNUMBER(D955)),"Prix manquant",IF(E955="","TVA manquante",IF(ISNA(MATCH(E955,p_tva,0)),"Taux de TVA inconnu",IF(AND(F955&lt;&gt;"",ISNA(MATCH(F955,sup_code,0))),"Fournisseur inconnu","OK")))))))</f>
        <v/>
      </c>
    </row>
    <row r="956">
      <c r="A956" s="63" t="n"/>
      <c r="B956" s="63" t="n"/>
      <c r="C956" s="65" t="n"/>
      <c r="D956" s="69" t="n"/>
      <c r="E956" s="71" t="n"/>
      <c r="F956" s="65" t="n"/>
      <c r="G956" s="74" t="str">
        <f>IF(A956="","",SUMIFS(po_qty,po_ref,A956,po_status,"&lt;&gt;Annulé"))</f>
        <v/>
      </c>
      <c r="H956" s="74" t="str">
        <f>IF(A956="","",SUMIFS(po_rcv,po_ref,A956,po_status,"&lt;&gt;Annulé"))</f>
        <v/>
      </c>
      <c r="I956" s="74" t="str">
        <f>IF(A956="","",SUMIFS(po_rest,po_ref,A956,po_key,"&gt;0"))</f>
        <v/>
      </c>
      <c r="J956" s="70" t="str">
        <f>IF(A956="","",IF(COUNTIFS(po_ref,A956,po_status,"&lt;&gt;Annulé")=0,"",INDEX(po_price,SUMPRODUCT(MAX((po_ref=A956)*(po_status&lt;&gt;"Annulé")*(ROW(po_ref)-5))))))</f>
        <v/>
      </c>
      <c r="K956" s="67" t="str">
        <f>IF(A956="","",IF(COUNTIF(art_ref,A956)&gt;1,"Référence en double",IF(B956="","Désignation manquante",IF(NOT(ISNUMBER(D956)),"Prix manquant",IF(E956="","TVA manquante",IF(ISNA(MATCH(E956,p_tva,0)),"Taux de TVA inconnu",IF(AND(F956&lt;&gt;"",ISNA(MATCH(F956,sup_code,0))),"Fournisseur inconnu","OK")))))))</f>
        <v/>
      </c>
    </row>
    <row r="957">
      <c r="A957" s="63" t="n"/>
      <c r="B957" s="63" t="n"/>
      <c r="C957" s="65" t="n"/>
      <c r="D957" s="69" t="n"/>
      <c r="E957" s="71" t="n"/>
      <c r="F957" s="65" t="n"/>
      <c r="G957" s="74" t="str">
        <f>IF(A957="","",SUMIFS(po_qty,po_ref,A957,po_status,"&lt;&gt;Annulé"))</f>
        <v/>
      </c>
      <c r="H957" s="74" t="str">
        <f>IF(A957="","",SUMIFS(po_rcv,po_ref,A957,po_status,"&lt;&gt;Annulé"))</f>
        <v/>
      </c>
      <c r="I957" s="74" t="str">
        <f>IF(A957="","",SUMIFS(po_rest,po_ref,A957,po_key,"&gt;0"))</f>
        <v/>
      </c>
      <c r="J957" s="70" t="str">
        <f>IF(A957="","",IF(COUNTIFS(po_ref,A957,po_status,"&lt;&gt;Annulé")=0,"",INDEX(po_price,SUMPRODUCT(MAX((po_ref=A957)*(po_status&lt;&gt;"Annulé")*(ROW(po_ref)-5))))))</f>
        <v/>
      </c>
      <c r="K957" s="67" t="str">
        <f>IF(A957="","",IF(COUNTIF(art_ref,A957)&gt;1,"Référence en double",IF(B957="","Désignation manquante",IF(NOT(ISNUMBER(D957)),"Prix manquant",IF(E957="","TVA manquante",IF(ISNA(MATCH(E957,p_tva,0)),"Taux de TVA inconnu",IF(AND(F957&lt;&gt;"",ISNA(MATCH(F957,sup_code,0))),"Fournisseur inconnu","OK")))))))</f>
        <v/>
      </c>
    </row>
    <row r="958">
      <c r="A958" s="63" t="n"/>
      <c r="B958" s="63" t="n"/>
      <c r="C958" s="65" t="n"/>
      <c r="D958" s="69" t="n"/>
      <c r="E958" s="71" t="n"/>
      <c r="F958" s="65" t="n"/>
      <c r="G958" s="74" t="str">
        <f>IF(A958="","",SUMIFS(po_qty,po_ref,A958,po_status,"&lt;&gt;Annulé"))</f>
        <v/>
      </c>
      <c r="H958" s="74" t="str">
        <f>IF(A958="","",SUMIFS(po_rcv,po_ref,A958,po_status,"&lt;&gt;Annulé"))</f>
        <v/>
      </c>
      <c r="I958" s="74" t="str">
        <f>IF(A958="","",SUMIFS(po_rest,po_ref,A958,po_key,"&gt;0"))</f>
        <v/>
      </c>
      <c r="J958" s="70" t="str">
        <f>IF(A958="","",IF(COUNTIFS(po_ref,A958,po_status,"&lt;&gt;Annulé")=0,"",INDEX(po_price,SUMPRODUCT(MAX((po_ref=A958)*(po_status&lt;&gt;"Annulé")*(ROW(po_ref)-5))))))</f>
        <v/>
      </c>
      <c r="K958" s="67" t="str">
        <f>IF(A958="","",IF(COUNTIF(art_ref,A958)&gt;1,"Référence en double",IF(B958="","Désignation manquante",IF(NOT(ISNUMBER(D958)),"Prix manquant",IF(E958="","TVA manquante",IF(ISNA(MATCH(E958,p_tva,0)),"Taux de TVA inconnu",IF(AND(F958&lt;&gt;"",ISNA(MATCH(F958,sup_code,0))),"Fournisseur inconnu","OK")))))))</f>
        <v/>
      </c>
    </row>
    <row r="959">
      <c r="A959" s="63" t="n"/>
      <c r="B959" s="63" t="n"/>
      <c r="C959" s="65" t="n"/>
      <c r="D959" s="69" t="n"/>
      <c r="E959" s="71" t="n"/>
      <c r="F959" s="65" t="n"/>
      <c r="G959" s="74" t="str">
        <f>IF(A959="","",SUMIFS(po_qty,po_ref,A959,po_status,"&lt;&gt;Annulé"))</f>
        <v/>
      </c>
      <c r="H959" s="74" t="str">
        <f>IF(A959="","",SUMIFS(po_rcv,po_ref,A959,po_status,"&lt;&gt;Annulé"))</f>
        <v/>
      </c>
      <c r="I959" s="74" t="str">
        <f>IF(A959="","",SUMIFS(po_rest,po_ref,A959,po_key,"&gt;0"))</f>
        <v/>
      </c>
      <c r="J959" s="70" t="str">
        <f>IF(A959="","",IF(COUNTIFS(po_ref,A959,po_status,"&lt;&gt;Annulé")=0,"",INDEX(po_price,SUMPRODUCT(MAX((po_ref=A959)*(po_status&lt;&gt;"Annulé")*(ROW(po_ref)-5))))))</f>
        <v/>
      </c>
      <c r="K959" s="67" t="str">
        <f>IF(A959="","",IF(COUNTIF(art_ref,A959)&gt;1,"Référence en double",IF(B959="","Désignation manquante",IF(NOT(ISNUMBER(D959)),"Prix manquant",IF(E959="","TVA manquante",IF(ISNA(MATCH(E959,p_tva,0)),"Taux de TVA inconnu",IF(AND(F959&lt;&gt;"",ISNA(MATCH(F959,sup_code,0))),"Fournisseur inconnu","OK")))))))</f>
        <v/>
      </c>
    </row>
    <row r="960">
      <c r="A960" s="63" t="n"/>
      <c r="B960" s="63" t="n"/>
      <c r="C960" s="65" t="n"/>
      <c r="D960" s="69" t="n"/>
      <c r="E960" s="71" t="n"/>
      <c r="F960" s="65" t="n"/>
      <c r="G960" s="74" t="str">
        <f>IF(A960="","",SUMIFS(po_qty,po_ref,A960,po_status,"&lt;&gt;Annulé"))</f>
        <v/>
      </c>
      <c r="H960" s="74" t="str">
        <f>IF(A960="","",SUMIFS(po_rcv,po_ref,A960,po_status,"&lt;&gt;Annulé"))</f>
        <v/>
      </c>
      <c r="I960" s="74" t="str">
        <f>IF(A960="","",SUMIFS(po_rest,po_ref,A960,po_key,"&gt;0"))</f>
        <v/>
      </c>
      <c r="J960" s="70" t="str">
        <f>IF(A960="","",IF(COUNTIFS(po_ref,A960,po_status,"&lt;&gt;Annulé")=0,"",INDEX(po_price,SUMPRODUCT(MAX((po_ref=A960)*(po_status&lt;&gt;"Annulé")*(ROW(po_ref)-5))))))</f>
        <v/>
      </c>
      <c r="K960" s="67" t="str">
        <f>IF(A960="","",IF(COUNTIF(art_ref,A960)&gt;1,"Référence en double",IF(B960="","Désignation manquante",IF(NOT(ISNUMBER(D960)),"Prix manquant",IF(E960="","TVA manquante",IF(ISNA(MATCH(E960,p_tva,0)),"Taux de TVA inconnu",IF(AND(F960&lt;&gt;"",ISNA(MATCH(F960,sup_code,0))),"Fournisseur inconnu","OK")))))))</f>
        <v/>
      </c>
    </row>
    <row r="961">
      <c r="A961" s="63" t="n"/>
      <c r="B961" s="63" t="n"/>
      <c r="C961" s="65" t="n"/>
      <c r="D961" s="69" t="n"/>
      <c r="E961" s="71" t="n"/>
      <c r="F961" s="65" t="n"/>
      <c r="G961" s="74" t="str">
        <f>IF(A961="","",SUMIFS(po_qty,po_ref,A961,po_status,"&lt;&gt;Annulé"))</f>
        <v/>
      </c>
      <c r="H961" s="74" t="str">
        <f>IF(A961="","",SUMIFS(po_rcv,po_ref,A961,po_status,"&lt;&gt;Annulé"))</f>
        <v/>
      </c>
      <c r="I961" s="74" t="str">
        <f>IF(A961="","",SUMIFS(po_rest,po_ref,A961,po_key,"&gt;0"))</f>
        <v/>
      </c>
      <c r="J961" s="70" t="str">
        <f>IF(A961="","",IF(COUNTIFS(po_ref,A961,po_status,"&lt;&gt;Annulé")=0,"",INDEX(po_price,SUMPRODUCT(MAX((po_ref=A961)*(po_status&lt;&gt;"Annulé")*(ROW(po_ref)-5))))))</f>
        <v/>
      </c>
      <c r="K961" s="67" t="str">
        <f>IF(A961="","",IF(COUNTIF(art_ref,A961)&gt;1,"Référence en double",IF(B961="","Désignation manquante",IF(NOT(ISNUMBER(D961)),"Prix manquant",IF(E961="","TVA manquante",IF(ISNA(MATCH(E961,p_tva,0)),"Taux de TVA inconnu",IF(AND(F961&lt;&gt;"",ISNA(MATCH(F961,sup_code,0))),"Fournisseur inconnu","OK")))))))</f>
        <v/>
      </c>
    </row>
    <row r="962">
      <c r="A962" s="63" t="n"/>
      <c r="B962" s="63" t="n"/>
      <c r="C962" s="65" t="n"/>
      <c r="D962" s="69" t="n"/>
      <c r="E962" s="71" t="n"/>
      <c r="F962" s="65" t="n"/>
      <c r="G962" s="74" t="str">
        <f>IF(A962="","",SUMIFS(po_qty,po_ref,A962,po_status,"&lt;&gt;Annulé"))</f>
        <v/>
      </c>
      <c r="H962" s="74" t="str">
        <f>IF(A962="","",SUMIFS(po_rcv,po_ref,A962,po_status,"&lt;&gt;Annulé"))</f>
        <v/>
      </c>
      <c r="I962" s="74" t="str">
        <f>IF(A962="","",SUMIFS(po_rest,po_ref,A962,po_key,"&gt;0"))</f>
        <v/>
      </c>
      <c r="J962" s="70" t="str">
        <f>IF(A962="","",IF(COUNTIFS(po_ref,A962,po_status,"&lt;&gt;Annulé")=0,"",INDEX(po_price,SUMPRODUCT(MAX((po_ref=A962)*(po_status&lt;&gt;"Annulé")*(ROW(po_ref)-5))))))</f>
        <v/>
      </c>
      <c r="K962" s="67" t="str">
        <f>IF(A962="","",IF(COUNTIF(art_ref,A962)&gt;1,"Référence en double",IF(B962="","Désignation manquante",IF(NOT(ISNUMBER(D962)),"Prix manquant",IF(E962="","TVA manquante",IF(ISNA(MATCH(E962,p_tva,0)),"Taux de TVA inconnu",IF(AND(F962&lt;&gt;"",ISNA(MATCH(F962,sup_code,0))),"Fournisseur inconnu","OK")))))))</f>
        <v/>
      </c>
    </row>
    <row r="963">
      <c r="A963" s="63" t="n"/>
      <c r="B963" s="63" t="n"/>
      <c r="C963" s="65" t="n"/>
      <c r="D963" s="69" t="n"/>
      <c r="E963" s="71" t="n"/>
      <c r="F963" s="65" t="n"/>
      <c r="G963" s="74" t="str">
        <f>IF(A963="","",SUMIFS(po_qty,po_ref,A963,po_status,"&lt;&gt;Annulé"))</f>
        <v/>
      </c>
      <c r="H963" s="74" t="str">
        <f>IF(A963="","",SUMIFS(po_rcv,po_ref,A963,po_status,"&lt;&gt;Annulé"))</f>
        <v/>
      </c>
      <c r="I963" s="74" t="str">
        <f>IF(A963="","",SUMIFS(po_rest,po_ref,A963,po_key,"&gt;0"))</f>
        <v/>
      </c>
      <c r="J963" s="70" t="str">
        <f>IF(A963="","",IF(COUNTIFS(po_ref,A963,po_status,"&lt;&gt;Annulé")=0,"",INDEX(po_price,SUMPRODUCT(MAX((po_ref=A963)*(po_status&lt;&gt;"Annulé")*(ROW(po_ref)-5))))))</f>
        <v/>
      </c>
      <c r="K963" s="67" t="str">
        <f>IF(A963="","",IF(COUNTIF(art_ref,A963)&gt;1,"Référence en double",IF(B963="","Désignation manquante",IF(NOT(ISNUMBER(D963)),"Prix manquant",IF(E963="","TVA manquante",IF(ISNA(MATCH(E963,p_tva,0)),"Taux de TVA inconnu",IF(AND(F963&lt;&gt;"",ISNA(MATCH(F963,sup_code,0))),"Fournisseur inconnu","OK")))))))</f>
        <v/>
      </c>
    </row>
    <row r="964">
      <c r="A964" s="63" t="n"/>
      <c r="B964" s="63" t="n"/>
      <c r="C964" s="65" t="n"/>
      <c r="D964" s="69" t="n"/>
      <c r="E964" s="71" t="n"/>
      <c r="F964" s="65" t="n"/>
      <c r="G964" s="74" t="str">
        <f>IF(A964="","",SUMIFS(po_qty,po_ref,A964,po_status,"&lt;&gt;Annulé"))</f>
        <v/>
      </c>
      <c r="H964" s="74" t="str">
        <f>IF(A964="","",SUMIFS(po_rcv,po_ref,A964,po_status,"&lt;&gt;Annulé"))</f>
        <v/>
      </c>
      <c r="I964" s="74" t="str">
        <f>IF(A964="","",SUMIFS(po_rest,po_ref,A964,po_key,"&gt;0"))</f>
        <v/>
      </c>
      <c r="J964" s="70" t="str">
        <f>IF(A964="","",IF(COUNTIFS(po_ref,A964,po_status,"&lt;&gt;Annulé")=0,"",INDEX(po_price,SUMPRODUCT(MAX((po_ref=A964)*(po_status&lt;&gt;"Annulé")*(ROW(po_ref)-5))))))</f>
        <v/>
      </c>
      <c r="K964" s="67" t="str">
        <f>IF(A964="","",IF(COUNTIF(art_ref,A964)&gt;1,"Référence en double",IF(B964="","Désignation manquante",IF(NOT(ISNUMBER(D964)),"Prix manquant",IF(E964="","TVA manquante",IF(ISNA(MATCH(E964,p_tva,0)),"Taux de TVA inconnu",IF(AND(F964&lt;&gt;"",ISNA(MATCH(F964,sup_code,0))),"Fournisseur inconnu","OK")))))))</f>
        <v/>
      </c>
    </row>
    <row r="965">
      <c r="A965" s="63" t="n"/>
      <c r="B965" s="63" t="n"/>
      <c r="C965" s="65" t="n"/>
      <c r="D965" s="69" t="n"/>
      <c r="E965" s="71" t="n"/>
      <c r="F965" s="65" t="n"/>
      <c r="G965" s="74" t="str">
        <f>IF(A965="","",SUMIFS(po_qty,po_ref,A965,po_status,"&lt;&gt;Annulé"))</f>
        <v/>
      </c>
      <c r="H965" s="74" t="str">
        <f>IF(A965="","",SUMIFS(po_rcv,po_ref,A965,po_status,"&lt;&gt;Annulé"))</f>
        <v/>
      </c>
      <c r="I965" s="74" t="str">
        <f>IF(A965="","",SUMIFS(po_rest,po_ref,A965,po_key,"&gt;0"))</f>
        <v/>
      </c>
      <c r="J965" s="70" t="str">
        <f>IF(A965="","",IF(COUNTIFS(po_ref,A965,po_status,"&lt;&gt;Annulé")=0,"",INDEX(po_price,SUMPRODUCT(MAX((po_ref=A965)*(po_status&lt;&gt;"Annulé")*(ROW(po_ref)-5))))))</f>
        <v/>
      </c>
      <c r="K965" s="67" t="str">
        <f>IF(A965="","",IF(COUNTIF(art_ref,A965)&gt;1,"Référence en double",IF(B965="","Désignation manquante",IF(NOT(ISNUMBER(D965)),"Prix manquant",IF(E965="","TVA manquante",IF(ISNA(MATCH(E965,p_tva,0)),"Taux de TVA inconnu",IF(AND(F965&lt;&gt;"",ISNA(MATCH(F965,sup_code,0))),"Fournisseur inconnu","OK")))))))</f>
        <v/>
      </c>
    </row>
    <row r="966">
      <c r="A966" s="63" t="n"/>
      <c r="B966" s="63" t="n"/>
      <c r="C966" s="65" t="n"/>
      <c r="D966" s="69" t="n"/>
      <c r="E966" s="71" t="n"/>
      <c r="F966" s="65" t="n"/>
      <c r="G966" s="74" t="str">
        <f>IF(A966="","",SUMIFS(po_qty,po_ref,A966,po_status,"&lt;&gt;Annulé"))</f>
        <v/>
      </c>
      <c r="H966" s="74" t="str">
        <f>IF(A966="","",SUMIFS(po_rcv,po_ref,A966,po_status,"&lt;&gt;Annulé"))</f>
        <v/>
      </c>
      <c r="I966" s="74" t="str">
        <f>IF(A966="","",SUMIFS(po_rest,po_ref,A966,po_key,"&gt;0"))</f>
        <v/>
      </c>
      <c r="J966" s="70" t="str">
        <f>IF(A966="","",IF(COUNTIFS(po_ref,A966,po_status,"&lt;&gt;Annulé")=0,"",INDEX(po_price,SUMPRODUCT(MAX((po_ref=A966)*(po_status&lt;&gt;"Annulé")*(ROW(po_ref)-5))))))</f>
        <v/>
      </c>
      <c r="K966" s="67" t="str">
        <f>IF(A966="","",IF(COUNTIF(art_ref,A966)&gt;1,"Référence en double",IF(B966="","Désignation manquante",IF(NOT(ISNUMBER(D966)),"Prix manquant",IF(E966="","TVA manquante",IF(ISNA(MATCH(E966,p_tva,0)),"Taux de TVA inconnu",IF(AND(F966&lt;&gt;"",ISNA(MATCH(F966,sup_code,0))),"Fournisseur inconnu","OK")))))))</f>
        <v/>
      </c>
    </row>
    <row r="967">
      <c r="A967" s="63" t="n"/>
      <c r="B967" s="63" t="n"/>
      <c r="C967" s="65" t="n"/>
      <c r="D967" s="69" t="n"/>
      <c r="E967" s="71" t="n"/>
      <c r="F967" s="65" t="n"/>
      <c r="G967" s="74" t="str">
        <f>IF(A967="","",SUMIFS(po_qty,po_ref,A967,po_status,"&lt;&gt;Annulé"))</f>
        <v/>
      </c>
      <c r="H967" s="74" t="str">
        <f>IF(A967="","",SUMIFS(po_rcv,po_ref,A967,po_status,"&lt;&gt;Annulé"))</f>
        <v/>
      </c>
      <c r="I967" s="74" t="str">
        <f>IF(A967="","",SUMIFS(po_rest,po_ref,A967,po_key,"&gt;0"))</f>
        <v/>
      </c>
      <c r="J967" s="70" t="str">
        <f>IF(A967="","",IF(COUNTIFS(po_ref,A967,po_status,"&lt;&gt;Annulé")=0,"",INDEX(po_price,SUMPRODUCT(MAX((po_ref=A967)*(po_status&lt;&gt;"Annulé")*(ROW(po_ref)-5))))))</f>
        <v/>
      </c>
      <c r="K967" s="67" t="str">
        <f>IF(A967="","",IF(COUNTIF(art_ref,A967)&gt;1,"Référence en double",IF(B967="","Désignation manquante",IF(NOT(ISNUMBER(D967)),"Prix manquant",IF(E967="","TVA manquante",IF(ISNA(MATCH(E967,p_tva,0)),"Taux de TVA inconnu",IF(AND(F967&lt;&gt;"",ISNA(MATCH(F967,sup_code,0))),"Fournisseur inconnu","OK")))))))</f>
        <v/>
      </c>
    </row>
    <row r="968">
      <c r="A968" s="63" t="n"/>
      <c r="B968" s="63" t="n"/>
      <c r="C968" s="65" t="n"/>
      <c r="D968" s="69" t="n"/>
      <c r="E968" s="71" t="n"/>
      <c r="F968" s="65" t="n"/>
      <c r="G968" s="74" t="str">
        <f>IF(A968="","",SUMIFS(po_qty,po_ref,A968,po_status,"&lt;&gt;Annulé"))</f>
        <v/>
      </c>
      <c r="H968" s="74" t="str">
        <f>IF(A968="","",SUMIFS(po_rcv,po_ref,A968,po_status,"&lt;&gt;Annulé"))</f>
        <v/>
      </c>
      <c r="I968" s="74" t="str">
        <f>IF(A968="","",SUMIFS(po_rest,po_ref,A968,po_key,"&gt;0"))</f>
        <v/>
      </c>
      <c r="J968" s="70" t="str">
        <f>IF(A968="","",IF(COUNTIFS(po_ref,A968,po_status,"&lt;&gt;Annulé")=0,"",INDEX(po_price,SUMPRODUCT(MAX((po_ref=A968)*(po_status&lt;&gt;"Annulé")*(ROW(po_ref)-5))))))</f>
        <v/>
      </c>
      <c r="K968" s="67" t="str">
        <f>IF(A968="","",IF(COUNTIF(art_ref,A968)&gt;1,"Référence en double",IF(B968="","Désignation manquante",IF(NOT(ISNUMBER(D968)),"Prix manquant",IF(E968="","TVA manquante",IF(ISNA(MATCH(E968,p_tva,0)),"Taux de TVA inconnu",IF(AND(F968&lt;&gt;"",ISNA(MATCH(F968,sup_code,0))),"Fournisseur inconnu","OK")))))))</f>
        <v/>
      </c>
    </row>
    <row r="969">
      <c r="A969" s="63" t="n"/>
      <c r="B969" s="63" t="n"/>
      <c r="C969" s="65" t="n"/>
      <c r="D969" s="69" t="n"/>
      <c r="E969" s="71" t="n"/>
      <c r="F969" s="65" t="n"/>
      <c r="G969" s="74" t="str">
        <f>IF(A969="","",SUMIFS(po_qty,po_ref,A969,po_status,"&lt;&gt;Annulé"))</f>
        <v/>
      </c>
      <c r="H969" s="74" t="str">
        <f>IF(A969="","",SUMIFS(po_rcv,po_ref,A969,po_status,"&lt;&gt;Annulé"))</f>
        <v/>
      </c>
      <c r="I969" s="74" t="str">
        <f>IF(A969="","",SUMIFS(po_rest,po_ref,A969,po_key,"&gt;0"))</f>
        <v/>
      </c>
      <c r="J969" s="70" t="str">
        <f>IF(A969="","",IF(COUNTIFS(po_ref,A969,po_status,"&lt;&gt;Annulé")=0,"",INDEX(po_price,SUMPRODUCT(MAX((po_ref=A969)*(po_status&lt;&gt;"Annulé")*(ROW(po_ref)-5))))))</f>
        <v/>
      </c>
      <c r="K969" s="67" t="str">
        <f>IF(A969="","",IF(COUNTIF(art_ref,A969)&gt;1,"Référence en double",IF(B969="","Désignation manquante",IF(NOT(ISNUMBER(D969)),"Prix manquant",IF(E969="","TVA manquante",IF(ISNA(MATCH(E969,p_tva,0)),"Taux de TVA inconnu",IF(AND(F969&lt;&gt;"",ISNA(MATCH(F969,sup_code,0))),"Fournisseur inconnu","OK")))))))</f>
        <v/>
      </c>
    </row>
    <row r="970">
      <c r="A970" s="63" t="n"/>
      <c r="B970" s="63" t="n"/>
      <c r="C970" s="65" t="n"/>
      <c r="D970" s="69" t="n"/>
      <c r="E970" s="71" t="n"/>
      <c r="F970" s="65" t="n"/>
      <c r="G970" s="74" t="str">
        <f>IF(A970="","",SUMIFS(po_qty,po_ref,A970,po_status,"&lt;&gt;Annulé"))</f>
        <v/>
      </c>
      <c r="H970" s="74" t="str">
        <f>IF(A970="","",SUMIFS(po_rcv,po_ref,A970,po_status,"&lt;&gt;Annulé"))</f>
        <v/>
      </c>
      <c r="I970" s="74" t="str">
        <f>IF(A970="","",SUMIFS(po_rest,po_ref,A970,po_key,"&gt;0"))</f>
        <v/>
      </c>
      <c r="J970" s="70" t="str">
        <f>IF(A970="","",IF(COUNTIFS(po_ref,A970,po_status,"&lt;&gt;Annulé")=0,"",INDEX(po_price,SUMPRODUCT(MAX((po_ref=A970)*(po_status&lt;&gt;"Annulé")*(ROW(po_ref)-5))))))</f>
        <v/>
      </c>
      <c r="K970" s="67" t="str">
        <f>IF(A970="","",IF(COUNTIF(art_ref,A970)&gt;1,"Référence en double",IF(B970="","Désignation manquante",IF(NOT(ISNUMBER(D970)),"Prix manquant",IF(E970="","TVA manquante",IF(ISNA(MATCH(E970,p_tva,0)),"Taux de TVA inconnu",IF(AND(F970&lt;&gt;"",ISNA(MATCH(F970,sup_code,0))),"Fournisseur inconnu","OK")))))))</f>
        <v/>
      </c>
    </row>
    <row r="971">
      <c r="A971" s="63" t="n"/>
      <c r="B971" s="63" t="n"/>
      <c r="C971" s="65" t="n"/>
      <c r="D971" s="69" t="n"/>
      <c r="E971" s="71" t="n"/>
      <c r="F971" s="65" t="n"/>
      <c r="G971" s="74" t="str">
        <f>IF(A971="","",SUMIFS(po_qty,po_ref,A971,po_status,"&lt;&gt;Annulé"))</f>
        <v/>
      </c>
      <c r="H971" s="74" t="str">
        <f>IF(A971="","",SUMIFS(po_rcv,po_ref,A971,po_status,"&lt;&gt;Annulé"))</f>
        <v/>
      </c>
      <c r="I971" s="74" t="str">
        <f>IF(A971="","",SUMIFS(po_rest,po_ref,A971,po_key,"&gt;0"))</f>
        <v/>
      </c>
      <c r="J971" s="70" t="str">
        <f>IF(A971="","",IF(COUNTIFS(po_ref,A971,po_status,"&lt;&gt;Annulé")=0,"",INDEX(po_price,SUMPRODUCT(MAX((po_ref=A971)*(po_status&lt;&gt;"Annulé")*(ROW(po_ref)-5))))))</f>
        <v/>
      </c>
      <c r="K971" s="67" t="str">
        <f>IF(A971="","",IF(COUNTIF(art_ref,A971)&gt;1,"Référence en double",IF(B971="","Désignation manquante",IF(NOT(ISNUMBER(D971)),"Prix manquant",IF(E971="","TVA manquante",IF(ISNA(MATCH(E971,p_tva,0)),"Taux de TVA inconnu",IF(AND(F971&lt;&gt;"",ISNA(MATCH(F971,sup_code,0))),"Fournisseur inconnu","OK")))))))</f>
        <v/>
      </c>
    </row>
    <row r="972">
      <c r="A972" s="63" t="n"/>
      <c r="B972" s="63" t="n"/>
      <c r="C972" s="65" t="n"/>
      <c r="D972" s="69" t="n"/>
      <c r="E972" s="71" t="n"/>
      <c r="F972" s="65" t="n"/>
      <c r="G972" s="74" t="str">
        <f>IF(A972="","",SUMIFS(po_qty,po_ref,A972,po_status,"&lt;&gt;Annulé"))</f>
        <v/>
      </c>
      <c r="H972" s="74" t="str">
        <f>IF(A972="","",SUMIFS(po_rcv,po_ref,A972,po_status,"&lt;&gt;Annulé"))</f>
        <v/>
      </c>
      <c r="I972" s="74" t="str">
        <f>IF(A972="","",SUMIFS(po_rest,po_ref,A972,po_key,"&gt;0"))</f>
        <v/>
      </c>
      <c r="J972" s="70" t="str">
        <f>IF(A972="","",IF(COUNTIFS(po_ref,A972,po_status,"&lt;&gt;Annulé")=0,"",INDEX(po_price,SUMPRODUCT(MAX((po_ref=A972)*(po_status&lt;&gt;"Annulé")*(ROW(po_ref)-5))))))</f>
        <v/>
      </c>
      <c r="K972" s="67" t="str">
        <f>IF(A972="","",IF(COUNTIF(art_ref,A972)&gt;1,"Référence en double",IF(B972="","Désignation manquante",IF(NOT(ISNUMBER(D972)),"Prix manquant",IF(E972="","TVA manquante",IF(ISNA(MATCH(E972,p_tva,0)),"Taux de TVA inconnu",IF(AND(F972&lt;&gt;"",ISNA(MATCH(F972,sup_code,0))),"Fournisseur inconnu","OK")))))))</f>
        <v/>
      </c>
    </row>
    <row r="973">
      <c r="A973" s="63" t="n"/>
      <c r="B973" s="63" t="n"/>
      <c r="C973" s="65" t="n"/>
      <c r="D973" s="69" t="n"/>
      <c r="E973" s="71" t="n"/>
      <c r="F973" s="65" t="n"/>
      <c r="G973" s="74" t="str">
        <f>IF(A973="","",SUMIFS(po_qty,po_ref,A973,po_status,"&lt;&gt;Annulé"))</f>
        <v/>
      </c>
      <c r="H973" s="74" t="str">
        <f>IF(A973="","",SUMIFS(po_rcv,po_ref,A973,po_status,"&lt;&gt;Annulé"))</f>
        <v/>
      </c>
      <c r="I973" s="74" t="str">
        <f>IF(A973="","",SUMIFS(po_rest,po_ref,A973,po_key,"&gt;0"))</f>
        <v/>
      </c>
      <c r="J973" s="70" t="str">
        <f>IF(A973="","",IF(COUNTIFS(po_ref,A973,po_status,"&lt;&gt;Annulé")=0,"",INDEX(po_price,SUMPRODUCT(MAX((po_ref=A973)*(po_status&lt;&gt;"Annulé")*(ROW(po_ref)-5))))))</f>
        <v/>
      </c>
      <c r="K973" s="67" t="str">
        <f>IF(A973="","",IF(COUNTIF(art_ref,A973)&gt;1,"Référence en double",IF(B973="","Désignation manquante",IF(NOT(ISNUMBER(D973)),"Prix manquant",IF(E973="","TVA manquante",IF(ISNA(MATCH(E973,p_tva,0)),"Taux de TVA inconnu",IF(AND(F973&lt;&gt;"",ISNA(MATCH(F973,sup_code,0))),"Fournisseur inconnu","OK")))))))</f>
        <v/>
      </c>
    </row>
    <row r="974">
      <c r="A974" s="63" t="n"/>
      <c r="B974" s="63" t="n"/>
      <c r="C974" s="65" t="n"/>
      <c r="D974" s="69" t="n"/>
      <c r="E974" s="71" t="n"/>
      <c r="F974" s="65" t="n"/>
      <c r="G974" s="74" t="str">
        <f>IF(A974="","",SUMIFS(po_qty,po_ref,A974,po_status,"&lt;&gt;Annulé"))</f>
        <v/>
      </c>
      <c r="H974" s="74" t="str">
        <f>IF(A974="","",SUMIFS(po_rcv,po_ref,A974,po_status,"&lt;&gt;Annulé"))</f>
        <v/>
      </c>
      <c r="I974" s="74" t="str">
        <f>IF(A974="","",SUMIFS(po_rest,po_ref,A974,po_key,"&gt;0"))</f>
        <v/>
      </c>
      <c r="J974" s="70" t="str">
        <f>IF(A974="","",IF(COUNTIFS(po_ref,A974,po_status,"&lt;&gt;Annulé")=0,"",INDEX(po_price,SUMPRODUCT(MAX((po_ref=A974)*(po_status&lt;&gt;"Annulé")*(ROW(po_ref)-5))))))</f>
        <v/>
      </c>
      <c r="K974" s="67" t="str">
        <f>IF(A974="","",IF(COUNTIF(art_ref,A974)&gt;1,"Référence en double",IF(B974="","Désignation manquante",IF(NOT(ISNUMBER(D974)),"Prix manquant",IF(E974="","TVA manquante",IF(ISNA(MATCH(E974,p_tva,0)),"Taux de TVA inconnu",IF(AND(F974&lt;&gt;"",ISNA(MATCH(F974,sup_code,0))),"Fournisseur inconnu","OK")))))))</f>
        <v/>
      </c>
    </row>
    <row r="975">
      <c r="A975" s="63" t="n"/>
      <c r="B975" s="63" t="n"/>
      <c r="C975" s="65" t="n"/>
      <c r="D975" s="69" t="n"/>
      <c r="E975" s="71" t="n"/>
      <c r="F975" s="65" t="n"/>
      <c r="G975" s="74" t="str">
        <f>IF(A975="","",SUMIFS(po_qty,po_ref,A975,po_status,"&lt;&gt;Annulé"))</f>
        <v/>
      </c>
      <c r="H975" s="74" t="str">
        <f>IF(A975="","",SUMIFS(po_rcv,po_ref,A975,po_status,"&lt;&gt;Annulé"))</f>
        <v/>
      </c>
      <c r="I975" s="74" t="str">
        <f>IF(A975="","",SUMIFS(po_rest,po_ref,A975,po_key,"&gt;0"))</f>
        <v/>
      </c>
      <c r="J975" s="70" t="str">
        <f>IF(A975="","",IF(COUNTIFS(po_ref,A975,po_status,"&lt;&gt;Annulé")=0,"",INDEX(po_price,SUMPRODUCT(MAX((po_ref=A975)*(po_status&lt;&gt;"Annulé")*(ROW(po_ref)-5))))))</f>
        <v/>
      </c>
      <c r="K975" s="67" t="str">
        <f>IF(A975="","",IF(COUNTIF(art_ref,A975)&gt;1,"Référence en double",IF(B975="","Désignation manquante",IF(NOT(ISNUMBER(D975)),"Prix manquant",IF(E975="","TVA manquante",IF(ISNA(MATCH(E975,p_tva,0)),"Taux de TVA inconnu",IF(AND(F975&lt;&gt;"",ISNA(MATCH(F975,sup_code,0))),"Fournisseur inconnu","OK")))))))</f>
        <v/>
      </c>
    </row>
    <row r="976">
      <c r="A976" s="63" t="n"/>
      <c r="B976" s="63" t="n"/>
      <c r="C976" s="65" t="n"/>
      <c r="D976" s="69" t="n"/>
      <c r="E976" s="71" t="n"/>
      <c r="F976" s="65" t="n"/>
      <c r="G976" s="74" t="str">
        <f>IF(A976="","",SUMIFS(po_qty,po_ref,A976,po_status,"&lt;&gt;Annulé"))</f>
        <v/>
      </c>
      <c r="H976" s="74" t="str">
        <f>IF(A976="","",SUMIFS(po_rcv,po_ref,A976,po_status,"&lt;&gt;Annulé"))</f>
        <v/>
      </c>
      <c r="I976" s="74" t="str">
        <f>IF(A976="","",SUMIFS(po_rest,po_ref,A976,po_key,"&gt;0"))</f>
        <v/>
      </c>
      <c r="J976" s="70" t="str">
        <f>IF(A976="","",IF(COUNTIFS(po_ref,A976,po_status,"&lt;&gt;Annulé")=0,"",INDEX(po_price,SUMPRODUCT(MAX((po_ref=A976)*(po_status&lt;&gt;"Annulé")*(ROW(po_ref)-5))))))</f>
        <v/>
      </c>
      <c r="K976" s="67" t="str">
        <f>IF(A976="","",IF(COUNTIF(art_ref,A976)&gt;1,"Référence en double",IF(B976="","Désignation manquante",IF(NOT(ISNUMBER(D976)),"Prix manquant",IF(E976="","TVA manquante",IF(ISNA(MATCH(E976,p_tva,0)),"Taux de TVA inconnu",IF(AND(F976&lt;&gt;"",ISNA(MATCH(F976,sup_code,0))),"Fournisseur inconnu","OK")))))))</f>
        <v/>
      </c>
    </row>
    <row r="977">
      <c r="A977" s="63" t="n"/>
      <c r="B977" s="63" t="n"/>
      <c r="C977" s="65" t="n"/>
      <c r="D977" s="69" t="n"/>
      <c r="E977" s="71" t="n"/>
      <c r="F977" s="65" t="n"/>
      <c r="G977" s="74" t="str">
        <f>IF(A977="","",SUMIFS(po_qty,po_ref,A977,po_status,"&lt;&gt;Annulé"))</f>
        <v/>
      </c>
      <c r="H977" s="74" t="str">
        <f>IF(A977="","",SUMIFS(po_rcv,po_ref,A977,po_status,"&lt;&gt;Annulé"))</f>
        <v/>
      </c>
      <c r="I977" s="74" t="str">
        <f>IF(A977="","",SUMIFS(po_rest,po_ref,A977,po_key,"&gt;0"))</f>
        <v/>
      </c>
      <c r="J977" s="70" t="str">
        <f>IF(A977="","",IF(COUNTIFS(po_ref,A977,po_status,"&lt;&gt;Annulé")=0,"",INDEX(po_price,SUMPRODUCT(MAX((po_ref=A977)*(po_status&lt;&gt;"Annulé")*(ROW(po_ref)-5))))))</f>
        <v/>
      </c>
      <c r="K977" s="67" t="str">
        <f>IF(A977="","",IF(COUNTIF(art_ref,A977)&gt;1,"Référence en double",IF(B977="","Désignation manquante",IF(NOT(ISNUMBER(D977)),"Prix manquant",IF(E977="","TVA manquante",IF(ISNA(MATCH(E977,p_tva,0)),"Taux de TVA inconnu",IF(AND(F977&lt;&gt;"",ISNA(MATCH(F977,sup_code,0))),"Fournisseur inconnu","OK")))))))</f>
        <v/>
      </c>
    </row>
    <row r="978">
      <c r="A978" s="63" t="n"/>
      <c r="B978" s="63" t="n"/>
      <c r="C978" s="65" t="n"/>
      <c r="D978" s="69" t="n"/>
      <c r="E978" s="71" t="n"/>
      <c r="F978" s="65" t="n"/>
      <c r="G978" s="74" t="str">
        <f>IF(A978="","",SUMIFS(po_qty,po_ref,A978,po_status,"&lt;&gt;Annulé"))</f>
        <v/>
      </c>
      <c r="H978" s="74" t="str">
        <f>IF(A978="","",SUMIFS(po_rcv,po_ref,A978,po_status,"&lt;&gt;Annulé"))</f>
        <v/>
      </c>
      <c r="I978" s="74" t="str">
        <f>IF(A978="","",SUMIFS(po_rest,po_ref,A978,po_key,"&gt;0"))</f>
        <v/>
      </c>
      <c r="J978" s="70" t="str">
        <f>IF(A978="","",IF(COUNTIFS(po_ref,A978,po_status,"&lt;&gt;Annulé")=0,"",INDEX(po_price,SUMPRODUCT(MAX((po_ref=A978)*(po_status&lt;&gt;"Annulé")*(ROW(po_ref)-5))))))</f>
        <v/>
      </c>
      <c r="K978" s="67" t="str">
        <f>IF(A978="","",IF(COUNTIF(art_ref,A978)&gt;1,"Référence en double",IF(B978="","Désignation manquante",IF(NOT(ISNUMBER(D978)),"Prix manquant",IF(E978="","TVA manquante",IF(ISNA(MATCH(E978,p_tva,0)),"Taux de TVA inconnu",IF(AND(F978&lt;&gt;"",ISNA(MATCH(F978,sup_code,0))),"Fournisseur inconnu","OK")))))))</f>
        <v/>
      </c>
    </row>
    <row r="979">
      <c r="A979" s="63" t="n"/>
      <c r="B979" s="63" t="n"/>
      <c r="C979" s="65" t="n"/>
      <c r="D979" s="69" t="n"/>
      <c r="E979" s="71" t="n"/>
      <c r="F979" s="65" t="n"/>
      <c r="G979" s="74" t="str">
        <f>IF(A979="","",SUMIFS(po_qty,po_ref,A979,po_status,"&lt;&gt;Annulé"))</f>
        <v/>
      </c>
      <c r="H979" s="74" t="str">
        <f>IF(A979="","",SUMIFS(po_rcv,po_ref,A979,po_status,"&lt;&gt;Annulé"))</f>
        <v/>
      </c>
      <c r="I979" s="74" t="str">
        <f>IF(A979="","",SUMIFS(po_rest,po_ref,A979,po_key,"&gt;0"))</f>
        <v/>
      </c>
      <c r="J979" s="70" t="str">
        <f>IF(A979="","",IF(COUNTIFS(po_ref,A979,po_status,"&lt;&gt;Annulé")=0,"",INDEX(po_price,SUMPRODUCT(MAX((po_ref=A979)*(po_status&lt;&gt;"Annulé")*(ROW(po_ref)-5))))))</f>
        <v/>
      </c>
      <c r="K979" s="67" t="str">
        <f>IF(A979="","",IF(COUNTIF(art_ref,A979)&gt;1,"Référence en double",IF(B979="","Désignation manquante",IF(NOT(ISNUMBER(D979)),"Prix manquant",IF(E979="","TVA manquante",IF(ISNA(MATCH(E979,p_tva,0)),"Taux de TVA inconnu",IF(AND(F979&lt;&gt;"",ISNA(MATCH(F979,sup_code,0))),"Fournisseur inconnu","OK")))))))</f>
        <v/>
      </c>
    </row>
    <row r="980">
      <c r="A980" s="63" t="n"/>
      <c r="B980" s="63" t="n"/>
      <c r="C980" s="65" t="n"/>
      <c r="D980" s="69" t="n"/>
      <c r="E980" s="71" t="n"/>
      <c r="F980" s="65" t="n"/>
      <c r="G980" s="74" t="str">
        <f>IF(A980="","",SUMIFS(po_qty,po_ref,A980,po_status,"&lt;&gt;Annulé"))</f>
        <v/>
      </c>
      <c r="H980" s="74" t="str">
        <f>IF(A980="","",SUMIFS(po_rcv,po_ref,A980,po_status,"&lt;&gt;Annulé"))</f>
        <v/>
      </c>
      <c r="I980" s="74" t="str">
        <f>IF(A980="","",SUMIFS(po_rest,po_ref,A980,po_key,"&gt;0"))</f>
        <v/>
      </c>
      <c r="J980" s="70" t="str">
        <f>IF(A980="","",IF(COUNTIFS(po_ref,A980,po_status,"&lt;&gt;Annulé")=0,"",INDEX(po_price,SUMPRODUCT(MAX((po_ref=A980)*(po_status&lt;&gt;"Annulé")*(ROW(po_ref)-5))))))</f>
        <v/>
      </c>
      <c r="K980" s="67" t="str">
        <f>IF(A980="","",IF(COUNTIF(art_ref,A980)&gt;1,"Référence en double",IF(B980="","Désignation manquante",IF(NOT(ISNUMBER(D980)),"Prix manquant",IF(E980="","TVA manquante",IF(ISNA(MATCH(E980,p_tva,0)),"Taux de TVA inconnu",IF(AND(F980&lt;&gt;"",ISNA(MATCH(F980,sup_code,0))),"Fournisseur inconnu","OK")))))))</f>
        <v/>
      </c>
    </row>
    <row r="981">
      <c r="A981" s="63" t="n"/>
      <c r="B981" s="63" t="n"/>
      <c r="C981" s="65" t="n"/>
      <c r="D981" s="69" t="n"/>
      <c r="E981" s="71" t="n"/>
      <c r="F981" s="65" t="n"/>
      <c r="G981" s="74" t="str">
        <f>IF(A981="","",SUMIFS(po_qty,po_ref,A981,po_status,"&lt;&gt;Annulé"))</f>
        <v/>
      </c>
      <c r="H981" s="74" t="str">
        <f>IF(A981="","",SUMIFS(po_rcv,po_ref,A981,po_status,"&lt;&gt;Annulé"))</f>
        <v/>
      </c>
      <c r="I981" s="74" t="str">
        <f>IF(A981="","",SUMIFS(po_rest,po_ref,A981,po_key,"&gt;0"))</f>
        <v/>
      </c>
      <c r="J981" s="70" t="str">
        <f>IF(A981="","",IF(COUNTIFS(po_ref,A981,po_status,"&lt;&gt;Annulé")=0,"",INDEX(po_price,SUMPRODUCT(MAX((po_ref=A981)*(po_status&lt;&gt;"Annulé")*(ROW(po_ref)-5))))))</f>
        <v/>
      </c>
      <c r="K981" s="67" t="str">
        <f>IF(A981="","",IF(COUNTIF(art_ref,A981)&gt;1,"Référence en double",IF(B981="","Désignation manquante",IF(NOT(ISNUMBER(D981)),"Prix manquant",IF(E981="","TVA manquante",IF(ISNA(MATCH(E981,p_tva,0)),"Taux de TVA inconnu",IF(AND(F981&lt;&gt;"",ISNA(MATCH(F981,sup_code,0))),"Fournisseur inconnu","OK")))))))</f>
        <v/>
      </c>
    </row>
    <row r="982">
      <c r="A982" s="63" t="n"/>
      <c r="B982" s="63" t="n"/>
      <c r="C982" s="65" t="n"/>
      <c r="D982" s="69" t="n"/>
      <c r="E982" s="71" t="n"/>
      <c r="F982" s="65" t="n"/>
      <c r="G982" s="74" t="str">
        <f>IF(A982="","",SUMIFS(po_qty,po_ref,A982,po_status,"&lt;&gt;Annulé"))</f>
        <v/>
      </c>
      <c r="H982" s="74" t="str">
        <f>IF(A982="","",SUMIFS(po_rcv,po_ref,A982,po_status,"&lt;&gt;Annulé"))</f>
        <v/>
      </c>
      <c r="I982" s="74" t="str">
        <f>IF(A982="","",SUMIFS(po_rest,po_ref,A982,po_key,"&gt;0"))</f>
        <v/>
      </c>
      <c r="J982" s="70" t="str">
        <f>IF(A982="","",IF(COUNTIFS(po_ref,A982,po_status,"&lt;&gt;Annulé")=0,"",INDEX(po_price,SUMPRODUCT(MAX((po_ref=A982)*(po_status&lt;&gt;"Annulé")*(ROW(po_ref)-5))))))</f>
        <v/>
      </c>
      <c r="K982" s="67" t="str">
        <f>IF(A982="","",IF(COUNTIF(art_ref,A982)&gt;1,"Référence en double",IF(B982="","Désignation manquante",IF(NOT(ISNUMBER(D982)),"Prix manquant",IF(E982="","TVA manquante",IF(ISNA(MATCH(E982,p_tva,0)),"Taux de TVA inconnu",IF(AND(F982&lt;&gt;"",ISNA(MATCH(F982,sup_code,0))),"Fournisseur inconnu","OK")))))))</f>
        <v/>
      </c>
    </row>
    <row r="983">
      <c r="A983" s="63" t="n"/>
      <c r="B983" s="63" t="n"/>
      <c r="C983" s="65" t="n"/>
      <c r="D983" s="69" t="n"/>
      <c r="E983" s="71" t="n"/>
      <c r="F983" s="65" t="n"/>
      <c r="G983" s="74" t="str">
        <f>IF(A983="","",SUMIFS(po_qty,po_ref,A983,po_status,"&lt;&gt;Annulé"))</f>
        <v/>
      </c>
      <c r="H983" s="74" t="str">
        <f>IF(A983="","",SUMIFS(po_rcv,po_ref,A983,po_status,"&lt;&gt;Annulé"))</f>
        <v/>
      </c>
      <c r="I983" s="74" t="str">
        <f>IF(A983="","",SUMIFS(po_rest,po_ref,A983,po_key,"&gt;0"))</f>
        <v/>
      </c>
      <c r="J983" s="70" t="str">
        <f>IF(A983="","",IF(COUNTIFS(po_ref,A983,po_status,"&lt;&gt;Annulé")=0,"",INDEX(po_price,SUMPRODUCT(MAX((po_ref=A983)*(po_status&lt;&gt;"Annulé")*(ROW(po_ref)-5))))))</f>
        <v/>
      </c>
      <c r="K983" s="67" t="str">
        <f>IF(A983="","",IF(COUNTIF(art_ref,A983)&gt;1,"Référence en double",IF(B983="","Désignation manquante",IF(NOT(ISNUMBER(D983)),"Prix manquant",IF(E983="","TVA manquante",IF(ISNA(MATCH(E983,p_tva,0)),"Taux de TVA inconnu",IF(AND(F983&lt;&gt;"",ISNA(MATCH(F983,sup_code,0))),"Fournisseur inconnu","OK")))))))</f>
        <v/>
      </c>
    </row>
    <row r="984">
      <c r="A984" s="63" t="n"/>
      <c r="B984" s="63" t="n"/>
      <c r="C984" s="65" t="n"/>
      <c r="D984" s="69" t="n"/>
      <c r="E984" s="71" t="n"/>
      <c r="F984" s="65" t="n"/>
      <c r="G984" s="74" t="str">
        <f>IF(A984="","",SUMIFS(po_qty,po_ref,A984,po_status,"&lt;&gt;Annulé"))</f>
        <v/>
      </c>
      <c r="H984" s="74" t="str">
        <f>IF(A984="","",SUMIFS(po_rcv,po_ref,A984,po_status,"&lt;&gt;Annulé"))</f>
        <v/>
      </c>
      <c r="I984" s="74" t="str">
        <f>IF(A984="","",SUMIFS(po_rest,po_ref,A984,po_key,"&gt;0"))</f>
        <v/>
      </c>
      <c r="J984" s="70" t="str">
        <f>IF(A984="","",IF(COUNTIFS(po_ref,A984,po_status,"&lt;&gt;Annulé")=0,"",INDEX(po_price,SUMPRODUCT(MAX((po_ref=A984)*(po_status&lt;&gt;"Annulé")*(ROW(po_ref)-5))))))</f>
        <v/>
      </c>
      <c r="K984" s="67" t="str">
        <f>IF(A984="","",IF(COUNTIF(art_ref,A984)&gt;1,"Référence en double",IF(B984="","Désignation manquante",IF(NOT(ISNUMBER(D984)),"Prix manquant",IF(E984="","TVA manquante",IF(ISNA(MATCH(E984,p_tva,0)),"Taux de TVA inconnu",IF(AND(F984&lt;&gt;"",ISNA(MATCH(F984,sup_code,0))),"Fournisseur inconnu","OK")))))))</f>
        <v/>
      </c>
    </row>
    <row r="985">
      <c r="A985" s="63" t="n"/>
      <c r="B985" s="63" t="n"/>
      <c r="C985" s="65" t="n"/>
      <c r="D985" s="69" t="n"/>
      <c r="E985" s="71" t="n"/>
      <c r="F985" s="65" t="n"/>
      <c r="G985" s="74" t="str">
        <f>IF(A985="","",SUMIFS(po_qty,po_ref,A985,po_status,"&lt;&gt;Annulé"))</f>
        <v/>
      </c>
      <c r="H985" s="74" t="str">
        <f>IF(A985="","",SUMIFS(po_rcv,po_ref,A985,po_status,"&lt;&gt;Annulé"))</f>
        <v/>
      </c>
      <c r="I985" s="74" t="str">
        <f>IF(A985="","",SUMIFS(po_rest,po_ref,A985,po_key,"&gt;0"))</f>
        <v/>
      </c>
      <c r="J985" s="70" t="str">
        <f>IF(A985="","",IF(COUNTIFS(po_ref,A985,po_status,"&lt;&gt;Annulé")=0,"",INDEX(po_price,SUMPRODUCT(MAX((po_ref=A985)*(po_status&lt;&gt;"Annulé")*(ROW(po_ref)-5))))))</f>
        <v/>
      </c>
      <c r="K985" s="67" t="str">
        <f>IF(A985="","",IF(COUNTIF(art_ref,A985)&gt;1,"Référence en double",IF(B985="","Désignation manquante",IF(NOT(ISNUMBER(D985)),"Prix manquant",IF(E985="","TVA manquante",IF(ISNA(MATCH(E985,p_tva,0)),"Taux de TVA inconnu",IF(AND(F985&lt;&gt;"",ISNA(MATCH(F985,sup_code,0))),"Fournisseur inconnu","OK")))))))</f>
        <v/>
      </c>
    </row>
    <row r="986">
      <c r="A986" s="63" t="n"/>
      <c r="B986" s="63" t="n"/>
      <c r="C986" s="65" t="n"/>
      <c r="D986" s="69" t="n"/>
      <c r="E986" s="71" t="n"/>
      <c r="F986" s="65" t="n"/>
      <c r="G986" s="74" t="str">
        <f>IF(A986="","",SUMIFS(po_qty,po_ref,A986,po_status,"&lt;&gt;Annulé"))</f>
        <v/>
      </c>
      <c r="H986" s="74" t="str">
        <f>IF(A986="","",SUMIFS(po_rcv,po_ref,A986,po_status,"&lt;&gt;Annulé"))</f>
        <v/>
      </c>
      <c r="I986" s="74" t="str">
        <f>IF(A986="","",SUMIFS(po_rest,po_ref,A986,po_key,"&gt;0"))</f>
        <v/>
      </c>
      <c r="J986" s="70" t="str">
        <f>IF(A986="","",IF(COUNTIFS(po_ref,A986,po_status,"&lt;&gt;Annulé")=0,"",INDEX(po_price,SUMPRODUCT(MAX((po_ref=A986)*(po_status&lt;&gt;"Annulé")*(ROW(po_ref)-5))))))</f>
        <v/>
      </c>
      <c r="K986" s="67" t="str">
        <f>IF(A986="","",IF(COUNTIF(art_ref,A986)&gt;1,"Référence en double",IF(B986="","Désignation manquante",IF(NOT(ISNUMBER(D986)),"Prix manquant",IF(E986="","TVA manquante",IF(ISNA(MATCH(E986,p_tva,0)),"Taux de TVA inconnu",IF(AND(F986&lt;&gt;"",ISNA(MATCH(F986,sup_code,0))),"Fournisseur inconnu","OK")))))))</f>
        <v/>
      </c>
    </row>
    <row r="987">
      <c r="A987" s="63" t="n"/>
      <c r="B987" s="63" t="n"/>
      <c r="C987" s="65" t="n"/>
      <c r="D987" s="69" t="n"/>
      <c r="E987" s="71" t="n"/>
      <c r="F987" s="65" t="n"/>
      <c r="G987" s="74" t="str">
        <f>IF(A987="","",SUMIFS(po_qty,po_ref,A987,po_status,"&lt;&gt;Annulé"))</f>
        <v/>
      </c>
      <c r="H987" s="74" t="str">
        <f>IF(A987="","",SUMIFS(po_rcv,po_ref,A987,po_status,"&lt;&gt;Annulé"))</f>
        <v/>
      </c>
      <c r="I987" s="74" t="str">
        <f>IF(A987="","",SUMIFS(po_rest,po_ref,A987,po_key,"&gt;0"))</f>
        <v/>
      </c>
      <c r="J987" s="70" t="str">
        <f>IF(A987="","",IF(COUNTIFS(po_ref,A987,po_status,"&lt;&gt;Annulé")=0,"",INDEX(po_price,SUMPRODUCT(MAX((po_ref=A987)*(po_status&lt;&gt;"Annulé")*(ROW(po_ref)-5))))))</f>
        <v/>
      </c>
      <c r="K987" s="67" t="str">
        <f>IF(A987="","",IF(COUNTIF(art_ref,A987)&gt;1,"Référence en double",IF(B987="","Désignation manquante",IF(NOT(ISNUMBER(D987)),"Prix manquant",IF(E987="","TVA manquante",IF(ISNA(MATCH(E987,p_tva,0)),"Taux de TVA inconnu",IF(AND(F987&lt;&gt;"",ISNA(MATCH(F987,sup_code,0))),"Fournisseur inconnu","OK")))))))</f>
        <v/>
      </c>
    </row>
    <row r="988">
      <c r="A988" s="63" t="n"/>
      <c r="B988" s="63" t="n"/>
      <c r="C988" s="65" t="n"/>
      <c r="D988" s="69" t="n"/>
      <c r="E988" s="71" t="n"/>
      <c r="F988" s="65" t="n"/>
      <c r="G988" s="74" t="str">
        <f>IF(A988="","",SUMIFS(po_qty,po_ref,A988,po_status,"&lt;&gt;Annulé"))</f>
        <v/>
      </c>
      <c r="H988" s="74" t="str">
        <f>IF(A988="","",SUMIFS(po_rcv,po_ref,A988,po_status,"&lt;&gt;Annulé"))</f>
        <v/>
      </c>
      <c r="I988" s="74" t="str">
        <f>IF(A988="","",SUMIFS(po_rest,po_ref,A988,po_key,"&gt;0"))</f>
        <v/>
      </c>
      <c r="J988" s="70" t="str">
        <f>IF(A988="","",IF(COUNTIFS(po_ref,A988,po_status,"&lt;&gt;Annulé")=0,"",INDEX(po_price,SUMPRODUCT(MAX((po_ref=A988)*(po_status&lt;&gt;"Annulé")*(ROW(po_ref)-5))))))</f>
        <v/>
      </c>
      <c r="K988" s="67" t="str">
        <f>IF(A988="","",IF(COUNTIF(art_ref,A988)&gt;1,"Référence en double",IF(B988="","Désignation manquante",IF(NOT(ISNUMBER(D988)),"Prix manquant",IF(E988="","TVA manquante",IF(ISNA(MATCH(E988,p_tva,0)),"Taux de TVA inconnu",IF(AND(F988&lt;&gt;"",ISNA(MATCH(F988,sup_code,0))),"Fournisseur inconnu","OK")))))))</f>
        <v/>
      </c>
    </row>
    <row r="989">
      <c r="A989" s="63" t="n"/>
      <c r="B989" s="63" t="n"/>
      <c r="C989" s="65" t="n"/>
      <c r="D989" s="69" t="n"/>
      <c r="E989" s="71" t="n"/>
      <c r="F989" s="65" t="n"/>
      <c r="G989" s="74" t="str">
        <f>IF(A989="","",SUMIFS(po_qty,po_ref,A989,po_status,"&lt;&gt;Annulé"))</f>
        <v/>
      </c>
      <c r="H989" s="74" t="str">
        <f>IF(A989="","",SUMIFS(po_rcv,po_ref,A989,po_status,"&lt;&gt;Annulé"))</f>
        <v/>
      </c>
      <c r="I989" s="74" t="str">
        <f>IF(A989="","",SUMIFS(po_rest,po_ref,A989,po_key,"&gt;0"))</f>
        <v/>
      </c>
      <c r="J989" s="70" t="str">
        <f>IF(A989="","",IF(COUNTIFS(po_ref,A989,po_status,"&lt;&gt;Annulé")=0,"",INDEX(po_price,SUMPRODUCT(MAX((po_ref=A989)*(po_status&lt;&gt;"Annulé")*(ROW(po_ref)-5))))))</f>
        <v/>
      </c>
      <c r="K989" s="67" t="str">
        <f>IF(A989="","",IF(COUNTIF(art_ref,A989)&gt;1,"Référence en double",IF(B989="","Désignation manquante",IF(NOT(ISNUMBER(D989)),"Prix manquant",IF(E989="","TVA manquante",IF(ISNA(MATCH(E989,p_tva,0)),"Taux de TVA inconnu",IF(AND(F989&lt;&gt;"",ISNA(MATCH(F989,sup_code,0))),"Fournisseur inconnu","OK")))))))</f>
        <v/>
      </c>
    </row>
    <row r="990">
      <c r="A990" s="63" t="n"/>
      <c r="B990" s="63" t="n"/>
      <c r="C990" s="65" t="n"/>
      <c r="D990" s="69" t="n"/>
      <c r="E990" s="71" t="n"/>
      <c r="F990" s="65" t="n"/>
      <c r="G990" s="74" t="str">
        <f>IF(A990="","",SUMIFS(po_qty,po_ref,A990,po_status,"&lt;&gt;Annulé"))</f>
        <v/>
      </c>
      <c r="H990" s="74" t="str">
        <f>IF(A990="","",SUMIFS(po_rcv,po_ref,A990,po_status,"&lt;&gt;Annulé"))</f>
        <v/>
      </c>
      <c r="I990" s="74" t="str">
        <f>IF(A990="","",SUMIFS(po_rest,po_ref,A990,po_key,"&gt;0"))</f>
        <v/>
      </c>
      <c r="J990" s="70" t="str">
        <f>IF(A990="","",IF(COUNTIFS(po_ref,A990,po_status,"&lt;&gt;Annulé")=0,"",INDEX(po_price,SUMPRODUCT(MAX((po_ref=A990)*(po_status&lt;&gt;"Annulé")*(ROW(po_ref)-5))))))</f>
        <v/>
      </c>
      <c r="K990" s="67" t="str">
        <f>IF(A990="","",IF(COUNTIF(art_ref,A990)&gt;1,"Référence en double",IF(B990="","Désignation manquante",IF(NOT(ISNUMBER(D990)),"Prix manquant",IF(E990="","TVA manquante",IF(ISNA(MATCH(E990,p_tva,0)),"Taux de TVA inconnu",IF(AND(F990&lt;&gt;"",ISNA(MATCH(F990,sup_code,0))),"Fournisseur inconnu","OK")))))))</f>
        <v/>
      </c>
    </row>
    <row r="991">
      <c r="A991" s="63" t="n"/>
      <c r="B991" s="63" t="n"/>
      <c r="C991" s="65" t="n"/>
      <c r="D991" s="69" t="n"/>
      <c r="E991" s="71" t="n"/>
      <c r="F991" s="65" t="n"/>
      <c r="G991" s="74" t="str">
        <f>IF(A991="","",SUMIFS(po_qty,po_ref,A991,po_status,"&lt;&gt;Annulé"))</f>
        <v/>
      </c>
      <c r="H991" s="74" t="str">
        <f>IF(A991="","",SUMIFS(po_rcv,po_ref,A991,po_status,"&lt;&gt;Annulé"))</f>
        <v/>
      </c>
      <c r="I991" s="74" t="str">
        <f>IF(A991="","",SUMIFS(po_rest,po_ref,A991,po_key,"&gt;0"))</f>
        <v/>
      </c>
      <c r="J991" s="70" t="str">
        <f>IF(A991="","",IF(COUNTIFS(po_ref,A991,po_status,"&lt;&gt;Annulé")=0,"",INDEX(po_price,SUMPRODUCT(MAX((po_ref=A991)*(po_status&lt;&gt;"Annulé")*(ROW(po_ref)-5))))))</f>
        <v/>
      </c>
      <c r="K991" s="67" t="str">
        <f>IF(A991="","",IF(COUNTIF(art_ref,A991)&gt;1,"Référence en double",IF(B991="","Désignation manquante",IF(NOT(ISNUMBER(D991)),"Prix manquant",IF(E991="","TVA manquante",IF(ISNA(MATCH(E991,p_tva,0)),"Taux de TVA inconnu",IF(AND(F991&lt;&gt;"",ISNA(MATCH(F991,sup_code,0))),"Fournisseur inconnu","OK")))))))</f>
        <v/>
      </c>
    </row>
    <row r="992">
      <c r="A992" s="63" t="n"/>
      <c r="B992" s="63" t="n"/>
      <c r="C992" s="65" t="n"/>
      <c r="D992" s="69" t="n"/>
      <c r="E992" s="71" t="n"/>
      <c r="F992" s="65" t="n"/>
      <c r="G992" s="74" t="str">
        <f>IF(A992="","",SUMIFS(po_qty,po_ref,A992,po_status,"&lt;&gt;Annulé"))</f>
        <v/>
      </c>
      <c r="H992" s="74" t="str">
        <f>IF(A992="","",SUMIFS(po_rcv,po_ref,A992,po_status,"&lt;&gt;Annulé"))</f>
        <v/>
      </c>
      <c r="I992" s="74" t="str">
        <f>IF(A992="","",SUMIFS(po_rest,po_ref,A992,po_key,"&gt;0"))</f>
        <v/>
      </c>
      <c r="J992" s="70" t="str">
        <f>IF(A992="","",IF(COUNTIFS(po_ref,A992,po_status,"&lt;&gt;Annulé")=0,"",INDEX(po_price,SUMPRODUCT(MAX((po_ref=A992)*(po_status&lt;&gt;"Annulé")*(ROW(po_ref)-5))))))</f>
        <v/>
      </c>
      <c r="K992" s="67" t="str">
        <f>IF(A992="","",IF(COUNTIF(art_ref,A992)&gt;1,"Référence en double",IF(B992="","Désignation manquante",IF(NOT(ISNUMBER(D992)),"Prix manquant",IF(E992="","TVA manquante",IF(ISNA(MATCH(E992,p_tva,0)),"Taux de TVA inconnu",IF(AND(F992&lt;&gt;"",ISNA(MATCH(F992,sup_code,0))),"Fournisseur inconnu","OK")))))))</f>
        <v/>
      </c>
    </row>
    <row r="993">
      <c r="A993" s="63" t="n"/>
      <c r="B993" s="63" t="n"/>
      <c r="C993" s="65" t="n"/>
      <c r="D993" s="69" t="n"/>
      <c r="E993" s="71" t="n"/>
      <c r="F993" s="65" t="n"/>
      <c r="G993" s="74" t="str">
        <f>IF(A993="","",SUMIFS(po_qty,po_ref,A993,po_status,"&lt;&gt;Annulé"))</f>
        <v/>
      </c>
      <c r="H993" s="74" t="str">
        <f>IF(A993="","",SUMIFS(po_rcv,po_ref,A993,po_status,"&lt;&gt;Annulé"))</f>
        <v/>
      </c>
      <c r="I993" s="74" t="str">
        <f>IF(A993="","",SUMIFS(po_rest,po_ref,A993,po_key,"&gt;0"))</f>
        <v/>
      </c>
      <c r="J993" s="70" t="str">
        <f>IF(A993="","",IF(COUNTIFS(po_ref,A993,po_status,"&lt;&gt;Annulé")=0,"",INDEX(po_price,SUMPRODUCT(MAX((po_ref=A993)*(po_status&lt;&gt;"Annulé")*(ROW(po_ref)-5))))))</f>
        <v/>
      </c>
      <c r="K993" s="67" t="str">
        <f>IF(A993="","",IF(COUNTIF(art_ref,A993)&gt;1,"Référence en double",IF(B993="","Désignation manquante",IF(NOT(ISNUMBER(D993)),"Prix manquant",IF(E993="","TVA manquante",IF(ISNA(MATCH(E993,p_tva,0)),"Taux de TVA inconnu",IF(AND(F993&lt;&gt;"",ISNA(MATCH(F993,sup_code,0))),"Fournisseur inconnu","OK")))))))</f>
        <v/>
      </c>
    </row>
    <row r="994">
      <c r="A994" s="63" t="n"/>
      <c r="B994" s="63" t="n"/>
      <c r="C994" s="65" t="n"/>
      <c r="D994" s="69" t="n"/>
      <c r="E994" s="71" t="n"/>
      <c r="F994" s="65" t="n"/>
      <c r="G994" s="74" t="str">
        <f>IF(A994="","",SUMIFS(po_qty,po_ref,A994,po_status,"&lt;&gt;Annulé"))</f>
        <v/>
      </c>
      <c r="H994" s="74" t="str">
        <f>IF(A994="","",SUMIFS(po_rcv,po_ref,A994,po_status,"&lt;&gt;Annulé"))</f>
        <v/>
      </c>
      <c r="I994" s="74" t="str">
        <f>IF(A994="","",SUMIFS(po_rest,po_ref,A994,po_key,"&gt;0"))</f>
        <v/>
      </c>
      <c r="J994" s="70" t="str">
        <f>IF(A994="","",IF(COUNTIFS(po_ref,A994,po_status,"&lt;&gt;Annulé")=0,"",INDEX(po_price,SUMPRODUCT(MAX((po_ref=A994)*(po_status&lt;&gt;"Annulé")*(ROW(po_ref)-5))))))</f>
        <v/>
      </c>
      <c r="K994" s="67" t="str">
        <f>IF(A994="","",IF(COUNTIF(art_ref,A994)&gt;1,"Référence en double",IF(B994="","Désignation manquante",IF(NOT(ISNUMBER(D994)),"Prix manquant",IF(E994="","TVA manquante",IF(ISNA(MATCH(E994,p_tva,0)),"Taux de TVA inconnu",IF(AND(F994&lt;&gt;"",ISNA(MATCH(F994,sup_code,0))),"Fournisseur inconnu","OK")))))))</f>
        <v/>
      </c>
    </row>
    <row r="995">
      <c r="A995" s="63" t="n"/>
      <c r="B995" s="63" t="n"/>
      <c r="C995" s="65" t="n"/>
      <c r="D995" s="69" t="n"/>
      <c r="E995" s="71" t="n"/>
      <c r="F995" s="65" t="n"/>
      <c r="G995" s="74" t="str">
        <f>IF(A995="","",SUMIFS(po_qty,po_ref,A995,po_status,"&lt;&gt;Annulé"))</f>
        <v/>
      </c>
      <c r="H995" s="74" t="str">
        <f>IF(A995="","",SUMIFS(po_rcv,po_ref,A995,po_status,"&lt;&gt;Annulé"))</f>
        <v/>
      </c>
      <c r="I995" s="74" t="str">
        <f>IF(A995="","",SUMIFS(po_rest,po_ref,A995,po_key,"&gt;0"))</f>
        <v/>
      </c>
      <c r="J995" s="70" t="str">
        <f>IF(A995="","",IF(COUNTIFS(po_ref,A995,po_status,"&lt;&gt;Annulé")=0,"",INDEX(po_price,SUMPRODUCT(MAX((po_ref=A995)*(po_status&lt;&gt;"Annulé")*(ROW(po_ref)-5))))))</f>
        <v/>
      </c>
      <c r="K995" s="67" t="str">
        <f>IF(A995="","",IF(COUNTIF(art_ref,A995)&gt;1,"Référence en double",IF(B995="","Désignation manquante",IF(NOT(ISNUMBER(D995)),"Prix manquant",IF(E995="","TVA manquante",IF(ISNA(MATCH(E995,p_tva,0)),"Taux de TVA inconnu",IF(AND(F995&lt;&gt;"",ISNA(MATCH(F995,sup_code,0))),"Fournisseur inconnu","OK")))))))</f>
        <v/>
      </c>
    </row>
    <row r="996">
      <c r="A996" s="63" t="n"/>
      <c r="B996" s="63" t="n"/>
      <c r="C996" s="65" t="n"/>
      <c r="D996" s="69" t="n"/>
      <c r="E996" s="71" t="n"/>
      <c r="F996" s="65" t="n"/>
      <c r="G996" s="74" t="str">
        <f>IF(A996="","",SUMIFS(po_qty,po_ref,A996,po_status,"&lt;&gt;Annulé"))</f>
        <v/>
      </c>
      <c r="H996" s="74" t="str">
        <f>IF(A996="","",SUMIFS(po_rcv,po_ref,A996,po_status,"&lt;&gt;Annulé"))</f>
        <v/>
      </c>
      <c r="I996" s="74" t="str">
        <f>IF(A996="","",SUMIFS(po_rest,po_ref,A996,po_key,"&gt;0"))</f>
        <v/>
      </c>
      <c r="J996" s="70" t="str">
        <f>IF(A996="","",IF(COUNTIFS(po_ref,A996,po_status,"&lt;&gt;Annulé")=0,"",INDEX(po_price,SUMPRODUCT(MAX((po_ref=A996)*(po_status&lt;&gt;"Annulé")*(ROW(po_ref)-5))))))</f>
        <v/>
      </c>
      <c r="K996" s="67" t="str">
        <f>IF(A996="","",IF(COUNTIF(art_ref,A996)&gt;1,"Référence en double",IF(B996="","Désignation manquante",IF(NOT(ISNUMBER(D996)),"Prix manquant",IF(E996="","TVA manquante",IF(ISNA(MATCH(E996,p_tva,0)),"Taux de TVA inconnu",IF(AND(F996&lt;&gt;"",ISNA(MATCH(F996,sup_code,0))),"Fournisseur inconnu","OK")))))))</f>
        <v/>
      </c>
    </row>
    <row r="997">
      <c r="A997" s="63" t="n"/>
      <c r="B997" s="63" t="n"/>
      <c r="C997" s="65" t="n"/>
      <c r="D997" s="69" t="n"/>
      <c r="E997" s="71" t="n"/>
      <c r="F997" s="65" t="n"/>
      <c r="G997" s="74" t="str">
        <f>IF(A997="","",SUMIFS(po_qty,po_ref,A997,po_status,"&lt;&gt;Annulé"))</f>
        <v/>
      </c>
      <c r="H997" s="74" t="str">
        <f>IF(A997="","",SUMIFS(po_rcv,po_ref,A997,po_status,"&lt;&gt;Annulé"))</f>
        <v/>
      </c>
      <c r="I997" s="74" t="str">
        <f>IF(A997="","",SUMIFS(po_rest,po_ref,A997,po_key,"&gt;0"))</f>
        <v/>
      </c>
      <c r="J997" s="70" t="str">
        <f>IF(A997="","",IF(COUNTIFS(po_ref,A997,po_status,"&lt;&gt;Annulé")=0,"",INDEX(po_price,SUMPRODUCT(MAX((po_ref=A997)*(po_status&lt;&gt;"Annulé")*(ROW(po_ref)-5))))))</f>
        <v/>
      </c>
      <c r="K997" s="67" t="str">
        <f>IF(A997="","",IF(COUNTIF(art_ref,A997)&gt;1,"Référence en double",IF(B997="","Désignation manquante",IF(NOT(ISNUMBER(D997)),"Prix manquant",IF(E997="","TVA manquante",IF(ISNA(MATCH(E997,p_tva,0)),"Taux de TVA inconnu",IF(AND(F997&lt;&gt;"",ISNA(MATCH(F997,sup_code,0))),"Fournisseur inconnu","OK")))))))</f>
        <v/>
      </c>
    </row>
    <row r="998">
      <c r="A998" s="63" t="n"/>
      <c r="B998" s="63" t="n"/>
      <c r="C998" s="65" t="n"/>
      <c r="D998" s="69" t="n"/>
      <c r="E998" s="71" t="n"/>
      <c r="F998" s="65" t="n"/>
      <c r="G998" s="74" t="str">
        <f>IF(A998="","",SUMIFS(po_qty,po_ref,A998,po_status,"&lt;&gt;Annulé"))</f>
        <v/>
      </c>
      <c r="H998" s="74" t="str">
        <f>IF(A998="","",SUMIFS(po_rcv,po_ref,A998,po_status,"&lt;&gt;Annulé"))</f>
        <v/>
      </c>
      <c r="I998" s="74" t="str">
        <f>IF(A998="","",SUMIFS(po_rest,po_ref,A998,po_key,"&gt;0"))</f>
        <v/>
      </c>
      <c r="J998" s="70" t="str">
        <f>IF(A998="","",IF(COUNTIFS(po_ref,A998,po_status,"&lt;&gt;Annulé")=0,"",INDEX(po_price,SUMPRODUCT(MAX((po_ref=A998)*(po_status&lt;&gt;"Annulé")*(ROW(po_ref)-5))))))</f>
        <v/>
      </c>
      <c r="K998" s="67" t="str">
        <f>IF(A998="","",IF(COUNTIF(art_ref,A998)&gt;1,"Référence en double",IF(B998="","Désignation manquante",IF(NOT(ISNUMBER(D998)),"Prix manquant",IF(E998="","TVA manquante",IF(ISNA(MATCH(E998,p_tva,0)),"Taux de TVA inconnu",IF(AND(F998&lt;&gt;"",ISNA(MATCH(F998,sup_code,0))),"Fournisseur inconnu","OK")))))))</f>
        <v/>
      </c>
    </row>
    <row r="999">
      <c r="A999" s="63" t="n"/>
      <c r="B999" s="63" t="n"/>
      <c r="C999" s="65" t="n"/>
      <c r="D999" s="69" t="n"/>
      <c r="E999" s="71" t="n"/>
      <c r="F999" s="65" t="n"/>
      <c r="G999" s="74" t="str">
        <f>IF(A999="","",SUMIFS(po_qty,po_ref,A999,po_status,"&lt;&gt;Annulé"))</f>
        <v/>
      </c>
      <c r="H999" s="74" t="str">
        <f>IF(A999="","",SUMIFS(po_rcv,po_ref,A999,po_status,"&lt;&gt;Annulé"))</f>
        <v/>
      </c>
      <c r="I999" s="74" t="str">
        <f>IF(A999="","",SUMIFS(po_rest,po_ref,A999,po_key,"&gt;0"))</f>
        <v/>
      </c>
      <c r="J999" s="70" t="str">
        <f>IF(A999="","",IF(COUNTIFS(po_ref,A999,po_status,"&lt;&gt;Annulé")=0,"",INDEX(po_price,SUMPRODUCT(MAX((po_ref=A999)*(po_status&lt;&gt;"Annulé")*(ROW(po_ref)-5))))))</f>
        <v/>
      </c>
      <c r="K999" s="67" t="str">
        <f>IF(A999="","",IF(COUNTIF(art_ref,A999)&gt;1,"Référence en double",IF(B999="","Désignation manquante",IF(NOT(ISNUMBER(D999)),"Prix manquant",IF(E999="","TVA manquante",IF(ISNA(MATCH(E999,p_tva,0)),"Taux de TVA inconnu",IF(AND(F999&lt;&gt;"",ISNA(MATCH(F999,sup_code,0))),"Fournisseur inconnu","OK")))))))</f>
        <v/>
      </c>
    </row>
    <row r="1000">
      <c r="A1000" s="63" t="n"/>
      <c r="B1000" s="63" t="n"/>
      <c r="C1000" s="65" t="n"/>
      <c r="D1000" s="69" t="n"/>
      <c r="E1000" s="71" t="n"/>
      <c r="F1000" s="65" t="n"/>
      <c r="G1000" s="74" t="str">
        <f>IF(A1000="","",SUMIFS(po_qty,po_ref,A1000,po_status,"&lt;&gt;Annulé"))</f>
        <v/>
      </c>
      <c r="H1000" s="74" t="str">
        <f>IF(A1000="","",SUMIFS(po_rcv,po_ref,A1000,po_status,"&lt;&gt;Annulé"))</f>
        <v/>
      </c>
      <c r="I1000" s="74" t="str">
        <f>IF(A1000="","",SUMIFS(po_rest,po_ref,A1000,po_key,"&gt;0"))</f>
        <v/>
      </c>
      <c r="J1000" s="70" t="str">
        <f>IF(A1000="","",IF(COUNTIFS(po_ref,A1000,po_status,"&lt;&gt;Annulé")=0,"",INDEX(po_price,SUMPRODUCT(MAX((po_ref=A1000)*(po_status&lt;&gt;"Annulé")*(ROW(po_ref)-5))))))</f>
        <v/>
      </c>
      <c r="K1000" s="67" t="str">
        <f>IF(A1000="","",IF(COUNTIF(art_ref,A1000)&gt;1,"Référence en double",IF(B1000="","Désignation manquante",IF(NOT(ISNUMBER(D1000)),"Prix manquant",IF(E1000="","TVA manquante",IF(ISNA(MATCH(E1000,p_tva,0)),"Taux de TVA inconnu",IF(AND(F1000&lt;&gt;"",ISNA(MATCH(F1000,sup_code,0))),"Fournisseur inconnu","OK")))))))</f>
        <v/>
      </c>
    </row>
    <row r="1001">
      <c r="A1001" s="63" t="n"/>
      <c r="B1001" s="63" t="n"/>
      <c r="C1001" s="65" t="n"/>
      <c r="D1001" s="69" t="n"/>
      <c r="E1001" s="71" t="n"/>
      <c r="F1001" s="65" t="n"/>
      <c r="G1001" s="74" t="str">
        <f>IF(A1001="","",SUMIFS(po_qty,po_ref,A1001,po_status,"&lt;&gt;Annulé"))</f>
        <v/>
      </c>
      <c r="H1001" s="74" t="str">
        <f>IF(A1001="","",SUMIFS(po_rcv,po_ref,A1001,po_status,"&lt;&gt;Annulé"))</f>
        <v/>
      </c>
      <c r="I1001" s="74" t="str">
        <f>IF(A1001="","",SUMIFS(po_rest,po_ref,A1001,po_key,"&gt;0"))</f>
        <v/>
      </c>
      <c r="J1001" s="70" t="str">
        <f>IF(A1001="","",IF(COUNTIFS(po_ref,A1001,po_status,"&lt;&gt;Annulé")=0,"",INDEX(po_price,SUMPRODUCT(MAX((po_ref=A1001)*(po_status&lt;&gt;"Annulé")*(ROW(po_ref)-5))))))</f>
        <v/>
      </c>
      <c r="K1001" s="67" t="str">
        <f>IF(A1001="","",IF(COUNTIF(art_ref,A1001)&gt;1,"Référence en double",IF(B1001="","Désignation manquante",IF(NOT(ISNUMBER(D1001)),"Prix manquant",IF(E1001="","TVA manquante",IF(ISNA(MATCH(E1001,p_tva,0)),"Taux de TVA inconnu",IF(AND(F1001&lt;&gt;"",ISNA(MATCH(F1001,sup_code,0))),"Fournisseur inconnu","OK")))))))</f>
        <v/>
      </c>
    </row>
    <row r="1002">
      <c r="A1002" s="63" t="n"/>
      <c r="B1002" s="63" t="n"/>
      <c r="C1002" s="65" t="n"/>
      <c r="D1002" s="69" t="n"/>
      <c r="E1002" s="71" t="n"/>
      <c r="F1002" s="65" t="n"/>
      <c r="G1002" s="74" t="str">
        <f>IF(A1002="","",SUMIFS(po_qty,po_ref,A1002,po_status,"&lt;&gt;Annulé"))</f>
        <v/>
      </c>
      <c r="H1002" s="74" t="str">
        <f>IF(A1002="","",SUMIFS(po_rcv,po_ref,A1002,po_status,"&lt;&gt;Annulé"))</f>
        <v/>
      </c>
      <c r="I1002" s="74" t="str">
        <f>IF(A1002="","",SUMIFS(po_rest,po_ref,A1002,po_key,"&gt;0"))</f>
        <v/>
      </c>
      <c r="J1002" s="70" t="str">
        <f>IF(A1002="","",IF(COUNTIFS(po_ref,A1002,po_status,"&lt;&gt;Annulé")=0,"",INDEX(po_price,SUMPRODUCT(MAX((po_ref=A1002)*(po_status&lt;&gt;"Annulé")*(ROW(po_ref)-5))))))</f>
        <v/>
      </c>
      <c r="K1002" s="67" t="str">
        <f>IF(A1002="","",IF(COUNTIF(art_ref,A1002)&gt;1,"Référence en double",IF(B1002="","Désignation manquante",IF(NOT(ISNUMBER(D1002)),"Prix manquant",IF(E1002="","TVA manquante",IF(ISNA(MATCH(E1002,p_tva,0)),"Taux de TVA inconnu",IF(AND(F1002&lt;&gt;"",ISNA(MATCH(F1002,sup_code,0))),"Fournisseur inconnu","OK")))))))</f>
        <v/>
      </c>
    </row>
    <row r="1003">
      <c r="A1003" s="63" t="n"/>
      <c r="B1003" s="63" t="n"/>
      <c r="C1003" s="65" t="n"/>
      <c r="D1003" s="69" t="n"/>
      <c r="E1003" s="71" t="n"/>
      <c r="F1003" s="65" t="n"/>
      <c r="G1003" s="74" t="str">
        <f>IF(A1003="","",SUMIFS(po_qty,po_ref,A1003,po_status,"&lt;&gt;Annulé"))</f>
        <v/>
      </c>
      <c r="H1003" s="74" t="str">
        <f>IF(A1003="","",SUMIFS(po_rcv,po_ref,A1003,po_status,"&lt;&gt;Annulé"))</f>
        <v/>
      </c>
      <c r="I1003" s="74" t="str">
        <f>IF(A1003="","",SUMIFS(po_rest,po_ref,A1003,po_key,"&gt;0"))</f>
        <v/>
      </c>
      <c r="J1003" s="70" t="str">
        <f>IF(A1003="","",IF(COUNTIFS(po_ref,A1003,po_status,"&lt;&gt;Annulé")=0,"",INDEX(po_price,SUMPRODUCT(MAX((po_ref=A1003)*(po_status&lt;&gt;"Annulé")*(ROW(po_ref)-5))))))</f>
        <v/>
      </c>
      <c r="K1003" s="67" t="str">
        <f>IF(A1003="","",IF(COUNTIF(art_ref,A1003)&gt;1,"Référence en double",IF(B1003="","Désignation manquante",IF(NOT(ISNUMBER(D1003)),"Prix manquant",IF(E1003="","TVA manquante",IF(ISNA(MATCH(E1003,p_tva,0)),"Taux de TVA inconnu",IF(AND(F1003&lt;&gt;"",ISNA(MATCH(F1003,sup_code,0))),"Fournisseur inconnu","OK")))))))</f>
        <v/>
      </c>
    </row>
    <row r="1004">
      <c r="A1004" s="63" t="n"/>
      <c r="B1004" s="63" t="n"/>
      <c r="C1004" s="65" t="n"/>
      <c r="D1004" s="69" t="n"/>
      <c r="E1004" s="71" t="n"/>
      <c r="F1004" s="65" t="n"/>
      <c r="G1004" s="74" t="str">
        <f>IF(A1004="","",SUMIFS(po_qty,po_ref,A1004,po_status,"&lt;&gt;Annulé"))</f>
        <v/>
      </c>
      <c r="H1004" s="74" t="str">
        <f>IF(A1004="","",SUMIFS(po_rcv,po_ref,A1004,po_status,"&lt;&gt;Annulé"))</f>
        <v/>
      </c>
      <c r="I1004" s="74" t="str">
        <f>IF(A1004="","",SUMIFS(po_rest,po_ref,A1004,po_key,"&gt;0"))</f>
        <v/>
      </c>
      <c r="J1004" s="70" t="str">
        <f>IF(A1004="","",IF(COUNTIFS(po_ref,A1004,po_status,"&lt;&gt;Annulé")=0,"",INDEX(po_price,SUMPRODUCT(MAX((po_ref=A1004)*(po_status&lt;&gt;"Annulé")*(ROW(po_ref)-5))))))</f>
        <v/>
      </c>
      <c r="K1004" s="67" t="str">
        <f>IF(A1004="","",IF(COUNTIF(art_ref,A1004)&gt;1,"Référence en double",IF(B1004="","Désignation manquante",IF(NOT(ISNUMBER(D1004)),"Prix manquant",IF(E1004="","TVA manquante",IF(ISNA(MATCH(E1004,p_tva,0)),"Taux de TVA inconnu",IF(AND(F1004&lt;&gt;"",ISNA(MATCH(F1004,sup_code,0))),"Fournisseur inconnu","OK")))))))</f>
        <v/>
      </c>
    </row>
    <row r="1005">
      <c r="A1005" s="63" t="n"/>
      <c r="B1005" s="63" t="n"/>
      <c r="C1005" s="65" t="n"/>
      <c r="D1005" s="69" t="n"/>
      <c r="E1005" s="71" t="n"/>
      <c r="F1005" s="65" t="n"/>
      <c r="G1005" s="74" t="str">
        <f>IF(A1005="","",SUMIFS(po_qty,po_ref,A1005,po_status,"&lt;&gt;Annulé"))</f>
        <v/>
      </c>
      <c r="H1005" s="74" t="str">
        <f>IF(A1005="","",SUMIFS(po_rcv,po_ref,A1005,po_status,"&lt;&gt;Annulé"))</f>
        <v/>
      </c>
      <c r="I1005" s="74" t="str">
        <f>IF(A1005="","",SUMIFS(po_rest,po_ref,A1005,po_key,"&gt;0"))</f>
        <v/>
      </c>
      <c r="J1005" s="70" t="str">
        <f>IF(A1005="","",IF(COUNTIFS(po_ref,A1005,po_status,"&lt;&gt;Annulé")=0,"",INDEX(po_price,SUMPRODUCT(MAX((po_ref=A1005)*(po_status&lt;&gt;"Annulé")*(ROW(po_ref)-5))))))</f>
        <v/>
      </c>
      <c r="K1005" s="67" t="str">
        <f>IF(A1005="","",IF(COUNTIF(art_ref,A1005)&gt;1,"Référence en double",IF(B1005="","Désignation manquante",IF(NOT(ISNUMBER(D1005)),"Prix manquant",IF(E1005="","TVA manquante",IF(ISNA(MATCH(E1005,p_tva,0)),"Taux de TVA inconnu",IF(AND(F1005&lt;&gt;"",ISNA(MATCH(F1005,sup_code,0))),"Fournisseur inconnu","OK")))))))</f>
        <v/>
      </c>
    </row>
  </sheetData>
  <autoFilter ref="A5:K1005"/>
  <conditionalFormatting sqref="G6:G1005">
    <cfRule type="expression" priority="1" dxfId="33">
      <formula>AND(ISNUMBER(G6),G6&lt;&gt;INT(G6))</formula>
    </cfRule>
  </conditionalFormatting>
  <conditionalFormatting sqref="H6:H1005">
    <cfRule type="expression" priority="2" dxfId="34">
      <formula>AND(ISNUMBER(H6),H6&lt;&gt;INT(H6))</formula>
    </cfRule>
  </conditionalFormatting>
  <conditionalFormatting sqref="I6:I1005">
    <cfRule type="expression" priority="3" dxfId="35">
      <formula>AND(ISNUMBER(I6),I6&lt;&gt;INT(I6))</formula>
    </cfRule>
  </conditionalFormatting>
  <conditionalFormatting sqref="E6:E1005">
    <cfRule type="expression" priority="4" dxfId="36">
      <formula>AND(ISNUMBER(E6),MOD(ROUND(E6*1000,6),10)&lt;&gt;0)</formula>
    </cfRule>
  </conditionalFormatting>
  <conditionalFormatting sqref="K6:K1005">
    <cfRule type="expression" priority="5" dxfId="4">
      <formula>$K6="OK"</formula>
    </cfRule>
    <cfRule type="expression" priority="6" dxfId="3">
      <formula>AND($K6&lt;&gt;"",$K6&lt;&gt;"OK")</formula>
    </cfRule>
  </conditionalFormatting>
  <conditionalFormatting sqref="D6:D1005">
    <cfRule type="expression" priority="7" dxfId="17">
      <formula>p_currency="MAD"</formula>
    </cfRule>
    <cfRule type="expression" priority="9" dxfId="18">
      <formula>p_currency="EUR"</formula>
    </cfRule>
    <cfRule type="expression" priority="11" dxfId="19">
      <formula>p_currency="USD"</formula>
    </cfRule>
  </conditionalFormatting>
  <conditionalFormatting sqref="J6:J1005">
    <cfRule type="expression" priority="8" dxfId="17">
      <formula>p_currency="MAD"</formula>
    </cfRule>
    <cfRule type="expression" priority="10" dxfId="18">
      <formula>p_currency="EUR"</formula>
    </cfRule>
    <cfRule type="expression" priority="12" dxfId="19">
      <formula>p_currency="USD"</formula>
    </cfRule>
  </conditionalFormatting>
  <dataValidations count="5">
    <dataValidation sqref="A6:A1005" showDropDown="0" showInputMessage="1" showErrorMessage="1" allowBlank="1" errorTitle="Référence" error="40 caractères au maximum." promptTitle="Référence" prompt="Code unique de l'article, par exemple TOL-S235-2." type="textLength" operator="lessThanOrEqual">
      <formula1>40</formula1>
    </dataValidation>
    <dataValidation sqref="C6:C1005" showDropDown="0" showInputMessage="1" showErrorMessage="1" allowBlank="1" errorTitle="Unité" error="Choisissez l'unité d'achat (liste modifiable dans « Paramètres »)." promptTitle="Unité" prompt="Choisissez l'unité d'achat (liste modifiable dans « Paramètres »)." type="list">
      <formula1>=p_units</formula1>
    </dataValidation>
    <dataValidation sqref="D6:D1005" showDropDown="0" showInputMessage="1" showErrorMessage="1" allowBlank="1" errorTitle="Prix d'achat HT" error="Prix d'une unité, hors taxes, dans la devise du classeur." promptTitle="Prix d'achat HT" prompt="Prix d'une unité, hors taxes, dans la devise du classeur." type="decimal" operator="greaterThanOrEqual">
      <formula1>0</formula1>
    </dataValidation>
    <dataValidation sqref="E6:E1005" showDropDown="0" showInputMessage="1" showErrorMessage="1" allowBlank="1" errorTitle="TVA" error="Choisissez le taux de TVA de l'article (liste dans « Paramètres »)." promptTitle="TVA" prompt="Choisissez le taux de TVA de l'article (liste dans « Paramètres »)." type="list">
      <formula1>=p_tva</formula1>
    </dataValidation>
    <dataValidation sqref="F6:F1005" showDropDown="0" showInputMessage="1" showErrorMessage="1" allowBlank="1" errorTitle="Fournisseur habituel" error="Facultatif. Code du fournisseur chez qui vous achetez d'habitude cet article." promptTitle="Fournisseur habituel" prompt="Facultatif. Code du fournisseur chez qui vous achetez d'habitude cet article." type="list">
      <formula1>=sup_code</formula1>
    </dataValidation>
  </dataValidations>
  <hyperlinks>
    <hyperlink ref="K1" location="'Mode d''emploi'!A1"/>
  </hyperlinks>
  <printOptions horizontalCentered="1"/>
  <pageMargins left="0.4" right="0.4" top="0.5" bottom="0.5" header="0.5" footer="0.5"/>
  <pageSetup orientation="landscape" paperSize="9" fitToHeight="0" fitToWidth="1"/>
</worksheet>
</file>

<file path=xl/worksheets/sheet8.xml><?xml version="1.0" encoding="utf-8"?>
<worksheet xmlns="http://schemas.openxmlformats.org/spreadsheetml/2006/main">
  <sheetPr>
    <tabColor rgb="FF94A3B8"/>
    <outlinePr summaryBelow="1" summaryRight="1"/>
    <pageSetUpPr fitToPage="1"/>
  </sheetPr>
  <dimension ref="A1:H34"/>
  <sheetViews>
    <sheetView showGridLines="0" tabSelected="0" zoomScale="100" workbookViewId="0">
      <pane ySplit="3" topLeftCell="A4" activePane="bottomLeft" state="frozen"/>
      <selection pane="bottomLeft" activeCell="A1" sqref="A1"/>
    </sheetView>
  </sheetViews>
  <sheetFormatPr baseColWidth="8" defaultRowHeight="15"/>
  <cols>
    <col width="30" customWidth="1" min="1" max="1"/>
    <col width="44" customWidth="1" min="2" max="2"/>
    <col width="3" customWidth="1" min="3" max="3"/>
    <col width="14" customWidth="1" min="4" max="4"/>
    <col width="3" customWidth="1" min="5" max="5"/>
    <col width="14" customWidth="1" min="6" max="6"/>
    <col width="3" customWidth="1" min="7" max="7"/>
    <col width="34" customWidth="1" min="8" max="8"/>
  </cols>
  <sheetData>
    <row r="1" ht="38" customHeight="1">
      <c r="A1" s="2" t="inlineStr">
        <is>
          <t>Paramètres</t>
        </is>
      </c>
      <c r="B1" s="1" t="n"/>
      <c r="C1" s="1" t="n"/>
      <c r="D1" s="1" t="n"/>
      <c r="E1" s="1" t="n"/>
      <c r="F1" s="1" t="n"/>
      <c r="G1" s="1" t="n"/>
      <c r="H1" s="18" t="inlineStr">
        <is>
          <t>⌂ Mode d'emploi</t>
        </is>
      </c>
    </row>
    <row r="2" ht="22" customHeight="1">
      <c r="A2" s="4" t="inlineStr">
        <is>
          <t>Votre entreprise, la devise, la numérotation et les listes. Les cellules blanches sont à remplir.</t>
        </is>
      </c>
      <c r="B2" s="3" t="n"/>
      <c r="C2" s="3" t="n"/>
      <c r="D2" s="3" t="n"/>
      <c r="E2" s="3" t="n"/>
      <c r="F2" s="3" t="n"/>
      <c r="G2" s="3" t="n"/>
      <c r="H2" s="3" t="n"/>
    </row>
    <row r="3" ht="18" customHeight="1"/>
    <row r="4" ht="22" customHeight="1">
      <c r="A4" s="5" t="inlineStr">
        <is>
          <t>Votre entreprise</t>
        </is>
      </c>
      <c r="B4" s="6" t="n"/>
    </row>
    <row r="5" ht="22" customHeight="1">
      <c r="A5" s="129" t="inlineStr">
        <is>
          <t>Raison sociale</t>
        </is>
      </c>
      <c r="B5" s="130" t="inlineStr">
        <is>
          <t>Atelier Exemple SARL</t>
        </is>
      </c>
      <c r="D5" s="45" t="inlineStr">
        <is>
          <t>Taux de TVA</t>
        </is>
      </c>
      <c r="F5" s="45" t="inlineStr">
        <is>
          <t>Unités</t>
        </is>
      </c>
      <c r="H5" s="45" t="inlineStr">
        <is>
          <t>Conditions de paiement</t>
        </is>
      </c>
    </row>
    <row r="6">
      <c r="A6" s="129" t="inlineStr">
        <is>
          <t>Adresse</t>
        </is>
      </c>
      <c r="B6" s="130" t="inlineStr">
        <is>
          <t>Lot 45, zone industrielle Ouled Saleh</t>
        </is>
      </c>
      <c r="D6" s="131" t="n">
        <v>0.2</v>
      </c>
      <c r="F6" s="132" t="inlineStr">
        <is>
          <t>pièce</t>
        </is>
      </c>
      <c r="H6" s="132" t="inlineStr">
        <is>
          <t>Comptant</t>
        </is>
      </c>
    </row>
    <row r="7">
      <c r="A7" s="129" t="inlineStr">
        <is>
          <t>Code postal et ville</t>
        </is>
      </c>
      <c r="B7" s="130" t="inlineStr">
        <is>
          <t>27182 Bouskoura</t>
        </is>
      </c>
      <c r="D7" s="131" t="n">
        <v>0.14</v>
      </c>
      <c r="F7" s="132" t="inlineStr">
        <is>
          <t>kg</t>
        </is>
      </c>
      <c r="H7" s="132" t="inlineStr">
        <is>
          <t>À la livraison</t>
        </is>
      </c>
    </row>
    <row r="8">
      <c r="A8" s="129" t="inlineStr">
        <is>
          <t>Pays</t>
        </is>
      </c>
      <c r="B8" s="130" t="inlineStr">
        <is>
          <t>Maroc</t>
        </is>
      </c>
      <c r="D8" s="131" t="n">
        <v>0.1</v>
      </c>
      <c r="F8" s="132" t="inlineStr">
        <is>
          <t>barre</t>
        </is>
      </c>
      <c r="H8" s="132" t="inlineStr">
        <is>
          <t>30 jours</t>
        </is>
      </c>
    </row>
    <row r="9">
      <c r="A9" s="129" t="inlineStr">
        <is>
          <t>Téléphone</t>
        </is>
      </c>
      <c r="B9" s="130" t="inlineStr">
        <is>
          <t>0522 00 12 34</t>
        </is>
      </c>
      <c r="D9" s="131" t="n">
        <v>0.07000000000000001</v>
      </c>
      <c r="F9" s="132" t="inlineStr">
        <is>
          <t>boîte</t>
        </is>
      </c>
      <c r="H9" s="132" t="inlineStr">
        <is>
          <t>60 jours</t>
        </is>
      </c>
    </row>
    <row r="10">
      <c r="A10" s="129" t="inlineStr">
        <is>
          <t>E-mail</t>
        </is>
      </c>
      <c r="B10" s="130" t="inlineStr">
        <is>
          <t>achats@atelier-exemple.ma</t>
        </is>
      </c>
      <c r="D10" s="131" t="n">
        <v>0</v>
      </c>
      <c r="F10" s="132" t="inlineStr">
        <is>
          <t>bobine</t>
        </is>
      </c>
      <c r="H10" s="132" t="inlineStr">
        <is>
          <t>30 jours fin de mois</t>
        </is>
      </c>
    </row>
    <row r="11">
      <c r="A11" s="133" t="inlineStr">
        <is>
          <t>ICE</t>
        </is>
      </c>
      <c r="B11" s="134" t="inlineStr">
        <is>
          <t>002765431000058</t>
        </is>
      </c>
      <c r="D11" s="131" t="n"/>
      <c r="F11" s="132" t="inlineStr">
        <is>
          <t>bouteille</t>
        </is>
      </c>
      <c r="H11" s="132" t="inlineStr">
        <is>
          <t>60 jours fin de mois</t>
        </is>
      </c>
    </row>
    <row r="12">
      <c r="A12" s="133" t="inlineStr">
        <is>
          <t>IF</t>
        </is>
      </c>
      <c r="B12" s="134" t="inlineStr">
        <is>
          <t>52418736</t>
        </is>
      </c>
      <c r="D12" s="131" t="n"/>
      <c r="F12" s="132" t="inlineStr">
        <is>
          <t>litre</t>
        </is>
      </c>
      <c r="H12" s="132" t="inlineStr">
        <is>
          <t>Acompte 30 %, solde à la livraison</t>
        </is>
      </c>
    </row>
    <row r="13">
      <c r="A13" s="133" t="inlineStr">
        <is>
          <t>RC</t>
        </is>
      </c>
      <c r="B13" s="134" t="inlineStr">
        <is>
          <t>Casablanca 498213</t>
        </is>
      </c>
      <c r="D13" s="131" t="n"/>
      <c r="F13" s="132" t="inlineStr">
        <is>
          <t>mètre</t>
        </is>
      </c>
      <c r="H13" s="132" t="n"/>
    </row>
    <row r="14">
      <c r="A14" s="133" t="inlineStr">
        <is>
          <t>Patente</t>
        </is>
      </c>
      <c r="B14" s="134" t="inlineStr">
        <is>
          <t>36451208</t>
        </is>
      </c>
      <c r="F14" s="132" t="inlineStr">
        <is>
          <t>m²</t>
        </is>
      </c>
      <c r="H14" s="132" t="n"/>
    </row>
    <row r="15" ht="26" customHeight="1">
      <c r="A15" s="135" t="inlineStr">
        <is>
          <t>Les quatre identifiants (nom à gauche, valeur à droite) s'impriment en tête du bon. Laissez une ligne vide pour ne rien imprimer.</t>
        </is>
      </c>
      <c r="D15" s="135" t="inlineStr">
        <is>
          <t>Maroc : 20, 14, 10, 7 et 0 %. France : 20, 10, 5,5, 2,1 et 0 %.</t>
        </is>
      </c>
      <c r="F15" s="132" t="inlineStr">
        <is>
          <t>voyage</t>
        </is>
      </c>
      <c r="H15" s="132" t="n"/>
    </row>
    <row r="16" ht="22" customHeight="1">
      <c r="A16" s="5" t="inlineStr">
        <is>
          <t>Livraison (si différente de l'adresse de l'entreprise)</t>
        </is>
      </c>
      <c r="B16" s="6" t="n"/>
      <c r="F16" s="132" t="inlineStr">
        <is>
          <t>carton</t>
        </is>
      </c>
    </row>
    <row r="17">
      <c r="A17" s="129" t="inlineStr">
        <is>
          <t>Adresse de livraison</t>
        </is>
      </c>
      <c r="B17" s="130" t="inlineStr">
        <is>
          <t>Atelier 2, quai de réception B</t>
        </is>
      </c>
      <c r="F17" s="132" t="inlineStr">
        <is>
          <t>lot</t>
        </is>
      </c>
      <c r="H17" s="135" t="inlineStr">
        <is>
          <t>Au Maroc, le délai de paiement entre entreprises est de 60 jours au plus (loi 69-21). En France, 60 jours après la facture ou 45 jours fin de mois.</t>
        </is>
      </c>
    </row>
    <row r="18">
      <c r="A18" s="129" t="inlineStr">
        <is>
          <t>Code postal et ville de livraison</t>
        </is>
      </c>
      <c r="B18" s="130" t="inlineStr">
        <is>
          <t>27182 Bouskoura</t>
        </is>
      </c>
      <c r="F18" s="132" t="n"/>
    </row>
    <row r="19">
      <c r="A19" s="129" t="inlineStr">
        <is>
          <t>Contact à la réception</t>
        </is>
      </c>
      <c r="B19" s="130" t="inlineStr">
        <is>
          <t>Magasin, Mehdi Saïdi, 0661 00 00 00</t>
        </is>
      </c>
      <c r="F19" s="132" t="n"/>
    </row>
    <row r="20">
      <c r="F20" s="132" t="n"/>
    </row>
    <row r="21" ht="22" customHeight="1">
      <c r="A21" s="5" t="inlineStr">
        <is>
          <t>Réglages</t>
        </is>
      </c>
      <c r="B21" s="6" t="n"/>
      <c r="F21" s="132" t="n"/>
    </row>
    <row r="22">
      <c r="A22" s="129" t="inlineStr">
        <is>
          <t>Devise</t>
        </is>
      </c>
      <c r="B22" s="136" t="inlineStr">
        <is>
          <t>MAD</t>
        </is>
      </c>
      <c r="F22" s="132" t="n"/>
    </row>
    <row r="23">
      <c r="A23" s="129" t="inlineStr">
        <is>
          <t>Date de référence (vide = aujourd'hui)</t>
        </is>
      </c>
      <c r="B23" s="137" t="n">
        <v>46331</v>
      </c>
      <c r="F23" s="132" t="n"/>
    </row>
    <row r="24">
      <c r="A24" s="129" t="inlineStr">
        <is>
          <t>Préfixe des N° de bon</t>
        </is>
      </c>
      <c r="B24" s="130" t="inlineStr">
        <is>
          <t>BC-2026-</t>
        </is>
      </c>
      <c r="F24" s="132" t="n"/>
    </row>
    <row r="25">
      <c r="A25" s="129" t="inlineStr">
        <is>
          <t>Premier numéro</t>
        </is>
      </c>
      <c r="B25" s="132" t="n">
        <v>101</v>
      </c>
      <c r="F25" s="132" t="n"/>
    </row>
    <row r="26">
      <c r="A26" s="129" t="inlineStr">
        <is>
          <t>Conditions de paiement par défaut</t>
        </is>
      </c>
      <c r="B26" s="130" t="inlineStr">
        <is>
          <t>30 jours fin de mois</t>
        </is>
      </c>
    </row>
    <row r="27" ht="62" customHeight="1">
      <c r="A27" s="138" t="inlineStr">
        <is>
          <t>Mentions en bas du bon</t>
        </is>
      </c>
      <c r="B27" s="139" t="inlineStr">
        <is>
          <t>Merci de rappeler le numéro du bon de commande sur le bon de livraison et sur la facture. Livraison du lundi au vendredi, de 8 h à 16 h. Tout écart de quantité ou de prix doit être accepté par écrit avant expédition.</t>
        </is>
      </c>
    </row>
    <row r="29" ht="22" customHeight="1">
      <c r="A29" s="5" t="inlineStr">
        <is>
          <t>Valeurs utilisées par les formules</t>
        </is>
      </c>
      <c r="B29" s="6" t="n"/>
    </row>
    <row r="30">
      <c r="A30" s="140" t="inlineStr">
        <is>
          <t>Date retenue pour les retards</t>
        </is>
      </c>
      <c r="B30" s="141">
        <f>IF(N(p_today_in)&gt;0,p_today_in,TODAY())</f>
        <v>46331.0</v>
      </c>
    </row>
    <row r="31">
      <c r="A31" s="140" t="inlineStr">
        <is>
          <t>Année du tableau de bord</t>
        </is>
      </c>
      <c r="B31" s="142">
        <f>IF(N(p_dbyear)&gt;0,p_dbyear,YEAR(p_today))</f>
        <v>2026.0</v>
      </c>
    </row>
    <row r="32">
      <c r="A32" s="140" t="inlineStr">
        <is>
          <t>Début de l'année</t>
        </is>
      </c>
      <c r="B32" s="141">
        <f>DATE(p_year,1,1)</f>
        <v>46023.0</v>
      </c>
    </row>
    <row r="33">
      <c r="A33" s="140" t="inlineStr">
        <is>
          <t>Début de l'année suivante</t>
        </is>
      </c>
      <c r="B33" s="141">
        <f>DATE(p_year+1,1,1)</f>
        <v>46388.0</v>
      </c>
    </row>
    <row r="34">
      <c r="A34" s="140" t="inlineStr">
        <is>
          <t>Prochain N° de bon</t>
        </is>
      </c>
      <c r="B34" s="143" t="str">
        <f>p_prefix&amp;RIGHT("0000"&amp;(N(p_first)+MAX(0,MAX(po_seq))),4)</f>
        <v>BC-2026-0120</v>
      </c>
    </row>
  </sheetData>
  <mergeCells count="3">
    <mergeCell ref="H17:H21"/>
    <mergeCell ref="D15:D19"/>
    <mergeCell ref="A15:B15"/>
  </mergeCells>
  <conditionalFormatting sqref="D6:D13">
    <cfRule type="expression" priority="1" dxfId="37">
      <formula>AND(ISNUMBER(D6),MOD(ROUND(D6*1000,6),10)&lt;&gt;0)</formula>
    </cfRule>
  </conditionalFormatting>
  <dataValidations count="7">
    <dataValidation sqref="A11:A14" showDropDown="0" showInputMessage="1" showErrorMessage="1" allowBlank="1" errorTitle="Identifiant légal" error="40 caractères au maximum." promptTitle="Identifiant légal" prompt="Nom de l'identifiant. Maroc : ICE, IF, RC, Patente. France : SIRET, TVA intracom., RCS, Capital." type="textLength" operator="lessThanOrEqual">
      <formula1>40</formula1>
    </dataValidation>
    <dataValidation sqref="B22" showDropDown="0" showInputMessage="1" showErrorMessage="1" allowBlank="1" errorTitle="Devise" error="Choisissez MAD (dirham), EUR (euro) ou USD (dollar). Tous les montants du classeur changent de format." promptTitle="Devise" prompt="Choisissez MAD (dirham), EUR (euro) ou USD (dollar). Tous les montants du classeur changent de format." type="list">
      <formula1>"MAD,EUR,USD"</formula1>
    </dataValidation>
    <dataValidation sqref="B23" showDropDown="0" showInputMessage="1" showErrorMessage="1" allowBlank="1" errorTitle="Date de référence" error="Laissez vide : les retards se calculent à la date du jour. Saisissez une date pour revoir la situation à une date passée." promptTitle="Date de référence" prompt="Laissez vide : les retards se calculent à la date du jour. Saisissez une date pour revoir la situation à une date passée." type="date" operator="between">
      <formula1>36526</formula1>
      <formula2>73051</formula2>
    </dataValidation>
    <dataValidation sqref="B24" showDropDown="0" showInputMessage="1" showErrorMessage="1" allowBlank="1" errorTitle="Préfixe" error="40 caractères au maximum." promptTitle="Préfixe" prompt="Début des numéros de bon, par exemple BC-2026- (le numéro devient BC-2026-0001)." type="textLength" operator="lessThanOrEqual">
      <formula1>40</formula1>
    </dataValidation>
    <dataValidation sqref="B25" showDropDown="0" showInputMessage="1" showErrorMessage="1" allowBlank="1" errorTitle="Premier numéro" error="Numéro du premier bon de ce fichier (1, ou le numéro qui suit votre dernier bon papier)." promptTitle="Premier numéro" prompt="Numéro du premier bon de ce fichier (1, ou le numéro qui suit votre dernier bon papier)." type="whole" operator="between">
      <formula1>0</formula1>
      <formula2>999999</formula2>
    </dataValidation>
    <dataValidation sqref="B26" showDropDown="0" showInputMessage="1" showErrorMessage="1" allowBlank="1" errorTitle="Conditions" error="Utilisées sur le bon quand la fiche du fournisseur n'en indique pas." promptTitle="Conditions" prompt="Utilisées sur le bon quand la fiche du fournisseur n'en indique pas." type="list">
      <formula1>=p_termlist</formula1>
    </dataValidation>
    <dataValidation sqref="D6:D13" showDropDown="0" showInputMessage="1" showErrorMessage="1" allowBlank="1" errorTitle="Taux de TVA" error="Taux en pourcentage : tapez 20 % (ou 0,2). Maroc : 20, 14, 10, 7, 0. France : 20, 10, 5,5, 2,1, 0." promptTitle="Taux de TVA" prompt="Taux en pourcentage : tapez 20 % (ou 0,2). Maroc : 20, 14, 10, 7, 0. France : 20, 10, 5,5, 2,1, 0." type="decimal" operator="between">
      <formula1>0</formula1>
      <formula2>1</formula2>
    </dataValidation>
  </dataValidations>
  <hyperlinks>
    <hyperlink ref="H1" location="'Mode d''emploi'!A1"/>
  </hyperlinks>
  <printOptions horizontalCentered="1"/>
  <pageMargins left="0.4" right="0.4" top="0.5" bottom="0.5" header="0.5" footer="0.5"/>
  <pageSetup orientation="portrait" paperSize="9" fitToHeight="0" fitToWidth="1"/>
</worksheet>
</file>

<file path=xl/worksheets/sheet9.xml><?xml version="1.0" encoding="utf-8"?>
<worksheet xmlns="http://schemas.openxmlformats.org/spreadsheetml/2006/main">
  <sheetPr>
    <tabColor rgb="FF2563EB"/>
    <outlinePr summaryBelow="1" summaryRight="1"/>
    <pageSetUpPr fitToPage="1"/>
  </sheetPr>
  <dimension ref="A1:F79"/>
  <sheetViews>
    <sheetView showGridLines="0" tabSelected="0" workbookViewId="0">
      <selection activeCell="A1" sqref="A1"/>
    </sheetView>
  </sheetViews>
  <sheetFormatPr baseColWidth="8" defaultRowHeight="15"/>
  <cols>
    <col width="3" customWidth="1" min="1" max="1"/>
    <col width="30" customWidth="1" min="2" max="2"/>
    <col width="36" customWidth="1" min="3" max="3"/>
    <col width="40" customWidth="1" min="4" max="4"/>
    <col width="16" customWidth="1" min="5" max="5"/>
    <col width="3" customWidth="1" min="6" max="6"/>
  </cols>
  <sheetData>
    <row r="1">
      <c r="A1" s="144" t="n"/>
      <c r="B1" s="144" t="n"/>
      <c r="C1" s="144" t="n"/>
      <c r="D1" s="144" t="n"/>
      <c r="E1" s="144" t="n"/>
      <c r="F1" s="144" t="n"/>
    </row>
    <row r="2" ht="34" customHeight="1">
      <c r="A2" s="144" t="n"/>
      <c r="B2" s="145" t="inlineStr">
        <is>
          <t>Qualis ERP</t>
        </is>
      </c>
      <c r="C2" s="146" t="n"/>
      <c r="D2" s="146" t="n"/>
      <c r="E2" s="146" t="n"/>
      <c r="F2" s="144" t="n"/>
    </row>
    <row r="3">
      <c r="A3" s="144" t="n"/>
      <c r="B3" s="147" t="inlineStr">
        <is>
          <t>Les bons de commande reliés au stock, aux réceptions et aux fournisseurs.</t>
        </is>
      </c>
      <c r="F3" s="144" t="n"/>
    </row>
    <row r="4" ht="46" customHeight="1">
      <c r="A4" s="144" t="n"/>
      <c r="B4" s="148" t="inlineStr">
        <is>
          <t>Ce fichier suffit pour émettre des bons propres et suivre ce qui reste à recevoir. Voici ce qu'il ne peut pas faire, ce que Qualis ERP fait à la place, et ce que vous payez, ou pas.</t>
        </is>
      </c>
      <c r="F4" s="144" t="n"/>
    </row>
    <row r="5">
      <c r="A5" s="144" t="n"/>
      <c r="B5" s="144" t="n"/>
      <c r="C5" s="144" t="n"/>
      <c r="D5" s="144" t="n"/>
      <c r="E5" s="144" t="n"/>
      <c r="F5" s="144" t="n"/>
    </row>
    <row r="6" ht="22" customHeight="1">
      <c r="A6" s="144" t="n"/>
      <c r="B6" s="149" t="inlineStr">
        <is>
          <t>Ce que ce fichier fait bien</t>
        </is>
      </c>
      <c r="C6" s="150" t="n"/>
      <c r="D6" s="150" t="n"/>
      <c r="E6" s="150" t="n"/>
      <c r="F6" s="144" t="n"/>
    </row>
    <row r="7" ht="18" customHeight="1">
      <c r="A7" s="144" t="n"/>
      <c r="B7" s="151" t="inlineStr">
        <is>
          <t>✓  Il calcule chaque ligne, la TVA taux par taux et le total TTC à partir de votre catalogue.</t>
        </is>
      </c>
      <c r="F7" s="144" t="n"/>
    </row>
    <row r="8" ht="18" customHeight="1">
      <c r="A8" s="144" t="n"/>
      <c r="B8" s="151" t="inlineStr">
        <is>
          <t>✓  Il imprime un bon de commande complet sur une page A4, à envoyer en PDF.</t>
        </is>
      </c>
      <c r="F8" s="144" t="n"/>
    </row>
    <row r="9" ht="18" customHeight="1">
      <c r="A9" s="144" t="n"/>
      <c r="B9" s="151" t="inlineStr">
        <is>
          <t>✓  Il suit le reste à recevoir, les retards et le taux de service de chaque fournisseur.</t>
        </is>
      </c>
      <c r="F9" s="144" t="n"/>
    </row>
    <row r="10">
      <c r="A10" s="144" t="n"/>
      <c r="B10" s="144" t="n"/>
      <c r="C10" s="144" t="n"/>
      <c r="D10" s="144" t="n"/>
      <c r="E10" s="144" t="n"/>
      <c r="F10" s="144" t="n"/>
    </row>
    <row r="11" ht="22" customHeight="1">
      <c r="A11" s="144" t="n"/>
      <c r="B11" s="149" t="inlineStr">
        <is>
          <t>Là où un tableur atteint ses limites</t>
        </is>
      </c>
      <c r="C11" s="150" t="n"/>
      <c r="D11" s="150" t="n"/>
      <c r="E11" s="150" t="n"/>
      <c r="F11" s="144" t="n"/>
    </row>
    <row r="12" ht="18" customHeight="1">
      <c r="A12" s="144" t="n"/>
      <c r="B12" s="152" t="inlineStr">
        <is>
          <t>•  Une réception saisie ici ne met pas le stock à jour : il faut la ressaisir ailleurs.</t>
        </is>
      </c>
      <c r="F12" s="144" t="n"/>
    </row>
    <row r="13" ht="30" customHeight="1">
      <c r="A13" s="144" t="n"/>
      <c r="B13" s="152" t="inlineStr">
        <is>
          <t>•  Rien n'empêche de modifier un bon déjà envoyé : votre copie et celle du fournisseur peuvent diverger sans trace.</t>
        </is>
      </c>
      <c r="F13" s="144" t="n"/>
    </row>
    <row r="14" ht="18" customHeight="1">
      <c r="A14" s="144" t="n"/>
      <c r="B14" s="152" t="inlineStr">
        <is>
          <t>•  Aucune validation avant envoi : n'importe qui peut imprimer un bon, quel que soit son montant.</t>
        </is>
      </c>
      <c r="F14" s="144" t="n"/>
    </row>
    <row r="15" ht="18" customHeight="1">
      <c r="A15" s="144" t="n"/>
      <c r="B15" s="152" t="inlineStr">
        <is>
          <t>•  Deux acheteurs ne peuvent pas saisir en même temps dans le même fichier sans perdre des lignes.</t>
        </is>
      </c>
      <c r="F15" s="144" t="n"/>
    </row>
    <row r="16">
      <c r="A16" s="144" t="n"/>
      <c r="B16" s="144" t="n"/>
      <c r="C16" s="144" t="n"/>
      <c r="D16" s="144" t="n"/>
      <c r="E16" s="144" t="n"/>
      <c r="F16" s="144" t="n"/>
    </row>
    <row r="17" ht="22" customHeight="1">
      <c r="A17" s="144" t="n"/>
      <c r="B17" s="149" t="inlineStr">
        <is>
          <t>Ce fichier et Qualis ERP, côte à côte</t>
        </is>
      </c>
      <c r="C17" s="150" t="n"/>
      <c r="D17" s="150" t="n"/>
      <c r="E17" s="150" t="n"/>
      <c r="F17" s="144" t="n"/>
    </row>
    <row r="18" ht="22" customHeight="1">
      <c r="A18" s="144" t="n"/>
      <c r="B18" s="153" t="inlineStr"/>
      <c r="C18" s="154" t="inlineStr">
        <is>
          <t>Ce fichier Excel</t>
        </is>
      </c>
      <c r="D18" s="155" t="inlineStr">
        <is>
          <t>Qualis ERP</t>
        </is>
      </c>
      <c r="E18" s="155" t="inlineStr">
        <is>
          <t>Offre</t>
        </is>
      </c>
      <c r="F18" s="144" t="n"/>
    </row>
    <row r="19" ht="32" customHeight="1">
      <c r="A19" s="144" t="n"/>
      <c r="B19" s="156" t="inlineStr">
        <is>
          <t>Numérotation</t>
        </is>
      </c>
      <c r="C19" s="157" t="inlineStr">
        <is>
          <t>Prochain numéro proposé, saisi à la main</t>
        </is>
      </c>
      <c r="D19" s="158" t="inlineStr">
        <is>
          <t>Numéro attribué automatiquement à la création du bon</t>
        </is>
      </c>
      <c r="E19" s="159" t="inlineStr">
        <is>
          <t>Complete</t>
        </is>
      </c>
      <c r="F19" s="144" t="n"/>
    </row>
    <row r="20" ht="32" customHeight="1">
      <c r="A20" s="144" t="n"/>
      <c r="B20" s="156" t="inlineStr">
        <is>
          <t>Validation</t>
        </is>
      </c>
      <c r="C20" s="157" t="inlineStr">
        <is>
          <t>Signature sur le bon imprimé</t>
        </is>
      </c>
      <c r="D20" s="158" t="inlineStr">
        <is>
          <t>Circuit d'approbation, par exemple au-dessus d'un montant, sur plusieurs niveaux</t>
        </is>
      </c>
      <c r="E20" s="159" t="inlineStr">
        <is>
          <t>Complete</t>
        </is>
      </c>
      <c r="F20" s="144" t="n"/>
    </row>
    <row r="21" ht="32" customHeight="1">
      <c r="A21" s="144" t="n"/>
      <c r="B21" s="156" t="inlineStr">
        <is>
          <t>Prix fournisseur</t>
        </is>
      </c>
      <c r="C21" s="157" t="inlineStr">
        <is>
          <t>Un prix d'achat par article</t>
        </is>
      </c>
      <c r="D21" s="158" t="inlineStr">
        <is>
          <t>Prix, minimum de commande et délai par fournisseur, repris sur la ligne du bon</t>
        </is>
      </c>
      <c r="E21" s="159" t="inlineStr">
        <is>
          <t>Complete</t>
        </is>
      </c>
      <c r="F21" s="144" t="n"/>
    </row>
    <row r="22" ht="32" customHeight="1">
      <c r="A22" s="144" t="n"/>
      <c r="B22" s="156" t="inlineStr">
        <is>
          <t>Réception</t>
        </is>
      </c>
      <c r="C22" s="157" t="inlineStr">
        <is>
          <t>Quantité reçue saisie à la main</t>
        </is>
      </c>
      <c r="D22" s="158" t="inlineStr">
        <is>
          <t>Réception partielle qui entre en stock, liste des réceptions en retard</t>
        </is>
      </c>
      <c r="E22" s="159" t="inlineStr">
        <is>
          <t>Complete</t>
        </is>
      </c>
      <c r="F22" s="144" t="n"/>
    </row>
    <row r="23" ht="32" customHeight="1">
      <c r="A23" s="144" t="n"/>
      <c r="B23" s="156" t="inlineStr">
        <is>
          <t>Ponctualité</t>
        </is>
      </c>
      <c r="C23" s="157" t="inlineStr">
        <is>
          <t>Taux de service par fournisseur</t>
        </is>
      </c>
      <c r="D23" s="158" t="inlineStr">
        <is>
          <t>Taux de ponctualité, retard moyen et retard maximal sur la fiche fournisseur</t>
        </is>
      </c>
      <c r="E23" s="159" t="inlineStr">
        <is>
          <t>Complete</t>
        </is>
      </c>
      <c r="F23" s="144" t="n"/>
    </row>
    <row r="24" ht="32" customHeight="1">
      <c r="A24" s="144" t="n"/>
      <c r="B24" s="156" t="inlineStr">
        <is>
          <t>Information de l'équipe</t>
        </is>
      </c>
      <c r="C24" s="157" t="inlineStr">
        <is>
          <t>Bon envoyé à la main</t>
        </is>
      </c>
      <c r="D24" s="158" t="inlineStr">
        <is>
          <t>E-mail automatique aux destinataires choisis à chaque nouveau bon</t>
        </is>
      </c>
      <c r="E24" s="159" t="inlineStr">
        <is>
          <t>Complete</t>
        </is>
      </c>
      <c r="F24" s="144" t="n"/>
    </row>
    <row r="25" ht="32" customHeight="1">
      <c r="A25" s="144" t="n"/>
      <c r="B25" s="156" t="inlineStr">
        <is>
          <t>Fournisseurs et articles</t>
        </is>
      </c>
      <c r="C25" s="157" t="inlineStr">
        <is>
          <t>Listes dans le fichier</t>
        </is>
      </c>
      <c r="D25" s="158" t="inlineStr">
        <is>
          <t>Fiches partagées par toute l'équipe, import par fichier CSV</t>
        </is>
      </c>
      <c r="E25" s="160" t="inlineStr">
        <is>
          <t>Start (gratuit)</t>
        </is>
      </c>
      <c r="F25" s="144" t="n"/>
    </row>
    <row r="26" ht="32" customHeight="1">
      <c r="A26" s="144" t="n"/>
      <c r="B26" s="156" t="inlineStr">
        <is>
          <t>Stock</t>
        </is>
      </c>
      <c r="C26" s="157" t="inlineStr">
        <is>
          <t>Non relié</t>
        </is>
      </c>
      <c r="D26" s="158" t="inlineStr">
        <is>
          <t>Stock en temps réel par entrepôt et emplacement, lots et numéros de série</t>
        </is>
      </c>
      <c r="E26" s="160" t="inlineStr">
        <is>
          <t>Start (gratuit)</t>
        </is>
      </c>
      <c r="F26" s="144" t="n"/>
    </row>
    <row r="27" ht="32" customHeight="1">
      <c r="A27" s="144" t="n"/>
      <c r="B27" s="156" t="inlineStr">
        <is>
          <t>Historique</t>
        </is>
      </c>
      <c r="C27" s="157" t="inlineStr">
        <is>
          <t>Non</t>
        </is>
      </c>
      <c r="D27" s="158" t="inlineStr">
        <is>
          <t>Journal d'audit : qui a modifié quoi, et quand</t>
        </is>
      </c>
      <c r="E27" s="160" t="inlineStr">
        <is>
          <t>Start (gratuit)</t>
        </is>
      </c>
      <c r="F27" s="144" t="n"/>
    </row>
    <row r="28">
      <c r="A28" s="144" t="n"/>
      <c r="B28" s="144" t="n"/>
      <c r="C28" s="144" t="n"/>
      <c r="D28" s="144" t="n"/>
      <c r="E28" s="144" t="n"/>
      <c r="F28" s="144" t="n"/>
    </row>
    <row r="29" ht="22" customHeight="1">
      <c r="A29" s="144" t="n"/>
      <c r="B29" s="149" t="inlineStr">
        <is>
          <t>Pourquoi Qualis Start est gratuit, et le reste</t>
        </is>
      </c>
      <c r="C29" s="150" t="n"/>
      <c r="D29" s="150" t="n"/>
      <c r="E29" s="150" t="n"/>
      <c r="F29" s="144" t="n"/>
    </row>
    <row r="30" ht="30" customHeight="1">
      <c r="A30" s="144" t="n"/>
      <c r="B30" s="152" t="inlineStr">
        <is>
          <t>→  Qualis Start est gratuit à vie, sans carte bancaire et sans limite d'utilisateurs : articles, unités, entrepôts, emplacements, stock en temps réel, lots et numéros de série, clients, fournisseurs, personnel, tâches.</t>
        </is>
      </c>
      <c r="F30" s="144" t="n"/>
    </row>
    <row r="31" ht="30" customHeight="1">
      <c r="A31" s="144" t="n"/>
      <c r="B31" s="152" t="inlineStr">
        <is>
          <t>→  Nous le donnons parce que les articles, les fournisseurs et le stock sont la base de tout le reste : une entreprise qui les tient dans Qualis ajoute les achats le jour où elle en a besoin, sans ressaisir ses fiches.</t>
        </is>
      </c>
      <c r="F31" s="144" t="n"/>
    </row>
    <row r="32" ht="30" customHeight="1">
      <c r="A32" s="144" t="n"/>
      <c r="B32" s="152" t="inlineStr">
        <is>
          <t>→  Les modules de production, d'achat, de vente, de facturation, de qualité et de maintenance font partie de Qualis Complete, payé par siège bureau, au mois ou à l'année, à prix public. Les opérateurs d'atelier ont un siège moins cher.</t>
        </is>
      </c>
      <c r="F32" s="144" t="n"/>
    </row>
    <row r="33">
      <c r="A33" s="144" t="n"/>
      <c r="B33" s="144" t="n"/>
      <c r="C33" s="144" t="n"/>
      <c r="D33" s="144" t="n"/>
      <c r="E33" s="144" t="n"/>
      <c r="F33" s="144" t="n"/>
    </row>
    <row r="34" ht="22" customHeight="1">
      <c r="A34" s="144" t="n"/>
      <c r="B34" s="149" t="inlineStr">
        <is>
          <t>Passer du fichier à Qualis ERP</t>
        </is>
      </c>
      <c r="C34" s="150" t="n"/>
      <c r="D34" s="150" t="n"/>
      <c r="E34" s="150" t="n"/>
      <c r="F34" s="144" t="n"/>
    </row>
    <row r="35" ht="18" customHeight="1">
      <c r="A35" s="144" t="n"/>
      <c r="B35" s="152" t="inlineStr">
        <is>
          <t xml:space="preserve">  1.  Créez un compte gratuit sur qualis-erp.com, en deux minutes, sans carte bancaire.</t>
        </is>
      </c>
      <c r="F35" s="144" t="n"/>
    </row>
    <row r="36" ht="30" customHeight="1">
      <c r="A36" s="144" t="n"/>
      <c r="B36" s="152" t="inlineStr">
        <is>
          <t xml:space="preserve">  2.  Importez vos fournisseurs et vos articles à partir des feuilles « Fournisseurs » et « Articles » avec les modèles CSV de Qualis ERP.</t>
        </is>
      </c>
      <c r="F36" s="144" t="n"/>
    </row>
    <row r="37" ht="30" customHeight="1">
      <c r="A37" s="144" t="n"/>
      <c r="B37" s="152" t="inlineStr">
        <is>
          <t xml:space="preserve">  3.  Tenez votre stock dans Qualis Start. Quand vous voulez émettre et réceptionner vos bons de commande dans le même outil, ajoutez Qualis Complete.</t>
        </is>
      </c>
      <c r="F37" s="144" t="n"/>
    </row>
    <row r="38">
      <c r="A38" s="144" t="n"/>
      <c r="B38" s="144" t="n"/>
      <c r="C38" s="144" t="n"/>
      <c r="D38" s="144" t="n"/>
      <c r="E38" s="144" t="n"/>
      <c r="F38" s="144" t="n"/>
    </row>
    <row r="39" ht="38" customHeight="1">
      <c r="A39" s="144" t="n"/>
      <c r="B39" s="161" t="inlineStr">
        <is>
          <t>Créer un compte Qualis ERP gratuit  →</t>
        </is>
      </c>
      <c r="C39" s="162" t="n"/>
      <c r="D39" s="163" t="inlineStr">
        <is>
          <t>Voir les tarifs publics</t>
        </is>
      </c>
      <c r="E39" s="164" t="inlineStr">
        <is>
          <t>qualis-erp.com</t>
        </is>
      </c>
      <c r="F39" s="144" t="n"/>
    </row>
    <row r="40">
      <c r="A40" s="144" t="n"/>
      <c r="B40" s="144" t="n"/>
      <c r="C40" s="144" t="n"/>
      <c r="D40" s="144" t="n"/>
      <c r="E40" s="144" t="n"/>
      <c r="F40" s="144" t="n"/>
    </row>
    <row r="41" ht="40" customHeight="1">
      <c r="A41" s="144" t="n"/>
      <c r="B41" s="165" t="inlineStr">
        <is>
          <t>Qualis ERP est un ERP industriel en ligne, en français, pour les PME qui fabriquent sur stock ou à la commande. Édité par BERRYNOON SARLAU, Casablanca.</t>
        </is>
      </c>
      <c r="F41" s="144" t="n"/>
    </row>
    <row r="42">
      <c r="A42" s="144" t="n"/>
      <c r="B42" s="144" t="n"/>
      <c r="C42" s="144" t="n"/>
      <c r="D42" s="144" t="n"/>
      <c r="E42" s="144" t="n"/>
      <c r="F42" s="144" t="n"/>
    </row>
    <row r="43">
      <c r="A43" s="144" t="n"/>
      <c r="B43" s="144" t="n"/>
      <c r="C43" s="144" t="n"/>
      <c r="D43" s="144" t="n"/>
      <c r="E43" s="144" t="n"/>
      <c r="F43" s="144" t="n"/>
    </row>
    <row r="44">
      <c r="A44" s="144" t="n"/>
      <c r="B44" s="144" t="n"/>
      <c r="C44" s="144" t="n"/>
      <c r="D44" s="144" t="n"/>
      <c r="E44" s="144" t="n"/>
      <c r="F44" s="144" t="n"/>
    </row>
    <row r="45">
      <c r="A45" s="144" t="n"/>
      <c r="B45" s="144" t="n"/>
      <c r="C45" s="144" t="n"/>
      <c r="D45" s="144" t="n"/>
      <c r="E45" s="144" t="n"/>
      <c r="F45" s="144" t="n"/>
    </row>
    <row r="46">
      <c r="A46" s="144" t="n"/>
      <c r="B46" s="144" t="n"/>
      <c r="C46" s="144" t="n"/>
      <c r="D46" s="144" t="n"/>
      <c r="E46" s="144" t="n"/>
      <c r="F46" s="144" t="n"/>
    </row>
    <row r="47">
      <c r="A47" s="144" t="n"/>
      <c r="B47" s="144" t="n"/>
      <c r="C47" s="144" t="n"/>
      <c r="D47" s="144" t="n"/>
      <c r="E47" s="144" t="n"/>
      <c r="F47" s="144" t="n"/>
    </row>
    <row r="48">
      <c r="A48" s="144" t="n"/>
      <c r="B48" s="144" t="n"/>
      <c r="C48" s="144" t="n"/>
      <c r="D48" s="144" t="n"/>
      <c r="E48" s="144" t="n"/>
      <c r="F48" s="144" t="n"/>
    </row>
    <row r="49">
      <c r="A49" s="144" t="n"/>
      <c r="B49" s="144" t="n"/>
      <c r="C49" s="144" t="n"/>
      <c r="D49" s="144" t="n"/>
      <c r="E49" s="144" t="n"/>
      <c r="F49" s="144" t="n"/>
    </row>
    <row r="50">
      <c r="A50" s="144" t="n"/>
      <c r="B50" s="144" t="n"/>
      <c r="C50" s="144" t="n"/>
      <c r="D50" s="144" t="n"/>
      <c r="E50" s="144" t="n"/>
      <c r="F50" s="144" t="n"/>
    </row>
    <row r="51">
      <c r="A51" s="144" t="n"/>
      <c r="B51" s="144" t="n"/>
      <c r="C51" s="144" t="n"/>
      <c r="D51" s="144" t="n"/>
      <c r="E51" s="144" t="n"/>
      <c r="F51" s="144" t="n"/>
    </row>
    <row r="52">
      <c r="A52" s="144" t="n"/>
      <c r="B52" s="144" t="n"/>
      <c r="C52" s="144" t="n"/>
      <c r="D52" s="144" t="n"/>
      <c r="E52" s="144" t="n"/>
      <c r="F52" s="144" t="n"/>
    </row>
    <row r="53">
      <c r="A53" s="144" t="n"/>
      <c r="B53" s="144" t="n"/>
      <c r="C53" s="144" t="n"/>
      <c r="D53" s="144" t="n"/>
      <c r="E53" s="144" t="n"/>
      <c r="F53" s="144" t="n"/>
    </row>
    <row r="54">
      <c r="A54" s="144" t="n"/>
      <c r="B54" s="144" t="n"/>
      <c r="C54" s="144" t="n"/>
      <c r="D54" s="144" t="n"/>
      <c r="E54" s="144" t="n"/>
      <c r="F54" s="144" t="n"/>
    </row>
    <row r="55">
      <c r="A55" s="144" t="n"/>
      <c r="B55" s="144" t="n"/>
      <c r="C55" s="144" t="n"/>
      <c r="D55" s="144" t="n"/>
      <c r="E55" s="144" t="n"/>
      <c r="F55" s="144" t="n"/>
    </row>
    <row r="56">
      <c r="A56" s="144" t="n"/>
      <c r="B56" s="144" t="n"/>
      <c r="C56" s="144" t="n"/>
      <c r="D56" s="144" t="n"/>
      <c r="E56" s="144" t="n"/>
      <c r="F56" s="144" t="n"/>
    </row>
    <row r="57">
      <c r="A57" s="144" t="n"/>
      <c r="B57" s="144" t="n"/>
      <c r="C57" s="144" t="n"/>
      <c r="D57" s="144" t="n"/>
      <c r="E57" s="144" t="n"/>
      <c r="F57" s="144" t="n"/>
    </row>
    <row r="58">
      <c r="A58" s="144" t="n"/>
      <c r="B58" s="144" t="n"/>
      <c r="C58" s="144" t="n"/>
      <c r="D58" s="144" t="n"/>
      <c r="E58" s="144" t="n"/>
      <c r="F58" s="144" t="n"/>
    </row>
    <row r="59">
      <c r="A59" s="144" t="n"/>
      <c r="B59" s="144" t="n"/>
      <c r="C59" s="144" t="n"/>
      <c r="D59" s="144" t="n"/>
      <c r="E59" s="144" t="n"/>
      <c r="F59" s="144" t="n"/>
    </row>
    <row r="60">
      <c r="A60" s="144" t="n"/>
      <c r="B60" s="144" t="n"/>
      <c r="C60" s="144" t="n"/>
      <c r="D60" s="144" t="n"/>
      <c r="E60" s="144" t="n"/>
      <c r="F60" s="144" t="n"/>
    </row>
    <row r="61">
      <c r="A61" s="144" t="n"/>
      <c r="B61" s="144" t="n"/>
      <c r="C61" s="144" t="n"/>
      <c r="D61" s="144" t="n"/>
      <c r="E61" s="144" t="n"/>
      <c r="F61" s="144" t="n"/>
    </row>
    <row r="62">
      <c r="A62" s="144" t="n"/>
      <c r="B62" s="144" t="n"/>
      <c r="C62" s="144" t="n"/>
      <c r="D62" s="144" t="n"/>
      <c r="E62" s="144" t="n"/>
      <c r="F62" s="144" t="n"/>
    </row>
    <row r="63">
      <c r="A63" s="144" t="n"/>
      <c r="B63" s="144" t="n"/>
      <c r="C63" s="144" t="n"/>
      <c r="D63" s="144" t="n"/>
      <c r="E63" s="144" t="n"/>
      <c r="F63" s="144" t="n"/>
    </row>
    <row r="64">
      <c r="A64" s="144" t="n"/>
      <c r="B64" s="144" t="n"/>
      <c r="C64" s="144" t="n"/>
      <c r="D64" s="144" t="n"/>
      <c r="E64" s="144" t="n"/>
      <c r="F64" s="144" t="n"/>
    </row>
    <row r="65">
      <c r="A65" s="144" t="n"/>
      <c r="B65" s="144" t="n"/>
      <c r="C65" s="144" t="n"/>
      <c r="D65" s="144" t="n"/>
      <c r="E65" s="144" t="n"/>
      <c r="F65" s="144" t="n"/>
    </row>
    <row r="66">
      <c r="A66" s="144" t="n"/>
      <c r="B66" s="144" t="n"/>
      <c r="C66" s="144" t="n"/>
      <c r="D66" s="144" t="n"/>
      <c r="E66" s="144" t="n"/>
      <c r="F66" s="144" t="n"/>
    </row>
    <row r="67">
      <c r="A67" s="144" t="n"/>
      <c r="B67" s="144" t="n"/>
      <c r="C67" s="144" t="n"/>
      <c r="D67" s="144" t="n"/>
      <c r="E67" s="144" t="n"/>
      <c r="F67" s="144" t="n"/>
    </row>
    <row r="68">
      <c r="A68" s="144" t="n"/>
      <c r="B68" s="144" t="n"/>
      <c r="C68" s="144" t="n"/>
      <c r="D68" s="144" t="n"/>
      <c r="E68" s="144" t="n"/>
      <c r="F68" s="144" t="n"/>
    </row>
    <row r="69">
      <c r="A69" s="144" t="n"/>
      <c r="B69" s="144" t="n"/>
      <c r="C69" s="144" t="n"/>
      <c r="D69" s="144" t="n"/>
      <c r="E69" s="144" t="n"/>
      <c r="F69" s="144" t="n"/>
    </row>
    <row r="70">
      <c r="A70" s="144" t="n"/>
      <c r="B70" s="144" t="n"/>
      <c r="C70" s="144" t="n"/>
      <c r="D70" s="144" t="n"/>
      <c r="E70" s="144" t="n"/>
      <c r="F70" s="144" t="n"/>
    </row>
    <row r="71">
      <c r="A71" s="144" t="n"/>
      <c r="B71" s="144" t="n"/>
      <c r="C71" s="144" t="n"/>
      <c r="D71" s="144" t="n"/>
      <c r="E71" s="144" t="n"/>
      <c r="F71" s="144" t="n"/>
    </row>
    <row r="72">
      <c r="A72" s="144" t="n"/>
      <c r="B72" s="144" t="n"/>
      <c r="C72" s="144" t="n"/>
      <c r="D72" s="144" t="n"/>
      <c r="E72" s="144" t="n"/>
      <c r="F72" s="144" t="n"/>
    </row>
    <row r="73">
      <c r="A73" s="144" t="n"/>
      <c r="B73" s="144" t="n"/>
      <c r="C73" s="144" t="n"/>
      <c r="D73" s="144" t="n"/>
      <c r="E73" s="144" t="n"/>
      <c r="F73" s="144" t="n"/>
    </row>
    <row r="74">
      <c r="A74" s="144" t="n"/>
      <c r="B74" s="144" t="n"/>
      <c r="C74" s="144" t="n"/>
      <c r="D74" s="144" t="n"/>
      <c r="E74" s="144" t="n"/>
      <c r="F74" s="144" t="n"/>
    </row>
    <row r="75">
      <c r="A75" s="144" t="n"/>
      <c r="B75" s="144" t="n"/>
      <c r="C75" s="144" t="n"/>
      <c r="D75" s="144" t="n"/>
      <c r="E75" s="144" t="n"/>
      <c r="F75" s="144" t="n"/>
    </row>
    <row r="76">
      <c r="A76" s="144" t="n"/>
      <c r="B76" s="144" t="n"/>
      <c r="C76" s="144" t="n"/>
      <c r="D76" s="144" t="n"/>
      <c r="E76" s="144" t="n"/>
      <c r="F76" s="144" t="n"/>
    </row>
    <row r="77">
      <c r="A77" s="144" t="n"/>
      <c r="B77" s="144" t="n"/>
      <c r="C77" s="144" t="n"/>
      <c r="D77" s="144" t="n"/>
      <c r="E77" s="144" t="n"/>
      <c r="F77" s="144" t="n"/>
    </row>
    <row r="78">
      <c r="A78" s="144" t="n"/>
      <c r="B78" s="144" t="n"/>
      <c r="C78" s="144" t="n"/>
      <c r="D78" s="144" t="n"/>
      <c r="E78" s="144" t="n"/>
      <c r="F78" s="144" t="n"/>
    </row>
    <row r="79">
      <c r="A79" s="144" t="n"/>
      <c r="B79" s="144" t="n"/>
      <c r="C79" s="144" t="n"/>
      <c r="D79" s="144" t="n"/>
      <c r="E79" s="144" t="n"/>
      <c r="F79" s="144" t="n"/>
    </row>
  </sheetData>
  <mergeCells count="17">
    <mergeCell ref="B39:C39"/>
    <mergeCell ref="B31:E31"/>
    <mergeCell ref="B9:E9"/>
    <mergeCell ref="B41:E41"/>
    <mergeCell ref="B8:E8"/>
    <mergeCell ref="B35:E35"/>
    <mergeCell ref="B4:E4"/>
    <mergeCell ref="B12:E12"/>
    <mergeCell ref="B13:E13"/>
    <mergeCell ref="B30:E30"/>
    <mergeCell ref="B15:E15"/>
    <mergeCell ref="B7:E7"/>
    <mergeCell ref="B3:E3"/>
    <mergeCell ref="B37:E37"/>
    <mergeCell ref="B36:E36"/>
    <mergeCell ref="B14:E14"/>
    <mergeCell ref="B32:E32"/>
  </mergeCells>
  <hyperlinks>
    <hyperlink xmlns:r="http://schemas.openxmlformats.org/officeDocument/2006/relationships" ref="B39" r:id="rId1"/>
    <hyperlink xmlns:r="http://schemas.openxmlformats.org/officeDocument/2006/relationships" ref="D39" r:id="rId2"/>
    <hyperlink xmlns:r="http://schemas.openxmlformats.org/officeDocument/2006/relationships" ref="E39" r:id="rId3"/>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Bon de commande Excel</dc:title>
  <dc:subject xmlns:dc="http://purl.org/dc/elements/1.1/">Modèle gratuit de bon de commande fournisseur</dc:subject>
  <dc:language xmlns:dc="http://purl.org/dc/elements/1.1/">fr-FR</dc:language>
  <dcterms:created xmlns:dcterms="http://purl.org/dc/terms/" xmlns:xsi="http://www.w3.org/2001/XMLSchema-instance" xsi:type="dcterms:W3CDTF">2026-11-05T21:50:48Z</dcterms:created>
  <dcterms:modified xmlns:dcterms="http://purl.org/dc/terms/" xmlns:xsi="http://www.w3.org/2001/XMLSchema-instance" xsi:type="dcterms:W3CDTF">2026-11-05T21:50:53Z</dcterms:modified>
  <cp:keywords>bon de commande, commande fournisseur, suivi des commandes, réception, excel</cp:keywords>
</cp:coreProperties>
</file>